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drawings/drawing2.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3.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drawings/drawing4.xml" ContentType="application/vnd.openxmlformats-officedocument.drawing+xml"/>
  <Override PartName="/xl/charts/chart60.xml" ContentType="application/vnd.openxmlformats-officedocument.drawingml.chart+xml"/>
  <Override PartName="/xl/drawings/drawing5.xml" ContentType="application/vnd.openxmlformats-officedocument.drawing+xml"/>
  <Override PartName="/xl/charts/chart61.xml" ContentType="application/vnd.openxmlformats-officedocument.drawingml.chart+xml"/>
  <Override PartName="/xl/drawings/drawing6.xml" ContentType="application/vnd.openxmlformats-officedocument.drawing+xml"/>
  <Override PartName="/xl/charts/chart6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hidePivotFieldList="1" defaultThemeVersion="124226"/>
  <bookViews>
    <workbookView xWindow="375" yWindow="2010" windowWidth="18375" windowHeight="8265" tabRatio="819" firstSheet="5" activeTab="7"/>
  </bookViews>
  <sheets>
    <sheet name="Source" sheetId="15" r:id="rId1"/>
    <sheet name="Table" sheetId="1" r:id="rId2"/>
    <sheet name="used space Charts" sheetId="2" r:id="rId3"/>
    <sheet name="subscription charts" sheetId="4" r:id="rId4"/>
    <sheet name="Used GB Charts" sheetId="9" r:id="rId5"/>
    <sheet name="Allocated charts" sheetId="7" r:id="rId6"/>
    <sheet name="Usable  Feed" sheetId="13" r:id="rId7"/>
    <sheet name="Used Feed" sheetId="14" r:id="rId8"/>
    <sheet name="Alloc Feed" sheetId="18" r:id="rId9"/>
    <sheet name="Instructions" sheetId="3" r:id="rId10"/>
    <sheet name="Formula explanation" sheetId="10" r:id="rId11"/>
    <sheet name="678 port usage" sheetId="6" r:id="rId12"/>
    <sheet name="879 port usage" sheetId="5" r:id="rId13"/>
    <sheet name="Sheet1" sheetId="12" r:id="rId14"/>
  </sheets>
  <calcPr calcId="145621"/>
</workbook>
</file>

<file path=xl/calcChain.xml><?xml version="1.0" encoding="utf-8"?>
<calcChain xmlns="http://schemas.openxmlformats.org/spreadsheetml/2006/main">
  <c r="AI4" i="4" l="1"/>
  <c r="AI5" i="4"/>
  <c r="AI6" i="4" l="1"/>
  <c r="AI7" i="4" l="1"/>
  <c r="AI8" i="4" l="1"/>
  <c r="AI9" i="4" l="1"/>
  <c r="U13" i="1"/>
  <c r="U7" i="1"/>
  <c r="U10" i="1" s="1"/>
  <c r="U5" i="1"/>
  <c r="U4" i="1"/>
  <c r="T13" i="1"/>
  <c r="T7" i="1"/>
  <c r="T10" i="1" s="1"/>
  <c r="T5" i="1"/>
  <c r="T4" i="1"/>
  <c r="AI10" i="4" l="1"/>
  <c r="AI13" i="1" l="1"/>
  <c r="AI7" i="1"/>
  <c r="AI10" i="1" s="1"/>
  <c r="AI5" i="1"/>
  <c r="AI4" i="1"/>
  <c r="AI9" i="1" s="1"/>
  <c r="AH13" i="1"/>
  <c r="AH7" i="1"/>
  <c r="AH10" i="1" s="1"/>
  <c r="AH5" i="1"/>
  <c r="AH4" i="1"/>
  <c r="AF13" i="1"/>
  <c r="AF7" i="1"/>
  <c r="AF10" i="1" s="1"/>
  <c r="AF5" i="1"/>
  <c r="AF4" i="1"/>
  <c r="AD13" i="1"/>
  <c r="AD7" i="1"/>
  <c r="AD10" i="1" s="1"/>
  <c r="AD5" i="1"/>
  <c r="AD4" i="1"/>
  <c r="Z13" i="1"/>
  <c r="Z7" i="1"/>
  <c r="Z10" i="1" s="1"/>
  <c r="Z5" i="1"/>
  <c r="Z4" i="1"/>
  <c r="X13" i="1"/>
  <c r="X7" i="1"/>
  <c r="X10" i="1" s="1"/>
  <c r="X5" i="1"/>
  <c r="X4" i="1"/>
  <c r="W13" i="1"/>
  <c r="W7" i="1"/>
  <c r="W10" i="1" s="1"/>
  <c r="W5" i="1"/>
  <c r="W4" i="1"/>
  <c r="AI11" i="4"/>
  <c r="AI12" i="4"/>
  <c r="AI11" i="1" l="1"/>
  <c r="AI12" i="1" s="1"/>
  <c r="AI6" i="1"/>
  <c r="AI14" i="1"/>
  <c r="AI8" i="1"/>
  <c r="AI13" i="4"/>
  <c r="C4" i="1" l="1"/>
  <c r="D4" i="1"/>
  <c r="C5" i="1"/>
  <c r="D5" i="1"/>
  <c r="C7" i="1"/>
  <c r="C8" i="1" s="1"/>
  <c r="D7" i="1"/>
  <c r="D10" i="1" s="1"/>
  <c r="D11" i="1" s="1"/>
  <c r="C13" i="1"/>
  <c r="D13" i="1"/>
  <c r="AI14" i="4"/>
  <c r="D6" i="1" l="1"/>
  <c r="D12" i="1"/>
  <c r="C10" i="1"/>
  <c r="C11" i="1" s="1"/>
  <c r="C12" i="1" s="1"/>
  <c r="C6" i="1"/>
  <c r="C14" i="1"/>
  <c r="D14" i="1"/>
  <c r="D8" i="1"/>
  <c r="AI15" i="4" l="1"/>
  <c r="AI16" i="4"/>
  <c r="AI17" i="4"/>
  <c r="AI18" i="4"/>
  <c r="AI19" i="4" l="1"/>
  <c r="AI20" i="4"/>
  <c r="BC250" i="1"/>
  <c r="BB250" i="1"/>
  <c r="BA250" i="1"/>
  <c r="AZ250" i="1"/>
  <c r="AY250" i="1"/>
  <c r="BC247" i="1"/>
  <c r="BB247" i="1"/>
  <c r="BA247" i="1"/>
  <c r="AZ247" i="1"/>
  <c r="AY247" i="1"/>
  <c r="BC244" i="1"/>
  <c r="BB244" i="1"/>
  <c r="BB251" i="1" s="1"/>
  <c r="BA244" i="1"/>
  <c r="AZ244" i="1"/>
  <c r="AY244" i="1"/>
  <c r="AY251" i="1" l="1"/>
  <c r="BC251" i="1"/>
  <c r="AZ251" i="1"/>
  <c r="BA251" i="1"/>
  <c r="K73" i="13"/>
  <c r="K72" i="18"/>
  <c r="K71" i="14"/>
  <c r="K72" i="14"/>
  <c r="AI21" i="4" l="1"/>
  <c r="AH279" i="1"/>
  <c r="AG279" i="1"/>
  <c r="AF279" i="1"/>
  <c r="AE279" i="1"/>
  <c r="AD279" i="1"/>
  <c r="AN279" i="1" s="1"/>
  <c r="AC279" i="1"/>
  <c r="AB279" i="1"/>
  <c r="AA279" i="1"/>
  <c r="Z279" i="1"/>
  <c r="Y279" i="1"/>
  <c r="X279" i="1"/>
  <c r="BA278" i="1"/>
  <c r="AZ278" i="1"/>
  <c r="AY278" i="1"/>
  <c r="AX278" i="1"/>
  <c r="AW278" i="1"/>
  <c r="BA275" i="1"/>
  <c r="AZ275" i="1"/>
  <c r="AY275" i="1"/>
  <c r="AX275" i="1"/>
  <c r="AW275" i="1"/>
  <c r="AH273" i="1"/>
  <c r="AG273" i="1"/>
  <c r="AG276" i="1" s="1"/>
  <c r="AG277" i="1" s="1"/>
  <c r="AF273" i="1"/>
  <c r="AE273" i="1"/>
  <c r="AE276" i="1" s="1"/>
  <c r="AE277" i="1" s="1"/>
  <c r="AD273" i="1"/>
  <c r="AD276" i="1" s="1"/>
  <c r="AD277" i="1" s="1"/>
  <c r="AC273" i="1"/>
  <c r="AC276" i="1" s="1"/>
  <c r="AC277" i="1" s="1"/>
  <c r="AB273" i="1"/>
  <c r="AB276" i="1" s="1"/>
  <c r="AB277" i="1" s="1"/>
  <c r="AA273" i="1"/>
  <c r="AA276" i="1" s="1"/>
  <c r="AA277" i="1" s="1"/>
  <c r="Z273" i="1"/>
  <c r="Z276" i="1" s="1"/>
  <c r="Z277" i="1" s="1"/>
  <c r="Y273" i="1"/>
  <c r="Y276" i="1" s="1"/>
  <c r="Y277" i="1" s="1"/>
  <c r="X273" i="1"/>
  <c r="X276" i="1" s="1"/>
  <c r="X277" i="1" s="1"/>
  <c r="BA272" i="1"/>
  <c r="AZ272" i="1"/>
  <c r="AY272" i="1"/>
  <c r="AX272" i="1"/>
  <c r="AW272" i="1"/>
  <c r="AH271" i="1"/>
  <c r="AG271" i="1"/>
  <c r="AM271" i="1" s="1"/>
  <c r="AF271" i="1"/>
  <c r="AE271" i="1"/>
  <c r="AL271" i="1" s="1"/>
  <c r="AD271" i="1"/>
  <c r="AC271" i="1"/>
  <c r="AB271" i="1"/>
  <c r="AA271" i="1"/>
  <c r="Z271" i="1"/>
  <c r="Y271" i="1"/>
  <c r="X271" i="1"/>
  <c r="AH270" i="1"/>
  <c r="AH275" i="1" s="1"/>
  <c r="AG270" i="1"/>
  <c r="AG275" i="1" s="1"/>
  <c r="AF270" i="1"/>
  <c r="AF275" i="1" s="1"/>
  <c r="AE270" i="1"/>
  <c r="AE275" i="1" s="1"/>
  <c r="AD270" i="1"/>
  <c r="AD275" i="1" s="1"/>
  <c r="AC270" i="1"/>
  <c r="AC275" i="1" s="1"/>
  <c r="AB270" i="1"/>
  <c r="AB275" i="1" s="1"/>
  <c r="AA270" i="1"/>
  <c r="AA275" i="1" s="1"/>
  <c r="Z270" i="1"/>
  <c r="Z275" i="1" s="1"/>
  <c r="Y270" i="1"/>
  <c r="Y275" i="1" s="1"/>
  <c r="X270" i="1"/>
  <c r="X275" i="1" s="1"/>
  <c r="AW279" i="1" l="1"/>
  <c r="BA279" i="1"/>
  <c r="Z280" i="1"/>
  <c r="AY279" i="1"/>
  <c r="AX279" i="1"/>
  <c r="AB280" i="1"/>
  <c r="AB272" i="1"/>
  <c r="AB278" i="1"/>
  <c r="AA272" i="1"/>
  <c r="Y272" i="1"/>
  <c r="AC272" i="1"/>
  <c r="X280" i="1"/>
  <c r="AF280" i="1"/>
  <c r="AP270" i="1"/>
  <c r="AP275" i="1" s="1"/>
  <c r="AZ279" i="1"/>
  <c r="AQ270" i="1"/>
  <c r="AQ275" i="1" s="1"/>
  <c r="X272" i="1"/>
  <c r="Z272" i="1"/>
  <c r="AD272" i="1"/>
  <c r="AF272" i="1"/>
  <c r="AH272" i="1"/>
  <c r="X278" i="1"/>
  <c r="Z278" i="1"/>
  <c r="AD278" i="1"/>
  <c r="AD280" i="1"/>
  <c r="AH280" i="1"/>
  <c r="AN270" i="1"/>
  <c r="AN275" i="1" s="1"/>
  <c r="AO270" i="1"/>
  <c r="AO275" i="1" s="1"/>
  <c r="AM270" i="1"/>
  <c r="AM275" i="1" s="1"/>
  <c r="AL270" i="1"/>
  <c r="AL272" i="1" s="1"/>
  <c r="AJ275" i="1"/>
  <c r="AE272" i="1"/>
  <c r="AP271" i="1"/>
  <c r="AL273" i="1"/>
  <c r="AL274" i="1" s="1"/>
  <c r="AR279" i="1"/>
  <c r="AM273" i="1"/>
  <c r="AL276" i="1"/>
  <c r="AQ276" i="1"/>
  <c r="AQ277" i="1" s="1"/>
  <c r="AJ271" i="1"/>
  <c r="AO271" i="1"/>
  <c r="AG272" i="1"/>
  <c r="AJ270" i="1"/>
  <c r="AQ271" i="1"/>
  <c r="Y278" i="1"/>
  <c r="AA278" i="1"/>
  <c r="AC278" i="1"/>
  <c r="AE278" i="1"/>
  <c r="AG278" i="1"/>
  <c r="AP273" i="1"/>
  <c r="AP274" i="1" s="1"/>
  <c r="Z274" i="1"/>
  <c r="AD274" i="1"/>
  <c r="AR276" i="1"/>
  <c r="AR277" i="1" s="1"/>
  <c r="AF276" i="1"/>
  <c r="AF277" i="1" s="1"/>
  <c r="AF278" i="1" s="1"/>
  <c r="AF274" i="1"/>
  <c r="AH276" i="1"/>
  <c r="AH277" i="1" s="1"/>
  <c r="AH278" i="1" s="1"/>
  <c r="AH274" i="1"/>
  <c r="AN273" i="1"/>
  <c r="AN274" i="1" s="1"/>
  <c r="AR273" i="1"/>
  <c r="AR274" i="1" s="1"/>
  <c r="X274" i="1"/>
  <c r="AB274" i="1"/>
  <c r="Y280" i="1"/>
  <c r="AA280" i="1"/>
  <c r="AC280" i="1"/>
  <c r="AE280" i="1"/>
  <c r="AG280" i="1"/>
  <c r="AJ279" i="1"/>
  <c r="AM279" i="1"/>
  <c r="AO279" i="1"/>
  <c r="AQ279" i="1"/>
  <c r="AR270" i="1"/>
  <c r="AR275" i="1" s="1"/>
  <c r="AN271" i="1"/>
  <c r="AR271" i="1"/>
  <c r="AJ273" i="1"/>
  <c r="AO273" i="1"/>
  <c r="AO274" i="1" s="1"/>
  <c r="AQ273" i="1"/>
  <c r="AQ274" i="1" s="1"/>
  <c r="Y274" i="1"/>
  <c r="AA274" i="1"/>
  <c r="AC274" i="1"/>
  <c r="AE274" i="1"/>
  <c r="AG274" i="1"/>
  <c r="AL279" i="1"/>
  <c r="AP279" i="1"/>
  <c r="AP280" i="1" s="1"/>
  <c r="AI22" i="4"/>
  <c r="AQ272" i="1" l="1"/>
  <c r="AQ278" i="1"/>
  <c r="AQ280" i="1"/>
  <c r="AL275" i="1"/>
  <c r="AS270" i="1"/>
  <c r="AS275" i="1" s="1"/>
  <c r="AN272" i="1"/>
  <c r="AN280" i="1"/>
  <c r="AM272" i="1"/>
  <c r="AP272" i="1"/>
  <c r="AR272" i="1"/>
  <c r="AN276" i="1"/>
  <c r="AN277" i="1" s="1"/>
  <c r="AN278" i="1" s="1"/>
  <c r="AO280" i="1"/>
  <c r="AO272" i="1"/>
  <c r="AJ280" i="1"/>
  <c r="AP276" i="1"/>
  <c r="AP277" i="1" s="1"/>
  <c r="AP278" i="1" s="1"/>
  <c r="AJ276" i="1"/>
  <c r="AM280" i="1"/>
  <c r="AS279" i="1"/>
  <c r="AL277" i="1"/>
  <c r="AL278" i="1" s="1"/>
  <c r="AM274" i="1"/>
  <c r="AS273" i="1"/>
  <c r="AS274" i="1" s="1"/>
  <c r="AJ274" i="1"/>
  <c r="AR280" i="1"/>
  <c r="AT273" i="1"/>
  <c r="AT274" i="1" s="1"/>
  <c r="AO276" i="1"/>
  <c r="AO277" i="1" s="1"/>
  <c r="AO278" i="1" s="1"/>
  <c r="AT279" i="1"/>
  <c r="AL280" i="1"/>
  <c r="AM276" i="1"/>
  <c r="AR278" i="1"/>
  <c r="AJ272" i="1"/>
  <c r="AT270" i="1"/>
  <c r="AT275" i="1" s="1"/>
  <c r="AT271" i="1"/>
  <c r="AS271" i="1"/>
  <c r="AS272" i="1" s="1"/>
  <c r="AI23" i="4"/>
  <c r="AH8" i="1"/>
  <c r="AH9" i="1"/>
  <c r="AS280" i="1" l="1"/>
  <c r="AH11" i="1"/>
  <c r="AH12" i="1" s="1"/>
  <c r="AT276" i="1"/>
  <c r="AT277" i="1" s="1"/>
  <c r="AT278" i="1" s="1"/>
  <c r="AT272" i="1"/>
  <c r="AM277" i="1"/>
  <c r="AM278" i="1" s="1"/>
  <c r="AS276" i="1"/>
  <c r="AS277" i="1" s="1"/>
  <c r="AS278" i="1" s="1"/>
  <c r="AT280" i="1"/>
  <c r="AJ277" i="1"/>
  <c r="AJ278" i="1" s="1"/>
  <c r="AH14" i="1"/>
  <c r="AH6" i="1"/>
  <c r="AI24" i="4"/>
  <c r="AI25" i="4" l="1"/>
  <c r="BA334" i="1" l="1"/>
  <c r="AZ334" i="1"/>
  <c r="AY334" i="1"/>
  <c r="AX334" i="1"/>
  <c r="AW334" i="1"/>
  <c r="BA331" i="1"/>
  <c r="AZ331" i="1"/>
  <c r="AY331" i="1"/>
  <c r="AX331" i="1"/>
  <c r="AW331" i="1"/>
  <c r="BA328" i="1"/>
  <c r="AZ328" i="1"/>
  <c r="AY328" i="1"/>
  <c r="AX328" i="1"/>
  <c r="AW328" i="1"/>
  <c r="AZ335" i="1" l="1"/>
  <c r="BA335" i="1"/>
  <c r="AW335" i="1"/>
  <c r="AX335" i="1"/>
  <c r="AY335" i="1"/>
  <c r="AG13" i="1"/>
  <c r="AG7" i="1"/>
  <c r="AG10" i="1" s="1"/>
  <c r="AG5" i="1"/>
  <c r="AG4" i="1"/>
  <c r="AG9" i="1" s="1"/>
  <c r="AE13" i="1"/>
  <c r="AE7" i="1"/>
  <c r="AE5" i="1"/>
  <c r="AE4" i="1"/>
  <c r="AE9" i="1" s="1"/>
  <c r="AD9" i="1"/>
  <c r="AE14" i="1" l="1"/>
  <c r="AG6" i="1"/>
  <c r="AG14" i="1"/>
  <c r="AF6" i="1"/>
  <c r="AG8" i="1"/>
  <c r="AF8" i="1"/>
  <c r="AD14" i="1"/>
  <c r="AD6" i="1"/>
  <c r="AE10" i="1"/>
  <c r="AE11" i="1" s="1"/>
  <c r="AE6" i="1"/>
  <c r="AG11" i="1"/>
  <c r="AG12" i="1" s="1"/>
  <c r="AF11" i="1"/>
  <c r="AF12" i="1" s="1"/>
  <c r="AF9" i="1"/>
  <c r="AF14" i="1"/>
  <c r="AE8" i="1"/>
  <c r="AD11" i="1"/>
  <c r="AD12" i="1" s="1"/>
  <c r="AD8" i="1"/>
  <c r="AI26" i="4"/>
  <c r="AE12" i="1" l="1"/>
  <c r="BA348" i="1"/>
  <c r="AZ348" i="1"/>
  <c r="AY348" i="1"/>
  <c r="AX348" i="1"/>
  <c r="AW348" i="1"/>
  <c r="BA345" i="1"/>
  <c r="AZ345" i="1"/>
  <c r="AY345" i="1"/>
  <c r="AX345" i="1"/>
  <c r="AW345" i="1"/>
  <c r="BA342" i="1"/>
  <c r="AZ342" i="1"/>
  <c r="AY342" i="1"/>
  <c r="AX342" i="1"/>
  <c r="AW342" i="1"/>
  <c r="AW349" i="1" l="1"/>
  <c r="BA349" i="1"/>
  <c r="AX349" i="1"/>
  <c r="AZ349" i="1"/>
  <c r="AY349" i="1"/>
  <c r="AI27" i="4"/>
  <c r="AC13" i="1"/>
  <c r="AC7" i="1"/>
  <c r="AC10" i="1" s="1"/>
  <c r="AC5" i="1"/>
  <c r="AC4" i="1"/>
  <c r="AB13" i="1"/>
  <c r="AB7" i="1"/>
  <c r="AB10" i="1" s="1"/>
  <c r="AB5" i="1"/>
  <c r="AB4" i="1"/>
  <c r="AA13" i="1"/>
  <c r="AA7" i="1"/>
  <c r="AA10" i="1" s="1"/>
  <c r="AA5" i="1"/>
  <c r="AA4" i="1"/>
  <c r="Y13" i="1"/>
  <c r="Y7" i="1"/>
  <c r="Y10" i="1" s="1"/>
  <c r="Y5" i="1"/>
  <c r="Y4" i="1"/>
  <c r="V13" i="1"/>
  <c r="V7" i="1"/>
  <c r="V10" i="1" s="1"/>
  <c r="V5" i="1"/>
  <c r="V4" i="1"/>
  <c r="S13" i="1"/>
  <c r="S7" i="1"/>
  <c r="S10" i="1" s="1"/>
  <c r="S5" i="1"/>
  <c r="S4" i="1"/>
  <c r="R13" i="1"/>
  <c r="R7" i="1"/>
  <c r="R10" i="1" s="1"/>
  <c r="R5" i="1"/>
  <c r="R4" i="1"/>
  <c r="Q13" i="1"/>
  <c r="Q7" i="1"/>
  <c r="Q10" i="1" s="1"/>
  <c r="Q5" i="1"/>
  <c r="Q4" i="1"/>
  <c r="P13" i="1"/>
  <c r="P7" i="1"/>
  <c r="P10" i="1" s="1"/>
  <c r="P5" i="1"/>
  <c r="P4" i="1"/>
  <c r="O13" i="1"/>
  <c r="O7" i="1"/>
  <c r="O10" i="1" s="1"/>
  <c r="O5" i="1"/>
  <c r="O4" i="1"/>
  <c r="N13" i="1"/>
  <c r="N7" i="1"/>
  <c r="N10" i="1" s="1"/>
  <c r="N5" i="1"/>
  <c r="N4" i="1"/>
  <c r="M13" i="1"/>
  <c r="M7" i="1"/>
  <c r="M10" i="1" s="1"/>
  <c r="M5" i="1"/>
  <c r="M4" i="1"/>
  <c r="AC364" i="1" l="1"/>
  <c r="Y364" i="1"/>
  <c r="U364" i="1"/>
  <c r="Q364" i="1"/>
  <c r="M364" i="1"/>
  <c r="I364" i="1"/>
  <c r="E364" i="1"/>
  <c r="AB364" i="1"/>
  <c r="AA364" i="1"/>
  <c r="X364" i="1"/>
  <c r="W364" i="1"/>
  <c r="S364" i="1"/>
  <c r="P364" i="1"/>
  <c r="O364" i="1"/>
  <c r="L364" i="1"/>
  <c r="K364" i="1"/>
  <c r="H364" i="1"/>
  <c r="G364" i="1"/>
  <c r="C364" i="1"/>
  <c r="R364" i="1"/>
  <c r="J364" i="1"/>
  <c r="N364" i="1" l="1"/>
  <c r="V364" i="1"/>
  <c r="AM364" i="1"/>
  <c r="F364" i="1"/>
  <c r="Z364" i="1"/>
  <c r="AO364" i="1"/>
  <c r="AP364" i="1"/>
  <c r="AJ364" i="1"/>
  <c r="D364" i="1"/>
  <c r="T364" i="1"/>
  <c r="AQ364" i="1"/>
  <c r="AI28" i="4"/>
  <c r="AC11" i="1"/>
  <c r="AC9" i="1"/>
  <c r="AZ376" i="1"/>
  <c r="AY376" i="1"/>
  <c r="AX376" i="1"/>
  <c r="AW376" i="1"/>
  <c r="AV376" i="1"/>
  <c r="AZ373" i="1"/>
  <c r="AY373" i="1"/>
  <c r="AX373" i="1"/>
  <c r="AW373" i="1"/>
  <c r="AV373" i="1"/>
  <c r="AZ370" i="1"/>
  <c r="AY370" i="1"/>
  <c r="AX370" i="1"/>
  <c r="AW370" i="1"/>
  <c r="AV370" i="1"/>
  <c r="AX377" i="1" l="1"/>
  <c r="AY377" i="1"/>
  <c r="AC12" i="1"/>
  <c r="AC8" i="1"/>
  <c r="AC14" i="1"/>
  <c r="AC6" i="1"/>
  <c r="AS364" i="1"/>
  <c r="AL364" i="1"/>
  <c r="AT364" i="1"/>
  <c r="AR364" i="1"/>
  <c r="AN364" i="1"/>
  <c r="AV377" i="1"/>
  <c r="AZ377" i="1"/>
  <c r="AW377" i="1"/>
  <c r="AI29" i="4"/>
  <c r="AI30" i="4" l="1"/>
  <c r="AI31" i="4"/>
  <c r="AI32" i="4" l="1"/>
  <c r="AB9" i="1" l="1"/>
  <c r="AB6" i="1" l="1"/>
  <c r="AB8" i="1"/>
  <c r="AB11" i="1"/>
  <c r="AB12" i="1" s="1"/>
  <c r="AB14" i="1"/>
  <c r="AY432" i="1" l="1"/>
  <c r="AX432" i="1"/>
  <c r="AW432" i="1"/>
  <c r="AV432" i="1"/>
  <c r="AU432" i="1"/>
  <c r="AY429" i="1"/>
  <c r="AX429" i="1"/>
  <c r="AW429" i="1"/>
  <c r="AV429" i="1"/>
  <c r="AU429" i="1"/>
  <c r="AY426" i="1"/>
  <c r="AX426" i="1"/>
  <c r="AW426" i="1"/>
  <c r="AV426" i="1"/>
  <c r="AU426" i="1"/>
  <c r="AU433" i="1" l="1"/>
  <c r="AY433" i="1"/>
  <c r="AV433" i="1"/>
  <c r="AW433" i="1"/>
  <c r="AX433" i="1"/>
  <c r="AI33" i="4"/>
  <c r="AY446" i="1"/>
  <c r="AX446" i="1"/>
  <c r="AW446" i="1"/>
  <c r="AV446" i="1"/>
  <c r="AU446" i="1"/>
  <c r="AY443" i="1"/>
  <c r="AX443" i="1"/>
  <c r="AW443" i="1"/>
  <c r="AV443" i="1"/>
  <c r="AU443" i="1"/>
  <c r="AY440" i="1"/>
  <c r="AX440" i="1"/>
  <c r="AW440" i="1"/>
  <c r="AV440" i="1"/>
  <c r="AU440" i="1"/>
  <c r="AW447" i="1" l="1"/>
  <c r="AY447" i="1"/>
  <c r="AU447" i="1"/>
  <c r="AV447" i="1"/>
  <c r="AX447" i="1"/>
  <c r="AI34" i="4"/>
  <c r="AA8" i="1"/>
  <c r="AA9" i="1"/>
  <c r="Z9" i="1"/>
  <c r="AA11" i="1" l="1"/>
  <c r="AA12" i="1" s="1"/>
  <c r="AA6" i="1"/>
  <c r="AA14" i="1"/>
  <c r="Z11" i="1"/>
  <c r="Z12" i="1" s="1"/>
  <c r="Z8" i="1"/>
  <c r="Z6" i="1"/>
  <c r="Z14" i="1"/>
  <c r="AM475" i="1" l="1"/>
  <c r="AL475" i="1"/>
  <c r="AK475" i="1"/>
  <c r="AJ475" i="1"/>
  <c r="AC475" i="1"/>
  <c r="AB475" i="1"/>
  <c r="AA475" i="1"/>
  <c r="AM472" i="1"/>
  <c r="AM473" i="1" s="1"/>
  <c r="AL472" i="1"/>
  <c r="AL473" i="1" s="1"/>
  <c r="AK472" i="1"/>
  <c r="AK473" i="1" s="1"/>
  <c r="AJ472" i="1"/>
  <c r="AJ473" i="1" s="1"/>
  <c r="AC472" i="1"/>
  <c r="AC473" i="1" s="1"/>
  <c r="AB472" i="1"/>
  <c r="AB473" i="1" s="1"/>
  <c r="AA472" i="1"/>
  <c r="AA473" i="1" s="1"/>
  <c r="AM469" i="1"/>
  <c r="AM470" i="1" s="1"/>
  <c r="AL469" i="1"/>
  <c r="AL470" i="1" s="1"/>
  <c r="AK469" i="1"/>
  <c r="AK470" i="1" s="1"/>
  <c r="AJ469" i="1"/>
  <c r="AJ470" i="1" s="1"/>
  <c r="AC469" i="1"/>
  <c r="AC470" i="1" s="1"/>
  <c r="AB469" i="1"/>
  <c r="AA469" i="1"/>
  <c r="AM467" i="1"/>
  <c r="AL467" i="1"/>
  <c r="AK467" i="1"/>
  <c r="AJ467" i="1"/>
  <c r="AC467" i="1"/>
  <c r="AB467" i="1"/>
  <c r="AA467" i="1"/>
  <c r="AM466" i="1"/>
  <c r="AM471" i="1" s="1"/>
  <c r="AL466" i="1"/>
  <c r="AL471" i="1" s="1"/>
  <c r="AK466" i="1"/>
  <c r="AK471" i="1" s="1"/>
  <c r="AJ466" i="1"/>
  <c r="AJ471" i="1" s="1"/>
  <c r="AC466" i="1"/>
  <c r="AC471" i="1" s="1"/>
  <c r="AB466" i="1"/>
  <c r="AA466" i="1"/>
  <c r="AA471" i="1" s="1"/>
  <c r="AR5" i="1"/>
  <c r="AO469" i="1" l="1"/>
  <c r="AO470" i="1" s="1"/>
  <c r="AJ474" i="1"/>
  <c r="AA468" i="1"/>
  <c r="AK468" i="1"/>
  <c r="AN469" i="1"/>
  <c r="AN470" i="1" s="1"/>
  <c r="AL474" i="1"/>
  <c r="AC468" i="1"/>
  <c r="AM468" i="1"/>
  <c r="AA470" i="1"/>
  <c r="AC476" i="1"/>
  <c r="AM476" i="1"/>
  <c r="AB468" i="1"/>
  <c r="AL468" i="1"/>
  <c r="AC474" i="1"/>
  <c r="AM474" i="1"/>
  <c r="AB476" i="1"/>
  <c r="AL476" i="1"/>
  <c r="AB474" i="1"/>
  <c r="AN467" i="1"/>
  <c r="AA474" i="1"/>
  <c r="AK474" i="1"/>
  <c r="AN475" i="1"/>
  <c r="AN466" i="1"/>
  <c r="AN471" i="1" s="1"/>
  <c r="AA476" i="1"/>
  <c r="AK476" i="1"/>
  <c r="AO466" i="1"/>
  <c r="AO471" i="1" s="1"/>
  <c r="AO467" i="1"/>
  <c r="AJ468" i="1"/>
  <c r="AB470" i="1"/>
  <c r="AN472" i="1"/>
  <c r="AN473" i="1" s="1"/>
  <c r="AO475" i="1"/>
  <c r="AJ476" i="1"/>
  <c r="AB471" i="1"/>
  <c r="AO472" i="1"/>
  <c r="AO473" i="1" s="1"/>
  <c r="AO474" i="1" s="1"/>
  <c r="AI35" i="4"/>
  <c r="AN468" i="1" l="1"/>
  <c r="AR4" i="1"/>
  <c r="AR6" i="1" s="1"/>
  <c r="AR13" i="1"/>
  <c r="AR10" i="1"/>
  <c r="AR11" i="1" s="1"/>
  <c r="AR7" i="1"/>
  <c r="AR8" i="1" s="1"/>
  <c r="AN476" i="1"/>
  <c r="AN474" i="1"/>
  <c r="AO476" i="1"/>
  <c r="AO468" i="1"/>
  <c r="AV474" i="1"/>
  <c r="AU474" i="1"/>
  <c r="AT474" i="1"/>
  <c r="AS474" i="1"/>
  <c r="AR474" i="1"/>
  <c r="AV471" i="1"/>
  <c r="AU471" i="1"/>
  <c r="AT471" i="1"/>
  <c r="AS471" i="1"/>
  <c r="AR471" i="1"/>
  <c r="AV468" i="1"/>
  <c r="AU468" i="1"/>
  <c r="AT468" i="1"/>
  <c r="AS468" i="1"/>
  <c r="AR468" i="1"/>
  <c r="AT475" i="1" l="1"/>
  <c r="AU475" i="1"/>
  <c r="AR14" i="1"/>
  <c r="AR12" i="1"/>
  <c r="AR9" i="1"/>
  <c r="AR475" i="1"/>
  <c r="AV475" i="1"/>
  <c r="AS475" i="1"/>
  <c r="E4" i="1"/>
  <c r="AI36" i="4" l="1"/>
  <c r="Y11" i="1"/>
  <c r="X11" i="1"/>
  <c r="X9" i="1"/>
  <c r="AP488" i="1"/>
  <c r="AM488" i="1"/>
  <c r="AL488" i="1"/>
  <c r="AK488" i="1"/>
  <c r="AJ488" i="1"/>
  <c r="AP485" i="1"/>
  <c r="AM485" i="1"/>
  <c r="AL485" i="1"/>
  <c r="AK485" i="1"/>
  <c r="AJ485" i="1"/>
  <c r="AP482" i="1"/>
  <c r="AM482" i="1"/>
  <c r="AL482" i="1"/>
  <c r="AK482" i="1"/>
  <c r="AJ482" i="1"/>
  <c r="Y12" i="1" l="1"/>
  <c r="Y14" i="1"/>
  <c r="Y8" i="1"/>
  <c r="Y9" i="1"/>
  <c r="Y6" i="1"/>
  <c r="X14" i="1"/>
  <c r="AM489" i="1"/>
  <c r="X6" i="1"/>
  <c r="AK489" i="1"/>
  <c r="X12" i="1"/>
  <c r="AL489" i="1"/>
  <c r="X8" i="1"/>
  <c r="AJ489" i="1"/>
  <c r="AP489" i="1"/>
  <c r="AI37" i="4"/>
  <c r="AP502" i="1"/>
  <c r="AM502" i="1"/>
  <c r="AL502" i="1"/>
  <c r="AK502" i="1"/>
  <c r="AJ502" i="1"/>
  <c r="AP499" i="1"/>
  <c r="AM499" i="1"/>
  <c r="AL499" i="1"/>
  <c r="AK499" i="1"/>
  <c r="AJ499" i="1"/>
  <c r="AP496" i="1"/>
  <c r="AM496" i="1"/>
  <c r="AL496" i="1"/>
  <c r="AK496" i="1"/>
  <c r="AJ496" i="1"/>
  <c r="AM503" i="1" l="1"/>
  <c r="AL503" i="1"/>
  <c r="AJ503" i="1"/>
  <c r="AP503" i="1"/>
  <c r="AK503" i="1"/>
  <c r="AI38" i="4"/>
  <c r="AP516" i="1" l="1"/>
  <c r="AM516" i="1"/>
  <c r="AL516" i="1"/>
  <c r="AK516" i="1"/>
  <c r="AJ516" i="1"/>
  <c r="AP513" i="1"/>
  <c r="AM513" i="1"/>
  <c r="AL513" i="1"/>
  <c r="AK513" i="1"/>
  <c r="AJ513" i="1"/>
  <c r="AP510" i="1"/>
  <c r="AM510" i="1"/>
  <c r="AL510" i="1"/>
  <c r="AK510" i="1"/>
  <c r="AJ510" i="1"/>
  <c r="AM517" i="1" l="1"/>
  <c r="AP517" i="1"/>
  <c r="AJ517" i="1"/>
  <c r="AK517" i="1"/>
  <c r="AL517" i="1"/>
  <c r="AI39" i="4"/>
  <c r="AP530" i="1"/>
  <c r="AM530" i="1"/>
  <c r="AL530" i="1"/>
  <c r="AK530" i="1"/>
  <c r="AJ530" i="1"/>
  <c r="AP527" i="1"/>
  <c r="AM527" i="1"/>
  <c r="AL527" i="1"/>
  <c r="AK527" i="1"/>
  <c r="AJ527" i="1"/>
  <c r="AP524" i="1"/>
  <c r="AM524" i="1"/>
  <c r="AL524" i="1"/>
  <c r="AK524" i="1"/>
  <c r="AJ524" i="1"/>
  <c r="AM531" i="1" l="1"/>
  <c r="AJ531" i="1"/>
  <c r="AP531" i="1"/>
  <c r="AL531" i="1"/>
  <c r="AK531" i="1"/>
  <c r="X529" i="1"/>
  <c r="AI40" i="4"/>
  <c r="AP544" i="1" l="1"/>
  <c r="AM544" i="1"/>
  <c r="AL544" i="1"/>
  <c r="AK544" i="1"/>
  <c r="AJ544" i="1"/>
  <c r="AP541" i="1"/>
  <c r="AM541" i="1"/>
  <c r="AL541" i="1"/>
  <c r="AK541" i="1"/>
  <c r="AJ541" i="1"/>
  <c r="AP538" i="1"/>
  <c r="AM538" i="1"/>
  <c r="AL538" i="1"/>
  <c r="AK538" i="1"/>
  <c r="AJ538" i="1"/>
  <c r="AM545" i="1" l="1"/>
  <c r="AP545" i="1"/>
  <c r="AJ545" i="1"/>
  <c r="AK545" i="1"/>
  <c r="AL545" i="1"/>
  <c r="X543" i="1"/>
  <c r="AI41" i="4"/>
  <c r="AP558" i="1"/>
  <c r="AM558" i="1"/>
  <c r="AL558" i="1"/>
  <c r="AK558" i="1"/>
  <c r="AJ558" i="1"/>
  <c r="AP555" i="1"/>
  <c r="AM555" i="1"/>
  <c r="AL555" i="1"/>
  <c r="AK555" i="1"/>
  <c r="AJ555" i="1"/>
  <c r="AP552" i="1"/>
  <c r="AM552" i="1"/>
  <c r="AL552" i="1"/>
  <c r="AK552" i="1"/>
  <c r="AJ552" i="1"/>
  <c r="AM559" i="1" l="1"/>
  <c r="AL559" i="1"/>
  <c r="AJ559" i="1"/>
  <c r="AP559" i="1"/>
  <c r="AK559" i="1"/>
  <c r="X557" i="1"/>
  <c r="AP13" i="1"/>
  <c r="L13" i="1"/>
  <c r="K13" i="1"/>
  <c r="J13" i="1"/>
  <c r="I13" i="1"/>
  <c r="H13" i="1"/>
  <c r="G13" i="1"/>
  <c r="F13" i="1"/>
  <c r="E13" i="1"/>
  <c r="AM13" i="1"/>
  <c r="AP7" i="1"/>
  <c r="L7" i="1"/>
  <c r="L10" i="1" s="1"/>
  <c r="K7" i="1"/>
  <c r="K10" i="1" s="1"/>
  <c r="J7" i="1"/>
  <c r="J10" i="1" s="1"/>
  <c r="I7" i="1"/>
  <c r="I10" i="1" s="1"/>
  <c r="H7" i="1"/>
  <c r="H10" i="1" s="1"/>
  <c r="G7" i="1"/>
  <c r="G10" i="1" s="1"/>
  <c r="F7" i="1"/>
  <c r="E7" i="1"/>
  <c r="AM7" i="1"/>
  <c r="L5" i="1"/>
  <c r="K5" i="1"/>
  <c r="J5" i="1"/>
  <c r="I5" i="1"/>
  <c r="H5" i="1"/>
  <c r="G5" i="1"/>
  <c r="F5" i="1"/>
  <c r="E5" i="1"/>
  <c r="AM5" i="1"/>
  <c r="L4" i="1"/>
  <c r="K4" i="1"/>
  <c r="J4" i="1"/>
  <c r="I4" i="1"/>
  <c r="H4" i="1"/>
  <c r="G4" i="1"/>
  <c r="F4" i="1"/>
  <c r="AM4" i="1"/>
  <c r="AN5" i="1" l="1"/>
  <c r="AO4" i="1"/>
  <c r="AO9" i="1" s="1"/>
  <c r="AO7" i="1"/>
  <c r="AO8" i="1" s="1"/>
  <c r="AO13" i="1"/>
  <c r="AO5" i="1"/>
  <c r="AN7" i="1"/>
  <c r="AN8" i="1" s="1"/>
  <c r="AN13" i="1"/>
  <c r="AL4" i="1"/>
  <c r="AL9" i="1" s="1"/>
  <c r="AJ4" i="1"/>
  <c r="AL7" i="1"/>
  <c r="AL8" i="1" s="1"/>
  <c r="AJ7" i="1"/>
  <c r="AL13" i="1"/>
  <c r="AJ13" i="1"/>
  <c r="AN4" i="1"/>
  <c r="AN9" i="1" s="1"/>
  <c r="AL5" i="1"/>
  <c r="AJ5" i="1"/>
  <c r="AP4" i="1"/>
  <c r="AP9" i="1" s="1"/>
  <c r="AP5" i="1"/>
  <c r="AP8" i="1"/>
  <c r="AQ5" i="1"/>
  <c r="AQ7" i="1"/>
  <c r="AQ8" i="1" s="1"/>
  <c r="AQ4" i="1"/>
  <c r="AQ9" i="1" s="1"/>
  <c r="AQ13" i="1"/>
  <c r="AM9" i="1"/>
  <c r="AM14" i="1"/>
  <c r="AM10" i="1"/>
  <c r="AM6" i="1"/>
  <c r="E10" i="1"/>
  <c r="AO10" i="1" s="1"/>
  <c r="AP10" i="1"/>
  <c r="F10" i="1"/>
  <c r="AI42" i="4"/>
  <c r="AI43" i="4"/>
  <c r="AN10" i="1" l="1"/>
  <c r="AN11" i="1" s="1"/>
  <c r="AN12" i="1" s="1"/>
  <c r="AJ10" i="1"/>
  <c r="AL10" i="1"/>
  <c r="AN6" i="1"/>
  <c r="AN14" i="1"/>
  <c r="AT13" i="1"/>
  <c r="AP11" i="1"/>
  <c r="AP12" i="1" s="1"/>
  <c r="AL14" i="1"/>
  <c r="AL6" i="1"/>
  <c r="AQ10" i="1"/>
  <c r="AQ11" i="1" s="1"/>
  <c r="AQ12" i="1" s="1"/>
  <c r="AP6" i="1"/>
  <c r="AO14" i="1"/>
  <c r="AO6" i="1"/>
  <c r="AT5" i="1"/>
  <c r="AT7" i="1"/>
  <c r="AT8" i="1" s="1"/>
  <c r="AQ14" i="1"/>
  <c r="AT4" i="1"/>
  <c r="AT9" i="1" s="1"/>
  <c r="AS5" i="1"/>
  <c r="AS4" i="1"/>
  <c r="AQ6" i="1"/>
  <c r="AM8" i="1"/>
  <c r="AS7" i="1"/>
  <c r="AS13" i="1"/>
  <c r="AM11" i="1"/>
  <c r="AM12" i="1" s="1"/>
  <c r="AP14" i="1"/>
  <c r="AJ14" i="1"/>
  <c r="AJ6" i="1"/>
  <c r="W14" i="1"/>
  <c r="V14" i="1"/>
  <c r="U14" i="1"/>
  <c r="T14" i="1"/>
  <c r="S14" i="1"/>
  <c r="R14" i="1"/>
  <c r="Q14" i="1"/>
  <c r="P14" i="1"/>
  <c r="O14" i="1"/>
  <c r="N14" i="1"/>
  <c r="M14" i="1"/>
  <c r="L14" i="1"/>
  <c r="K14" i="1"/>
  <c r="J14" i="1"/>
  <c r="I14" i="1"/>
  <c r="H14" i="1"/>
  <c r="G14" i="1"/>
  <c r="F14" i="1"/>
  <c r="E14" i="1"/>
  <c r="BC12" i="1"/>
  <c r="BB12" i="1"/>
  <c r="BA12" i="1"/>
  <c r="AZ12" i="1"/>
  <c r="AY12" i="1"/>
  <c r="W11" i="1"/>
  <c r="W12" i="1" s="1"/>
  <c r="V11" i="1"/>
  <c r="V12" i="1" s="1"/>
  <c r="U11" i="1"/>
  <c r="U12" i="1" s="1"/>
  <c r="T11" i="1"/>
  <c r="S11" i="1"/>
  <c r="S12" i="1" s="1"/>
  <c r="R11" i="1"/>
  <c r="R12" i="1" s="1"/>
  <c r="Q11" i="1"/>
  <c r="Q12" i="1" s="1"/>
  <c r="P11" i="1"/>
  <c r="P12" i="1" s="1"/>
  <c r="O11" i="1"/>
  <c r="O12" i="1" s="1"/>
  <c r="N11" i="1"/>
  <c r="N12" i="1" s="1"/>
  <c r="M11" i="1"/>
  <c r="M12" i="1" s="1"/>
  <c r="L11" i="1"/>
  <c r="L12" i="1" s="1"/>
  <c r="K11" i="1"/>
  <c r="K12" i="1" s="1"/>
  <c r="J11" i="1"/>
  <c r="J12" i="1" s="1"/>
  <c r="I11" i="1"/>
  <c r="H11" i="1"/>
  <c r="G11" i="1"/>
  <c r="G12" i="1" s="1"/>
  <c r="F11" i="1"/>
  <c r="F12" i="1" s="1"/>
  <c r="E11" i="1"/>
  <c r="E12" i="1" s="1"/>
  <c r="BC9" i="1"/>
  <c r="BB9" i="1"/>
  <c r="BA9" i="1"/>
  <c r="AZ9" i="1"/>
  <c r="AY9" i="1"/>
  <c r="W9" i="1"/>
  <c r="V9" i="1"/>
  <c r="U9" i="1"/>
  <c r="T9" i="1"/>
  <c r="W8" i="1"/>
  <c r="V8" i="1"/>
  <c r="U8" i="1"/>
  <c r="T8" i="1"/>
  <c r="S8" i="1"/>
  <c r="R8" i="1"/>
  <c r="Q8" i="1"/>
  <c r="P8" i="1"/>
  <c r="O8" i="1"/>
  <c r="N8" i="1"/>
  <c r="M8" i="1"/>
  <c r="L8" i="1"/>
  <c r="K8" i="1"/>
  <c r="J8" i="1"/>
  <c r="I8" i="1"/>
  <c r="H8" i="1"/>
  <c r="G8" i="1"/>
  <c r="F8" i="1"/>
  <c r="E8" i="1"/>
  <c r="BC6" i="1"/>
  <c r="BC13" i="1" s="1"/>
  <c r="BB6" i="1"/>
  <c r="BB13" i="1" s="1"/>
  <c r="BA6" i="1"/>
  <c r="BA13" i="1" s="1"/>
  <c r="AZ6" i="1"/>
  <c r="AZ13" i="1" s="1"/>
  <c r="AY6" i="1"/>
  <c r="AY13" i="1" s="1"/>
  <c r="W6" i="1"/>
  <c r="V6" i="1"/>
  <c r="U6" i="1"/>
  <c r="T6" i="1"/>
  <c r="S6" i="1"/>
  <c r="R6" i="1"/>
  <c r="Q6" i="1"/>
  <c r="P6" i="1"/>
  <c r="O6" i="1"/>
  <c r="N6" i="1"/>
  <c r="M6" i="1"/>
  <c r="L6" i="1"/>
  <c r="K6" i="1"/>
  <c r="J6" i="1"/>
  <c r="I6" i="1"/>
  <c r="H6" i="1"/>
  <c r="G6" i="1"/>
  <c r="F6" i="1"/>
  <c r="E6" i="1"/>
  <c r="AU5" i="1" l="1"/>
  <c r="AS8" i="1"/>
  <c r="AU8" i="1" s="1"/>
  <c r="AU7" i="1"/>
  <c r="AS9" i="1"/>
  <c r="AU9" i="1" s="1"/>
  <c r="AU4" i="1"/>
  <c r="AU13" i="1"/>
  <c r="AJ11" i="1"/>
  <c r="AJ12" i="1" s="1"/>
  <c r="AJ8" i="1"/>
  <c r="AJ9" i="1"/>
  <c r="AS10" i="1"/>
  <c r="AO11" i="1"/>
  <c r="AO12" i="1" s="1"/>
  <c r="I12" i="1"/>
  <c r="AT6" i="1"/>
  <c r="AT14" i="1"/>
  <c r="AL11" i="1"/>
  <c r="AL12" i="1" s="1"/>
  <c r="AT10" i="1"/>
  <c r="AT11" i="1" s="1"/>
  <c r="AT12" i="1" s="1"/>
  <c r="AS14" i="1"/>
  <c r="AS6" i="1"/>
  <c r="T12" i="1"/>
  <c r="H12" i="1"/>
  <c r="AI47" i="4"/>
  <c r="AI46" i="4"/>
  <c r="AI45" i="4"/>
  <c r="AI44" i="4"/>
  <c r="AI3" i="4"/>
  <c r="L570" i="1"/>
  <c r="M570" i="1"/>
  <c r="AU14" i="1" l="1"/>
  <c r="AU6" i="1"/>
  <c r="AS11" i="1"/>
  <c r="AU10" i="1"/>
  <c r="V570" i="1"/>
  <c r="S570" i="1"/>
  <c r="S571" i="1" s="1"/>
  <c r="S572" i="1" s="1"/>
  <c r="R570" i="1"/>
  <c r="R571" i="1" s="1"/>
  <c r="R572" i="1" s="1"/>
  <c r="Q570" i="1"/>
  <c r="Q571" i="1" s="1"/>
  <c r="Q572" i="1" s="1"/>
  <c r="P570" i="1"/>
  <c r="M571" i="1"/>
  <c r="M572" i="1" s="1"/>
  <c r="K570" i="1"/>
  <c r="K571" i="1" s="1"/>
  <c r="K572" i="1" s="1"/>
  <c r="J570" i="1"/>
  <c r="J571" i="1" s="1"/>
  <c r="J572" i="1" s="1"/>
  <c r="I570" i="1"/>
  <c r="I571" i="1" s="1"/>
  <c r="I572" i="1" s="1"/>
  <c r="G570" i="1"/>
  <c r="G571" i="1" s="1"/>
  <c r="G572" i="1" s="1"/>
  <c r="W574" i="1"/>
  <c r="V574" i="1"/>
  <c r="U574" i="1"/>
  <c r="T574" i="1"/>
  <c r="S574" i="1"/>
  <c r="R574" i="1"/>
  <c r="Q574" i="1"/>
  <c r="P574" i="1"/>
  <c r="O574" i="1"/>
  <c r="N574" i="1"/>
  <c r="M574" i="1"/>
  <c r="L574" i="1"/>
  <c r="K574" i="1"/>
  <c r="J574" i="1"/>
  <c r="I574" i="1"/>
  <c r="H574" i="1"/>
  <c r="G574" i="1"/>
  <c r="F574" i="1"/>
  <c r="E574" i="1"/>
  <c r="D574" i="1"/>
  <c r="C574" i="1"/>
  <c r="AP572" i="1"/>
  <c r="AM572" i="1"/>
  <c r="AL572" i="1"/>
  <c r="AK572" i="1"/>
  <c r="AJ572" i="1"/>
  <c r="V571" i="1"/>
  <c r="V572" i="1" s="1"/>
  <c r="W570" i="1"/>
  <c r="W571" i="1" s="1"/>
  <c r="W572" i="1" s="1"/>
  <c r="U570" i="1"/>
  <c r="U571" i="1" s="1"/>
  <c r="U572" i="1" s="1"/>
  <c r="T570" i="1"/>
  <c r="T571" i="1" s="1"/>
  <c r="T572" i="1" s="1"/>
  <c r="P571" i="1"/>
  <c r="P572" i="1" s="1"/>
  <c r="O570" i="1"/>
  <c r="O571" i="1" s="1"/>
  <c r="O572" i="1" s="1"/>
  <c r="N570" i="1"/>
  <c r="N571" i="1" s="1"/>
  <c r="N572" i="1" s="1"/>
  <c r="L571" i="1"/>
  <c r="L572" i="1" s="1"/>
  <c r="H570" i="1"/>
  <c r="H571" i="1" s="1"/>
  <c r="F570" i="1"/>
  <c r="F571" i="1" s="1"/>
  <c r="F572" i="1" s="1"/>
  <c r="E570" i="1"/>
  <c r="E571" i="1" s="1"/>
  <c r="E572" i="1" s="1"/>
  <c r="D570" i="1"/>
  <c r="D571" i="1" s="1"/>
  <c r="D572" i="1" s="1"/>
  <c r="C570" i="1"/>
  <c r="C571" i="1" s="1"/>
  <c r="C572" i="1" s="1"/>
  <c r="AP569" i="1"/>
  <c r="AM569" i="1"/>
  <c r="AL569" i="1"/>
  <c r="AK569" i="1"/>
  <c r="AJ569" i="1"/>
  <c r="W569" i="1"/>
  <c r="V569" i="1"/>
  <c r="U569" i="1"/>
  <c r="T569" i="1"/>
  <c r="W568" i="1"/>
  <c r="V568" i="1"/>
  <c r="U568" i="1"/>
  <c r="T568" i="1"/>
  <c r="S568" i="1"/>
  <c r="R568" i="1"/>
  <c r="Q568" i="1"/>
  <c r="P568" i="1"/>
  <c r="O568" i="1"/>
  <c r="N568" i="1"/>
  <c r="M568" i="1"/>
  <c r="L568" i="1"/>
  <c r="K568" i="1"/>
  <c r="J568" i="1"/>
  <c r="I568" i="1"/>
  <c r="H568" i="1"/>
  <c r="G568" i="1"/>
  <c r="F568" i="1"/>
  <c r="E568" i="1"/>
  <c r="D568" i="1"/>
  <c r="C568" i="1"/>
  <c r="AP566" i="1"/>
  <c r="AM566" i="1"/>
  <c r="AL566" i="1"/>
  <c r="AK566" i="1"/>
  <c r="AJ566" i="1"/>
  <c r="W566" i="1"/>
  <c r="V566" i="1"/>
  <c r="U566" i="1"/>
  <c r="T566" i="1"/>
  <c r="S566" i="1"/>
  <c r="R566" i="1"/>
  <c r="Q566" i="1"/>
  <c r="P566" i="1"/>
  <c r="O566" i="1"/>
  <c r="N566" i="1"/>
  <c r="M566" i="1"/>
  <c r="L566" i="1"/>
  <c r="K566" i="1"/>
  <c r="J566" i="1"/>
  <c r="I566" i="1"/>
  <c r="H566" i="1"/>
  <c r="G566" i="1"/>
  <c r="F566" i="1"/>
  <c r="E566" i="1"/>
  <c r="D566" i="1"/>
  <c r="C566" i="1"/>
  <c r="AS12" i="1" l="1"/>
  <c r="AU11" i="1"/>
  <c r="AU12" i="1" s="1"/>
  <c r="AK573" i="1"/>
  <c r="AM573" i="1"/>
  <c r="AJ573" i="1"/>
  <c r="AP573" i="1"/>
  <c r="AL573" i="1"/>
  <c r="H572" i="1"/>
  <c r="X571" i="1"/>
  <c r="W588" i="1"/>
  <c r="W584" i="1"/>
  <c r="W585" i="1" s="1"/>
  <c r="W586" i="1" s="1"/>
  <c r="W583" i="1"/>
  <c r="W582" i="1"/>
  <c r="W580" i="1"/>
  <c r="V584" i="1" l="1"/>
  <c r="S584" i="1"/>
  <c r="Q584" i="1"/>
  <c r="O584" i="1"/>
  <c r="M584" i="1"/>
  <c r="L584" i="1"/>
  <c r="L585" i="1" s="1"/>
  <c r="L586" i="1" s="1"/>
  <c r="K584" i="1"/>
  <c r="K585" i="1" s="1"/>
  <c r="K586" i="1" s="1"/>
  <c r="J584" i="1"/>
  <c r="J585" i="1" s="1"/>
  <c r="J586" i="1" s="1"/>
  <c r="I584" i="1"/>
  <c r="I585" i="1" s="1"/>
  <c r="I586" i="1" s="1"/>
  <c r="C582" i="1"/>
  <c r="D582" i="1"/>
  <c r="E582" i="1"/>
  <c r="F582" i="1"/>
  <c r="G582" i="1"/>
  <c r="H582" i="1"/>
  <c r="I582" i="1"/>
  <c r="J582" i="1"/>
  <c r="K582" i="1"/>
  <c r="L582" i="1"/>
  <c r="C599" i="1"/>
  <c r="C600" i="1" s="1"/>
  <c r="D599" i="1"/>
  <c r="E599" i="1"/>
  <c r="E600" i="1" s="1"/>
  <c r="F599" i="1"/>
  <c r="G599" i="1"/>
  <c r="H599" i="1"/>
  <c r="I599" i="1"/>
  <c r="J599" i="1"/>
  <c r="K599" i="1"/>
  <c r="L599" i="1"/>
  <c r="H584" i="1"/>
  <c r="H585" i="1" s="1"/>
  <c r="H586" i="1" s="1"/>
  <c r="C588" i="1"/>
  <c r="G584" i="1"/>
  <c r="G585" i="1" s="1"/>
  <c r="G586" i="1" s="1"/>
  <c r="F584" i="1"/>
  <c r="F585" i="1" s="1"/>
  <c r="F586" i="1" s="1"/>
  <c r="E584" i="1"/>
  <c r="E585" i="1" s="1"/>
  <c r="E586" i="1" s="1"/>
  <c r="L580" i="1"/>
  <c r="K580" i="1"/>
  <c r="J580" i="1"/>
  <c r="I580" i="1"/>
  <c r="H580" i="1"/>
  <c r="G580" i="1"/>
  <c r="F580" i="1"/>
  <c r="E580" i="1"/>
  <c r="D584" i="1"/>
  <c r="D585" i="1" s="1"/>
  <c r="D586" i="1" s="1"/>
  <c r="L588" i="1"/>
  <c r="K588" i="1"/>
  <c r="J588" i="1"/>
  <c r="I588" i="1"/>
  <c r="H588" i="1"/>
  <c r="G588" i="1"/>
  <c r="F588" i="1"/>
  <c r="C584" i="1"/>
  <c r="C585" i="1" s="1"/>
  <c r="C586" i="1" s="1"/>
  <c r="E588" i="1"/>
  <c r="E602" i="1"/>
  <c r="D588" i="1"/>
  <c r="D602" i="1"/>
  <c r="C602" i="1"/>
  <c r="D600" i="1"/>
  <c r="D580" i="1"/>
  <c r="D594" i="1"/>
  <c r="C580" i="1"/>
  <c r="C594" i="1"/>
  <c r="V588" i="1" l="1"/>
  <c r="U588" i="1"/>
  <c r="T588" i="1"/>
  <c r="S588" i="1"/>
  <c r="R588" i="1"/>
  <c r="Q588" i="1"/>
  <c r="P588" i="1"/>
  <c r="O588" i="1"/>
  <c r="N588" i="1"/>
  <c r="M588" i="1"/>
  <c r="AP586" i="1"/>
  <c r="AM586" i="1"/>
  <c r="AL586" i="1"/>
  <c r="AK586" i="1"/>
  <c r="AJ586" i="1"/>
  <c r="X585" i="1"/>
  <c r="V585" i="1"/>
  <c r="V586" i="1" s="1"/>
  <c r="S585" i="1"/>
  <c r="S586" i="1" s="1"/>
  <c r="O585" i="1"/>
  <c r="O586" i="1" s="1"/>
  <c r="U584" i="1"/>
  <c r="U585" i="1" s="1"/>
  <c r="U586" i="1" s="1"/>
  <c r="T584" i="1"/>
  <c r="T585" i="1" s="1"/>
  <c r="T586" i="1" s="1"/>
  <c r="R584" i="1"/>
  <c r="R585" i="1" s="1"/>
  <c r="R586" i="1" s="1"/>
  <c r="Q585" i="1"/>
  <c r="Q586" i="1" s="1"/>
  <c r="P584" i="1"/>
  <c r="P585" i="1" s="1"/>
  <c r="P586" i="1" s="1"/>
  <c r="N584" i="1"/>
  <c r="N585" i="1" s="1"/>
  <c r="N586" i="1" s="1"/>
  <c r="M585" i="1"/>
  <c r="M586" i="1" s="1"/>
  <c r="AP583" i="1"/>
  <c r="AM583" i="1"/>
  <c r="AL583" i="1"/>
  <c r="AK583" i="1"/>
  <c r="AJ583" i="1"/>
  <c r="V583" i="1"/>
  <c r="U583" i="1"/>
  <c r="T583" i="1"/>
  <c r="V582" i="1"/>
  <c r="U582" i="1"/>
  <c r="T582" i="1"/>
  <c r="S582" i="1"/>
  <c r="R582" i="1"/>
  <c r="Q582" i="1"/>
  <c r="P582" i="1"/>
  <c r="O582" i="1"/>
  <c r="N582" i="1"/>
  <c r="M582" i="1"/>
  <c r="AP580" i="1"/>
  <c r="AM580" i="1"/>
  <c r="AL580" i="1"/>
  <c r="AK580" i="1"/>
  <c r="AJ580" i="1"/>
  <c r="V580" i="1"/>
  <c r="U580" i="1"/>
  <c r="T580" i="1"/>
  <c r="S580" i="1"/>
  <c r="R580" i="1"/>
  <c r="Q580" i="1"/>
  <c r="P580" i="1"/>
  <c r="O580" i="1"/>
  <c r="N580" i="1"/>
  <c r="M580" i="1"/>
  <c r="AP587" i="1" l="1"/>
  <c r="AL587" i="1"/>
  <c r="AM587" i="1"/>
  <c r="AJ587" i="1"/>
  <c r="AK587" i="1"/>
  <c r="V598" i="1"/>
  <c r="V599" i="1" s="1"/>
  <c r="V600" i="1" s="1"/>
  <c r="S598" i="1"/>
  <c r="S599" i="1" s="1"/>
  <c r="S600" i="1" s="1"/>
  <c r="R598" i="1"/>
  <c r="R599" i="1" s="1"/>
  <c r="R600" i="1" s="1"/>
  <c r="Q598" i="1"/>
  <c r="Q599" i="1" s="1"/>
  <c r="Q600" i="1" s="1"/>
  <c r="P598" i="1"/>
  <c r="P599" i="1" s="1"/>
  <c r="P600" i="1" s="1"/>
  <c r="M598" i="1"/>
  <c r="V602" i="1"/>
  <c r="U602" i="1"/>
  <c r="T602" i="1"/>
  <c r="S602" i="1"/>
  <c r="R602" i="1"/>
  <c r="Q602" i="1"/>
  <c r="P602" i="1"/>
  <c r="O602" i="1"/>
  <c r="N602" i="1"/>
  <c r="M602" i="1"/>
  <c r="AM600" i="1"/>
  <c r="AL600" i="1"/>
  <c r="AK600" i="1"/>
  <c r="AJ600" i="1"/>
  <c r="AC600" i="1"/>
  <c r="U598" i="1"/>
  <c r="U599" i="1" s="1"/>
  <c r="U600" i="1" s="1"/>
  <c r="T598" i="1"/>
  <c r="T599" i="1" s="1"/>
  <c r="T600" i="1" s="1"/>
  <c r="O598" i="1"/>
  <c r="O599" i="1" s="1"/>
  <c r="O600" i="1" s="1"/>
  <c r="N598" i="1"/>
  <c r="N599" i="1" s="1"/>
  <c r="N600" i="1" s="1"/>
  <c r="M599" i="1"/>
  <c r="M600" i="1" s="1"/>
  <c r="AM597" i="1"/>
  <c r="AL597" i="1"/>
  <c r="AK597" i="1"/>
  <c r="AJ597" i="1"/>
  <c r="AC597" i="1"/>
  <c r="V597" i="1"/>
  <c r="U597" i="1"/>
  <c r="T597" i="1"/>
  <c r="V596" i="1"/>
  <c r="U596" i="1"/>
  <c r="T596" i="1"/>
  <c r="S596" i="1"/>
  <c r="R596" i="1"/>
  <c r="Q596" i="1"/>
  <c r="P596" i="1"/>
  <c r="O596" i="1"/>
  <c r="N596" i="1"/>
  <c r="M596" i="1"/>
  <c r="AM594" i="1"/>
  <c r="AL594" i="1"/>
  <c r="AL601" i="1" s="1"/>
  <c r="AK594" i="1"/>
  <c r="AJ594" i="1"/>
  <c r="AC594" i="1"/>
  <c r="V594" i="1"/>
  <c r="U594" i="1"/>
  <c r="T594" i="1"/>
  <c r="S594" i="1"/>
  <c r="R594" i="1"/>
  <c r="Q594" i="1"/>
  <c r="P594" i="1"/>
  <c r="O594" i="1"/>
  <c r="N594" i="1"/>
  <c r="M594" i="1"/>
  <c r="AC601" i="1" l="1"/>
  <c r="AM601" i="1"/>
  <c r="AJ601" i="1"/>
  <c r="AK601" i="1"/>
  <c r="W599" i="1"/>
  <c r="S612" i="1"/>
  <c r="R612" i="1"/>
  <c r="P612" i="1"/>
  <c r="P613" i="1" s="1"/>
  <c r="P614" i="1" s="1"/>
  <c r="L612" i="1"/>
  <c r="L613" i="1" s="1"/>
  <c r="L614" i="1" s="1"/>
  <c r="K612" i="1"/>
  <c r="K613" i="1" s="1"/>
  <c r="K614" i="1" s="1"/>
  <c r="I612" i="1"/>
  <c r="I613" i="1" s="1"/>
  <c r="I614" i="1" s="1"/>
  <c r="E612" i="1"/>
  <c r="E613" i="1" s="1"/>
  <c r="E614" i="1" s="1"/>
  <c r="D612" i="1"/>
  <c r="D613" i="1" s="1"/>
  <c r="D614" i="1" s="1"/>
  <c r="V616" i="1"/>
  <c r="U616" i="1"/>
  <c r="T616" i="1"/>
  <c r="S616" i="1"/>
  <c r="R616" i="1"/>
  <c r="Q616" i="1"/>
  <c r="P616" i="1"/>
  <c r="O616" i="1"/>
  <c r="N616" i="1"/>
  <c r="M616" i="1"/>
  <c r="L616" i="1"/>
  <c r="K616" i="1"/>
  <c r="J616" i="1"/>
  <c r="I616" i="1"/>
  <c r="H616" i="1"/>
  <c r="G616" i="1"/>
  <c r="F616" i="1"/>
  <c r="E616" i="1"/>
  <c r="D616" i="1"/>
  <c r="C616" i="1"/>
  <c r="AM614" i="1"/>
  <c r="AL614" i="1"/>
  <c r="AK614" i="1"/>
  <c r="AJ614" i="1"/>
  <c r="AC614" i="1"/>
  <c r="V612" i="1"/>
  <c r="V613" i="1" s="1"/>
  <c r="V614" i="1" s="1"/>
  <c r="U612" i="1"/>
  <c r="U613" i="1" s="1"/>
  <c r="U614" i="1" s="1"/>
  <c r="T612" i="1"/>
  <c r="T613" i="1" s="1"/>
  <c r="T614" i="1" s="1"/>
  <c r="S613" i="1"/>
  <c r="S614" i="1" s="1"/>
  <c r="R613" i="1"/>
  <c r="R614" i="1" s="1"/>
  <c r="Q612" i="1"/>
  <c r="Q613" i="1" s="1"/>
  <c r="Q614" i="1" s="1"/>
  <c r="O612" i="1"/>
  <c r="O613" i="1" s="1"/>
  <c r="O614" i="1" s="1"/>
  <c r="N612" i="1"/>
  <c r="N613" i="1" s="1"/>
  <c r="N614" i="1" s="1"/>
  <c r="M612" i="1"/>
  <c r="M613" i="1" s="1"/>
  <c r="M614" i="1" s="1"/>
  <c r="J612" i="1"/>
  <c r="J613" i="1" s="1"/>
  <c r="J614" i="1" s="1"/>
  <c r="H612" i="1"/>
  <c r="H613" i="1" s="1"/>
  <c r="G612" i="1"/>
  <c r="G613" i="1" s="1"/>
  <c r="G614" i="1" s="1"/>
  <c r="F612" i="1"/>
  <c r="F613" i="1" s="1"/>
  <c r="F614" i="1" s="1"/>
  <c r="C612" i="1"/>
  <c r="C613" i="1" s="1"/>
  <c r="C614" i="1" s="1"/>
  <c r="AM611" i="1"/>
  <c r="AL611" i="1"/>
  <c r="AK611" i="1"/>
  <c r="AJ611" i="1"/>
  <c r="AC611" i="1"/>
  <c r="V611" i="1"/>
  <c r="U611" i="1"/>
  <c r="T611" i="1"/>
  <c r="V610" i="1"/>
  <c r="U610" i="1"/>
  <c r="T610" i="1"/>
  <c r="S610" i="1"/>
  <c r="R610" i="1"/>
  <c r="Q610" i="1"/>
  <c r="P610" i="1"/>
  <c r="O610" i="1"/>
  <c r="N610" i="1"/>
  <c r="M610" i="1"/>
  <c r="L610" i="1"/>
  <c r="K610" i="1"/>
  <c r="J610" i="1"/>
  <c r="I610" i="1"/>
  <c r="H610" i="1"/>
  <c r="G610" i="1"/>
  <c r="F610" i="1"/>
  <c r="E610" i="1"/>
  <c r="D610" i="1"/>
  <c r="C610" i="1"/>
  <c r="AM608" i="1"/>
  <c r="AL608" i="1"/>
  <c r="AK608" i="1"/>
  <c r="AJ608" i="1"/>
  <c r="AC608" i="1"/>
  <c r="V608" i="1"/>
  <c r="U608" i="1"/>
  <c r="T608" i="1"/>
  <c r="S608" i="1"/>
  <c r="R608" i="1"/>
  <c r="Q608" i="1"/>
  <c r="P608" i="1"/>
  <c r="O608" i="1"/>
  <c r="N608" i="1"/>
  <c r="M608" i="1"/>
  <c r="L608" i="1"/>
  <c r="K608" i="1"/>
  <c r="J608" i="1"/>
  <c r="I608" i="1"/>
  <c r="H608" i="1"/>
  <c r="G608" i="1"/>
  <c r="F608" i="1"/>
  <c r="E608" i="1"/>
  <c r="D608" i="1"/>
  <c r="C608" i="1"/>
  <c r="AJ615" i="1" l="1"/>
  <c r="AK615" i="1"/>
  <c r="AL615" i="1"/>
  <c r="AC615" i="1"/>
  <c r="AM615" i="1"/>
  <c r="W613" i="1"/>
  <c r="H614" i="1"/>
  <c r="S626" i="1"/>
  <c r="R626" i="1"/>
  <c r="Q626" i="1"/>
  <c r="P626" i="1"/>
  <c r="O626" i="1"/>
  <c r="N626" i="1"/>
  <c r="M626" i="1"/>
  <c r="L626" i="1"/>
  <c r="K626" i="1"/>
  <c r="J626" i="1"/>
  <c r="I626" i="1"/>
  <c r="F626" i="1"/>
  <c r="C626" i="1" l="1"/>
  <c r="C627" i="1" s="1"/>
  <c r="C628" i="1" s="1"/>
  <c r="V630" i="1"/>
  <c r="U630" i="1"/>
  <c r="T630" i="1"/>
  <c r="S630" i="1"/>
  <c r="R630" i="1"/>
  <c r="Q630" i="1"/>
  <c r="P630" i="1"/>
  <c r="O630" i="1"/>
  <c r="N630" i="1"/>
  <c r="M630" i="1"/>
  <c r="L630" i="1"/>
  <c r="K630" i="1"/>
  <c r="J630" i="1"/>
  <c r="I630" i="1"/>
  <c r="H630" i="1"/>
  <c r="G630" i="1"/>
  <c r="F630" i="1"/>
  <c r="E630" i="1"/>
  <c r="D630" i="1"/>
  <c r="C630" i="1"/>
  <c r="AM628" i="1"/>
  <c r="AL628" i="1"/>
  <c r="AK628" i="1"/>
  <c r="AJ628" i="1"/>
  <c r="AC628" i="1"/>
  <c r="V626" i="1"/>
  <c r="V627" i="1" s="1"/>
  <c r="V628" i="1" s="1"/>
  <c r="U626" i="1"/>
  <c r="U627" i="1" s="1"/>
  <c r="U628" i="1" s="1"/>
  <c r="T626" i="1"/>
  <c r="T627" i="1" s="1"/>
  <c r="T628" i="1" s="1"/>
  <c r="S627" i="1"/>
  <c r="S628" i="1" s="1"/>
  <c r="R627" i="1"/>
  <c r="R628" i="1" s="1"/>
  <c r="Q627" i="1"/>
  <c r="Q628" i="1" s="1"/>
  <c r="P627" i="1"/>
  <c r="P628" i="1" s="1"/>
  <c r="O627" i="1"/>
  <c r="O628" i="1" s="1"/>
  <c r="N627" i="1"/>
  <c r="N628" i="1" s="1"/>
  <c r="M627" i="1"/>
  <c r="M628" i="1" s="1"/>
  <c r="L627" i="1"/>
  <c r="L628" i="1" s="1"/>
  <c r="K627" i="1"/>
  <c r="K628" i="1" s="1"/>
  <c r="J627" i="1"/>
  <c r="J628" i="1" s="1"/>
  <c r="I627" i="1"/>
  <c r="I628" i="1" s="1"/>
  <c r="H626" i="1"/>
  <c r="H627" i="1" s="1"/>
  <c r="G626" i="1"/>
  <c r="G627" i="1" s="1"/>
  <c r="G628" i="1" s="1"/>
  <c r="F627" i="1"/>
  <c r="F628" i="1" s="1"/>
  <c r="E626" i="1"/>
  <c r="E627" i="1" s="1"/>
  <c r="E628" i="1" s="1"/>
  <c r="D626" i="1"/>
  <c r="D627" i="1" s="1"/>
  <c r="D628" i="1" s="1"/>
  <c r="AM625" i="1"/>
  <c r="AL625" i="1"/>
  <c r="AK625" i="1"/>
  <c r="AJ625" i="1"/>
  <c r="AC625" i="1"/>
  <c r="V625" i="1"/>
  <c r="U625" i="1"/>
  <c r="T625" i="1"/>
  <c r="V624" i="1"/>
  <c r="U624" i="1"/>
  <c r="T624" i="1"/>
  <c r="S624" i="1"/>
  <c r="R624" i="1"/>
  <c r="Q624" i="1"/>
  <c r="P624" i="1"/>
  <c r="O624" i="1"/>
  <c r="N624" i="1"/>
  <c r="M624" i="1"/>
  <c r="L624" i="1"/>
  <c r="K624" i="1"/>
  <c r="J624" i="1"/>
  <c r="I624" i="1"/>
  <c r="H624" i="1"/>
  <c r="G624" i="1"/>
  <c r="F624" i="1"/>
  <c r="E624" i="1"/>
  <c r="D624" i="1"/>
  <c r="C624" i="1"/>
  <c r="AM622" i="1"/>
  <c r="AM629" i="1" s="1"/>
  <c r="AL622" i="1"/>
  <c r="AL629" i="1" s="1"/>
  <c r="AK622" i="1"/>
  <c r="AK629" i="1" s="1"/>
  <c r="AJ622" i="1"/>
  <c r="AJ629" i="1" s="1"/>
  <c r="AC622" i="1"/>
  <c r="AC629" i="1" s="1"/>
  <c r="V622" i="1"/>
  <c r="U622" i="1"/>
  <c r="T622" i="1"/>
  <c r="S622" i="1"/>
  <c r="R622" i="1"/>
  <c r="Q622" i="1"/>
  <c r="P622" i="1"/>
  <c r="O622" i="1"/>
  <c r="N622" i="1"/>
  <c r="M622" i="1"/>
  <c r="L622" i="1"/>
  <c r="K622" i="1"/>
  <c r="J622" i="1"/>
  <c r="I622" i="1"/>
  <c r="H622" i="1"/>
  <c r="G622" i="1"/>
  <c r="F622" i="1"/>
  <c r="E622" i="1"/>
  <c r="D622" i="1"/>
  <c r="C622" i="1"/>
  <c r="H628" i="1" l="1"/>
  <c r="W627" i="1"/>
  <c r="U640" i="1"/>
  <c r="V640" i="1" l="1"/>
  <c r="V641" i="1" s="1"/>
  <c r="V642" i="1" s="1"/>
  <c r="V644" i="1"/>
  <c r="V639" i="1"/>
  <c r="V638" i="1"/>
  <c r="V636" i="1"/>
  <c r="S640" i="1"/>
  <c r="R640" i="1"/>
  <c r="Q640" i="1"/>
  <c r="L640" i="1"/>
  <c r="K640" i="1"/>
  <c r="J640" i="1"/>
  <c r="U644" i="1" l="1"/>
  <c r="T644" i="1"/>
  <c r="S644" i="1"/>
  <c r="R644" i="1"/>
  <c r="Q644" i="1"/>
  <c r="P644" i="1"/>
  <c r="O644" i="1"/>
  <c r="N644" i="1"/>
  <c r="M644" i="1"/>
  <c r="L644" i="1"/>
  <c r="K644" i="1"/>
  <c r="J644" i="1"/>
  <c r="I644" i="1"/>
  <c r="H644" i="1"/>
  <c r="G644" i="1"/>
  <c r="F644" i="1"/>
  <c r="E644" i="1"/>
  <c r="D644" i="1"/>
  <c r="C644" i="1"/>
  <c r="AM642" i="1"/>
  <c r="AL642" i="1"/>
  <c r="AK642" i="1"/>
  <c r="AJ642" i="1"/>
  <c r="AC642" i="1"/>
  <c r="U641" i="1"/>
  <c r="U642" i="1" s="1"/>
  <c r="S641" i="1"/>
  <c r="S642" i="1" s="1"/>
  <c r="Q641" i="1"/>
  <c r="Q642" i="1" s="1"/>
  <c r="K641" i="1"/>
  <c r="K642" i="1" s="1"/>
  <c r="T640" i="1"/>
  <c r="T641" i="1" s="1"/>
  <c r="T642" i="1" s="1"/>
  <c r="R641" i="1"/>
  <c r="R642" i="1" s="1"/>
  <c r="P640" i="1"/>
  <c r="P641" i="1" s="1"/>
  <c r="P642" i="1" s="1"/>
  <c r="O640" i="1"/>
  <c r="O641" i="1" s="1"/>
  <c r="O642" i="1" s="1"/>
  <c r="N640" i="1"/>
  <c r="N641" i="1" s="1"/>
  <c r="N642" i="1" s="1"/>
  <c r="M640" i="1"/>
  <c r="M641" i="1" s="1"/>
  <c r="M642" i="1" s="1"/>
  <c r="L641" i="1"/>
  <c r="L642" i="1" s="1"/>
  <c r="J641" i="1"/>
  <c r="J642" i="1" s="1"/>
  <c r="I640" i="1"/>
  <c r="I641" i="1" s="1"/>
  <c r="I642" i="1" s="1"/>
  <c r="H640" i="1"/>
  <c r="H641" i="1" s="1"/>
  <c r="G640" i="1"/>
  <c r="G641" i="1" s="1"/>
  <c r="G642" i="1" s="1"/>
  <c r="F640" i="1"/>
  <c r="F641" i="1" s="1"/>
  <c r="F642" i="1" s="1"/>
  <c r="E640" i="1"/>
  <c r="E641" i="1" s="1"/>
  <c r="E642" i="1" s="1"/>
  <c r="D640" i="1"/>
  <c r="D641" i="1" s="1"/>
  <c r="D642" i="1" s="1"/>
  <c r="C640" i="1"/>
  <c r="C641" i="1" s="1"/>
  <c r="C642" i="1" s="1"/>
  <c r="AM639" i="1"/>
  <c r="AL639" i="1"/>
  <c r="AK639" i="1"/>
  <c r="AJ639" i="1"/>
  <c r="AC639" i="1"/>
  <c r="U639" i="1"/>
  <c r="T639" i="1"/>
  <c r="U638" i="1"/>
  <c r="T638" i="1"/>
  <c r="S638" i="1"/>
  <c r="R638" i="1"/>
  <c r="Q638" i="1"/>
  <c r="P638" i="1"/>
  <c r="O638" i="1"/>
  <c r="N638" i="1"/>
  <c r="M638" i="1"/>
  <c r="L638" i="1"/>
  <c r="K638" i="1"/>
  <c r="J638" i="1"/>
  <c r="I638" i="1"/>
  <c r="H638" i="1"/>
  <c r="G638" i="1"/>
  <c r="F638" i="1"/>
  <c r="E638" i="1"/>
  <c r="D638" i="1"/>
  <c r="C638" i="1"/>
  <c r="AM636" i="1"/>
  <c r="AL636" i="1"/>
  <c r="AK636" i="1"/>
  <c r="AJ636" i="1"/>
  <c r="AC636" i="1"/>
  <c r="U636" i="1"/>
  <c r="T636" i="1"/>
  <c r="S636" i="1"/>
  <c r="R636" i="1"/>
  <c r="Q636" i="1"/>
  <c r="P636" i="1"/>
  <c r="O636" i="1"/>
  <c r="N636" i="1"/>
  <c r="M636" i="1"/>
  <c r="L636" i="1"/>
  <c r="K636" i="1"/>
  <c r="J636" i="1"/>
  <c r="I636" i="1"/>
  <c r="H636" i="1"/>
  <c r="G636" i="1"/>
  <c r="F636" i="1"/>
  <c r="E636" i="1"/>
  <c r="D636" i="1"/>
  <c r="C636" i="1"/>
  <c r="AL643" i="1" l="1"/>
  <c r="AC643" i="1"/>
  <c r="AM643" i="1"/>
  <c r="AK643" i="1"/>
  <c r="AJ643" i="1"/>
  <c r="W641" i="1"/>
  <c r="H642" i="1"/>
  <c r="U654" i="1" l="1"/>
  <c r="U655" i="1" s="1"/>
  <c r="U656" i="1" s="1"/>
  <c r="T654" i="1"/>
  <c r="T655" i="1" s="1"/>
  <c r="T656" i="1" s="1"/>
  <c r="D654" i="1"/>
  <c r="D655" i="1" s="1"/>
  <c r="D656" i="1" s="1"/>
  <c r="C654" i="1"/>
  <c r="C655" i="1" s="1"/>
  <c r="C656" i="1" s="1"/>
  <c r="S654" i="1"/>
  <c r="S655" i="1" s="1"/>
  <c r="S656" i="1" s="1"/>
  <c r="R654" i="1"/>
  <c r="R655" i="1" s="1"/>
  <c r="R656" i="1" s="1"/>
  <c r="Q654" i="1"/>
  <c r="Q655" i="1" s="1"/>
  <c r="Q656" i="1" s="1"/>
  <c r="L654" i="1"/>
  <c r="L655" i="1" s="1"/>
  <c r="L656" i="1" s="1"/>
  <c r="K654" i="1"/>
  <c r="K655" i="1" s="1"/>
  <c r="K656" i="1" s="1"/>
  <c r="J654" i="1"/>
  <c r="J655" i="1" s="1"/>
  <c r="J656" i="1" s="1"/>
  <c r="E654" i="1"/>
  <c r="E655" i="1" s="1"/>
  <c r="E656" i="1" s="1"/>
  <c r="U658" i="1"/>
  <c r="T658" i="1"/>
  <c r="R658" i="1"/>
  <c r="Q658" i="1"/>
  <c r="P658" i="1"/>
  <c r="O658" i="1"/>
  <c r="M658" i="1"/>
  <c r="L658" i="1"/>
  <c r="K658" i="1"/>
  <c r="J658" i="1"/>
  <c r="I658" i="1"/>
  <c r="G658" i="1"/>
  <c r="F658" i="1"/>
  <c r="E658" i="1"/>
  <c r="D658" i="1"/>
  <c r="AM656" i="1"/>
  <c r="AL656" i="1"/>
  <c r="AK656" i="1"/>
  <c r="AJ656" i="1"/>
  <c r="AC656" i="1"/>
  <c r="P654" i="1"/>
  <c r="P655" i="1" s="1"/>
  <c r="P656" i="1" s="1"/>
  <c r="O654" i="1"/>
  <c r="O655" i="1" s="1"/>
  <c r="O656" i="1" s="1"/>
  <c r="N654" i="1"/>
  <c r="N655" i="1" s="1"/>
  <c r="N656" i="1" s="1"/>
  <c r="M654" i="1"/>
  <c r="M655" i="1" s="1"/>
  <c r="M656" i="1" s="1"/>
  <c r="I654" i="1"/>
  <c r="I655" i="1" s="1"/>
  <c r="I656" i="1" s="1"/>
  <c r="H654" i="1"/>
  <c r="H655" i="1" s="1"/>
  <c r="G654" i="1"/>
  <c r="G655" i="1" s="1"/>
  <c r="G656" i="1" s="1"/>
  <c r="F654" i="1"/>
  <c r="F655" i="1" s="1"/>
  <c r="F656" i="1" s="1"/>
  <c r="AM653" i="1"/>
  <c r="AL653" i="1"/>
  <c r="AK653" i="1"/>
  <c r="AJ653" i="1"/>
  <c r="AC653" i="1"/>
  <c r="U653" i="1"/>
  <c r="T653" i="1"/>
  <c r="U652" i="1"/>
  <c r="T652" i="1"/>
  <c r="S652" i="1"/>
  <c r="R652" i="1"/>
  <c r="Q652" i="1"/>
  <c r="P652" i="1"/>
  <c r="O652" i="1"/>
  <c r="N652" i="1"/>
  <c r="M652" i="1"/>
  <c r="L652" i="1"/>
  <c r="K652" i="1"/>
  <c r="J652" i="1"/>
  <c r="I652" i="1"/>
  <c r="H652" i="1"/>
  <c r="G652" i="1"/>
  <c r="F652" i="1"/>
  <c r="E652" i="1"/>
  <c r="D652" i="1"/>
  <c r="C652" i="1"/>
  <c r="AM650" i="1"/>
  <c r="AL650" i="1"/>
  <c r="AK650" i="1"/>
  <c r="AJ650" i="1"/>
  <c r="AC650" i="1"/>
  <c r="U650" i="1"/>
  <c r="T650" i="1"/>
  <c r="R650" i="1"/>
  <c r="Q650" i="1"/>
  <c r="P650" i="1"/>
  <c r="O650" i="1"/>
  <c r="M650" i="1"/>
  <c r="K650" i="1"/>
  <c r="J650" i="1"/>
  <c r="I650" i="1"/>
  <c r="G650" i="1"/>
  <c r="F650" i="1"/>
  <c r="E650" i="1"/>
  <c r="D650" i="1"/>
  <c r="S650" i="1"/>
  <c r="L650" i="1"/>
  <c r="C650" i="1"/>
  <c r="S658" i="1"/>
  <c r="N650" i="1"/>
  <c r="H658" i="1"/>
  <c r="C658" i="1"/>
  <c r="C662" i="1"/>
  <c r="H676" i="1"/>
  <c r="H662" i="1"/>
  <c r="AJ657" i="1" l="1"/>
  <c r="AK657" i="1"/>
  <c r="AL657" i="1"/>
  <c r="AC657" i="1"/>
  <c r="AM657" i="1"/>
  <c r="V655" i="1"/>
  <c r="H656" i="1"/>
  <c r="H650" i="1"/>
  <c r="N658" i="1"/>
  <c r="E704" i="1"/>
  <c r="D672" i="1"/>
  <c r="E672" i="1"/>
  <c r="F672" i="1"/>
  <c r="G672" i="1"/>
  <c r="I672" i="1"/>
  <c r="J672" i="1"/>
  <c r="K672" i="1"/>
  <c r="M672" i="1"/>
  <c r="O672" i="1"/>
  <c r="P672" i="1"/>
  <c r="Q672" i="1"/>
  <c r="R672" i="1"/>
  <c r="T672" i="1"/>
  <c r="U672" i="1"/>
  <c r="C4" i="12"/>
  <c r="C14" i="12" s="1"/>
  <c r="H4" i="12"/>
  <c r="L4" i="12"/>
  <c r="N4" i="12"/>
  <c r="N14" i="12" s="1"/>
  <c r="S4" i="12"/>
  <c r="C5" i="12"/>
  <c r="H5" i="12"/>
  <c r="L5" i="12"/>
  <c r="N5" i="12"/>
  <c r="S5" i="12"/>
  <c r="D6" i="12"/>
  <c r="E6" i="12"/>
  <c r="F6" i="12"/>
  <c r="G6" i="12"/>
  <c r="I6" i="12"/>
  <c r="J6" i="12"/>
  <c r="K6" i="12"/>
  <c r="M6" i="12"/>
  <c r="O6" i="12"/>
  <c r="P6" i="12"/>
  <c r="Q6" i="12"/>
  <c r="R6" i="12"/>
  <c r="T6" i="12"/>
  <c r="U6" i="12"/>
  <c r="AC6" i="12"/>
  <c r="AD6" i="12"/>
  <c r="AE6" i="12"/>
  <c r="AF6" i="12"/>
  <c r="AG6" i="12"/>
  <c r="C8" i="12"/>
  <c r="D8" i="12"/>
  <c r="E8" i="12"/>
  <c r="F8" i="12"/>
  <c r="G8" i="12"/>
  <c r="H8" i="12"/>
  <c r="I8" i="12"/>
  <c r="J8" i="12"/>
  <c r="K8" i="12"/>
  <c r="L8" i="12"/>
  <c r="M8" i="12"/>
  <c r="N8" i="12"/>
  <c r="O8" i="12"/>
  <c r="P8" i="12"/>
  <c r="Q8" i="12"/>
  <c r="R8" i="12"/>
  <c r="S8" i="12"/>
  <c r="T8" i="12"/>
  <c r="U8" i="12"/>
  <c r="T9" i="12"/>
  <c r="U9" i="12"/>
  <c r="AC9" i="12"/>
  <c r="AD9" i="12"/>
  <c r="AE9" i="12"/>
  <c r="AF9" i="12"/>
  <c r="AG9" i="12"/>
  <c r="C10" i="12"/>
  <c r="C11" i="12" s="1"/>
  <c r="D10" i="12"/>
  <c r="D11" i="12" s="1"/>
  <c r="D12" i="12" s="1"/>
  <c r="E10" i="12"/>
  <c r="E11" i="12" s="1"/>
  <c r="E12" i="12" s="1"/>
  <c r="F10" i="12"/>
  <c r="F11" i="12" s="1"/>
  <c r="F12" i="12" s="1"/>
  <c r="G10" i="12"/>
  <c r="G11" i="12" s="1"/>
  <c r="G12" i="12" s="1"/>
  <c r="H10" i="12"/>
  <c r="H11" i="12" s="1"/>
  <c r="V11" i="12" s="1"/>
  <c r="I10" i="12"/>
  <c r="I11" i="12" s="1"/>
  <c r="I12" i="12" s="1"/>
  <c r="J10" i="12"/>
  <c r="J11" i="12" s="1"/>
  <c r="J12" i="12" s="1"/>
  <c r="K10" i="12"/>
  <c r="K11" i="12" s="1"/>
  <c r="K12" i="12" s="1"/>
  <c r="L10" i="12"/>
  <c r="L11" i="12" s="1"/>
  <c r="M10" i="12"/>
  <c r="M11" i="12" s="1"/>
  <c r="M12" i="12" s="1"/>
  <c r="N10" i="12"/>
  <c r="N11" i="12" s="1"/>
  <c r="O10" i="12"/>
  <c r="O11" i="12" s="1"/>
  <c r="O12" i="12" s="1"/>
  <c r="P10" i="12"/>
  <c r="P11" i="12" s="1"/>
  <c r="P12" i="12" s="1"/>
  <c r="Q10" i="12"/>
  <c r="Q11" i="12" s="1"/>
  <c r="Q12" i="12" s="1"/>
  <c r="R10" i="12"/>
  <c r="R11" i="12" s="1"/>
  <c r="R12" i="12" s="1"/>
  <c r="S10" i="12"/>
  <c r="S11" i="12" s="1"/>
  <c r="T10" i="12"/>
  <c r="T11" i="12" s="1"/>
  <c r="T12" i="12" s="1"/>
  <c r="U10" i="12"/>
  <c r="U11" i="12" s="1"/>
  <c r="U12" i="12" s="1"/>
  <c r="AC12" i="12"/>
  <c r="AD12" i="12"/>
  <c r="AE12" i="12"/>
  <c r="AF12" i="12"/>
  <c r="AG12" i="12"/>
  <c r="D14" i="12"/>
  <c r="E14" i="12"/>
  <c r="F14" i="12"/>
  <c r="G14" i="12"/>
  <c r="H14" i="12"/>
  <c r="I14" i="12"/>
  <c r="J14" i="12"/>
  <c r="K14" i="12"/>
  <c r="M14" i="12"/>
  <c r="O14" i="12"/>
  <c r="P14" i="12"/>
  <c r="Q14" i="12"/>
  <c r="R14" i="12"/>
  <c r="T14" i="12"/>
  <c r="U14" i="12"/>
  <c r="Q668" i="1"/>
  <c r="P668" i="1"/>
  <c r="J668" i="1"/>
  <c r="H672" i="1"/>
  <c r="I668" i="1"/>
  <c r="C12" i="12" l="1"/>
  <c r="H6" i="12"/>
  <c r="N12" i="12"/>
  <c r="AF13" i="12"/>
  <c r="S6" i="12"/>
  <c r="C6" i="12"/>
  <c r="S14" i="12"/>
  <c r="S12" i="12"/>
  <c r="AG13" i="12"/>
  <c r="AC13" i="12"/>
  <c r="L6" i="12"/>
  <c r="H12" i="12"/>
  <c r="N6" i="12"/>
  <c r="L12" i="12"/>
  <c r="AE13" i="12"/>
  <c r="AD13" i="12"/>
  <c r="L14" i="12"/>
  <c r="K668" i="1" l="1"/>
  <c r="AM670" i="1" l="1"/>
  <c r="AL670" i="1"/>
  <c r="AK670" i="1"/>
  <c r="AJ670" i="1"/>
  <c r="AC670" i="1"/>
  <c r="K669" i="1"/>
  <c r="K670" i="1" s="1"/>
  <c r="J669" i="1"/>
  <c r="J670" i="1" s="1"/>
  <c r="U668" i="1"/>
  <c r="U669" i="1" s="1"/>
  <c r="U670" i="1" s="1"/>
  <c r="T668" i="1"/>
  <c r="T669" i="1" s="1"/>
  <c r="T670" i="1" s="1"/>
  <c r="S668" i="1"/>
  <c r="S669" i="1" s="1"/>
  <c r="R668" i="1"/>
  <c r="R669" i="1" s="1"/>
  <c r="R670" i="1" s="1"/>
  <c r="Q669" i="1"/>
  <c r="Q670" i="1" s="1"/>
  <c r="P669" i="1"/>
  <c r="P670" i="1" s="1"/>
  <c r="O668" i="1"/>
  <c r="O669" i="1" s="1"/>
  <c r="O670" i="1" s="1"/>
  <c r="N668" i="1"/>
  <c r="N669" i="1" s="1"/>
  <c r="M668" i="1"/>
  <c r="M669" i="1" s="1"/>
  <c r="M670" i="1" s="1"/>
  <c r="L668" i="1"/>
  <c r="L669" i="1" s="1"/>
  <c r="I669" i="1"/>
  <c r="I670" i="1" s="1"/>
  <c r="H668" i="1"/>
  <c r="H669" i="1" s="1"/>
  <c r="G668" i="1"/>
  <c r="G669" i="1" s="1"/>
  <c r="G670" i="1" s="1"/>
  <c r="F668" i="1"/>
  <c r="F669" i="1" s="1"/>
  <c r="F670" i="1" s="1"/>
  <c r="E668" i="1"/>
  <c r="E669" i="1" s="1"/>
  <c r="E670" i="1" s="1"/>
  <c r="D668" i="1"/>
  <c r="D669" i="1" s="1"/>
  <c r="D670" i="1" s="1"/>
  <c r="C668" i="1"/>
  <c r="C669" i="1" s="1"/>
  <c r="AM667" i="1"/>
  <c r="AL667" i="1"/>
  <c r="AK667" i="1"/>
  <c r="AJ667" i="1"/>
  <c r="AC667" i="1"/>
  <c r="U667" i="1"/>
  <c r="T667" i="1"/>
  <c r="U666" i="1"/>
  <c r="T666" i="1"/>
  <c r="S666" i="1"/>
  <c r="R666" i="1"/>
  <c r="Q666" i="1"/>
  <c r="P666" i="1"/>
  <c r="O666" i="1"/>
  <c r="N666" i="1"/>
  <c r="M666" i="1"/>
  <c r="L666" i="1"/>
  <c r="K666" i="1"/>
  <c r="J666" i="1"/>
  <c r="I666" i="1"/>
  <c r="H666" i="1"/>
  <c r="G666" i="1"/>
  <c r="F666" i="1"/>
  <c r="E666" i="1"/>
  <c r="D666" i="1"/>
  <c r="C666" i="1"/>
  <c r="AM664" i="1"/>
  <c r="AL664" i="1"/>
  <c r="AK664" i="1"/>
  <c r="AJ664" i="1"/>
  <c r="AC664" i="1"/>
  <c r="U664" i="1"/>
  <c r="T664" i="1"/>
  <c r="R664" i="1"/>
  <c r="Q664" i="1"/>
  <c r="P664" i="1"/>
  <c r="O664" i="1"/>
  <c r="M664" i="1"/>
  <c r="K664" i="1"/>
  <c r="J664" i="1"/>
  <c r="I664" i="1"/>
  <c r="G664" i="1"/>
  <c r="F664" i="1"/>
  <c r="E664" i="1"/>
  <c r="D664" i="1"/>
  <c r="S672" i="1"/>
  <c r="N672" i="1"/>
  <c r="L672" i="1"/>
  <c r="C672" i="1"/>
  <c r="AC671" i="1" l="1"/>
  <c r="AM671" i="1"/>
  <c r="AJ671" i="1"/>
  <c r="AK671" i="1"/>
  <c r="AL671" i="1"/>
  <c r="S664" i="1"/>
  <c r="C664" i="1"/>
  <c r="L664" i="1"/>
  <c r="N664" i="1"/>
  <c r="S670" i="1"/>
  <c r="L670" i="1"/>
  <c r="C670" i="1"/>
  <c r="N670" i="1"/>
  <c r="H670" i="1"/>
  <c r="V669" i="1"/>
  <c r="H664" i="1"/>
  <c r="L682" i="1"/>
  <c r="L683" i="1" s="1"/>
  <c r="K682" i="1"/>
  <c r="K683" i="1" s="1"/>
  <c r="K684" i="1" s="1"/>
  <c r="J682" i="1"/>
  <c r="J683" i="1" s="1"/>
  <c r="J684" i="1" s="1"/>
  <c r="G682" i="1"/>
  <c r="G683" i="1" s="1"/>
  <c r="H678" i="1"/>
  <c r="I682" i="1"/>
  <c r="I683" i="1" s="1"/>
  <c r="I684" i="1" s="1"/>
  <c r="S682" i="1"/>
  <c r="S683" i="1" s="1"/>
  <c r="R682" i="1"/>
  <c r="R683" i="1" s="1"/>
  <c r="R684" i="1" s="1"/>
  <c r="Q682" i="1"/>
  <c r="Q683" i="1" s="1"/>
  <c r="Q684" i="1" s="1"/>
  <c r="P682" i="1"/>
  <c r="P683" i="1" s="1"/>
  <c r="P684" i="1" s="1"/>
  <c r="O682" i="1"/>
  <c r="O683" i="1" s="1"/>
  <c r="O684" i="1" s="1"/>
  <c r="M682" i="1"/>
  <c r="M683" i="1" s="1"/>
  <c r="M684" i="1" s="1"/>
  <c r="AM684" i="1"/>
  <c r="AL684" i="1"/>
  <c r="AK684" i="1"/>
  <c r="AJ684" i="1"/>
  <c r="AC684" i="1"/>
  <c r="U682" i="1"/>
  <c r="U683" i="1" s="1"/>
  <c r="U684" i="1" s="1"/>
  <c r="T682" i="1"/>
  <c r="T683" i="1" s="1"/>
  <c r="T684" i="1" s="1"/>
  <c r="N682" i="1"/>
  <c r="N683" i="1" s="1"/>
  <c r="H682" i="1"/>
  <c r="H683" i="1" s="1"/>
  <c r="F682" i="1"/>
  <c r="F683" i="1" s="1"/>
  <c r="F684" i="1" s="1"/>
  <c r="E682" i="1"/>
  <c r="E683" i="1" s="1"/>
  <c r="E684" i="1" s="1"/>
  <c r="D682" i="1"/>
  <c r="D683" i="1" s="1"/>
  <c r="D684" i="1" s="1"/>
  <c r="C682" i="1"/>
  <c r="C683" i="1" s="1"/>
  <c r="AM681" i="1"/>
  <c r="AL681" i="1"/>
  <c r="AK681" i="1"/>
  <c r="AJ681" i="1"/>
  <c r="AC681" i="1"/>
  <c r="U681" i="1"/>
  <c r="T681" i="1"/>
  <c r="U680" i="1"/>
  <c r="T680" i="1"/>
  <c r="S680" i="1"/>
  <c r="R680" i="1"/>
  <c r="Q680" i="1"/>
  <c r="P680" i="1"/>
  <c r="O680" i="1"/>
  <c r="N680" i="1"/>
  <c r="M680" i="1"/>
  <c r="L680" i="1"/>
  <c r="K680" i="1"/>
  <c r="J680" i="1"/>
  <c r="I680" i="1"/>
  <c r="H680" i="1"/>
  <c r="G680" i="1"/>
  <c r="F680" i="1"/>
  <c r="E680" i="1"/>
  <c r="D680" i="1"/>
  <c r="C680" i="1"/>
  <c r="AM678" i="1"/>
  <c r="AL678" i="1"/>
  <c r="AK678" i="1"/>
  <c r="AJ678" i="1"/>
  <c r="AC678" i="1"/>
  <c r="U678" i="1"/>
  <c r="T678" i="1"/>
  <c r="R678" i="1"/>
  <c r="Q678" i="1"/>
  <c r="P678" i="1"/>
  <c r="O678" i="1"/>
  <c r="M678" i="1"/>
  <c r="K678" i="1"/>
  <c r="J678" i="1"/>
  <c r="I678" i="1"/>
  <c r="G678" i="1"/>
  <c r="F678" i="1"/>
  <c r="E678" i="1"/>
  <c r="D678" i="1"/>
  <c r="N684" i="1" l="1"/>
  <c r="S684" i="1"/>
  <c r="L684" i="1"/>
  <c r="S678" i="1"/>
  <c r="C678" i="1"/>
  <c r="C684" i="1"/>
  <c r="L678" i="1"/>
  <c r="G684" i="1"/>
  <c r="N678" i="1"/>
  <c r="V683" i="1"/>
  <c r="H684" i="1"/>
  <c r="U694" i="1"/>
  <c r="U695" i="1" s="1"/>
  <c r="U696" i="1" s="1"/>
  <c r="T694" i="1"/>
  <c r="T695" i="1" s="1"/>
  <c r="T696" i="1" s="1"/>
  <c r="S694" i="1"/>
  <c r="S695" i="1" s="1"/>
  <c r="R694" i="1"/>
  <c r="R695" i="1" s="1"/>
  <c r="R696" i="1" s="1"/>
  <c r="Q694" i="1"/>
  <c r="Q695" i="1" s="1"/>
  <c r="Q696" i="1" s="1"/>
  <c r="P694" i="1"/>
  <c r="P695" i="1" s="1"/>
  <c r="P696" i="1" s="1"/>
  <c r="L694" i="1"/>
  <c r="L695" i="1" s="1"/>
  <c r="K694" i="1"/>
  <c r="K695" i="1" s="1"/>
  <c r="K696" i="1" s="1"/>
  <c r="J694" i="1"/>
  <c r="J695" i="1" s="1"/>
  <c r="J696" i="1" s="1"/>
  <c r="I694" i="1"/>
  <c r="I695" i="1" s="1"/>
  <c r="I696" i="1" s="1"/>
  <c r="C694" i="1"/>
  <c r="C695" i="1" s="1"/>
  <c r="C696" i="1" s="1"/>
  <c r="AM720" i="1"/>
  <c r="AL720" i="1"/>
  <c r="AK720" i="1"/>
  <c r="AJ720" i="1"/>
  <c r="AC720" i="1"/>
  <c r="U719" i="1"/>
  <c r="U720" i="1" s="1"/>
  <c r="T719" i="1"/>
  <c r="T720" i="1" s="1"/>
  <c r="S719" i="1"/>
  <c r="R719" i="1"/>
  <c r="R720" i="1" s="1"/>
  <c r="Q719" i="1"/>
  <c r="Q720" i="1" s="1"/>
  <c r="P719" i="1"/>
  <c r="P720" i="1" s="1"/>
  <c r="O719" i="1"/>
  <c r="O720" i="1" s="1"/>
  <c r="N719" i="1"/>
  <c r="M719" i="1"/>
  <c r="M720" i="1" s="1"/>
  <c r="L719" i="1"/>
  <c r="K719" i="1"/>
  <c r="K720" i="1" s="1"/>
  <c r="J719" i="1"/>
  <c r="J720" i="1" s="1"/>
  <c r="I719" i="1"/>
  <c r="I720" i="1" s="1"/>
  <c r="H719" i="1"/>
  <c r="H720" i="1" s="1"/>
  <c r="G719" i="1"/>
  <c r="G720" i="1" s="1"/>
  <c r="F719" i="1"/>
  <c r="F720" i="1" s="1"/>
  <c r="E719" i="1"/>
  <c r="E720" i="1" s="1"/>
  <c r="D719" i="1"/>
  <c r="D720" i="1" s="1"/>
  <c r="C719" i="1"/>
  <c r="C720" i="1" s="1"/>
  <c r="AM717" i="1"/>
  <c r="AL717" i="1"/>
  <c r="AK717" i="1"/>
  <c r="AJ717" i="1"/>
  <c r="AC717" i="1"/>
  <c r="U717" i="1"/>
  <c r="T717" i="1"/>
  <c r="U716" i="1"/>
  <c r="T716" i="1"/>
  <c r="S716" i="1"/>
  <c r="R716" i="1"/>
  <c r="Q716" i="1"/>
  <c r="P716" i="1"/>
  <c r="O716" i="1"/>
  <c r="N716" i="1"/>
  <c r="M716" i="1"/>
  <c r="L716" i="1"/>
  <c r="K716" i="1"/>
  <c r="J716" i="1"/>
  <c r="I716" i="1"/>
  <c r="H716" i="1"/>
  <c r="G716" i="1"/>
  <c r="F716" i="1"/>
  <c r="E716" i="1"/>
  <c r="D716" i="1"/>
  <c r="C716" i="1"/>
  <c r="AM714" i="1"/>
  <c r="AL714" i="1"/>
  <c r="AK714" i="1"/>
  <c r="AJ714" i="1"/>
  <c r="AC714" i="1"/>
  <c r="U714" i="1"/>
  <c r="T714" i="1"/>
  <c r="R714" i="1"/>
  <c r="Q714" i="1"/>
  <c r="P714" i="1"/>
  <c r="O714" i="1"/>
  <c r="M714" i="1"/>
  <c r="K714" i="1"/>
  <c r="J714" i="1"/>
  <c r="I714" i="1"/>
  <c r="H714" i="1"/>
  <c r="G714" i="1"/>
  <c r="F714" i="1"/>
  <c r="E714" i="1"/>
  <c r="D714" i="1"/>
  <c r="C714" i="1"/>
  <c r="S712" i="1"/>
  <c r="S714" i="1" s="1"/>
  <c r="N712" i="1"/>
  <c r="N714" i="1" s="1"/>
  <c r="L712" i="1"/>
  <c r="AM708" i="1"/>
  <c r="AL708" i="1"/>
  <c r="AK708" i="1"/>
  <c r="AJ708" i="1"/>
  <c r="AC708" i="1"/>
  <c r="R707" i="1"/>
  <c r="R708" i="1" s="1"/>
  <c r="N707" i="1"/>
  <c r="J707" i="1"/>
  <c r="J708" i="1" s="1"/>
  <c r="F707" i="1"/>
  <c r="F708" i="1" s="1"/>
  <c r="U707" i="1"/>
  <c r="U708" i="1" s="1"/>
  <c r="T707" i="1"/>
  <c r="T708" i="1" s="1"/>
  <c r="S707" i="1"/>
  <c r="Q707" i="1"/>
  <c r="Q708" i="1" s="1"/>
  <c r="P707" i="1"/>
  <c r="P708" i="1" s="1"/>
  <c r="O707" i="1"/>
  <c r="O708" i="1" s="1"/>
  <c r="M707" i="1"/>
  <c r="M708" i="1" s="1"/>
  <c r="L707" i="1"/>
  <c r="K707" i="1"/>
  <c r="K708" i="1" s="1"/>
  <c r="I707" i="1"/>
  <c r="I708" i="1" s="1"/>
  <c r="H707" i="1"/>
  <c r="G707" i="1"/>
  <c r="G708" i="1" s="1"/>
  <c r="E707" i="1"/>
  <c r="E708" i="1" s="1"/>
  <c r="D707" i="1"/>
  <c r="D708" i="1" s="1"/>
  <c r="C707" i="1"/>
  <c r="C708" i="1" s="1"/>
  <c r="AM705" i="1"/>
  <c r="AL705" i="1"/>
  <c r="AK705" i="1"/>
  <c r="AJ705" i="1"/>
  <c r="AC705" i="1"/>
  <c r="U705" i="1"/>
  <c r="T705" i="1"/>
  <c r="U704" i="1"/>
  <c r="T704" i="1"/>
  <c r="S704" i="1"/>
  <c r="R704" i="1"/>
  <c r="Q704" i="1"/>
  <c r="P704" i="1"/>
  <c r="O704" i="1"/>
  <c r="N704" i="1"/>
  <c r="M704" i="1"/>
  <c r="L704" i="1"/>
  <c r="K704" i="1"/>
  <c r="J704" i="1"/>
  <c r="I704" i="1"/>
  <c r="H704" i="1"/>
  <c r="G704" i="1"/>
  <c r="F704" i="1"/>
  <c r="D704" i="1"/>
  <c r="C704" i="1"/>
  <c r="AM702" i="1"/>
  <c r="AL702" i="1"/>
  <c r="AK702" i="1"/>
  <c r="AJ702" i="1"/>
  <c r="AC702" i="1"/>
  <c r="U702" i="1"/>
  <c r="T702" i="1"/>
  <c r="R702" i="1"/>
  <c r="Q702" i="1"/>
  <c r="P702" i="1"/>
  <c r="O702" i="1"/>
  <c r="M702" i="1"/>
  <c r="K702" i="1"/>
  <c r="J702" i="1"/>
  <c r="I702" i="1"/>
  <c r="H702" i="1"/>
  <c r="G702" i="1"/>
  <c r="F702" i="1"/>
  <c r="E702" i="1"/>
  <c r="D702" i="1"/>
  <c r="C702" i="1"/>
  <c r="S700" i="1"/>
  <c r="S702" i="1" s="1"/>
  <c r="N700" i="1"/>
  <c r="N702" i="1" s="1"/>
  <c r="L700" i="1"/>
  <c r="L702" i="1" s="1"/>
  <c r="AM696" i="1"/>
  <c r="AL696" i="1"/>
  <c r="AK696" i="1"/>
  <c r="AJ696" i="1"/>
  <c r="AC696" i="1"/>
  <c r="O694" i="1"/>
  <c r="O695" i="1" s="1"/>
  <c r="O696" i="1" s="1"/>
  <c r="N694" i="1"/>
  <c r="N695" i="1" s="1"/>
  <c r="M694" i="1"/>
  <c r="M695" i="1" s="1"/>
  <c r="M696" i="1" s="1"/>
  <c r="H694" i="1"/>
  <c r="H695" i="1" s="1"/>
  <c r="V695" i="1" s="1"/>
  <c r="G694" i="1"/>
  <c r="G695" i="1" s="1"/>
  <c r="G696" i="1" s="1"/>
  <c r="F694" i="1"/>
  <c r="F695" i="1" s="1"/>
  <c r="F696" i="1" s="1"/>
  <c r="E694" i="1"/>
  <c r="E695" i="1" s="1"/>
  <c r="E696" i="1" s="1"/>
  <c r="D694" i="1"/>
  <c r="D695" i="1" s="1"/>
  <c r="D696" i="1" s="1"/>
  <c r="AM693" i="1"/>
  <c r="AL693" i="1"/>
  <c r="AK693" i="1"/>
  <c r="AJ693" i="1"/>
  <c r="AC693" i="1"/>
  <c r="U693" i="1"/>
  <c r="T693" i="1"/>
  <c r="U692" i="1"/>
  <c r="T692" i="1"/>
  <c r="S692" i="1"/>
  <c r="R692" i="1"/>
  <c r="Q692" i="1"/>
  <c r="P692" i="1"/>
  <c r="O692" i="1"/>
  <c r="N692" i="1"/>
  <c r="M692" i="1"/>
  <c r="L692" i="1"/>
  <c r="K692" i="1"/>
  <c r="J692" i="1"/>
  <c r="I692" i="1"/>
  <c r="H692" i="1"/>
  <c r="G692" i="1"/>
  <c r="F692" i="1"/>
  <c r="E692" i="1"/>
  <c r="D692" i="1"/>
  <c r="C692" i="1"/>
  <c r="AM690" i="1"/>
  <c r="AL690" i="1"/>
  <c r="AK690" i="1"/>
  <c r="AJ690" i="1"/>
  <c r="AC690" i="1"/>
  <c r="U690" i="1"/>
  <c r="T690" i="1"/>
  <c r="R690" i="1"/>
  <c r="Q690" i="1"/>
  <c r="P690" i="1"/>
  <c r="O690" i="1"/>
  <c r="M690" i="1"/>
  <c r="K690" i="1"/>
  <c r="J690" i="1"/>
  <c r="I690" i="1"/>
  <c r="H690" i="1"/>
  <c r="G690" i="1"/>
  <c r="F690" i="1"/>
  <c r="E690" i="1"/>
  <c r="D690" i="1"/>
  <c r="C690" i="1"/>
  <c r="S688" i="1"/>
  <c r="N688" i="1"/>
  <c r="L688" i="1"/>
  <c r="S690" i="1" l="1"/>
  <c r="L690" i="1"/>
  <c r="N690" i="1"/>
  <c r="L720" i="1"/>
  <c r="S708" i="1"/>
  <c r="L696" i="1"/>
  <c r="V719" i="1"/>
  <c r="S720" i="1"/>
  <c r="N708" i="1"/>
  <c r="S696" i="1"/>
  <c r="L708" i="1"/>
  <c r="N696" i="1"/>
  <c r="L714" i="1"/>
  <c r="N720" i="1"/>
  <c r="H708" i="1"/>
  <c r="V707" i="1"/>
  <c r="H696" i="1"/>
  <c r="U730" i="1"/>
  <c r="U731" i="1" s="1"/>
  <c r="U732" i="1" s="1"/>
  <c r="T730" i="1"/>
  <c r="T731" i="1" s="1"/>
  <c r="T732" i="1" s="1"/>
  <c r="S730" i="1"/>
  <c r="S731" i="1" s="1"/>
  <c r="R730" i="1"/>
  <c r="R731" i="1" s="1"/>
  <c r="R732" i="1" s="1"/>
  <c r="Q730" i="1"/>
  <c r="Q731" i="1" s="1"/>
  <c r="Q732" i="1" s="1"/>
  <c r="P730" i="1"/>
  <c r="P731" i="1" s="1"/>
  <c r="P732" i="1" s="1"/>
  <c r="O730" i="1"/>
  <c r="O731" i="1" s="1"/>
  <c r="O732" i="1" s="1"/>
  <c r="N730" i="1"/>
  <c r="N731" i="1" s="1"/>
  <c r="M730" i="1"/>
  <c r="M731" i="1" s="1"/>
  <c r="M732" i="1" s="1"/>
  <c r="L730" i="1"/>
  <c r="L731" i="1" s="1"/>
  <c r="K730" i="1"/>
  <c r="K731" i="1" s="1"/>
  <c r="K732" i="1" s="1"/>
  <c r="J730" i="1"/>
  <c r="J731" i="1" s="1"/>
  <c r="J732" i="1" s="1"/>
  <c r="I730" i="1"/>
  <c r="I731" i="1" s="1"/>
  <c r="I732" i="1" s="1"/>
  <c r="H730" i="1"/>
  <c r="H731" i="1" s="1"/>
  <c r="H732" i="1" s="1"/>
  <c r="G730" i="1"/>
  <c r="G731" i="1" s="1"/>
  <c r="G732" i="1" s="1"/>
  <c r="F730" i="1"/>
  <c r="F731" i="1" s="1"/>
  <c r="F732" i="1" s="1"/>
  <c r="E730" i="1"/>
  <c r="E731" i="1" s="1"/>
  <c r="E732" i="1" s="1"/>
  <c r="D730" i="1"/>
  <c r="D731" i="1" s="1"/>
  <c r="D732" i="1" s="1"/>
  <c r="C730" i="1"/>
  <c r="C731" i="1" s="1"/>
  <c r="C732" i="1" s="1"/>
  <c r="U729" i="1"/>
  <c r="T729" i="1"/>
  <c r="U728" i="1"/>
  <c r="T728" i="1"/>
  <c r="S728" i="1"/>
  <c r="R728" i="1"/>
  <c r="Q728" i="1"/>
  <c r="P728" i="1"/>
  <c r="O728" i="1"/>
  <c r="N728" i="1"/>
  <c r="M728" i="1"/>
  <c r="L728" i="1"/>
  <c r="K728" i="1"/>
  <c r="J728" i="1"/>
  <c r="I728" i="1"/>
  <c r="H728" i="1"/>
  <c r="G728" i="1"/>
  <c r="F728" i="1"/>
  <c r="E728" i="1"/>
  <c r="D728" i="1"/>
  <c r="C728" i="1"/>
  <c r="U726" i="1"/>
  <c r="T726" i="1"/>
  <c r="R726" i="1"/>
  <c r="Q726" i="1"/>
  <c r="P726" i="1"/>
  <c r="O726" i="1"/>
  <c r="M726" i="1"/>
  <c r="K726" i="1"/>
  <c r="J726" i="1"/>
  <c r="I726" i="1"/>
  <c r="H726" i="1"/>
  <c r="G726" i="1"/>
  <c r="F726" i="1"/>
  <c r="E726" i="1"/>
  <c r="D726" i="1"/>
  <c r="C726" i="1"/>
  <c r="S725" i="1"/>
  <c r="N725" i="1"/>
  <c r="L725" i="1"/>
  <c r="S724" i="1"/>
  <c r="N724" i="1"/>
  <c r="L724" i="1"/>
  <c r="AM732" i="1"/>
  <c r="AL732" i="1"/>
  <c r="AK732" i="1"/>
  <c r="AJ732" i="1"/>
  <c r="AC732" i="1"/>
  <c r="AM729" i="1"/>
  <c r="AL729" i="1"/>
  <c r="AK729" i="1"/>
  <c r="AJ729" i="1"/>
  <c r="AC729" i="1"/>
  <c r="AM726" i="1"/>
  <c r="AL726" i="1"/>
  <c r="AK726" i="1"/>
  <c r="AJ726" i="1"/>
  <c r="AC726" i="1"/>
  <c r="N726" i="1" l="1"/>
  <c r="S726" i="1"/>
  <c r="N732" i="1"/>
  <c r="L726" i="1"/>
  <c r="S732" i="1"/>
  <c r="L732" i="1"/>
  <c r="V731" i="1"/>
  <c r="C742" i="1" l="1"/>
  <c r="L742" i="1"/>
  <c r="L737" i="1"/>
  <c r="K742" i="1"/>
  <c r="I742" i="1"/>
  <c r="S742" i="1"/>
  <c r="S737" i="1"/>
  <c r="S736" i="1"/>
  <c r="R742" i="1"/>
  <c r="P742" i="1"/>
  <c r="N742" i="1"/>
  <c r="N737" i="1"/>
  <c r="Q742" i="1" l="1"/>
  <c r="U742" i="1"/>
  <c r="T742" i="1"/>
  <c r="L743" i="1" l="1"/>
  <c r="L736" i="1"/>
  <c r="J742" i="1"/>
  <c r="J743" i="1" s="1"/>
  <c r="J744" i="1" s="1"/>
  <c r="I743" i="1"/>
  <c r="I744" i="1" s="1"/>
  <c r="G742" i="1"/>
  <c r="G743" i="1" s="1"/>
  <c r="G744" i="1" s="1"/>
  <c r="AM744" i="1"/>
  <c r="AL744" i="1"/>
  <c r="AK744" i="1"/>
  <c r="AJ744" i="1"/>
  <c r="AC744" i="1"/>
  <c r="U743" i="1"/>
  <c r="U744" i="1" s="1"/>
  <c r="S743" i="1"/>
  <c r="S744" i="1" s="1"/>
  <c r="Q743" i="1"/>
  <c r="Q744" i="1" s="1"/>
  <c r="K743" i="1"/>
  <c r="K744" i="1" s="1"/>
  <c r="C743" i="1"/>
  <c r="C744" i="1" s="1"/>
  <c r="T743" i="1"/>
  <c r="T744" i="1" s="1"/>
  <c r="R743" i="1"/>
  <c r="R744" i="1" s="1"/>
  <c r="P743" i="1"/>
  <c r="P744" i="1" s="1"/>
  <c r="O742" i="1"/>
  <c r="O743" i="1" s="1"/>
  <c r="O744" i="1" s="1"/>
  <c r="N743" i="1"/>
  <c r="M742" i="1"/>
  <c r="M743" i="1" s="1"/>
  <c r="M744" i="1" s="1"/>
  <c r="H742" i="1"/>
  <c r="H743" i="1" s="1"/>
  <c r="F742" i="1"/>
  <c r="F743" i="1" s="1"/>
  <c r="F744" i="1" s="1"/>
  <c r="E742" i="1"/>
  <c r="E743" i="1" s="1"/>
  <c r="E744" i="1" s="1"/>
  <c r="D742" i="1"/>
  <c r="D743" i="1" s="1"/>
  <c r="D744" i="1" s="1"/>
  <c r="AM741" i="1"/>
  <c r="AL741" i="1"/>
  <c r="AK741" i="1"/>
  <c r="AJ741" i="1"/>
  <c r="AC741" i="1"/>
  <c r="U741" i="1"/>
  <c r="T741" i="1"/>
  <c r="U740" i="1"/>
  <c r="T740" i="1"/>
  <c r="S740" i="1"/>
  <c r="R740" i="1"/>
  <c r="Q740" i="1"/>
  <c r="P740" i="1"/>
  <c r="O740" i="1"/>
  <c r="N740" i="1"/>
  <c r="M740" i="1"/>
  <c r="L740" i="1"/>
  <c r="K740" i="1"/>
  <c r="J740" i="1"/>
  <c r="I740" i="1"/>
  <c r="H740" i="1"/>
  <c r="G740" i="1"/>
  <c r="F740" i="1"/>
  <c r="E740" i="1"/>
  <c r="D740" i="1"/>
  <c r="C740" i="1"/>
  <c r="AM738" i="1"/>
  <c r="AL738" i="1"/>
  <c r="AK738" i="1"/>
  <c r="AJ738" i="1"/>
  <c r="AC738" i="1"/>
  <c r="U738" i="1"/>
  <c r="T738" i="1"/>
  <c r="R738" i="1"/>
  <c r="Q738" i="1"/>
  <c r="P738" i="1"/>
  <c r="O738" i="1"/>
  <c r="M738" i="1"/>
  <c r="K738" i="1"/>
  <c r="J738" i="1"/>
  <c r="I738" i="1"/>
  <c r="H738" i="1"/>
  <c r="G738" i="1"/>
  <c r="F738" i="1"/>
  <c r="E738" i="1"/>
  <c r="D738" i="1"/>
  <c r="C738" i="1"/>
  <c r="S738" i="1"/>
  <c r="L738" i="1"/>
  <c r="N736" i="1"/>
  <c r="N738" i="1" s="1"/>
  <c r="N744" i="1" l="1"/>
  <c r="L744" i="1"/>
  <c r="V743" i="1"/>
  <c r="H744" i="1"/>
  <c r="L754" i="1"/>
  <c r="L755" i="1" s="1"/>
  <c r="L749" i="1"/>
  <c r="K754" i="1"/>
  <c r="K755" i="1" s="1"/>
  <c r="K756" i="1" s="1"/>
  <c r="H754" i="1"/>
  <c r="H755" i="1" s="1"/>
  <c r="G754" i="1"/>
  <c r="G755" i="1" s="1"/>
  <c r="G756" i="1" s="1"/>
  <c r="S754" i="1"/>
  <c r="S755" i="1" s="1"/>
  <c r="S749" i="1"/>
  <c r="R754" i="1"/>
  <c r="R755" i="1" s="1"/>
  <c r="R756" i="1" s="1"/>
  <c r="P754" i="1"/>
  <c r="P755" i="1" s="1"/>
  <c r="P756" i="1" s="1"/>
  <c r="N749" i="1"/>
  <c r="AM756" i="1"/>
  <c r="AL756" i="1"/>
  <c r="AK756" i="1"/>
  <c r="AJ756" i="1"/>
  <c r="AC756" i="1"/>
  <c r="U754" i="1"/>
  <c r="U755" i="1" s="1"/>
  <c r="U756" i="1" s="1"/>
  <c r="T754" i="1"/>
  <c r="T755" i="1" s="1"/>
  <c r="T756" i="1" s="1"/>
  <c r="Q754" i="1"/>
  <c r="Q755" i="1" s="1"/>
  <c r="Q756" i="1" s="1"/>
  <c r="O754" i="1"/>
  <c r="O755" i="1" s="1"/>
  <c r="O756" i="1" s="1"/>
  <c r="N754" i="1"/>
  <c r="N755" i="1" s="1"/>
  <c r="M754" i="1"/>
  <c r="M755" i="1" s="1"/>
  <c r="M756" i="1" s="1"/>
  <c r="J754" i="1"/>
  <c r="J755" i="1" s="1"/>
  <c r="J756" i="1" s="1"/>
  <c r="I754" i="1"/>
  <c r="I755" i="1" s="1"/>
  <c r="I756" i="1" s="1"/>
  <c r="F754" i="1"/>
  <c r="F755" i="1" s="1"/>
  <c r="F756" i="1" s="1"/>
  <c r="E754" i="1"/>
  <c r="E755" i="1" s="1"/>
  <c r="E756" i="1" s="1"/>
  <c r="D754" i="1"/>
  <c r="D755" i="1" s="1"/>
  <c r="D756" i="1" s="1"/>
  <c r="C754" i="1"/>
  <c r="C755" i="1" s="1"/>
  <c r="C756" i="1" s="1"/>
  <c r="AM753" i="1"/>
  <c r="AL753" i="1"/>
  <c r="AK753" i="1"/>
  <c r="AJ753" i="1"/>
  <c r="AC753" i="1"/>
  <c r="U753" i="1"/>
  <c r="T753" i="1"/>
  <c r="U752" i="1"/>
  <c r="T752" i="1"/>
  <c r="S752" i="1"/>
  <c r="R752" i="1"/>
  <c r="Q752" i="1"/>
  <c r="P752" i="1"/>
  <c r="O752" i="1"/>
  <c r="N752" i="1"/>
  <c r="M752" i="1"/>
  <c r="L752" i="1"/>
  <c r="K752" i="1"/>
  <c r="J752" i="1"/>
  <c r="I752" i="1"/>
  <c r="H752" i="1"/>
  <c r="G752" i="1"/>
  <c r="F752" i="1"/>
  <c r="E752" i="1"/>
  <c r="D752" i="1"/>
  <c r="C752" i="1"/>
  <c r="AM750" i="1"/>
  <c r="AL750" i="1"/>
  <c r="AK750" i="1"/>
  <c r="AJ750" i="1"/>
  <c r="AC750" i="1"/>
  <c r="U750" i="1"/>
  <c r="T750" i="1"/>
  <c r="R750" i="1"/>
  <c r="Q750" i="1"/>
  <c r="P750" i="1"/>
  <c r="O750" i="1"/>
  <c r="M750" i="1"/>
  <c r="K750" i="1"/>
  <c r="J750" i="1"/>
  <c r="I750" i="1"/>
  <c r="H750" i="1"/>
  <c r="G750" i="1"/>
  <c r="F750" i="1"/>
  <c r="E750" i="1"/>
  <c r="D750" i="1"/>
  <c r="C750" i="1"/>
  <c r="S748" i="1"/>
  <c r="N748" i="1"/>
  <c r="L748" i="1"/>
  <c r="N756" i="1" l="1"/>
  <c r="N750" i="1"/>
  <c r="S756" i="1"/>
  <c r="L756" i="1"/>
  <c r="L750" i="1"/>
  <c r="H756" i="1"/>
  <c r="V755" i="1"/>
  <c r="S750" i="1"/>
  <c r="N766" i="1"/>
  <c r="S766" i="1" l="1"/>
  <c r="S767" i="1" s="1"/>
  <c r="S761" i="1"/>
  <c r="S760" i="1"/>
  <c r="N761" i="1"/>
  <c r="N760" i="1"/>
  <c r="P766" i="1"/>
  <c r="P767" i="1" s="1"/>
  <c r="P768" i="1" s="1"/>
  <c r="L761" i="1"/>
  <c r="L760" i="1"/>
  <c r="L766" i="1"/>
  <c r="L767" i="1" s="1"/>
  <c r="I766" i="1"/>
  <c r="I767" i="1" s="1"/>
  <c r="I768" i="1" s="1"/>
  <c r="AM768" i="1"/>
  <c r="AL768" i="1"/>
  <c r="AK768" i="1"/>
  <c r="AJ768" i="1"/>
  <c r="AC768" i="1"/>
  <c r="U766" i="1"/>
  <c r="U767" i="1" s="1"/>
  <c r="U768" i="1" s="1"/>
  <c r="T766" i="1"/>
  <c r="T767" i="1" s="1"/>
  <c r="T768" i="1" s="1"/>
  <c r="R766" i="1"/>
  <c r="R767" i="1" s="1"/>
  <c r="R768" i="1" s="1"/>
  <c r="Q766" i="1"/>
  <c r="Q767" i="1" s="1"/>
  <c r="Q768" i="1" s="1"/>
  <c r="O766" i="1"/>
  <c r="O767" i="1" s="1"/>
  <c r="O768" i="1" s="1"/>
  <c r="N767" i="1"/>
  <c r="M766" i="1"/>
  <c r="M767" i="1" s="1"/>
  <c r="M768" i="1" s="1"/>
  <c r="K766" i="1"/>
  <c r="K767" i="1" s="1"/>
  <c r="K768" i="1" s="1"/>
  <c r="J766" i="1"/>
  <c r="J767" i="1" s="1"/>
  <c r="J768" i="1" s="1"/>
  <c r="H766" i="1"/>
  <c r="H767" i="1" s="1"/>
  <c r="V767" i="1" s="1"/>
  <c r="G766" i="1"/>
  <c r="G767" i="1" s="1"/>
  <c r="G768" i="1" s="1"/>
  <c r="F766" i="1"/>
  <c r="F767" i="1" s="1"/>
  <c r="F768" i="1" s="1"/>
  <c r="E766" i="1"/>
  <c r="E767" i="1" s="1"/>
  <c r="E768" i="1" s="1"/>
  <c r="D766" i="1"/>
  <c r="D767" i="1" s="1"/>
  <c r="D768" i="1" s="1"/>
  <c r="C766" i="1"/>
  <c r="C767" i="1" s="1"/>
  <c r="C768" i="1" s="1"/>
  <c r="AM765" i="1"/>
  <c r="AL765" i="1"/>
  <c r="AK765" i="1"/>
  <c r="AJ765" i="1"/>
  <c r="AC765" i="1"/>
  <c r="U765" i="1"/>
  <c r="T765" i="1"/>
  <c r="U764" i="1"/>
  <c r="T764" i="1"/>
  <c r="S764" i="1"/>
  <c r="R764" i="1"/>
  <c r="Q764" i="1"/>
  <c r="P764" i="1"/>
  <c r="O764" i="1"/>
  <c r="N764" i="1"/>
  <c r="M764" i="1"/>
  <c r="L764" i="1"/>
  <c r="K764" i="1"/>
  <c r="J764" i="1"/>
  <c r="I764" i="1"/>
  <c r="H764" i="1"/>
  <c r="G764" i="1"/>
  <c r="F764" i="1"/>
  <c r="E764" i="1"/>
  <c r="D764" i="1"/>
  <c r="C764" i="1"/>
  <c r="AM762" i="1"/>
  <c r="AL762" i="1"/>
  <c r="AK762" i="1"/>
  <c r="AJ762" i="1"/>
  <c r="AC762" i="1"/>
  <c r="U762" i="1"/>
  <c r="T762" i="1"/>
  <c r="R762" i="1"/>
  <c r="Q762" i="1"/>
  <c r="P762" i="1"/>
  <c r="O762" i="1"/>
  <c r="M762" i="1"/>
  <c r="K762" i="1"/>
  <c r="J762" i="1"/>
  <c r="I762" i="1"/>
  <c r="H762" i="1"/>
  <c r="G762" i="1"/>
  <c r="F762" i="1"/>
  <c r="E762" i="1"/>
  <c r="D762" i="1"/>
  <c r="C762" i="1"/>
  <c r="L768" i="1" l="1"/>
  <c r="N762" i="1"/>
  <c r="N768" i="1"/>
  <c r="L762" i="1"/>
  <c r="S762" i="1"/>
  <c r="S768" i="1"/>
  <c r="H768" i="1"/>
  <c r="C778" i="1"/>
  <c r="C779" i="1" s="1"/>
  <c r="C780" i="1" s="1"/>
  <c r="L778" i="1"/>
  <c r="L779" i="1" s="1"/>
  <c r="L780" i="1" s="1"/>
  <c r="S778" i="1"/>
  <c r="S779" i="1" s="1"/>
  <c r="S780" i="1" s="1"/>
  <c r="M778" i="1"/>
  <c r="M779" i="1" s="1"/>
  <c r="M780" i="1" s="1"/>
  <c r="AM780" i="1"/>
  <c r="AL780" i="1"/>
  <c r="AK780" i="1"/>
  <c r="AJ780" i="1"/>
  <c r="AC780" i="1"/>
  <c r="U778" i="1"/>
  <c r="U779" i="1" s="1"/>
  <c r="U780" i="1" s="1"/>
  <c r="T778" i="1"/>
  <c r="T779" i="1" s="1"/>
  <c r="T780" i="1" s="1"/>
  <c r="R778" i="1"/>
  <c r="R779" i="1" s="1"/>
  <c r="R780" i="1" s="1"/>
  <c r="Q778" i="1"/>
  <c r="Q779" i="1" s="1"/>
  <c r="Q780" i="1" s="1"/>
  <c r="P778" i="1"/>
  <c r="P779" i="1" s="1"/>
  <c r="P780" i="1" s="1"/>
  <c r="O778" i="1"/>
  <c r="O779" i="1" s="1"/>
  <c r="O780" i="1" s="1"/>
  <c r="N778" i="1"/>
  <c r="N779" i="1" s="1"/>
  <c r="N780" i="1" s="1"/>
  <c r="K778" i="1"/>
  <c r="K779" i="1" s="1"/>
  <c r="K780" i="1" s="1"/>
  <c r="J778" i="1"/>
  <c r="J779" i="1" s="1"/>
  <c r="J780" i="1" s="1"/>
  <c r="I778" i="1"/>
  <c r="I779" i="1" s="1"/>
  <c r="I780" i="1" s="1"/>
  <c r="H778" i="1"/>
  <c r="H779" i="1" s="1"/>
  <c r="G778" i="1"/>
  <c r="G779" i="1" s="1"/>
  <c r="G780" i="1" s="1"/>
  <c r="F778" i="1"/>
  <c r="F779" i="1" s="1"/>
  <c r="F780" i="1" s="1"/>
  <c r="E778" i="1"/>
  <c r="E779" i="1" s="1"/>
  <c r="E780" i="1" s="1"/>
  <c r="D778" i="1"/>
  <c r="D779" i="1" s="1"/>
  <c r="D780" i="1" s="1"/>
  <c r="AM777" i="1"/>
  <c r="AL777" i="1"/>
  <c r="AK777" i="1"/>
  <c r="AJ777" i="1"/>
  <c r="AC777" i="1"/>
  <c r="U777" i="1"/>
  <c r="T777" i="1"/>
  <c r="U776" i="1"/>
  <c r="T776" i="1"/>
  <c r="S776" i="1"/>
  <c r="R776" i="1"/>
  <c r="Q776" i="1"/>
  <c r="P776" i="1"/>
  <c r="O776" i="1"/>
  <c r="N776" i="1"/>
  <c r="M776" i="1"/>
  <c r="L776" i="1"/>
  <c r="K776" i="1"/>
  <c r="J776" i="1"/>
  <c r="I776" i="1"/>
  <c r="H776" i="1"/>
  <c r="G776" i="1"/>
  <c r="F776" i="1"/>
  <c r="E776" i="1"/>
  <c r="D776" i="1"/>
  <c r="C776" i="1"/>
  <c r="AM774" i="1"/>
  <c r="AL774" i="1"/>
  <c r="AK774" i="1"/>
  <c r="AJ774" i="1"/>
  <c r="AC774" i="1"/>
  <c r="U774" i="1"/>
  <c r="T774" i="1"/>
  <c r="S774" i="1"/>
  <c r="R774" i="1"/>
  <c r="Q774" i="1"/>
  <c r="P774" i="1"/>
  <c r="O774" i="1"/>
  <c r="N774" i="1"/>
  <c r="M774" i="1"/>
  <c r="L774" i="1"/>
  <c r="K774" i="1"/>
  <c r="J774" i="1"/>
  <c r="I774" i="1"/>
  <c r="H774" i="1"/>
  <c r="G774" i="1"/>
  <c r="F774" i="1"/>
  <c r="E774" i="1"/>
  <c r="D774" i="1"/>
  <c r="C774" i="1"/>
  <c r="V779" i="1" l="1"/>
  <c r="H780" i="1"/>
  <c r="U790" i="1"/>
  <c r="U791" i="1" s="1"/>
  <c r="U792" i="1" s="1"/>
  <c r="T790" i="1"/>
  <c r="T791" i="1" s="1"/>
  <c r="T792" i="1" s="1"/>
  <c r="D790" i="1"/>
  <c r="D791" i="1" s="1"/>
  <c r="D792" i="1" s="1"/>
  <c r="C790" i="1"/>
  <c r="C791" i="1" s="1"/>
  <c r="C792" i="1" s="1"/>
  <c r="S790" i="1"/>
  <c r="S791" i="1" s="1"/>
  <c r="S792" i="1" s="1"/>
  <c r="R790" i="1"/>
  <c r="R791" i="1" s="1"/>
  <c r="R792" i="1" s="1"/>
  <c r="P790" i="1"/>
  <c r="P791" i="1" s="1"/>
  <c r="P792" i="1" s="1"/>
  <c r="M790" i="1"/>
  <c r="M791" i="1" s="1"/>
  <c r="M792" i="1" s="1"/>
  <c r="L790" i="1"/>
  <c r="L791" i="1" s="1"/>
  <c r="L792" i="1" s="1"/>
  <c r="K790" i="1"/>
  <c r="K791" i="1" s="1"/>
  <c r="K792" i="1" s="1"/>
  <c r="I790" i="1"/>
  <c r="I791" i="1" s="1"/>
  <c r="I792" i="1" s="1"/>
  <c r="H790" i="1"/>
  <c r="H791" i="1" s="1"/>
  <c r="E790" i="1"/>
  <c r="E791" i="1" s="1"/>
  <c r="E792" i="1" s="1"/>
  <c r="AM792" i="1"/>
  <c r="AL792" i="1"/>
  <c r="AK792" i="1"/>
  <c r="AJ792" i="1"/>
  <c r="AC792" i="1"/>
  <c r="Q790" i="1"/>
  <c r="Q791" i="1" s="1"/>
  <c r="Q792" i="1" s="1"/>
  <c r="O790" i="1"/>
  <c r="O791" i="1" s="1"/>
  <c r="O792" i="1" s="1"/>
  <c r="N790" i="1"/>
  <c r="N791" i="1" s="1"/>
  <c r="N792" i="1" s="1"/>
  <c r="J790" i="1"/>
  <c r="J791" i="1" s="1"/>
  <c r="J792" i="1" s="1"/>
  <c r="G790" i="1"/>
  <c r="G791" i="1" s="1"/>
  <c r="G792" i="1" s="1"/>
  <c r="F790" i="1"/>
  <c r="F791" i="1" s="1"/>
  <c r="F792" i="1" s="1"/>
  <c r="AM789" i="1"/>
  <c r="AL789" i="1"/>
  <c r="AK789" i="1"/>
  <c r="AJ789" i="1"/>
  <c r="AC789" i="1"/>
  <c r="U789" i="1"/>
  <c r="T789" i="1"/>
  <c r="U788" i="1"/>
  <c r="T788" i="1"/>
  <c r="S788" i="1"/>
  <c r="R788" i="1"/>
  <c r="Q788" i="1"/>
  <c r="P788" i="1"/>
  <c r="O788" i="1"/>
  <c r="N788" i="1"/>
  <c r="M788" i="1"/>
  <c r="L788" i="1"/>
  <c r="K788" i="1"/>
  <c r="J788" i="1"/>
  <c r="I788" i="1"/>
  <c r="H788" i="1"/>
  <c r="G788" i="1"/>
  <c r="F788" i="1"/>
  <c r="E788" i="1"/>
  <c r="D788" i="1"/>
  <c r="C788" i="1"/>
  <c r="AM786" i="1"/>
  <c r="AL786" i="1"/>
  <c r="AK786" i="1"/>
  <c r="AJ786" i="1"/>
  <c r="AC786" i="1"/>
  <c r="U786" i="1"/>
  <c r="T786" i="1"/>
  <c r="R786" i="1"/>
  <c r="Q786" i="1"/>
  <c r="P786" i="1"/>
  <c r="O786" i="1"/>
  <c r="N786" i="1"/>
  <c r="M786" i="1"/>
  <c r="L786" i="1"/>
  <c r="K786" i="1"/>
  <c r="J786" i="1"/>
  <c r="I786" i="1"/>
  <c r="H786" i="1"/>
  <c r="G786" i="1"/>
  <c r="F786" i="1"/>
  <c r="E786" i="1"/>
  <c r="D786" i="1"/>
  <c r="C786" i="1"/>
  <c r="S786" i="1"/>
  <c r="V791" i="1" l="1"/>
  <c r="H792" i="1"/>
  <c r="S797" i="1"/>
  <c r="Q802" i="1"/>
  <c r="Q803" i="1" s="1"/>
  <c r="Q804" i="1" s="1"/>
  <c r="P802" i="1"/>
  <c r="P803" i="1" s="1"/>
  <c r="P804" i="1" s="1"/>
  <c r="O802" i="1"/>
  <c r="O803" i="1" s="1"/>
  <c r="O804" i="1" s="1"/>
  <c r="M802" i="1"/>
  <c r="M803" i="1" s="1"/>
  <c r="M804" i="1" s="1"/>
  <c r="D802" i="1"/>
  <c r="D803" i="1" s="1"/>
  <c r="D804" i="1" s="1"/>
  <c r="C802" i="1"/>
  <c r="C803" i="1" s="1"/>
  <c r="C804" i="1" s="1"/>
  <c r="L797" i="1"/>
  <c r="J802" i="1"/>
  <c r="J803" i="1" s="1"/>
  <c r="J804" i="1" s="1"/>
  <c r="I802" i="1"/>
  <c r="I803" i="1" s="1"/>
  <c r="I804" i="1" s="1"/>
  <c r="H802" i="1"/>
  <c r="H803" i="1" s="1"/>
  <c r="G802" i="1"/>
  <c r="G803" i="1" s="1"/>
  <c r="G804" i="1" s="1"/>
  <c r="E802" i="1"/>
  <c r="E803" i="1" s="1"/>
  <c r="E804" i="1" s="1"/>
  <c r="AM804" i="1"/>
  <c r="AL804" i="1"/>
  <c r="AK804" i="1"/>
  <c r="AJ804" i="1"/>
  <c r="AC804" i="1"/>
  <c r="U802" i="1"/>
  <c r="U803" i="1" s="1"/>
  <c r="U804" i="1" s="1"/>
  <c r="T802" i="1"/>
  <c r="T803" i="1" s="1"/>
  <c r="T804" i="1" s="1"/>
  <c r="S802" i="1"/>
  <c r="S803" i="1" s="1"/>
  <c r="R802" i="1"/>
  <c r="R803" i="1" s="1"/>
  <c r="R804" i="1" s="1"/>
  <c r="N802" i="1"/>
  <c r="N803" i="1" s="1"/>
  <c r="N804" i="1" s="1"/>
  <c r="L802" i="1"/>
  <c r="L803" i="1" s="1"/>
  <c r="K802" i="1"/>
  <c r="K803" i="1" s="1"/>
  <c r="K804" i="1" s="1"/>
  <c r="F802" i="1"/>
  <c r="F803" i="1" s="1"/>
  <c r="F804" i="1" s="1"/>
  <c r="AM801" i="1"/>
  <c r="AL801" i="1"/>
  <c r="AK801" i="1"/>
  <c r="AJ801" i="1"/>
  <c r="AC801" i="1"/>
  <c r="U801" i="1"/>
  <c r="T801" i="1"/>
  <c r="U800" i="1"/>
  <c r="T800" i="1"/>
  <c r="S800" i="1"/>
  <c r="R800" i="1"/>
  <c r="Q800" i="1"/>
  <c r="P800" i="1"/>
  <c r="O800" i="1"/>
  <c r="N800" i="1"/>
  <c r="M800" i="1"/>
  <c r="L800" i="1"/>
  <c r="K800" i="1"/>
  <c r="J800" i="1"/>
  <c r="I800" i="1"/>
  <c r="H800" i="1"/>
  <c r="G800" i="1"/>
  <c r="F800" i="1"/>
  <c r="E800" i="1"/>
  <c r="D800" i="1"/>
  <c r="C800" i="1"/>
  <c r="AM798" i="1"/>
  <c r="AL798" i="1"/>
  <c r="AK798" i="1"/>
  <c r="AJ798" i="1"/>
  <c r="AC798" i="1"/>
  <c r="U798" i="1"/>
  <c r="T798" i="1"/>
  <c r="R798" i="1"/>
  <c r="Q798" i="1"/>
  <c r="P798" i="1"/>
  <c r="O798" i="1"/>
  <c r="N798" i="1"/>
  <c r="M798" i="1"/>
  <c r="K798" i="1"/>
  <c r="J798" i="1"/>
  <c r="I798" i="1"/>
  <c r="H798" i="1"/>
  <c r="G798" i="1"/>
  <c r="F798" i="1"/>
  <c r="E798" i="1"/>
  <c r="D798" i="1"/>
  <c r="C798" i="1"/>
  <c r="S796" i="1"/>
  <c r="L796" i="1"/>
  <c r="S798" i="1" l="1"/>
  <c r="S804" i="1"/>
  <c r="L798" i="1"/>
  <c r="L804" i="1"/>
  <c r="V803" i="1"/>
  <c r="H804" i="1"/>
  <c r="U814" i="1"/>
  <c r="T814" i="1"/>
  <c r="S814" i="1"/>
  <c r="S809" i="1"/>
  <c r="R814" i="1"/>
  <c r="Q814" i="1"/>
  <c r="P814" i="1"/>
  <c r="N814" i="1"/>
  <c r="D814" i="1"/>
  <c r="C814" i="1"/>
  <c r="L814" i="1" l="1"/>
  <c r="L815" i="1" s="1"/>
  <c r="L809" i="1"/>
  <c r="L808" i="1"/>
  <c r="K814" i="1"/>
  <c r="K815" i="1" s="1"/>
  <c r="K816" i="1" s="1"/>
  <c r="J814" i="1"/>
  <c r="J815" i="1" s="1"/>
  <c r="J816" i="1" s="1"/>
  <c r="I814" i="1"/>
  <c r="I815" i="1" s="1"/>
  <c r="I816" i="1" s="1"/>
  <c r="H814" i="1"/>
  <c r="H815" i="1" s="1"/>
  <c r="F814" i="1"/>
  <c r="F815" i="1" s="1"/>
  <c r="F816" i="1" s="1"/>
  <c r="AM816" i="1"/>
  <c r="AL816" i="1"/>
  <c r="AK816" i="1"/>
  <c r="AJ816" i="1"/>
  <c r="AC816" i="1"/>
  <c r="S815" i="1"/>
  <c r="R815" i="1"/>
  <c r="R816" i="1" s="1"/>
  <c r="C815" i="1"/>
  <c r="C816" i="1" s="1"/>
  <c r="U815" i="1"/>
  <c r="U816" i="1" s="1"/>
  <c r="T815" i="1"/>
  <c r="T816" i="1" s="1"/>
  <c r="Q815" i="1"/>
  <c r="Q816" i="1" s="1"/>
  <c r="P815" i="1"/>
  <c r="P816" i="1" s="1"/>
  <c r="O814" i="1"/>
  <c r="O815" i="1" s="1"/>
  <c r="O816" i="1" s="1"/>
  <c r="N815" i="1"/>
  <c r="N816" i="1" s="1"/>
  <c r="M814" i="1"/>
  <c r="M815" i="1" s="1"/>
  <c r="M816" i="1" s="1"/>
  <c r="G814" i="1"/>
  <c r="G815" i="1" s="1"/>
  <c r="G816" i="1" s="1"/>
  <c r="E814" i="1"/>
  <c r="E815" i="1" s="1"/>
  <c r="E816" i="1" s="1"/>
  <c r="D815" i="1"/>
  <c r="D816" i="1" s="1"/>
  <c r="AM813" i="1"/>
  <c r="AL813" i="1"/>
  <c r="AK813" i="1"/>
  <c r="AJ813" i="1"/>
  <c r="AC813" i="1"/>
  <c r="U813" i="1"/>
  <c r="T813" i="1"/>
  <c r="U812" i="1"/>
  <c r="T812" i="1"/>
  <c r="S812" i="1"/>
  <c r="R812" i="1"/>
  <c r="Q812" i="1"/>
  <c r="P812" i="1"/>
  <c r="O812" i="1"/>
  <c r="N812" i="1"/>
  <c r="M812" i="1"/>
  <c r="L812" i="1"/>
  <c r="K812" i="1"/>
  <c r="J812" i="1"/>
  <c r="I812" i="1"/>
  <c r="H812" i="1"/>
  <c r="G812" i="1"/>
  <c r="F812" i="1"/>
  <c r="E812" i="1"/>
  <c r="D812" i="1"/>
  <c r="C812" i="1"/>
  <c r="AM810" i="1"/>
  <c r="AL810" i="1"/>
  <c r="AK810" i="1"/>
  <c r="AJ810" i="1"/>
  <c r="AC810" i="1"/>
  <c r="U810" i="1"/>
  <c r="T810" i="1"/>
  <c r="R810" i="1"/>
  <c r="Q810" i="1"/>
  <c r="P810" i="1"/>
  <c r="O810" i="1"/>
  <c r="N810" i="1"/>
  <c r="M810" i="1"/>
  <c r="K810" i="1"/>
  <c r="J810" i="1"/>
  <c r="I810" i="1"/>
  <c r="H810" i="1"/>
  <c r="G810" i="1"/>
  <c r="F810" i="1"/>
  <c r="E810" i="1"/>
  <c r="D810" i="1"/>
  <c r="C810" i="1"/>
  <c r="S808" i="1"/>
  <c r="S810" i="1" s="1"/>
  <c r="S816" i="1" l="1"/>
  <c r="L810" i="1"/>
  <c r="L816" i="1"/>
  <c r="V815" i="1"/>
  <c r="H816" i="1"/>
  <c r="U838" i="1"/>
  <c r="U839" i="1" s="1"/>
  <c r="U840" i="1" s="1"/>
  <c r="T838" i="1"/>
  <c r="T839" i="1" s="1"/>
  <c r="T840" i="1" s="1"/>
  <c r="S838" i="1"/>
  <c r="S839" i="1" s="1"/>
  <c r="R838" i="1"/>
  <c r="R839" i="1" s="1"/>
  <c r="R840" i="1" s="1"/>
  <c r="Q838" i="1"/>
  <c r="Q839" i="1" s="1"/>
  <c r="Q840" i="1" s="1"/>
  <c r="P838" i="1"/>
  <c r="P839" i="1" s="1"/>
  <c r="P840" i="1" s="1"/>
  <c r="O838" i="1"/>
  <c r="O839" i="1" s="1"/>
  <c r="O840" i="1" s="1"/>
  <c r="N838" i="1"/>
  <c r="N839" i="1" s="1"/>
  <c r="N840" i="1" s="1"/>
  <c r="M838" i="1"/>
  <c r="M839" i="1" s="1"/>
  <c r="M840" i="1" s="1"/>
  <c r="L838" i="1"/>
  <c r="L839" i="1" s="1"/>
  <c r="K838" i="1"/>
  <c r="K839" i="1" s="1"/>
  <c r="K840" i="1" s="1"/>
  <c r="J838" i="1"/>
  <c r="J839" i="1" s="1"/>
  <c r="J840" i="1" s="1"/>
  <c r="I838" i="1"/>
  <c r="I839" i="1" s="1"/>
  <c r="I840" i="1" s="1"/>
  <c r="H838" i="1"/>
  <c r="H839" i="1" s="1"/>
  <c r="H840" i="1" s="1"/>
  <c r="G838" i="1"/>
  <c r="G839" i="1" s="1"/>
  <c r="G840" i="1" s="1"/>
  <c r="F838" i="1"/>
  <c r="F839" i="1" s="1"/>
  <c r="F840" i="1" s="1"/>
  <c r="E838" i="1"/>
  <c r="E839" i="1" s="1"/>
  <c r="E840" i="1" s="1"/>
  <c r="D838" i="1"/>
  <c r="D839" i="1" s="1"/>
  <c r="D840" i="1" s="1"/>
  <c r="C838" i="1"/>
  <c r="C839" i="1" s="1"/>
  <c r="C840" i="1" s="1"/>
  <c r="U837" i="1"/>
  <c r="T837" i="1"/>
  <c r="U836" i="1"/>
  <c r="T836" i="1"/>
  <c r="S836" i="1"/>
  <c r="R836" i="1"/>
  <c r="Q836" i="1"/>
  <c r="P836" i="1"/>
  <c r="O836" i="1"/>
  <c r="N836" i="1"/>
  <c r="M836" i="1"/>
  <c r="L836" i="1"/>
  <c r="K836" i="1"/>
  <c r="J836" i="1"/>
  <c r="I836" i="1"/>
  <c r="H836" i="1"/>
  <c r="G836" i="1"/>
  <c r="F836" i="1"/>
  <c r="E836" i="1"/>
  <c r="D836" i="1"/>
  <c r="C836" i="1"/>
  <c r="U834" i="1"/>
  <c r="T834" i="1"/>
  <c r="R834" i="1"/>
  <c r="Q834" i="1"/>
  <c r="P834" i="1"/>
  <c r="O834" i="1"/>
  <c r="N834" i="1"/>
  <c r="M834" i="1"/>
  <c r="K834" i="1"/>
  <c r="J834" i="1"/>
  <c r="I834" i="1"/>
  <c r="H834" i="1"/>
  <c r="G834" i="1"/>
  <c r="F834" i="1"/>
  <c r="E834" i="1"/>
  <c r="D834" i="1"/>
  <c r="C834" i="1"/>
  <c r="S833" i="1"/>
  <c r="L833" i="1"/>
  <c r="S832" i="1"/>
  <c r="L832" i="1"/>
  <c r="AM828" i="1"/>
  <c r="AL828" i="1"/>
  <c r="AK828" i="1"/>
  <c r="AJ828" i="1"/>
  <c r="AC828" i="1"/>
  <c r="U826" i="1"/>
  <c r="U827" i="1" s="1"/>
  <c r="U828" i="1" s="1"/>
  <c r="T826" i="1"/>
  <c r="T827" i="1" s="1"/>
  <c r="T828" i="1" s="1"/>
  <c r="S826" i="1"/>
  <c r="S827" i="1" s="1"/>
  <c r="R826" i="1"/>
  <c r="R827" i="1" s="1"/>
  <c r="R828" i="1" s="1"/>
  <c r="Q826" i="1"/>
  <c r="Q827" i="1" s="1"/>
  <c r="Q828" i="1" s="1"/>
  <c r="P826" i="1"/>
  <c r="P827" i="1" s="1"/>
  <c r="P828" i="1" s="1"/>
  <c r="O826" i="1"/>
  <c r="O827" i="1" s="1"/>
  <c r="O828" i="1" s="1"/>
  <c r="N826" i="1"/>
  <c r="N827" i="1" s="1"/>
  <c r="N828" i="1" s="1"/>
  <c r="M826" i="1"/>
  <c r="M827" i="1" s="1"/>
  <c r="M828" i="1" s="1"/>
  <c r="L826" i="1"/>
  <c r="L827" i="1" s="1"/>
  <c r="K826" i="1"/>
  <c r="K827" i="1" s="1"/>
  <c r="K828" i="1" s="1"/>
  <c r="J826" i="1"/>
  <c r="J827" i="1" s="1"/>
  <c r="J828" i="1" s="1"/>
  <c r="I826" i="1"/>
  <c r="I827" i="1" s="1"/>
  <c r="I828" i="1" s="1"/>
  <c r="H826" i="1"/>
  <c r="H827" i="1" s="1"/>
  <c r="G826" i="1"/>
  <c r="G827" i="1" s="1"/>
  <c r="G828" i="1" s="1"/>
  <c r="F826" i="1"/>
  <c r="F827" i="1" s="1"/>
  <c r="F828" i="1" s="1"/>
  <c r="E826" i="1"/>
  <c r="E827" i="1" s="1"/>
  <c r="E828" i="1" s="1"/>
  <c r="D826" i="1"/>
  <c r="D827" i="1" s="1"/>
  <c r="D828" i="1" s="1"/>
  <c r="C826" i="1"/>
  <c r="C827" i="1" s="1"/>
  <c r="C828" i="1" s="1"/>
  <c r="AM825" i="1"/>
  <c r="AL825" i="1"/>
  <c r="AK825" i="1"/>
  <c r="AJ825" i="1"/>
  <c r="AC825" i="1"/>
  <c r="U825" i="1"/>
  <c r="T825" i="1"/>
  <c r="U824" i="1"/>
  <c r="T824" i="1"/>
  <c r="S824" i="1"/>
  <c r="R824" i="1"/>
  <c r="Q824" i="1"/>
  <c r="P824" i="1"/>
  <c r="O824" i="1"/>
  <c r="N824" i="1"/>
  <c r="M824" i="1"/>
  <c r="L824" i="1"/>
  <c r="K824" i="1"/>
  <c r="J824" i="1"/>
  <c r="I824" i="1"/>
  <c r="H824" i="1"/>
  <c r="G824" i="1"/>
  <c r="F824" i="1"/>
  <c r="E824" i="1"/>
  <c r="D824" i="1"/>
  <c r="C824" i="1"/>
  <c r="AM822" i="1"/>
  <c r="AL822" i="1"/>
  <c r="AK822" i="1"/>
  <c r="AJ822" i="1"/>
  <c r="AC822" i="1"/>
  <c r="U822" i="1"/>
  <c r="T822" i="1"/>
  <c r="R822" i="1"/>
  <c r="Q822" i="1"/>
  <c r="P822" i="1"/>
  <c r="O822" i="1"/>
  <c r="N822" i="1"/>
  <c r="M822" i="1"/>
  <c r="K822" i="1"/>
  <c r="J822" i="1"/>
  <c r="I822" i="1"/>
  <c r="H822" i="1"/>
  <c r="G822" i="1"/>
  <c r="F822" i="1"/>
  <c r="E822" i="1"/>
  <c r="D822" i="1"/>
  <c r="C822" i="1"/>
  <c r="S821" i="1"/>
  <c r="L821" i="1"/>
  <c r="S820" i="1"/>
  <c r="L820" i="1"/>
  <c r="L834" i="1" l="1"/>
  <c r="S822" i="1"/>
  <c r="L822" i="1"/>
  <c r="S828" i="1"/>
  <c r="S840" i="1"/>
  <c r="L840" i="1"/>
  <c r="L828" i="1"/>
  <c r="S834" i="1"/>
  <c r="H828" i="1"/>
  <c r="V827" i="1"/>
  <c r="AM852" i="1" l="1"/>
  <c r="AL852" i="1"/>
  <c r="AK852" i="1"/>
  <c r="AJ852" i="1"/>
  <c r="AC852" i="1"/>
  <c r="U850" i="1"/>
  <c r="U851" i="1" s="1"/>
  <c r="U852" i="1" s="1"/>
  <c r="T850" i="1"/>
  <c r="T851" i="1" s="1"/>
  <c r="T852" i="1" s="1"/>
  <c r="S850" i="1"/>
  <c r="S851" i="1" s="1"/>
  <c r="R850" i="1"/>
  <c r="R851" i="1" s="1"/>
  <c r="R852" i="1" s="1"/>
  <c r="Q850" i="1"/>
  <c r="Q851" i="1" s="1"/>
  <c r="Q852" i="1" s="1"/>
  <c r="P850" i="1"/>
  <c r="P851" i="1" s="1"/>
  <c r="P852" i="1" s="1"/>
  <c r="O850" i="1"/>
  <c r="O851" i="1" s="1"/>
  <c r="O852" i="1" s="1"/>
  <c r="N850" i="1"/>
  <c r="N851" i="1" s="1"/>
  <c r="N852" i="1" s="1"/>
  <c r="M850" i="1"/>
  <c r="M851" i="1" s="1"/>
  <c r="M852" i="1" s="1"/>
  <c r="L850" i="1"/>
  <c r="L851" i="1" s="1"/>
  <c r="K850" i="1"/>
  <c r="K851" i="1" s="1"/>
  <c r="K852" i="1" s="1"/>
  <c r="J850" i="1"/>
  <c r="J851" i="1" s="1"/>
  <c r="J852" i="1" s="1"/>
  <c r="I850" i="1"/>
  <c r="I851" i="1" s="1"/>
  <c r="I852" i="1" s="1"/>
  <c r="H850" i="1"/>
  <c r="H851" i="1" s="1"/>
  <c r="V851" i="1" s="1"/>
  <c r="G850" i="1"/>
  <c r="G851" i="1" s="1"/>
  <c r="G852" i="1" s="1"/>
  <c r="F850" i="1"/>
  <c r="F851" i="1" s="1"/>
  <c r="F852" i="1" s="1"/>
  <c r="E850" i="1"/>
  <c r="E851" i="1" s="1"/>
  <c r="E852" i="1" s="1"/>
  <c r="D850" i="1"/>
  <c r="D851" i="1" s="1"/>
  <c r="D852" i="1" s="1"/>
  <c r="C850" i="1"/>
  <c r="C851" i="1" s="1"/>
  <c r="C852" i="1" s="1"/>
  <c r="AM849" i="1"/>
  <c r="AL849" i="1"/>
  <c r="AK849" i="1"/>
  <c r="AJ849" i="1"/>
  <c r="AC849" i="1"/>
  <c r="U849" i="1"/>
  <c r="T849" i="1"/>
  <c r="U848" i="1"/>
  <c r="T848" i="1"/>
  <c r="S848" i="1"/>
  <c r="R848" i="1"/>
  <c r="Q848" i="1"/>
  <c r="P848" i="1"/>
  <c r="O848" i="1"/>
  <c r="N848" i="1"/>
  <c r="M848" i="1"/>
  <c r="L848" i="1"/>
  <c r="K848" i="1"/>
  <c r="J848" i="1"/>
  <c r="I848" i="1"/>
  <c r="H848" i="1"/>
  <c r="G848" i="1"/>
  <c r="F848" i="1"/>
  <c r="E848" i="1"/>
  <c r="D848" i="1"/>
  <c r="C848" i="1"/>
  <c r="AM846" i="1"/>
  <c r="AL846" i="1"/>
  <c r="AK846" i="1"/>
  <c r="AJ846" i="1"/>
  <c r="AC846" i="1"/>
  <c r="U846" i="1"/>
  <c r="T846" i="1"/>
  <c r="R846" i="1"/>
  <c r="Q846" i="1"/>
  <c r="P846" i="1"/>
  <c r="O846" i="1"/>
  <c r="N846" i="1"/>
  <c r="M846" i="1"/>
  <c r="K846" i="1"/>
  <c r="J846" i="1"/>
  <c r="I846" i="1"/>
  <c r="H846" i="1"/>
  <c r="G846" i="1"/>
  <c r="F846" i="1"/>
  <c r="E846" i="1"/>
  <c r="D846" i="1"/>
  <c r="C846" i="1"/>
  <c r="S845" i="1"/>
  <c r="L845" i="1"/>
  <c r="S844" i="1"/>
  <c r="L844" i="1"/>
  <c r="S846" i="1" l="1"/>
  <c r="L846" i="1"/>
  <c r="S852" i="1"/>
  <c r="L852" i="1"/>
  <c r="H852" i="1"/>
  <c r="AM840" i="1"/>
  <c r="AL840" i="1"/>
  <c r="AK840" i="1"/>
  <c r="AJ840" i="1"/>
  <c r="AC840" i="1"/>
  <c r="V839" i="1"/>
  <c r="AM837" i="1"/>
  <c r="AL837" i="1"/>
  <c r="AK837" i="1"/>
  <c r="AJ837" i="1"/>
  <c r="AC837" i="1"/>
  <c r="AM834" i="1"/>
  <c r="AL834" i="1"/>
  <c r="AK834" i="1"/>
  <c r="AJ834" i="1"/>
  <c r="AC834" i="1"/>
  <c r="U862" i="1" l="1"/>
  <c r="S862" i="1"/>
  <c r="S863" i="1" s="1"/>
  <c r="S857" i="1"/>
  <c r="R862" i="1"/>
  <c r="R863" i="1" s="1"/>
  <c r="R864" i="1" s="1"/>
  <c r="Q862" i="1"/>
  <c r="Q863" i="1" s="1"/>
  <c r="Q864" i="1" s="1"/>
  <c r="O862" i="1"/>
  <c r="O863" i="1" s="1"/>
  <c r="O864" i="1" s="1"/>
  <c r="M862" i="1"/>
  <c r="M863" i="1" s="1"/>
  <c r="M864" i="1" s="1"/>
  <c r="L862" i="1"/>
  <c r="L863" i="1" s="1"/>
  <c r="L857" i="1"/>
  <c r="K862" i="1"/>
  <c r="K863" i="1" s="1"/>
  <c r="K864" i="1" s="1"/>
  <c r="J862" i="1"/>
  <c r="G862" i="1"/>
  <c r="G863" i="1" s="1"/>
  <c r="G864" i="1" s="1"/>
  <c r="F862" i="1"/>
  <c r="F863" i="1" s="1"/>
  <c r="F864" i="1" s="1"/>
  <c r="AM864" i="1"/>
  <c r="AL864" i="1"/>
  <c r="AK864" i="1"/>
  <c r="AJ864" i="1"/>
  <c r="AC864" i="1"/>
  <c r="J863" i="1"/>
  <c r="J864" i="1" s="1"/>
  <c r="U863" i="1"/>
  <c r="U864" i="1" s="1"/>
  <c r="T862" i="1"/>
  <c r="T863" i="1" s="1"/>
  <c r="T864" i="1" s="1"/>
  <c r="P862" i="1"/>
  <c r="P863" i="1" s="1"/>
  <c r="P864" i="1" s="1"/>
  <c r="N862" i="1"/>
  <c r="N863" i="1" s="1"/>
  <c r="N864" i="1" s="1"/>
  <c r="I862" i="1"/>
  <c r="I863" i="1" s="1"/>
  <c r="I864" i="1" s="1"/>
  <c r="H862" i="1"/>
  <c r="H863" i="1" s="1"/>
  <c r="E862" i="1"/>
  <c r="E863" i="1" s="1"/>
  <c r="E864" i="1" s="1"/>
  <c r="D862" i="1"/>
  <c r="D863" i="1" s="1"/>
  <c r="D864" i="1" s="1"/>
  <c r="C862" i="1"/>
  <c r="C863" i="1" s="1"/>
  <c r="C864" i="1" s="1"/>
  <c r="AM861" i="1"/>
  <c r="AL861" i="1"/>
  <c r="AK861" i="1"/>
  <c r="AJ861" i="1"/>
  <c r="AC861" i="1"/>
  <c r="U861" i="1"/>
  <c r="T861" i="1"/>
  <c r="U860" i="1"/>
  <c r="T860" i="1"/>
  <c r="S860" i="1"/>
  <c r="R860" i="1"/>
  <c r="Q860" i="1"/>
  <c r="P860" i="1"/>
  <c r="O860" i="1"/>
  <c r="N860" i="1"/>
  <c r="M860" i="1"/>
  <c r="L860" i="1"/>
  <c r="K860" i="1"/>
  <c r="J860" i="1"/>
  <c r="I860" i="1"/>
  <c r="H860" i="1"/>
  <c r="G860" i="1"/>
  <c r="F860" i="1"/>
  <c r="E860" i="1"/>
  <c r="D860" i="1"/>
  <c r="C860" i="1"/>
  <c r="AM858" i="1"/>
  <c r="AL858" i="1"/>
  <c r="AK858" i="1"/>
  <c r="AJ858" i="1"/>
  <c r="AC858" i="1"/>
  <c r="U858" i="1"/>
  <c r="T858" i="1"/>
  <c r="R858" i="1"/>
  <c r="Q858" i="1"/>
  <c r="P858" i="1"/>
  <c r="O858" i="1"/>
  <c r="N858" i="1"/>
  <c r="M858" i="1"/>
  <c r="K858" i="1"/>
  <c r="J858" i="1"/>
  <c r="I858" i="1"/>
  <c r="H858" i="1"/>
  <c r="G858" i="1"/>
  <c r="F858" i="1"/>
  <c r="E858" i="1"/>
  <c r="D858" i="1"/>
  <c r="C858" i="1"/>
  <c r="S856" i="1"/>
  <c r="L856" i="1"/>
  <c r="L864" i="1" l="1"/>
  <c r="S858" i="1"/>
  <c r="L858" i="1"/>
  <c r="S864" i="1"/>
  <c r="V863" i="1"/>
  <c r="H864" i="1"/>
  <c r="AM888" i="1"/>
  <c r="AL888" i="1"/>
  <c r="AK888" i="1"/>
  <c r="AJ888" i="1"/>
  <c r="AC888" i="1"/>
  <c r="U886" i="1"/>
  <c r="U887" i="1" s="1"/>
  <c r="U888" i="1" s="1"/>
  <c r="T886" i="1"/>
  <c r="T887" i="1" s="1"/>
  <c r="T888" i="1" s="1"/>
  <c r="S886" i="1"/>
  <c r="S887" i="1" s="1"/>
  <c r="S888" i="1" s="1"/>
  <c r="R886" i="1"/>
  <c r="R887" i="1" s="1"/>
  <c r="R888" i="1" s="1"/>
  <c r="Q886" i="1"/>
  <c r="Q887" i="1" s="1"/>
  <c r="Q888" i="1" s="1"/>
  <c r="P886" i="1"/>
  <c r="P887" i="1" s="1"/>
  <c r="P888" i="1" s="1"/>
  <c r="O886" i="1"/>
  <c r="O887" i="1" s="1"/>
  <c r="O888" i="1" s="1"/>
  <c r="N886" i="1"/>
  <c r="N887" i="1" s="1"/>
  <c r="N888" i="1" s="1"/>
  <c r="M886" i="1"/>
  <c r="M887" i="1" s="1"/>
  <c r="M888" i="1" s="1"/>
  <c r="L886" i="1"/>
  <c r="L887" i="1" s="1"/>
  <c r="L888" i="1" s="1"/>
  <c r="K886" i="1"/>
  <c r="K887" i="1" s="1"/>
  <c r="K888" i="1" s="1"/>
  <c r="J886" i="1"/>
  <c r="J887" i="1" s="1"/>
  <c r="J888" i="1" s="1"/>
  <c r="I886" i="1"/>
  <c r="I887" i="1" s="1"/>
  <c r="I888" i="1" s="1"/>
  <c r="H886" i="1"/>
  <c r="H887" i="1" s="1"/>
  <c r="G886" i="1"/>
  <c r="G887" i="1" s="1"/>
  <c r="G888" i="1" s="1"/>
  <c r="F886" i="1"/>
  <c r="F887" i="1" s="1"/>
  <c r="F888" i="1" s="1"/>
  <c r="E886" i="1"/>
  <c r="E887" i="1" s="1"/>
  <c r="E888" i="1" s="1"/>
  <c r="D886" i="1"/>
  <c r="D887" i="1" s="1"/>
  <c r="D888" i="1" s="1"/>
  <c r="C886" i="1"/>
  <c r="C887" i="1" s="1"/>
  <c r="C888" i="1" s="1"/>
  <c r="AM885" i="1"/>
  <c r="AL885" i="1"/>
  <c r="AK885" i="1"/>
  <c r="AJ885" i="1"/>
  <c r="AC885" i="1"/>
  <c r="U885" i="1"/>
  <c r="T885" i="1"/>
  <c r="U884" i="1"/>
  <c r="T884" i="1"/>
  <c r="S884" i="1"/>
  <c r="R884" i="1"/>
  <c r="Q884" i="1"/>
  <c r="P884" i="1"/>
  <c r="O884" i="1"/>
  <c r="N884" i="1"/>
  <c r="M884" i="1"/>
  <c r="L884" i="1"/>
  <c r="K884" i="1"/>
  <c r="J884" i="1"/>
  <c r="I884" i="1"/>
  <c r="H884" i="1"/>
  <c r="G884" i="1"/>
  <c r="F884" i="1"/>
  <c r="E884" i="1"/>
  <c r="D884" i="1"/>
  <c r="C884" i="1"/>
  <c r="AM882" i="1"/>
  <c r="AL882" i="1"/>
  <c r="AK882" i="1"/>
  <c r="AJ882" i="1"/>
  <c r="AC882" i="1"/>
  <c r="U882" i="1"/>
  <c r="T882" i="1"/>
  <c r="S882" i="1"/>
  <c r="R882" i="1"/>
  <c r="Q882" i="1"/>
  <c r="P882" i="1"/>
  <c r="O882" i="1"/>
  <c r="N882" i="1"/>
  <c r="M882" i="1"/>
  <c r="L882" i="1"/>
  <c r="K882" i="1"/>
  <c r="J882" i="1"/>
  <c r="I882" i="1"/>
  <c r="H882" i="1"/>
  <c r="G882" i="1"/>
  <c r="F882" i="1"/>
  <c r="E882" i="1"/>
  <c r="D882" i="1"/>
  <c r="C882" i="1"/>
  <c r="V887" i="1" l="1"/>
  <c r="H888" i="1"/>
  <c r="T874" i="1"/>
  <c r="T875" i="1" s="1"/>
  <c r="T876" i="1" s="1"/>
  <c r="S869" i="1"/>
  <c r="S868" i="1"/>
  <c r="R874" i="1"/>
  <c r="R875" i="1" s="1"/>
  <c r="R876" i="1" s="1"/>
  <c r="M874" i="1"/>
  <c r="M875" i="1" s="1"/>
  <c r="M876" i="1" s="1"/>
  <c r="L869" i="1"/>
  <c r="L868" i="1"/>
  <c r="K874" i="1"/>
  <c r="K875" i="1" s="1"/>
  <c r="K876" i="1" s="1"/>
  <c r="H874" i="1"/>
  <c r="H875" i="1" s="1"/>
  <c r="H876" i="1" s="1"/>
  <c r="F874" i="1"/>
  <c r="F875" i="1" s="1"/>
  <c r="F876" i="1" s="1"/>
  <c r="C874" i="1"/>
  <c r="C875" i="1" s="1"/>
  <c r="C876" i="1" s="1"/>
  <c r="S874" i="1"/>
  <c r="S875" i="1" s="1"/>
  <c r="N874" i="1"/>
  <c r="N875" i="1" s="1"/>
  <c r="O874" i="1"/>
  <c r="O875" i="1" s="1"/>
  <c r="O876" i="1" s="1"/>
  <c r="P874" i="1"/>
  <c r="P875" i="1" s="1"/>
  <c r="P876" i="1" s="1"/>
  <c r="L874" i="1"/>
  <c r="L875" i="1" s="1"/>
  <c r="G874" i="1"/>
  <c r="G875" i="1" s="1"/>
  <c r="G876" i="1" s="1"/>
  <c r="I874" i="1"/>
  <c r="I875" i="1" s="1"/>
  <c r="I876" i="1" s="1"/>
  <c r="E874" i="1"/>
  <c r="E875" i="1" s="1"/>
  <c r="E876" i="1" s="1"/>
  <c r="D874" i="1"/>
  <c r="D875" i="1" s="1"/>
  <c r="D876" i="1" s="1"/>
  <c r="AM876" i="1"/>
  <c r="AL876" i="1"/>
  <c r="AK876" i="1"/>
  <c r="AJ876" i="1"/>
  <c r="AC876" i="1"/>
  <c r="U874" i="1"/>
  <c r="U875" i="1" s="1"/>
  <c r="U876" i="1" s="1"/>
  <c r="Q874" i="1"/>
  <c r="Q875" i="1" s="1"/>
  <c r="Q876" i="1" s="1"/>
  <c r="J874" i="1"/>
  <c r="J875" i="1" s="1"/>
  <c r="J876" i="1" s="1"/>
  <c r="AM873" i="1"/>
  <c r="AL873" i="1"/>
  <c r="AK873" i="1"/>
  <c r="AJ873" i="1"/>
  <c r="AC873" i="1"/>
  <c r="U873" i="1"/>
  <c r="T873" i="1"/>
  <c r="U872" i="1"/>
  <c r="T872" i="1"/>
  <c r="S872" i="1"/>
  <c r="R872" i="1"/>
  <c r="Q872" i="1"/>
  <c r="P872" i="1"/>
  <c r="O872" i="1"/>
  <c r="N872" i="1"/>
  <c r="M872" i="1"/>
  <c r="L872" i="1"/>
  <c r="K872" i="1"/>
  <c r="J872" i="1"/>
  <c r="I872" i="1"/>
  <c r="H872" i="1"/>
  <c r="G872" i="1"/>
  <c r="F872" i="1"/>
  <c r="E872" i="1"/>
  <c r="D872" i="1"/>
  <c r="C872" i="1"/>
  <c r="AM870" i="1"/>
  <c r="AL870" i="1"/>
  <c r="AK870" i="1"/>
  <c r="AJ870" i="1"/>
  <c r="AC870" i="1"/>
  <c r="U870" i="1"/>
  <c r="T870" i="1"/>
  <c r="R870" i="1"/>
  <c r="Q870" i="1"/>
  <c r="P870" i="1"/>
  <c r="O870" i="1"/>
  <c r="N870" i="1"/>
  <c r="M870" i="1"/>
  <c r="K870" i="1"/>
  <c r="J870" i="1"/>
  <c r="I870" i="1"/>
  <c r="H870" i="1"/>
  <c r="G870" i="1"/>
  <c r="F870" i="1"/>
  <c r="E870" i="1"/>
  <c r="D870" i="1"/>
  <c r="C870" i="1"/>
  <c r="S870" i="1" l="1"/>
  <c r="L870" i="1"/>
  <c r="L876" i="1"/>
  <c r="S876" i="1"/>
  <c r="N876" i="1"/>
  <c r="V875" i="1"/>
  <c r="R898" i="1"/>
  <c r="P898" i="1"/>
  <c r="P899" i="1" s="1"/>
  <c r="P900" i="1" s="1"/>
  <c r="K898" i="1"/>
  <c r="K899" i="1" s="1"/>
  <c r="K900" i="1" s="1"/>
  <c r="H898" i="1"/>
  <c r="I898" i="1"/>
  <c r="I899" i="1" s="1"/>
  <c r="I900" i="1" s="1"/>
  <c r="E898" i="1"/>
  <c r="E899" i="1" s="1"/>
  <c r="E900" i="1" s="1"/>
  <c r="D898" i="1"/>
  <c r="D899" i="1" s="1"/>
  <c r="D900" i="1" s="1"/>
  <c r="C898" i="1"/>
  <c r="C899" i="1" s="1"/>
  <c r="C900" i="1" s="1"/>
  <c r="AM900" i="1"/>
  <c r="AL900" i="1"/>
  <c r="AK900" i="1"/>
  <c r="AJ900" i="1"/>
  <c r="AC900" i="1"/>
  <c r="U898" i="1"/>
  <c r="U899" i="1" s="1"/>
  <c r="U900" i="1" s="1"/>
  <c r="T898" i="1"/>
  <c r="T899" i="1" s="1"/>
  <c r="T900" i="1" s="1"/>
  <c r="S898" i="1"/>
  <c r="S899" i="1" s="1"/>
  <c r="S900" i="1" s="1"/>
  <c r="R899" i="1"/>
  <c r="R900" i="1" s="1"/>
  <c r="Q898" i="1"/>
  <c r="Q899" i="1" s="1"/>
  <c r="Q900" i="1" s="1"/>
  <c r="O898" i="1"/>
  <c r="O899" i="1" s="1"/>
  <c r="O900" i="1" s="1"/>
  <c r="N898" i="1"/>
  <c r="N899" i="1" s="1"/>
  <c r="N900" i="1" s="1"/>
  <c r="M898" i="1"/>
  <c r="M899" i="1" s="1"/>
  <c r="M900" i="1" s="1"/>
  <c r="L898" i="1"/>
  <c r="L899" i="1" s="1"/>
  <c r="L900" i="1" s="1"/>
  <c r="J898" i="1"/>
  <c r="J899" i="1" s="1"/>
  <c r="J900" i="1" s="1"/>
  <c r="H899" i="1"/>
  <c r="G898" i="1"/>
  <c r="G899" i="1" s="1"/>
  <c r="G900" i="1" s="1"/>
  <c r="F898" i="1"/>
  <c r="F899" i="1" s="1"/>
  <c r="F900" i="1" s="1"/>
  <c r="AM897" i="1"/>
  <c r="AL897" i="1"/>
  <c r="AK897" i="1"/>
  <c r="AJ897" i="1"/>
  <c r="AC897" i="1"/>
  <c r="U897" i="1"/>
  <c r="T897" i="1"/>
  <c r="U896" i="1"/>
  <c r="T896" i="1"/>
  <c r="S896" i="1"/>
  <c r="R896" i="1"/>
  <c r="Q896" i="1"/>
  <c r="P896" i="1"/>
  <c r="O896" i="1"/>
  <c r="N896" i="1"/>
  <c r="M896" i="1"/>
  <c r="L896" i="1"/>
  <c r="K896" i="1"/>
  <c r="J896" i="1"/>
  <c r="I896" i="1"/>
  <c r="H896" i="1"/>
  <c r="G896" i="1"/>
  <c r="F896" i="1"/>
  <c r="E896" i="1"/>
  <c r="D896" i="1"/>
  <c r="C896" i="1"/>
  <c r="AM894" i="1"/>
  <c r="AL894" i="1"/>
  <c r="AK894" i="1"/>
  <c r="AJ894" i="1"/>
  <c r="AC894" i="1"/>
  <c r="U894" i="1"/>
  <c r="T894" i="1"/>
  <c r="S894" i="1"/>
  <c r="R894" i="1"/>
  <c r="Q894" i="1"/>
  <c r="P894" i="1"/>
  <c r="O894" i="1"/>
  <c r="N894" i="1"/>
  <c r="M894" i="1"/>
  <c r="L894" i="1"/>
  <c r="K894" i="1"/>
  <c r="J894" i="1"/>
  <c r="I894" i="1"/>
  <c r="H894" i="1"/>
  <c r="G894" i="1"/>
  <c r="F894" i="1"/>
  <c r="E894" i="1"/>
  <c r="D894" i="1"/>
  <c r="C894" i="1"/>
  <c r="H900" i="1" l="1"/>
  <c r="V899" i="1"/>
  <c r="J910" i="1"/>
  <c r="J911" i="1" s="1"/>
  <c r="J912" i="1" s="1"/>
  <c r="I910" i="1"/>
  <c r="I911" i="1" s="1"/>
  <c r="I912" i="1" s="1"/>
  <c r="Q910" i="1"/>
  <c r="Q911" i="1" s="1"/>
  <c r="Q912" i="1" s="1"/>
  <c r="P910" i="1"/>
  <c r="P911" i="1" s="1"/>
  <c r="P912" i="1" s="1"/>
  <c r="T910" i="1"/>
  <c r="T911" i="1" s="1"/>
  <c r="T912" i="1" s="1"/>
  <c r="AM912" i="1"/>
  <c r="AL912" i="1"/>
  <c r="AK912" i="1"/>
  <c r="AJ912" i="1"/>
  <c r="AC912" i="1"/>
  <c r="U910" i="1"/>
  <c r="U911" i="1" s="1"/>
  <c r="U912" i="1" s="1"/>
  <c r="S910" i="1"/>
  <c r="S911" i="1" s="1"/>
  <c r="S912" i="1" s="1"/>
  <c r="R910" i="1"/>
  <c r="R911" i="1" s="1"/>
  <c r="R912" i="1" s="1"/>
  <c r="O910" i="1"/>
  <c r="O911" i="1" s="1"/>
  <c r="O912" i="1" s="1"/>
  <c r="N910" i="1"/>
  <c r="N911" i="1" s="1"/>
  <c r="N912" i="1" s="1"/>
  <c r="M910" i="1"/>
  <c r="M911" i="1" s="1"/>
  <c r="M912" i="1" s="1"/>
  <c r="L910" i="1"/>
  <c r="L911" i="1" s="1"/>
  <c r="L912" i="1" s="1"/>
  <c r="K910" i="1"/>
  <c r="K911" i="1" s="1"/>
  <c r="K912" i="1" s="1"/>
  <c r="H910" i="1"/>
  <c r="H911" i="1" s="1"/>
  <c r="G910" i="1"/>
  <c r="G911" i="1" s="1"/>
  <c r="G912" i="1" s="1"/>
  <c r="F910" i="1"/>
  <c r="F911" i="1" s="1"/>
  <c r="F912" i="1" s="1"/>
  <c r="E910" i="1"/>
  <c r="E911" i="1" s="1"/>
  <c r="E912" i="1" s="1"/>
  <c r="D910" i="1"/>
  <c r="D911" i="1" s="1"/>
  <c r="D912" i="1" s="1"/>
  <c r="C910" i="1"/>
  <c r="C911" i="1" s="1"/>
  <c r="C912" i="1" s="1"/>
  <c r="AM909" i="1"/>
  <c r="AL909" i="1"/>
  <c r="AK909" i="1"/>
  <c r="AJ909" i="1"/>
  <c r="AC909" i="1"/>
  <c r="U909" i="1"/>
  <c r="T909" i="1"/>
  <c r="U908" i="1"/>
  <c r="T908" i="1"/>
  <c r="S908" i="1"/>
  <c r="R908" i="1"/>
  <c r="Q908" i="1"/>
  <c r="P908" i="1"/>
  <c r="O908" i="1"/>
  <c r="N908" i="1"/>
  <c r="M908" i="1"/>
  <c r="L908" i="1"/>
  <c r="K908" i="1"/>
  <c r="J908" i="1"/>
  <c r="I908" i="1"/>
  <c r="H908" i="1"/>
  <c r="G908" i="1"/>
  <c r="F908" i="1"/>
  <c r="E908" i="1"/>
  <c r="D908" i="1"/>
  <c r="C908" i="1"/>
  <c r="AM906" i="1"/>
  <c r="AL906" i="1"/>
  <c r="AK906" i="1"/>
  <c r="AJ906" i="1"/>
  <c r="AC906" i="1"/>
  <c r="U906" i="1"/>
  <c r="T906" i="1"/>
  <c r="S906" i="1"/>
  <c r="R906" i="1"/>
  <c r="Q906" i="1"/>
  <c r="P906" i="1"/>
  <c r="O906" i="1"/>
  <c r="N906" i="1"/>
  <c r="M906" i="1"/>
  <c r="L906" i="1"/>
  <c r="K906" i="1"/>
  <c r="J906" i="1"/>
  <c r="I906" i="1"/>
  <c r="H906" i="1"/>
  <c r="G906" i="1"/>
  <c r="F906" i="1"/>
  <c r="E906" i="1"/>
  <c r="D906" i="1"/>
  <c r="C906" i="1"/>
  <c r="H912" i="1" l="1"/>
  <c r="V911" i="1"/>
  <c r="AK924" i="1" l="1"/>
  <c r="AK921" i="1"/>
  <c r="AK918" i="1"/>
  <c r="AM924" i="1"/>
  <c r="AM921" i="1"/>
  <c r="AM918" i="1"/>
  <c r="D922" i="1"/>
  <c r="C922" i="1"/>
  <c r="T922" i="1"/>
  <c r="S922" i="1" l="1"/>
  <c r="S923" i="1" s="1"/>
  <c r="S924" i="1" s="1"/>
  <c r="R922" i="1"/>
  <c r="R923" i="1" s="1"/>
  <c r="R924" i="1" s="1"/>
  <c r="M922" i="1"/>
  <c r="M923" i="1" s="1"/>
  <c r="M924" i="1" s="1"/>
  <c r="K922" i="1"/>
  <c r="K923" i="1" s="1"/>
  <c r="K924" i="1" s="1"/>
  <c r="H922" i="1"/>
  <c r="H923" i="1" s="1"/>
  <c r="F922" i="1"/>
  <c r="F923" i="1" s="1"/>
  <c r="F924" i="1" s="1"/>
  <c r="E922" i="1"/>
  <c r="E923" i="1" s="1"/>
  <c r="E924" i="1" s="1"/>
  <c r="AL924" i="1"/>
  <c r="AJ924" i="1"/>
  <c r="AC924" i="1"/>
  <c r="C923" i="1"/>
  <c r="C924" i="1" s="1"/>
  <c r="U922" i="1"/>
  <c r="U923" i="1" s="1"/>
  <c r="U924" i="1" s="1"/>
  <c r="T923" i="1"/>
  <c r="T924" i="1" s="1"/>
  <c r="Q922" i="1"/>
  <c r="Q923" i="1" s="1"/>
  <c r="Q924" i="1" s="1"/>
  <c r="P922" i="1"/>
  <c r="P923" i="1" s="1"/>
  <c r="P924" i="1" s="1"/>
  <c r="O922" i="1"/>
  <c r="O923" i="1" s="1"/>
  <c r="O924" i="1" s="1"/>
  <c r="N922" i="1"/>
  <c r="N923" i="1" s="1"/>
  <c r="N924" i="1" s="1"/>
  <c r="L922" i="1"/>
  <c r="L923" i="1" s="1"/>
  <c r="L924" i="1" s="1"/>
  <c r="J922" i="1"/>
  <c r="J923" i="1" s="1"/>
  <c r="J924" i="1" s="1"/>
  <c r="I922" i="1"/>
  <c r="I923" i="1" s="1"/>
  <c r="I924" i="1" s="1"/>
  <c r="G922" i="1"/>
  <c r="G923" i="1" s="1"/>
  <c r="G924" i="1" s="1"/>
  <c r="D923" i="1"/>
  <c r="D924" i="1" s="1"/>
  <c r="AL921" i="1"/>
  <c r="AJ921" i="1"/>
  <c r="AC921" i="1"/>
  <c r="U921" i="1"/>
  <c r="T921" i="1"/>
  <c r="U920" i="1"/>
  <c r="T920" i="1"/>
  <c r="S920" i="1"/>
  <c r="R920" i="1"/>
  <c r="Q920" i="1"/>
  <c r="P920" i="1"/>
  <c r="O920" i="1"/>
  <c r="N920" i="1"/>
  <c r="M920" i="1"/>
  <c r="L920" i="1"/>
  <c r="K920" i="1"/>
  <c r="J920" i="1"/>
  <c r="I920" i="1"/>
  <c r="H920" i="1"/>
  <c r="G920" i="1"/>
  <c r="F920" i="1"/>
  <c r="E920" i="1"/>
  <c r="D920" i="1"/>
  <c r="C920" i="1"/>
  <c r="AL918" i="1"/>
  <c r="AJ918" i="1"/>
  <c r="AC918" i="1"/>
  <c r="U918" i="1"/>
  <c r="T918" i="1"/>
  <c r="S918" i="1"/>
  <c r="R918" i="1"/>
  <c r="Q918" i="1"/>
  <c r="P918" i="1"/>
  <c r="O918" i="1"/>
  <c r="N918" i="1"/>
  <c r="M918" i="1"/>
  <c r="L918" i="1"/>
  <c r="K918" i="1"/>
  <c r="J918" i="1"/>
  <c r="I918" i="1"/>
  <c r="H918" i="1"/>
  <c r="G918" i="1"/>
  <c r="F918" i="1"/>
  <c r="E918" i="1"/>
  <c r="D918" i="1"/>
  <c r="C918" i="1"/>
  <c r="H924" i="1" l="1"/>
  <c r="V923" i="1"/>
  <c r="S934" i="1"/>
  <c r="S935" i="1" s="1"/>
  <c r="S936" i="1" s="1"/>
  <c r="L934" i="1"/>
  <c r="L935" i="1" s="1"/>
  <c r="L936" i="1" s="1"/>
  <c r="S932" i="1"/>
  <c r="S930" i="1"/>
  <c r="L932" i="1"/>
  <c r="L930" i="1"/>
  <c r="T934" i="1" l="1"/>
  <c r="T935" i="1" s="1"/>
  <c r="T936" i="1" s="1"/>
  <c r="O934" i="1"/>
  <c r="O935" i="1" s="1"/>
  <c r="O936" i="1" s="1"/>
  <c r="N934" i="1"/>
  <c r="N935" i="1" s="1"/>
  <c r="N936" i="1" s="1"/>
  <c r="H934" i="1"/>
  <c r="H935" i="1" s="1"/>
  <c r="G934" i="1"/>
  <c r="G935" i="1" s="1"/>
  <c r="G936" i="1" s="1"/>
  <c r="E934" i="1"/>
  <c r="E935" i="1" s="1"/>
  <c r="E936" i="1" s="1"/>
  <c r="D934" i="1"/>
  <c r="D935" i="1" s="1"/>
  <c r="D936" i="1" s="1"/>
  <c r="AK936" i="1"/>
  <c r="AJ936" i="1"/>
  <c r="AC936" i="1"/>
  <c r="U934" i="1"/>
  <c r="U935" i="1" s="1"/>
  <c r="U936" i="1" s="1"/>
  <c r="R934" i="1"/>
  <c r="R935" i="1" s="1"/>
  <c r="R936" i="1" s="1"/>
  <c r="Q934" i="1"/>
  <c r="Q935" i="1" s="1"/>
  <c r="Q936" i="1" s="1"/>
  <c r="P934" i="1"/>
  <c r="P935" i="1" s="1"/>
  <c r="P936" i="1" s="1"/>
  <c r="M934" i="1"/>
  <c r="M935" i="1" s="1"/>
  <c r="M936" i="1" s="1"/>
  <c r="K934" i="1"/>
  <c r="K935" i="1" s="1"/>
  <c r="K936" i="1" s="1"/>
  <c r="J934" i="1"/>
  <c r="J935" i="1" s="1"/>
  <c r="J936" i="1" s="1"/>
  <c r="I934" i="1"/>
  <c r="I935" i="1" s="1"/>
  <c r="I936" i="1" s="1"/>
  <c r="F934" i="1"/>
  <c r="F935" i="1" s="1"/>
  <c r="F936" i="1" s="1"/>
  <c r="C934" i="1"/>
  <c r="C935" i="1" s="1"/>
  <c r="C936" i="1" s="1"/>
  <c r="AK933" i="1"/>
  <c r="AJ933" i="1"/>
  <c r="AC933" i="1"/>
  <c r="U933" i="1"/>
  <c r="T933" i="1"/>
  <c r="U932" i="1"/>
  <c r="T932" i="1"/>
  <c r="R932" i="1"/>
  <c r="Q932" i="1"/>
  <c r="P932" i="1"/>
  <c r="O932" i="1"/>
  <c r="N932" i="1"/>
  <c r="M932" i="1"/>
  <c r="K932" i="1"/>
  <c r="J932" i="1"/>
  <c r="I932" i="1"/>
  <c r="H932" i="1"/>
  <c r="G932" i="1"/>
  <c r="F932" i="1"/>
  <c r="E932" i="1"/>
  <c r="D932" i="1"/>
  <c r="C932" i="1"/>
  <c r="AK930" i="1"/>
  <c r="AJ930" i="1"/>
  <c r="AC930" i="1"/>
  <c r="U930" i="1"/>
  <c r="T930" i="1"/>
  <c r="R930" i="1"/>
  <c r="Q930" i="1"/>
  <c r="P930" i="1"/>
  <c r="O930" i="1"/>
  <c r="N930" i="1"/>
  <c r="M930" i="1"/>
  <c r="K930" i="1"/>
  <c r="J930" i="1"/>
  <c r="I930" i="1"/>
  <c r="H930" i="1"/>
  <c r="G930" i="1"/>
  <c r="F930" i="1"/>
  <c r="E930" i="1"/>
  <c r="D930" i="1"/>
  <c r="C930" i="1"/>
  <c r="V935" i="1" l="1"/>
  <c r="H936" i="1"/>
  <c r="Q946" i="1"/>
  <c r="Q947" i="1" s="1"/>
  <c r="Q948" i="1" s="1"/>
  <c r="P946" i="1"/>
  <c r="P947" i="1" s="1"/>
  <c r="P948" i="1" s="1"/>
  <c r="N946" i="1"/>
  <c r="N947" i="1" s="1"/>
  <c r="N948" i="1" s="1"/>
  <c r="O946" i="1"/>
  <c r="O947" i="1" s="1"/>
  <c r="O948" i="1" s="1"/>
  <c r="K946" i="1"/>
  <c r="K947" i="1" s="1"/>
  <c r="K948" i="1" s="1"/>
  <c r="J946" i="1"/>
  <c r="J947" i="1" s="1"/>
  <c r="J948" i="1" s="1"/>
  <c r="G946" i="1"/>
  <c r="G947" i="1" s="1"/>
  <c r="G948" i="1" s="1"/>
  <c r="H946" i="1"/>
  <c r="H947" i="1" s="1"/>
  <c r="H948" i="1" s="1"/>
  <c r="I946" i="1"/>
  <c r="I947" i="1" s="1"/>
  <c r="I948" i="1" s="1"/>
  <c r="AK948" i="1"/>
  <c r="AJ948" i="1"/>
  <c r="AC948" i="1"/>
  <c r="S946" i="1"/>
  <c r="S947" i="1" s="1"/>
  <c r="S948" i="1" s="1"/>
  <c r="R946" i="1"/>
  <c r="R947" i="1" s="1"/>
  <c r="R948" i="1" s="1"/>
  <c r="M946" i="1"/>
  <c r="M947" i="1" s="1"/>
  <c r="M948" i="1" s="1"/>
  <c r="L946" i="1"/>
  <c r="L947" i="1" s="1"/>
  <c r="L948" i="1" s="1"/>
  <c r="F946" i="1"/>
  <c r="F947" i="1" s="1"/>
  <c r="F948" i="1" s="1"/>
  <c r="E946" i="1"/>
  <c r="E947" i="1" s="1"/>
  <c r="E948" i="1" s="1"/>
  <c r="D946" i="1"/>
  <c r="D947" i="1" s="1"/>
  <c r="D948" i="1" s="1"/>
  <c r="C946" i="1"/>
  <c r="C947" i="1" s="1"/>
  <c r="C948" i="1" s="1"/>
  <c r="AK945" i="1"/>
  <c r="AJ945" i="1"/>
  <c r="AC945" i="1"/>
  <c r="S945" i="1"/>
  <c r="R945" i="1"/>
  <c r="S944" i="1"/>
  <c r="R944" i="1"/>
  <c r="Q944" i="1"/>
  <c r="P944" i="1"/>
  <c r="O944" i="1"/>
  <c r="N944" i="1"/>
  <c r="M944" i="1"/>
  <c r="L944" i="1"/>
  <c r="K944" i="1"/>
  <c r="J944" i="1"/>
  <c r="I944" i="1"/>
  <c r="H944" i="1"/>
  <c r="G944" i="1"/>
  <c r="F944" i="1"/>
  <c r="E944" i="1"/>
  <c r="D944" i="1"/>
  <c r="C944" i="1"/>
  <c r="AK942" i="1"/>
  <c r="AJ942" i="1"/>
  <c r="AC942" i="1"/>
  <c r="S942" i="1"/>
  <c r="R942" i="1"/>
  <c r="Q942" i="1"/>
  <c r="P942" i="1"/>
  <c r="O942" i="1"/>
  <c r="N942" i="1"/>
  <c r="M942" i="1"/>
  <c r="L942" i="1"/>
  <c r="K942" i="1"/>
  <c r="J942" i="1"/>
  <c r="I942" i="1"/>
  <c r="H942" i="1"/>
  <c r="G942" i="1"/>
  <c r="F942" i="1"/>
  <c r="E942" i="1"/>
  <c r="D942" i="1"/>
  <c r="C942" i="1"/>
  <c r="K958" i="1" l="1"/>
  <c r="AK960" i="1"/>
  <c r="AJ960" i="1"/>
  <c r="AC960" i="1"/>
  <c r="S958" i="1"/>
  <c r="S959" i="1" s="1"/>
  <c r="S960" i="1" s="1"/>
  <c r="R958" i="1"/>
  <c r="R959" i="1" s="1"/>
  <c r="R960" i="1" s="1"/>
  <c r="Q958" i="1"/>
  <c r="Q959" i="1" s="1"/>
  <c r="Q960" i="1" s="1"/>
  <c r="P958" i="1"/>
  <c r="P959" i="1" s="1"/>
  <c r="P960" i="1" s="1"/>
  <c r="O958" i="1"/>
  <c r="O959" i="1" s="1"/>
  <c r="O960" i="1" s="1"/>
  <c r="N958" i="1"/>
  <c r="N959" i="1" s="1"/>
  <c r="N960" i="1" s="1"/>
  <c r="M958" i="1"/>
  <c r="M959" i="1" s="1"/>
  <c r="M960" i="1" s="1"/>
  <c r="L958" i="1"/>
  <c r="L959" i="1" s="1"/>
  <c r="L960" i="1" s="1"/>
  <c r="K959" i="1"/>
  <c r="K960" i="1" s="1"/>
  <c r="J958" i="1"/>
  <c r="J959" i="1" s="1"/>
  <c r="J960" i="1" s="1"/>
  <c r="I958" i="1"/>
  <c r="I959" i="1" s="1"/>
  <c r="I960" i="1" s="1"/>
  <c r="H958" i="1"/>
  <c r="H959" i="1" s="1"/>
  <c r="G958" i="1"/>
  <c r="G959" i="1" s="1"/>
  <c r="G960" i="1" s="1"/>
  <c r="F958" i="1"/>
  <c r="F959" i="1" s="1"/>
  <c r="F960" i="1" s="1"/>
  <c r="E958" i="1"/>
  <c r="E959" i="1" s="1"/>
  <c r="E960" i="1" s="1"/>
  <c r="D958" i="1"/>
  <c r="D959" i="1" s="1"/>
  <c r="D960" i="1" s="1"/>
  <c r="C958" i="1"/>
  <c r="C959" i="1" s="1"/>
  <c r="C960" i="1" s="1"/>
  <c r="AK957" i="1"/>
  <c r="AJ957" i="1"/>
  <c r="AC957" i="1"/>
  <c r="S957" i="1"/>
  <c r="R957" i="1"/>
  <c r="S956" i="1"/>
  <c r="R956" i="1"/>
  <c r="Q956" i="1"/>
  <c r="P956" i="1"/>
  <c r="O956" i="1"/>
  <c r="N956" i="1"/>
  <c r="M956" i="1"/>
  <c r="L956" i="1"/>
  <c r="K956" i="1"/>
  <c r="J956" i="1"/>
  <c r="I956" i="1"/>
  <c r="H956" i="1"/>
  <c r="G956" i="1"/>
  <c r="F956" i="1"/>
  <c r="E956" i="1"/>
  <c r="D956" i="1"/>
  <c r="C956" i="1"/>
  <c r="AK954" i="1"/>
  <c r="AJ954" i="1"/>
  <c r="AC954" i="1"/>
  <c r="S954" i="1"/>
  <c r="R954" i="1"/>
  <c r="Q954" i="1"/>
  <c r="P954" i="1"/>
  <c r="O954" i="1"/>
  <c r="N954" i="1"/>
  <c r="M954" i="1"/>
  <c r="L954" i="1"/>
  <c r="K954" i="1"/>
  <c r="J954" i="1"/>
  <c r="I954" i="1"/>
  <c r="H954" i="1"/>
  <c r="G954" i="1"/>
  <c r="F954" i="1"/>
  <c r="E954" i="1"/>
  <c r="D954" i="1"/>
  <c r="C954" i="1"/>
  <c r="H960" i="1" l="1"/>
  <c r="Q970" i="1"/>
  <c r="Q971" i="1" s="1"/>
  <c r="Q972" i="1" s="1"/>
  <c r="AK972" i="1"/>
  <c r="AJ972" i="1"/>
  <c r="AC972" i="1"/>
  <c r="S970" i="1"/>
  <c r="S971" i="1" s="1"/>
  <c r="S972" i="1" s="1"/>
  <c r="R970" i="1"/>
  <c r="R971" i="1" s="1"/>
  <c r="R972" i="1" s="1"/>
  <c r="P970" i="1"/>
  <c r="P971" i="1" s="1"/>
  <c r="P972" i="1" s="1"/>
  <c r="O970" i="1"/>
  <c r="O971" i="1" s="1"/>
  <c r="O972" i="1" s="1"/>
  <c r="N970" i="1"/>
  <c r="N971" i="1" s="1"/>
  <c r="N972" i="1" s="1"/>
  <c r="M970" i="1"/>
  <c r="M971" i="1" s="1"/>
  <c r="M972" i="1" s="1"/>
  <c r="L970" i="1"/>
  <c r="L971" i="1" s="1"/>
  <c r="L972" i="1" s="1"/>
  <c r="K970" i="1"/>
  <c r="K971" i="1" s="1"/>
  <c r="K972" i="1" s="1"/>
  <c r="J970" i="1"/>
  <c r="J971" i="1" s="1"/>
  <c r="J972" i="1" s="1"/>
  <c r="I970" i="1"/>
  <c r="I971" i="1" s="1"/>
  <c r="I972" i="1" s="1"/>
  <c r="H970" i="1"/>
  <c r="H971" i="1" s="1"/>
  <c r="G970" i="1"/>
  <c r="G971" i="1" s="1"/>
  <c r="G972" i="1" s="1"/>
  <c r="F970" i="1"/>
  <c r="F971" i="1" s="1"/>
  <c r="F972" i="1" s="1"/>
  <c r="E970" i="1"/>
  <c r="E971" i="1" s="1"/>
  <c r="E972" i="1" s="1"/>
  <c r="D970" i="1"/>
  <c r="D971" i="1" s="1"/>
  <c r="D972" i="1" s="1"/>
  <c r="C970" i="1"/>
  <c r="C971" i="1" s="1"/>
  <c r="C972" i="1" s="1"/>
  <c r="AK969" i="1"/>
  <c r="AJ969" i="1"/>
  <c r="AC969" i="1"/>
  <c r="S969" i="1"/>
  <c r="R969" i="1"/>
  <c r="S968" i="1"/>
  <c r="R968" i="1"/>
  <c r="Q968" i="1"/>
  <c r="P968" i="1"/>
  <c r="O968" i="1"/>
  <c r="N968" i="1"/>
  <c r="M968" i="1"/>
  <c r="L968" i="1"/>
  <c r="K968" i="1"/>
  <c r="J968" i="1"/>
  <c r="I968" i="1"/>
  <c r="H968" i="1"/>
  <c r="G968" i="1"/>
  <c r="F968" i="1"/>
  <c r="E968" i="1"/>
  <c r="D968" i="1"/>
  <c r="C968" i="1"/>
  <c r="AK966" i="1"/>
  <c r="AJ966" i="1"/>
  <c r="AC966" i="1"/>
  <c r="S966" i="1"/>
  <c r="R966" i="1"/>
  <c r="Q966" i="1"/>
  <c r="P966" i="1"/>
  <c r="O966" i="1"/>
  <c r="N966" i="1"/>
  <c r="M966" i="1"/>
  <c r="L966" i="1"/>
  <c r="K966" i="1"/>
  <c r="J966" i="1"/>
  <c r="I966" i="1"/>
  <c r="H966" i="1"/>
  <c r="G966" i="1"/>
  <c r="F966" i="1"/>
  <c r="E966" i="1"/>
  <c r="D966" i="1"/>
  <c r="C966" i="1"/>
  <c r="H972" i="1" l="1"/>
  <c r="D982" i="1"/>
  <c r="D983" i="1" s="1"/>
  <c r="D984" i="1" s="1"/>
  <c r="C982" i="1"/>
  <c r="C983" i="1" s="1"/>
  <c r="C984" i="1" s="1"/>
  <c r="K982" i="1"/>
  <c r="K983" i="1" s="1"/>
  <c r="K984" i="1" s="1"/>
  <c r="K980" i="1"/>
  <c r="K978" i="1"/>
  <c r="G982" i="1"/>
  <c r="E982" i="1"/>
  <c r="E983" i="1" s="1"/>
  <c r="E984" i="1" s="1"/>
  <c r="Q982" i="1"/>
  <c r="Q983" i="1" s="1"/>
  <c r="Q984" i="1" s="1"/>
  <c r="Q980" i="1"/>
  <c r="Q978" i="1"/>
  <c r="P982" i="1"/>
  <c r="P983" i="1" s="1"/>
  <c r="P984" i="1" s="1"/>
  <c r="M982" i="1"/>
  <c r="M983" i="1" s="1"/>
  <c r="M984" i="1" s="1"/>
  <c r="N982" i="1"/>
  <c r="N983" i="1" s="1"/>
  <c r="N984" i="1" s="1"/>
  <c r="N978" i="1"/>
  <c r="AK984" i="1"/>
  <c r="AJ984" i="1"/>
  <c r="AC984" i="1"/>
  <c r="G983" i="1"/>
  <c r="G984" i="1" s="1"/>
  <c r="S982" i="1"/>
  <c r="S983" i="1" s="1"/>
  <c r="S984" i="1" s="1"/>
  <c r="R982" i="1"/>
  <c r="R983" i="1" s="1"/>
  <c r="R984" i="1" s="1"/>
  <c r="O982" i="1"/>
  <c r="O983" i="1" s="1"/>
  <c r="O984" i="1" s="1"/>
  <c r="L982" i="1"/>
  <c r="L983" i="1" s="1"/>
  <c r="L984" i="1" s="1"/>
  <c r="J982" i="1"/>
  <c r="J983" i="1" s="1"/>
  <c r="J984" i="1" s="1"/>
  <c r="I982" i="1"/>
  <c r="I983" i="1" s="1"/>
  <c r="I984" i="1" s="1"/>
  <c r="H982" i="1"/>
  <c r="H983" i="1" s="1"/>
  <c r="F982" i="1"/>
  <c r="F983" i="1" s="1"/>
  <c r="F984" i="1" s="1"/>
  <c r="AK981" i="1"/>
  <c r="AJ981" i="1"/>
  <c r="AC981" i="1"/>
  <c r="S981" i="1"/>
  <c r="R981" i="1"/>
  <c r="S980" i="1"/>
  <c r="R980" i="1"/>
  <c r="P980" i="1"/>
  <c r="O980" i="1"/>
  <c r="N980" i="1"/>
  <c r="M980" i="1"/>
  <c r="L980" i="1"/>
  <c r="J980" i="1"/>
  <c r="I980" i="1"/>
  <c r="H980" i="1"/>
  <c r="G980" i="1"/>
  <c r="F980" i="1"/>
  <c r="E980" i="1"/>
  <c r="D980" i="1"/>
  <c r="C980" i="1"/>
  <c r="AK978" i="1"/>
  <c r="AJ978" i="1"/>
  <c r="AC978" i="1"/>
  <c r="S978" i="1"/>
  <c r="R978" i="1"/>
  <c r="P978" i="1"/>
  <c r="O978" i="1"/>
  <c r="M978" i="1"/>
  <c r="L978" i="1"/>
  <c r="J978" i="1"/>
  <c r="I978" i="1"/>
  <c r="H978" i="1"/>
  <c r="G978" i="1"/>
  <c r="F978" i="1"/>
  <c r="E978" i="1"/>
  <c r="D978" i="1"/>
  <c r="C978" i="1"/>
  <c r="J994" i="1"/>
  <c r="J995" i="1" s="1"/>
  <c r="J996" i="1" s="1"/>
  <c r="O994" i="1"/>
  <c r="O995" i="1" s="1"/>
  <c r="O996" i="1" s="1"/>
  <c r="E994" i="1"/>
  <c r="C994" i="1"/>
  <c r="C995" i="1" s="1"/>
  <c r="C996" i="1" s="1"/>
  <c r="G994" i="1"/>
  <c r="H994" i="1"/>
  <c r="H995" i="1" s="1"/>
  <c r="H996" i="1" s="1"/>
  <c r="L994" i="1"/>
  <c r="L995" i="1" s="1"/>
  <c r="L996" i="1" s="1"/>
  <c r="M994" i="1"/>
  <c r="M995" i="1" s="1"/>
  <c r="M996" i="1" s="1"/>
  <c r="AK996" i="1"/>
  <c r="AJ996" i="1"/>
  <c r="AC996" i="1"/>
  <c r="Q994" i="1"/>
  <c r="Q995" i="1" s="1"/>
  <c r="Q996" i="1" s="1"/>
  <c r="P994" i="1"/>
  <c r="P995" i="1" s="1"/>
  <c r="P996" i="1" s="1"/>
  <c r="N994" i="1"/>
  <c r="N995" i="1" s="1"/>
  <c r="N996" i="1" s="1"/>
  <c r="K994" i="1"/>
  <c r="K995" i="1" s="1"/>
  <c r="K996" i="1" s="1"/>
  <c r="I994" i="1"/>
  <c r="I995" i="1" s="1"/>
  <c r="I996" i="1" s="1"/>
  <c r="G995" i="1"/>
  <c r="G996" i="1" s="1"/>
  <c r="F994" i="1"/>
  <c r="F995" i="1" s="1"/>
  <c r="F996" i="1" s="1"/>
  <c r="E995" i="1"/>
  <c r="E996" i="1" s="1"/>
  <c r="D994" i="1"/>
  <c r="D995" i="1" s="1"/>
  <c r="D996" i="1" s="1"/>
  <c r="AK993" i="1"/>
  <c r="AJ993" i="1"/>
  <c r="AC993" i="1"/>
  <c r="Q993" i="1"/>
  <c r="P993" i="1"/>
  <c r="Q992" i="1"/>
  <c r="P992" i="1"/>
  <c r="O992" i="1"/>
  <c r="N992" i="1"/>
  <c r="M992" i="1"/>
  <c r="L992" i="1"/>
  <c r="K992" i="1"/>
  <c r="J992" i="1"/>
  <c r="I992" i="1"/>
  <c r="H992" i="1"/>
  <c r="G992" i="1"/>
  <c r="F992" i="1"/>
  <c r="E992" i="1"/>
  <c r="D992" i="1"/>
  <c r="C992" i="1"/>
  <c r="AK990" i="1"/>
  <c r="AJ990" i="1"/>
  <c r="AC990" i="1"/>
  <c r="Q990" i="1"/>
  <c r="P990" i="1"/>
  <c r="O990" i="1"/>
  <c r="N990" i="1"/>
  <c r="M990" i="1"/>
  <c r="L990" i="1"/>
  <c r="K990" i="1"/>
  <c r="J990" i="1"/>
  <c r="I990" i="1"/>
  <c r="H990" i="1"/>
  <c r="G990" i="1"/>
  <c r="F990" i="1"/>
  <c r="E990" i="1"/>
  <c r="D990" i="1"/>
  <c r="C990" i="1"/>
  <c r="Q1006" i="1"/>
  <c r="Q1007" i="1" s="1"/>
  <c r="Q1008" i="1" s="1"/>
  <c r="P1006" i="1"/>
  <c r="P1007" i="1" s="1"/>
  <c r="P1008" i="1" s="1"/>
  <c r="J1006" i="1"/>
  <c r="J1007" i="1" s="1"/>
  <c r="J1008" i="1" s="1"/>
  <c r="O1006" i="1"/>
  <c r="O1007" i="1" s="1"/>
  <c r="O1008" i="1" s="1"/>
  <c r="L1006" i="1"/>
  <c r="L1007" i="1" s="1"/>
  <c r="L1008" i="1" s="1"/>
  <c r="N1006" i="1"/>
  <c r="N1007" i="1" s="1"/>
  <c r="N1008" i="1" s="1"/>
  <c r="G1006" i="1"/>
  <c r="G1007" i="1" s="1"/>
  <c r="G1008" i="1" s="1"/>
  <c r="H1006" i="1"/>
  <c r="H1007" i="1" s="1"/>
  <c r="I1006" i="1"/>
  <c r="I1007" i="1" s="1"/>
  <c r="I1008" i="1" s="1"/>
  <c r="E1006" i="1"/>
  <c r="E1007" i="1" s="1"/>
  <c r="E1008" i="1" s="1"/>
  <c r="D1006" i="1"/>
  <c r="D1007" i="1" s="1"/>
  <c r="D1008" i="1" s="1"/>
  <c r="C1006" i="1"/>
  <c r="C1007" i="1" s="1"/>
  <c r="C1008" i="1" s="1"/>
  <c r="AK1008" i="1"/>
  <c r="AJ1008" i="1"/>
  <c r="AC1008" i="1"/>
  <c r="M1006" i="1"/>
  <c r="M1007" i="1" s="1"/>
  <c r="M1008" i="1" s="1"/>
  <c r="K1006" i="1"/>
  <c r="K1007" i="1" s="1"/>
  <c r="K1008" i="1" s="1"/>
  <c r="F1006" i="1"/>
  <c r="F1007" i="1" s="1"/>
  <c r="F1008" i="1" s="1"/>
  <c r="AK1005" i="1"/>
  <c r="AJ1005" i="1"/>
  <c r="AC1005" i="1"/>
  <c r="Q1005" i="1"/>
  <c r="P1005" i="1"/>
  <c r="Q1004" i="1"/>
  <c r="P1004" i="1"/>
  <c r="O1004" i="1"/>
  <c r="N1004" i="1"/>
  <c r="M1004" i="1"/>
  <c r="L1004" i="1"/>
  <c r="K1004" i="1"/>
  <c r="J1004" i="1"/>
  <c r="I1004" i="1"/>
  <c r="H1004" i="1"/>
  <c r="G1004" i="1"/>
  <c r="F1004" i="1"/>
  <c r="E1004" i="1"/>
  <c r="D1004" i="1"/>
  <c r="C1004" i="1"/>
  <c r="AK1002" i="1"/>
  <c r="AJ1002" i="1"/>
  <c r="AC1002" i="1"/>
  <c r="Q1002" i="1"/>
  <c r="P1002" i="1"/>
  <c r="O1002" i="1"/>
  <c r="N1002" i="1"/>
  <c r="M1002" i="1"/>
  <c r="L1002" i="1"/>
  <c r="K1002" i="1"/>
  <c r="J1002" i="1"/>
  <c r="I1002" i="1"/>
  <c r="H1002" i="1"/>
  <c r="G1002" i="1"/>
  <c r="F1002" i="1"/>
  <c r="E1002" i="1"/>
  <c r="D1002" i="1"/>
  <c r="C1002" i="1"/>
  <c r="H984" i="1" l="1"/>
  <c r="R995" i="1"/>
  <c r="H1008" i="1"/>
  <c r="R1007" i="1"/>
  <c r="M1018" i="1"/>
  <c r="L1018" i="1"/>
  <c r="H1018" i="1"/>
  <c r="H1019" i="1" s="1"/>
  <c r="G1018" i="1"/>
  <c r="G1019" i="1" s="1"/>
  <c r="G1020" i="1" s="1"/>
  <c r="C1018" i="1"/>
  <c r="AK1020" i="1"/>
  <c r="AJ1020" i="1"/>
  <c r="AC1020" i="1"/>
  <c r="Q1018" i="1"/>
  <c r="Q1019" i="1" s="1"/>
  <c r="Q1020" i="1" s="1"/>
  <c r="P1018" i="1"/>
  <c r="P1019" i="1" s="1"/>
  <c r="P1020" i="1" s="1"/>
  <c r="O1018" i="1"/>
  <c r="O1019" i="1" s="1"/>
  <c r="O1020" i="1" s="1"/>
  <c r="N1018" i="1"/>
  <c r="N1019" i="1" s="1"/>
  <c r="N1020" i="1" s="1"/>
  <c r="M1019" i="1"/>
  <c r="M1020" i="1" s="1"/>
  <c r="L1019" i="1"/>
  <c r="L1020" i="1" s="1"/>
  <c r="K1018" i="1"/>
  <c r="K1019" i="1" s="1"/>
  <c r="K1020" i="1" s="1"/>
  <c r="J1018" i="1"/>
  <c r="J1019" i="1" s="1"/>
  <c r="J1020" i="1" s="1"/>
  <c r="I1018" i="1"/>
  <c r="I1019" i="1" s="1"/>
  <c r="I1020" i="1" s="1"/>
  <c r="F1018" i="1"/>
  <c r="F1019" i="1" s="1"/>
  <c r="F1020" i="1" s="1"/>
  <c r="E1018" i="1"/>
  <c r="E1019" i="1" s="1"/>
  <c r="E1020" i="1" s="1"/>
  <c r="D1018" i="1"/>
  <c r="D1019" i="1" s="1"/>
  <c r="D1020" i="1" s="1"/>
  <c r="C1019" i="1"/>
  <c r="C1020" i="1" s="1"/>
  <c r="AK1017" i="1"/>
  <c r="AJ1017" i="1"/>
  <c r="AC1017" i="1"/>
  <c r="Q1017" i="1"/>
  <c r="P1017" i="1"/>
  <c r="Q1016" i="1"/>
  <c r="P1016" i="1"/>
  <c r="O1016" i="1"/>
  <c r="N1016" i="1"/>
  <c r="M1016" i="1"/>
  <c r="L1016" i="1"/>
  <c r="K1016" i="1"/>
  <c r="J1016" i="1"/>
  <c r="I1016" i="1"/>
  <c r="H1016" i="1"/>
  <c r="G1016" i="1"/>
  <c r="F1016" i="1"/>
  <c r="E1016" i="1"/>
  <c r="D1016" i="1"/>
  <c r="C1016" i="1"/>
  <c r="AK1014" i="1"/>
  <c r="AJ1014" i="1"/>
  <c r="AC1014" i="1"/>
  <c r="Q1014" i="1"/>
  <c r="P1014" i="1"/>
  <c r="O1014" i="1"/>
  <c r="N1014" i="1"/>
  <c r="M1014" i="1"/>
  <c r="L1014" i="1"/>
  <c r="K1014" i="1"/>
  <c r="J1014" i="1"/>
  <c r="I1014" i="1"/>
  <c r="H1014" i="1"/>
  <c r="G1014" i="1"/>
  <c r="F1014" i="1"/>
  <c r="E1014" i="1"/>
  <c r="D1014" i="1"/>
  <c r="C1014" i="1"/>
  <c r="P126" i="4"/>
  <c r="P207" i="4"/>
  <c r="P130" i="4"/>
  <c r="P122" i="4"/>
  <c r="P118" i="4"/>
  <c r="P219" i="4"/>
  <c r="P247" i="4"/>
  <c r="P167" i="4"/>
  <c r="P123" i="4"/>
  <c r="P134" i="4"/>
  <c r="P216" i="4"/>
  <c r="P215" i="4"/>
  <c r="P249" i="4"/>
  <c r="P236" i="4"/>
  <c r="P270" i="4"/>
  <c r="P251" i="4"/>
  <c r="P188" i="4"/>
  <c r="P209" i="4"/>
  <c r="P135" i="4"/>
  <c r="P255" i="4"/>
  <c r="P158" i="4"/>
  <c r="P273" i="4"/>
  <c r="P140" i="4"/>
  <c r="P155" i="4"/>
  <c r="P143" i="4"/>
  <c r="P151" i="4"/>
  <c r="P136" i="4"/>
  <c r="P218" i="4"/>
  <c r="P157" i="4"/>
  <c r="P165" i="4"/>
  <c r="P160" i="4"/>
  <c r="P267" i="4"/>
  <c r="P224" i="4"/>
  <c r="P194" i="4"/>
  <c r="P116" i="4"/>
  <c r="P269" i="4"/>
  <c r="P227" i="4"/>
  <c r="P222" i="4"/>
  <c r="P197" i="4"/>
  <c r="P225" i="4"/>
  <c r="P259" i="4"/>
  <c r="P266" i="4"/>
  <c r="P164" i="4"/>
  <c r="P234" i="4"/>
  <c r="P120" i="4"/>
  <c r="P253" i="4"/>
  <c r="P171" i="4"/>
  <c r="P163" i="4"/>
  <c r="P176" i="4"/>
  <c r="P264" i="4"/>
  <c r="P243" i="4"/>
  <c r="P244" i="4"/>
  <c r="P192" i="4"/>
  <c r="P166" i="4"/>
  <c r="P119" i="4"/>
  <c r="P239" i="4"/>
  <c r="P172" i="4"/>
  <c r="P114" i="4"/>
  <c r="P252" i="4"/>
  <c r="P146" i="4"/>
  <c r="P132" i="4"/>
  <c r="P226" i="4"/>
  <c r="P186" i="4"/>
  <c r="P191" i="4"/>
  <c r="P263" i="4"/>
  <c r="P214" i="4"/>
  <c r="P204" i="4"/>
  <c r="P199" i="4"/>
  <c r="P210" i="4"/>
  <c r="P257" i="4"/>
  <c r="P265" i="4"/>
  <c r="P137" i="4"/>
  <c r="P179" i="4"/>
  <c r="P175" i="4"/>
  <c r="P169" i="4"/>
  <c r="P198" i="4"/>
  <c r="P190" i="4"/>
  <c r="P115" i="4"/>
  <c r="P242" i="4"/>
  <c r="P131" i="4"/>
  <c r="P220" i="4"/>
  <c r="P221" i="4"/>
  <c r="P183" i="4"/>
  <c r="P162" i="4"/>
  <c r="P229" i="4"/>
  <c r="P211" i="4"/>
  <c r="P254" i="4"/>
  <c r="P237" i="4"/>
  <c r="P138" i="4"/>
  <c r="P189" i="4"/>
  <c r="P275" i="4"/>
  <c r="P230" i="4"/>
  <c r="P195" i="4"/>
  <c r="P235" i="4"/>
  <c r="P231" i="4"/>
  <c r="P154" i="4"/>
  <c r="P261" i="4"/>
  <c r="P128" i="4"/>
  <c r="P133" i="4"/>
  <c r="P152" i="4"/>
  <c r="P148" i="4"/>
  <c r="P161" i="4"/>
  <c r="P217" i="4"/>
  <c r="P238" i="4"/>
  <c r="P144" i="4"/>
  <c r="P205" i="4"/>
  <c r="P256" i="4"/>
  <c r="P213" i="4"/>
  <c r="P181" i="4"/>
  <c r="P184" i="4"/>
  <c r="P149" i="4"/>
  <c r="P145" i="4"/>
  <c r="P258" i="4"/>
  <c r="P228" i="4"/>
  <c r="P248" i="4"/>
  <c r="P241" i="4"/>
  <c r="P182" i="4"/>
  <c r="P147" i="4"/>
  <c r="P233" i="4"/>
  <c r="P180" i="4"/>
  <c r="P150" i="4"/>
  <c r="P187" i="4"/>
  <c r="P129" i="4"/>
  <c r="P208" i="4"/>
  <c r="P156" i="4"/>
  <c r="P193" i="4"/>
  <c r="P274" i="4"/>
  <c r="P206" i="4"/>
  <c r="P200" i="4"/>
  <c r="P246" i="4"/>
  <c r="P117" i="4"/>
  <c r="P185" i="4"/>
  <c r="P245" i="4"/>
  <c r="P223" i="4"/>
  <c r="P232" i="4"/>
  <c r="P127" i="4"/>
  <c r="P240" i="4"/>
  <c r="P173" i="4"/>
  <c r="P174" i="4"/>
  <c r="P212" i="4"/>
  <c r="P170" i="4"/>
  <c r="P196" i="4"/>
  <c r="P139" i="4"/>
  <c r="P142" i="4"/>
  <c r="P121" i="4"/>
  <c r="P260" i="4"/>
  <c r="P262" i="4"/>
  <c r="P125" i="4"/>
  <c r="P250" i="4"/>
  <c r="P178" i="4"/>
  <c r="P168" i="4"/>
  <c r="P159" i="4"/>
  <c r="P272" i="4"/>
  <c r="P268" i="4"/>
  <c r="P271" i="4"/>
  <c r="P177" i="4"/>
  <c r="P153" i="4"/>
  <c r="P141" i="4"/>
  <c r="P124" i="4"/>
  <c r="H1020" i="1" l="1"/>
  <c r="R1019" i="1"/>
  <c r="I1030" i="1"/>
  <c r="I1031" i="1" s="1"/>
  <c r="I1032" i="1" s="1"/>
  <c r="O1030" i="1"/>
  <c r="O1031" i="1" s="1"/>
  <c r="O1032" i="1" s="1"/>
  <c r="L1030" i="1"/>
  <c r="N1030" i="1"/>
  <c r="N1031" i="1" s="1"/>
  <c r="N1032" i="1" s="1"/>
  <c r="AK1032" i="1"/>
  <c r="AJ1032" i="1"/>
  <c r="AC1032" i="1"/>
  <c r="Q1030" i="1"/>
  <c r="Q1031" i="1" s="1"/>
  <c r="Q1032" i="1" s="1"/>
  <c r="P1030" i="1"/>
  <c r="P1031" i="1" s="1"/>
  <c r="P1032" i="1" s="1"/>
  <c r="M1030" i="1"/>
  <c r="M1031" i="1" s="1"/>
  <c r="M1032" i="1" s="1"/>
  <c r="L1031" i="1"/>
  <c r="L1032" i="1" s="1"/>
  <c r="K1030" i="1"/>
  <c r="K1031" i="1" s="1"/>
  <c r="K1032" i="1" s="1"/>
  <c r="J1030" i="1"/>
  <c r="J1031" i="1" s="1"/>
  <c r="J1032" i="1" s="1"/>
  <c r="H1030" i="1"/>
  <c r="H1031" i="1" s="1"/>
  <c r="G1030" i="1"/>
  <c r="G1031" i="1" s="1"/>
  <c r="G1032" i="1" s="1"/>
  <c r="F1030" i="1"/>
  <c r="F1031" i="1" s="1"/>
  <c r="F1032" i="1" s="1"/>
  <c r="E1030" i="1"/>
  <c r="E1031" i="1" s="1"/>
  <c r="E1032" i="1" s="1"/>
  <c r="D1030" i="1"/>
  <c r="D1031" i="1" s="1"/>
  <c r="D1032" i="1" s="1"/>
  <c r="C1030" i="1"/>
  <c r="C1031" i="1" s="1"/>
  <c r="C1032" i="1" s="1"/>
  <c r="AK1029" i="1"/>
  <c r="AJ1029" i="1"/>
  <c r="AC1029" i="1"/>
  <c r="Q1029" i="1"/>
  <c r="P1029" i="1"/>
  <c r="Q1028" i="1"/>
  <c r="P1028" i="1"/>
  <c r="O1028" i="1"/>
  <c r="N1028" i="1"/>
  <c r="M1028" i="1"/>
  <c r="L1028" i="1"/>
  <c r="K1028" i="1"/>
  <c r="J1028" i="1"/>
  <c r="I1028" i="1"/>
  <c r="H1028" i="1"/>
  <c r="G1028" i="1"/>
  <c r="F1028" i="1"/>
  <c r="E1028" i="1"/>
  <c r="D1028" i="1"/>
  <c r="C1028" i="1"/>
  <c r="AK1026" i="1"/>
  <c r="AJ1026" i="1"/>
  <c r="AC1026" i="1"/>
  <c r="Q1026" i="1"/>
  <c r="P1026" i="1"/>
  <c r="O1026" i="1"/>
  <c r="N1026" i="1"/>
  <c r="M1026" i="1"/>
  <c r="L1026" i="1"/>
  <c r="K1026" i="1"/>
  <c r="J1026" i="1"/>
  <c r="I1026" i="1"/>
  <c r="H1026" i="1"/>
  <c r="G1026" i="1"/>
  <c r="F1026" i="1"/>
  <c r="E1026" i="1"/>
  <c r="D1026" i="1"/>
  <c r="C1026" i="1"/>
  <c r="H1032" i="1" l="1"/>
  <c r="R1031" i="1"/>
  <c r="L1042" i="1"/>
  <c r="L1043" i="1" s="1"/>
  <c r="L1044" i="1" s="1"/>
  <c r="N1042" i="1"/>
  <c r="N1043" i="1" s="1"/>
  <c r="N1044" i="1" s="1"/>
  <c r="I1042" i="1"/>
  <c r="I1043" i="1" s="1"/>
  <c r="I1044" i="1" s="1"/>
  <c r="D1038" i="1"/>
  <c r="AK1044" i="1"/>
  <c r="AJ1044" i="1"/>
  <c r="AC1044" i="1"/>
  <c r="Q1042" i="1"/>
  <c r="Q1043" i="1" s="1"/>
  <c r="Q1044" i="1" s="1"/>
  <c r="P1042" i="1"/>
  <c r="P1043" i="1" s="1"/>
  <c r="P1044" i="1" s="1"/>
  <c r="O1042" i="1"/>
  <c r="O1043" i="1" s="1"/>
  <c r="O1044" i="1" s="1"/>
  <c r="M1042" i="1"/>
  <c r="M1043" i="1" s="1"/>
  <c r="M1044" i="1" s="1"/>
  <c r="K1042" i="1"/>
  <c r="K1043" i="1" s="1"/>
  <c r="K1044" i="1" s="1"/>
  <c r="J1042" i="1"/>
  <c r="J1043" i="1" s="1"/>
  <c r="J1044" i="1" s="1"/>
  <c r="H1042" i="1"/>
  <c r="H1043" i="1" s="1"/>
  <c r="G1042" i="1"/>
  <c r="G1043" i="1" s="1"/>
  <c r="G1044" i="1" s="1"/>
  <c r="F1042" i="1"/>
  <c r="F1043" i="1" s="1"/>
  <c r="F1044" i="1" s="1"/>
  <c r="E1042" i="1"/>
  <c r="E1043" i="1" s="1"/>
  <c r="E1044" i="1" s="1"/>
  <c r="D1042" i="1"/>
  <c r="D1043" i="1" s="1"/>
  <c r="D1044" i="1" s="1"/>
  <c r="C1042" i="1"/>
  <c r="C1043" i="1" s="1"/>
  <c r="C1044" i="1" s="1"/>
  <c r="AK1041" i="1"/>
  <c r="AJ1041" i="1"/>
  <c r="AC1041" i="1"/>
  <c r="Q1041" i="1"/>
  <c r="P1041" i="1"/>
  <c r="Q1040" i="1"/>
  <c r="P1040" i="1"/>
  <c r="O1040" i="1"/>
  <c r="N1040" i="1"/>
  <c r="M1040" i="1"/>
  <c r="L1040" i="1"/>
  <c r="K1040" i="1"/>
  <c r="J1040" i="1"/>
  <c r="I1040" i="1"/>
  <c r="H1040" i="1"/>
  <c r="G1040" i="1"/>
  <c r="F1040" i="1"/>
  <c r="E1040" i="1"/>
  <c r="D1040" i="1"/>
  <c r="C1040" i="1"/>
  <c r="AK1038" i="1"/>
  <c r="AJ1038" i="1"/>
  <c r="AC1038" i="1"/>
  <c r="Q1038" i="1"/>
  <c r="P1038" i="1"/>
  <c r="O1038" i="1"/>
  <c r="N1038" i="1"/>
  <c r="M1038" i="1"/>
  <c r="L1038" i="1"/>
  <c r="K1038" i="1"/>
  <c r="J1038" i="1"/>
  <c r="I1038" i="1"/>
  <c r="H1038" i="1"/>
  <c r="G1038" i="1"/>
  <c r="F1038" i="1"/>
  <c r="E1038" i="1"/>
  <c r="C1038" i="1"/>
  <c r="H1044" i="1" l="1"/>
  <c r="R1043" i="1"/>
  <c r="P1054" i="1"/>
  <c r="Q1054" i="1"/>
  <c r="C1054" i="1" l="1"/>
  <c r="C1055" i="1" s="1"/>
  <c r="C1056" i="1" s="1"/>
  <c r="I1054" i="1"/>
  <c r="I1055" i="1" s="1"/>
  <c r="I1056" i="1" s="1"/>
  <c r="N1054" i="1"/>
  <c r="N1055" i="1" s="1"/>
  <c r="N1056" i="1" s="1"/>
  <c r="AK1056" i="1"/>
  <c r="AJ1056" i="1"/>
  <c r="AC1056" i="1"/>
  <c r="Q1055" i="1"/>
  <c r="Q1056" i="1" s="1"/>
  <c r="P1055" i="1"/>
  <c r="P1056" i="1" s="1"/>
  <c r="O1054" i="1"/>
  <c r="O1055" i="1" s="1"/>
  <c r="O1056" i="1" s="1"/>
  <c r="M1054" i="1"/>
  <c r="M1055" i="1" s="1"/>
  <c r="M1056" i="1" s="1"/>
  <c r="L1054" i="1"/>
  <c r="L1055" i="1" s="1"/>
  <c r="L1056" i="1" s="1"/>
  <c r="K1054" i="1"/>
  <c r="K1055" i="1" s="1"/>
  <c r="K1056" i="1" s="1"/>
  <c r="J1054" i="1"/>
  <c r="J1055" i="1" s="1"/>
  <c r="J1056" i="1" s="1"/>
  <c r="H1054" i="1"/>
  <c r="H1055" i="1" s="1"/>
  <c r="G1054" i="1"/>
  <c r="G1055" i="1" s="1"/>
  <c r="G1056" i="1" s="1"/>
  <c r="F1054" i="1"/>
  <c r="F1055" i="1" s="1"/>
  <c r="F1056" i="1" s="1"/>
  <c r="E1054" i="1"/>
  <c r="E1055" i="1" s="1"/>
  <c r="E1056" i="1" s="1"/>
  <c r="D1054" i="1"/>
  <c r="D1055" i="1" s="1"/>
  <c r="D1056" i="1" s="1"/>
  <c r="AK1053" i="1"/>
  <c r="AJ1053" i="1"/>
  <c r="AC1053" i="1"/>
  <c r="Q1053" i="1"/>
  <c r="P1053" i="1"/>
  <c r="Q1052" i="1"/>
  <c r="P1052" i="1"/>
  <c r="O1052" i="1"/>
  <c r="N1052" i="1"/>
  <c r="M1052" i="1"/>
  <c r="L1052" i="1"/>
  <c r="K1052" i="1"/>
  <c r="J1052" i="1"/>
  <c r="I1052" i="1"/>
  <c r="H1052" i="1"/>
  <c r="G1052" i="1"/>
  <c r="F1052" i="1"/>
  <c r="E1052" i="1"/>
  <c r="D1052" i="1"/>
  <c r="C1052" i="1"/>
  <c r="AK1050" i="1"/>
  <c r="AJ1050" i="1"/>
  <c r="AC1050" i="1"/>
  <c r="Q1050" i="1"/>
  <c r="P1050" i="1"/>
  <c r="O1050" i="1"/>
  <c r="N1050" i="1"/>
  <c r="M1050" i="1"/>
  <c r="L1050" i="1"/>
  <c r="K1050" i="1"/>
  <c r="J1050" i="1"/>
  <c r="I1050" i="1"/>
  <c r="H1050" i="1"/>
  <c r="G1050" i="1"/>
  <c r="F1050" i="1"/>
  <c r="E1050" i="1"/>
  <c r="C1050" i="1"/>
  <c r="N1066" i="1"/>
  <c r="N1067" i="1" s="1"/>
  <c r="N1068" i="1" s="1"/>
  <c r="M1066" i="1"/>
  <c r="M1067" i="1" s="1"/>
  <c r="M1068" i="1" s="1"/>
  <c r="L1066" i="1"/>
  <c r="L1067" i="1" s="1"/>
  <c r="L1068" i="1" s="1"/>
  <c r="I1066" i="1"/>
  <c r="I1067" i="1" s="1"/>
  <c r="I1068" i="1" s="1"/>
  <c r="AK1068" i="1"/>
  <c r="AJ1068" i="1"/>
  <c r="AC1068" i="1"/>
  <c r="Q1066" i="1"/>
  <c r="Q1067" i="1" s="1"/>
  <c r="Q1068" i="1" s="1"/>
  <c r="P1066" i="1"/>
  <c r="P1067" i="1" s="1"/>
  <c r="P1068" i="1" s="1"/>
  <c r="O1066" i="1"/>
  <c r="O1067" i="1" s="1"/>
  <c r="O1068" i="1" s="1"/>
  <c r="K1066" i="1"/>
  <c r="K1067" i="1" s="1"/>
  <c r="K1068" i="1" s="1"/>
  <c r="J1066" i="1"/>
  <c r="J1067" i="1" s="1"/>
  <c r="J1068" i="1" s="1"/>
  <c r="H1066" i="1"/>
  <c r="H1067" i="1" s="1"/>
  <c r="H1068" i="1" s="1"/>
  <c r="G1066" i="1"/>
  <c r="G1067" i="1" s="1"/>
  <c r="G1068" i="1" s="1"/>
  <c r="F1066" i="1"/>
  <c r="F1067" i="1" s="1"/>
  <c r="F1068" i="1" s="1"/>
  <c r="E1066" i="1"/>
  <c r="E1067" i="1" s="1"/>
  <c r="E1068" i="1" s="1"/>
  <c r="D1066" i="1"/>
  <c r="D1067" i="1" s="1"/>
  <c r="D1068" i="1" s="1"/>
  <c r="C1066" i="1"/>
  <c r="C1067" i="1" s="1"/>
  <c r="C1068" i="1" s="1"/>
  <c r="AK1065" i="1"/>
  <c r="AJ1065" i="1"/>
  <c r="AC1065" i="1"/>
  <c r="Q1065" i="1"/>
  <c r="P1065" i="1"/>
  <c r="Q1064" i="1"/>
  <c r="P1064" i="1"/>
  <c r="O1064" i="1"/>
  <c r="N1064" i="1"/>
  <c r="M1064" i="1"/>
  <c r="L1064" i="1"/>
  <c r="K1064" i="1"/>
  <c r="J1064" i="1"/>
  <c r="I1064" i="1"/>
  <c r="H1064" i="1"/>
  <c r="G1064" i="1"/>
  <c r="F1064" i="1"/>
  <c r="E1064" i="1"/>
  <c r="D1064" i="1"/>
  <c r="C1064" i="1"/>
  <c r="AK1062" i="1"/>
  <c r="AJ1062" i="1"/>
  <c r="AC1062" i="1"/>
  <c r="Q1062" i="1"/>
  <c r="P1062" i="1"/>
  <c r="O1062" i="1"/>
  <c r="N1062" i="1"/>
  <c r="M1062" i="1"/>
  <c r="L1062" i="1"/>
  <c r="K1062" i="1"/>
  <c r="J1062" i="1"/>
  <c r="I1062" i="1"/>
  <c r="H1062" i="1"/>
  <c r="G1062" i="1"/>
  <c r="F1062" i="1"/>
  <c r="E1062" i="1"/>
  <c r="D1062" i="1"/>
  <c r="C1062" i="1"/>
  <c r="H1056" i="1" l="1"/>
  <c r="R1055" i="1"/>
  <c r="R1067" i="1"/>
  <c r="G1078" i="1"/>
  <c r="G1079" i="1" s="1"/>
  <c r="G1080" i="1" s="1"/>
  <c r="H1078" i="1"/>
  <c r="H1079" i="1" s="1"/>
  <c r="I1078" i="1"/>
  <c r="I1079" i="1" s="1"/>
  <c r="I1080" i="1" s="1"/>
  <c r="F1078" i="1"/>
  <c r="F1079" i="1" s="1"/>
  <c r="F1080" i="1" s="1"/>
  <c r="AK1080" i="1"/>
  <c r="AJ1080" i="1"/>
  <c r="AC1080" i="1"/>
  <c r="Q1078" i="1"/>
  <c r="Q1079" i="1" s="1"/>
  <c r="Q1080" i="1" s="1"/>
  <c r="P1078" i="1"/>
  <c r="P1079" i="1" s="1"/>
  <c r="P1080" i="1" s="1"/>
  <c r="O1078" i="1"/>
  <c r="O1079" i="1" s="1"/>
  <c r="O1080" i="1" s="1"/>
  <c r="N1078" i="1"/>
  <c r="N1079" i="1" s="1"/>
  <c r="N1080" i="1" s="1"/>
  <c r="M1078" i="1"/>
  <c r="M1079" i="1" s="1"/>
  <c r="M1080" i="1" s="1"/>
  <c r="L1078" i="1"/>
  <c r="L1079" i="1" s="1"/>
  <c r="L1080" i="1" s="1"/>
  <c r="K1078" i="1"/>
  <c r="K1079" i="1" s="1"/>
  <c r="K1080" i="1" s="1"/>
  <c r="J1078" i="1"/>
  <c r="J1079" i="1" s="1"/>
  <c r="J1080" i="1" s="1"/>
  <c r="E1078" i="1"/>
  <c r="E1079" i="1" s="1"/>
  <c r="E1080" i="1" s="1"/>
  <c r="D1078" i="1"/>
  <c r="D1079" i="1" s="1"/>
  <c r="D1080" i="1" s="1"/>
  <c r="C1078" i="1"/>
  <c r="C1079" i="1" s="1"/>
  <c r="C1080" i="1" s="1"/>
  <c r="AK1077" i="1"/>
  <c r="AJ1077" i="1"/>
  <c r="AC1077" i="1"/>
  <c r="Q1077" i="1"/>
  <c r="P1077" i="1"/>
  <c r="Q1076" i="1"/>
  <c r="P1076" i="1"/>
  <c r="O1076" i="1"/>
  <c r="N1076" i="1"/>
  <c r="M1076" i="1"/>
  <c r="L1076" i="1"/>
  <c r="K1076" i="1"/>
  <c r="J1076" i="1"/>
  <c r="I1076" i="1"/>
  <c r="H1076" i="1"/>
  <c r="G1076" i="1"/>
  <c r="F1076" i="1"/>
  <c r="E1076" i="1"/>
  <c r="D1076" i="1"/>
  <c r="C1076" i="1"/>
  <c r="AK1074" i="1"/>
  <c r="AJ1074" i="1"/>
  <c r="AC1074" i="1"/>
  <c r="Q1074" i="1"/>
  <c r="P1074" i="1"/>
  <c r="O1074" i="1"/>
  <c r="N1074" i="1"/>
  <c r="M1074" i="1"/>
  <c r="L1074" i="1"/>
  <c r="K1074" i="1"/>
  <c r="J1074" i="1"/>
  <c r="I1074" i="1"/>
  <c r="H1074" i="1"/>
  <c r="G1074" i="1"/>
  <c r="F1074" i="1"/>
  <c r="E1074" i="1"/>
  <c r="D1074" i="1"/>
  <c r="C1074" i="1"/>
  <c r="H1080" i="1" l="1"/>
  <c r="R1079" i="1"/>
  <c r="L1090" i="1"/>
  <c r="L1091" i="1" s="1"/>
  <c r="L1092" i="1" s="1"/>
  <c r="M1090" i="1"/>
  <c r="M1091" i="1" s="1"/>
  <c r="M1092" i="1" s="1"/>
  <c r="N1090" i="1"/>
  <c r="N1091" i="1" s="1"/>
  <c r="N1092" i="1" s="1"/>
  <c r="K1090" i="1"/>
  <c r="K1091" i="1" s="1"/>
  <c r="K1092" i="1" s="1"/>
  <c r="G1090" i="1"/>
  <c r="G1091" i="1" s="1"/>
  <c r="G1092" i="1" s="1"/>
  <c r="J1090" i="1"/>
  <c r="J1091" i="1" s="1"/>
  <c r="J1092" i="1" s="1"/>
  <c r="H1090" i="1"/>
  <c r="H1091" i="1" s="1"/>
  <c r="I1090" i="1"/>
  <c r="I1091" i="1" s="1"/>
  <c r="I1092" i="1" s="1"/>
  <c r="F1090" i="1"/>
  <c r="F1091" i="1" s="1"/>
  <c r="F1092" i="1" s="1"/>
  <c r="AK1092" i="1"/>
  <c r="AJ1092" i="1"/>
  <c r="AC1092" i="1"/>
  <c r="Q1090" i="1"/>
  <c r="Q1091" i="1" s="1"/>
  <c r="Q1092" i="1" s="1"/>
  <c r="P1090" i="1"/>
  <c r="P1091" i="1" s="1"/>
  <c r="P1092" i="1" s="1"/>
  <c r="O1090" i="1"/>
  <c r="O1091" i="1" s="1"/>
  <c r="O1092" i="1" s="1"/>
  <c r="E1090" i="1"/>
  <c r="E1091" i="1" s="1"/>
  <c r="E1092" i="1" s="1"/>
  <c r="D1090" i="1"/>
  <c r="D1091" i="1" s="1"/>
  <c r="D1092" i="1" s="1"/>
  <c r="C1090" i="1"/>
  <c r="C1091" i="1" s="1"/>
  <c r="C1092" i="1" s="1"/>
  <c r="AK1089" i="1"/>
  <c r="AJ1089" i="1"/>
  <c r="AC1089" i="1"/>
  <c r="Q1089" i="1"/>
  <c r="P1089" i="1"/>
  <c r="Q1088" i="1"/>
  <c r="P1088" i="1"/>
  <c r="O1088" i="1"/>
  <c r="N1088" i="1"/>
  <c r="M1088" i="1"/>
  <c r="L1088" i="1"/>
  <c r="K1088" i="1"/>
  <c r="J1088" i="1"/>
  <c r="I1088" i="1"/>
  <c r="H1088" i="1"/>
  <c r="G1088" i="1"/>
  <c r="F1088" i="1"/>
  <c r="E1088" i="1"/>
  <c r="D1088" i="1"/>
  <c r="C1088" i="1"/>
  <c r="AK1086" i="1"/>
  <c r="AJ1086" i="1"/>
  <c r="AC1086" i="1"/>
  <c r="Q1086" i="1"/>
  <c r="P1086" i="1"/>
  <c r="O1086" i="1"/>
  <c r="N1086" i="1"/>
  <c r="M1086" i="1"/>
  <c r="L1086" i="1"/>
  <c r="K1086" i="1"/>
  <c r="J1086" i="1"/>
  <c r="I1086" i="1"/>
  <c r="H1086" i="1"/>
  <c r="G1086" i="1"/>
  <c r="F1086" i="1"/>
  <c r="E1086" i="1"/>
  <c r="D1086" i="1"/>
  <c r="C1086" i="1"/>
  <c r="H1092" i="1" l="1"/>
  <c r="R1091" i="1"/>
  <c r="M1102" i="1"/>
  <c r="M1103" i="1" s="1"/>
  <c r="M1104" i="1" s="1"/>
  <c r="J1102" i="1"/>
  <c r="J1103" i="1" s="1"/>
  <c r="J1104" i="1" s="1"/>
  <c r="G1102" i="1"/>
  <c r="G1103" i="1" s="1"/>
  <c r="G1104" i="1" s="1"/>
  <c r="C1102" i="1"/>
  <c r="C1103" i="1" s="1"/>
  <c r="C1104" i="1" s="1"/>
  <c r="D1102" i="1"/>
  <c r="D1103" i="1" s="1"/>
  <c r="D1104" i="1" s="1"/>
  <c r="E1102" i="1"/>
  <c r="E1103" i="1" s="1"/>
  <c r="E1104" i="1" s="1"/>
  <c r="F1102" i="1"/>
  <c r="H1102" i="1"/>
  <c r="H1103" i="1" s="1"/>
  <c r="I1102" i="1"/>
  <c r="I1103" i="1" s="1"/>
  <c r="I1104" i="1" s="1"/>
  <c r="K1102" i="1"/>
  <c r="K1103" i="1" s="1"/>
  <c r="K1104" i="1" s="1"/>
  <c r="L1102" i="1"/>
  <c r="L1103" i="1" s="1"/>
  <c r="L1104" i="1" s="1"/>
  <c r="N1102" i="1"/>
  <c r="N1103" i="1" s="1"/>
  <c r="N1104" i="1" s="1"/>
  <c r="O1102" i="1"/>
  <c r="O1103" i="1" s="1"/>
  <c r="O1104" i="1" s="1"/>
  <c r="P1102" i="1"/>
  <c r="P1103" i="1" s="1"/>
  <c r="P1104" i="1" s="1"/>
  <c r="Q1102" i="1"/>
  <c r="Q1103" i="1" s="1"/>
  <c r="Q1104" i="1" s="1"/>
  <c r="AK1104" i="1"/>
  <c r="AJ1104" i="1"/>
  <c r="AC1104" i="1"/>
  <c r="F1103" i="1"/>
  <c r="F1104" i="1" s="1"/>
  <c r="AK1101" i="1"/>
  <c r="AJ1101" i="1"/>
  <c r="AC1101" i="1"/>
  <c r="Q1101" i="1"/>
  <c r="P1101" i="1"/>
  <c r="Q1100" i="1"/>
  <c r="P1100" i="1"/>
  <c r="O1100" i="1"/>
  <c r="N1100" i="1"/>
  <c r="M1100" i="1"/>
  <c r="L1100" i="1"/>
  <c r="K1100" i="1"/>
  <c r="J1100" i="1"/>
  <c r="I1100" i="1"/>
  <c r="H1100" i="1"/>
  <c r="G1100" i="1"/>
  <c r="F1100" i="1"/>
  <c r="E1100" i="1"/>
  <c r="D1100" i="1"/>
  <c r="C1100" i="1"/>
  <c r="AK1098" i="1"/>
  <c r="AJ1098" i="1"/>
  <c r="AC1098" i="1"/>
  <c r="Q1098" i="1"/>
  <c r="P1098" i="1"/>
  <c r="O1098" i="1"/>
  <c r="N1098" i="1"/>
  <c r="M1098" i="1"/>
  <c r="L1098" i="1"/>
  <c r="K1098" i="1"/>
  <c r="J1098" i="1"/>
  <c r="I1098" i="1"/>
  <c r="H1098" i="1"/>
  <c r="G1098" i="1"/>
  <c r="F1098" i="1"/>
  <c r="E1098" i="1"/>
  <c r="D1098" i="1"/>
  <c r="C1098" i="1"/>
  <c r="H1104" i="1" l="1"/>
  <c r="R1103" i="1"/>
  <c r="O1114" i="1"/>
  <c r="O1115" i="1" s="1"/>
  <c r="O1116" i="1" s="1"/>
  <c r="N1114" i="1"/>
  <c r="N1115" i="1" s="1"/>
  <c r="N1116" i="1" s="1"/>
  <c r="M1114" i="1"/>
  <c r="G1114" i="1"/>
  <c r="G1115" i="1" s="1"/>
  <c r="G1116" i="1" s="1"/>
  <c r="I1114" i="1"/>
  <c r="I1115" i="1" s="1"/>
  <c r="I1116" i="1" s="1"/>
  <c r="AK1116" i="1"/>
  <c r="AJ1116" i="1"/>
  <c r="AC1116" i="1"/>
  <c r="Q1114" i="1"/>
  <c r="Q1115" i="1" s="1"/>
  <c r="Q1116" i="1" s="1"/>
  <c r="P1114" i="1"/>
  <c r="P1115" i="1" s="1"/>
  <c r="P1116" i="1" s="1"/>
  <c r="M1115" i="1"/>
  <c r="M1116" i="1" s="1"/>
  <c r="L1114" i="1"/>
  <c r="L1115" i="1" s="1"/>
  <c r="L1116" i="1" s="1"/>
  <c r="K1114" i="1"/>
  <c r="K1115" i="1" s="1"/>
  <c r="K1116" i="1" s="1"/>
  <c r="J1114" i="1"/>
  <c r="J1115" i="1" s="1"/>
  <c r="J1116" i="1" s="1"/>
  <c r="H1114" i="1"/>
  <c r="H1115" i="1" s="1"/>
  <c r="H1116" i="1" s="1"/>
  <c r="F1114" i="1"/>
  <c r="F1115" i="1" s="1"/>
  <c r="F1116" i="1" s="1"/>
  <c r="E1114" i="1"/>
  <c r="E1115" i="1" s="1"/>
  <c r="E1116" i="1" s="1"/>
  <c r="D1114" i="1"/>
  <c r="D1115" i="1" s="1"/>
  <c r="D1116" i="1" s="1"/>
  <c r="C1114" i="1"/>
  <c r="C1115" i="1" s="1"/>
  <c r="C1116" i="1" s="1"/>
  <c r="AK1113" i="1"/>
  <c r="AJ1113" i="1"/>
  <c r="AC1113" i="1"/>
  <c r="Q1113" i="1"/>
  <c r="P1113" i="1"/>
  <c r="Q1112" i="1"/>
  <c r="P1112" i="1"/>
  <c r="O1112" i="1"/>
  <c r="N1112" i="1"/>
  <c r="M1112" i="1"/>
  <c r="L1112" i="1"/>
  <c r="K1112" i="1"/>
  <c r="J1112" i="1"/>
  <c r="I1112" i="1"/>
  <c r="H1112" i="1"/>
  <c r="G1112" i="1"/>
  <c r="F1112" i="1"/>
  <c r="E1112" i="1"/>
  <c r="D1112" i="1"/>
  <c r="C1112" i="1"/>
  <c r="AK1110" i="1"/>
  <c r="AJ1110" i="1"/>
  <c r="AC1110" i="1"/>
  <c r="Q1110" i="1"/>
  <c r="P1110" i="1"/>
  <c r="O1110" i="1"/>
  <c r="N1110" i="1"/>
  <c r="M1110" i="1"/>
  <c r="L1110" i="1"/>
  <c r="K1110" i="1"/>
  <c r="J1110" i="1"/>
  <c r="I1110" i="1"/>
  <c r="H1110" i="1"/>
  <c r="G1110" i="1"/>
  <c r="F1110" i="1"/>
  <c r="E1110" i="1"/>
  <c r="D1110" i="1"/>
  <c r="C1110" i="1"/>
  <c r="R1115" i="1" l="1"/>
  <c r="L1126" i="1"/>
  <c r="L1127" i="1" s="1"/>
  <c r="L1128" i="1" s="1"/>
  <c r="M1126" i="1"/>
  <c r="M1127" i="1" s="1"/>
  <c r="M1128" i="1" s="1"/>
  <c r="G1126" i="1"/>
  <c r="AK1128" i="1"/>
  <c r="AJ1128" i="1"/>
  <c r="AC1128" i="1"/>
  <c r="Q1126" i="1"/>
  <c r="Q1127" i="1" s="1"/>
  <c r="Q1128" i="1" s="1"/>
  <c r="P1126" i="1"/>
  <c r="P1127" i="1" s="1"/>
  <c r="P1128" i="1" s="1"/>
  <c r="O1126" i="1"/>
  <c r="O1127" i="1" s="1"/>
  <c r="O1128" i="1" s="1"/>
  <c r="N1126" i="1"/>
  <c r="N1127" i="1" s="1"/>
  <c r="N1128" i="1" s="1"/>
  <c r="K1126" i="1"/>
  <c r="K1127" i="1" s="1"/>
  <c r="K1128" i="1" s="1"/>
  <c r="J1126" i="1"/>
  <c r="J1127" i="1" s="1"/>
  <c r="J1128" i="1" s="1"/>
  <c r="I1126" i="1"/>
  <c r="I1127" i="1" s="1"/>
  <c r="I1128" i="1" s="1"/>
  <c r="H1126" i="1"/>
  <c r="H1127" i="1" s="1"/>
  <c r="G1127" i="1"/>
  <c r="G1128" i="1" s="1"/>
  <c r="F1126" i="1"/>
  <c r="F1127" i="1" s="1"/>
  <c r="F1128" i="1" s="1"/>
  <c r="E1126" i="1"/>
  <c r="E1127" i="1" s="1"/>
  <c r="E1128" i="1" s="1"/>
  <c r="D1126" i="1"/>
  <c r="D1127" i="1" s="1"/>
  <c r="D1128" i="1" s="1"/>
  <c r="C1126" i="1"/>
  <c r="C1127" i="1" s="1"/>
  <c r="C1128" i="1" s="1"/>
  <c r="AK1125" i="1"/>
  <c r="AJ1125" i="1"/>
  <c r="AC1125" i="1"/>
  <c r="Q1125" i="1"/>
  <c r="P1125" i="1"/>
  <c r="Q1124" i="1"/>
  <c r="P1124" i="1"/>
  <c r="O1124" i="1"/>
  <c r="N1124" i="1"/>
  <c r="M1124" i="1"/>
  <c r="L1124" i="1"/>
  <c r="K1124" i="1"/>
  <c r="J1124" i="1"/>
  <c r="I1124" i="1"/>
  <c r="H1124" i="1"/>
  <c r="G1124" i="1"/>
  <c r="F1124" i="1"/>
  <c r="E1124" i="1"/>
  <c r="D1124" i="1"/>
  <c r="C1124" i="1"/>
  <c r="AK1122" i="1"/>
  <c r="AJ1122" i="1"/>
  <c r="AC1122" i="1"/>
  <c r="Q1122" i="1"/>
  <c r="P1122" i="1"/>
  <c r="O1122" i="1"/>
  <c r="N1122" i="1"/>
  <c r="M1122" i="1"/>
  <c r="L1122" i="1"/>
  <c r="K1122" i="1"/>
  <c r="J1122" i="1"/>
  <c r="I1122" i="1"/>
  <c r="H1122" i="1"/>
  <c r="G1122" i="1"/>
  <c r="F1122" i="1"/>
  <c r="E1122" i="1"/>
  <c r="D1122" i="1"/>
  <c r="C1122" i="1"/>
  <c r="H1128" i="1" l="1"/>
  <c r="R1127" i="1"/>
  <c r="C1134" i="1"/>
  <c r="AK1140" i="1"/>
  <c r="AJ1140" i="1"/>
  <c r="AC1140" i="1"/>
  <c r="Q1138" i="1"/>
  <c r="Q1139" i="1" s="1"/>
  <c r="Q1140" i="1" s="1"/>
  <c r="P1138" i="1"/>
  <c r="P1139" i="1" s="1"/>
  <c r="P1140" i="1" s="1"/>
  <c r="O1138" i="1"/>
  <c r="O1139" i="1" s="1"/>
  <c r="O1140" i="1" s="1"/>
  <c r="N1138" i="1"/>
  <c r="N1139" i="1" s="1"/>
  <c r="N1140" i="1" s="1"/>
  <c r="M1138" i="1"/>
  <c r="M1139" i="1" s="1"/>
  <c r="M1140" i="1" s="1"/>
  <c r="L1138" i="1"/>
  <c r="L1139" i="1" s="1"/>
  <c r="L1140" i="1" s="1"/>
  <c r="K1138" i="1"/>
  <c r="K1139" i="1" s="1"/>
  <c r="K1140" i="1" s="1"/>
  <c r="J1138" i="1"/>
  <c r="J1139" i="1" s="1"/>
  <c r="J1140" i="1" s="1"/>
  <c r="I1138" i="1"/>
  <c r="I1139" i="1" s="1"/>
  <c r="I1140" i="1" s="1"/>
  <c r="H1138" i="1"/>
  <c r="H1139" i="1" s="1"/>
  <c r="G1138" i="1"/>
  <c r="G1139" i="1" s="1"/>
  <c r="G1140" i="1" s="1"/>
  <c r="F1138" i="1"/>
  <c r="F1139" i="1" s="1"/>
  <c r="F1140" i="1" s="1"/>
  <c r="E1138" i="1"/>
  <c r="E1139" i="1" s="1"/>
  <c r="E1140" i="1" s="1"/>
  <c r="D1138" i="1"/>
  <c r="D1139" i="1" s="1"/>
  <c r="D1140" i="1" s="1"/>
  <c r="C1138" i="1"/>
  <c r="C1139" i="1" s="1"/>
  <c r="C1140" i="1" s="1"/>
  <c r="AK1137" i="1"/>
  <c r="AJ1137" i="1"/>
  <c r="AC1137" i="1"/>
  <c r="Q1137" i="1"/>
  <c r="P1137" i="1"/>
  <c r="Q1136" i="1"/>
  <c r="P1136" i="1"/>
  <c r="O1136" i="1"/>
  <c r="N1136" i="1"/>
  <c r="M1136" i="1"/>
  <c r="L1136" i="1"/>
  <c r="K1136" i="1"/>
  <c r="J1136" i="1"/>
  <c r="I1136" i="1"/>
  <c r="H1136" i="1"/>
  <c r="G1136" i="1"/>
  <c r="F1136" i="1"/>
  <c r="E1136" i="1"/>
  <c r="D1136" i="1"/>
  <c r="C1136" i="1"/>
  <c r="AK1134" i="1"/>
  <c r="AJ1134" i="1"/>
  <c r="AC1134" i="1"/>
  <c r="Q1134" i="1"/>
  <c r="P1134" i="1"/>
  <c r="O1134" i="1"/>
  <c r="N1134" i="1"/>
  <c r="M1134" i="1"/>
  <c r="L1134" i="1"/>
  <c r="K1134" i="1"/>
  <c r="J1134" i="1"/>
  <c r="I1134" i="1"/>
  <c r="H1134" i="1"/>
  <c r="G1134" i="1"/>
  <c r="F1134" i="1"/>
  <c r="E1134" i="1"/>
  <c r="D1134" i="1"/>
  <c r="H1140" i="1" l="1"/>
  <c r="R1139" i="1"/>
  <c r="Q1150" i="1"/>
  <c r="Q1151" i="1" s="1"/>
  <c r="Q1152" i="1" s="1"/>
  <c r="P1150" i="1"/>
  <c r="P1151" i="1" s="1"/>
  <c r="P1152" i="1" s="1"/>
  <c r="G1150" i="1"/>
  <c r="G1151" i="1" s="1"/>
  <c r="G1152" i="1" s="1"/>
  <c r="I1150" i="1"/>
  <c r="I1151" i="1" s="1"/>
  <c r="I1152" i="1" s="1"/>
  <c r="Q1148" i="1"/>
  <c r="P1148" i="1"/>
  <c r="O1148" i="1"/>
  <c r="N1148" i="1"/>
  <c r="M1148" i="1"/>
  <c r="L1148" i="1"/>
  <c r="K1148" i="1"/>
  <c r="J1148" i="1"/>
  <c r="I1148" i="1"/>
  <c r="H1148" i="1"/>
  <c r="G1148" i="1"/>
  <c r="F1148" i="1"/>
  <c r="E1148" i="1"/>
  <c r="D1148" i="1"/>
  <c r="C1148" i="1"/>
  <c r="M1150" i="1"/>
  <c r="M1151" i="1" s="1"/>
  <c r="M1152" i="1" s="1"/>
  <c r="N1150" i="1"/>
  <c r="N1151" i="1" s="1"/>
  <c r="N1152" i="1" s="1"/>
  <c r="K1150" i="1"/>
  <c r="K1151" i="1" s="1"/>
  <c r="K1152" i="1" s="1"/>
  <c r="AK1152" i="1"/>
  <c r="AJ1152" i="1"/>
  <c r="AC1152" i="1"/>
  <c r="O1150" i="1"/>
  <c r="O1151" i="1" s="1"/>
  <c r="O1152" i="1" s="1"/>
  <c r="L1150" i="1"/>
  <c r="L1151" i="1" s="1"/>
  <c r="L1152" i="1" s="1"/>
  <c r="J1150" i="1"/>
  <c r="J1151" i="1" s="1"/>
  <c r="J1152" i="1" s="1"/>
  <c r="H1150" i="1"/>
  <c r="H1151" i="1" s="1"/>
  <c r="F1150" i="1"/>
  <c r="F1151" i="1" s="1"/>
  <c r="F1152" i="1" s="1"/>
  <c r="E1150" i="1"/>
  <c r="E1151" i="1" s="1"/>
  <c r="E1152" i="1" s="1"/>
  <c r="D1150" i="1"/>
  <c r="D1151" i="1" s="1"/>
  <c r="D1152" i="1" s="1"/>
  <c r="C1150" i="1"/>
  <c r="C1151" i="1" s="1"/>
  <c r="C1152" i="1" s="1"/>
  <c r="AK1149" i="1"/>
  <c r="AJ1149" i="1"/>
  <c r="AC1149" i="1"/>
  <c r="Q1149" i="1"/>
  <c r="P1149" i="1"/>
  <c r="AK1146" i="1"/>
  <c r="AJ1146" i="1"/>
  <c r="AC1146" i="1"/>
  <c r="Q1146" i="1"/>
  <c r="P1146" i="1"/>
  <c r="O1146" i="1"/>
  <c r="N1146" i="1"/>
  <c r="M1146" i="1"/>
  <c r="L1146" i="1"/>
  <c r="K1146" i="1"/>
  <c r="J1146" i="1"/>
  <c r="I1146" i="1"/>
  <c r="H1146" i="1"/>
  <c r="G1146" i="1"/>
  <c r="F1146" i="1"/>
  <c r="E1146" i="1"/>
  <c r="D1146" i="1"/>
  <c r="C1146" i="1"/>
  <c r="H1152" i="1" l="1"/>
  <c r="R1151" i="1"/>
  <c r="P1162" i="1"/>
  <c r="P1163" i="1" s="1"/>
  <c r="P1164" i="1" s="1"/>
  <c r="G1162" i="1"/>
  <c r="G1163" i="1" s="1"/>
  <c r="G1164" i="1" s="1"/>
  <c r="I1162" i="1"/>
  <c r="I1163" i="1" s="1"/>
  <c r="I1164" i="1" s="1"/>
  <c r="L1162" i="1"/>
  <c r="L1163" i="1" s="1"/>
  <c r="L1164" i="1" s="1"/>
  <c r="M1162" i="1"/>
  <c r="M1163" i="1" s="1"/>
  <c r="M1164" i="1" s="1"/>
  <c r="N1162" i="1"/>
  <c r="N1163" i="1" s="1"/>
  <c r="N1164" i="1" s="1"/>
  <c r="AK1164" i="1"/>
  <c r="AJ1164" i="1"/>
  <c r="AC1164" i="1"/>
  <c r="Q1162" i="1"/>
  <c r="Q1163" i="1" s="1"/>
  <c r="Q1164" i="1" s="1"/>
  <c r="O1162" i="1"/>
  <c r="O1163" i="1" s="1"/>
  <c r="O1164" i="1" s="1"/>
  <c r="K1162" i="1"/>
  <c r="K1163" i="1" s="1"/>
  <c r="K1164" i="1" s="1"/>
  <c r="J1162" i="1"/>
  <c r="J1163" i="1" s="1"/>
  <c r="J1164" i="1" s="1"/>
  <c r="H1162" i="1"/>
  <c r="H1163" i="1" s="1"/>
  <c r="F1162" i="1"/>
  <c r="F1163" i="1" s="1"/>
  <c r="F1164" i="1" s="1"/>
  <c r="E1162" i="1"/>
  <c r="E1163" i="1" s="1"/>
  <c r="E1164" i="1" s="1"/>
  <c r="D1162" i="1"/>
  <c r="D1163" i="1" s="1"/>
  <c r="D1164" i="1" s="1"/>
  <c r="C1162" i="1"/>
  <c r="C1163" i="1" s="1"/>
  <c r="C1164" i="1" s="1"/>
  <c r="AK1161" i="1"/>
  <c r="AJ1161" i="1"/>
  <c r="AC1161" i="1"/>
  <c r="Q1161" i="1"/>
  <c r="P1161" i="1"/>
  <c r="Q1160" i="1"/>
  <c r="P1160" i="1"/>
  <c r="O1160" i="1"/>
  <c r="N1160" i="1"/>
  <c r="M1160" i="1"/>
  <c r="L1160" i="1"/>
  <c r="K1160" i="1"/>
  <c r="J1160" i="1"/>
  <c r="I1160" i="1"/>
  <c r="H1160" i="1"/>
  <c r="G1160" i="1"/>
  <c r="F1160" i="1"/>
  <c r="E1160" i="1"/>
  <c r="D1160" i="1"/>
  <c r="C1160" i="1"/>
  <c r="AK1158" i="1"/>
  <c r="AJ1158" i="1"/>
  <c r="AC1158" i="1"/>
  <c r="Q1158" i="1"/>
  <c r="P1158" i="1"/>
  <c r="O1158" i="1"/>
  <c r="N1158" i="1"/>
  <c r="M1158" i="1"/>
  <c r="L1158" i="1"/>
  <c r="K1158" i="1"/>
  <c r="J1158" i="1"/>
  <c r="I1158" i="1"/>
  <c r="H1158" i="1"/>
  <c r="G1158" i="1"/>
  <c r="F1158" i="1"/>
  <c r="E1158" i="1"/>
  <c r="D1158" i="1"/>
  <c r="C1158" i="1"/>
  <c r="H1164" i="1" l="1"/>
  <c r="R1163" i="1"/>
  <c r="O1170" i="1"/>
  <c r="P1170" i="1"/>
  <c r="Q1170" i="1"/>
  <c r="O1172" i="1"/>
  <c r="P1172" i="1"/>
  <c r="Q1172" i="1"/>
  <c r="P1173" i="1"/>
  <c r="Q1173" i="1"/>
  <c r="AJ1184" i="1" l="1"/>
  <c r="AK1184" i="1"/>
  <c r="AC1184" i="1"/>
  <c r="AK1180" i="1"/>
  <c r="AK1182" i="1" s="1"/>
  <c r="AK1178" i="1"/>
  <c r="AK1181" i="1" s="1"/>
  <c r="AK1176" i="1"/>
  <c r="AK1173" i="1"/>
  <c r="AK1170" i="1"/>
  <c r="AJ1180" i="1"/>
  <c r="AJ1182" i="1" s="1"/>
  <c r="AJ1178" i="1"/>
  <c r="AJ1181" i="1" s="1"/>
  <c r="AJ1176" i="1"/>
  <c r="AJ1173" i="1"/>
  <c r="AJ1170" i="1"/>
  <c r="AC1180" i="1"/>
  <c r="AC1182" i="1" s="1"/>
  <c r="AC1178" i="1"/>
  <c r="AC1181" i="1" s="1"/>
  <c r="AC1176" i="1"/>
  <c r="AC1173" i="1"/>
  <c r="AC1170" i="1"/>
  <c r="AK1185" i="1" l="1"/>
  <c r="AC1185" i="1"/>
  <c r="AJ1185" i="1"/>
  <c r="Q1174" i="1"/>
  <c r="Q1175" i="1" s="1"/>
  <c r="Q1176" i="1" s="1"/>
  <c r="P1174" i="1"/>
  <c r="P1175" i="1" s="1"/>
  <c r="P1176" i="1" s="1"/>
  <c r="O1174" i="1"/>
  <c r="O1175" i="1" s="1"/>
  <c r="O1176" i="1" s="1"/>
  <c r="N1174" i="1"/>
  <c r="N1175" i="1" s="1"/>
  <c r="N1176" i="1" s="1"/>
  <c r="M1174" i="1"/>
  <c r="M1175" i="1" s="1"/>
  <c r="M1176" i="1" s="1"/>
  <c r="L1174" i="1"/>
  <c r="L1175" i="1" s="1"/>
  <c r="L1176" i="1" s="1"/>
  <c r="K1174" i="1"/>
  <c r="K1175" i="1" s="1"/>
  <c r="K1176" i="1" s="1"/>
  <c r="J1174" i="1"/>
  <c r="J1175" i="1" s="1"/>
  <c r="J1176" i="1" s="1"/>
  <c r="I1174" i="1"/>
  <c r="I1175" i="1" s="1"/>
  <c r="I1176" i="1" s="1"/>
  <c r="H1174" i="1"/>
  <c r="H1175" i="1" s="1"/>
  <c r="G1174" i="1"/>
  <c r="G1175" i="1" s="1"/>
  <c r="G1176" i="1" s="1"/>
  <c r="F1174" i="1"/>
  <c r="F1175" i="1" s="1"/>
  <c r="F1176" i="1" s="1"/>
  <c r="E1174" i="1"/>
  <c r="E1175" i="1" s="1"/>
  <c r="E1176" i="1" s="1"/>
  <c r="D1174" i="1"/>
  <c r="D1175" i="1" s="1"/>
  <c r="D1176" i="1" s="1"/>
  <c r="C1174" i="1"/>
  <c r="C1175" i="1" s="1"/>
  <c r="C1176" i="1" s="1"/>
  <c r="N1172" i="1"/>
  <c r="M1172" i="1"/>
  <c r="L1172" i="1"/>
  <c r="K1172" i="1"/>
  <c r="J1172" i="1"/>
  <c r="I1172" i="1"/>
  <c r="H1172" i="1"/>
  <c r="G1172" i="1"/>
  <c r="F1172" i="1"/>
  <c r="E1172" i="1"/>
  <c r="D1172" i="1"/>
  <c r="C1172" i="1"/>
  <c r="N1170" i="1"/>
  <c r="M1170" i="1"/>
  <c r="L1170" i="1"/>
  <c r="K1170" i="1"/>
  <c r="J1170" i="1"/>
  <c r="I1170" i="1"/>
  <c r="H1170" i="1"/>
  <c r="G1170" i="1"/>
  <c r="F1170" i="1"/>
  <c r="E1170" i="1"/>
  <c r="D1170" i="1"/>
  <c r="C1170" i="1"/>
  <c r="H1176" i="1" l="1"/>
  <c r="R1175" i="1"/>
  <c r="H1186" i="1"/>
  <c r="H1187" i="1" s="1"/>
  <c r="I1186" i="1"/>
  <c r="I1187" i="1" s="1"/>
  <c r="I1188" i="1" s="1"/>
  <c r="L1186" i="1"/>
  <c r="L1187" i="1" s="1"/>
  <c r="L1188" i="1" s="1"/>
  <c r="N1186" i="1"/>
  <c r="N1187" i="1" s="1"/>
  <c r="N1188" i="1" s="1"/>
  <c r="Q1186" i="1"/>
  <c r="Q1187" i="1" s="1"/>
  <c r="Q1188" i="1" s="1"/>
  <c r="P1186" i="1"/>
  <c r="P1187" i="1" s="1"/>
  <c r="P1188" i="1" s="1"/>
  <c r="O1186" i="1"/>
  <c r="O1187" i="1" s="1"/>
  <c r="O1188" i="1" s="1"/>
  <c r="M1186" i="1"/>
  <c r="M1187" i="1" s="1"/>
  <c r="M1188" i="1" s="1"/>
  <c r="K1186" i="1"/>
  <c r="K1187" i="1" s="1"/>
  <c r="K1188" i="1" s="1"/>
  <c r="J1186" i="1"/>
  <c r="J1187" i="1" s="1"/>
  <c r="J1188" i="1" s="1"/>
  <c r="G1186" i="1"/>
  <c r="G1187" i="1" s="1"/>
  <c r="G1188" i="1" s="1"/>
  <c r="F1186" i="1"/>
  <c r="F1187" i="1" s="1"/>
  <c r="F1188" i="1" s="1"/>
  <c r="E1186" i="1"/>
  <c r="E1187" i="1" s="1"/>
  <c r="E1188" i="1" s="1"/>
  <c r="D1186" i="1"/>
  <c r="D1187" i="1" s="1"/>
  <c r="D1188" i="1" s="1"/>
  <c r="C1186" i="1"/>
  <c r="C1187" i="1" s="1"/>
  <c r="C1188" i="1" s="1"/>
  <c r="Q1185" i="1"/>
  <c r="P1185" i="1"/>
  <c r="Q1184" i="1"/>
  <c r="P1184" i="1"/>
  <c r="O1184" i="1"/>
  <c r="N1184" i="1"/>
  <c r="M1184" i="1"/>
  <c r="L1184" i="1"/>
  <c r="K1184" i="1"/>
  <c r="J1184" i="1"/>
  <c r="I1184" i="1"/>
  <c r="H1184" i="1"/>
  <c r="G1184" i="1"/>
  <c r="F1184" i="1"/>
  <c r="E1184" i="1"/>
  <c r="D1184" i="1"/>
  <c r="C1184" i="1"/>
  <c r="Q1182" i="1"/>
  <c r="P1182" i="1"/>
  <c r="O1182" i="1"/>
  <c r="N1182" i="1"/>
  <c r="M1182" i="1"/>
  <c r="L1182" i="1"/>
  <c r="K1182" i="1"/>
  <c r="J1182" i="1"/>
  <c r="I1182" i="1"/>
  <c r="H1182" i="1"/>
  <c r="G1182" i="1"/>
  <c r="F1182" i="1"/>
  <c r="E1182" i="1"/>
  <c r="D1182" i="1"/>
  <c r="C1182" i="1"/>
  <c r="H1188" i="1" l="1"/>
  <c r="R1187" i="1"/>
  <c r="H1198" i="1"/>
  <c r="H1199" i="1" s="1"/>
  <c r="L1198" i="1"/>
  <c r="L1199" i="1" s="1"/>
  <c r="L1200" i="1" s="1"/>
  <c r="Q1198" i="1"/>
  <c r="Q1199" i="1" s="1"/>
  <c r="Q1200" i="1" s="1"/>
  <c r="P1198" i="1"/>
  <c r="P1199" i="1" s="1"/>
  <c r="P1200" i="1" s="1"/>
  <c r="O1198" i="1"/>
  <c r="O1199" i="1" s="1"/>
  <c r="O1200" i="1" s="1"/>
  <c r="N1198" i="1"/>
  <c r="N1199" i="1" s="1"/>
  <c r="N1200" i="1" s="1"/>
  <c r="M1198" i="1"/>
  <c r="M1199" i="1" s="1"/>
  <c r="M1200" i="1" s="1"/>
  <c r="K1198" i="1"/>
  <c r="K1199" i="1" s="1"/>
  <c r="K1200" i="1" s="1"/>
  <c r="J1198" i="1"/>
  <c r="J1199" i="1" s="1"/>
  <c r="J1200" i="1" s="1"/>
  <c r="I1198" i="1"/>
  <c r="I1199" i="1" s="1"/>
  <c r="I1200" i="1" s="1"/>
  <c r="G1198" i="1"/>
  <c r="G1199" i="1" s="1"/>
  <c r="G1200" i="1" s="1"/>
  <c r="F1198" i="1"/>
  <c r="F1199" i="1" s="1"/>
  <c r="F1200" i="1" s="1"/>
  <c r="E1198" i="1"/>
  <c r="E1199" i="1" s="1"/>
  <c r="E1200" i="1" s="1"/>
  <c r="D1198" i="1"/>
  <c r="D1199" i="1" s="1"/>
  <c r="D1200" i="1" s="1"/>
  <c r="C1198" i="1"/>
  <c r="C1199" i="1" s="1"/>
  <c r="C1200" i="1" s="1"/>
  <c r="Q1197" i="1"/>
  <c r="P1197" i="1"/>
  <c r="Q1196" i="1"/>
  <c r="P1196" i="1"/>
  <c r="O1196" i="1"/>
  <c r="N1196" i="1"/>
  <c r="M1196" i="1"/>
  <c r="L1196" i="1"/>
  <c r="K1196" i="1"/>
  <c r="J1196" i="1"/>
  <c r="I1196" i="1"/>
  <c r="H1196" i="1"/>
  <c r="G1196" i="1"/>
  <c r="F1196" i="1"/>
  <c r="E1196" i="1"/>
  <c r="D1196" i="1"/>
  <c r="C1196" i="1"/>
  <c r="Q1194" i="1"/>
  <c r="P1194" i="1"/>
  <c r="O1194" i="1"/>
  <c r="N1194" i="1"/>
  <c r="M1194" i="1"/>
  <c r="L1194" i="1"/>
  <c r="K1194" i="1"/>
  <c r="J1194" i="1"/>
  <c r="I1194" i="1"/>
  <c r="H1194" i="1"/>
  <c r="G1194" i="1"/>
  <c r="F1194" i="1"/>
  <c r="E1194" i="1"/>
  <c r="D1194" i="1"/>
  <c r="C1194" i="1"/>
  <c r="H1200" i="1" l="1"/>
  <c r="R1199" i="1"/>
  <c r="E1210" i="1"/>
  <c r="E1211" i="1" s="1"/>
  <c r="D1210" i="1"/>
  <c r="D1211" i="1" s="1"/>
  <c r="D1212" i="1" s="1"/>
  <c r="C1210" i="1"/>
  <c r="C1211" i="1" s="1"/>
  <c r="Q1210" i="1"/>
  <c r="Q1211" i="1" s="1"/>
  <c r="P1210" i="1"/>
  <c r="P1211" i="1" s="1"/>
  <c r="O1210" i="1"/>
  <c r="O1211" i="1" s="1"/>
  <c r="N1210" i="1"/>
  <c r="M1210" i="1"/>
  <c r="L1210" i="1"/>
  <c r="K1210" i="1"/>
  <c r="J1210" i="1"/>
  <c r="I1210" i="1"/>
  <c r="H1210" i="1"/>
  <c r="H1211" i="1" s="1"/>
  <c r="G1210" i="1"/>
  <c r="F1210" i="1"/>
  <c r="F1211" i="1" s="1"/>
  <c r="Q1209" i="1"/>
  <c r="P1209" i="1"/>
  <c r="Q1208" i="1"/>
  <c r="P1208" i="1"/>
  <c r="O1208" i="1"/>
  <c r="N1208" i="1"/>
  <c r="M1208" i="1"/>
  <c r="L1208" i="1"/>
  <c r="K1208" i="1"/>
  <c r="J1208" i="1"/>
  <c r="I1208" i="1"/>
  <c r="H1208" i="1"/>
  <c r="G1208" i="1"/>
  <c r="F1208" i="1"/>
  <c r="E1208" i="1"/>
  <c r="D1208" i="1"/>
  <c r="C1208" i="1"/>
  <c r="Q1206" i="1"/>
  <c r="P1206" i="1"/>
  <c r="O1206" i="1"/>
  <c r="N1206" i="1"/>
  <c r="M1206" i="1"/>
  <c r="L1206" i="1"/>
  <c r="K1206" i="1"/>
  <c r="J1206" i="1"/>
  <c r="I1206" i="1"/>
  <c r="H1206" i="1"/>
  <c r="G1206" i="1"/>
  <c r="F1206" i="1"/>
  <c r="E1206" i="1"/>
  <c r="D1206" i="1"/>
  <c r="C1206" i="1"/>
  <c r="J1211" i="1" l="1"/>
  <c r="J1212" i="1" s="1"/>
  <c r="L1211" i="1"/>
  <c r="L1212" i="1" s="1"/>
  <c r="O1212" i="1"/>
  <c r="Q1212" i="1"/>
  <c r="G1211" i="1"/>
  <c r="G1212" i="1" s="1"/>
  <c r="I1211" i="1"/>
  <c r="I1212" i="1" s="1"/>
  <c r="K1211" i="1"/>
  <c r="K1212" i="1" s="1"/>
  <c r="N1211" i="1"/>
  <c r="N1212" i="1" s="1"/>
  <c r="M1211" i="1"/>
  <c r="M1212" i="1" s="1"/>
  <c r="P1212" i="1"/>
  <c r="F1212" i="1"/>
  <c r="E1212" i="1"/>
  <c r="C1212" i="1"/>
  <c r="H1212" i="1"/>
  <c r="R1211" i="1"/>
  <c r="Q1222" i="1"/>
  <c r="Q1223" i="1" s="1"/>
  <c r="Q1224" i="1" s="1"/>
  <c r="I1222" i="1"/>
  <c r="I1223" i="1" s="1"/>
  <c r="I1224" i="1" s="1"/>
  <c r="E1222" i="1"/>
  <c r="E1223" i="1" s="1"/>
  <c r="E1224" i="1" s="1"/>
  <c r="N1222" i="1"/>
  <c r="N1223" i="1" s="1"/>
  <c r="N1224" i="1" s="1"/>
  <c r="D1222" i="1"/>
  <c r="D1223" i="1" s="1"/>
  <c r="D1224" i="1" s="1"/>
  <c r="C1222" i="1"/>
  <c r="C1223" i="1" s="1"/>
  <c r="C1224" i="1" s="1"/>
  <c r="P1222" i="1"/>
  <c r="P1223" i="1" s="1"/>
  <c r="P1224" i="1" s="1"/>
  <c r="O1222" i="1"/>
  <c r="O1223" i="1" s="1"/>
  <c r="O1224" i="1" s="1"/>
  <c r="M1222" i="1"/>
  <c r="M1223" i="1" s="1"/>
  <c r="M1224" i="1" s="1"/>
  <c r="L1222" i="1"/>
  <c r="L1223" i="1" s="1"/>
  <c r="L1224" i="1" s="1"/>
  <c r="K1222" i="1"/>
  <c r="K1223" i="1" s="1"/>
  <c r="K1224" i="1" s="1"/>
  <c r="J1222" i="1"/>
  <c r="J1223" i="1" s="1"/>
  <c r="J1224" i="1" s="1"/>
  <c r="H1222" i="1"/>
  <c r="H1223" i="1" s="1"/>
  <c r="G1222" i="1"/>
  <c r="G1223" i="1" s="1"/>
  <c r="G1224" i="1" s="1"/>
  <c r="F1222" i="1"/>
  <c r="F1223" i="1" s="1"/>
  <c r="F1224" i="1" s="1"/>
  <c r="Q1221" i="1"/>
  <c r="P1221" i="1"/>
  <c r="Q1220" i="1"/>
  <c r="P1220" i="1"/>
  <c r="O1220" i="1"/>
  <c r="N1220" i="1"/>
  <c r="M1220" i="1"/>
  <c r="L1220" i="1"/>
  <c r="K1220" i="1"/>
  <c r="J1220" i="1"/>
  <c r="I1220" i="1"/>
  <c r="H1220" i="1"/>
  <c r="G1220" i="1"/>
  <c r="F1220" i="1"/>
  <c r="E1220" i="1"/>
  <c r="D1220" i="1"/>
  <c r="C1220" i="1"/>
  <c r="Q1218" i="1"/>
  <c r="P1218" i="1"/>
  <c r="O1218" i="1"/>
  <c r="N1218" i="1"/>
  <c r="M1218" i="1"/>
  <c r="L1218" i="1"/>
  <c r="K1218" i="1"/>
  <c r="J1218" i="1"/>
  <c r="I1218" i="1"/>
  <c r="H1218" i="1"/>
  <c r="G1218" i="1"/>
  <c r="F1218" i="1"/>
  <c r="E1218" i="1"/>
  <c r="D1218" i="1"/>
  <c r="C1218" i="1"/>
  <c r="H1224" i="1" l="1"/>
  <c r="R1223" i="1"/>
  <c r="G1234" i="1"/>
  <c r="G1235" i="1" s="1"/>
  <c r="G1236" i="1" s="1"/>
  <c r="D1306" i="1"/>
  <c r="F1306" i="1"/>
  <c r="J1234" i="1"/>
  <c r="J1235" i="1" s="1"/>
  <c r="J1236" i="1" s="1"/>
  <c r="J1232" i="1"/>
  <c r="J1230" i="1"/>
  <c r="O1234" i="1"/>
  <c r="O1235" i="1" s="1"/>
  <c r="O1236" i="1" s="1"/>
  <c r="O1232" i="1"/>
  <c r="O1230" i="1"/>
  <c r="L1234" i="1"/>
  <c r="L1235" i="1" s="1"/>
  <c r="L1236" i="1" s="1"/>
  <c r="M1234" i="1"/>
  <c r="M1235" i="1" s="1"/>
  <c r="M1236" i="1" s="1"/>
  <c r="K1234" i="1"/>
  <c r="K1235" i="1" s="1"/>
  <c r="K1236" i="1" s="1"/>
  <c r="P1234" i="1"/>
  <c r="P1235" i="1" s="1"/>
  <c r="P1236" i="1" s="1"/>
  <c r="Q1234" i="1"/>
  <c r="Q1235" i="1" s="1"/>
  <c r="Q1236" i="1" s="1"/>
  <c r="N1234" i="1"/>
  <c r="N1235" i="1" s="1"/>
  <c r="N1236" i="1" s="1"/>
  <c r="I1234" i="1"/>
  <c r="I1235" i="1" s="1"/>
  <c r="I1236" i="1" s="1"/>
  <c r="H1234" i="1"/>
  <c r="H1235" i="1" s="1"/>
  <c r="F1234" i="1"/>
  <c r="F1235" i="1" s="1"/>
  <c r="F1236" i="1" s="1"/>
  <c r="E1234" i="1"/>
  <c r="E1235" i="1" s="1"/>
  <c r="E1236" i="1" s="1"/>
  <c r="D1234" i="1"/>
  <c r="D1235" i="1" s="1"/>
  <c r="D1236" i="1" s="1"/>
  <c r="C1234" i="1"/>
  <c r="C1235" i="1" s="1"/>
  <c r="C1236" i="1" s="1"/>
  <c r="Q1233" i="1"/>
  <c r="P1233" i="1"/>
  <c r="Q1232" i="1"/>
  <c r="P1232" i="1"/>
  <c r="N1232" i="1"/>
  <c r="M1232" i="1"/>
  <c r="L1232" i="1"/>
  <c r="K1232" i="1"/>
  <c r="I1232" i="1"/>
  <c r="H1232" i="1"/>
  <c r="G1232" i="1"/>
  <c r="F1232" i="1"/>
  <c r="E1232" i="1"/>
  <c r="D1232" i="1"/>
  <c r="C1232" i="1"/>
  <c r="Q1230" i="1"/>
  <c r="P1230" i="1"/>
  <c r="N1230" i="1"/>
  <c r="M1230" i="1"/>
  <c r="L1230" i="1"/>
  <c r="K1230" i="1"/>
  <c r="I1230" i="1"/>
  <c r="H1230" i="1"/>
  <c r="G1230" i="1"/>
  <c r="F1230" i="1"/>
  <c r="E1230" i="1"/>
  <c r="D1230" i="1"/>
  <c r="C1230" i="1"/>
  <c r="H1236" i="1" l="1"/>
  <c r="R1235" i="1"/>
  <c r="O1246" i="1" l="1"/>
  <c r="O1247" i="1" s="1"/>
  <c r="O1248" i="1" s="1"/>
  <c r="O1244" i="1"/>
  <c r="O1242" i="1"/>
  <c r="N1244" i="1"/>
  <c r="N1242" i="1"/>
  <c r="J1246" i="1"/>
  <c r="N1246" i="1"/>
  <c r="N1247" i="1" s="1"/>
  <c r="N1248" i="1" s="1"/>
  <c r="M1246" i="1"/>
  <c r="M1247" i="1" s="1"/>
  <c r="M1248" i="1" s="1"/>
  <c r="L1246" i="1"/>
  <c r="K1246" i="1"/>
  <c r="K1247" i="1" s="1"/>
  <c r="K1248" i="1" s="1"/>
  <c r="M1242" i="1"/>
  <c r="L1242" i="1"/>
  <c r="K1242" i="1"/>
  <c r="J1242" i="1"/>
  <c r="I1242" i="1"/>
  <c r="H1242" i="1"/>
  <c r="G1242" i="1"/>
  <c r="F1242" i="1"/>
  <c r="E1242" i="1"/>
  <c r="D1242" i="1"/>
  <c r="C1242" i="1"/>
  <c r="M1244" i="1"/>
  <c r="L1244" i="1"/>
  <c r="K1244" i="1"/>
  <c r="J1244" i="1"/>
  <c r="I1244" i="1"/>
  <c r="H1244" i="1"/>
  <c r="G1244" i="1"/>
  <c r="F1244" i="1"/>
  <c r="E1244" i="1"/>
  <c r="D1244" i="1"/>
  <c r="C1244" i="1"/>
  <c r="M1256" i="1"/>
  <c r="L1256" i="1"/>
  <c r="K1256" i="1"/>
  <c r="J1256" i="1"/>
  <c r="I1256" i="1"/>
  <c r="H1256" i="1"/>
  <c r="G1256" i="1"/>
  <c r="F1256" i="1"/>
  <c r="E1256" i="1"/>
  <c r="D1256" i="1"/>
  <c r="C1256" i="1"/>
  <c r="M1268" i="1"/>
  <c r="L1268" i="1"/>
  <c r="K1268" i="1"/>
  <c r="J1268" i="1"/>
  <c r="I1268" i="1"/>
  <c r="H1268" i="1"/>
  <c r="G1268" i="1"/>
  <c r="F1268" i="1"/>
  <c r="E1268" i="1"/>
  <c r="D1268" i="1"/>
  <c r="C1268" i="1"/>
  <c r="M1280" i="1"/>
  <c r="L1280" i="1"/>
  <c r="K1280" i="1"/>
  <c r="J1280" i="1"/>
  <c r="I1280" i="1"/>
  <c r="H1280" i="1"/>
  <c r="G1280" i="1"/>
  <c r="F1280" i="1"/>
  <c r="E1280" i="1"/>
  <c r="D1280" i="1"/>
  <c r="C1280" i="1"/>
  <c r="M1292" i="1"/>
  <c r="L1292" i="1"/>
  <c r="K1292" i="1"/>
  <c r="J1292" i="1"/>
  <c r="I1292" i="1"/>
  <c r="H1292" i="1"/>
  <c r="G1292" i="1"/>
  <c r="F1292" i="1"/>
  <c r="E1292" i="1"/>
  <c r="D1292" i="1"/>
  <c r="C1292" i="1"/>
  <c r="M1304" i="1"/>
  <c r="L1304" i="1"/>
  <c r="K1304" i="1"/>
  <c r="J1304" i="1"/>
  <c r="I1304" i="1"/>
  <c r="H1304" i="1"/>
  <c r="G1304" i="1"/>
  <c r="F1304" i="1"/>
  <c r="E1304" i="1"/>
  <c r="D1304" i="1"/>
  <c r="C1304" i="1"/>
  <c r="M1316" i="1"/>
  <c r="L1316" i="1"/>
  <c r="K1316" i="1"/>
  <c r="J1316" i="1"/>
  <c r="I1316" i="1"/>
  <c r="H1316" i="1"/>
  <c r="G1316" i="1"/>
  <c r="F1316" i="1"/>
  <c r="E1316" i="1"/>
  <c r="D1316" i="1"/>
  <c r="C1316" i="1"/>
  <c r="M1328" i="1"/>
  <c r="L1328" i="1"/>
  <c r="K1328" i="1"/>
  <c r="J1328" i="1"/>
  <c r="I1328" i="1"/>
  <c r="H1328" i="1"/>
  <c r="G1328" i="1"/>
  <c r="F1328" i="1"/>
  <c r="E1328" i="1"/>
  <c r="D1328" i="1"/>
  <c r="C1328" i="1"/>
  <c r="M1340" i="1"/>
  <c r="L1340" i="1"/>
  <c r="K1340" i="1"/>
  <c r="J1340" i="1"/>
  <c r="I1340" i="1"/>
  <c r="H1340" i="1"/>
  <c r="G1340" i="1"/>
  <c r="F1340" i="1"/>
  <c r="E1340" i="1"/>
  <c r="D1340" i="1"/>
  <c r="C1340" i="1"/>
  <c r="L1247" i="1"/>
  <c r="L1248" i="1" s="1"/>
  <c r="J1247" i="1"/>
  <c r="J1248" i="1" s="1"/>
  <c r="C1342" i="1"/>
  <c r="C1343" i="1" s="1"/>
  <c r="C1344" i="1" s="1"/>
  <c r="D1342" i="1"/>
  <c r="D1343" i="1" s="1"/>
  <c r="D1344" i="1" s="1"/>
  <c r="E1342" i="1"/>
  <c r="E1343" i="1" s="1"/>
  <c r="E1344" i="1" s="1"/>
  <c r="F1342" i="1"/>
  <c r="F1343" i="1" s="1"/>
  <c r="F1344" i="1" s="1"/>
  <c r="G1342" i="1"/>
  <c r="G1343" i="1" s="1"/>
  <c r="G1344" i="1" s="1"/>
  <c r="H1342" i="1"/>
  <c r="H1343" i="1" s="1"/>
  <c r="H1344" i="1" s="1"/>
  <c r="I1342" i="1"/>
  <c r="I1343" i="1" s="1"/>
  <c r="I1344" i="1" s="1"/>
  <c r="J1342" i="1"/>
  <c r="J1343" i="1" s="1"/>
  <c r="J1344" i="1" s="1"/>
  <c r="K1342" i="1"/>
  <c r="K1343" i="1" s="1"/>
  <c r="K1344" i="1" s="1"/>
  <c r="L1342" i="1"/>
  <c r="L1343" i="1" s="1"/>
  <c r="L1344" i="1" s="1"/>
  <c r="M1342" i="1"/>
  <c r="M1343" i="1" s="1"/>
  <c r="M1344" i="1" s="1"/>
  <c r="C1330" i="1"/>
  <c r="C1331" i="1" s="1"/>
  <c r="C1332" i="1" s="1"/>
  <c r="D1330" i="1"/>
  <c r="D1331" i="1" s="1"/>
  <c r="D1332" i="1" s="1"/>
  <c r="E1330" i="1"/>
  <c r="E1331" i="1" s="1"/>
  <c r="E1332" i="1" s="1"/>
  <c r="F1330" i="1"/>
  <c r="F1331" i="1" s="1"/>
  <c r="F1332" i="1" s="1"/>
  <c r="G1330" i="1"/>
  <c r="G1331" i="1" s="1"/>
  <c r="G1332" i="1" s="1"/>
  <c r="H1330" i="1"/>
  <c r="H1331" i="1" s="1"/>
  <c r="H1332" i="1" s="1"/>
  <c r="I1330" i="1"/>
  <c r="I1331" i="1" s="1"/>
  <c r="I1332" i="1" s="1"/>
  <c r="J1330" i="1"/>
  <c r="J1331" i="1" s="1"/>
  <c r="J1332" i="1" s="1"/>
  <c r="K1330" i="1"/>
  <c r="K1331" i="1" s="1"/>
  <c r="K1332" i="1" s="1"/>
  <c r="L1330" i="1"/>
  <c r="L1331" i="1" s="1"/>
  <c r="L1332" i="1" s="1"/>
  <c r="M1330" i="1"/>
  <c r="M1331" i="1" s="1"/>
  <c r="M1332" i="1" s="1"/>
  <c r="C1318" i="1"/>
  <c r="C1319" i="1" s="1"/>
  <c r="C1320" i="1" s="1"/>
  <c r="D1318" i="1"/>
  <c r="D1319" i="1" s="1"/>
  <c r="D1320" i="1" s="1"/>
  <c r="E1318" i="1"/>
  <c r="E1319" i="1" s="1"/>
  <c r="E1320" i="1" s="1"/>
  <c r="F1318" i="1"/>
  <c r="F1319" i="1" s="1"/>
  <c r="F1320" i="1" s="1"/>
  <c r="G1318" i="1"/>
  <c r="G1319" i="1" s="1"/>
  <c r="G1320" i="1" s="1"/>
  <c r="H1318" i="1"/>
  <c r="H1319" i="1" s="1"/>
  <c r="H1320" i="1" s="1"/>
  <c r="I1318" i="1"/>
  <c r="I1319" i="1" s="1"/>
  <c r="I1320" i="1" s="1"/>
  <c r="J1318" i="1"/>
  <c r="J1319" i="1" s="1"/>
  <c r="J1320" i="1" s="1"/>
  <c r="K1318" i="1"/>
  <c r="K1319" i="1" s="1"/>
  <c r="K1320" i="1" s="1"/>
  <c r="L1318" i="1"/>
  <c r="L1319" i="1" s="1"/>
  <c r="L1320" i="1" s="1"/>
  <c r="M1318" i="1"/>
  <c r="M1319" i="1" s="1"/>
  <c r="M1320" i="1" s="1"/>
  <c r="C1306" i="1"/>
  <c r="C1307" i="1" s="1"/>
  <c r="C1308" i="1" s="1"/>
  <c r="D1307" i="1"/>
  <c r="D1308" i="1" s="1"/>
  <c r="E1306" i="1"/>
  <c r="E1307" i="1" s="1"/>
  <c r="E1308" i="1" s="1"/>
  <c r="F1307" i="1"/>
  <c r="F1308" i="1" s="1"/>
  <c r="G1306" i="1"/>
  <c r="G1307" i="1" s="1"/>
  <c r="G1308" i="1" s="1"/>
  <c r="H1306" i="1"/>
  <c r="H1307" i="1" s="1"/>
  <c r="H1308" i="1" s="1"/>
  <c r="I1306" i="1"/>
  <c r="I1307" i="1" s="1"/>
  <c r="I1308" i="1" s="1"/>
  <c r="J1306" i="1"/>
  <c r="J1307" i="1" s="1"/>
  <c r="J1308" i="1" s="1"/>
  <c r="K1306" i="1"/>
  <c r="K1307" i="1" s="1"/>
  <c r="K1308" i="1" s="1"/>
  <c r="L1306" i="1"/>
  <c r="L1307" i="1" s="1"/>
  <c r="L1308" i="1" s="1"/>
  <c r="M1306" i="1"/>
  <c r="M1307" i="1" s="1"/>
  <c r="M1308" i="1" s="1"/>
  <c r="C1294" i="1"/>
  <c r="C1295" i="1" s="1"/>
  <c r="C1296" i="1" s="1"/>
  <c r="D1294" i="1"/>
  <c r="D1295" i="1" s="1"/>
  <c r="D1296" i="1" s="1"/>
  <c r="E1294" i="1"/>
  <c r="E1295" i="1" s="1"/>
  <c r="E1296" i="1" s="1"/>
  <c r="F1294" i="1"/>
  <c r="F1295" i="1" s="1"/>
  <c r="F1296" i="1" s="1"/>
  <c r="G1294" i="1"/>
  <c r="G1295" i="1" s="1"/>
  <c r="G1296" i="1" s="1"/>
  <c r="H1294" i="1"/>
  <c r="H1295" i="1" s="1"/>
  <c r="H1296" i="1" s="1"/>
  <c r="I1294" i="1"/>
  <c r="I1295" i="1" s="1"/>
  <c r="I1296" i="1" s="1"/>
  <c r="J1294" i="1"/>
  <c r="J1295" i="1" s="1"/>
  <c r="J1296" i="1" s="1"/>
  <c r="K1294" i="1"/>
  <c r="K1295" i="1" s="1"/>
  <c r="K1296" i="1" s="1"/>
  <c r="L1294" i="1"/>
  <c r="L1295" i="1" s="1"/>
  <c r="L1296" i="1" s="1"/>
  <c r="M1294" i="1"/>
  <c r="M1295" i="1" s="1"/>
  <c r="M1296" i="1" s="1"/>
  <c r="C1282" i="1"/>
  <c r="C1283" i="1" s="1"/>
  <c r="C1284" i="1" s="1"/>
  <c r="D1282" i="1"/>
  <c r="D1283" i="1" s="1"/>
  <c r="D1284" i="1" s="1"/>
  <c r="E1282" i="1"/>
  <c r="E1283" i="1" s="1"/>
  <c r="E1284" i="1" s="1"/>
  <c r="F1282" i="1"/>
  <c r="F1283" i="1" s="1"/>
  <c r="F1284" i="1" s="1"/>
  <c r="G1282" i="1"/>
  <c r="G1283" i="1" s="1"/>
  <c r="G1284" i="1" s="1"/>
  <c r="H1282" i="1"/>
  <c r="H1283" i="1" s="1"/>
  <c r="H1284" i="1" s="1"/>
  <c r="I1282" i="1"/>
  <c r="I1283" i="1" s="1"/>
  <c r="I1284" i="1" s="1"/>
  <c r="J1282" i="1"/>
  <c r="J1283" i="1" s="1"/>
  <c r="J1284" i="1" s="1"/>
  <c r="K1282" i="1"/>
  <c r="K1283" i="1" s="1"/>
  <c r="K1284" i="1" s="1"/>
  <c r="L1282" i="1"/>
  <c r="L1283" i="1" s="1"/>
  <c r="L1284" i="1" s="1"/>
  <c r="M1282" i="1"/>
  <c r="M1283" i="1" s="1"/>
  <c r="M1284" i="1" s="1"/>
  <c r="C1270" i="1"/>
  <c r="C1271" i="1" s="1"/>
  <c r="C1272" i="1" s="1"/>
  <c r="D1270" i="1"/>
  <c r="D1271" i="1" s="1"/>
  <c r="D1272" i="1" s="1"/>
  <c r="E1270" i="1"/>
  <c r="E1271" i="1" s="1"/>
  <c r="E1272" i="1" s="1"/>
  <c r="F1270" i="1"/>
  <c r="F1271" i="1" s="1"/>
  <c r="F1272" i="1" s="1"/>
  <c r="G1270" i="1"/>
  <c r="G1271" i="1" s="1"/>
  <c r="G1272" i="1" s="1"/>
  <c r="H1270" i="1"/>
  <c r="H1271" i="1" s="1"/>
  <c r="H1272" i="1" s="1"/>
  <c r="I1270" i="1"/>
  <c r="I1271" i="1" s="1"/>
  <c r="I1272" i="1" s="1"/>
  <c r="J1270" i="1"/>
  <c r="J1271" i="1" s="1"/>
  <c r="J1272" i="1" s="1"/>
  <c r="K1270" i="1"/>
  <c r="K1271" i="1" s="1"/>
  <c r="K1272" i="1" s="1"/>
  <c r="L1270" i="1"/>
  <c r="L1271" i="1" s="1"/>
  <c r="L1272" i="1" s="1"/>
  <c r="M1270" i="1"/>
  <c r="M1271" i="1" s="1"/>
  <c r="M1272" i="1" s="1"/>
  <c r="C1258" i="1"/>
  <c r="C1259" i="1" s="1"/>
  <c r="C1260" i="1" s="1"/>
  <c r="D1258" i="1"/>
  <c r="D1259" i="1" s="1"/>
  <c r="D1260" i="1" s="1"/>
  <c r="E1258" i="1"/>
  <c r="E1259" i="1" s="1"/>
  <c r="E1260" i="1" s="1"/>
  <c r="F1258" i="1"/>
  <c r="F1259" i="1" s="1"/>
  <c r="F1260" i="1" s="1"/>
  <c r="G1258" i="1"/>
  <c r="G1259" i="1" s="1"/>
  <c r="G1260" i="1" s="1"/>
  <c r="H1258" i="1"/>
  <c r="H1259" i="1" s="1"/>
  <c r="R1259" i="1" s="1"/>
  <c r="I1258" i="1"/>
  <c r="I1259" i="1" s="1"/>
  <c r="I1260" i="1" s="1"/>
  <c r="J1258" i="1"/>
  <c r="J1259" i="1" s="1"/>
  <c r="J1260" i="1" s="1"/>
  <c r="K1258" i="1"/>
  <c r="K1259" i="1" s="1"/>
  <c r="K1260" i="1" s="1"/>
  <c r="L1258" i="1"/>
  <c r="L1259" i="1" s="1"/>
  <c r="L1260" i="1" s="1"/>
  <c r="M1258" i="1"/>
  <c r="M1259" i="1" s="1"/>
  <c r="M1260" i="1" s="1"/>
  <c r="J1254" i="1"/>
  <c r="K1254" i="1"/>
  <c r="L1254" i="1"/>
  <c r="M1254" i="1"/>
  <c r="I1246" i="1"/>
  <c r="I1247" i="1" s="1"/>
  <c r="I1248" i="1" s="1"/>
  <c r="E1246" i="1"/>
  <c r="E1247" i="1" s="1"/>
  <c r="E1248" i="1" s="1"/>
  <c r="D1246" i="1"/>
  <c r="D1247" i="1" s="1"/>
  <c r="D1248" i="1" s="1"/>
  <c r="H1246" i="1"/>
  <c r="H1247" i="1" s="1"/>
  <c r="R1247" i="1" s="1"/>
  <c r="G1246" i="1"/>
  <c r="G1247" i="1" s="1"/>
  <c r="G1248" i="1" s="1"/>
  <c r="F1246" i="1"/>
  <c r="F1247" i="1" s="1"/>
  <c r="F1248" i="1" s="1"/>
  <c r="C1246" i="1"/>
  <c r="C1247" i="1" s="1"/>
  <c r="C1248" i="1" s="1"/>
  <c r="I1254" i="1"/>
  <c r="H1254" i="1"/>
  <c r="G1254" i="1"/>
  <c r="F1254" i="1"/>
  <c r="E1254" i="1"/>
  <c r="D1254" i="1"/>
  <c r="C1254" i="1"/>
  <c r="H1248" i="1" l="1"/>
  <c r="H1260" i="1"/>
  <c r="R1271" i="1"/>
  <c r="M1266" i="1"/>
  <c r="L1266" i="1"/>
  <c r="K1266" i="1"/>
  <c r="J1266" i="1"/>
  <c r="I1266" i="1"/>
  <c r="H1266" i="1"/>
  <c r="G1266" i="1"/>
  <c r="F1266" i="1"/>
  <c r="E1266" i="1"/>
  <c r="D1266" i="1"/>
  <c r="C1266" i="1"/>
  <c r="R1283" i="1" l="1"/>
  <c r="M1278" i="1"/>
  <c r="L1278" i="1"/>
  <c r="K1278" i="1"/>
  <c r="J1278" i="1"/>
  <c r="I1278" i="1"/>
  <c r="H1278" i="1"/>
  <c r="G1278" i="1"/>
  <c r="F1278" i="1"/>
  <c r="E1278" i="1"/>
  <c r="D1278" i="1"/>
  <c r="C1278" i="1"/>
  <c r="R1295" i="1" l="1"/>
  <c r="M1290" i="1"/>
  <c r="L1290" i="1"/>
  <c r="K1290" i="1"/>
  <c r="J1290" i="1"/>
  <c r="I1290" i="1"/>
  <c r="H1290" i="1"/>
  <c r="G1290" i="1"/>
  <c r="F1290" i="1"/>
  <c r="E1290" i="1"/>
  <c r="D1290" i="1"/>
  <c r="C1290" i="1"/>
  <c r="R1307" i="1" l="1"/>
  <c r="M1302" i="1"/>
  <c r="L1302" i="1"/>
  <c r="K1302" i="1"/>
  <c r="J1302" i="1"/>
  <c r="I1302" i="1"/>
  <c r="H1302" i="1"/>
  <c r="G1302" i="1"/>
  <c r="F1302" i="1"/>
  <c r="E1302" i="1"/>
  <c r="D1302" i="1"/>
  <c r="C1302" i="1"/>
  <c r="R1319" i="1" l="1"/>
  <c r="M1314" i="1"/>
  <c r="L1314" i="1"/>
  <c r="K1314" i="1"/>
  <c r="J1314" i="1"/>
  <c r="I1314" i="1"/>
  <c r="H1314" i="1"/>
  <c r="G1314" i="1"/>
  <c r="F1314" i="1"/>
  <c r="E1314" i="1"/>
  <c r="D1314" i="1"/>
  <c r="C1314" i="1"/>
  <c r="M1326" i="1" l="1"/>
  <c r="L1326" i="1"/>
  <c r="K1326" i="1"/>
  <c r="J1326" i="1"/>
  <c r="I1326" i="1"/>
  <c r="H1326" i="1"/>
  <c r="G1326" i="1"/>
  <c r="F1326" i="1"/>
  <c r="E1326" i="1"/>
  <c r="D1326" i="1"/>
  <c r="C1326" i="1"/>
  <c r="M1338" i="1"/>
  <c r="L1338" i="1"/>
  <c r="K1338" i="1"/>
  <c r="J1338" i="1"/>
  <c r="I1338" i="1"/>
  <c r="H1338" i="1"/>
  <c r="G1338" i="1"/>
  <c r="F1338" i="1"/>
  <c r="E1338" i="1"/>
  <c r="D1338" i="1"/>
  <c r="C1338" i="1"/>
  <c r="R1331" i="1"/>
  <c r="R1343" i="1" l="1"/>
  <c r="E1354" i="1"/>
  <c r="E1355" i="1" s="1"/>
  <c r="E1356" i="1" s="1"/>
  <c r="D1354" i="1"/>
  <c r="D1355" i="1" s="1"/>
  <c r="D1356" i="1" s="1"/>
  <c r="C1354" i="1"/>
  <c r="C1355" i="1" s="1"/>
  <c r="C1356" i="1" s="1"/>
  <c r="M1354" i="1"/>
  <c r="M1355" i="1" s="1"/>
  <c r="M1356" i="1" s="1"/>
  <c r="L1354" i="1"/>
  <c r="L1355" i="1" s="1"/>
  <c r="L1356" i="1" s="1"/>
  <c r="K1354" i="1"/>
  <c r="K1355" i="1" s="1"/>
  <c r="K1356" i="1" s="1"/>
  <c r="J1354" i="1"/>
  <c r="J1355" i="1" s="1"/>
  <c r="J1356" i="1" s="1"/>
  <c r="I1354" i="1"/>
  <c r="I1355" i="1" s="1"/>
  <c r="I1356" i="1" s="1"/>
  <c r="H1354" i="1"/>
  <c r="H1355" i="1" s="1"/>
  <c r="H1356" i="1" s="1"/>
  <c r="G1354" i="1"/>
  <c r="G1355" i="1" s="1"/>
  <c r="G1356" i="1" s="1"/>
  <c r="F1354" i="1"/>
  <c r="F1355" i="1" s="1"/>
  <c r="F1356" i="1" s="1"/>
  <c r="M1353" i="1"/>
  <c r="K1353" i="1"/>
  <c r="I1353" i="1"/>
  <c r="H1353" i="1"/>
  <c r="G1353" i="1"/>
  <c r="M1352" i="1"/>
  <c r="L1352" i="1"/>
  <c r="K1352" i="1"/>
  <c r="J1352" i="1"/>
  <c r="I1352" i="1"/>
  <c r="H1352" i="1"/>
  <c r="G1352" i="1"/>
  <c r="F1352" i="1"/>
  <c r="E1352" i="1"/>
  <c r="D1352" i="1"/>
  <c r="C1352" i="1"/>
  <c r="M1350" i="1"/>
  <c r="L1350" i="1"/>
  <c r="K1350" i="1"/>
  <c r="J1350" i="1"/>
  <c r="I1350" i="1"/>
  <c r="H1350" i="1"/>
  <c r="G1350" i="1"/>
  <c r="F1350" i="1"/>
  <c r="E1350" i="1"/>
  <c r="D1350" i="1"/>
  <c r="C1350" i="1"/>
  <c r="M1366" i="1"/>
  <c r="M1367" i="1" s="1"/>
  <c r="M1368" i="1" s="1"/>
  <c r="L1366" i="1"/>
  <c r="L1367" i="1" s="1"/>
  <c r="L1368" i="1" s="1"/>
  <c r="K1366" i="1"/>
  <c r="K1367" i="1" s="1"/>
  <c r="K1368" i="1" s="1"/>
  <c r="J1366" i="1"/>
  <c r="J1367" i="1" s="1"/>
  <c r="J1368" i="1" s="1"/>
  <c r="I1366" i="1"/>
  <c r="I1367" i="1" s="1"/>
  <c r="I1368" i="1" s="1"/>
  <c r="H1366" i="1"/>
  <c r="H1367" i="1" s="1"/>
  <c r="H1368" i="1" s="1"/>
  <c r="G1366" i="1"/>
  <c r="G1367" i="1" s="1"/>
  <c r="G1368" i="1" s="1"/>
  <c r="F1366" i="1"/>
  <c r="F1367" i="1" s="1"/>
  <c r="F1368" i="1" s="1"/>
  <c r="E1366" i="1"/>
  <c r="E1367" i="1" s="1"/>
  <c r="E1368" i="1" s="1"/>
  <c r="D1366" i="1"/>
  <c r="D1367" i="1" s="1"/>
  <c r="D1368" i="1" s="1"/>
  <c r="C1366" i="1"/>
  <c r="C1367" i="1" s="1"/>
  <c r="C1368" i="1" s="1"/>
  <c r="M1365" i="1"/>
  <c r="K1365" i="1"/>
  <c r="I1365" i="1"/>
  <c r="H1365" i="1"/>
  <c r="G1365" i="1"/>
  <c r="M1364" i="1"/>
  <c r="L1364" i="1"/>
  <c r="K1364" i="1"/>
  <c r="J1364" i="1"/>
  <c r="I1364" i="1"/>
  <c r="H1364" i="1"/>
  <c r="G1364" i="1"/>
  <c r="F1364" i="1"/>
  <c r="E1364" i="1"/>
  <c r="D1364" i="1"/>
  <c r="C1364" i="1"/>
  <c r="M1362" i="1"/>
  <c r="L1362" i="1"/>
  <c r="K1362" i="1"/>
  <c r="J1362" i="1"/>
  <c r="I1362" i="1"/>
  <c r="H1362" i="1"/>
  <c r="G1362" i="1"/>
  <c r="F1362" i="1"/>
  <c r="E1362" i="1"/>
  <c r="D1362" i="1"/>
  <c r="C1362" i="1"/>
  <c r="R1355" i="1" l="1"/>
  <c r="R1367" i="1"/>
  <c r="H1378" i="1"/>
  <c r="H1379" i="1" s="1"/>
  <c r="F1378" i="1"/>
  <c r="F1379" i="1" s="1"/>
  <c r="F1380" i="1" s="1"/>
  <c r="E1378" i="1"/>
  <c r="E1379" i="1" s="1"/>
  <c r="E1380" i="1" s="1"/>
  <c r="K1378" i="1"/>
  <c r="K1379" i="1" s="1"/>
  <c r="K1380" i="1" s="1"/>
  <c r="J1378" i="1"/>
  <c r="J1379" i="1" s="1"/>
  <c r="J1380" i="1" s="1"/>
  <c r="D1378" i="1"/>
  <c r="D1379" i="1" s="1"/>
  <c r="D1380" i="1" s="1"/>
  <c r="C1378" i="1"/>
  <c r="C1379" i="1" s="1"/>
  <c r="C1380" i="1" s="1"/>
  <c r="M1378" i="1"/>
  <c r="M1379" i="1" s="1"/>
  <c r="M1380" i="1" s="1"/>
  <c r="L1378" i="1"/>
  <c r="L1379" i="1" s="1"/>
  <c r="L1380" i="1" s="1"/>
  <c r="I1378" i="1"/>
  <c r="I1379" i="1" s="1"/>
  <c r="I1380" i="1" s="1"/>
  <c r="G1378" i="1"/>
  <c r="G1379" i="1" s="1"/>
  <c r="G1380" i="1" s="1"/>
  <c r="M1377" i="1"/>
  <c r="K1377" i="1"/>
  <c r="I1377" i="1"/>
  <c r="H1377" i="1"/>
  <c r="G1377" i="1"/>
  <c r="M1376" i="1"/>
  <c r="L1376" i="1"/>
  <c r="K1376" i="1"/>
  <c r="J1376" i="1"/>
  <c r="I1376" i="1"/>
  <c r="H1376" i="1"/>
  <c r="G1376" i="1"/>
  <c r="F1376" i="1"/>
  <c r="E1376" i="1"/>
  <c r="D1376" i="1"/>
  <c r="C1376" i="1"/>
  <c r="M1374" i="1"/>
  <c r="L1374" i="1"/>
  <c r="K1374" i="1"/>
  <c r="J1374" i="1"/>
  <c r="I1374" i="1"/>
  <c r="H1374" i="1"/>
  <c r="G1374" i="1"/>
  <c r="F1374" i="1"/>
  <c r="E1374" i="1"/>
  <c r="D1374" i="1"/>
  <c r="C1374" i="1"/>
  <c r="H1380" i="1" l="1"/>
  <c r="R1379" i="1"/>
  <c r="H1390" i="1"/>
  <c r="H1391" i="1" s="1"/>
  <c r="H1392" i="1" s="1"/>
  <c r="M1390" i="1"/>
  <c r="M1391" i="1" s="1"/>
  <c r="M1392" i="1" s="1"/>
  <c r="L1390" i="1"/>
  <c r="L1391" i="1" s="1"/>
  <c r="L1392" i="1" s="1"/>
  <c r="K1390" i="1"/>
  <c r="K1391" i="1" s="1"/>
  <c r="K1392" i="1" s="1"/>
  <c r="J1390" i="1"/>
  <c r="J1391" i="1" s="1"/>
  <c r="J1392" i="1" s="1"/>
  <c r="I1390" i="1"/>
  <c r="I1391" i="1" s="1"/>
  <c r="I1392" i="1" s="1"/>
  <c r="G1390" i="1"/>
  <c r="G1391" i="1" s="1"/>
  <c r="G1392" i="1" s="1"/>
  <c r="F1390" i="1"/>
  <c r="F1391" i="1" s="1"/>
  <c r="F1392" i="1" s="1"/>
  <c r="E1390" i="1"/>
  <c r="E1391" i="1" s="1"/>
  <c r="E1392" i="1" s="1"/>
  <c r="D1390" i="1"/>
  <c r="D1391" i="1" s="1"/>
  <c r="D1392" i="1" s="1"/>
  <c r="C1390" i="1"/>
  <c r="C1391" i="1" s="1"/>
  <c r="C1392" i="1" s="1"/>
  <c r="M1389" i="1"/>
  <c r="K1389" i="1"/>
  <c r="I1389" i="1"/>
  <c r="H1389" i="1"/>
  <c r="G1389" i="1"/>
  <c r="M1388" i="1"/>
  <c r="L1388" i="1"/>
  <c r="K1388" i="1"/>
  <c r="J1388" i="1"/>
  <c r="I1388" i="1"/>
  <c r="H1388" i="1"/>
  <c r="G1388" i="1"/>
  <c r="F1388" i="1"/>
  <c r="E1388" i="1"/>
  <c r="D1388" i="1"/>
  <c r="C1388" i="1"/>
  <c r="M1386" i="1"/>
  <c r="L1386" i="1"/>
  <c r="K1386" i="1"/>
  <c r="J1386" i="1"/>
  <c r="I1386" i="1"/>
  <c r="H1386" i="1"/>
  <c r="G1386" i="1"/>
  <c r="F1386" i="1"/>
  <c r="E1386" i="1"/>
  <c r="D1386" i="1"/>
  <c r="C1386" i="1"/>
  <c r="R1391" i="1" l="1"/>
  <c r="H1402" i="1"/>
  <c r="H1403" i="1" s="1"/>
  <c r="H1404" i="1" s="1"/>
  <c r="I1402" i="1"/>
  <c r="I1403" i="1" s="1"/>
  <c r="I1404" i="1" s="1"/>
  <c r="M1402" i="1"/>
  <c r="M1403" i="1" s="1"/>
  <c r="M1404" i="1" s="1"/>
  <c r="L1402" i="1"/>
  <c r="L1403" i="1" s="1"/>
  <c r="L1404" i="1" s="1"/>
  <c r="K1402" i="1"/>
  <c r="K1403" i="1" s="1"/>
  <c r="K1404" i="1" s="1"/>
  <c r="J1402" i="1"/>
  <c r="J1403" i="1" s="1"/>
  <c r="J1404" i="1" s="1"/>
  <c r="G1402" i="1"/>
  <c r="G1403" i="1" s="1"/>
  <c r="G1404" i="1" s="1"/>
  <c r="F1402" i="1"/>
  <c r="F1403" i="1" s="1"/>
  <c r="F1404" i="1" s="1"/>
  <c r="E1402" i="1"/>
  <c r="E1403" i="1" s="1"/>
  <c r="E1404" i="1" s="1"/>
  <c r="D1402" i="1"/>
  <c r="D1403" i="1" s="1"/>
  <c r="D1404" i="1" s="1"/>
  <c r="C1402" i="1"/>
  <c r="C1403" i="1" s="1"/>
  <c r="C1404" i="1" s="1"/>
  <c r="M1401" i="1"/>
  <c r="K1401" i="1"/>
  <c r="I1401" i="1"/>
  <c r="H1401" i="1"/>
  <c r="G1401" i="1"/>
  <c r="M1400" i="1"/>
  <c r="L1400" i="1"/>
  <c r="K1400" i="1"/>
  <c r="J1400" i="1"/>
  <c r="I1400" i="1"/>
  <c r="H1400" i="1"/>
  <c r="G1400" i="1"/>
  <c r="F1400" i="1"/>
  <c r="E1400" i="1"/>
  <c r="D1400" i="1"/>
  <c r="C1400" i="1"/>
  <c r="M1398" i="1"/>
  <c r="L1398" i="1"/>
  <c r="K1398" i="1"/>
  <c r="J1398" i="1"/>
  <c r="I1398" i="1"/>
  <c r="H1398" i="1"/>
  <c r="G1398" i="1"/>
  <c r="F1398" i="1"/>
  <c r="E1398" i="1"/>
  <c r="D1398" i="1"/>
  <c r="C1398" i="1"/>
  <c r="R1403" i="1" l="1"/>
  <c r="G1414" i="1"/>
  <c r="G1415" i="1" s="1"/>
  <c r="G1416" i="1" s="1"/>
  <c r="I1414" i="1"/>
  <c r="I1415" i="1" s="1"/>
  <c r="I1416" i="1" s="1"/>
  <c r="M1414" i="1"/>
  <c r="M1415" i="1" s="1"/>
  <c r="M1416" i="1" s="1"/>
  <c r="L1414" i="1"/>
  <c r="L1415" i="1" s="1"/>
  <c r="L1416" i="1" s="1"/>
  <c r="K1414" i="1"/>
  <c r="K1415" i="1" s="1"/>
  <c r="K1416" i="1" s="1"/>
  <c r="J1414" i="1"/>
  <c r="J1415" i="1" s="1"/>
  <c r="J1416" i="1" s="1"/>
  <c r="H1414" i="1"/>
  <c r="H1415" i="1" s="1"/>
  <c r="H1416" i="1" s="1"/>
  <c r="F1414" i="1"/>
  <c r="F1415" i="1" s="1"/>
  <c r="F1416" i="1" s="1"/>
  <c r="E1414" i="1"/>
  <c r="E1415" i="1" s="1"/>
  <c r="E1416" i="1" s="1"/>
  <c r="D1414" i="1"/>
  <c r="D1415" i="1" s="1"/>
  <c r="D1416" i="1" s="1"/>
  <c r="C1414" i="1"/>
  <c r="C1415" i="1" s="1"/>
  <c r="C1416" i="1" s="1"/>
  <c r="M1413" i="1"/>
  <c r="K1413" i="1"/>
  <c r="I1413" i="1"/>
  <c r="H1413" i="1"/>
  <c r="G1413" i="1"/>
  <c r="M1412" i="1"/>
  <c r="L1412" i="1"/>
  <c r="K1412" i="1"/>
  <c r="J1412" i="1"/>
  <c r="I1412" i="1"/>
  <c r="H1412" i="1"/>
  <c r="G1412" i="1"/>
  <c r="F1412" i="1"/>
  <c r="E1412" i="1"/>
  <c r="D1412" i="1"/>
  <c r="C1412" i="1"/>
  <c r="M1410" i="1"/>
  <c r="L1410" i="1"/>
  <c r="K1410" i="1"/>
  <c r="J1410" i="1"/>
  <c r="I1410" i="1"/>
  <c r="H1410" i="1"/>
  <c r="G1410" i="1"/>
  <c r="F1410" i="1"/>
  <c r="E1410" i="1"/>
  <c r="D1410" i="1"/>
  <c r="C1410" i="1"/>
  <c r="R1415" i="1" l="1"/>
  <c r="G30" i="3" l="1"/>
  <c r="W2" i="10" l="1"/>
  <c r="CF2" i="9"/>
  <c r="BX2" i="9"/>
  <c r="AP2" i="7"/>
  <c r="AL2" i="7"/>
  <c r="AO2" i="4"/>
  <c r="AN5" i="7" l="1"/>
  <c r="AN4" i="7"/>
  <c r="AJ5" i="7"/>
  <c r="AJ4" i="7"/>
  <c r="CD4" i="9"/>
  <c r="BV4" i="9"/>
  <c r="AM5" i="4"/>
  <c r="AM4" i="4"/>
  <c r="CD5" i="9"/>
  <c r="BV5" i="9"/>
  <c r="AN7" i="7"/>
  <c r="AN6" i="7"/>
  <c r="AJ7" i="7"/>
  <c r="AJ6" i="7"/>
  <c r="CD6" i="9"/>
  <c r="BV6" i="9"/>
  <c r="AM7" i="4"/>
  <c r="AM6" i="4"/>
  <c r="CD7" i="9"/>
  <c r="BV7" i="9"/>
  <c r="AN9" i="7"/>
  <c r="AN8" i="7"/>
  <c r="AJ9" i="7"/>
  <c r="AJ8" i="7"/>
  <c r="CD8" i="9"/>
  <c r="BV8" i="9"/>
  <c r="AM9" i="4"/>
  <c r="AM8" i="4"/>
  <c r="BV9" i="9"/>
  <c r="CD9" i="9"/>
  <c r="AJ11" i="7"/>
  <c r="AJ10" i="7"/>
  <c r="AN11" i="7"/>
  <c r="AN10" i="7"/>
  <c r="CD10" i="9"/>
  <c r="BV10" i="9"/>
  <c r="AM11" i="4"/>
  <c r="AM10" i="4"/>
  <c r="CD11" i="9"/>
  <c r="BV11" i="9"/>
  <c r="AN13" i="7"/>
  <c r="AN12" i="7"/>
  <c r="AJ13" i="7"/>
  <c r="AJ12" i="7"/>
  <c r="CD12" i="9"/>
  <c r="BV12" i="9"/>
  <c r="AM13" i="4"/>
  <c r="AM12" i="4"/>
  <c r="BV13" i="9"/>
  <c r="CD13" i="9"/>
  <c r="AN15" i="7"/>
  <c r="AN14" i="7"/>
  <c r="AJ15" i="7"/>
  <c r="AJ14" i="7"/>
  <c r="CD14" i="9"/>
  <c r="BV14" i="9"/>
  <c r="AM15" i="4"/>
  <c r="AM14" i="4"/>
  <c r="CD15" i="9"/>
  <c r="BV15" i="9"/>
  <c r="AJ17" i="7"/>
  <c r="AJ16" i="7"/>
  <c r="AN17" i="7"/>
  <c r="AN16" i="7"/>
  <c r="CD16" i="9"/>
  <c r="BV16" i="9"/>
  <c r="AM17" i="4"/>
  <c r="AM16" i="4"/>
  <c r="CD17" i="9"/>
  <c r="BV17" i="9"/>
  <c r="AN19" i="7"/>
  <c r="AN18" i="7"/>
  <c r="AJ19" i="7"/>
  <c r="AJ18" i="7"/>
  <c r="CD18" i="9"/>
  <c r="BV18" i="9"/>
  <c r="AM19" i="4"/>
  <c r="AM18" i="4"/>
  <c r="BV19" i="9"/>
  <c r="CD19" i="9"/>
  <c r="AN21" i="7"/>
  <c r="AN20" i="7"/>
  <c r="AJ21" i="7"/>
  <c r="AJ20" i="7"/>
  <c r="CD20" i="9"/>
  <c r="BV20" i="9"/>
  <c r="AM21" i="4"/>
  <c r="AM20" i="4"/>
  <c r="CD21" i="9"/>
  <c r="BV21" i="9"/>
  <c r="AJ23" i="7"/>
  <c r="AJ22" i="7"/>
  <c r="AN23" i="7"/>
  <c r="AN22" i="7"/>
  <c r="BV22" i="9"/>
  <c r="CD22" i="9"/>
  <c r="AM23" i="4"/>
  <c r="AM22" i="4"/>
  <c r="BV23" i="9"/>
  <c r="CD23" i="9"/>
  <c r="AJ25" i="7"/>
  <c r="AJ24" i="7"/>
  <c r="AN25" i="7"/>
  <c r="AN24" i="7"/>
  <c r="CD24" i="9"/>
  <c r="BV24" i="9"/>
  <c r="AM25" i="4"/>
  <c r="AM24" i="4"/>
  <c r="CD25" i="9"/>
  <c r="BV25" i="9"/>
  <c r="AN27" i="7"/>
  <c r="AN26" i="7"/>
  <c r="AJ27" i="7"/>
  <c r="AJ26" i="7"/>
  <c r="CD26" i="9"/>
  <c r="BV26" i="9"/>
  <c r="AM27" i="4"/>
  <c r="AM26" i="4"/>
  <c r="CD27" i="9"/>
  <c r="BV27" i="9"/>
  <c r="AN29" i="7"/>
  <c r="AN28" i="7"/>
  <c r="AJ29" i="7"/>
  <c r="AJ28" i="7"/>
  <c r="BV28" i="9"/>
  <c r="CD28" i="9"/>
  <c r="AM29" i="4"/>
  <c r="AM28" i="4"/>
  <c r="BV29" i="9"/>
  <c r="CD29" i="9"/>
  <c r="AJ31" i="7"/>
  <c r="AJ30" i="7"/>
  <c r="AN31" i="7"/>
  <c r="AN30" i="7"/>
  <c r="CD30" i="9"/>
  <c r="BV30" i="9"/>
  <c r="CD31" i="9"/>
  <c r="BV31" i="9"/>
  <c r="AM31" i="4"/>
  <c r="AM30" i="4"/>
  <c r="AJ33" i="7"/>
  <c r="AJ32" i="7"/>
  <c r="AN33" i="7"/>
  <c r="AN32" i="7"/>
  <c r="CD32" i="9"/>
  <c r="BV32" i="9"/>
  <c r="AM33" i="4"/>
  <c r="AM32" i="4"/>
  <c r="AN3" i="7"/>
  <c r="AN34" i="7"/>
  <c r="AJ3" i="7"/>
  <c r="AJ34" i="7"/>
  <c r="CD33" i="9"/>
  <c r="BV33" i="9"/>
  <c r="CD34" i="9"/>
  <c r="BV34" i="9"/>
  <c r="AM35" i="4"/>
  <c r="AM34" i="4"/>
  <c r="AJ36" i="7"/>
  <c r="AJ35" i="7"/>
  <c r="AN36" i="7"/>
  <c r="AN35" i="7"/>
  <c r="CD35" i="9"/>
  <c r="BV35" i="9"/>
  <c r="BV3" i="9"/>
  <c r="CD3" i="9"/>
  <c r="AM37" i="4"/>
  <c r="AM36" i="4"/>
  <c r="AN38" i="7"/>
  <c r="AN37" i="7"/>
  <c r="AJ38" i="7"/>
  <c r="AJ37" i="7"/>
  <c r="CD37" i="9"/>
  <c r="BV37" i="9"/>
  <c r="CD38" i="9"/>
  <c r="BV38" i="9"/>
  <c r="AM39" i="4"/>
  <c r="AM38" i="4"/>
  <c r="AJ40" i="7"/>
  <c r="AJ39" i="7"/>
  <c r="AN40" i="7"/>
  <c r="AN39" i="7"/>
  <c r="BV39" i="9"/>
  <c r="CD39" i="9"/>
  <c r="CD40" i="9"/>
  <c r="BV40" i="9"/>
  <c r="AM41" i="4"/>
  <c r="AM40" i="4"/>
  <c r="AJ42" i="7"/>
  <c r="AN42" i="7"/>
  <c r="BV36" i="9"/>
  <c r="CD36" i="9"/>
  <c r="CD42" i="9"/>
  <c r="BV42" i="9"/>
  <c r="AM42" i="4"/>
  <c r="AM43" i="4"/>
  <c r="AJ45" i="7"/>
  <c r="AJ44" i="7"/>
  <c r="AJ47" i="7"/>
  <c r="AJ43" i="7"/>
  <c r="AJ46" i="7"/>
  <c r="AJ41" i="7"/>
  <c r="AN44" i="7"/>
  <c r="AN47" i="7"/>
  <c r="AN43" i="7"/>
  <c r="AN46" i="7"/>
  <c r="AN41" i="7"/>
  <c r="AN45" i="7"/>
  <c r="AM47" i="4"/>
  <c r="AM44" i="4"/>
  <c r="AM45" i="4"/>
  <c r="AM46" i="4"/>
  <c r="AM3" i="4"/>
  <c r="CD43" i="9"/>
  <c r="BV43" i="9"/>
  <c r="CD41" i="9"/>
  <c r="BV41" i="9"/>
  <c r="CD44" i="9"/>
  <c r="BV44" i="9"/>
  <c r="CD45" i="9"/>
  <c r="BV45" i="9"/>
  <c r="CD46" i="9"/>
  <c r="BV46" i="9"/>
  <c r="AM48" i="4"/>
  <c r="AJ49" i="7"/>
  <c r="AJ48" i="7"/>
  <c r="AN49" i="7"/>
  <c r="AN48" i="7"/>
  <c r="CD48" i="9"/>
  <c r="BV48" i="9"/>
  <c r="AM49" i="4"/>
  <c r="CD49" i="9"/>
  <c r="BV49" i="9"/>
  <c r="AJ52" i="7"/>
  <c r="AN52" i="7"/>
  <c r="CD53" i="9"/>
  <c r="CD52" i="9"/>
  <c r="CD51" i="9"/>
  <c r="CD50" i="9"/>
  <c r="BV53" i="9"/>
  <c r="BV52" i="9"/>
  <c r="BV51" i="9"/>
  <c r="BV50" i="9"/>
  <c r="AM52" i="4"/>
  <c r="AM50" i="4"/>
  <c r="AM53" i="4"/>
  <c r="AM51" i="4"/>
  <c r="AJ53" i="7"/>
  <c r="AJ50" i="7"/>
  <c r="AJ51" i="7"/>
  <c r="AN53" i="7"/>
  <c r="AN50" i="7"/>
  <c r="AN51" i="7"/>
  <c r="AJ54" i="7"/>
  <c r="AN54" i="7"/>
  <c r="AM54" i="4"/>
  <c r="CD54" i="9"/>
  <c r="BV54" i="9"/>
  <c r="AJ56" i="7"/>
  <c r="AJ55" i="7"/>
  <c r="AN56" i="7"/>
  <c r="AN55" i="7"/>
  <c r="CD55" i="9"/>
  <c r="BV55" i="9"/>
  <c r="CD56" i="9"/>
  <c r="BV56" i="9"/>
  <c r="AM56" i="4"/>
  <c r="AM55" i="4"/>
  <c r="AJ58" i="7"/>
  <c r="AJ57" i="7"/>
  <c r="AN58" i="7"/>
  <c r="AN57" i="7"/>
  <c r="CD57" i="9"/>
  <c r="BV57" i="9"/>
  <c r="AM58" i="4"/>
  <c r="AM57" i="4"/>
  <c r="CD58" i="9"/>
  <c r="BV58" i="9"/>
  <c r="AN60" i="7"/>
  <c r="AN59" i="7"/>
  <c r="AJ60" i="7"/>
  <c r="AJ59" i="7"/>
  <c r="BV59" i="9"/>
  <c r="CD59" i="9"/>
  <c r="AM60" i="4"/>
  <c r="AM59" i="4"/>
  <c r="CD60" i="9"/>
  <c r="BV60" i="9"/>
  <c r="AJ62" i="7"/>
  <c r="AJ61" i="7"/>
  <c r="AN62" i="7"/>
  <c r="AN61" i="7"/>
  <c r="CD61" i="9"/>
  <c r="BV61" i="9"/>
  <c r="AM62" i="4"/>
  <c r="AM61" i="4"/>
  <c r="CD62" i="9"/>
  <c r="BV62" i="9"/>
  <c r="AM64" i="4"/>
  <c r="AM63" i="4"/>
  <c r="CD63" i="9"/>
  <c r="BV63" i="9"/>
  <c r="AJ64" i="7"/>
  <c r="AJ63" i="7"/>
  <c r="AN64" i="7"/>
  <c r="AN63" i="7"/>
  <c r="CD64" i="9"/>
  <c r="BV64" i="9"/>
  <c r="AN65" i="7"/>
  <c r="AJ65" i="7"/>
  <c r="CD47" i="9"/>
  <c r="BV47" i="9"/>
  <c r="AN67" i="7"/>
  <c r="AN66" i="7"/>
  <c r="AJ67" i="7"/>
  <c r="AJ66" i="7"/>
  <c r="CD66" i="9"/>
  <c r="BV66" i="9"/>
  <c r="AM67" i="4"/>
  <c r="AM66" i="4"/>
  <c r="AJ69" i="7"/>
  <c r="AJ68" i="7"/>
  <c r="AN69" i="7"/>
  <c r="AN68" i="7"/>
  <c r="CD67" i="9"/>
  <c r="BV67" i="9"/>
  <c r="CD68" i="9"/>
  <c r="BV68" i="9"/>
  <c r="AM69" i="4"/>
  <c r="AM68" i="4"/>
  <c r="CD69" i="9"/>
  <c r="BV69" i="9"/>
  <c r="AJ71" i="7"/>
  <c r="AJ70" i="7"/>
  <c r="AN71" i="7"/>
  <c r="AN70" i="7"/>
  <c r="CD70" i="9"/>
  <c r="BV70" i="9"/>
  <c r="CD71" i="9"/>
  <c r="BV71" i="9"/>
  <c r="AM71" i="4"/>
  <c r="AM70" i="4"/>
  <c r="CD72" i="9"/>
  <c r="BV72" i="9"/>
  <c r="AJ73" i="7"/>
  <c r="AJ72" i="7"/>
  <c r="AN73" i="7"/>
  <c r="AN72" i="7"/>
  <c r="CD73" i="9"/>
  <c r="BV73" i="9"/>
  <c r="AM73" i="4"/>
  <c r="AM72" i="4"/>
  <c r="CD74" i="9"/>
  <c r="BV74" i="9"/>
  <c r="AJ75" i="7"/>
  <c r="AJ74" i="7"/>
  <c r="AN75" i="7"/>
  <c r="AN74" i="7"/>
  <c r="CD75" i="9"/>
  <c r="BV75" i="9"/>
  <c r="BV76" i="9"/>
  <c r="CD76" i="9"/>
  <c r="AM74" i="4"/>
  <c r="AM75" i="4"/>
  <c r="AM65" i="4"/>
  <c r="AM76" i="4"/>
  <c r="AN77" i="7"/>
  <c r="AN76" i="7"/>
  <c r="AJ77" i="7"/>
  <c r="AJ76" i="7"/>
  <c r="CD77" i="9"/>
  <c r="BV77" i="9"/>
  <c r="CD78" i="9"/>
  <c r="BV78" i="9"/>
  <c r="AM78" i="4"/>
  <c r="AM77" i="4"/>
  <c r="AJ79" i="7"/>
  <c r="AJ78" i="7"/>
  <c r="AN79" i="7"/>
  <c r="AN78" i="7"/>
  <c r="CD79" i="9"/>
  <c r="BV79" i="9"/>
  <c r="CD80" i="9"/>
  <c r="BV80" i="9"/>
  <c r="AM80" i="4"/>
  <c r="AM79" i="4"/>
  <c r="AJ81" i="7"/>
  <c r="AJ80" i="7"/>
  <c r="AN81" i="7"/>
  <c r="AN80" i="7"/>
  <c r="CD81" i="9"/>
  <c r="BV81" i="9"/>
  <c r="CD82" i="9"/>
  <c r="BV82" i="9"/>
  <c r="AM82" i="4"/>
  <c r="AM81" i="4"/>
  <c r="AJ83" i="7"/>
  <c r="AJ82" i="7"/>
  <c r="AN83" i="7"/>
  <c r="AN82" i="7"/>
  <c r="CD83" i="9"/>
  <c r="BV83" i="9"/>
  <c r="CD84" i="9"/>
  <c r="BV84" i="9"/>
  <c r="AM84" i="4"/>
  <c r="AM83" i="4"/>
  <c r="AJ84" i="7"/>
  <c r="AN84" i="7"/>
  <c r="CD85" i="9"/>
  <c r="BV85" i="9"/>
  <c r="AJ86" i="7"/>
  <c r="AN86" i="7"/>
  <c r="CD65" i="9"/>
  <c r="BV65" i="9"/>
  <c r="AM85" i="4"/>
  <c r="CD87" i="9"/>
  <c r="BV87" i="9"/>
  <c r="AJ88" i="7"/>
  <c r="AJ87" i="7"/>
  <c r="AN88" i="7"/>
  <c r="AN87" i="7"/>
  <c r="CD88" i="9"/>
  <c r="BV88" i="9"/>
  <c r="AM88" i="4"/>
  <c r="AM87" i="4"/>
  <c r="CD89" i="9"/>
  <c r="BV89" i="9"/>
  <c r="AJ90" i="7"/>
  <c r="AJ89" i="7"/>
  <c r="AN90" i="7"/>
  <c r="AN89" i="7"/>
  <c r="CD90" i="9"/>
  <c r="BV90" i="9"/>
  <c r="AM90" i="4"/>
  <c r="AM89" i="4"/>
  <c r="CD91" i="9"/>
  <c r="BV91" i="9"/>
  <c r="AJ92" i="7"/>
  <c r="AJ91" i="7"/>
  <c r="AN92" i="7"/>
  <c r="AN91" i="7"/>
  <c r="CD92" i="9"/>
  <c r="BV92" i="9"/>
  <c r="AM92" i="4"/>
  <c r="AM91" i="4"/>
  <c r="CD93" i="9"/>
  <c r="BV93" i="9"/>
  <c r="AJ94" i="7"/>
  <c r="AJ93" i="7"/>
  <c r="AN94" i="7"/>
  <c r="AN93" i="7"/>
  <c r="CD94" i="9"/>
  <c r="BV94" i="9"/>
  <c r="AM94" i="4"/>
  <c r="AM93" i="4"/>
  <c r="CD95" i="9"/>
  <c r="BV95" i="9"/>
  <c r="AJ96" i="7"/>
  <c r="AJ95" i="7"/>
  <c r="AN96" i="7"/>
  <c r="AN95" i="7"/>
  <c r="CD96" i="9"/>
  <c r="BV96" i="9"/>
  <c r="BV97" i="9"/>
  <c r="CD97" i="9"/>
  <c r="AM96" i="4"/>
  <c r="AM95" i="4"/>
  <c r="AN98" i="7"/>
  <c r="AN97" i="7"/>
  <c r="AJ98" i="7"/>
  <c r="AJ97" i="7"/>
  <c r="CD98" i="9"/>
  <c r="BV98" i="9"/>
  <c r="AM98" i="4"/>
  <c r="AM97" i="4"/>
  <c r="CD99" i="9"/>
  <c r="BV99" i="9"/>
  <c r="AJ100" i="7"/>
  <c r="AJ99" i="7"/>
  <c r="AN100" i="7"/>
  <c r="AN99" i="7"/>
  <c r="CD100" i="9"/>
  <c r="BV100" i="9"/>
  <c r="AM100" i="4"/>
  <c r="AM99" i="4"/>
  <c r="CD101" i="9"/>
  <c r="BV101" i="9"/>
  <c r="AJ85" i="7"/>
  <c r="AJ101" i="7"/>
  <c r="AN85" i="7"/>
  <c r="AN101" i="7"/>
  <c r="CD102" i="9"/>
  <c r="BV102" i="9"/>
  <c r="AM86" i="4"/>
  <c r="AM101" i="4"/>
  <c r="CD86" i="9"/>
  <c r="BV86" i="9"/>
  <c r="AJ102" i="7"/>
  <c r="AJ103" i="7"/>
  <c r="AN102" i="7"/>
  <c r="AN103" i="7"/>
  <c r="CD104" i="9"/>
  <c r="BV104" i="9"/>
  <c r="AM102" i="4"/>
  <c r="AM103" i="4"/>
  <c r="CD103" i="9"/>
  <c r="BV103" i="9"/>
  <c r="AJ105" i="7"/>
  <c r="AJ104" i="7"/>
  <c r="AN105" i="7"/>
  <c r="AN104" i="7"/>
  <c r="CD105" i="9"/>
  <c r="BV105" i="9"/>
  <c r="AM105" i="4"/>
  <c r="AM104" i="4"/>
  <c r="AJ107" i="7"/>
  <c r="AJ106" i="7"/>
  <c r="AN107" i="7"/>
  <c r="AN106" i="7"/>
  <c r="CD106" i="9"/>
  <c r="BV106" i="9"/>
  <c r="CD107" i="9"/>
  <c r="BV107" i="9"/>
  <c r="AM106" i="4"/>
  <c r="AM107" i="4"/>
  <c r="CD108" i="9"/>
  <c r="BV108" i="9"/>
  <c r="AJ108" i="7"/>
  <c r="AN108" i="7"/>
  <c r="CD109" i="9"/>
  <c r="BV109" i="9"/>
  <c r="AM109" i="4"/>
  <c r="AM108" i="4"/>
  <c r="CD110" i="9"/>
  <c r="BV110" i="9"/>
  <c r="U5" i="10"/>
  <c r="U4" i="10"/>
  <c r="U3" i="10"/>
  <c r="Q5" i="10"/>
  <c r="Q4" i="10"/>
  <c r="Q3" i="10"/>
  <c r="AO2" i="2" l="1"/>
  <c r="I4" i="5"/>
  <c r="J4" i="5"/>
  <c r="I5" i="5"/>
  <c r="J5" i="5"/>
  <c r="I6" i="5"/>
  <c r="J6" i="5"/>
  <c r="I7" i="5"/>
  <c r="J7" i="5"/>
  <c r="I8" i="5"/>
  <c r="J8" i="5"/>
  <c r="I9" i="5"/>
  <c r="J9" i="5"/>
  <c r="I10" i="5"/>
  <c r="J10" i="5"/>
  <c r="I11" i="5"/>
  <c r="J11" i="5"/>
  <c r="I12" i="5"/>
  <c r="J12" i="5"/>
  <c r="I13" i="5"/>
  <c r="J13" i="5"/>
  <c r="I14" i="5"/>
  <c r="J14" i="5"/>
  <c r="I15" i="5"/>
  <c r="J15" i="5"/>
  <c r="I16" i="5"/>
  <c r="H16" i="5" s="1"/>
  <c r="J16" i="5"/>
  <c r="I17" i="5"/>
  <c r="H17" i="5" s="1"/>
  <c r="J17" i="5"/>
  <c r="I18" i="5"/>
  <c r="J18" i="5"/>
  <c r="I19" i="5"/>
  <c r="J19" i="5"/>
  <c r="I4" i="6"/>
  <c r="J4" i="6"/>
  <c r="I5" i="6"/>
  <c r="J5" i="6"/>
  <c r="I6" i="6"/>
  <c r="J6" i="6"/>
  <c r="I7" i="6"/>
  <c r="J7" i="6"/>
  <c r="I8" i="6"/>
  <c r="J8" i="6"/>
  <c r="I9" i="6"/>
  <c r="J9" i="6"/>
  <c r="I10" i="6"/>
  <c r="J10" i="6"/>
  <c r="I11" i="6"/>
  <c r="J11" i="6"/>
  <c r="I12" i="6"/>
  <c r="J12" i="6"/>
  <c r="I13" i="6"/>
  <c r="J13" i="6"/>
  <c r="I14" i="6"/>
  <c r="J14" i="6"/>
  <c r="I15" i="6"/>
  <c r="J15" i="6"/>
  <c r="I16" i="6"/>
  <c r="J16" i="6"/>
  <c r="I17" i="6"/>
  <c r="J17" i="6"/>
  <c r="G34" i="3"/>
  <c r="G36" i="3"/>
  <c r="BT2" i="9"/>
  <c r="BR4" i="9" s="1"/>
  <c r="CB2" i="9"/>
  <c r="BZ4" i="9" s="1"/>
  <c r="AK2" i="2"/>
  <c r="O5" i="7"/>
  <c r="U5" i="7"/>
  <c r="AA5" i="7"/>
  <c r="AG5" i="7"/>
  <c r="W5" i="7"/>
  <c r="AC5" i="7"/>
  <c r="S5" i="7"/>
  <c r="Y5" i="7"/>
  <c r="AE5" i="4"/>
  <c r="AG5" i="4"/>
  <c r="AA5" i="4"/>
  <c r="AC5" i="4"/>
  <c r="W5" i="4"/>
  <c r="Y5" i="4"/>
  <c r="S5" i="4"/>
  <c r="U5" i="4"/>
  <c r="S17" i="4"/>
  <c r="S31" i="4"/>
  <c r="S42" i="4"/>
  <c r="S56" i="4"/>
  <c r="S67" i="4"/>
  <c r="S82" i="4"/>
  <c r="S20" i="4"/>
  <c r="S32" i="4"/>
  <c r="S46" i="4"/>
  <c r="S55" i="4"/>
  <c r="S66" i="4"/>
  <c r="S81" i="4"/>
  <c r="S23" i="4"/>
  <c r="S47" i="4"/>
  <c r="S71" i="4"/>
  <c r="S10" i="4"/>
  <c r="S26" i="4"/>
  <c r="S53" i="4"/>
  <c r="S76" i="4"/>
  <c r="X6" i="7"/>
  <c r="C8" i="4"/>
  <c r="P6" i="4"/>
  <c r="P8" i="4"/>
  <c r="M7" i="7"/>
  <c r="K7" i="4"/>
  <c r="AA8" i="4"/>
  <c r="N8" i="7"/>
  <c r="I6" i="4"/>
  <c r="AB6" i="7"/>
  <c r="I8" i="4"/>
  <c r="T6" i="4"/>
  <c r="J8" i="7"/>
  <c r="R7" i="7"/>
  <c r="W7" i="4"/>
  <c r="L8" i="4"/>
  <c r="AB8" i="7"/>
  <c r="Y6" i="4"/>
  <c r="W6" i="7"/>
  <c r="B8" i="4"/>
  <c r="E6" i="4"/>
  <c r="X7" i="4"/>
  <c r="B6" i="7"/>
  <c r="AB6" i="4"/>
  <c r="U8" i="4"/>
  <c r="O7" i="7"/>
  <c r="AE7" i="4"/>
  <c r="D8" i="4"/>
  <c r="B6" i="4"/>
  <c r="M7" i="4"/>
  <c r="D7" i="4"/>
  <c r="N6" i="7"/>
  <c r="N7" i="4"/>
  <c r="E6" i="7"/>
  <c r="N8" i="4"/>
  <c r="F8" i="4"/>
  <c r="S49" i="4"/>
  <c r="S74" i="4"/>
  <c r="S28" i="4"/>
  <c r="S61" i="4"/>
  <c r="S15" i="4"/>
  <c r="S60" i="4"/>
  <c r="S18" i="4"/>
  <c r="S68" i="4"/>
  <c r="L7" i="4"/>
  <c r="V6" i="7"/>
  <c r="AE6" i="7"/>
  <c r="M8" i="4"/>
  <c r="R7" i="4"/>
  <c r="AB7" i="4"/>
  <c r="AG7" i="4"/>
  <c r="AG6" i="7"/>
  <c r="O8" i="4"/>
  <c r="X6" i="4"/>
  <c r="Y7" i="4"/>
  <c r="AF8" i="4"/>
  <c r="Z7" i="4"/>
  <c r="Y6" i="7"/>
  <c r="Q6" i="4"/>
  <c r="W8" i="4"/>
  <c r="AC8" i="4"/>
  <c r="G6" i="7"/>
  <c r="AE5" i="7"/>
  <c r="B5" i="7"/>
  <c r="L5" i="7"/>
  <c r="N5" i="7"/>
  <c r="H5" i="7"/>
  <c r="J5" i="7"/>
  <c r="D5" i="7"/>
  <c r="F5" i="7"/>
  <c r="P5" i="4"/>
  <c r="N5" i="4"/>
  <c r="L5" i="4"/>
  <c r="J5" i="4"/>
  <c r="H5" i="4"/>
  <c r="F5" i="4"/>
  <c r="D5" i="4"/>
  <c r="B5" i="4"/>
  <c r="S13" i="4"/>
  <c r="S29" i="4"/>
  <c r="S51" i="4"/>
  <c r="S64" i="4"/>
  <c r="S16" i="4"/>
  <c r="S43" i="4"/>
  <c r="S54" i="4"/>
  <c r="S77" i="4"/>
  <c r="S39" i="4"/>
  <c r="S84" i="4"/>
  <c r="S44" i="4"/>
  <c r="H6" i="7"/>
  <c r="AI6" i="9"/>
  <c r="AA7" i="4"/>
  <c r="AF5" i="7"/>
  <c r="AH5" i="7"/>
  <c r="E5" i="7"/>
  <c r="K5" i="7"/>
  <c r="Q5" i="7"/>
  <c r="G5" i="7"/>
  <c r="M5" i="7"/>
  <c r="C5" i="7"/>
  <c r="I5" i="7"/>
  <c r="O5" i="4"/>
  <c r="Q5" i="4"/>
  <c r="K5" i="4"/>
  <c r="M5" i="4"/>
  <c r="G5" i="4"/>
  <c r="I5" i="4"/>
  <c r="C5" i="4"/>
  <c r="E5" i="4"/>
  <c r="S21" i="4"/>
  <c r="S33" i="4"/>
  <c r="S45" i="4"/>
  <c r="S58" i="4"/>
  <c r="S73" i="4"/>
  <c r="S85" i="4"/>
  <c r="S24" i="4"/>
  <c r="S36" i="4"/>
  <c r="S48" i="4"/>
  <c r="S57" i="4"/>
  <c r="S72" i="4"/>
  <c r="S11" i="4"/>
  <c r="S27" i="4"/>
  <c r="S50" i="4"/>
  <c r="S65" i="4"/>
  <c r="S14" i="4"/>
  <c r="S34" i="4"/>
  <c r="S59" i="4"/>
  <c r="S79" i="4"/>
  <c r="Q7" i="4"/>
  <c r="F6" i="7"/>
  <c r="AF6" i="4"/>
  <c r="O6" i="7"/>
  <c r="M6" i="7"/>
  <c r="J8" i="4"/>
  <c r="AC6" i="4"/>
  <c r="W8" i="7"/>
  <c r="K8" i="7"/>
  <c r="H7" i="4"/>
  <c r="J6" i="7"/>
  <c r="O7" i="4"/>
  <c r="C6" i="7"/>
  <c r="Q6" i="7"/>
  <c r="Q8" i="4"/>
  <c r="I7" i="4"/>
  <c r="AI8" i="9"/>
  <c r="E8" i="7"/>
  <c r="Y7" i="7"/>
  <c r="AE8" i="7"/>
  <c r="AC7" i="4"/>
  <c r="AF7" i="4"/>
  <c r="R6" i="7"/>
  <c r="J7" i="4"/>
  <c r="K6" i="7"/>
  <c r="I6" i="7"/>
  <c r="S8" i="4"/>
  <c r="M6" i="4"/>
  <c r="U6" i="4"/>
  <c r="AH8" i="7"/>
  <c r="T7" i="4"/>
  <c r="AD6" i="7"/>
  <c r="R8" i="7"/>
  <c r="S7" i="4"/>
  <c r="P5" i="7"/>
  <c r="R5" i="7"/>
  <c r="AB5" i="7"/>
  <c r="AD5" i="7"/>
  <c r="X5" i="7"/>
  <c r="Z5" i="7"/>
  <c r="T5" i="7"/>
  <c r="V5" i="7"/>
  <c r="AF5" i="4"/>
  <c r="AD5" i="4"/>
  <c r="AB5" i="4"/>
  <c r="Z5" i="4"/>
  <c r="X5" i="4"/>
  <c r="V5" i="4"/>
  <c r="T5" i="4"/>
  <c r="R5" i="4"/>
  <c r="S9" i="4"/>
  <c r="S25" i="4"/>
  <c r="S37" i="4"/>
  <c r="S62" i="4"/>
  <c r="S12" i="4"/>
  <c r="S40" i="4"/>
  <c r="S52" i="4"/>
  <c r="S75" i="4"/>
  <c r="S35" i="4"/>
  <c r="S80" i="4"/>
  <c r="S38" i="4"/>
  <c r="S83" i="4"/>
  <c r="F7" i="4"/>
  <c r="AC6" i="7"/>
  <c r="F8" i="7"/>
  <c r="AF8" i="7"/>
  <c r="Z6" i="7"/>
  <c r="S6" i="7"/>
  <c r="AG8" i="4"/>
  <c r="B7" i="4"/>
  <c r="U6" i="7"/>
  <c r="D6" i="7"/>
  <c r="AH6" i="7"/>
  <c r="AA6" i="7"/>
  <c r="Z8" i="4"/>
  <c r="P6" i="7"/>
  <c r="H6" i="4"/>
  <c r="AD8" i="4"/>
  <c r="Y8" i="4"/>
  <c r="S41" i="4"/>
  <c r="S78" i="4"/>
  <c r="S30" i="4"/>
  <c r="S63" i="4"/>
  <c r="S19" i="4"/>
  <c r="S69" i="4"/>
  <c r="S22" i="4"/>
  <c r="S70" i="4"/>
  <c r="X8" i="4"/>
  <c r="AA8" i="7"/>
  <c r="U7" i="7"/>
  <c r="AB8" i="4"/>
  <c r="T8" i="4"/>
  <c r="Z8" i="7"/>
  <c r="E7" i="4"/>
  <c r="U7" i="4"/>
  <c r="E8" i="4"/>
  <c r="AI7" i="9"/>
  <c r="AD7" i="4"/>
  <c r="L6" i="7"/>
  <c r="Z7" i="7"/>
  <c r="G8" i="4"/>
  <c r="T6" i="7"/>
  <c r="W7" i="7"/>
  <c r="J7" i="7"/>
  <c r="AG7" i="7"/>
  <c r="H8" i="4"/>
  <c r="G7" i="4"/>
  <c r="R8" i="4"/>
  <c r="AE8" i="4"/>
  <c r="P7" i="4"/>
  <c r="AF6" i="7"/>
  <c r="K8" i="4"/>
  <c r="AG6" i="4"/>
  <c r="D6" i="4"/>
  <c r="Q8" i="7"/>
  <c r="C7" i="4"/>
  <c r="L6" i="4"/>
  <c r="V7" i="4"/>
  <c r="V8" i="4"/>
  <c r="AC4" i="7"/>
  <c r="J4" i="7"/>
  <c r="H4" i="7"/>
  <c r="F4" i="7"/>
  <c r="D4" i="7"/>
  <c r="R4" i="7"/>
  <c r="P4" i="7"/>
  <c r="M4" i="7"/>
  <c r="AK4" i="9"/>
  <c r="P4" i="9"/>
  <c r="BC4" i="9"/>
  <c r="J4" i="9"/>
  <c r="AW4" i="9"/>
  <c r="AN4" i="9"/>
  <c r="S4" i="9"/>
  <c r="V4" i="9"/>
  <c r="T4" i="9"/>
  <c r="AZ4" i="9"/>
  <c r="AE4" i="9"/>
  <c r="AH4" i="9"/>
  <c r="M4" i="9"/>
  <c r="BL4" i="9"/>
  <c r="AQ4" i="9"/>
  <c r="AT4" i="9"/>
  <c r="BF4" i="9"/>
  <c r="AE4" i="4"/>
  <c r="AG4" i="4"/>
  <c r="AA4" i="4"/>
  <c r="AC4" i="4"/>
  <c r="W4" i="4"/>
  <c r="Y4" i="4"/>
  <c r="S4" i="4"/>
  <c r="U4" i="4"/>
  <c r="V7" i="7"/>
  <c r="G7" i="7"/>
  <c r="F6" i="4"/>
  <c r="AC8" i="7"/>
  <c r="AH7" i="7"/>
  <c r="AC7" i="7"/>
  <c r="B8" i="7"/>
  <c r="C7" i="7"/>
  <c r="I8" i="7"/>
  <c r="AA7" i="7"/>
  <c r="O6" i="4"/>
  <c r="AD7" i="7"/>
  <c r="H7" i="7"/>
  <c r="X8" i="7"/>
  <c r="S6" i="4"/>
  <c r="V4" i="7"/>
  <c r="AF4" i="7"/>
  <c r="BM4" i="9"/>
  <c r="H4" i="9"/>
  <c r="AF4" i="9"/>
  <c r="AI4" i="9"/>
  <c r="U4" i="9"/>
  <c r="AU4" i="9"/>
  <c r="AS4" i="9"/>
  <c r="BG4" i="9"/>
  <c r="AM4" i="9"/>
  <c r="N4" i="4"/>
  <c r="J4" i="4"/>
  <c r="F4" i="4"/>
  <c r="D4" i="4"/>
  <c r="H8" i="7"/>
  <c r="P7" i="7"/>
  <c r="X7" i="7"/>
  <c r="AD6" i="4"/>
  <c r="AF7" i="7"/>
  <c r="B7" i="7"/>
  <c r="W6" i="4"/>
  <c r="D7" i="7"/>
  <c r="AB4" i="7"/>
  <c r="Y4" i="7"/>
  <c r="W4" i="7"/>
  <c r="U4" i="7"/>
  <c r="S4" i="7"/>
  <c r="AG4" i="7"/>
  <c r="AE4" i="7"/>
  <c r="AA4" i="7"/>
  <c r="E4" i="9"/>
  <c r="BH4" i="9"/>
  <c r="W4" i="9"/>
  <c r="BE4" i="9"/>
  <c r="Q4" i="9"/>
  <c r="BO4" i="9"/>
  <c r="C4" i="9"/>
  <c r="F4" i="9"/>
  <c r="AO4" i="9"/>
  <c r="AJ4" i="9"/>
  <c r="O4" i="9"/>
  <c r="R4" i="9"/>
  <c r="L4" i="9"/>
  <c r="AV4" i="9"/>
  <c r="AA4" i="9"/>
  <c r="AD4" i="9"/>
  <c r="Z4" i="9"/>
  <c r="O4" i="4"/>
  <c r="Q4" i="4"/>
  <c r="K4" i="4"/>
  <c r="M4" i="4"/>
  <c r="G4" i="4"/>
  <c r="I4" i="4"/>
  <c r="C4" i="4"/>
  <c r="E4" i="4"/>
  <c r="M8" i="7"/>
  <c r="AG8" i="7"/>
  <c r="T8" i="7"/>
  <c r="V8" i="7"/>
  <c r="AA6" i="4"/>
  <c r="O8" i="7"/>
  <c r="K6" i="4"/>
  <c r="G8" i="7"/>
  <c r="U8" i="7"/>
  <c r="T7" i="7"/>
  <c r="D8" i="7"/>
  <c r="AE6" i="4"/>
  <c r="V6" i="4"/>
  <c r="E7" i="7"/>
  <c r="AD4" i="7"/>
  <c r="L4" i="7"/>
  <c r="I4" i="7"/>
  <c r="G4" i="7"/>
  <c r="E4" i="7"/>
  <c r="C4" i="7"/>
  <c r="Q4" i="7"/>
  <c r="O4" i="7"/>
  <c r="K4" i="7"/>
  <c r="BI4" i="9"/>
  <c r="AR4" i="9"/>
  <c r="G4" i="9"/>
  <c r="AC4" i="9"/>
  <c r="D4" i="9"/>
  <c r="AY4" i="9"/>
  <c r="BB4" i="9"/>
  <c r="BA4" i="9"/>
  <c r="I4" i="9"/>
  <c r="BK4" i="9"/>
  <c r="BN4" i="9"/>
  <c r="B4" i="9"/>
  <c r="AG4" i="9"/>
  <c r="X4" i="9"/>
  <c r="K4" i="9"/>
  <c r="N4" i="9"/>
  <c r="AF4" i="4"/>
  <c r="AD4" i="4"/>
  <c r="AB4" i="4"/>
  <c r="Z4" i="4"/>
  <c r="X4" i="4"/>
  <c r="V4" i="4"/>
  <c r="T4" i="4"/>
  <c r="R4" i="4"/>
  <c r="AI5" i="9"/>
  <c r="Q7" i="7"/>
  <c r="G6" i="4"/>
  <c r="K7" i="7"/>
  <c r="L8" i="7"/>
  <c r="AE7" i="7"/>
  <c r="R6" i="4"/>
  <c r="F7" i="7"/>
  <c r="C8" i="7"/>
  <c r="C6" i="4"/>
  <c r="AB7" i="7"/>
  <c r="N7" i="7"/>
  <c r="N6" i="4"/>
  <c r="AD8" i="7"/>
  <c r="Y8" i="7"/>
  <c r="N4" i="7"/>
  <c r="Z4" i="7"/>
  <c r="X4" i="7"/>
  <c r="T4" i="7"/>
  <c r="AH4" i="7"/>
  <c r="B4" i="7"/>
  <c r="Y4" i="9"/>
  <c r="AP4" i="9"/>
  <c r="BD4" i="9"/>
  <c r="AL4" i="9"/>
  <c r="BP4" i="9"/>
  <c r="AX4" i="9"/>
  <c r="AB4" i="9"/>
  <c r="BJ4" i="9"/>
  <c r="P4" i="4"/>
  <c r="L4" i="4"/>
  <c r="H4" i="4"/>
  <c r="B4" i="4"/>
  <c r="L7" i="7"/>
  <c r="S7" i="7"/>
  <c r="Z6" i="4"/>
  <c r="J6" i="4"/>
  <c r="S8" i="7"/>
  <c r="P8" i="7"/>
  <c r="I7" i="7"/>
  <c r="F5" i="18" l="1"/>
  <c r="D5" i="18"/>
  <c r="H5" i="18"/>
  <c r="C5" i="18"/>
  <c r="C4" i="18"/>
  <c r="E4" i="18"/>
  <c r="D4" i="18"/>
  <c r="G4" i="18"/>
  <c r="F4" i="18"/>
  <c r="B4" i="18"/>
  <c r="AR5" i="7"/>
  <c r="E5" i="18"/>
  <c r="G5" i="18"/>
  <c r="B5" i="18"/>
  <c r="AR6" i="7"/>
  <c r="H4" i="18"/>
  <c r="B3" i="18"/>
  <c r="C3" i="18"/>
  <c r="H3" i="18"/>
  <c r="D3" i="18"/>
  <c r="E3" i="18"/>
  <c r="F3" i="18"/>
  <c r="G3" i="18"/>
  <c r="G3" i="14"/>
  <c r="F3" i="14"/>
  <c r="B3" i="14"/>
  <c r="C3" i="14"/>
  <c r="H3" i="14"/>
  <c r="D3" i="14"/>
  <c r="E3" i="14"/>
  <c r="E3" i="13"/>
  <c r="F3" i="13"/>
  <c r="G3" i="13"/>
  <c r="B3" i="13"/>
  <c r="H3" i="13"/>
  <c r="D3" i="13"/>
  <c r="C3" i="13"/>
  <c r="AR4" i="7"/>
  <c r="CJ4" i="9"/>
  <c r="CI4" i="9"/>
  <c r="AI5" i="2"/>
  <c r="AI4" i="2"/>
  <c r="AM5" i="2"/>
  <c r="AM4" i="2"/>
  <c r="BZ6" i="9"/>
  <c r="BZ5" i="9"/>
  <c r="BR6" i="9"/>
  <c r="BR5" i="9"/>
  <c r="D6" i="18"/>
  <c r="E6" i="18"/>
  <c r="H6" i="18"/>
  <c r="B6" i="18"/>
  <c r="AR7" i="7"/>
  <c r="F6" i="18"/>
  <c r="C6" i="18"/>
  <c r="G6" i="18"/>
  <c r="AR8" i="7"/>
  <c r="AI7" i="2"/>
  <c r="AI6" i="2"/>
  <c r="AM7" i="2"/>
  <c r="AM6" i="2"/>
  <c r="BR8" i="9"/>
  <c r="BR7" i="9"/>
  <c r="BZ8" i="9"/>
  <c r="BZ7" i="9"/>
  <c r="AI9" i="2"/>
  <c r="AI8" i="2"/>
  <c r="AM9" i="2"/>
  <c r="AM8" i="2"/>
  <c r="BZ10" i="9"/>
  <c r="BZ9" i="9"/>
  <c r="BR10" i="9"/>
  <c r="BR9" i="9"/>
  <c r="AI3" i="2"/>
  <c r="AI10" i="2"/>
  <c r="AM3" i="2"/>
  <c r="AM10" i="2"/>
  <c r="BR12" i="9"/>
  <c r="BR11" i="9"/>
  <c r="BZ12" i="9"/>
  <c r="BZ11" i="9"/>
  <c r="AI13" i="2"/>
  <c r="AI12" i="2"/>
  <c r="AM13" i="2"/>
  <c r="AM12" i="2"/>
  <c r="BZ14" i="9"/>
  <c r="BZ13" i="9"/>
  <c r="BR14" i="9"/>
  <c r="BR13" i="9"/>
  <c r="AI15" i="2"/>
  <c r="AI14" i="2"/>
  <c r="AM15" i="2"/>
  <c r="AM14" i="2"/>
  <c r="BR16" i="9"/>
  <c r="BR15" i="9"/>
  <c r="BZ16" i="9"/>
  <c r="BZ15" i="9"/>
  <c r="AM17" i="2"/>
  <c r="AM16" i="2"/>
  <c r="AI17" i="2"/>
  <c r="AI16" i="2"/>
  <c r="BR18" i="9"/>
  <c r="BR17" i="9"/>
  <c r="BZ18" i="9"/>
  <c r="BZ17" i="9"/>
  <c r="AM19" i="2"/>
  <c r="AM18" i="2"/>
  <c r="AI19" i="2"/>
  <c r="AI18" i="2"/>
  <c r="BR20" i="9"/>
  <c r="BR19" i="9"/>
  <c r="BZ20" i="9"/>
  <c r="BZ19" i="9"/>
  <c r="AI21" i="2"/>
  <c r="AI20" i="2"/>
  <c r="AM21" i="2"/>
  <c r="AM20" i="2"/>
  <c r="J18" i="6"/>
  <c r="BR22" i="9"/>
  <c r="BR21" i="9"/>
  <c r="BZ22" i="9"/>
  <c r="BZ21" i="9"/>
  <c r="AI22" i="2"/>
  <c r="AM22" i="2"/>
  <c r="BZ24" i="9"/>
  <c r="BZ23" i="9"/>
  <c r="BR24" i="9"/>
  <c r="BR23" i="9"/>
  <c r="AI24" i="2"/>
  <c r="AI23" i="2"/>
  <c r="AM24" i="2"/>
  <c r="AM23" i="2"/>
  <c r="BZ26" i="9"/>
  <c r="BZ25" i="9"/>
  <c r="BR26" i="9"/>
  <c r="BR25" i="9"/>
  <c r="AI26" i="2"/>
  <c r="AI25" i="2"/>
  <c r="AM26" i="2"/>
  <c r="AM25" i="2"/>
  <c r="BZ28" i="9"/>
  <c r="BZ27" i="9"/>
  <c r="BR28" i="9"/>
  <c r="BR27" i="9"/>
  <c r="AI28" i="2"/>
  <c r="AI27" i="2"/>
  <c r="AM28" i="2"/>
  <c r="AM27" i="2"/>
  <c r="BR30" i="9"/>
  <c r="BR29" i="9"/>
  <c r="BZ30" i="9"/>
  <c r="BZ29" i="9"/>
  <c r="AI30" i="2"/>
  <c r="AI29" i="2"/>
  <c r="AM30" i="2"/>
  <c r="AM29" i="2"/>
  <c r="BZ32" i="9"/>
  <c r="BZ31" i="9"/>
  <c r="BR32" i="9"/>
  <c r="BR31" i="9"/>
  <c r="AI32" i="2"/>
  <c r="AI31" i="2"/>
  <c r="AM32" i="2"/>
  <c r="AM31" i="2"/>
  <c r="I18" i="6"/>
  <c r="I20" i="5"/>
  <c r="BZ34" i="9"/>
  <c r="BZ33" i="9"/>
  <c r="BR34" i="9"/>
  <c r="BR33" i="9"/>
  <c r="AI34" i="2"/>
  <c r="AI33" i="2"/>
  <c r="AM34" i="2"/>
  <c r="AM33" i="2"/>
  <c r="BZ3" i="9"/>
  <c r="BZ35" i="9"/>
  <c r="BR3" i="9"/>
  <c r="BR35" i="9"/>
  <c r="AI36" i="2"/>
  <c r="AI35" i="2"/>
  <c r="AM36" i="2"/>
  <c r="AM35" i="2"/>
  <c r="BZ38" i="9"/>
  <c r="BZ37" i="9"/>
  <c r="BR38" i="9"/>
  <c r="BR37" i="9"/>
  <c r="AI38" i="2"/>
  <c r="AI37" i="2"/>
  <c r="AM38" i="2"/>
  <c r="AM37" i="2"/>
  <c r="BZ40" i="9"/>
  <c r="BZ39" i="9"/>
  <c r="BR40" i="9"/>
  <c r="BR39" i="9"/>
  <c r="AI39" i="2"/>
  <c r="AI40" i="2"/>
  <c r="AM39" i="2"/>
  <c r="AM40" i="2"/>
  <c r="BR42" i="9"/>
  <c r="BR36" i="9"/>
  <c r="BZ42" i="9"/>
  <c r="BZ36" i="9"/>
  <c r="AI42" i="2"/>
  <c r="AI41" i="2"/>
  <c r="AM42" i="2"/>
  <c r="AM41" i="2"/>
  <c r="AI46" i="2"/>
  <c r="AI11" i="2"/>
  <c r="AI45" i="2"/>
  <c r="AI47" i="2"/>
  <c r="AI43" i="2"/>
  <c r="AI44" i="2"/>
  <c r="AM47" i="2"/>
  <c r="AM43" i="2"/>
  <c r="AM11" i="2"/>
  <c r="AM44" i="2"/>
  <c r="AM46" i="2"/>
  <c r="AM45" i="2"/>
  <c r="BR41" i="9"/>
  <c r="BR43" i="9"/>
  <c r="BZ41" i="9"/>
  <c r="BZ43" i="9"/>
  <c r="BR45" i="9"/>
  <c r="BR44" i="9"/>
  <c r="BZ45" i="9"/>
  <c r="BZ44" i="9"/>
  <c r="BZ48" i="9"/>
  <c r="BZ46" i="9"/>
  <c r="BR48" i="9"/>
  <c r="BR46" i="9"/>
  <c r="AI48" i="4"/>
  <c r="BR49" i="9"/>
  <c r="BZ49" i="9"/>
  <c r="AI49" i="4"/>
  <c r="AI49" i="2"/>
  <c r="AI48" i="2"/>
  <c r="AM49" i="2"/>
  <c r="AM48" i="2"/>
  <c r="AI52" i="2"/>
  <c r="AI50" i="2"/>
  <c r="AI53" i="2"/>
  <c r="AI51" i="2"/>
  <c r="AI52" i="4"/>
  <c r="AI53" i="4"/>
  <c r="AI50" i="4"/>
  <c r="AI51" i="4"/>
  <c r="BZ52" i="9"/>
  <c r="BZ50" i="9"/>
  <c r="BZ53" i="9"/>
  <c r="BZ51" i="9"/>
  <c r="BR51" i="9"/>
  <c r="BR52" i="9"/>
  <c r="BR53" i="9"/>
  <c r="BR50" i="9"/>
  <c r="AM52" i="2"/>
  <c r="AM50" i="2"/>
  <c r="AM53" i="2"/>
  <c r="AM51" i="2"/>
  <c r="BR54" i="9"/>
  <c r="BZ54" i="9"/>
  <c r="AI54" i="4"/>
  <c r="AI55" i="2"/>
  <c r="AI54" i="2"/>
  <c r="AM55" i="2"/>
  <c r="AM54" i="2"/>
  <c r="BR56" i="9"/>
  <c r="BR55" i="9"/>
  <c r="BZ56" i="9"/>
  <c r="BZ55" i="9"/>
  <c r="AI56" i="4"/>
  <c r="AI55" i="4"/>
  <c r="AI56" i="2"/>
  <c r="AM56" i="2"/>
  <c r="AI57" i="2"/>
  <c r="AM57" i="2"/>
  <c r="BZ58" i="9"/>
  <c r="BZ57" i="9"/>
  <c r="BR58" i="9"/>
  <c r="BR57" i="9"/>
  <c r="AI58" i="4"/>
  <c r="AI57" i="4"/>
  <c r="AI59" i="2"/>
  <c r="AI58" i="2"/>
  <c r="AM59" i="2"/>
  <c r="AM58" i="2"/>
  <c r="BR60" i="9"/>
  <c r="BR59" i="9"/>
  <c r="BZ60" i="9"/>
  <c r="BZ59" i="9"/>
  <c r="AI60" i="4"/>
  <c r="AI59" i="4"/>
  <c r="AI61" i="2"/>
  <c r="AI60" i="2"/>
  <c r="AM61" i="2"/>
  <c r="AM60" i="2"/>
  <c r="H16" i="6"/>
  <c r="H14" i="6"/>
  <c r="H12" i="6"/>
  <c r="H10" i="6"/>
  <c r="H8" i="6"/>
  <c r="H6" i="6"/>
  <c r="BR62" i="9"/>
  <c r="BR61" i="9"/>
  <c r="BZ62" i="9"/>
  <c r="BZ61" i="9"/>
  <c r="AI62" i="4"/>
  <c r="AI61" i="4"/>
  <c r="AI62" i="2"/>
  <c r="AI63" i="2"/>
  <c r="AI64" i="2"/>
  <c r="AI65" i="2"/>
  <c r="AM62" i="2"/>
  <c r="AM63" i="2"/>
  <c r="AM64" i="2"/>
  <c r="AM65" i="2"/>
  <c r="AI67" i="2"/>
  <c r="AM67" i="2"/>
  <c r="AM69" i="2"/>
  <c r="AM68" i="2"/>
  <c r="AI69" i="2"/>
  <c r="AI68" i="2"/>
  <c r="AI71" i="2"/>
  <c r="AI70" i="2"/>
  <c r="AM71" i="2"/>
  <c r="AM70" i="2"/>
  <c r="BZ63" i="9"/>
  <c r="BR63" i="9"/>
  <c r="AI64" i="4"/>
  <c r="AI63" i="4"/>
  <c r="BR47" i="9"/>
  <c r="BR64" i="9"/>
  <c r="BZ47" i="9"/>
  <c r="BZ64" i="9"/>
  <c r="AI66" i="2"/>
  <c r="AM66" i="2"/>
  <c r="BR66" i="9"/>
  <c r="BZ66" i="9"/>
  <c r="AI67" i="4"/>
  <c r="AI66" i="4"/>
  <c r="BR68" i="9"/>
  <c r="BR67" i="9"/>
  <c r="BZ68" i="9"/>
  <c r="BZ67" i="9"/>
  <c r="AI69" i="4"/>
  <c r="AI68" i="4"/>
  <c r="AI73" i="2"/>
  <c r="AI72" i="2"/>
  <c r="AM73" i="2"/>
  <c r="AM72" i="2"/>
  <c r="BR70" i="9"/>
  <c r="BR69" i="9"/>
  <c r="BZ70" i="9"/>
  <c r="BZ69" i="9"/>
  <c r="AI75" i="2"/>
  <c r="AI74" i="2"/>
  <c r="AM75" i="2"/>
  <c r="AM74" i="2"/>
  <c r="BR72" i="9"/>
  <c r="BR71" i="9"/>
  <c r="BZ72" i="9"/>
  <c r="BZ71" i="9"/>
  <c r="AI71" i="4"/>
  <c r="AI70" i="4"/>
  <c r="AI77" i="2"/>
  <c r="AI76" i="2"/>
  <c r="AM77" i="2"/>
  <c r="AM76" i="2"/>
  <c r="BR74" i="9"/>
  <c r="BR73" i="9"/>
  <c r="BZ74" i="9"/>
  <c r="BZ73" i="9"/>
  <c r="AI73" i="4"/>
  <c r="AI72" i="4"/>
  <c r="AM79" i="2"/>
  <c r="AM78" i="2"/>
  <c r="AI79" i="2"/>
  <c r="AI78" i="2"/>
  <c r="BR75" i="9"/>
  <c r="BR76" i="9"/>
  <c r="BZ75" i="9"/>
  <c r="BZ76" i="9"/>
  <c r="AI74" i="4"/>
  <c r="AI75" i="4"/>
  <c r="BR77" i="9"/>
  <c r="BZ77" i="9"/>
  <c r="AI65" i="4"/>
  <c r="AI76" i="4"/>
  <c r="AM82" i="2"/>
  <c r="AI82" i="2"/>
  <c r="BR79" i="9"/>
  <c r="BR78" i="9"/>
  <c r="BZ79" i="9"/>
  <c r="BZ78" i="9"/>
  <c r="AI78" i="4"/>
  <c r="AI77" i="4"/>
  <c r="AM84" i="2"/>
  <c r="AM83" i="2"/>
  <c r="AI84" i="2"/>
  <c r="AI83" i="2"/>
  <c r="BR81" i="9"/>
  <c r="BR80" i="9"/>
  <c r="BZ81" i="9"/>
  <c r="BZ80" i="9"/>
  <c r="AI80" i="4"/>
  <c r="AI79" i="4"/>
  <c r="AI86" i="2"/>
  <c r="AI85" i="2"/>
  <c r="AM86" i="2"/>
  <c r="AM85" i="2"/>
  <c r="BZ83" i="9"/>
  <c r="BZ82" i="9"/>
  <c r="BR83" i="9"/>
  <c r="BR82" i="9"/>
  <c r="AI82" i="4"/>
  <c r="AI81" i="4"/>
  <c r="AI88" i="2"/>
  <c r="AI87" i="2"/>
  <c r="AM88" i="2"/>
  <c r="AM87" i="2"/>
  <c r="BR85" i="9"/>
  <c r="BR84" i="9"/>
  <c r="BZ85" i="9"/>
  <c r="BZ84" i="9"/>
  <c r="AI84" i="4"/>
  <c r="AI83" i="4"/>
  <c r="AI89" i="2"/>
  <c r="AI90" i="2"/>
  <c r="AM89" i="2"/>
  <c r="AM90" i="2"/>
  <c r="BZ87" i="9"/>
  <c r="BZ65" i="9"/>
  <c r="BR87" i="9"/>
  <c r="BR65" i="9"/>
  <c r="AI85" i="4"/>
  <c r="AI92" i="2"/>
  <c r="AM92" i="2"/>
  <c r="BR89" i="9"/>
  <c r="BR88" i="9"/>
  <c r="BZ89" i="9"/>
  <c r="BZ88" i="9"/>
  <c r="AI88" i="4"/>
  <c r="AI87" i="4"/>
  <c r="AI94" i="2"/>
  <c r="AI93" i="2"/>
  <c r="AM94" i="2"/>
  <c r="AM93" i="2"/>
  <c r="BR91" i="9"/>
  <c r="BR90" i="9"/>
  <c r="BZ91" i="9"/>
  <c r="BZ90" i="9"/>
  <c r="AI90" i="4"/>
  <c r="AI89" i="4"/>
  <c r="AI95" i="2"/>
  <c r="AI96" i="2"/>
  <c r="AM95" i="2"/>
  <c r="AM96" i="2"/>
  <c r="BR93" i="9"/>
  <c r="BR92" i="9"/>
  <c r="BZ93" i="9"/>
  <c r="BZ92" i="9"/>
  <c r="AI92" i="4"/>
  <c r="AI91" i="4"/>
  <c r="AI97" i="2"/>
  <c r="AM98" i="2"/>
  <c r="AM97" i="2"/>
  <c r="BR95" i="9"/>
  <c r="BR94" i="9"/>
  <c r="BZ95" i="9"/>
  <c r="BZ94" i="9"/>
  <c r="AI94" i="4"/>
  <c r="AI93" i="4"/>
  <c r="AI99" i="2"/>
  <c r="AI98" i="2"/>
  <c r="AM100" i="2"/>
  <c r="AM99" i="2"/>
  <c r="BR96" i="9"/>
  <c r="BR97" i="9"/>
  <c r="BZ96" i="9"/>
  <c r="BZ97" i="9"/>
  <c r="AI96" i="4"/>
  <c r="AI95" i="4"/>
  <c r="AI101" i="2"/>
  <c r="AI100" i="2"/>
  <c r="AM101" i="2"/>
  <c r="AM91" i="2"/>
  <c r="BR99" i="9"/>
  <c r="BR98" i="9"/>
  <c r="BZ99" i="9"/>
  <c r="BZ98" i="9"/>
  <c r="AI98" i="4"/>
  <c r="AI97" i="4"/>
  <c r="AI103" i="2"/>
  <c r="AI102" i="2"/>
  <c r="AM103" i="2"/>
  <c r="AM102" i="2"/>
  <c r="BZ101" i="9"/>
  <c r="BZ100" i="9"/>
  <c r="BR101" i="9"/>
  <c r="BR100" i="9"/>
  <c r="AI100" i="4"/>
  <c r="AI99" i="4"/>
  <c r="AI105" i="2"/>
  <c r="AI104" i="2"/>
  <c r="AM105" i="2"/>
  <c r="AM104" i="2"/>
  <c r="BZ86" i="9"/>
  <c r="BZ102" i="9"/>
  <c r="BR86" i="9"/>
  <c r="BR102" i="9"/>
  <c r="AI86" i="4"/>
  <c r="AI101" i="4"/>
  <c r="AI107" i="2"/>
  <c r="AI106" i="2"/>
  <c r="AM107" i="2"/>
  <c r="AM106" i="2"/>
  <c r="BZ103" i="9"/>
  <c r="BZ104" i="9"/>
  <c r="BR103" i="9"/>
  <c r="BR104" i="9"/>
  <c r="AI102" i="4"/>
  <c r="AI103" i="4"/>
  <c r="AI91" i="2"/>
  <c r="AI108" i="2"/>
  <c r="AM108" i="2"/>
  <c r="BR106" i="9"/>
  <c r="BR105" i="9"/>
  <c r="BZ106" i="9"/>
  <c r="BZ105" i="9"/>
  <c r="AI105" i="4"/>
  <c r="AI104" i="4"/>
  <c r="AI110" i="2"/>
  <c r="AI109" i="2"/>
  <c r="AM110" i="2"/>
  <c r="AM109" i="2"/>
  <c r="BR108" i="9"/>
  <c r="BR107" i="9"/>
  <c r="BZ108" i="9"/>
  <c r="BZ107" i="9"/>
  <c r="AI106" i="4"/>
  <c r="AI107" i="4"/>
  <c r="AI111" i="2"/>
  <c r="AI112" i="2"/>
  <c r="AM111" i="2"/>
  <c r="AM112" i="2"/>
  <c r="H14" i="5"/>
  <c r="H12" i="5"/>
  <c r="H10" i="5"/>
  <c r="H8" i="5"/>
  <c r="H6" i="5"/>
  <c r="H4" i="5"/>
  <c r="BZ110" i="9"/>
  <c r="BZ109" i="9"/>
  <c r="BR110" i="9"/>
  <c r="BR109" i="9"/>
  <c r="AI109" i="4"/>
  <c r="AI108" i="4"/>
  <c r="AI113" i="2"/>
  <c r="AM113" i="2"/>
  <c r="H19" i="5"/>
  <c r="H17" i="6"/>
  <c r="H15" i="6"/>
  <c r="H13" i="6"/>
  <c r="H11" i="6"/>
  <c r="H9" i="6"/>
  <c r="H7" i="6"/>
  <c r="H5" i="6"/>
  <c r="H4" i="6"/>
  <c r="H18" i="5"/>
  <c r="H15" i="5"/>
  <c r="H13" i="5"/>
  <c r="H11" i="5"/>
  <c r="H9" i="5"/>
  <c r="H7" i="5"/>
  <c r="H5" i="5"/>
  <c r="J20" i="5"/>
  <c r="BJ6" i="9"/>
  <c r="BF6" i="9"/>
  <c r="AN6" i="9"/>
  <c r="AZ6" i="9"/>
  <c r="BC6" i="9"/>
  <c r="BP6" i="9"/>
  <c r="AP6" i="9"/>
  <c r="BD6" i="9"/>
  <c r="AT5" i="9"/>
  <c r="BM5" i="9"/>
  <c r="BK5" i="9"/>
  <c r="BL5" i="9"/>
  <c r="AY5" i="9"/>
  <c r="AQ5" i="9"/>
  <c r="AP5" i="9"/>
  <c r="AN5" i="9"/>
  <c r="U6" i="9"/>
  <c r="J6" i="9"/>
  <c r="S6" i="9"/>
  <c r="AG6" i="9"/>
  <c r="AD6" i="9"/>
  <c r="N6" i="9"/>
  <c r="W6" i="9"/>
  <c r="B6" i="9"/>
  <c r="AA5" i="9"/>
  <c r="AH5" i="9"/>
  <c r="AC5" i="9"/>
  <c r="P5" i="9"/>
  <c r="F5" i="9"/>
  <c r="AF5" i="9"/>
  <c r="U5" i="9"/>
  <c r="Z5" i="9"/>
  <c r="M5" i="9"/>
  <c r="P5" i="2"/>
  <c r="R5" i="2"/>
  <c r="AB5" i="2"/>
  <c r="AD5" i="2"/>
  <c r="X5" i="2"/>
  <c r="Z5" i="2"/>
  <c r="T5" i="2"/>
  <c r="V5" i="2"/>
  <c r="S13" i="2"/>
  <c r="S23" i="2"/>
  <c r="S31" i="2"/>
  <c r="S59" i="2"/>
  <c r="S75" i="2"/>
  <c r="S89" i="2"/>
  <c r="BA7" i="9"/>
  <c r="S20" i="2"/>
  <c r="S39" i="2"/>
  <c r="S49" i="2"/>
  <c r="S58" i="2"/>
  <c r="S72" i="2"/>
  <c r="S90" i="2"/>
  <c r="S17" i="2"/>
  <c r="S37" i="2"/>
  <c r="S45" i="2"/>
  <c r="S64" i="2"/>
  <c r="S88" i="2"/>
  <c r="S18" i="2"/>
  <c r="S30" i="2"/>
  <c r="S57" i="2"/>
  <c r="S66" i="2"/>
  <c r="S95" i="2"/>
  <c r="E7" i="2"/>
  <c r="AE7" i="2"/>
  <c r="U7" i="2"/>
  <c r="I6" i="2"/>
  <c r="H6" i="2"/>
  <c r="N6" i="2"/>
  <c r="K6" i="2"/>
  <c r="S3" i="2"/>
  <c r="T7" i="2"/>
  <c r="AA7" i="2"/>
  <c r="BA6" i="9"/>
  <c r="BH5" i="9"/>
  <c r="BO5" i="9"/>
  <c r="BF5" i="9"/>
  <c r="AE6" i="9"/>
  <c r="F6" i="9"/>
  <c r="AF6" i="9"/>
  <c r="X6" i="9"/>
  <c r="AB5" i="9"/>
  <c r="T5" i="9"/>
  <c r="V5" i="9"/>
  <c r="L5" i="9"/>
  <c r="AG5" i="2"/>
  <c r="B5" i="2"/>
  <c r="N5" i="2"/>
  <c r="J5" i="2"/>
  <c r="F5" i="2"/>
  <c r="S25" i="2"/>
  <c r="S62" i="2"/>
  <c r="S92" i="2"/>
  <c r="S34" i="2"/>
  <c r="S53" i="2"/>
  <c r="S74" i="2"/>
  <c r="S19" i="2"/>
  <c r="S48" i="2"/>
  <c r="S69" i="2"/>
  <c r="S24" i="2"/>
  <c r="S60" i="2"/>
  <c r="S99" i="2"/>
  <c r="C7" i="2"/>
  <c r="BM6" i="9"/>
  <c r="AR6" i="9"/>
  <c r="AL6" i="9"/>
  <c r="BO6" i="9"/>
  <c r="BL6" i="9"/>
  <c r="AY6" i="9"/>
  <c r="BB6" i="9"/>
  <c r="AM6" i="9"/>
  <c r="BI5" i="9"/>
  <c r="AS5" i="9"/>
  <c r="AU5" i="9"/>
  <c r="AJ5" i="9"/>
  <c r="BB5" i="9"/>
  <c r="BJ5" i="9"/>
  <c r="BE5" i="9"/>
  <c r="BC5" i="9"/>
  <c r="K6" i="9"/>
  <c r="AC6" i="9"/>
  <c r="Z6" i="9"/>
  <c r="P6" i="9"/>
  <c r="M6" i="9"/>
  <c r="AH6" i="9"/>
  <c r="G6" i="9"/>
  <c r="Y6" i="9"/>
  <c r="V6" i="9"/>
  <c r="R5" i="9"/>
  <c r="X5" i="9"/>
  <c r="K5" i="9"/>
  <c r="Y5" i="9"/>
  <c r="S5" i="9"/>
  <c r="N5" i="9"/>
  <c r="J5" i="9"/>
  <c r="H5" i="9"/>
  <c r="AF5" i="2"/>
  <c r="AH5" i="2"/>
  <c r="M5" i="2"/>
  <c r="K5" i="2"/>
  <c r="I5" i="2"/>
  <c r="G5" i="2"/>
  <c r="E5" i="2"/>
  <c r="C5" i="2"/>
  <c r="S9" i="2"/>
  <c r="S22" i="2"/>
  <c r="S29" i="2"/>
  <c r="S55" i="2"/>
  <c r="S73" i="2"/>
  <c r="S86" i="2"/>
  <c r="S98" i="2"/>
  <c r="S14" i="2"/>
  <c r="S38" i="2"/>
  <c r="S46" i="2"/>
  <c r="S56" i="2"/>
  <c r="S70" i="2"/>
  <c r="S85" i="2"/>
  <c r="S91" i="2"/>
  <c r="S35" i="2"/>
  <c r="S43" i="2"/>
  <c r="S61" i="2"/>
  <c r="S79" i="2"/>
  <c r="S16" i="2"/>
  <c r="S28" i="2"/>
  <c r="S52" i="2"/>
  <c r="S68" i="2"/>
  <c r="S87" i="2"/>
  <c r="U6" i="2"/>
  <c r="W6" i="2"/>
  <c r="T6" i="2"/>
  <c r="Z6" i="2"/>
  <c r="Y7" i="2"/>
  <c r="K7" i="2"/>
  <c r="L7" i="2"/>
  <c r="R7" i="2"/>
  <c r="AC7" i="2"/>
  <c r="Q7" i="2"/>
  <c r="H7" i="2"/>
  <c r="B6" i="2"/>
  <c r="S8" i="9"/>
  <c r="AG6" i="2"/>
  <c r="G7" i="2"/>
  <c r="AF6" i="2"/>
  <c r="V7" i="2"/>
  <c r="S7" i="9"/>
  <c r="W7" i="2"/>
  <c r="G6" i="2"/>
  <c r="M6" i="2"/>
  <c r="L6" i="2"/>
  <c r="R6" i="2"/>
  <c r="Z7" i="2"/>
  <c r="J7" i="2"/>
  <c r="S8" i="2"/>
  <c r="AV6" i="9"/>
  <c r="AT6" i="9"/>
  <c r="AQ6" i="9"/>
  <c r="AK6" i="9"/>
  <c r="BN6" i="9"/>
  <c r="BI6" i="9"/>
  <c r="AS6" i="9"/>
  <c r="BG6" i="9"/>
  <c r="AZ5" i="9"/>
  <c r="AX5" i="9"/>
  <c r="AW5" i="9"/>
  <c r="AR5" i="9"/>
  <c r="BA5" i="9"/>
  <c r="T6" i="9"/>
  <c r="R6" i="9"/>
  <c r="D6" i="9"/>
  <c r="O6" i="9"/>
  <c r="O5" i="9"/>
  <c r="B5" i="9"/>
  <c r="E5" i="9"/>
  <c r="G5" i="9"/>
  <c r="AE5" i="2"/>
  <c r="L5" i="2"/>
  <c r="H5" i="2"/>
  <c r="D5" i="2"/>
  <c r="S15" i="2"/>
  <c r="S44" i="2"/>
  <c r="S82" i="2"/>
  <c r="S10" i="2"/>
  <c r="S42" i="2"/>
  <c r="S63" i="2"/>
  <c r="S94" i="2"/>
  <c r="S40" i="2"/>
  <c r="S93" i="2"/>
  <c r="S32" i="2"/>
  <c r="S76" i="2"/>
  <c r="O7" i="2"/>
  <c r="AJ6" i="9"/>
  <c r="AU6" i="9"/>
  <c r="AV5" i="9"/>
  <c r="AL5" i="9"/>
  <c r="BG5" i="9"/>
  <c r="AB6" i="9"/>
  <c r="E6" i="9"/>
  <c r="D5" i="9"/>
  <c r="W5" i="9"/>
  <c r="AA5" i="2"/>
  <c r="S5" i="2"/>
  <c r="S50" i="2"/>
  <c r="S12" i="2"/>
  <c r="S41" i="2"/>
  <c r="E6" i="2"/>
  <c r="F7" i="2"/>
  <c r="AD7" i="2"/>
  <c r="Q6" i="2"/>
  <c r="S6" i="2"/>
  <c r="BK6" i="9"/>
  <c r="AO6" i="9"/>
  <c r="BD5" i="9"/>
  <c r="AK5" i="9"/>
  <c r="L6" i="9"/>
  <c r="Q6" i="9"/>
  <c r="Q5" i="9"/>
  <c r="C5" i="9"/>
  <c r="Q5" i="2"/>
  <c r="Y5" i="2"/>
  <c r="BA8" i="9"/>
  <c r="S71" i="2"/>
  <c r="S36" i="2"/>
  <c r="S83" i="2"/>
  <c r="S51" i="2"/>
  <c r="S11" i="2"/>
  <c r="P7" i="2"/>
  <c r="AA6" i="2"/>
  <c r="AD6" i="2"/>
  <c r="AE6" i="2"/>
  <c r="M7" i="2"/>
  <c r="F6" i="2"/>
  <c r="BH6" i="9"/>
  <c r="BP5" i="9"/>
  <c r="I6" i="9"/>
  <c r="AE5" i="9"/>
  <c r="O5" i="2"/>
  <c r="S21" i="2"/>
  <c r="S47" i="2"/>
  <c r="S77" i="2"/>
  <c r="D6" i="2"/>
  <c r="D7" i="2"/>
  <c r="AG7" i="2"/>
  <c r="O6" i="2"/>
  <c r="AX6" i="9"/>
  <c r="AW6" i="9"/>
  <c r="AO5" i="9"/>
  <c r="AM5" i="9"/>
  <c r="C6" i="9"/>
  <c r="H6" i="9"/>
  <c r="AD5" i="9"/>
  <c r="AG5" i="9"/>
  <c r="AC5" i="2"/>
  <c r="U5" i="2"/>
  <c r="S27" i="2"/>
  <c r="S96" i="2"/>
  <c r="S54" i="2"/>
  <c r="S33" i="2"/>
  <c r="S100" i="2"/>
  <c r="S78" i="2"/>
  <c r="AB7" i="2"/>
  <c r="Y6" i="2"/>
  <c r="X6" i="2"/>
  <c r="AC6" i="2"/>
  <c r="AB6" i="2"/>
  <c r="AH3" i="2"/>
  <c r="B7" i="2"/>
  <c r="AF7" i="2"/>
  <c r="S67" i="2"/>
  <c r="S26" i="2"/>
  <c r="J6" i="2"/>
  <c r="X7" i="2"/>
  <c r="N7" i="2"/>
  <c r="P6" i="2"/>
  <c r="C6" i="2"/>
  <c r="AH7" i="2"/>
  <c r="BE6" i="9"/>
  <c r="BN5" i="9"/>
  <c r="AA6" i="9"/>
  <c r="I5" i="9"/>
  <c r="W5" i="2"/>
  <c r="S84" i="2"/>
  <c r="S97" i="2"/>
  <c r="S65" i="2"/>
  <c r="AH6" i="2"/>
  <c r="I7" i="2"/>
  <c r="S7" i="2"/>
  <c r="V6" i="2"/>
  <c r="I5" i="18" l="1"/>
  <c r="I4" i="18"/>
  <c r="I3" i="18"/>
  <c r="I3" i="14"/>
  <c r="I3" i="13"/>
  <c r="CK4" i="9"/>
  <c r="CL4" i="9"/>
  <c r="F4" i="14"/>
  <c r="G4" i="14"/>
  <c r="E4" i="14"/>
  <c r="H4" i="14"/>
  <c r="C4" i="14"/>
  <c r="D4" i="14"/>
  <c r="B4" i="14"/>
  <c r="H4" i="13"/>
  <c r="E4" i="13"/>
  <c r="C4" i="13"/>
  <c r="D4" i="13"/>
  <c r="B4" i="13"/>
  <c r="F4" i="13"/>
  <c r="G4" i="13"/>
  <c r="CJ5" i="9"/>
  <c r="E5" i="14"/>
  <c r="CJ6" i="9"/>
  <c r="B5" i="14"/>
  <c r="D5" i="14"/>
  <c r="G5" i="14"/>
  <c r="C5" i="14"/>
  <c r="H5" i="14"/>
  <c r="F5" i="14"/>
  <c r="CI5" i="9"/>
  <c r="H5" i="13"/>
  <c r="E5" i="13"/>
  <c r="C5" i="13"/>
  <c r="D5" i="13"/>
  <c r="F5" i="13"/>
  <c r="CI6" i="9"/>
  <c r="B5" i="13"/>
  <c r="G5" i="13"/>
  <c r="I6" i="18"/>
  <c r="AI81" i="2"/>
  <c r="AI80" i="2"/>
  <c r="AM80" i="2"/>
  <c r="AM81" i="2"/>
  <c r="H18" i="6"/>
  <c r="H20" i="5"/>
  <c r="AA4" i="2"/>
  <c r="E4" i="2"/>
  <c r="AE4" i="2"/>
  <c r="K4" i="2"/>
  <c r="X4" i="2"/>
  <c r="T4" i="2"/>
  <c r="S80" i="2"/>
  <c r="AD4" i="2"/>
  <c r="Z4" i="2"/>
  <c r="L4" i="2"/>
  <c r="G4" i="2"/>
  <c r="H4" i="2"/>
  <c r="C4" i="2"/>
  <c r="D4" i="2"/>
  <c r="AH4" i="2"/>
  <c r="S81" i="2"/>
  <c r="AG4" i="2"/>
  <c r="AC4" i="2"/>
  <c r="V4" i="2"/>
  <c r="R4" i="2"/>
  <c r="N4" i="2"/>
  <c r="J4" i="2"/>
  <c r="F4" i="2"/>
  <c r="B4" i="2"/>
  <c r="AF4" i="2"/>
  <c r="Q4" i="2"/>
  <c r="Y4" i="2"/>
  <c r="U4" i="2"/>
  <c r="M4" i="2"/>
  <c r="I4" i="2"/>
  <c r="P4" i="2"/>
  <c r="AB4" i="2"/>
  <c r="W4" i="2"/>
  <c r="S4" i="2"/>
  <c r="O4" i="2"/>
  <c r="I4" i="14" l="1"/>
  <c r="CK5" i="9"/>
  <c r="I4" i="13"/>
  <c r="I5" i="14"/>
  <c r="CL6" i="9"/>
  <c r="CK6" i="9"/>
  <c r="I5" i="13"/>
  <c r="CL5" i="9"/>
  <c r="BF7" i="9" l="1"/>
  <c r="AC15" i="7"/>
  <c r="T15" i="7"/>
  <c r="Q9" i="9"/>
  <c r="V10" i="4"/>
  <c r="AY8" i="9"/>
  <c r="C8" i="2"/>
  <c r="BN7" i="9"/>
  <c r="V10" i="7"/>
  <c r="AC8" i="9"/>
  <c r="AG15" i="7"/>
  <c r="AW9" i="9"/>
  <c r="O10" i="7"/>
  <c r="N12" i="4"/>
  <c r="BF10" i="9"/>
  <c r="J11" i="4"/>
  <c r="AL8" i="9"/>
  <c r="I10" i="4"/>
  <c r="AB12" i="9"/>
  <c r="C7" i="9"/>
  <c r="BG11" i="9"/>
  <c r="BC12" i="9"/>
  <c r="F9" i="2"/>
  <c r="C11" i="9"/>
  <c r="Z16" i="2"/>
  <c r="O19" i="7"/>
  <c r="AU13" i="9"/>
  <c r="AS11" i="9"/>
  <c r="BO17" i="9"/>
  <c r="AZ8" i="9"/>
  <c r="L3" i="2"/>
  <c r="E10" i="4"/>
  <c r="N15" i="7"/>
  <c r="AH11" i="7"/>
  <c r="F15" i="7"/>
  <c r="AJ11" i="9"/>
  <c r="AE11" i="4"/>
  <c r="V8" i="9"/>
  <c r="BF8" i="9"/>
  <c r="D14" i="7"/>
  <c r="AB13" i="7"/>
  <c r="BK7" i="9"/>
  <c r="N11" i="4"/>
  <c r="BO12" i="9"/>
  <c r="K15" i="7"/>
  <c r="AC9" i="9"/>
  <c r="Q10" i="7"/>
  <c r="I13" i="4"/>
  <c r="D14" i="4"/>
  <c r="B9" i="7"/>
  <c r="Q15" i="4"/>
  <c r="R14" i="7"/>
  <c r="C13" i="4"/>
  <c r="C14" i="7"/>
  <c r="D12" i="2"/>
  <c r="T12" i="2"/>
  <c r="G12" i="2"/>
  <c r="AG11" i="9"/>
  <c r="I8" i="9"/>
  <c r="AG10" i="4"/>
  <c r="O14" i="4"/>
  <c r="X9" i="4"/>
  <c r="AE13" i="4"/>
  <c r="AB9" i="9"/>
  <c r="Y11" i="7"/>
  <c r="BG9" i="9"/>
  <c r="AI13" i="9"/>
  <c r="V9" i="4"/>
  <c r="D7" i="9"/>
  <c r="E14" i="7"/>
  <c r="AA13" i="4"/>
  <c r="H9" i="9"/>
  <c r="Q9" i="4"/>
  <c r="W12" i="2"/>
  <c r="N14" i="4"/>
  <c r="AC12" i="4"/>
  <c r="I10" i="7"/>
  <c r="Z10" i="4"/>
  <c r="U13" i="7"/>
  <c r="O15" i="4"/>
  <c r="C11" i="7"/>
  <c r="V11" i="7"/>
  <c r="R9" i="9"/>
  <c r="C18" i="9"/>
  <c r="AB12" i="2"/>
  <c r="D13" i="4"/>
  <c r="AC10" i="7"/>
  <c r="C12" i="4"/>
  <c r="Z11" i="9"/>
  <c r="B7" i="9"/>
  <c r="AC10" i="4"/>
  <c r="F9" i="4"/>
  <c r="W10" i="4"/>
  <c r="Q14" i="7"/>
  <c r="AI9" i="9"/>
  <c r="Q10" i="2"/>
  <c r="AB11" i="4"/>
  <c r="B10" i="9"/>
  <c r="H3" i="2"/>
  <c r="Y12" i="7"/>
  <c r="X14" i="7"/>
  <c r="O8" i="2"/>
  <c r="H15" i="7"/>
  <c r="AA12" i="4"/>
  <c r="BM12" i="9"/>
  <c r="I9" i="9"/>
  <c r="AD10" i="4"/>
  <c r="O10" i="2"/>
  <c r="F8" i="9"/>
  <c r="B9" i="4"/>
  <c r="W9" i="9"/>
  <c r="AF11" i="4"/>
  <c r="D20" i="4"/>
  <c r="U18" i="7"/>
  <c r="AE15" i="4"/>
  <c r="T11" i="4"/>
  <c r="M10" i="4"/>
  <c r="M12" i="7"/>
  <c r="W9" i="2"/>
  <c r="AA8" i="9"/>
  <c r="U8" i="9"/>
  <c r="AA12" i="9"/>
  <c r="C15" i="4"/>
  <c r="J10" i="9"/>
  <c r="BB10" i="9"/>
  <c r="AN9" i="9"/>
  <c r="AA21" i="4"/>
  <c r="O12" i="4"/>
  <c r="E13" i="4"/>
  <c r="AD14" i="7"/>
  <c r="G8" i="2"/>
  <c r="V13" i="4"/>
  <c r="AU10" i="9"/>
  <c r="M9" i="4"/>
  <c r="BP7" i="9"/>
  <c r="B11" i="4"/>
  <c r="L12" i="4"/>
  <c r="AE9" i="2"/>
  <c r="AF8" i="2"/>
  <c r="C10" i="9"/>
  <c r="L11" i="4"/>
  <c r="Q9" i="7"/>
  <c r="G12" i="4"/>
  <c r="AW7" i="9"/>
  <c r="AF3" i="2"/>
  <c r="Y7" i="9"/>
  <c r="AG14" i="7"/>
  <c r="P10" i="4"/>
  <c r="H9" i="4"/>
  <c r="AC11" i="7"/>
  <c r="D9" i="2"/>
  <c r="T20" i="7"/>
  <c r="BF34" i="9"/>
  <c r="T11" i="9"/>
  <c r="AG3" i="2"/>
  <c r="N23" i="2"/>
  <c r="AF15" i="2"/>
  <c r="I15" i="4"/>
  <c r="I10" i="2"/>
  <c r="L12" i="7"/>
  <c r="AF10" i="7"/>
  <c r="AU7" i="9"/>
  <c r="V11" i="9"/>
  <c r="AS8" i="9"/>
  <c r="AE8" i="2"/>
  <c r="AD15" i="7"/>
  <c r="AP11" i="9"/>
  <c r="C15" i="7"/>
  <c r="Q7" i="9"/>
  <c r="AD11" i="4"/>
  <c r="U9" i="2"/>
  <c r="T12" i="9"/>
  <c r="Z8" i="2"/>
  <c r="J9" i="7"/>
  <c r="X11" i="7"/>
  <c r="E12" i="7"/>
  <c r="AI11" i="9"/>
  <c r="AX12" i="9"/>
  <c r="L9" i="7"/>
  <c r="R12" i="4"/>
  <c r="O13" i="4"/>
  <c r="AQ12" i="9"/>
  <c r="Q18" i="4"/>
  <c r="AV13" i="9"/>
  <c r="H13" i="9"/>
  <c r="BI9" i="9"/>
  <c r="BF35" i="9"/>
  <c r="P11" i="4"/>
  <c r="J11" i="7"/>
  <c r="AV8" i="9"/>
  <c r="D12" i="9"/>
  <c r="AG8" i="9"/>
  <c r="BN8" i="9"/>
  <c r="Y10" i="2"/>
  <c r="AE14" i="7"/>
  <c r="V7" i="9"/>
  <c r="AB9" i="4"/>
  <c r="AF12" i="7"/>
  <c r="Y9" i="9"/>
  <c r="P14" i="4"/>
  <c r="O9" i="4"/>
  <c r="X12" i="7"/>
  <c r="BM8" i="9"/>
  <c r="W15" i="7"/>
  <c r="C13" i="7"/>
  <c r="AF14" i="4"/>
  <c r="P9" i="7"/>
  <c r="AD8" i="2"/>
  <c r="R12" i="2"/>
  <c r="AX11" i="9"/>
  <c r="AM14" i="9"/>
  <c r="AA13" i="7"/>
  <c r="Q14" i="4"/>
  <c r="J12" i="4"/>
  <c r="C9" i="2"/>
  <c r="M15" i="7"/>
  <c r="Y3" i="2"/>
  <c r="E14" i="4"/>
  <c r="AC13" i="7"/>
  <c r="F10" i="7"/>
  <c r="AF10" i="4"/>
  <c r="Y12" i="2"/>
  <c r="F13" i="4"/>
  <c r="T10" i="4"/>
  <c r="T10" i="9"/>
  <c r="I11" i="7"/>
  <c r="AE8" i="9"/>
  <c r="H14" i="4"/>
  <c r="P12" i="4"/>
  <c r="N11" i="9"/>
  <c r="T13" i="7"/>
  <c r="AT11" i="9"/>
  <c r="X15" i="7"/>
  <c r="BF11" i="9"/>
  <c r="J16" i="7"/>
  <c r="T13" i="9"/>
  <c r="O17" i="2"/>
  <c r="M10" i="2"/>
  <c r="N20" i="4"/>
  <c r="I17" i="7"/>
  <c r="U13" i="9"/>
  <c r="R9" i="7"/>
  <c r="AU8" i="9"/>
  <c r="D10" i="2"/>
  <c r="Z17" i="2"/>
  <c r="H14" i="7"/>
  <c r="AR8" i="9"/>
  <c r="AC7" i="9"/>
  <c r="I7" i="9"/>
  <c r="AL11" i="9"/>
  <c r="I10" i="9"/>
  <c r="E12" i="9"/>
  <c r="AY9" i="9"/>
  <c r="U19" i="4"/>
  <c r="F9" i="7"/>
  <c r="N12" i="2"/>
  <c r="AA11" i="4"/>
  <c r="BD8" i="9"/>
  <c r="BJ9" i="9"/>
  <c r="AX9" i="9"/>
  <c r="AC10" i="2"/>
  <c r="P10" i="9"/>
  <c r="BO10" i="9"/>
  <c r="G15" i="4"/>
  <c r="R7" i="9"/>
  <c r="M14" i="2"/>
  <c r="N14" i="9"/>
  <c r="I17" i="4"/>
  <c r="O13" i="2"/>
  <c r="U3" i="2"/>
  <c r="AC9" i="2"/>
  <c r="BE11" i="9"/>
  <c r="P9" i="9"/>
  <c r="AB13" i="4"/>
  <c r="T14" i="7"/>
  <c r="O10" i="4"/>
  <c r="AA14" i="7"/>
  <c r="AG10" i="7"/>
  <c r="U9" i="7"/>
  <c r="M9" i="2"/>
  <c r="AE12" i="9"/>
  <c r="K17" i="4"/>
  <c r="AH20" i="7"/>
  <c r="P15" i="4"/>
  <c r="AH9" i="7"/>
  <c r="N15" i="4"/>
  <c r="AK12" i="9"/>
  <c r="AS9" i="9"/>
  <c r="Q11" i="7"/>
  <c r="Q13" i="7"/>
  <c r="E13" i="7"/>
  <c r="C12" i="9"/>
  <c r="U7" i="9"/>
  <c r="BJ10" i="9"/>
  <c r="V12" i="4"/>
  <c r="J18" i="2"/>
  <c r="F13" i="7"/>
  <c r="AH15" i="7"/>
  <c r="AE15" i="7"/>
  <c r="AJ8" i="9"/>
  <c r="M11" i="4"/>
  <c r="P9" i="4"/>
  <c r="AA11" i="9"/>
  <c r="Q12" i="7"/>
  <c r="U15" i="7"/>
  <c r="D11" i="9"/>
  <c r="AB10" i="2"/>
  <c r="D17" i="4"/>
  <c r="AL18" i="9"/>
  <c r="BB14" i="9"/>
  <c r="AP25" i="9"/>
  <c r="V14" i="4"/>
  <c r="X9" i="2"/>
  <c r="U10" i="4"/>
  <c r="M13" i="4"/>
  <c r="AD14" i="4"/>
  <c r="Y13" i="4"/>
  <c r="E20" i="4"/>
  <c r="AH14" i="2"/>
  <c r="C12" i="7"/>
  <c r="J14" i="2"/>
  <c r="K23" i="4"/>
  <c r="T15" i="9"/>
  <c r="AB14" i="7"/>
  <c r="F11" i="4"/>
  <c r="Z9" i="7"/>
  <c r="AE10" i="2"/>
  <c r="AP12" i="9"/>
  <c r="K26" i="9"/>
  <c r="AK17" i="9"/>
  <c r="AY13" i="9"/>
  <c r="AH11" i="9"/>
  <c r="AH8" i="2"/>
  <c r="H9" i="2"/>
  <c r="H12" i="2"/>
  <c r="M10" i="7"/>
  <c r="C9" i="9"/>
  <c r="AI12" i="9"/>
  <c r="V15" i="4"/>
  <c r="N16" i="7"/>
  <c r="AZ17" i="9"/>
  <c r="X19" i="4"/>
  <c r="BD9" i="9"/>
  <c r="C15" i="2"/>
  <c r="O20" i="4"/>
  <c r="AF16" i="4"/>
  <c r="W9" i="7"/>
  <c r="AT8" i="9"/>
  <c r="AR12" i="9"/>
  <c r="BI7" i="9"/>
  <c r="O3" i="2"/>
  <c r="G18" i="7"/>
  <c r="H10" i="9"/>
  <c r="Z9" i="9"/>
  <c r="L10" i="2"/>
  <c r="T14" i="2"/>
  <c r="D11" i="4"/>
  <c r="P13" i="4"/>
  <c r="R12" i="9"/>
  <c r="G7" i="9"/>
  <c r="D3" i="2"/>
  <c r="AC12" i="9"/>
  <c r="AN10" i="9"/>
  <c r="W12" i="4"/>
  <c r="W39" i="2"/>
  <c r="W26" i="9"/>
  <c r="AJ13" i="9"/>
  <c r="Q12" i="2"/>
  <c r="BF17" i="9"/>
  <c r="AA15" i="4"/>
  <c r="K14" i="7"/>
  <c r="L9" i="2"/>
  <c r="Y10" i="7"/>
  <c r="Y11" i="4"/>
  <c r="Q10" i="4"/>
  <c r="AE10" i="4"/>
  <c r="AD9" i="4"/>
  <c r="AQ15" i="9"/>
  <c r="G26" i="9"/>
  <c r="AF15" i="7"/>
  <c r="BP8" i="9"/>
  <c r="F12" i="2"/>
  <c r="AW10" i="9"/>
  <c r="AH18" i="9"/>
  <c r="I19" i="7"/>
  <c r="M21" i="4"/>
  <c r="AF11" i="7"/>
  <c r="Z24" i="4"/>
  <c r="R13" i="7"/>
  <c r="AD11" i="9"/>
  <c r="H11" i="7"/>
  <c r="AO8" i="9"/>
  <c r="X11" i="9"/>
  <c r="J12" i="9"/>
  <c r="H7" i="9"/>
  <c r="B12" i="9"/>
  <c r="W31" i="2"/>
  <c r="Y14" i="2"/>
  <c r="C10" i="2"/>
  <c r="W11" i="9"/>
  <c r="D17" i="9"/>
  <c r="L18" i="7"/>
  <c r="AP9" i="9"/>
  <c r="L7" i="9"/>
  <c r="AQ7" i="9"/>
  <c r="AB8" i="2"/>
  <c r="BP12" i="9"/>
  <c r="N20" i="7"/>
  <c r="F19" i="7"/>
  <c r="AD13" i="2"/>
  <c r="I11" i="9"/>
  <c r="BP11" i="9"/>
  <c r="Z14" i="7"/>
  <c r="M12" i="4"/>
  <c r="BJ11" i="9"/>
  <c r="H18" i="2"/>
  <c r="J15" i="4"/>
  <c r="BJ12" i="9"/>
  <c r="AD11" i="7"/>
  <c r="E12" i="4"/>
  <c r="Q13" i="2"/>
  <c r="I18" i="2"/>
  <c r="G14" i="4"/>
  <c r="M11" i="7"/>
  <c r="AK9" i="9"/>
  <c r="K14" i="2"/>
  <c r="X17" i="7"/>
  <c r="V20" i="7"/>
  <c r="C10" i="4"/>
  <c r="T21" i="4"/>
  <c r="AB20" i="4"/>
  <c r="E76" i="2"/>
  <c r="S87" i="7"/>
  <c r="Z28" i="7"/>
  <c r="H53" i="4"/>
  <c r="AB25" i="7"/>
  <c r="AP34" i="9"/>
  <c r="AH17" i="2"/>
  <c r="AR9" i="9"/>
  <c r="D9" i="7"/>
  <c r="H12" i="7"/>
  <c r="G19" i="7"/>
  <c r="BK15" i="9"/>
  <c r="X13" i="4"/>
  <c r="AA12" i="7"/>
  <c r="AA10" i="2"/>
  <c r="AV10" i="9"/>
  <c r="G25" i="9"/>
  <c r="E16" i="7"/>
  <c r="W13" i="4"/>
  <c r="G10" i="2"/>
  <c r="K16" i="4"/>
  <c r="I16" i="2"/>
  <c r="X21" i="7"/>
  <c r="O19" i="4"/>
  <c r="C3" i="7"/>
  <c r="P27" i="4"/>
  <c r="W19" i="4"/>
  <c r="AO17" i="9"/>
  <c r="AK18" i="9"/>
  <c r="AA17" i="9"/>
  <c r="P27" i="9"/>
  <c r="R22" i="7"/>
  <c r="AC16" i="9"/>
  <c r="BL7" i="9"/>
  <c r="AB11" i="7"/>
  <c r="Z19" i="4"/>
  <c r="Q17" i="2"/>
  <c r="AF19" i="7"/>
  <c r="E18" i="4"/>
  <c r="J16" i="9"/>
  <c r="AA10" i="7"/>
  <c r="Z11" i="7"/>
  <c r="I12" i="9"/>
  <c r="F20" i="4"/>
  <c r="F15" i="4"/>
  <c r="V15" i="7"/>
  <c r="Z10" i="9"/>
  <c r="AC3" i="2"/>
  <c r="K3" i="2"/>
  <c r="N12" i="7"/>
  <c r="AA17" i="7"/>
  <c r="AH14" i="9"/>
  <c r="V14" i="9"/>
  <c r="AD16" i="2"/>
  <c r="AN15" i="9"/>
  <c r="AB22" i="9"/>
  <c r="AA16" i="2"/>
  <c r="D13" i="9"/>
  <c r="L17" i="9"/>
  <c r="C15" i="9"/>
  <c r="AD3" i="2"/>
  <c r="BN10" i="9"/>
  <c r="AM9" i="9"/>
  <c r="AG9" i="7"/>
  <c r="AQ13" i="9"/>
  <c r="V17" i="4"/>
  <c r="D16" i="9"/>
  <c r="AH19" i="2"/>
  <c r="P20" i="2"/>
  <c r="BJ14" i="9"/>
  <c r="Y22" i="7"/>
  <c r="E15" i="7"/>
  <c r="L10" i="4"/>
  <c r="Y9" i="2"/>
  <c r="AF16" i="9"/>
  <c r="V3" i="2"/>
  <c r="G15" i="2"/>
  <c r="G10" i="9"/>
  <c r="AE10" i="9"/>
  <c r="M14" i="4"/>
  <c r="BK9" i="9"/>
  <c r="Z9" i="4"/>
  <c r="R11" i="7"/>
  <c r="P10" i="7"/>
  <c r="K11" i="4"/>
  <c r="AQ11" i="9"/>
  <c r="AA15" i="7"/>
  <c r="Y8" i="9"/>
  <c r="AZ11" i="9"/>
  <c r="AO13" i="9"/>
  <c r="G14" i="2"/>
  <c r="AG21" i="7"/>
  <c r="AH25" i="2"/>
  <c r="B13" i="7"/>
  <c r="AS7" i="9"/>
  <c r="H12" i="4"/>
  <c r="Q9" i="2"/>
  <c r="AB10" i="7"/>
  <c r="D10" i="4"/>
  <c r="L15" i="4"/>
  <c r="AA7" i="9"/>
  <c r="K12" i="4"/>
  <c r="AB7" i="9"/>
  <c r="X9" i="9"/>
  <c r="AV11" i="9"/>
  <c r="D16" i="2"/>
  <c r="AE12" i="2"/>
  <c r="AG12" i="7"/>
  <c r="AG9" i="4"/>
  <c r="Q13" i="4"/>
  <c r="Y15" i="4"/>
  <c r="T7" i="9"/>
  <c r="AA9" i="7"/>
  <c r="P11" i="7"/>
  <c r="AC15" i="4"/>
  <c r="G10" i="4"/>
  <c r="AA9" i="9"/>
  <c r="AD13" i="4"/>
  <c r="X12" i="9"/>
  <c r="F12" i="4"/>
  <c r="Y10" i="4"/>
  <c r="C10" i="7"/>
  <c r="L10" i="7"/>
  <c r="AB9" i="7"/>
  <c r="BI10" i="9"/>
  <c r="H13" i="7"/>
  <c r="R15" i="4"/>
  <c r="AD12" i="7"/>
  <c r="AD7" i="9"/>
  <c r="K9" i="2"/>
  <c r="AB12" i="4"/>
  <c r="Z17" i="9"/>
  <c r="W3" i="2"/>
  <c r="R13" i="2"/>
  <c r="M9" i="9"/>
  <c r="V14" i="7"/>
  <c r="L12" i="9"/>
  <c r="AG9" i="9"/>
  <c r="AC13" i="4"/>
  <c r="BF12" i="9"/>
  <c r="P13" i="7"/>
  <c r="W14" i="9"/>
  <c r="V18" i="7"/>
  <c r="AS10" i="9"/>
  <c r="V21" i="2"/>
  <c r="Z21" i="7"/>
  <c r="O10" i="9"/>
  <c r="AD10" i="9"/>
  <c r="BO8" i="9"/>
  <c r="D11" i="7"/>
  <c r="AM8" i="9"/>
  <c r="H18" i="4"/>
  <c r="Q16" i="4"/>
  <c r="F10" i="9"/>
  <c r="I21" i="4"/>
  <c r="V10" i="9"/>
  <c r="X10" i="7"/>
  <c r="AB15" i="7"/>
  <c r="N10" i="4"/>
  <c r="AZ9" i="9"/>
  <c r="AZ12" i="9"/>
  <c r="BF9" i="9"/>
  <c r="V12" i="9"/>
  <c r="BC16" i="9"/>
  <c r="N19" i="7"/>
  <c r="AC13" i="9"/>
  <c r="L13" i="7"/>
  <c r="AF12" i="2"/>
  <c r="I3" i="2"/>
  <c r="O71" i="7"/>
  <c r="P3" i="2"/>
  <c r="N11" i="7"/>
  <c r="AE9" i="7"/>
  <c r="AG10" i="2"/>
  <c r="AN7" i="9"/>
  <c r="O22" i="9"/>
  <c r="AC20" i="4"/>
  <c r="AZ15" i="9"/>
  <c r="W22" i="2"/>
  <c r="V21" i="9"/>
  <c r="V12" i="7"/>
  <c r="O11" i="4"/>
  <c r="K8" i="9"/>
  <c r="L11" i="7"/>
  <c r="V10" i="2"/>
  <c r="W10" i="9"/>
  <c r="R3" i="2"/>
  <c r="AK10" i="9"/>
  <c r="AF19" i="9"/>
  <c r="K15" i="2"/>
  <c r="V12" i="2"/>
  <c r="G11" i="9"/>
  <c r="BG13" i="9"/>
  <c r="AE15" i="2"/>
  <c r="AP7" i="9"/>
  <c r="X7" i="9"/>
  <c r="AO7" i="9"/>
  <c r="AT9" i="9"/>
  <c r="BE12" i="9"/>
  <c r="AU23" i="9"/>
  <c r="AU16" i="9"/>
  <c r="AE16" i="4"/>
  <c r="BB9" i="9"/>
  <c r="U14" i="4"/>
  <c r="L11" i="9"/>
  <c r="AG10" i="9"/>
  <c r="T9" i="4"/>
  <c r="AB15" i="4"/>
  <c r="O9" i="9"/>
  <c r="AB22" i="7"/>
  <c r="L13" i="4"/>
  <c r="R13" i="4"/>
  <c r="U11" i="4"/>
  <c r="W15" i="4"/>
  <c r="E3" i="2"/>
  <c r="H8" i="9"/>
  <c r="Z12" i="2"/>
  <c r="N10" i="2"/>
  <c r="AH12" i="2"/>
  <c r="BM7" i="9"/>
  <c r="P8" i="9"/>
  <c r="BB12" i="9"/>
  <c r="J10" i="2"/>
  <c r="O16" i="7"/>
  <c r="K21" i="2"/>
  <c r="G16" i="7"/>
  <c r="AL12" i="9"/>
  <c r="B14" i="7"/>
  <c r="K14" i="4"/>
  <c r="O15" i="7"/>
  <c r="J7" i="9"/>
  <c r="K19" i="7"/>
  <c r="G9" i="2"/>
  <c r="P18" i="7"/>
  <c r="D10" i="9"/>
  <c r="W14" i="7"/>
  <c r="U15" i="4"/>
  <c r="AY10" i="9"/>
  <c r="AF12" i="9"/>
  <c r="C17" i="7"/>
  <c r="L8" i="2"/>
  <c r="V29" i="4"/>
  <c r="AK7" i="9"/>
  <c r="P11" i="9"/>
  <c r="AT16" i="9"/>
  <c r="R18" i="7"/>
  <c r="AH12" i="9"/>
  <c r="AF13" i="7"/>
  <c r="W11" i="7"/>
  <c r="R15" i="7"/>
  <c r="BO11" i="9"/>
  <c r="AE16" i="9"/>
  <c r="R20" i="4"/>
  <c r="I21" i="7"/>
  <c r="J13" i="2"/>
  <c r="P13" i="9"/>
  <c r="AD17" i="7"/>
  <c r="AC14" i="2"/>
  <c r="P62" i="4"/>
  <c r="AX18" i="9"/>
  <c r="K20" i="4"/>
  <c r="O14" i="9"/>
  <c r="AH14" i="7"/>
  <c r="B12" i="7"/>
  <c r="AE3" i="2"/>
  <c r="AU12" i="9"/>
  <c r="AV7" i="9"/>
  <c r="Y9" i="4"/>
  <c r="O8" i="9"/>
  <c r="P15" i="9"/>
  <c r="D18" i="7"/>
  <c r="AO10" i="9"/>
  <c r="BB7" i="9"/>
  <c r="AA12" i="2"/>
  <c r="BN9" i="9"/>
  <c r="AC16" i="7"/>
  <c r="X10" i="9"/>
  <c r="AI24" i="9"/>
  <c r="M18" i="9"/>
  <c r="U20" i="4"/>
  <c r="AU26" i="9"/>
  <c r="E28" i="2"/>
  <c r="BD35" i="9"/>
  <c r="C27" i="4"/>
  <c r="F76" i="9"/>
  <c r="J29" i="9"/>
  <c r="X16" i="4"/>
  <c r="M15" i="4"/>
  <c r="T3" i="2"/>
  <c r="Y15" i="7"/>
  <c r="F16" i="2"/>
  <c r="AB19" i="4"/>
  <c r="K10" i="2"/>
  <c r="Z20" i="2"/>
  <c r="Y12" i="9"/>
  <c r="U13" i="4"/>
  <c r="AE10" i="7"/>
  <c r="R9" i="4"/>
  <c r="AO15" i="9"/>
  <c r="N15" i="9"/>
  <c r="U10" i="7"/>
  <c r="L14" i="2"/>
  <c r="AB16" i="7"/>
  <c r="AP14" i="9"/>
  <c r="AB16" i="2"/>
  <c r="BN16" i="9"/>
  <c r="AD3" i="4"/>
  <c r="AL58" i="9"/>
  <c r="H21" i="2"/>
  <c r="G113" i="7"/>
  <c r="J21" i="9"/>
  <c r="R3" i="7"/>
  <c r="P38" i="2"/>
  <c r="P21" i="9"/>
  <c r="U23" i="9"/>
  <c r="AN8" i="9"/>
  <c r="X17" i="4"/>
  <c r="I13" i="7"/>
  <c r="W33" i="9"/>
  <c r="M14" i="9"/>
  <c r="X29" i="7"/>
  <c r="W25" i="7"/>
  <c r="AD15" i="2"/>
  <c r="BM13" i="9"/>
  <c r="BO18" i="9"/>
  <c r="J71" i="9"/>
  <c r="AG11" i="4"/>
  <c r="J12" i="7"/>
  <c r="F8" i="2"/>
  <c r="AC21" i="4"/>
  <c r="T10" i="2"/>
  <c r="Z13" i="4"/>
  <c r="W14" i="4"/>
  <c r="BH7" i="9"/>
  <c r="J10" i="4"/>
  <c r="J14" i="7"/>
  <c r="AE14" i="4"/>
  <c r="AY7" i="9"/>
  <c r="N12" i="9"/>
  <c r="B19" i="4"/>
  <c r="C14" i="9"/>
  <c r="C14" i="4"/>
  <c r="BJ8" i="9"/>
  <c r="Q8" i="2"/>
  <c r="AF9" i="7"/>
  <c r="O9" i="2"/>
  <c r="AM11" i="9"/>
  <c r="AG25" i="7"/>
  <c r="BC10" i="9"/>
  <c r="E15" i="4"/>
  <c r="BI8" i="9"/>
  <c r="O9" i="7"/>
  <c r="AG13" i="4"/>
  <c r="BG12" i="9"/>
  <c r="AQ8" i="9"/>
  <c r="T14" i="4"/>
  <c r="AC12" i="7"/>
  <c r="BD11" i="9"/>
  <c r="K13" i="7"/>
  <c r="BG8" i="9"/>
  <c r="BG18" i="9"/>
  <c r="F9" i="9"/>
  <c r="K17" i="7"/>
  <c r="AB8" i="9"/>
  <c r="AG11" i="7"/>
  <c r="AN13" i="9"/>
  <c r="B10" i="7"/>
  <c r="B13" i="9"/>
  <c r="Z7" i="9"/>
  <c r="X12" i="2"/>
  <c r="AH17" i="7"/>
  <c r="AH16" i="2"/>
  <c r="Q8" i="9"/>
  <c r="AH7" i="9"/>
  <c r="G12" i="9"/>
  <c r="J12" i="2"/>
  <c r="AU15" i="9"/>
  <c r="AU11" i="9"/>
  <c r="AS15" i="9"/>
  <c r="P10" i="2"/>
  <c r="X3" i="2"/>
  <c r="G3" i="2"/>
  <c r="N18" i="4"/>
  <c r="X18" i="2"/>
  <c r="BI12" i="9"/>
  <c r="AJ7" i="9"/>
  <c r="G11" i="7"/>
  <c r="AD13" i="7"/>
  <c r="AV12" i="9"/>
  <c r="BK8" i="9"/>
  <c r="O11" i="7"/>
  <c r="AF13" i="9"/>
  <c r="U9" i="4"/>
  <c r="AO9" i="9"/>
  <c r="BE7" i="9"/>
  <c r="AE21" i="7"/>
  <c r="B9" i="9"/>
  <c r="O12" i="2"/>
  <c r="AQ14" i="9"/>
  <c r="K12" i="2"/>
  <c r="Z10" i="2"/>
  <c r="AE12" i="7"/>
  <c r="AO12" i="9"/>
  <c r="Z15" i="7"/>
  <c r="F14" i="9"/>
  <c r="J18" i="4"/>
  <c r="X16" i="9"/>
  <c r="BJ23" i="9"/>
  <c r="K11" i="7"/>
  <c r="U10" i="9"/>
  <c r="W20" i="4"/>
  <c r="AA18" i="7"/>
  <c r="D15" i="4"/>
  <c r="AI15" i="9"/>
  <c r="Y17" i="4"/>
  <c r="Z13" i="7"/>
  <c r="BM11" i="9"/>
  <c r="O31" i="9"/>
  <c r="H11" i="4"/>
  <c r="AD12" i="4"/>
  <c r="AC18" i="4"/>
  <c r="L120" i="7"/>
  <c r="AF17" i="2"/>
  <c r="C23" i="9"/>
  <c r="AW19" i="9"/>
  <c r="AQ29" i="9"/>
  <c r="J9" i="4"/>
  <c r="AN17" i="9"/>
  <c r="K10" i="4"/>
  <c r="Y16" i="7"/>
  <c r="P9" i="2"/>
  <c r="BI11" i="9"/>
  <c r="R33" i="7"/>
  <c r="AA8" i="2"/>
  <c r="AW13" i="9"/>
  <c r="BH14" i="9"/>
  <c r="AA25" i="4"/>
  <c r="N232" i="7"/>
  <c r="X8" i="2"/>
  <c r="H17" i="2"/>
  <c r="AC25" i="7"/>
  <c r="AI17" i="9"/>
  <c r="AJ10" i="9"/>
  <c r="B9" i="2"/>
  <c r="BD7" i="9"/>
  <c r="AM13" i="9"/>
  <c r="R14" i="4"/>
  <c r="AG18" i="2"/>
  <c r="U25" i="4"/>
  <c r="AW23" i="9"/>
  <c r="AG26" i="4"/>
  <c r="AO18" i="9"/>
  <c r="E11" i="7"/>
  <c r="O15" i="2"/>
  <c r="N7" i="9"/>
  <c r="L55" i="4"/>
  <c r="AS26" i="9"/>
  <c r="BP15" i="9"/>
  <c r="L9" i="9"/>
  <c r="P8" i="2"/>
  <c r="W12" i="9"/>
  <c r="AL16" i="9"/>
  <c r="AS13" i="9"/>
  <c r="AF26" i="4"/>
  <c r="Y14" i="9"/>
  <c r="AD19" i="2"/>
  <c r="BC23" i="9"/>
  <c r="N17" i="2"/>
  <c r="C43" i="4"/>
  <c r="U19" i="2"/>
  <c r="C26" i="7"/>
  <c r="G27" i="4"/>
  <c r="Q24" i="4"/>
  <c r="AG24" i="2"/>
  <c r="Z11" i="4"/>
  <c r="AW11" i="9"/>
  <c r="L19" i="2"/>
  <c r="Z13" i="2"/>
  <c r="D23" i="2"/>
  <c r="Y3" i="4"/>
  <c r="E33" i="2"/>
  <c r="BF20" i="9"/>
  <c r="AP30" i="9"/>
  <c r="V19" i="4"/>
  <c r="AH23" i="9"/>
  <c r="T25" i="7"/>
  <c r="G23" i="4"/>
  <c r="AD21" i="7"/>
  <c r="I25" i="2"/>
  <c r="C39" i="2"/>
  <c r="AP53" i="9"/>
  <c r="D146" i="4"/>
  <c r="G43" i="2"/>
  <c r="C9" i="4"/>
  <c r="W31" i="4"/>
  <c r="AE26" i="2"/>
  <c r="AG27" i="2"/>
  <c r="T21" i="7"/>
  <c r="M3" i="7"/>
  <c r="D41" i="7"/>
  <c r="J13" i="9"/>
  <c r="J25" i="2"/>
  <c r="X26" i="7"/>
  <c r="Q21" i="9"/>
  <c r="B60" i="9"/>
  <c r="AE14" i="2"/>
  <c r="C116" i="4"/>
  <c r="L52" i="9"/>
  <c r="P14" i="2"/>
  <c r="J23" i="2"/>
  <c r="AD27" i="7"/>
  <c r="B86" i="9"/>
  <c r="AJ50" i="9"/>
  <c r="Z28" i="9"/>
  <c r="K267" i="7"/>
  <c r="AQ61" i="9"/>
  <c r="AC18" i="9"/>
  <c r="AE16" i="2"/>
  <c r="Q26" i="9"/>
  <c r="D32" i="4"/>
  <c r="F15" i="2"/>
  <c r="B19" i="7"/>
  <c r="E16" i="9"/>
  <c r="BH8" i="9"/>
  <c r="O17" i="7"/>
  <c r="I12" i="7"/>
  <c r="Q21" i="7"/>
  <c r="J15" i="2"/>
  <c r="AE3" i="7"/>
  <c r="BD17" i="9"/>
  <c r="B106" i="7"/>
  <c r="F32" i="9"/>
  <c r="BF16" i="9"/>
  <c r="Q26" i="7"/>
  <c r="U18" i="4"/>
  <c r="D19" i="7"/>
  <c r="AL17" i="9"/>
  <c r="W34" i="7"/>
  <c r="AG15" i="9"/>
  <c r="F133" i="7"/>
  <c r="O23" i="7"/>
  <c r="AV81" i="9"/>
  <c r="AX40" i="9"/>
  <c r="H29" i="9"/>
  <c r="D54" i="7"/>
  <c r="Y34" i="7"/>
  <c r="Q56" i="4"/>
  <c r="BC3" i="9"/>
  <c r="C19" i="7"/>
  <c r="AG13" i="2"/>
  <c r="BC13" i="9"/>
  <c r="BH16" i="9"/>
  <c r="O23" i="4"/>
  <c r="I14" i="9"/>
  <c r="BB22" i="9"/>
  <c r="BK10" i="9"/>
  <c r="AW15" i="9"/>
  <c r="M16" i="4"/>
  <c r="AK16" i="9"/>
  <c r="O43" i="4"/>
  <c r="O41" i="4"/>
  <c r="AR20" i="9"/>
  <c r="AX26" i="9"/>
  <c r="N194" i="4"/>
  <c r="V25" i="2"/>
  <c r="R59" i="2"/>
  <c r="AE27" i="4"/>
  <c r="K20" i="2"/>
  <c r="H23" i="7"/>
  <c r="BB28" i="9"/>
  <c r="B18" i="7"/>
  <c r="T22" i="9"/>
  <c r="AF3" i="4"/>
  <c r="AB23" i="2"/>
  <c r="J25" i="4"/>
  <c r="U30" i="9"/>
  <c r="E210" i="4"/>
  <c r="AB22" i="2"/>
  <c r="N98" i="7"/>
  <c r="V26" i="4"/>
  <c r="U82" i="2"/>
  <c r="Q32" i="2"/>
  <c r="AK34" i="9"/>
  <c r="C41" i="2"/>
  <c r="M42" i="7"/>
  <c r="U21" i="4"/>
  <c r="AA31" i="7"/>
  <c r="P34" i="7"/>
  <c r="U12" i="4"/>
  <c r="H13" i="4"/>
  <c r="M13" i="7"/>
  <c r="D9" i="4"/>
  <c r="Z14" i="4"/>
  <c r="K8" i="2"/>
  <c r="Z14" i="2"/>
  <c r="I17" i="2"/>
  <c r="AC14" i="4"/>
  <c r="AD9" i="7"/>
  <c r="O7" i="9"/>
  <c r="AB12" i="7"/>
  <c r="G9" i="9"/>
  <c r="E12" i="2"/>
  <c r="Y17" i="7"/>
  <c r="E9" i="7"/>
  <c r="BM9" i="9"/>
  <c r="AP8" i="9"/>
  <c r="AB10" i="4"/>
  <c r="M11" i="9"/>
  <c r="AQ9" i="9"/>
  <c r="U9" i="9"/>
  <c r="P14" i="7"/>
  <c r="P15" i="7"/>
  <c r="V8" i="2"/>
  <c r="V9" i="9"/>
  <c r="J13" i="7"/>
  <c r="V30" i="7"/>
  <c r="K13" i="9"/>
  <c r="R17" i="4"/>
  <c r="AH10" i="2"/>
  <c r="R8" i="9"/>
  <c r="P14" i="9"/>
  <c r="C14" i="2"/>
  <c r="X13" i="9"/>
  <c r="M8" i="9"/>
  <c r="AE9" i="9"/>
  <c r="H16" i="4"/>
  <c r="H20" i="7"/>
  <c r="BL8" i="9"/>
  <c r="T10" i="7"/>
  <c r="AX7" i="9"/>
  <c r="AR11" i="9"/>
  <c r="O11" i="9"/>
  <c r="AF15" i="4"/>
  <c r="L17" i="7"/>
  <c r="I15" i="7"/>
  <c r="P12" i="7"/>
  <c r="AF12" i="4"/>
  <c r="T13" i="4"/>
  <c r="R19" i="7"/>
  <c r="U12" i="7"/>
  <c r="D10" i="7"/>
  <c r="AE12" i="4"/>
  <c r="D15" i="7"/>
  <c r="Z18" i="4"/>
  <c r="E17" i="4"/>
  <c r="AG19" i="4"/>
  <c r="N16" i="2"/>
  <c r="AD8" i="9"/>
  <c r="J11" i="9"/>
  <c r="AC14" i="9"/>
  <c r="Q11" i="4"/>
  <c r="Q12" i="9"/>
  <c r="R11" i="9"/>
  <c r="G21" i="4"/>
  <c r="Q11" i="9"/>
  <c r="AF9" i="4"/>
  <c r="AF7" i="9"/>
  <c r="W12" i="7"/>
  <c r="Z3" i="2"/>
  <c r="BL15" i="9"/>
  <c r="T19" i="2"/>
  <c r="P17" i="7"/>
  <c r="R10" i="9"/>
  <c r="D12" i="7"/>
  <c r="K12" i="9"/>
  <c r="AI18" i="9"/>
  <c r="AB18" i="7"/>
  <c r="Y12" i="4"/>
  <c r="AH9" i="2"/>
  <c r="AS12" i="9"/>
  <c r="O14" i="7"/>
  <c r="E18" i="7"/>
  <c r="I12" i="2"/>
  <c r="T9" i="9"/>
  <c r="H14" i="2"/>
  <c r="AL15" i="9"/>
  <c r="C27" i="9"/>
  <c r="AC16" i="2"/>
  <c r="Q34" i="2"/>
  <c r="C204" i="4"/>
  <c r="E11" i="4"/>
  <c r="U34" i="2"/>
  <c r="AE7" i="9"/>
  <c r="AM7" i="9"/>
  <c r="AB16" i="4"/>
  <c r="N3" i="2"/>
  <c r="AH12" i="7"/>
  <c r="N13" i="7"/>
  <c r="H13" i="2"/>
  <c r="E16" i="4"/>
  <c r="AD17" i="4"/>
  <c r="L23" i="4"/>
  <c r="O19" i="2"/>
  <c r="R10" i="2"/>
  <c r="AR7" i="9"/>
  <c r="BP14" i="9"/>
  <c r="I15" i="9"/>
  <c r="P7" i="9"/>
  <c r="U27" i="4"/>
  <c r="AM10" i="9"/>
  <c r="Y21" i="7"/>
  <c r="W18" i="4"/>
  <c r="G17" i="4"/>
  <c r="N21" i="4"/>
  <c r="K29" i="7"/>
  <c r="Q21" i="4"/>
  <c r="AW21" i="9"/>
  <c r="AD12" i="9"/>
  <c r="AB3" i="2"/>
  <c r="P16" i="7"/>
  <c r="H15" i="2"/>
  <c r="BD13" i="9"/>
  <c r="AD3" i="9"/>
  <c r="AJ12" i="9"/>
  <c r="W19" i="7"/>
  <c r="N10" i="7"/>
  <c r="O16" i="2"/>
  <c r="K19" i="4"/>
  <c r="AR13" i="9"/>
  <c r="AL10" i="9"/>
  <c r="U33" i="2"/>
  <c r="AK21" i="9"/>
  <c r="Z17" i="4"/>
  <c r="AG27" i="4"/>
  <c r="AF25" i="7"/>
  <c r="R71" i="4"/>
  <c r="G15" i="9"/>
  <c r="B23" i="7"/>
  <c r="B25" i="2"/>
  <c r="BG7" i="9"/>
  <c r="L12" i="2"/>
  <c r="AS18" i="9"/>
  <c r="C20" i="7"/>
  <c r="Z16" i="7"/>
  <c r="N8" i="9"/>
  <c r="B66" i="9"/>
  <c r="P21" i="7"/>
  <c r="M20" i="7"/>
  <c r="AD14" i="9"/>
  <c r="BJ3" i="9"/>
  <c r="D25" i="2"/>
  <c r="AD18" i="4"/>
  <c r="T16" i="9"/>
  <c r="R62" i="2"/>
  <c r="Z13" i="9"/>
  <c r="AM22" i="9"/>
  <c r="Q23" i="7"/>
  <c r="G27" i="9"/>
  <c r="B11" i="9"/>
  <c r="J3" i="2"/>
  <c r="X20" i="4"/>
  <c r="AC16" i="4"/>
  <c r="I18" i="7"/>
  <c r="I53" i="2"/>
  <c r="AE21" i="4"/>
  <c r="F19" i="4"/>
  <c r="G228" i="4"/>
  <c r="L22" i="4"/>
  <c r="BG27" i="9"/>
  <c r="Z31" i="7"/>
  <c r="Q34" i="4"/>
  <c r="I27" i="4"/>
  <c r="O40" i="9"/>
  <c r="D122" i="7"/>
  <c r="B30" i="4"/>
  <c r="O25" i="7"/>
  <c r="X23" i="4"/>
  <c r="C16" i="2"/>
  <c r="E26" i="4"/>
  <c r="V17" i="2"/>
  <c r="AC27" i="4"/>
  <c r="AF16" i="2"/>
  <c r="AE18" i="9"/>
  <c r="AA14" i="2"/>
  <c r="M17" i="2"/>
  <c r="K104" i="2"/>
  <c r="U15" i="2"/>
  <c r="K30" i="9"/>
  <c r="AB14" i="4"/>
  <c r="BH10" i="9"/>
  <c r="AD10" i="7"/>
  <c r="B21" i="7"/>
  <c r="J15" i="9"/>
  <c r="G18" i="9"/>
  <c r="D19" i="9"/>
  <c r="G110" i="7"/>
  <c r="X34" i="4"/>
  <c r="R92" i="4"/>
  <c r="AC15" i="2"/>
  <c r="V21" i="7"/>
  <c r="H16" i="2"/>
  <c r="B110" i="2"/>
  <c r="D27" i="7"/>
  <c r="B20" i="4"/>
  <c r="L21" i="9"/>
  <c r="AG13" i="9"/>
  <c r="K160" i="4"/>
  <c r="G41" i="4"/>
  <c r="AA27" i="7"/>
  <c r="M20" i="9"/>
  <c r="AC22" i="9"/>
  <c r="H24" i="2"/>
  <c r="U25" i="2"/>
  <c r="AA17" i="4"/>
  <c r="I24" i="9"/>
  <c r="K18" i="2"/>
  <c r="N29" i="7"/>
  <c r="AR23" i="9"/>
  <c r="F14" i="2"/>
  <c r="AY17" i="9"/>
  <c r="J10" i="7"/>
  <c r="T19" i="4"/>
  <c r="AG15" i="4"/>
  <c r="P76" i="4"/>
  <c r="M30" i="7"/>
  <c r="AY31" i="9"/>
  <c r="AD11" i="2"/>
  <c r="Q24" i="2"/>
  <c r="T23" i="2"/>
  <c r="T23" i="7"/>
  <c r="AG11" i="2"/>
  <c r="BI13" i="9"/>
  <c r="AB20" i="2"/>
  <c r="BK16" i="9"/>
  <c r="N18" i="9"/>
  <c r="X16" i="7"/>
  <c r="U16" i="2"/>
  <c r="E27" i="2"/>
  <c r="AA24" i="7"/>
  <c r="J37" i="9"/>
  <c r="BB66" i="9"/>
  <c r="AA3" i="7"/>
  <c r="L25" i="7"/>
  <c r="AY15" i="9"/>
  <c r="N45" i="9"/>
  <c r="K189" i="7"/>
  <c r="K268" i="4"/>
  <c r="Q17" i="9"/>
  <c r="T77" i="9"/>
  <c r="U3" i="4"/>
  <c r="AH19" i="7"/>
  <c r="AA13" i="2"/>
  <c r="N151" i="4"/>
  <c r="AB10" i="9"/>
  <c r="J8" i="9"/>
  <c r="Y14" i="4"/>
  <c r="BH12" i="9"/>
  <c r="Y13" i="7"/>
  <c r="AN12" i="9"/>
  <c r="G15" i="7"/>
  <c r="X14" i="4"/>
  <c r="U14" i="7"/>
  <c r="E7" i="9"/>
  <c r="D8" i="9"/>
  <c r="C12" i="2"/>
  <c r="C3" i="2"/>
  <c r="G9" i="7"/>
  <c r="U8" i="2"/>
  <c r="H16" i="9"/>
  <c r="L9" i="4"/>
  <c r="G13" i="4"/>
  <c r="BK11" i="9"/>
  <c r="B12" i="4"/>
  <c r="BO9" i="9"/>
  <c r="B17" i="4"/>
  <c r="AC17" i="7"/>
  <c r="G11" i="4"/>
  <c r="W14" i="2"/>
  <c r="K10" i="7"/>
  <c r="T15" i="4"/>
  <c r="E8" i="9"/>
  <c r="M15" i="2"/>
  <c r="O13" i="7"/>
  <c r="Z15" i="4"/>
  <c r="I14" i="7"/>
  <c r="E9" i="9"/>
  <c r="AG14" i="4"/>
  <c r="D13" i="7"/>
  <c r="U17" i="7"/>
  <c r="F18" i="9"/>
  <c r="AH8" i="9"/>
  <c r="Q10" i="9"/>
  <c r="I9" i="4"/>
  <c r="V16" i="2"/>
  <c r="BB8" i="9"/>
  <c r="Y10" i="9"/>
  <c r="X15" i="9"/>
  <c r="AO69" i="9"/>
  <c r="Q28" i="2"/>
  <c r="B15" i="2"/>
  <c r="AR10" i="9"/>
  <c r="J14" i="4"/>
  <c r="D16" i="7"/>
  <c r="AG20" i="7"/>
  <c r="AF19" i="4"/>
  <c r="BD12" i="9"/>
  <c r="T20" i="4"/>
  <c r="G16" i="4"/>
  <c r="T8" i="2"/>
  <c r="AB21" i="2"/>
  <c r="BG15" i="9"/>
  <c r="D253" i="4"/>
  <c r="X18" i="4"/>
  <c r="B34" i="9"/>
  <c r="T27" i="7"/>
  <c r="Y14" i="7"/>
  <c r="AC11" i="9"/>
  <c r="AD15" i="4"/>
  <c r="I16" i="4"/>
  <c r="I14" i="2"/>
  <c r="AH16" i="7"/>
  <c r="U84" i="7"/>
  <c r="Q25" i="2"/>
  <c r="K13" i="4"/>
  <c r="AA9" i="2"/>
  <c r="M27" i="7"/>
  <c r="F18" i="4"/>
  <c r="T13" i="2"/>
  <c r="R18" i="4"/>
  <c r="P13" i="2"/>
  <c r="X22" i="2"/>
  <c r="AG16" i="7"/>
  <c r="D12" i="4"/>
  <c r="AA35" i="7"/>
  <c r="Z11" i="2"/>
  <c r="AP29" i="9"/>
  <c r="AD25" i="9"/>
  <c r="AB17" i="4"/>
  <c r="AO14" i="9"/>
  <c r="J38" i="7"/>
  <c r="F272" i="7"/>
  <c r="D39" i="7"/>
  <c r="W38" i="4"/>
  <c r="V23" i="2"/>
  <c r="BI3" i="9"/>
  <c r="AS23" i="9"/>
  <c r="E42" i="7"/>
  <c r="AC21" i="7"/>
  <c r="C19" i="2"/>
  <c r="BH15" i="9"/>
  <c r="O23" i="2"/>
  <c r="L27" i="2"/>
  <c r="I40" i="4"/>
  <c r="AC13" i="2"/>
  <c r="AJ3" i="9"/>
  <c r="O143" i="4"/>
  <c r="AI26" i="9"/>
  <c r="W23" i="2"/>
  <c r="F62" i="9"/>
  <c r="AC23" i="9"/>
  <c r="U16" i="4"/>
  <c r="V20" i="9"/>
  <c r="N60" i="9"/>
  <c r="AU21" i="9"/>
  <c r="Z19" i="7"/>
  <c r="W15" i="2"/>
  <c r="E27" i="4"/>
  <c r="AX25" i="9"/>
  <c r="AD20" i="4"/>
  <c r="D21" i="7"/>
  <c r="AZ19" i="9"/>
  <c r="AA24" i="4"/>
  <c r="AQ25" i="9"/>
  <c r="M26" i="2"/>
  <c r="M232" i="4"/>
  <c r="G29" i="2"/>
  <c r="AQ35" i="9"/>
  <c r="O33" i="7"/>
  <c r="G19" i="4"/>
  <c r="X26" i="4"/>
  <c r="AF18" i="9"/>
  <c r="V24" i="9"/>
  <c r="B16" i="7"/>
  <c r="AD26" i="7"/>
  <c r="AA3" i="2"/>
  <c r="Q3" i="2"/>
  <c r="AX14" i="9"/>
  <c r="M21" i="7"/>
  <c r="G18" i="4"/>
  <c r="G3" i="4"/>
  <c r="I19" i="4"/>
  <c r="BB20" i="9"/>
  <c r="U39" i="7"/>
  <c r="I21" i="2"/>
  <c r="O227" i="4"/>
  <c r="BM18" i="9"/>
  <c r="C20" i="4"/>
  <c r="BK23" i="9"/>
  <c r="W17" i="2"/>
  <c r="AA23" i="2"/>
  <c r="AM37" i="9"/>
  <c r="C37" i="7"/>
  <c r="AH26" i="7"/>
  <c r="J39" i="9"/>
  <c r="X28" i="4"/>
  <c r="E23" i="2"/>
  <c r="AR30" i="9"/>
  <c r="Z15" i="9"/>
  <c r="W32" i="9"/>
  <c r="AI43" i="9"/>
  <c r="AN91" i="9"/>
  <c r="Q35" i="4"/>
  <c r="J98" i="4"/>
  <c r="BD28" i="9"/>
  <c r="G34" i="4"/>
  <c r="K43" i="7"/>
  <c r="C40" i="9"/>
  <c r="E259" i="4"/>
  <c r="T12" i="4"/>
  <c r="AK11" i="9"/>
  <c r="Z16" i="4"/>
  <c r="Z18" i="9"/>
  <c r="AH15" i="9"/>
  <c r="R16" i="4"/>
  <c r="AX22" i="9"/>
  <c r="M17" i="9"/>
  <c r="V42" i="7"/>
  <c r="L25" i="2"/>
  <c r="BE22" i="9"/>
  <c r="L27" i="4"/>
  <c r="I23" i="9"/>
  <c r="F131" i="7"/>
  <c r="G22" i="7"/>
  <c r="AA22" i="2"/>
  <c r="N25" i="4"/>
  <c r="R54" i="7"/>
  <c r="AD22" i="2"/>
  <c r="AK30" i="9"/>
  <c r="AU34" i="9"/>
  <c r="AF24" i="2"/>
  <c r="D263" i="4"/>
  <c r="M24" i="7"/>
  <c r="BE17" i="9"/>
  <c r="AS40" i="9"/>
  <c r="M19" i="2"/>
  <c r="N65" i="2"/>
  <c r="BI20" i="9"/>
  <c r="BL20" i="9"/>
  <c r="AJ25" i="9"/>
  <c r="U14" i="2"/>
  <c r="H19" i="4"/>
  <c r="AJ32" i="9"/>
  <c r="AJ17" i="9"/>
  <c r="N39" i="7"/>
  <c r="E218" i="7"/>
  <c r="O25" i="9"/>
  <c r="AD3" i="7"/>
  <c r="P18" i="9"/>
  <c r="AL46" i="9"/>
  <c r="R29" i="9"/>
  <c r="K23" i="9"/>
  <c r="I23" i="7"/>
  <c r="X21" i="4"/>
  <c r="Z24" i="2"/>
  <c r="H10" i="7"/>
  <c r="B18" i="9"/>
  <c r="K25" i="7"/>
  <c r="AE25" i="7"/>
  <c r="O18" i="2"/>
  <c r="M63" i="9"/>
  <c r="AY18" i="9"/>
  <c r="F26" i="2"/>
  <c r="AA25" i="7"/>
  <c r="N26" i="9"/>
  <c r="I25" i="7"/>
  <c r="F51" i="4"/>
  <c r="Z25" i="7"/>
  <c r="O28" i="7"/>
  <c r="BO13" i="9"/>
  <c r="E29" i="2"/>
  <c r="Q26" i="2"/>
  <c r="AX10" i="9"/>
  <c r="B8" i="9"/>
  <c r="BJ13" i="9"/>
  <c r="E14" i="2"/>
  <c r="Y17" i="9"/>
  <c r="E40" i="2"/>
  <c r="AR16" i="9"/>
  <c r="BD18" i="9"/>
  <c r="L24" i="2"/>
  <c r="E19" i="4"/>
  <c r="AW18" i="9"/>
  <c r="L78" i="2"/>
  <c r="E28" i="7"/>
  <c r="O24" i="4"/>
  <c r="N32" i="7"/>
  <c r="L231" i="7"/>
  <c r="H38" i="4"/>
  <c r="BD29" i="9"/>
  <c r="BM17" i="9"/>
  <c r="J73" i="2"/>
  <c r="I32" i="9"/>
  <c r="I22" i="7"/>
  <c r="C33" i="2"/>
  <c r="N183" i="7"/>
  <c r="Z28" i="2"/>
  <c r="G232" i="7"/>
  <c r="BE18" i="9"/>
  <c r="I34" i="4"/>
  <c r="C147" i="4"/>
  <c r="B22" i="9"/>
  <c r="AG7" i="9"/>
  <c r="AC17" i="4"/>
  <c r="AL13" i="9"/>
  <c r="C21" i="7"/>
  <c r="E21" i="9"/>
  <c r="N31" i="7"/>
  <c r="AE20" i="7"/>
  <c r="D22" i="2"/>
  <c r="U34" i="4"/>
  <c r="C38" i="7"/>
  <c r="N61" i="7"/>
  <c r="T11" i="2"/>
  <c r="AB27" i="9"/>
  <c r="F38" i="4"/>
  <c r="M106" i="7"/>
  <c r="L23" i="9"/>
  <c r="F27" i="7"/>
  <c r="H129" i="4"/>
  <c r="AM24" i="9"/>
  <c r="N13" i="9"/>
  <c r="I15" i="2"/>
  <c r="AH22" i="7"/>
  <c r="I16" i="7"/>
  <c r="N55" i="7"/>
  <c r="O63" i="9"/>
  <c r="AJ91" i="9"/>
  <c r="M21" i="2"/>
  <c r="M7" i="9"/>
  <c r="AU9" i="9"/>
  <c r="K15" i="4"/>
  <c r="H17" i="9"/>
  <c r="AR49" i="9"/>
  <c r="B17" i="7"/>
  <c r="R18" i="2"/>
  <c r="E13" i="9"/>
  <c r="AR59" i="9"/>
  <c r="G138" i="7"/>
  <c r="AA32" i="7"/>
  <c r="AD17" i="9"/>
  <c r="U87" i="2"/>
  <c r="M30" i="2"/>
  <c r="Y22" i="2"/>
  <c r="O16" i="9"/>
  <c r="J20" i="2"/>
  <c r="V38" i="4"/>
  <c r="AE3" i="4"/>
  <c r="BH28" i="9"/>
  <c r="M81" i="7"/>
  <c r="BP3" i="9"/>
  <c r="T22" i="7"/>
  <c r="J18" i="7"/>
  <c r="O21" i="2"/>
  <c r="M31" i="7"/>
  <c r="N217" i="4"/>
  <c r="AQ21" i="9"/>
  <c r="F53" i="2"/>
  <c r="G73" i="9"/>
  <c r="X22" i="7"/>
  <c r="P16" i="2"/>
  <c r="AE17" i="7"/>
  <c r="O13" i="9"/>
  <c r="E17" i="2"/>
  <c r="BE21" i="9"/>
  <c r="AP19" i="9"/>
  <c r="AN14" i="9"/>
  <c r="AH24" i="4"/>
  <c r="F67" i="7"/>
  <c r="AQ51" i="9"/>
  <c r="F26" i="4"/>
  <c r="BK24" i="9"/>
  <c r="X24" i="7"/>
  <c r="B39" i="7"/>
  <c r="AM106" i="9"/>
  <c r="AG20" i="9"/>
  <c r="AI14" i="9"/>
  <c r="AG16" i="9"/>
  <c r="M47" i="7"/>
  <c r="BC17" i="9"/>
  <c r="K17" i="2"/>
  <c r="N14" i="2"/>
  <c r="B14" i="9"/>
  <c r="W30" i="7"/>
  <c r="U36" i="7"/>
  <c r="Q51" i="7"/>
  <c r="G37" i="4"/>
  <c r="O53" i="2"/>
  <c r="AD9" i="2"/>
  <c r="BK22" i="9"/>
  <c r="Q19" i="7"/>
  <c r="AC19" i="4"/>
  <c r="P21" i="4"/>
  <c r="O16" i="4"/>
  <c r="K19" i="2"/>
  <c r="AA14" i="9"/>
  <c r="AT43" i="9"/>
  <c r="M33" i="4"/>
  <c r="F17" i="9"/>
  <c r="I17" i="9"/>
  <c r="AJ15" i="9"/>
  <c r="P29" i="2"/>
  <c r="L26" i="9"/>
  <c r="AC15" i="9"/>
  <c r="AT38" i="9"/>
  <c r="AT15" i="9"/>
  <c r="F37" i="9"/>
  <c r="F108" i="9"/>
  <c r="M81" i="4"/>
  <c r="M37" i="2"/>
  <c r="W25" i="9"/>
  <c r="Y3" i="9"/>
  <c r="P28" i="9"/>
  <c r="BI23" i="9"/>
  <c r="E51" i="7"/>
  <c r="X25" i="2"/>
  <c r="B230" i="7"/>
  <c r="AX66" i="9"/>
  <c r="M32" i="7"/>
  <c r="P19" i="7"/>
  <c r="AA21" i="7"/>
  <c r="N27" i="7"/>
  <c r="BJ25" i="9"/>
  <c r="AA21" i="2"/>
  <c r="AG23" i="9"/>
  <c r="X23" i="2"/>
  <c r="J20" i="4"/>
  <c r="G16" i="9"/>
  <c r="E26" i="7"/>
  <c r="H30" i="7"/>
  <c r="X19" i="7"/>
  <c r="X19" i="2"/>
  <c r="W30" i="4"/>
  <c r="L29" i="2"/>
  <c r="AF8" i="9"/>
  <c r="M16" i="7"/>
  <c r="AD19" i="4"/>
  <c r="L26" i="7"/>
  <c r="U28" i="4"/>
  <c r="L19" i="9"/>
  <c r="D19" i="2"/>
  <c r="AB27" i="4"/>
  <c r="AT23" i="9"/>
  <c r="I32" i="2"/>
  <c r="L16" i="7"/>
  <c r="AP45" i="9"/>
  <c r="N66" i="9"/>
  <c r="AJ84" i="9"/>
  <c r="AE15" i="9"/>
  <c r="P39" i="2"/>
  <c r="G237" i="7"/>
  <c r="F102" i="2"/>
  <c r="C22" i="4"/>
  <c r="Y23" i="7"/>
  <c r="AB18" i="4"/>
  <c r="Q39" i="4"/>
  <c r="L67" i="7"/>
  <c r="I20" i="9"/>
  <c r="AJ26" i="9"/>
  <c r="AA23" i="4"/>
  <c r="W20" i="2"/>
  <c r="O24" i="9"/>
  <c r="L137" i="7"/>
  <c r="AD23" i="4"/>
  <c r="E177" i="4"/>
  <c r="AN72" i="9"/>
  <c r="G208" i="4"/>
  <c r="F30" i="2"/>
  <c r="L130" i="7"/>
  <c r="D27" i="2"/>
  <c r="BG30" i="9"/>
  <c r="J48" i="4"/>
  <c r="BF3" i="9"/>
  <c r="E31" i="4"/>
  <c r="AL91" i="9"/>
  <c r="H40" i="9"/>
  <c r="BB73" i="9"/>
  <c r="N69" i="9"/>
  <c r="J50" i="2"/>
  <c r="C110" i="9"/>
  <c r="F151" i="7"/>
  <c r="E23" i="7"/>
  <c r="J19" i="2"/>
  <c r="E49" i="7"/>
  <c r="E41" i="7"/>
  <c r="AA26" i="7"/>
  <c r="N17" i="4"/>
  <c r="X20" i="9"/>
  <c r="AD21" i="4"/>
  <c r="V17" i="9"/>
  <c r="D26" i="9"/>
  <c r="D25" i="7"/>
  <c r="O92" i="2"/>
  <c r="Q36" i="2"/>
  <c r="AY23" i="9"/>
  <c r="F42" i="7"/>
  <c r="N28" i="4"/>
  <c r="Q30" i="9"/>
  <c r="X27" i="2"/>
  <c r="E3" i="7"/>
  <c r="H39" i="4"/>
  <c r="AX30" i="9"/>
  <c r="Y33" i="7"/>
  <c r="AM58" i="9"/>
  <c r="H42" i="4"/>
  <c r="N46" i="9"/>
  <c r="I69" i="2"/>
  <c r="F63" i="4"/>
  <c r="O175" i="4"/>
  <c r="E135" i="4"/>
  <c r="H65" i="4"/>
  <c r="F58" i="2"/>
  <c r="R27" i="2"/>
  <c r="AK93" i="9"/>
  <c r="BK20" i="9"/>
  <c r="AH25" i="7"/>
  <c r="P35" i="7"/>
  <c r="E34" i="9"/>
  <c r="D13" i="2"/>
  <c r="AC19" i="7"/>
  <c r="F16" i="4"/>
  <c r="AT77" i="9"/>
  <c r="AA13" i="9"/>
  <c r="H35" i="2"/>
  <c r="G38" i="7"/>
  <c r="E226" i="4"/>
  <c r="H45" i="9"/>
  <c r="O155" i="4"/>
  <c r="O27" i="9"/>
  <c r="H25" i="4"/>
  <c r="Z25" i="4"/>
  <c r="BP20" i="9"/>
  <c r="Q51" i="9"/>
  <c r="B71" i="2"/>
  <c r="BJ20" i="9"/>
  <c r="AV60" i="9"/>
  <c r="E41" i="2"/>
  <c r="B125" i="7"/>
  <c r="AQ88" i="9"/>
  <c r="O51" i="4"/>
  <c r="O105" i="4"/>
  <c r="Y35" i="7"/>
  <c r="D240" i="4"/>
  <c r="M57" i="4"/>
  <c r="T87" i="7"/>
  <c r="H252" i="7"/>
  <c r="AL19" i="9"/>
  <c r="N45" i="2"/>
  <c r="BE8" i="9"/>
  <c r="P18" i="4"/>
  <c r="AA20" i="9"/>
  <c r="B16" i="9"/>
  <c r="M25" i="4"/>
  <c r="F24" i="9"/>
  <c r="N91" i="4"/>
  <c r="AC11" i="4"/>
  <c r="BC8" i="9"/>
  <c r="F10" i="2"/>
  <c r="U12" i="9"/>
  <c r="W11" i="4"/>
  <c r="B15" i="4"/>
  <c r="AD10" i="2"/>
  <c r="X9" i="7"/>
  <c r="U11" i="9"/>
  <c r="R11" i="4"/>
  <c r="R8" i="2"/>
  <c r="L14" i="7"/>
  <c r="T11" i="7"/>
  <c r="Z12" i="9"/>
  <c r="L14" i="4"/>
  <c r="F16" i="7"/>
  <c r="T26" i="2"/>
  <c r="AC14" i="7"/>
  <c r="Y20" i="7"/>
  <c r="R9" i="2"/>
  <c r="R12" i="7"/>
  <c r="AN11" i="9"/>
  <c r="V13" i="2"/>
  <c r="BG10" i="9"/>
  <c r="AG14" i="9"/>
  <c r="Z10" i="7"/>
  <c r="E10" i="7"/>
  <c r="AU14" i="9"/>
  <c r="Z33" i="7"/>
  <c r="BH9" i="9"/>
  <c r="F14" i="7"/>
  <c r="E10" i="9"/>
  <c r="W20" i="7"/>
  <c r="AG9" i="2"/>
  <c r="AC12" i="2"/>
  <c r="BF26" i="9"/>
  <c r="W10" i="7"/>
  <c r="AT10" i="9"/>
  <c r="N21" i="7"/>
  <c r="F11" i="9"/>
  <c r="AG18" i="9"/>
  <c r="U10" i="2"/>
  <c r="Z26" i="7"/>
  <c r="R18" i="9"/>
  <c r="AX16" i="9"/>
  <c r="BF13" i="9"/>
  <c r="Q15" i="9"/>
  <c r="AJ9" i="9"/>
  <c r="G13" i="7"/>
  <c r="J9" i="9"/>
  <c r="AR18" i="9"/>
  <c r="BF21" i="9"/>
  <c r="J13" i="4"/>
  <c r="N24" i="7"/>
  <c r="Y8" i="2"/>
  <c r="AL9" i="9"/>
  <c r="T19" i="7"/>
  <c r="W13" i="2"/>
  <c r="W28" i="4"/>
  <c r="B12" i="2"/>
  <c r="V19" i="7"/>
  <c r="G19" i="2"/>
  <c r="M12" i="2"/>
  <c r="H8" i="2"/>
  <c r="N13" i="4"/>
  <c r="AB20" i="7"/>
  <c r="T26" i="7"/>
  <c r="E15" i="9"/>
  <c r="AT17" i="9"/>
  <c r="AR26" i="9"/>
  <c r="I14" i="4"/>
  <c r="K9" i="4"/>
  <c r="AH21" i="7"/>
  <c r="L14" i="9"/>
  <c r="T18" i="2"/>
  <c r="K24" i="9"/>
  <c r="T27" i="4"/>
  <c r="Y23" i="9"/>
  <c r="X24" i="9"/>
  <c r="I12" i="4"/>
  <c r="BC25" i="9"/>
  <c r="AG14" i="2"/>
  <c r="AE18" i="2"/>
  <c r="AH27" i="2"/>
  <c r="H21" i="4"/>
  <c r="T21" i="2"/>
  <c r="L18" i="2"/>
  <c r="AG3" i="4"/>
  <c r="I26" i="7"/>
  <c r="AP20" i="9"/>
  <c r="M175" i="4"/>
  <c r="G13" i="2"/>
  <c r="H26" i="7"/>
  <c r="N19" i="9"/>
  <c r="J18" i="9"/>
  <c r="H10" i="2"/>
  <c r="Q19" i="2"/>
  <c r="AC20" i="7"/>
  <c r="J37" i="4"/>
  <c r="F19" i="2"/>
  <c r="E29" i="9"/>
  <c r="R108" i="4"/>
  <c r="AB3" i="7"/>
  <c r="P39" i="9"/>
  <c r="L16" i="9"/>
  <c r="H132" i="4"/>
  <c r="BB57" i="9"/>
  <c r="AE24" i="4"/>
  <c r="AX13" i="9"/>
  <c r="AE19" i="7"/>
  <c r="H10" i="4"/>
  <c r="Z20" i="4"/>
  <c r="J24" i="9"/>
  <c r="AP16" i="9"/>
  <c r="AJ94" i="9"/>
  <c r="C34" i="7"/>
  <c r="J16" i="4"/>
  <c r="AB18" i="9"/>
  <c r="D42" i="2"/>
  <c r="BH17" i="9"/>
  <c r="AN31" i="9"/>
  <c r="C37" i="9"/>
  <c r="P85" i="9"/>
  <c r="E20" i="2"/>
  <c r="T46" i="7"/>
  <c r="Y13" i="9"/>
  <c r="BL17" i="9"/>
  <c r="AQ18" i="9"/>
  <c r="AC25" i="4"/>
  <c r="Z3" i="4"/>
  <c r="AD12" i="2"/>
  <c r="C19" i="4"/>
  <c r="D16" i="4"/>
  <c r="L32" i="9"/>
  <c r="T35" i="9"/>
  <c r="AK26" i="9"/>
  <c r="AI20" i="9"/>
  <c r="AE20" i="4"/>
  <c r="BN13" i="9"/>
  <c r="AP17" i="9"/>
  <c r="BM16" i="9"/>
  <c r="AD26" i="2"/>
  <c r="AN30" i="9"/>
  <c r="W18" i="7"/>
  <c r="BJ22" i="9"/>
  <c r="AM25" i="9"/>
  <c r="N204" i="7"/>
  <c r="L19" i="7"/>
  <c r="O102" i="4"/>
  <c r="AH24" i="7"/>
  <c r="M23" i="9"/>
  <c r="AV74" i="9"/>
  <c r="U17" i="9"/>
  <c r="AM17" i="9"/>
  <c r="AH23" i="7"/>
  <c r="U32" i="4"/>
  <c r="AK32" i="9"/>
  <c r="AA19" i="7"/>
  <c r="O37" i="9"/>
  <c r="I77" i="2"/>
  <c r="D45" i="9"/>
  <c r="E136" i="7"/>
  <c r="AH22" i="9"/>
  <c r="H56" i="2"/>
  <c r="M153" i="7"/>
  <c r="Q12" i="4"/>
  <c r="B15" i="9"/>
  <c r="D26" i="4"/>
  <c r="AE26" i="4"/>
  <c r="Q37" i="4"/>
  <c r="AJ28" i="9"/>
  <c r="K240" i="7"/>
  <c r="O17" i="4"/>
  <c r="AJ29" i="9"/>
  <c r="AZ25" i="9"/>
  <c r="G101" i="9"/>
  <c r="AB13" i="9"/>
  <c r="G17" i="7"/>
  <c r="V15" i="2"/>
  <c r="BB74" i="9"/>
  <c r="BN18" i="9"/>
  <c r="T43" i="4"/>
  <c r="U38" i="7"/>
  <c r="N185" i="7"/>
  <c r="AH18" i="2"/>
  <c r="Z26" i="2"/>
  <c r="R61" i="9"/>
  <c r="D74" i="2"/>
  <c r="AF11" i="2"/>
  <c r="T22" i="2"/>
  <c r="AQ32" i="9"/>
  <c r="V25" i="7"/>
  <c r="AA34" i="4"/>
  <c r="AI25" i="9"/>
  <c r="P21" i="2"/>
  <c r="K24" i="4"/>
  <c r="C13" i="9"/>
  <c r="AH22" i="4"/>
  <c r="AG26" i="2"/>
  <c r="T51" i="7"/>
  <c r="W16" i="2"/>
  <c r="AY16" i="9"/>
  <c r="Z32" i="4"/>
  <c r="I23" i="2"/>
  <c r="BD16" i="9"/>
  <c r="C45" i="7"/>
  <c r="AO95" i="9"/>
  <c r="AY28" i="9"/>
  <c r="U14" i="9"/>
  <c r="J27" i="7"/>
  <c r="Q24" i="9"/>
  <c r="BE9" i="9"/>
  <c r="AG23" i="7"/>
  <c r="H26" i="2"/>
  <c r="J27" i="2"/>
  <c r="F236" i="7"/>
  <c r="D44" i="2"/>
  <c r="BJ15" i="9"/>
  <c r="G25" i="4"/>
  <c r="U17" i="2"/>
  <c r="Q27" i="4"/>
  <c r="AA33" i="2"/>
  <c r="W27" i="4"/>
  <c r="F31" i="7"/>
  <c r="H80" i="4"/>
  <c r="K61" i="7"/>
  <c r="G13" i="9"/>
  <c r="W8" i="9"/>
  <c r="Q23" i="2"/>
  <c r="D31" i="9"/>
  <c r="AK24" i="9"/>
  <c r="AD24" i="7"/>
  <c r="D22" i="4"/>
  <c r="Q19" i="9"/>
  <c r="AP24" i="9"/>
  <c r="Z35" i="7"/>
  <c r="N72" i="9"/>
  <c r="AB29" i="4"/>
  <c r="AK41" i="9"/>
  <c r="BD15" i="9"/>
  <c r="AA19" i="4"/>
  <c r="J33" i="4"/>
  <c r="L39" i="4"/>
  <c r="F82" i="9"/>
  <c r="AC11" i="2"/>
  <c r="U42" i="7"/>
  <c r="E221" i="7"/>
  <c r="AS19" i="9"/>
  <c r="R22" i="9"/>
  <c r="AT45" i="9"/>
  <c r="P34" i="4"/>
  <c r="AL29" i="9"/>
  <c r="O26" i="9"/>
  <c r="AT84" i="9"/>
  <c r="AD21" i="2"/>
  <c r="M22" i="7"/>
  <c r="Y30" i="2"/>
  <c r="J102" i="4"/>
  <c r="X15" i="4"/>
  <c r="K16" i="7"/>
  <c r="V14" i="2"/>
  <c r="R34" i="2"/>
  <c r="J54" i="9"/>
  <c r="T50" i="4"/>
  <c r="BD14" i="9"/>
  <c r="W21" i="7"/>
  <c r="W27" i="7"/>
  <c r="F28" i="2"/>
  <c r="R40" i="7"/>
  <c r="O78" i="9"/>
  <c r="B55" i="4"/>
  <c r="E206" i="7"/>
  <c r="AB30" i="7"/>
  <c r="AH27" i="4"/>
  <c r="AE19" i="2"/>
  <c r="D17" i="7"/>
  <c r="AE19" i="9"/>
  <c r="BO14" i="9"/>
  <c r="W23" i="9"/>
  <c r="C17" i="2"/>
  <c r="M165" i="4"/>
  <c r="F17" i="2"/>
  <c r="Q24" i="7"/>
  <c r="AL31" i="9"/>
  <c r="H61" i="9"/>
  <c r="V11" i="4"/>
  <c r="AW8" i="9"/>
  <c r="G10" i="7"/>
  <c r="W21" i="4"/>
  <c r="AH17" i="9"/>
  <c r="M15" i="9"/>
  <c r="C175" i="7"/>
  <c r="Q14" i="9"/>
  <c r="AD13" i="9"/>
  <c r="P17" i="9"/>
  <c r="N107" i="4"/>
  <c r="X18" i="7"/>
  <c r="T17" i="7"/>
  <c r="F23" i="4"/>
  <c r="F56" i="4"/>
  <c r="X17" i="9"/>
  <c r="BN20" i="9"/>
  <c r="R28" i="7"/>
  <c r="U27" i="7"/>
  <c r="E64" i="2"/>
  <c r="X34" i="9"/>
  <c r="AA18" i="9"/>
  <c r="AA33" i="4"/>
  <c r="Q43" i="4"/>
  <c r="BI19" i="9"/>
  <c r="T28" i="9"/>
  <c r="R17" i="7"/>
  <c r="T41" i="2"/>
  <c r="G36" i="9"/>
  <c r="AD27" i="4"/>
  <c r="BM3" i="9"/>
  <c r="L21" i="4"/>
  <c r="AA19" i="2"/>
  <c r="AA24" i="9"/>
  <c r="J17" i="4"/>
  <c r="L121" i="4"/>
  <c r="AV70" i="9"/>
  <c r="AH21" i="4"/>
  <c r="AA20" i="7"/>
  <c r="N32" i="4"/>
  <c r="H38" i="7"/>
  <c r="O101" i="7"/>
  <c r="Z30" i="2"/>
  <c r="L126" i="7"/>
  <c r="B23" i="9"/>
  <c r="BC29" i="9"/>
  <c r="V9" i="7"/>
  <c r="R32" i="9"/>
  <c r="AT14" i="9"/>
  <c r="Q18" i="7"/>
  <c r="AU18" i="9"/>
  <c r="M24" i="4"/>
  <c r="AF17" i="9"/>
  <c r="M16" i="9"/>
  <c r="T93" i="4"/>
  <c r="R32" i="7"/>
  <c r="V31" i="4"/>
  <c r="C27" i="7"/>
  <c r="K19" i="9"/>
  <c r="BJ7" i="9"/>
  <c r="F20" i="2"/>
  <c r="L21" i="7"/>
  <c r="G22" i="2"/>
  <c r="AC25" i="2"/>
  <c r="BH20" i="9"/>
  <c r="M102" i="9"/>
  <c r="Y18" i="4"/>
  <c r="L18" i="4"/>
  <c r="AU19" i="9"/>
  <c r="U28" i="2"/>
  <c r="AB14" i="9"/>
  <c r="M18" i="7"/>
  <c r="O34" i="2"/>
  <c r="E39" i="4"/>
  <c r="AD21" i="9"/>
  <c r="B97" i="4"/>
  <c r="G33" i="7"/>
  <c r="H23" i="4"/>
  <c r="J28" i="9"/>
  <c r="H55" i="9"/>
  <c r="M29" i="7"/>
  <c r="AV15" i="9"/>
  <c r="AB26" i="7"/>
  <c r="AA24" i="2"/>
  <c r="Z3" i="7"/>
  <c r="AP38" i="9"/>
  <c r="G21" i="9"/>
  <c r="AO20" i="9"/>
  <c r="O133" i="4"/>
  <c r="AW16" i="9"/>
  <c r="AB21" i="7"/>
  <c r="L30" i="7"/>
  <c r="R13" i="9"/>
  <c r="E26" i="9"/>
  <c r="AT40" i="9"/>
  <c r="J25" i="9"/>
  <c r="H129" i="7"/>
  <c r="AA16" i="7"/>
  <c r="BI16" i="9"/>
  <c r="AB11" i="2"/>
  <c r="C30" i="7"/>
  <c r="O96" i="9"/>
  <c r="AU79" i="9"/>
  <c r="AF26" i="2"/>
  <c r="F24" i="4"/>
  <c r="Y9" i="7"/>
  <c r="BL13" i="9"/>
  <c r="J20" i="7"/>
  <c r="AE21" i="9"/>
  <c r="AV71" i="9"/>
  <c r="X25" i="4"/>
  <c r="W15" i="9"/>
  <c r="BM22" i="9"/>
  <c r="U35" i="4"/>
  <c r="U16" i="9"/>
  <c r="BH32" i="9"/>
  <c r="AT52" i="9"/>
  <c r="B95" i="7"/>
  <c r="I31" i="9"/>
  <c r="AK13" i="9"/>
  <c r="J23" i="7"/>
  <c r="AW73" i="9"/>
  <c r="BC24" i="9"/>
  <c r="L149" i="4"/>
  <c r="W40" i="4"/>
  <c r="N18" i="2"/>
  <c r="U29" i="4"/>
  <c r="Q11" i="2"/>
  <c r="R19" i="9"/>
  <c r="Z14" i="9"/>
  <c r="T20" i="2"/>
  <c r="BB93" i="9"/>
  <c r="O53" i="9"/>
  <c r="H238" i="4"/>
  <c r="C24" i="4"/>
  <c r="AB19" i="2"/>
  <c r="L34" i="7"/>
  <c r="H28" i="2"/>
  <c r="I24" i="7"/>
  <c r="F86" i="4"/>
  <c r="BB26" i="9"/>
  <c r="AY20" i="9"/>
  <c r="I22" i="9"/>
  <c r="U37" i="7"/>
  <c r="Q33" i="4"/>
  <c r="K97" i="2"/>
  <c r="AX29" i="9"/>
  <c r="B43" i="4"/>
  <c r="X36" i="2"/>
  <c r="N29" i="4"/>
  <c r="P40" i="9"/>
  <c r="BB71" i="9"/>
  <c r="N156" i="4"/>
  <c r="B25" i="9"/>
  <c r="I81" i="2"/>
  <c r="H34" i="9"/>
  <c r="U18" i="9"/>
  <c r="J19" i="7"/>
  <c r="Y23" i="4"/>
  <c r="AG16" i="4"/>
  <c r="E33" i="7"/>
  <c r="F23" i="9"/>
  <c r="AP105" i="9"/>
  <c r="J46" i="9"/>
  <c r="AO24" i="9"/>
  <c r="N71" i="2"/>
  <c r="G20" i="7"/>
  <c r="B26" i="9"/>
  <c r="H85" i="7"/>
  <c r="AD25" i="7"/>
  <c r="G33" i="9"/>
  <c r="B29" i="9"/>
  <c r="R26" i="4"/>
  <c r="U78" i="2"/>
  <c r="F43" i="4"/>
  <c r="T28" i="7"/>
  <c r="AA30" i="9"/>
  <c r="O34" i="7"/>
  <c r="Y36" i="2"/>
  <c r="D194" i="4"/>
  <c r="C32" i="9"/>
  <c r="M31" i="4"/>
  <c r="AN83" i="9"/>
  <c r="K42" i="4"/>
  <c r="W24" i="4"/>
  <c r="N20" i="2"/>
  <c r="AC26" i="4"/>
  <c r="B67" i="2"/>
  <c r="W10" i="2"/>
  <c r="AF20" i="7"/>
  <c r="AD14" i="2"/>
  <c r="J43" i="4"/>
  <c r="I58" i="9"/>
  <c r="AH23" i="4"/>
  <c r="F19" i="9"/>
  <c r="AV94" i="9"/>
  <c r="L28" i="2"/>
  <c r="AR32" i="9"/>
  <c r="E60" i="7"/>
  <c r="AG18" i="4"/>
  <c r="BK21" i="9"/>
  <c r="B13" i="2"/>
  <c r="BJ21" i="9"/>
  <c r="AF23" i="2"/>
  <c r="AY50" i="9"/>
  <c r="B47" i="9"/>
  <c r="C98" i="4"/>
  <c r="AO43" i="9"/>
  <c r="K24" i="2"/>
  <c r="H36" i="4"/>
  <c r="F3" i="7"/>
  <c r="H167" i="4"/>
  <c r="AI85" i="9"/>
  <c r="AZ27" i="9"/>
  <c r="P55" i="7"/>
  <c r="BG29" i="9"/>
  <c r="M25" i="9"/>
  <c r="H33" i="9"/>
  <c r="J93" i="4"/>
  <c r="P12" i="2"/>
  <c r="T37" i="4"/>
  <c r="W25" i="4"/>
  <c r="E18" i="9"/>
  <c r="BF18" i="9"/>
  <c r="AR25" i="9"/>
  <c r="AD22" i="9"/>
  <c r="AQ10" i="9"/>
  <c r="AV9" i="9"/>
  <c r="Z12" i="7"/>
  <c r="AX8" i="9"/>
  <c r="T8" i="9"/>
  <c r="X10" i="4"/>
  <c r="T9" i="7"/>
  <c r="AF10" i="2"/>
  <c r="AF11" i="9"/>
  <c r="K11" i="9"/>
  <c r="X8" i="9"/>
  <c r="E11" i="9"/>
  <c r="Q17" i="4"/>
  <c r="BO7" i="9"/>
  <c r="AF9" i="2"/>
  <c r="H11" i="9"/>
  <c r="BE10" i="9"/>
  <c r="AE13" i="7"/>
  <c r="AG12" i="2"/>
  <c r="K10" i="9"/>
  <c r="L20" i="7"/>
  <c r="C16" i="9"/>
  <c r="AB14" i="2"/>
  <c r="K9" i="7"/>
  <c r="T16" i="4"/>
  <c r="BB13" i="9"/>
  <c r="BJ17" i="9"/>
  <c r="AA11" i="7"/>
  <c r="N14" i="7"/>
  <c r="M97" i="9"/>
  <c r="AA16" i="4"/>
  <c r="M3" i="2"/>
  <c r="L10" i="9"/>
  <c r="AD16" i="7"/>
  <c r="F15" i="9"/>
  <c r="U21" i="9"/>
  <c r="BN11" i="9"/>
  <c r="AZ14" i="9"/>
  <c r="V21" i="4"/>
  <c r="C17" i="4"/>
  <c r="X15" i="2"/>
  <c r="AV16" i="9"/>
  <c r="AC22" i="4"/>
  <c r="AF21" i="7"/>
  <c r="Y20" i="4"/>
  <c r="M34" i="7"/>
  <c r="B22" i="7"/>
  <c r="U16" i="7"/>
  <c r="G23" i="9"/>
  <c r="J46" i="4"/>
  <c r="AN84" i="9"/>
  <c r="Y29" i="7"/>
  <c r="D23" i="4"/>
  <c r="F162" i="7"/>
  <c r="AR15" i="9"/>
  <c r="U25" i="7"/>
  <c r="H14" i="9"/>
  <c r="W18" i="2"/>
  <c r="AT54" i="9"/>
  <c r="AD18" i="9"/>
  <c r="AW44" i="9"/>
  <c r="D22" i="9"/>
  <c r="E25" i="9"/>
  <c r="AZ18" i="9"/>
  <c r="J19" i="4"/>
  <c r="BG17" i="9"/>
  <c r="Y18" i="7"/>
  <c r="X17" i="2"/>
  <c r="L15" i="2"/>
  <c r="AF19" i="2"/>
  <c r="P84" i="9"/>
  <c r="AS17" i="9"/>
  <c r="M19" i="7"/>
  <c r="E21" i="4"/>
  <c r="AK15" i="9"/>
  <c r="B177" i="7"/>
  <c r="T30" i="9"/>
  <c r="X21" i="9"/>
  <c r="F27" i="2"/>
  <c r="AA20" i="4"/>
  <c r="T29" i="4"/>
  <c r="J17" i="9"/>
  <c r="L15" i="9"/>
  <c r="BP10" i="9"/>
  <c r="T17" i="4"/>
  <c r="AF18" i="4"/>
  <c r="G26" i="7"/>
  <c r="Y27" i="7"/>
  <c r="AV82" i="9"/>
  <c r="F18" i="2"/>
  <c r="X32" i="4"/>
  <c r="K16" i="2"/>
  <c r="W41" i="7"/>
  <c r="L36" i="7"/>
  <c r="H100" i="9"/>
  <c r="O43" i="9"/>
  <c r="J16" i="2"/>
  <c r="AI37" i="9"/>
  <c r="K12" i="7"/>
  <c r="U26" i="4"/>
  <c r="B256" i="7"/>
  <c r="F17" i="7"/>
  <c r="AK27" i="9"/>
  <c r="K3" i="7"/>
  <c r="BM21" i="9"/>
  <c r="AO33" i="9"/>
  <c r="Z25" i="9"/>
  <c r="U29" i="9"/>
  <c r="R24" i="2"/>
  <c r="AE13" i="9"/>
  <c r="K18" i="4"/>
  <c r="L213" i="7"/>
  <c r="I16" i="9"/>
  <c r="O103" i="9"/>
  <c r="BK12" i="9"/>
  <c r="O19" i="9"/>
  <c r="AA33" i="7"/>
  <c r="J27" i="9"/>
  <c r="N27" i="2"/>
  <c r="AB16" i="9"/>
  <c r="O18" i="7"/>
  <c r="C28" i="9"/>
  <c r="AT20" i="9"/>
  <c r="I59" i="4"/>
  <c r="AA31" i="4"/>
  <c r="K33" i="9"/>
  <c r="AF23" i="7"/>
  <c r="AN22" i="9"/>
  <c r="AS24" i="9"/>
  <c r="Y29" i="2"/>
  <c r="Y16" i="4"/>
  <c r="E23" i="4"/>
  <c r="G21" i="2"/>
  <c r="AF22" i="4"/>
  <c r="H40" i="2"/>
  <c r="F161" i="4"/>
  <c r="Y19" i="7"/>
  <c r="F12" i="7"/>
  <c r="BH18" i="9"/>
  <c r="V19" i="9"/>
  <c r="I20" i="4"/>
  <c r="W26" i="2"/>
  <c r="F148" i="7"/>
  <c r="D8" i="2"/>
  <c r="B11" i="7"/>
  <c r="O28" i="9"/>
  <c r="C13" i="2"/>
  <c r="AH13" i="9"/>
  <c r="B96" i="2"/>
  <c r="AF18" i="2"/>
  <c r="AU68" i="9"/>
  <c r="AB18" i="2"/>
  <c r="Y31" i="7"/>
  <c r="I25" i="4"/>
  <c r="P30" i="2"/>
  <c r="E19" i="9"/>
  <c r="Z30" i="7"/>
  <c r="R35" i="9"/>
  <c r="R10" i="7"/>
  <c r="BK18" i="9"/>
  <c r="D18" i="9"/>
  <c r="D41" i="4"/>
  <c r="AC23" i="4"/>
  <c r="T38" i="2"/>
  <c r="BD21" i="9"/>
  <c r="Q31" i="4"/>
  <c r="AW12" i="9"/>
  <c r="B16" i="2"/>
  <c r="AB3" i="4"/>
  <c r="M13" i="9"/>
  <c r="AG23" i="2"/>
  <c r="AT63" i="9"/>
  <c r="N37" i="7"/>
  <c r="AM19" i="9"/>
  <c r="AA15" i="2"/>
  <c r="AQ22" i="9"/>
  <c r="BI18" i="9"/>
  <c r="R27" i="4"/>
  <c r="G27" i="7"/>
  <c r="B96" i="9"/>
  <c r="BM25" i="9"/>
  <c r="K272" i="4"/>
  <c r="K22" i="4"/>
  <c r="G189" i="7"/>
  <c r="BI26" i="9"/>
  <c r="V27" i="4"/>
  <c r="BH25" i="9"/>
  <c r="BO23" i="9"/>
  <c r="N17" i="7"/>
  <c r="Q14" i="2"/>
  <c r="V18" i="9"/>
  <c r="AM20" i="9"/>
  <c r="Z26" i="4"/>
  <c r="E18" i="2"/>
  <c r="G26" i="2"/>
  <c r="Z29" i="7"/>
  <c r="J17" i="7"/>
  <c r="E13" i="2"/>
  <c r="E22" i="4"/>
  <c r="R90" i="4"/>
  <c r="J52" i="7"/>
  <c r="I87" i="7"/>
  <c r="T30" i="4"/>
  <c r="AK73" i="9"/>
  <c r="G30" i="9"/>
  <c r="M8" i="2"/>
  <c r="M30" i="9"/>
  <c r="H19" i="2"/>
  <c r="C34" i="4"/>
  <c r="U32" i="9"/>
  <c r="K245" i="4"/>
  <c r="AC17" i="2"/>
  <c r="BB24" i="9"/>
  <c r="AL27" i="9"/>
  <c r="F97" i="2"/>
  <c r="K17" i="9"/>
  <c r="J40" i="9"/>
  <c r="Q43" i="9"/>
  <c r="O30" i="4"/>
  <c r="C152" i="7"/>
  <c r="C197" i="4"/>
  <c r="BG26" i="9"/>
  <c r="Q19" i="4"/>
  <c r="BO15" i="9"/>
  <c r="Q97" i="2"/>
  <c r="BG20" i="9"/>
  <c r="R27" i="7"/>
  <c r="AW101" i="9"/>
  <c r="M259" i="7"/>
  <c r="M176" i="4"/>
  <c r="U38" i="2"/>
  <c r="B130" i="7"/>
  <c r="M37" i="4"/>
  <c r="Y21" i="2"/>
  <c r="AO19" i="9"/>
  <c r="AP39" i="9"/>
  <c r="I35" i="4"/>
  <c r="Z9" i="2"/>
  <c r="J20" i="9"/>
  <c r="AM81" i="9"/>
  <c r="F40" i="7"/>
  <c r="C107" i="2"/>
  <c r="AV78" i="9"/>
  <c r="V43" i="4"/>
  <c r="M106" i="9"/>
  <c r="C58" i="9"/>
  <c r="AK101" i="9"/>
  <c r="AT35" i="9"/>
  <c r="B45" i="2"/>
  <c r="G128" i="7"/>
  <c r="H275" i="4"/>
  <c r="T24" i="2"/>
  <c r="F255" i="7"/>
  <c r="R28" i="9"/>
  <c r="O18" i="4"/>
  <c r="M256" i="7"/>
  <c r="K22" i="9"/>
  <c r="O31" i="2"/>
  <c r="AK63" i="9"/>
  <c r="B33" i="4"/>
  <c r="J17" i="2"/>
  <c r="D20" i="2"/>
  <c r="V37" i="2"/>
  <c r="H30" i="9"/>
  <c r="O30" i="7"/>
  <c r="X33" i="7"/>
  <c r="H274" i="7"/>
  <c r="AP62" i="9"/>
  <c r="AH25" i="9"/>
  <c r="I42" i="7"/>
  <c r="M113" i="2"/>
  <c r="AL39" i="9"/>
  <c r="C158" i="7"/>
  <c r="E84" i="2"/>
  <c r="M170" i="4"/>
  <c r="H24" i="9"/>
  <c r="R3" i="9"/>
  <c r="K37" i="4"/>
  <c r="L188" i="7"/>
  <c r="AI21" i="9"/>
  <c r="AI10" i="9"/>
  <c r="AT18" i="9"/>
  <c r="AX27" i="9"/>
  <c r="I23" i="4"/>
  <c r="Y13" i="2"/>
  <c r="B24" i="4"/>
  <c r="J77" i="4"/>
  <c r="T39" i="2"/>
  <c r="BB59" i="9"/>
  <c r="BH13" i="9"/>
  <c r="D157" i="7"/>
  <c r="V15" i="9"/>
  <c r="M27" i="4"/>
  <c r="Y18" i="9"/>
  <c r="N33" i="4"/>
  <c r="AW20" i="9"/>
  <c r="O15" i="9"/>
  <c r="O258" i="4"/>
  <c r="P23" i="4"/>
  <c r="N53" i="7"/>
  <c r="AI27" i="9"/>
  <c r="D128" i="4"/>
  <c r="C49" i="2"/>
  <c r="Z33" i="2"/>
  <c r="AR60" i="9"/>
  <c r="O140" i="4"/>
  <c r="Q38" i="9"/>
  <c r="L34" i="2"/>
  <c r="W39" i="4"/>
  <c r="C41" i="4"/>
  <c r="BD26" i="9"/>
  <c r="AK8" i="9"/>
  <c r="AR14" i="9"/>
  <c r="G36" i="4"/>
  <c r="Y32" i="7"/>
  <c r="AG17" i="7"/>
  <c r="H66" i="9"/>
  <c r="C100" i="7"/>
  <c r="N23" i="7"/>
  <c r="I40" i="2"/>
  <c r="AG22" i="7"/>
  <c r="M59" i="2"/>
  <c r="AH3" i="7"/>
  <c r="I35" i="7"/>
  <c r="Z22" i="4"/>
  <c r="BB3" i="9"/>
  <c r="AM29" i="9"/>
  <c r="T32" i="9"/>
  <c r="N80" i="9"/>
  <c r="BE29" i="9"/>
  <c r="Y3" i="7"/>
  <c r="AS36" i="9"/>
  <c r="K108" i="4"/>
  <c r="R87" i="7"/>
  <c r="G213" i="7"/>
  <c r="AH25" i="4"/>
  <c r="L248" i="4"/>
  <c r="B36" i="4"/>
  <c r="E44" i="7"/>
  <c r="Q40" i="4"/>
  <c r="M29" i="4"/>
  <c r="W19" i="2"/>
  <c r="AJ38" i="9"/>
  <c r="L13" i="2"/>
  <c r="AS20" i="9"/>
  <c r="D106" i="4"/>
  <c r="AH15" i="2"/>
  <c r="T41" i="9"/>
  <c r="U71" i="4"/>
  <c r="W3" i="7"/>
  <c r="Z25" i="2"/>
  <c r="AU24" i="9"/>
  <c r="L13" i="9"/>
  <c r="AU27" i="9"/>
  <c r="E115" i="7"/>
  <c r="U85" i="2"/>
  <c r="G155" i="4"/>
  <c r="AB31" i="4"/>
  <c r="P39" i="4"/>
  <c r="I42" i="2"/>
  <c r="N81" i="2"/>
  <c r="K120" i="4"/>
  <c r="C180" i="7"/>
  <c r="M117" i="7"/>
  <c r="O62" i="4"/>
  <c r="G123" i="4"/>
  <c r="U29" i="7"/>
  <c r="AW46" i="9"/>
  <c r="H23" i="2"/>
  <c r="E14" i="9"/>
  <c r="G275" i="4"/>
  <c r="Q74" i="9"/>
  <c r="E16" i="2"/>
  <c r="C32" i="2"/>
  <c r="AW24" i="9"/>
  <c r="W38" i="7"/>
  <c r="M25" i="2"/>
  <c r="AO94" i="9"/>
  <c r="P32" i="4"/>
  <c r="BO19" i="9"/>
  <c r="T25" i="2"/>
  <c r="J67" i="7"/>
  <c r="K40" i="9"/>
  <c r="D34" i="4"/>
  <c r="AB23" i="4"/>
  <c r="AW104" i="9"/>
  <c r="BM24" i="9"/>
  <c r="AO22" i="9"/>
  <c r="I27" i="2"/>
  <c r="D59" i="7"/>
  <c r="J107" i="4"/>
  <c r="T40" i="7"/>
  <c r="J56" i="7"/>
  <c r="W11" i="2"/>
  <c r="C240" i="7"/>
  <c r="G39" i="4"/>
  <c r="Q65" i="7"/>
  <c r="AI29" i="9"/>
  <c r="D34" i="2"/>
  <c r="R53" i="9"/>
  <c r="C46" i="9"/>
  <c r="C35" i="9"/>
  <c r="W33" i="7"/>
  <c r="E191" i="4"/>
  <c r="C209" i="7"/>
  <c r="AA22" i="4"/>
  <c r="K18" i="9"/>
  <c r="AL21" i="9"/>
  <c r="AH20" i="2"/>
  <c r="R82" i="2"/>
  <c r="I51" i="2"/>
  <c r="W35" i="7"/>
  <c r="AO29" i="9"/>
  <c r="W32" i="2"/>
  <c r="E25" i="2"/>
  <c r="Y11" i="2"/>
  <c r="Y26" i="4"/>
  <c r="K255" i="7"/>
  <c r="H26" i="9"/>
  <c r="B218" i="7"/>
  <c r="C106" i="9"/>
  <c r="AX32" i="9"/>
  <c r="P20" i="9"/>
  <c r="T50" i="7"/>
  <c r="AG25" i="4"/>
  <c r="X31" i="7"/>
  <c r="H27" i="4"/>
  <c r="BB39" i="9"/>
  <c r="AW85" i="9"/>
  <c r="AJ74" i="9"/>
  <c r="P55" i="2"/>
  <c r="N53" i="4"/>
  <c r="AY33" i="9"/>
  <c r="AP73" i="9"/>
  <c r="P83" i="7"/>
  <c r="B109" i="9"/>
  <c r="C83" i="2"/>
  <c r="F81" i="7"/>
  <c r="N197" i="7"/>
  <c r="L38" i="9"/>
  <c r="L58" i="2"/>
  <c r="P88" i="9"/>
  <c r="G239" i="7"/>
  <c r="AJ72" i="9"/>
  <c r="R52" i="4"/>
  <c r="L49" i="2"/>
  <c r="F76" i="7"/>
  <c r="AM54" i="9"/>
  <c r="Z33" i="9"/>
  <c r="AL104" i="9"/>
  <c r="J90" i="4"/>
  <c r="D209" i="4"/>
  <c r="AT58" i="9"/>
  <c r="BM19" i="9"/>
  <c r="O56" i="2"/>
  <c r="D129" i="4"/>
  <c r="P86" i="4"/>
  <c r="D68" i="9"/>
  <c r="P75" i="2"/>
  <c r="AV76" i="9"/>
  <c r="N215" i="4"/>
  <c r="C76" i="4"/>
  <c r="E78" i="2"/>
  <c r="Q98" i="4"/>
  <c r="AT42" i="9"/>
  <c r="P57" i="9"/>
  <c r="M36" i="4"/>
  <c r="F174" i="7"/>
  <c r="C61" i="7"/>
  <c r="B18" i="4"/>
  <c r="U40" i="7"/>
  <c r="O35" i="7"/>
  <c r="B53" i="9"/>
  <c r="B84" i="9"/>
  <c r="I18" i="9"/>
  <c r="P32" i="2"/>
  <c r="T29" i="7"/>
  <c r="B117" i="7"/>
  <c r="H50" i="9"/>
  <c r="Y28" i="9"/>
  <c r="T60" i="9"/>
  <c r="AJ22" i="9"/>
  <c r="O22" i="4"/>
  <c r="E122" i="7"/>
  <c r="Q30" i="2"/>
  <c r="U48" i="4"/>
  <c r="BF25" i="9"/>
  <c r="P96" i="4"/>
  <c r="U52" i="2"/>
  <c r="AZ45" i="9"/>
  <c r="I75" i="4"/>
  <c r="AX69" i="9"/>
  <c r="T79" i="2"/>
  <c r="AX81" i="9"/>
  <c r="AM39" i="9"/>
  <c r="H85" i="2"/>
  <c r="G217" i="7"/>
  <c r="M83" i="4"/>
  <c r="E39" i="2"/>
  <c r="AY57" i="9"/>
  <c r="H225" i="7"/>
  <c r="AR72" i="9"/>
  <c r="AK58" i="9"/>
  <c r="B149" i="7"/>
  <c r="G69" i="2"/>
  <c r="P92" i="2"/>
  <c r="G38" i="4"/>
  <c r="Q73" i="7"/>
  <c r="M163" i="4"/>
  <c r="N274" i="4"/>
  <c r="G67" i="9"/>
  <c r="E110" i="9"/>
  <c r="F11" i="7"/>
  <c r="C8" i="9"/>
  <c r="B10" i="4"/>
  <c r="AL7" i="9"/>
  <c r="T12" i="7"/>
  <c r="F14" i="4"/>
  <c r="G8" i="9"/>
  <c r="I9" i="7"/>
  <c r="Z8" i="9"/>
  <c r="AA10" i="4"/>
  <c r="AE11" i="7"/>
  <c r="AE11" i="9"/>
  <c r="O20" i="9"/>
  <c r="W8" i="2"/>
  <c r="H12" i="9"/>
  <c r="BN12" i="9"/>
  <c r="AA14" i="4"/>
  <c r="AT7" i="9"/>
  <c r="B13" i="4"/>
  <c r="Z17" i="7"/>
  <c r="AG19" i="7"/>
  <c r="AF14" i="7"/>
  <c r="L29" i="4"/>
  <c r="U11" i="7"/>
  <c r="U21" i="7"/>
  <c r="AK14" i="9"/>
  <c r="BE13" i="9"/>
  <c r="E9" i="4"/>
  <c r="AF10" i="9"/>
  <c r="E75" i="9"/>
  <c r="AF20" i="2"/>
  <c r="AH13" i="7"/>
  <c r="T9" i="2"/>
  <c r="F23" i="2"/>
  <c r="G52" i="7"/>
  <c r="L20" i="4"/>
  <c r="T18" i="4"/>
  <c r="AC18" i="2"/>
  <c r="D217" i="4"/>
  <c r="E17" i="9"/>
  <c r="AG8" i="2"/>
  <c r="P19" i="4"/>
  <c r="L51" i="9"/>
  <c r="BG25" i="9"/>
  <c r="V17" i="7"/>
  <c r="BK3" i="9"/>
  <c r="R14" i="9"/>
  <c r="J24" i="2"/>
  <c r="L17" i="4"/>
  <c r="AZ16" i="9"/>
  <c r="AX19" i="9"/>
  <c r="L71" i="9"/>
  <c r="AW48" i="9"/>
  <c r="AE22" i="2"/>
  <c r="O14" i="2"/>
  <c r="I18" i="4"/>
  <c r="J21" i="4"/>
  <c r="M13" i="2"/>
  <c r="AI19" i="9"/>
  <c r="Q15" i="2"/>
  <c r="BG22" i="9"/>
  <c r="P19" i="9"/>
  <c r="AA3" i="9"/>
  <c r="R17" i="9"/>
  <c r="F94" i="4"/>
  <c r="Z21" i="9"/>
  <c r="AF14" i="2"/>
  <c r="BE20" i="9"/>
  <c r="AB23" i="7"/>
  <c r="Q17" i="7"/>
  <c r="Z32" i="9"/>
  <c r="E54" i="4"/>
  <c r="M99" i="4"/>
  <c r="N65" i="9"/>
  <c r="AD19" i="7"/>
  <c r="L59" i="2"/>
  <c r="E98" i="9"/>
  <c r="O32" i="4"/>
  <c r="B32" i="2"/>
  <c r="AC3" i="4"/>
  <c r="U18" i="2"/>
  <c r="D259" i="4"/>
  <c r="K254" i="7"/>
  <c r="AY11" i="9"/>
  <c r="AB24" i="4"/>
  <c r="AC24" i="2"/>
  <c r="AD15" i="9"/>
  <c r="E24" i="2"/>
  <c r="M18" i="2"/>
  <c r="O30" i="9"/>
  <c r="BL16" i="9"/>
  <c r="N17" i="9"/>
  <c r="AJ36" i="9"/>
  <c r="H31" i="2"/>
  <c r="C134" i="4"/>
  <c r="H19" i="7"/>
  <c r="C65" i="2"/>
  <c r="AE23" i="9"/>
  <c r="AG12" i="4"/>
  <c r="K32" i="7"/>
  <c r="K53" i="7"/>
  <c r="AE18" i="7"/>
  <c r="AU25" i="9"/>
  <c r="K25" i="9"/>
  <c r="Q33" i="9"/>
  <c r="P34" i="2"/>
  <c r="BD10" i="9"/>
  <c r="B23" i="2"/>
  <c r="AI40" i="9"/>
  <c r="T49" i="9"/>
  <c r="E15" i="2"/>
  <c r="R37" i="9"/>
  <c r="K29" i="2"/>
  <c r="AD23" i="2"/>
  <c r="G14" i="7"/>
  <c r="P18" i="2"/>
  <c r="H19" i="9"/>
  <c r="AQ20" i="9"/>
  <c r="Y22" i="4"/>
  <c r="B39" i="4"/>
  <c r="AN29" i="9"/>
  <c r="AW14" i="9"/>
  <c r="AH27" i="7"/>
  <c r="AA28" i="9"/>
  <c r="R27" i="9"/>
  <c r="Q47" i="7"/>
  <c r="AO58" i="9"/>
  <c r="D14" i="9"/>
  <c r="H17" i="7"/>
  <c r="B28" i="7"/>
  <c r="AE18" i="4"/>
  <c r="Y19" i="2"/>
  <c r="Y21" i="4"/>
  <c r="M26" i="7"/>
  <c r="J41" i="4"/>
  <c r="AF15" i="9"/>
  <c r="O20" i="7"/>
  <c r="O12" i="9"/>
  <c r="M17" i="7"/>
  <c r="U33" i="7"/>
  <c r="AN18" i="9"/>
  <c r="X20" i="2"/>
  <c r="U44" i="4"/>
  <c r="M12" i="9"/>
  <c r="N16" i="4"/>
  <c r="G18" i="2"/>
  <c r="N16" i="9"/>
  <c r="D25" i="4"/>
  <c r="F18" i="7"/>
  <c r="K21" i="4"/>
  <c r="P25" i="7"/>
  <c r="U25" i="9"/>
  <c r="P22" i="2"/>
  <c r="BE26" i="9"/>
  <c r="K96" i="7"/>
  <c r="L27" i="9"/>
  <c r="AF24" i="4"/>
  <c r="M88" i="9"/>
  <c r="B15" i="7"/>
  <c r="AQ16" i="9"/>
  <c r="H91" i="9"/>
  <c r="P20" i="4"/>
  <c r="AM21" i="9"/>
  <c r="Q36" i="7"/>
  <c r="W40" i="7"/>
  <c r="F48" i="2"/>
  <c r="AE9" i="4"/>
  <c r="X14" i="9"/>
  <c r="G39" i="9"/>
  <c r="T25" i="4"/>
  <c r="L18" i="9"/>
  <c r="AA31" i="2"/>
  <c r="BH23" i="9"/>
  <c r="D14" i="2"/>
  <c r="AZ22" i="9"/>
  <c r="AE22" i="7"/>
  <c r="K42" i="7"/>
  <c r="J21" i="7"/>
  <c r="Z21" i="4"/>
  <c r="AC24" i="7"/>
  <c r="B44" i="4"/>
  <c r="BF15" i="9"/>
  <c r="AN71" i="9"/>
  <c r="AD24" i="9"/>
  <c r="B26" i="7"/>
  <c r="Y32" i="4"/>
  <c r="AM26" i="9"/>
  <c r="F24" i="2"/>
  <c r="BG16" i="9"/>
  <c r="H40" i="7"/>
  <c r="AK19" i="9"/>
  <c r="F25" i="9"/>
  <c r="H25" i="9"/>
  <c r="O26" i="7"/>
  <c r="F156" i="7"/>
  <c r="D30" i="4"/>
  <c r="B17" i="2"/>
  <c r="AA29" i="9"/>
  <c r="O21" i="7"/>
  <c r="AE20" i="2"/>
  <c r="T32" i="7"/>
  <c r="W16" i="4"/>
  <c r="V26" i="9"/>
  <c r="O27" i="4"/>
  <c r="AE27" i="2"/>
  <c r="I11" i="4"/>
  <c r="N131" i="4"/>
  <c r="F146" i="7"/>
  <c r="D98" i="4"/>
  <c r="M247" i="7"/>
  <c r="AP37" i="9"/>
  <c r="P3" i="9"/>
  <c r="H24" i="7"/>
  <c r="C22" i="2"/>
  <c r="AZ37" i="9"/>
  <c r="N35" i="7"/>
  <c r="F153" i="7"/>
  <c r="N250" i="7"/>
  <c r="B104" i="9"/>
  <c r="BI14" i="9"/>
  <c r="L36" i="2"/>
  <c r="AI22" i="9"/>
  <c r="BN15" i="9"/>
  <c r="AA27" i="2"/>
  <c r="K26" i="4"/>
  <c r="Q72" i="9"/>
  <c r="U24" i="4"/>
  <c r="AW32" i="9"/>
  <c r="R80" i="7"/>
  <c r="C255" i="7"/>
  <c r="J3" i="4"/>
  <c r="U27" i="9"/>
  <c r="N265" i="4"/>
  <c r="AO106" i="9"/>
  <c r="AD27" i="2"/>
  <c r="M19" i="4"/>
  <c r="J59" i="9"/>
  <c r="AG17" i="4"/>
  <c r="P30" i="7"/>
  <c r="Z19" i="9"/>
  <c r="F77" i="7"/>
  <c r="D45" i="4"/>
  <c r="L258" i="4"/>
  <c r="Q31" i="2"/>
  <c r="K34" i="7"/>
  <c r="AE25" i="2"/>
  <c r="K71" i="7"/>
  <c r="AQ30" i="9"/>
  <c r="H209" i="7"/>
  <c r="Y31" i="9"/>
  <c r="AN46" i="9"/>
  <c r="AP94" i="9"/>
  <c r="B24" i="2"/>
  <c r="M26" i="9"/>
  <c r="BD24" i="9"/>
  <c r="F11" i="2"/>
  <c r="B31" i="9"/>
  <c r="AP81" i="9"/>
  <c r="S93" i="7"/>
  <c r="N108" i="7"/>
  <c r="O31" i="7"/>
  <c r="M26" i="4"/>
  <c r="P25" i="2"/>
  <c r="AQ37" i="9"/>
  <c r="L20" i="9"/>
  <c r="M45" i="7"/>
  <c r="G232" i="4"/>
  <c r="B28" i="4"/>
  <c r="O68" i="9"/>
  <c r="G29" i="7"/>
  <c r="E216" i="4"/>
  <c r="M41" i="4"/>
  <c r="D161" i="7"/>
  <c r="AK84" i="9"/>
  <c r="D246" i="4"/>
  <c r="D40" i="2"/>
  <c r="E24" i="9"/>
  <c r="L101" i="4"/>
  <c r="J22" i="2"/>
  <c r="H119" i="4"/>
  <c r="AZ7" i="9"/>
  <c r="Q35" i="9"/>
  <c r="L24" i="9"/>
  <c r="V37" i="7"/>
  <c r="E25" i="4"/>
  <c r="AO3" i="9"/>
  <c r="N20" i="9"/>
  <c r="AB26" i="4"/>
  <c r="T85" i="9"/>
  <c r="E47" i="4"/>
  <c r="L37" i="7"/>
  <c r="AA28" i="7"/>
  <c r="AW29" i="9"/>
  <c r="D18" i="2"/>
  <c r="AG22" i="9"/>
  <c r="C61" i="4"/>
  <c r="L171" i="7"/>
  <c r="D113" i="7"/>
  <c r="V41" i="9"/>
  <c r="L50" i="9"/>
  <c r="U23" i="7"/>
  <c r="E93" i="7"/>
  <c r="P30" i="4"/>
  <c r="F82" i="7"/>
  <c r="E35" i="4"/>
  <c r="L38" i="2"/>
  <c r="B91" i="9"/>
  <c r="C144" i="7"/>
  <c r="K266" i="7"/>
  <c r="P26" i="4"/>
  <c r="AO31" i="9"/>
  <c r="AT93" i="9"/>
  <c r="AX17" i="9"/>
  <c r="BC20" i="9"/>
  <c r="AF16" i="7"/>
  <c r="U42" i="9"/>
  <c r="O39" i="2"/>
  <c r="BB47" i="9"/>
  <c r="AY24" i="9"/>
  <c r="AZ36" i="9"/>
  <c r="AB24" i="9"/>
  <c r="AK99" i="9"/>
  <c r="R15" i="2"/>
  <c r="AP63" i="9"/>
  <c r="H31" i="4"/>
  <c r="M78" i="4"/>
  <c r="E52" i="9"/>
  <c r="AD26" i="4"/>
  <c r="B201" i="7"/>
  <c r="I30" i="2"/>
  <c r="C77" i="2"/>
  <c r="BN23" i="9"/>
  <c r="M210" i="7"/>
  <c r="D110" i="2"/>
  <c r="L110" i="9"/>
  <c r="M265" i="7"/>
  <c r="I19" i="9"/>
  <c r="L151" i="4"/>
  <c r="J112" i="2"/>
  <c r="M68" i="7"/>
  <c r="AH10" i="7"/>
  <c r="Q20" i="4"/>
  <c r="AH23" i="2"/>
  <c r="B20" i="9"/>
  <c r="L30" i="4"/>
  <c r="B64" i="2"/>
  <c r="C87" i="9"/>
  <c r="P17" i="4"/>
  <c r="H44" i="7"/>
  <c r="O158" i="4"/>
  <c r="BB87" i="9"/>
  <c r="AA30" i="7"/>
  <c r="AP23" i="9"/>
  <c r="X33" i="2"/>
  <c r="N106" i="2"/>
  <c r="AB23" i="9"/>
  <c r="L122" i="7"/>
  <c r="L54" i="7"/>
  <c r="M3" i="4"/>
  <c r="L74" i="9"/>
  <c r="C143" i="4"/>
  <c r="H27" i="7"/>
  <c r="Z33" i="4"/>
  <c r="U35" i="7"/>
  <c r="U22" i="2"/>
  <c r="AR50" i="9"/>
  <c r="BE3" i="9"/>
  <c r="AK90" i="9"/>
  <c r="O85" i="4"/>
  <c r="H118" i="4"/>
  <c r="K205" i="7"/>
  <c r="AG12" i="9"/>
  <c r="BE14" i="9"/>
  <c r="E121" i="7"/>
  <c r="B32" i="4"/>
  <c r="E25" i="7"/>
  <c r="AL38" i="9"/>
  <c r="D20" i="9"/>
  <c r="C118" i="4"/>
  <c r="S80" i="7"/>
  <c r="K20" i="9"/>
  <c r="M60" i="7"/>
  <c r="E24" i="7"/>
  <c r="N38" i="9"/>
  <c r="U30" i="2"/>
  <c r="D36" i="7"/>
  <c r="L23" i="7"/>
  <c r="AB27" i="7"/>
  <c r="R96" i="4"/>
  <c r="AL36" i="9"/>
  <c r="N37" i="2"/>
  <c r="F56" i="7"/>
  <c r="AR21" i="9"/>
  <c r="U50" i="2"/>
  <c r="B34" i="4"/>
  <c r="AO88" i="9"/>
  <c r="G103" i="7"/>
  <c r="H188" i="4"/>
  <c r="J57" i="7"/>
  <c r="Z20" i="9"/>
  <c r="G197" i="7"/>
  <c r="N182" i="4"/>
  <c r="D182" i="4"/>
  <c r="E22" i="2"/>
  <c r="B14" i="4"/>
  <c r="Z24" i="7"/>
  <c r="B23" i="4"/>
  <c r="C51" i="2"/>
  <c r="Y29" i="4"/>
  <c r="BB54" i="9"/>
  <c r="W17" i="4"/>
  <c r="BJ27" i="9"/>
  <c r="Q21" i="2"/>
  <c r="W22" i="4"/>
  <c r="E23" i="9"/>
  <c r="AL41" i="9"/>
  <c r="M58" i="9"/>
  <c r="C74" i="2"/>
  <c r="E80" i="2"/>
  <c r="V24" i="4"/>
  <c r="R58" i="9"/>
  <c r="Q40" i="7"/>
  <c r="D269" i="7"/>
  <c r="M244" i="7"/>
  <c r="N66" i="2"/>
  <c r="AU28" i="9"/>
  <c r="R3" i="4"/>
  <c r="H37" i="2"/>
  <c r="K130" i="7"/>
  <c r="AU58" i="9"/>
  <c r="C150" i="4"/>
  <c r="E32" i="9"/>
  <c r="I62" i="2"/>
  <c r="M126" i="4"/>
  <c r="D83" i="2"/>
  <c r="L244" i="7"/>
  <c r="C177" i="4"/>
  <c r="M75" i="2"/>
  <c r="G66" i="7"/>
  <c r="K140" i="4"/>
  <c r="AL65" i="9"/>
  <c r="H116" i="4"/>
  <c r="AK51" i="9"/>
  <c r="D45" i="7"/>
  <c r="O37" i="2"/>
  <c r="AW27" i="9"/>
  <c r="L79" i="7"/>
  <c r="U66" i="2"/>
  <c r="F164" i="4"/>
  <c r="T74" i="7"/>
  <c r="L203" i="7"/>
  <c r="AQ69" i="9"/>
  <c r="F64" i="9"/>
  <c r="F41" i="9"/>
  <c r="S91" i="4"/>
  <c r="K46" i="7"/>
  <c r="Q99" i="2"/>
  <c r="C201" i="7"/>
  <c r="C109" i="9"/>
  <c r="R67" i="7"/>
  <c r="B258" i="7"/>
  <c r="M112" i="7"/>
  <c r="S78" i="7"/>
  <c r="E130" i="4"/>
  <c r="G161" i="4"/>
  <c r="G260" i="4"/>
  <c r="F41" i="7"/>
  <c r="D152" i="7"/>
  <c r="G14" i="9"/>
  <c r="R24" i="9"/>
  <c r="AQ41" i="9"/>
  <c r="M23" i="4"/>
  <c r="AU102" i="9"/>
  <c r="N51" i="9"/>
  <c r="G69" i="4"/>
  <c r="C270" i="4"/>
  <c r="J83" i="4"/>
  <c r="C28" i="4"/>
  <c r="N22" i="7"/>
  <c r="E43" i="7"/>
  <c r="AB3" i="9"/>
  <c r="AJ39" i="9"/>
  <c r="P16" i="4"/>
  <c r="B20" i="2"/>
  <c r="AN28" i="9"/>
  <c r="H120" i="4"/>
  <c r="P23" i="2"/>
  <c r="AI65" i="9"/>
  <c r="J42" i="7"/>
  <c r="L92" i="9"/>
  <c r="D165" i="7"/>
  <c r="V30" i="9"/>
  <c r="H130" i="4"/>
  <c r="H46" i="2"/>
  <c r="K244" i="4"/>
  <c r="G95" i="9"/>
  <c r="V42" i="4"/>
  <c r="AR56" i="9"/>
  <c r="F145" i="7"/>
  <c r="AN40" i="9"/>
  <c r="H99" i="9"/>
  <c r="M52" i="4"/>
  <c r="I113" i="2"/>
  <c r="H67" i="4"/>
  <c r="K180" i="7"/>
  <c r="Q44" i="7"/>
  <c r="C76" i="2"/>
  <c r="P72" i="2"/>
  <c r="E44" i="2"/>
  <c r="L147" i="4"/>
  <c r="K40" i="2"/>
  <c r="M9" i="7"/>
  <c r="L15" i="7"/>
  <c r="Y11" i="9"/>
  <c r="M10" i="9"/>
  <c r="P12" i="9"/>
  <c r="U12" i="2"/>
  <c r="B10" i="2"/>
  <c r="E8" i="2"/>
  <c r="AO16" i="9"/>
  <c r="H15" i="4"/>
  <c r="J9" i="2"/>
  <c r="Z31" i="9"/>
  <c r="W7" i="9"/>
  <c r="AH9" i="9"/>
  <c r="BP24" i="9"/>
  <c r="AR22" i="9"/>
  <c r="AF17" i="7"/>
  <c r="C23" i="7"/>
  <c r="V16" i="4"/>
  <c r="T18" i="9"/>
  <c r="V16" i="9"/>
  <c r="X14" i="2"/>
  <c r="AA18" i="4"/>
  <c r="U23" i="2"/>
  <c r="AG19" i="2"/>
  <c r="K14" i="9"/>
  <c r="G267" i="4"/>
  <c r="Z26" i="9"/>
  <c r="R21" i="7"/>
  <c r="O22" i="2"/>
  <c r="AT32" i="9"/>
  <c r="V31" i="7"/>
  <c r="G21" i="7"/>
  <c r="I13" i="2"/>
  <c r="C119" i="7"/>
  <c r="AB17" i="2"/>
  <c r="AC20" i="2"/>
  <c r="K15" i="9"/>
  <c r="J48" i="2"/>
  <c r="AS55" i="9"/>
  <c r="AO32" i="9"/>
  <c r="F107" i="4"/>
  <c r="BN14" i="9"/>
  <c r="AR17" i="9"/>
  <c r="H16" i="7"/>
  <c r="C30" i="2"/>
  <c r="E22" i="7"/>
  <c r="Z22" i="7"/>
  <c r="J33" i="7"/>
  <c r="C16" i="4"/>
  <c r="C18" i="7"/>
  <c r="Z34" i="7"/>
  <c r="AM3" i="9"/>
  <c r="AC19" i="2"/>
  <c r="G136" i="7"/>
  <c r="AV20" i="9"/>
  <c r="N143" i="7"/>
  <c r="N9" i="7"/>
  <c r="V28" i="4"/>
  <c r="K13" i="2"/>
  <c r="N48" i="9"/>
  <c r="AR73" i="9"/>
  <c r="P31" i="4"/>
  <c r="E253" i="7"/>
  <c r="AO79" i="9"/>
  <c r="AP15" i="9"/>
  <c r="O30" i="2"/>
  <c r="D36" i="4"/>
  <c r="AW41" i="9"/>
  <c r="F22" i="2"/>
  <c r="V18" i="4"/>
  <c r="B26" i="4"/>
  <c r="AE21" i="2"/>
  <c r="Y15" i="2"/>
  <c r="R20" i="9"/>
  <c r="AG24" i="4"/>
  <c r="R15" i="9"/>
  <c r="BC34" i="9"/>
  <c r="H154" i="7"/>
  <c r="V13" i="7"/>
  <c r="P20" i="7"/>
  <c r="AZ23" i="9"/>
  <c r="BH19" i="9"/>
  <c r="M18" i="4"/>
  <c r="N186" i="4"/>
  <c r="Y17" i="2"/>
  <c r="BB11" i="9"/>
  <c r="Q13" i="9"/>
  <c r="BC27" i="9"/>
  <c r="W16" i="9"/>
  <c r="BC15" i="9"/>
  <c r="F27" i="4"/>
  <c r="E142" i="7"/>
  <c r="B68" i="7"/>
  <c r="M16" i="2"/>
  <c r="C19" i="9"/>
  <c r="AC17" i="9"/>
  <c r="AP96" i="9"/>
  <c r="AF22" i="7"/>
  <c r="C16" i="7"/>
  <c r="X33" i="9"/>
  <c r="BE28" i="9"/>
  <c r="K182" i="7"/>
  <c r="BB23" i="9"/>
  <c r="AO84" i="9"/>
  <c r="AL14" i="9"/>
  <c r="B84" i="7"/>
  <c r="U83" i="4"/>
  <c r="AU93" i="9"/>
  <c r="O58" i="2"/>
  <c r="AZ10" i="9"/>
  <c r="AQ42" i="9"/>
  <c r="O64" i="9"/>
  <c r="P55" i="4"/>
  <c r="G248" i="7"/>
  <c r="BL22" i="9"/>
  <c r="O68" i="4"/>
  <c r="M22" i="9"/>
  <c r="D85" i="9"/>
  <c r="H25" i="7"/>
  <c r="AX31" i="9"/>
  <c r="E24" i="4"/>
  <c r="G33" i="2"/>
  <c r="N30" i="9"/>
  <c r="AT100" i="9"/>
  <c r="M177" i="4"/>
  <c r="H35" i="7"/>
  <c r="R37" i="7"/>
  <c r="AK28" i="9"/>
  <c r="AJ30" i="9"/>
  <c r="AW28" i="9"/>
  <c r="N264" i="7"/>
  <c r="H106" i="9"/>
  <c r="E258" i="7"/>
  <c r="C67" i="2"/>
  <c r="K24" i="7"/>
  <c r="U65" i="2"/>
  <c r="AO38" i="9"/>
  <c r="AT94" i="9"/>
  <c r="B20" i="7"/>
  <c r="AB21" i="4"/>
  <c r="U26" i="9"/>
  <c r="AC27" i="2"/>
  <c r="BG21" i="9"/>
  <c r="J22" i="7"/>
  <c r="AK103" i="9"/>
  <c r="AL22" i="9"/>
  <c r="R38" i="7"/>
  <c r="Q61" i="4"/>
  <c r="S92" i="4"/>
  <c r="B3" i="7"/>
  <c r="E39" i="7"/>
  <c r="N202" i="7"/>
  <c r="R28" i="4"/>
  <c r="I39" i="2"/>
  <c r="C65" i="9"/>
  <c r="D83" i="7"/>
  <c r="Z15" i="2"/>
  <c r="AC24" i="4"/>
  <c r="L42" i="7"/>
  <c r="J104" i="4"/>
  <c r="D29" i="7"/>
  <c r="X27" i="4"/>
  <c r="AC22" i="7"/>
  <c r="E31" i="9"/>
  <c r="M43" i="4"/>
  <c r="B37" i="2"/>
  <c r="L33" i="9"/>
  <c r="Z30" i="4"/>
  <c r="L24" i="4"/>
  <c r="X10" i="2"/>
  <c r="G25" i="7"/>
  <c r="C24" i="9"/>
  <c r="Q31" i="9"/>
  <c r="K51" i="9"/>
  <c r="L91" i="4"/>
  <c r="AY26" i="9"/>
  <c r="J24" i="7"/>
  <c r="V23" i="4"/>
  <c r="N28" i="2"/>
  <c r="W30" i="2"/>
  <c r="AP36" i="9"/>
  <c r="J37" i="2"/>
  <c r="M67" i="4"/>
  <c r="R19" i="4"/>
  <c r="X23" i="7"/>
  <c r="L27" i="7"/>
  <c r="W36" i="2"/>
  <c r="I35" i="9"/>
  <c r="N94" i="7"/>
  <c r="AL42" i="9"/>
  <c r="T23" i="4"/>
  <c r="R22" i="2"/>
  <c r="M120" i="7"/>
  <c r="AR65" i="9"/>
  <c r="T84" i="9"/>
  <c r="E128" i="7"/>
  <c r="R38" i="9"/>
  <c r="C256" i="7"/>
  <c r="C238" i="7"/>
  <c r="D42" i="7"/>
  <c r="N27" i="9"/>
  <c r="AC8" i="2"/>
  <c r="G35" i="9"/>
  <c r="C62" i="2"/>
  <c r="Q25" i="4"/>
  <c r="T57" i="9"/>
  <c r="D37" i="4"/>
  <c r="Q72" i="4"/>
  <c r="W26" i="7"/>
  <c r="Q68" i="7"/>
  <c r="AA10" i="9"/>
  <c r="F12" i="9"/>
  <c r="R10" i="4"/>
  <c r="BC11" i="9"/>
  <c r="G12" i="7"/>
  <c r="X13" i="7"/>
  <c r="I8" i="2"/>
  <c r="N10" i="9"/>
  <c r="AC10" i="9"/>
  <c r="N9" i="4"/>
  <c r="F33" i="4"/>
  <c r="T14" i="9"/>
  <c r="AF14" i="9"/>
  <c r="N9" i="9"/>
  <c r="H9" i="7"/>
  <c r="M20" i="4"/>
  <c r="V16" i="7"/>
  <c r="BL12" i="9"/>
  <c r="AE13" i="2"/>
  <c r="H22" i="7"/>
  <c r="BE15" i="9"/>
  <c r="AY14" i="9"/>
  <c r="BD39" i="9"/>
  <c r="AO11" i="9"/>
  <c r="X28" i="7"/>
  <c r="AS16" i="9"/>
  <c r="AS14" i="9"/>
  <c r="C18" i="2"/>
  <c r="R25" i="9"/>
  <c r="AB21" i="9"/>
  <c r="AD23" i="9"/>
  <c r="AT19" i="9"/>
  <c r="AD9" i="9"/>
  <c r="F24" i="7"/>
  <c r="Z27" i="7"/>
  <c r="BI24" i="9"/>
  <c r="Q52" i="9"/>
  <c r="X3" i="4"/>
  <c r="L36" i="4"/>
  <c r="AW30" i="9"/>
  <c r="K27" i="4"/>
  <c r="V18" i="2"/>
  <c r="AV14" i="9"/>
  <c r="AL26" i="9"/>
  <c r="F25" i="7"/>
  <c r="AB31" i="7"/>
  <c r="AP101" i="9"/>
  <c r="AT27" i="9"/>
  <c r="BH22" i="9"/>
  <c r="U32" i="2"/>
  <c r="AE22" i="4"/>
  <c r="V22" i="4"/>
  <c r="K25" i="4"/>
  <c r="AH16" i="9"/>
  <c r="T18" i="7"/>
  <c r="AF3" i="9"/>
  <c r="M19" i="9"/>
  <c r="F13" i="9"/>
  <c r="AO30" i="9"/>
  <c r="O21" i="4"/>
  <c r="AX21" i="9"/>
  <c r="AJ19" i="9"/>
  <c r="F91" i="4"/>
  <c r="AB20" i="9"/>
  <c r="BL9" i="9"/>
  <c r="O23" i="9"/>
  <c r="M252" i="7"/>
  <c r="Z23" i="4"/>
  <c r="C11" i="4"/>
  <c r="D26" i="7"/>
  <c r="T35" i="4"/>
  <c r="F7" i="9"/>
  <c r="Q29" i="2"/>
  <c r="AT13" i="9"/>
  <c r="L22" i="7"/>
  <c r="W17" i="9"/>
  <c r="W39" i="7"/>
  <c r="B77" i="2"/>
  <c r="U22" i="4"/>
  <c r="AN16" i="9"/>
  <c r="BJ19" i="9"/>
  <c r="BB43" i="9"/>
  <c r="U3" i="9"/>
  <c r="AG20" i="4"/>
  <c r="F26" i="9"/>
  <c r="P29" i="7"/>
  <c r="R20" i="7"/>
  <c r="BL14" i="9"/>
  <c r="AE16" i="7"/>
  <c r="I19" i="2"/>
  <c r="AT102" i="9"/>
  <c r="H189" i="4"/>
  <c r="G24" i="7"/>
  <c r="W9" i="4"/>
  <c r="B223" i="7"/>
  <c r="BM15" i="9"/>
  <c r="L3" i="4"/>
  <c r="J8" i="2"/>
  <c r="N31" i="4"/>
  <c r="BB67" i="9"/>
  <c r="Y22" i="9"/>
  <c r="J24" i="4"/>
  <c r="B21" i="4"/>
  <c r="T15" i="2"/>
  <c r="BG33" i="9"/>
  <c r="AJ23" i="9"/>
  <c r="O260" i="4"/>
  <c r="B95" i="9"/>
  <c r="AU37" i="9"/>
  <c r="Q23" i="4"/>
  <c r="AC25" i="9"/>
  <c r="AF23" i="4"/>
  <c r="M238" i="7"/>
  <c r="O33" i="4"/>
  <c r="C60" i="9"/>
  <c r="D73" i="9"/>
  <c r="E40" i="7"/>
  <c r="AC22" i="2"/>
  <c r="U24" i="2"/>
  <c r="B75" i="4"/>
  <c r="U20" i="2"/>
  <c r="BH29" i="9"/>
  <c r="N252" i="4"/>
  <c r="AY29" i="9"/>
  <c r="AF25" i="9"/>
  <c r="AM83" i="9"/>
  <c r="K21" i="7"/>
  <c r="L37" i="2"/>
  <c r="N197" i="4"/>
  <c r="AV40" i="9"/>
  <c r="E27" i="7"/>
  <c r="Q20" i="2"/>
  <c r="N106" i="9"/>
  <c r="H47" i="2"/>
  <c r="D239" i="7"/>
  <c r="F104" i="2"/>
  <c r="J49" i="7"/>
  <c r="K42" i="2"/>
  <c r="F105" i="4"/>
  <c r="AI73" i="9"/>
  <c r="E34" i="4"/>
  <c r="L141" i="7"/>
  <c r="E34" i="7"/>
  <c r="D104" i="9"/>
  <c r="R31" i="9"/>
  <c r="AD22" i="7"/>
  <c r="AR19" i="9"/>
  <c r="N149" i="7"/>
  <c r="AV31" i="9"/>
  <c r="P91" i="4"/>
  <c r="AO93" i="9"/>
  <c r="D44" i="7"/>
  <c r="H86" i="9"/>
  <c r="V31" i="9"/>
  <c r="F21" i="9"/>
  <c r="AV44" i="9"/>
  <c r="H43" i="4"/>
  <c r="R23" i="4"/>
  <c r="AJ16" i="9"/>
  <c r="R28" i="2"/>
  <c r="Y18" i="2"/>
  <c r="T31" i="7"/>
  <c r="L46" i="2"/>
  <c r="BF29" i="9"/>
  <c r="G58" i="2"/>
  <c r="F45" i="9"/>
  <c r="B109" i="4"/>
  <c r="G3" i="7"/>
  <c r="F41" i="4"/>
  <c r="BD31" i="9"/>
  <c r="BC14" i="9"/>
  <c r="AA15" i="9"/>
  <c r="C42" i="2"/>
  <c r="X31" i="9"/>
  <c r="F25" i="2"/>
  <c r="AM66" i="9"/>
  <c r="BI31" i="9"/>
  <c r="W37" i="7"/>
  <c r="L78" i="9"/>
  <c r="AV104" i="9"/>
  <c r="AO99" i="9"/>
  <c r="K38" i="2"/>
  <c r="U72" i="7"/>
  <c r="L156" i="7"/>
  <c r="G62" i="9"/>
  <c r="T17" i="9"/>
  <c r="BI15" i="9"/>
  <c r="E30" i="2"/>
  <c r="AF21" i="2"/>
  <c r="AY51" i="9"/>
  <c r="AH13" i="2"/>
  <c r="D139" i="4"/>
  <c r="AU30" i="9"/>
  <c r="AM70" i="9"/>
  <c r="AC23" i="2"/>
  <c r="N21" i="2"/>
  <c r="AA29" i="4"/>
  <c r="AQ86" i="9"/>
  <c r="M157" i="7"/>
  <c r="BB27" i="9"/>
  <c r="AA27" i="4"/>
  <c r="K236" i="4"/>
  <c r="C32" i="4"/>
  <c r="D35" i="4"/>
  <c r="C26" i="9"/>
  <c r="E101" i="4"/>
  <c r="N38" i="2"/>
  <c r="M51" i="9"/>
  <c r="Z24" i="9"/>
  <c r="C33" i="4"/>
  <c r="K165" i="4"/>
  <c r="R37" i="4"/>
  <c r="E92" i="4"/>
  <c r="O50" i="9"/>
  <c r="J23" i="4"/>
  <c r="L30" i="9"/>
  <c r="B43" i="7"/>
  <c r="AT97" i="9"/>
  <c r="L221" i="4"/>
  <c r="AP66" i="9"/>
  <c r="AL48" i="9"/>
  <c r="E100" i="4"/>
  <c r="BC39" i="9"/>
  <c r="Z27" i="2"/>
  <c r="D101" i="2"/>
  <c r="AA36" i="2"/>
  <c r="C82" i="7"/>
  <c r="I96" i="4"/>
  <c r="AR71" i="9"/>
  <c r="G166" i="7"/>
  <c r="C106" i="7"/>
  <c r="G32" i="4"/>
  <c r="F26" i="7"/>
  <c r="I39" i="7"/>
  <c r="N22" i="9"/>
  <c r="W23" i="7"/>
  <c r="E102" i="9"/>
  <c r="M65" i="7"/>
  <c r="E34" i="2"/>
  <c r="L108" i="4"/>
  <c r="R79" i="2"/>
  <c r="L33" i="7"/>
  <c r="M67" i="9"/>
  <c r="O91" i="9"/>
  <c r="N113" i="2"/>
  <c r="E105" i="4"/>
  <c r="P25" i="9"/>
  <c r="E85" i="9"/>
  <c r="B4" i="10"/>
  <c r="T79" i="7"/>
  <c r="K67" i="9"/>
  <c r="Q91" i="2"/>
  <c r="L234" i="7"/>
  <c r="G130" i="4"/>
  <c r="K71" i="4"/>
  <c r="AY12" i="9"/>
  <c r="AA9" i="4"/>
  <c r="BM10" i="9"/>
  <c r="AF20" i="9"/>
  <c r="Z16" i="9"/>
  <c r="X11" i="4"/>
  <c r="AB11" i="9"/>
  <c r="AB13" i="2"/>
  <c r="H21" i="7"/>
  <c r="AG21" i="4"/>
  <c r="AE14" i="9"/>
  <c r="W42" i="7"/>
  <c r="H17" i="4"/>
  <c r="V32" i="4"/>
  <c r="Q20" i="7"/>
  <c r="E37" i="7"/>
  <c r="AJ65" i="9"/>
  <c r="D30" i="9"/>
  <c r="H33" i="4"/>
  <c r="P45" i="7"/>
  <c r="W27" i="2"/>
  <c r="BP18" i="9"/>
  <c r="BB15" i="9"/>
  <c r="O27" i="7"/>
  <c r="AH21" i="9"/>
  <c r="Q18" i="9"/>
  <c r="D242" i="4"/>
  <c r="N25" i="7"/>
  <c r="E27" i="9"/>
  <c r="Z31" i="4"/>
  <c r="U23" i="4"/>
  <c r="T28" i="2"/>
  <c r="P3" i="7"/>
  <c r="R17" i="2"/>
  <c r="Y27" i="4"/>
  <c r="AP64" i="9"/>
  <c r="P19" i="2"/>
  <c r="F17" i="4"/>
  <c r="N56" i="7"/>
  <c r="W20" i="9"/>
  <c r="N102" i="9"/>
  <c r="K22" i="7"/>
  <c r="R30" i="9"/>
  <c r="AF17" i="4"/>
  <c r="BI22" i="9"/>
  <c r="AS21" i="9"/>
  <c r="AC3" i="7"/>
  <c r="C21" i="4"/>
  <c r="K93" i="4"/>
  <c r="I35" i="2"/>
  <c r="G116" i="4"/>
  <c r="O17" i="9"/>
  <c r="E86" i="7"/>
  <c r="V39" i="2"/>
  <c r="AX45" i="9"/>
  <c r="BH11" i="9"/>
  <c r="AR58" i="9"/>
  <c r="AL30" i="9"/>
  <c r="B33" i="7"/>
  <c r="L45" i="9"/>
  <c r="V20" i="4"/>
  <c r="N97" i="2"/>
  <c r="X33" i="4"/>
  <c r="AE17" i="4"/>
  <c r="E54" i="7"/>
  <c r="K162" i="4"/>
  <c r="B24" i="7"/>
  <c r="AY49" i="9"/>
  <c r="F93" i="9"/>
  <c r="B108" i="9"/>
  <c r="G27" i="2"/>
  <c r="BN25" i="9"/>
  <c r="K36" i="7"/>
  <c r="U26" i="7"/>
  <c r="D89" i="7"/>
  <c r="N25" i="9"/>
  <c r="AW77" i="9"/>
  <c r="BN22" i="9"/>
  <c r="Q88" i="4"/>
  <c r="W16" i="7"/>
  <c r="B74" i="9"/>
  <c r="AR36" i="9"/>
  <c r="C27" i="2"/>
  <c r="D79" i="7"/>
  <c r="AW80" i="9"/>
  <c r="AG15" i="2"/>
  <c r="F84" i="9"/>
  <c r="L81" i="9"/>
  <c r="N36" i="4"/>
  <c r="E20" i="9"/>
  <c r="F22" i="4"/>
  <c r="G201" i="7"/>
  <c r="BO24" i="9"/>
  <c r="H18" i="7"/>
  <c r="BB21" i="9"/>
  <c r="D40" i="4"/>
  <c r="BG23" i="9"/>
  <c r="O31" i="4"/>
  <c r="K115" i="7"/>
  <c r="M24" i="9"/>
  <c r="L261" i="4"/>
  <c r="AF27" i="7"/>
  <c r="B46" i="4"/>
  <c r="I69" i="9"/>
  <c r="K258" i="7"/>
  <c r="G40" i="9"/>
  <c r="C219" i="7"/>
  <c r="L255" i="4"/>
  <c r="T69" i="9"/>
  <c r="AW37" i="9"/>
  <c r="H66" i="7"/>
  <c r="L105" i="2"/>
  <c r="P41" i="4"/>
  <c r="O53" i="7"/>
  <c r="M192" i="4"/>
  <c r="L165" i="4"/>
  <c r="L242" i="7"/>
  <c r="K98" i="4"/>
  <c r="G57" i="9"/>
  <c r="AJ98" i="9"/>
  <c r="AY36" i="9"/>
  <c r="AT41" i="9"/>
  <c r="R41" i="9"/>
  <c r="U27" i="2"/>
  <c r="Z36" i="2"/>
  <c r="AB25" i="4"/>
  <c r="K260" i="4"/>
  <c r="J50" i="9"/>
  <c r="P24" i="4"/>
  <c r="BD36" i="9"/>
  <c r="AC21" i="2"/>
  <c r="R52" i="2"/>
  <c r="F60" i="4"/>
  <c r="G140" i="7"/>
  <c r="K219" i="4"/>
  <c r="AM68" i="9"/>
  <c r="AJ92" i="9"/>
  <c r="H155" i="7"/>
  <c r="N226" i="4"/>
  <c r="G82" i="9"/>
  <c r="AC26" i="7"/>
  <c r="M205" i="4"/>
  <c r="D206" i="7"/>
  <c r="H101" i="2"/>
  <c r="N138" i="4"/>
  <c r="BD38" i="9"/>
  <c r="B108" i="2"/>
  <c r="T62" i="2"/>
  <c r="M65" i="2"/>
  <c r="T91" i="9"/>
  <c r="J56" i="4"/>
  <c r="F83" i="7"/>
  <c r="AZ42" i="9"/>
  <c r="N80" i="2"/>
  <c r="K163" i="7"/>
  <c r="J55" i="9"/>
  <c r="AW39" i="9"/>
  <c r="T40" i="9"/>
  <c r="R81" i="2"/>
  <c r="AV33" i="9"/>
  <c r="BF19" i="9"/>
  <c r="N19" i="4"/>
  <c r="H71" i="9"/>
  <c r="L83" i="7"/>
  <c r="H15" i="9"/>
  <c r="E162" i="4"/>
  <c r="L35" i="9"/>
  <c r="G138" i="4"/>
  <c r="C24" i="2"/>
  <c r="J82" i="7"/>
  <c r="AZ32" i="9"/>
  <c r="AK39" i="9"/>
  <c r="R20" i="2"/>
  <c r="AY22" i="9"/>
  <c r="B66" i="7"/>
  <c r="AM73" i="9"/>
  <c r="BC35" i="9"/>
  <c r="M274" i="4"/>
  <c r="G117" i="4"/>
  <c r="L76" i="2"/>
  <c r="D97" i="4"/>
  <c r="M113" i="7"/>
  <c r="BB70" i="9"/>
  <c r="AY38" i="9"/>
  <c r="Q23" i="9"/>
  <c r="L210" i="4"/>
  <c r="N91" i="7"/>
  <c r="C232" i="4"/>
  <c r="M11" i="2"/>
  <c r="I50" i="9"/>
  <c r="AS30" i="9"/>
  <c r="L93" i="4"/>
  <c r="T41" i="4"/>
  <c r="J70" i="7"/>
  <c r="C164" i="4"/>
  <c r="L36" i="9"/>
  <c r="BL21" i="9"/>
  <c r="R61" i="4"/>
  <c r="P46" i="7"/>
  <c r="G111" i="7"/>
  <c r="N266" i="4"/>
  <c r="E152" i="4"/>
  <c r="D156" i="4"/>
  <c r="M33" i="9"/>
  <c r="N120" i="4"/>
  <c r="D142" i="4"/>
  <c r="B273" i="7"/>
  <c r="G173" i="4"/>
  <c r="H79" i="9"/>
  <c r="AV26" i="9"/>
  <c r="D36" i="2"/>
  <c r="Q77" i="2"/>
  <c r="AX57" i="9"/>
  <c r="K214" i="7"/>
  <c r="N59" i="9"/>
  <c r="D179" i="4"/>
  <c r="G147" i="4"/>
  <c r="N198" i="4"/>
  <c r="J76" i="2"/>
  <c r="AN57" i="9"/>
  <c r="M32" i="4"/>
  <c r="M96" i="4"/>
  <c r="BL11" i="9"/>
  <c r="AB32" i="7"/>
  <c r="AB25" i="9"/>
  <c r="BG19" i="9"/>
  <c r="M47" i="2"/>
  <c r="E30" i="9"/>
  <c r="D150" i="7"/>
  <c r="V35" i="7"/>
  <c r="D214" i="7"/>
  <c r="L53" i="7"/>
  <c r="AU95" i="9"/>
  <c r="J30" i="2"/>
  <c r="AW33" i="9"/>
  <c r="AJ105" i="9"/>
  <c r="O114" i="4"/>
  <c r="J66" i="4"/>
  <c r="M32" i="2"/>
  <c r="B263" i="7"/>
  <c r="G38" i="2"/>
  <c r="K33" i="2"/>
  <c r="H194" i="4"/>
  <c r="L90" i="2"/>
  <c r="D38" i="4"/>
  <c r="AT24" i="9"/>
  <c r="AO39" i="9"/>
  <c r="C94" i="2"/>
  <c r="H29" i="4"/>
  <c r="Q95" i="7"/>
  <c r="I74" i="2"/>
  <c r="C37" i="4"/>
  <c r="AX94" i="9"/>
  <c r="B98" i="7"/>
  <c r="H115" i="4"/>
  <c r="BL3" i="9"/>
  <c r="AS47" i="9"/>
  <c r="AM76" i="9"/>
  <c r="K85" i="2"/>
  <c r="M171" i="4"/>
  <c r="AW3" i="9"/>
  <c r="P92" i="4"/>
  <c r="BB69" i="9"/>
  <c r="V40" i="9"/>
  <c r="H126" i="4"/>
  <c r="D53" i="7"/>
  <c r="K206" i="4"/>
  <c r="Z28" i="4"/>
  <c r="D30" i="2"/>
  <c r="AW45" i="9"/>
  <c r="D73" i="7"/>
  <c r="C117" i="7"/>
  <c r="K37" i="2"/>
  <c r="AQ90" i="9"/>
  <c r="AJ87" i="9"/>
  <c r="U78" i="4"/>
  <c r="B35" i="7"/>
  <c r="D147" i="4"/>
  <c r="B71" i="9"/>
  <c r="AM30" i="9"/>
  <c r="D228" i="4"/>
  <c r="AJ88" i="9"/>
  <c r="X30" i="2"/>
  <c r="O144" i="4"/>
  <c r="V11" i="2"/>
  <c r="M14" i="7"/>
  <c r="BJ18" i="9"/>
  <c r="G32" i="9"/>
  <c r="M20" i="2"/>
  <c r="D59" i="2"/>
  <c r="M227" i="7"/>
  <c r="D69" i="9"/>
  <c r="E56" i="7"/>
  <c r="AE27" i="7"/>
  <c r="I88" i="2"/>
  <c r="N34" i="2"/>
  <c r="O117" i="4"/>
  <c r="B91" i="4"/>
  <c r="B101" i="7"/>
  <c r="B18" i="2"/>
  <c r="M99" i="2"/>
  <c r="AW47" i="9"/>
  <c r="AI49" i="9"/>
  <c r="L35" i="4"/>
  <c r="AE26" i="7"/>
  <c r="AP41" i="9"/>
  <c r="G65" i="2"/>
  <c r="AL66" i="9"/>
  <c r="G264" i="7"/>
  <c r="C248" i="7"/>
  <c r="AG3" i="7"/>
  <c r="AN87" i="9"/>
  <c r="AP71" i="9"/>
  <c r="C85" i="9"/>
  <c r="Q63" i="2"/>
  <c r="C48" i="7"/>
  <c r="M172" i="4"/>
  <c r="K101" i="2"/>
  <c r="O58" i="4"/>
  <c r="AN50" i="9"/>
  <c r="K53" i="4"/>
  <c r="L208" i="7"/>
  <c r="K70" i="7"/>
  <c r="C90" i="9"/>
  <c r="K263" i="4"/>
  <c r="B30" i="2"/>
  <c r="G3" i="9"/>
  <c r="AT91" i="9"/>
  <c r="H104" i="9"/>
  <c r="C142" i="7"/>
  <c r="D111" i="2"/>
  <c r="B146" i="7"/>
  <c r="K123" i="7"/>
  <c r="L123" i="7"/>
  <c r="F89" i="9"/>
  <c r="AV103" i="9"/>
  <c r="F164" i="7"/>
  <c r="C56" i="7"/>
  <c r="C94" i="9"/>
  <c r="L75" i="9"/>
  <c r="I65" i="2"/>
  <c r="AJ63" i="9"/>
  <c r="T37" i="9"/>
  <c r="M101" i="7"/>
  <c r="V30" i="2"/>
  <c r="BB60" i="9"/>
  <c r="H258" i="4"/>
  <c r="T43" i="7"/>
  <c r="M57" i="2"/>
  <c r="AL3" i="9"/>
  <c r="G17" i="2"/>
  <c r="I13" i="9"/>
  <c r="K3" i="9"/>
  <c r="K39" i="9"/>
  <c r="K41" i="4"/>
  <c r="AB24" i="2"/>
  <c r="AB35" i="4"/>
  <c r="R74" i="7"/>
  <c r="I24" i="2"/>
  <c r="D271" i="7"/>
  <c r="G120" i="7"/>
  <c r="F33" i="9"/>
  <c r="AG3" i="9"/>
  <c r="BH27" i="9"/>
  <c r="P102" i="2"/>
  <c r="AA23" i="9"/>
  <c r="E32" i="4"/>
  <c r="X19" i="9"/>
  <c r="M66" i="9"/>
  <c r="J94" i="2"/>
  <c r="I47" i="7"/>
  <c r="N155" i="7"/>
  <c r="P24" i="9"/>
  <c r="J73" i="7"/>
  <c r="H58" i="4"/>
  <c r="AJ49" i="9"/>
  <c r="B28" i="2"/>
  <c r="AO47" i="9"/>
  <c r="O80" i="7"/>
  <c r="P30" i="9"/>
  <c r="F256" i="7"/>
  <c r="O91" i="7"/>
  <c r="D80" i="4"/>
  <c r="E76" i="9"/>
  <c r="AP75" i="9"/>
  <c r="M134" i="4"/>
  <c r="C42" i="4"/>
  <c r="F244" i="7"/>
  <c r="S91" i="7"/>
  <c r="U43" i="4"/>
  <c r="AT68" i="9"/>
  <c r="O193" i="4"/>
  <c r="O64" i="7"/>
  <c r="C52" i="7"/>
  <c r="Z29" i="4"/>
  <c r="F69" i="9"/>
  <c r="F61" i="4"/>
  <c r="B170" i="7"/>
  <c r="I70" i="7"/>
  <c r="M3" i="9"/>
  <c r="T68" i="2"/>
  <c r="AV3" i="9"/>
  <c r="AN101" i="9"/>
  <c r="G64" i="2"/>
  <c r="N110" i="2"/>
  <c r="B178" i="7"/>
  <c r="B88" i="9"/>
  <c r="AL98" i="9"/>
  <c r="I40" i="7"/>
  <c r="F148" i="4"/>
  <c r="I101" i="4"/>
  <c r="E93" i="9"/>
  <c r="E42" i="9"/>
  <c r="BB17" i="9"/>
  <c r="D38" i="9"/>
  <c r="G154" i="4"/>
  <c r="R34" i="9"/>
  <c r="AW68" i="9"/>
  <c r="X34" i="7"/>
  <c r="N36" i="7"/>
  <c r="L43" i="4"/>
  <c r="BB44" i="9"/>
  <c r="C28" i="2"/>
  <c r="C20" i="2"/>
  <c r="F110" i="9"/>
  <c r="L31" i="4"/>
  <c r="G77" i="4"/>
  <c r="BB84" i="9"/>
  <c r="W42" i="4"/>
  <c r="I34" i="7"/>
  <c r="B31" i="7"/>
  <c r="BE32" i="9"/>
  <c r="G105" i="7"/>
  <c r="Y33" i="2"/>
  <c r="L29" i="7"/>
  <c r="D91" i="4"/>
  <c r="F152" i="7"/>
  <c r="M235" i="4"/>
  <c r="E92" i="2"/>
  <c r="J68" i="2"/>
  <c r="B32" i="9"/>
  <c r="O98" i="2"/>
  <c r="H139" i="4"/>
  <c r="V28" i="7"/>
  <c r="O83" i="2"/>
  <c r="AW31" i="9"/>
  <c r="C98" i="2"/>
  <c r="AK25" i="9"/>
  <c r="M218" i="4"/>
  <c r="I29" i="4"/>
  <c r="T93" i="9"/>
  <c r="AM27" i="9"/>
  <c r="B92" i="7"/>
  <c r="AI84" i="9"/>
  <c r="C171" i="4"/>
  <c r="G29" i="9"/>
  <c r="T95" i="2"/>
  <c r="B52" i="4"/>
  <c r="M183" i="4"/>
  <c r="E82" i="7"/>
  <c r="M35" i="4"/>
  <c r="R53" i="2"/>
  <c r="AT79" i="9"/>
  <c r="H39" i="2"/>
  <c r="F49" i="7"/>
  <c r="L172" i="7"/>
  <c r="F101" i="7"/>
  <c r="N167" i="4"/>
  <c r="T65" i="4"/>
  <c r="P3" i="4"/>
  <c r="G222" i="4"/>
  <c r="E260" i="4"/>
  <c r="E164" i="7"/>
  <c r="L93" i="7"/>
  <c r="AZ13" i="9"/>
  <c r="AA16" i="9"/>
  <c r="L52" i="7"/>
  <c r="B22" i="4"/>
  <c r="D59" i="4"/>
  <c r="Z18" i="2"/>
  <c r="F34" i="2"/>
  <c r="D262" i="4"/>
  <c r="AQ95" i="9"/>
  <c r="T32" i="2"/>
  <c r="P64" i="4"/>
  <c r="AK48" i="9"/>
  <c r="AV64" i="9"/>
  <c r="AN55" i="9"/>
  <c r="H32" i="4"/>
  <c r="I26" i="9"/>
  <c r="J70" i="9"/>
  <c r="D117" i="4"/>
  <c r="AX34" i="9"/>
  <c r="AC3" i="9"/>
  <c r="Y32" i="2"/>
  <c r="F119" i="7"/>
  <c r="AV56" i="9"/>
  <c r="V23" i="9"/>
  <c r="AU75" i="9"/>
  <c r="E138" i="7"/>
  <c r="B58" i="7"/>
  <c r="B42" i="7"/>
  <c r="O53" i="4"/>
  <c r="L220" i="7"/>
  <c r="D252" i="4"/>
  <c r="M120" i="4"/>
  <c r="H169" i="4"/>
  <c r="BH26" i="9"/>
  <c r="N50" i="2"/>
  <c r="AY39" i="9"/>
  <c r="O64" i="4"/>
  <c r="BI25" i="9"/>
  <c r="G9" i="4"/>
  <c r="AB9" i="2"/>
  <c r="F10" i="4"/>
  <c r="BC9" i="9"/>
  <c r="F3" i="2"/>
  <c r="BP9" i="9"/>
  <c r="AC9" i="7"/>
  <c r="K9" i="9"/>
  <c r="AH10" i="9"/>
  <c r="E196" i="7"/>
  <c r="D21" i="9"/>
  <c r="N8" i="2"/>
  <c r="H33" i="7"/>
  <c r="J15" i="7"/>
  <c r="P15" i="2"/>
  <c r="AI51" i="9"/>
  <c r="AM15" i="9"/>
  <c r="I24" i="4"/>
  <c r="K25" i="2"/>
  <c r="Y19" i="9"/>
  <c r="AF9" i="9"/>
  <c r="N253" i="4"/>
  <c r="BL23" i="9"/>
  <c r="I30" i="7"/>
  <c r="E45" i="9"/>
  <c r="O67" i="9"/>
  <c r="N27" i="4"/>
  <c r="C24" i="7"/>
  <c r="P23" i="9"/>
  <c r="B17" i="9"/>
  <c r="AP78" i="9"/>
  <c r="K16" i="9"/>
  <c r="I27" i="9"/>
  <c r="E40" i="9"/>
  <c r="AX15" i="9"/>
  <c r="AF21" i="4"/>
  <c r="F40" i="9"/>
  <c r="AI46" i="9"/>
  <c r="I26" i="2"/>
  <c r="D49" i="7"/>
  <c r="P24" i="7"/>
  <c r="D63" i="9"/>
  <c r="K30" i="2"/>
  <c r="AD25" i="4"/>
  <c r="R21" i="4"/>
  <c r="K34" i="9"/>
  <c r="K7" i="9"/>
  <c r="AU32" i="9"/>
  <c r="L19" i="4"/>
  <c r="AH3" i="9"/>
  <c r="O39" i="9"/>
  <c r="J35" i="7"/>
  <c r="M185" i="7"/>
  <c r="L80" i="9"/>
  <c r="N26" i="4"/>
  <c r="F39" i="9"/>
  <c r="BB32" i="9"/>
  <c r="P33" i="7"/>
  <c r="C113" i="2"/>
  <c r="AX23" i="9"/>
  <c r="AU53" i="9"/>
  <c r="T47" i="2"/>
  <c r="P25" i="4"/>
  <c r="F34" i="9"/>
  <c r="G168" i="7"/>
  <c r="J69" i="2"/>
  <c r="G76" i="2"/>
  <c r="D255" i="4"/>
  <c r="K87" i="4"/>
  <c r="AL95" i="9"/>
  <c r="T32" i="4"/>
  <c r="AI23" i="9"/>
  <c r="I3" i="9"/>
  <c r="AK87" i="9"/>
  <c r="X30" i="9"/>
  <c r="AA29" i="7"/>
  <c r="R29" i="2"/>
  <c r="E41" i="4"/>
  <c r="L33" i="4"/>
  <c r="E49" i="9"/>
  <c r="L17" i="2"/>
  <c r="BC32" i="9"/>
  <c r="D55" i="4"/>
  <c r="C25" i="2"/>
  <c r="H36" i="7"/>
  <c r="H28" i="7"/>
  <c r="AF27" i="2"/>
  <c r="V22" i="2"/>
  <c r="Q3" i="7"/>
  <c r="K104" i="4"/>
  <c r="O34" i="4"/>
  <c r="Q39" i="9"/>
  <c r="AP10" i="9"/>
  <c r="BD22" i="9"/>
  <c r="O107" i="4"/>
  <c r="AD20" i="9"/>
  <c r="N40" i="4"/>
  <c r="O38" i="9"/>
  <c r="X29" i="4"/>
  <c r="N24" i="2"/>
  <c r="L31" i="7"/>
  <c r="D21" i="2"/>
  <c r="X29" i="2"/>
  <c r="J35" i="4"/>
  <c r="K23" i="2"/>
  <c r="W30" i="9"/>
  <c r="H251" i="7"/>
  <c r="G253" i="7"/>
  <c r="C78" i="9"/>
  <c r="M138" i="7"/>
  <c r="F58" i="7"/>
  <c r="AE24" i="7"/>
  <c r="E197" i="4"/>
  <c r="M241" i="4"/>
  <c r="D159" i="4"/>
  <c r="AU96" i="9"/>
  <c r="M222" i="7"/>
  <c r="L241" i="4"/>
  <c r="O90" i="9"/>
  <c r="V28" i="2"/>
  <c r="M169" i="7"/>
  <c r="AR3" i="9"/>
  <c r="AD20" i="7"/>
  <c r="K27" i="7"/>
  <c r="K20" i="7"/>
  <c r="D53" i="9"/>
  <c r="C241" i="7"/>
  <c r="N255" i="4"/>
  <c r="AA30" i="2"/>
  <c r="E33" i="9"/>
  <c r="M144" i="7"/>
  <c r="C40" i="2"/>
  <c r="L48" i="2"/>
  <c r="B268" i="7"/>
  <c r="D166" i="7"/>
  <c r="L37" i="9"/>
  <c r="M130" i="7"/>
  <c r="K38" i="4"/>
  <c r="T54" i="9"/>
  <c r="L63" i="9"/>
  <c r="B167" i="7"/>
  <c r="N145" i="7"/>
  <c r="B48" i="9"/>
  <c r="F197" i="7"/>
  <c r="F273" i="4"/>
  <c r="X28" i="2"/>
  <c r="AT90" i="9"/>
  <c r="E152" i="7"/>
  <c r="T52" i="4"/>
  <c r="U78" i="7"/>
  <c r="AY58" i="9"/>
  <c r="P74" i="7"/>
  <c r="N231" i="7"/>
  <c r="G85" i="9"/>
  <c r="O161" i="4"/>
  <c r="O26" i="4"/>
  <c r="AG18" i="7"/>
  <c r="H34" i="4"/>
  <c r="AH19" i="9"/>
  <c r="E19" i="2"/>
  <c r="Y26" i="9"/>
  <c r="V19" i="2"/>
  <c r="N40" i="9"/>
  <c r="X23" i="9"/>
  <c r="V36" i="9"/>
  <c r="F56" i="9"/>
  <c r="F95" i="9"/>
  <c r="G127" i="4"/>
  <c r="AP106" i="9"/>
  <c r="N101" i="2"/>
  <c r="F49" i="4"/>
  <c r="K59" i="2"/>
  <c r="L25" i="9"/>
  <c r="K116" i="4"/>
  <c r="AO50" i="9"/>
  <c r="R24" i="7"/>
  <c r="F38" i="9"/>
  <c r="F53" i="7"/>
  <c r="AV19" i="9"/>
  <c r="AM34" i="9"/>
  <c r="AI89" i="9"/>
  <c r="B74" i="2"/>
  <c r="O131" i="4"/>
  <c r="E185" i="4"/>
  <c r="AJ96" i="9"/>
  <c r="M45" i="4"/>
  <c r="X29" i="9"/>
  <c r="H145" i="4"/>
  <c r="N235" i="4"/>
  <c r="G54" i="9"/>
  <c r="J58" i="4"/>
  <c r="AL83" i="9"/>
  <c r="L74" i="4"/>
  <c r="AP100" i="9"/>
  <c r="AV97" i="9"/>
  <c r="D57" i="7"/>
  <c r="C95" i="9"/>
  <c r="G146" i="7"/>
  <c r="G67" i="7"/>
  <c r="M31" i="9"/>
  <c r="I95" i="7"/>
  <c r="M60" i="9"/>
  <c r="J75" i="7"/>
  <c r="K200" i="7"/>
  <c r="R91" i="2"/>
  <c r="U90" i="7"/>
  <c r="Q28" i="9"/>
  <c r="G121" i="7"/>
  <c r="I79" i="7"/>
  <c r="E86" i="9"/>
  <c r="K265" i="7"/>
  <c r="E225" i="7"/>
  <c r="C252" i="4"/>
  <c r="P29" i="9"/>
  <c r="F159" i="7"/>
  <c r="O70" i="4"/>
  <c r="H57" i="2"/>
  <c r="F50" i="7"/>
  <c r="Y24" i="7"/>
  <c r="Q25" i="7"/>
  <c r="AL63" i="9"/>
  <c r="K40" i="7"/>
  <c r="O3" i="7"/>
  <c r="AD16" i="9"/>
  <c r="P53" i="9"/>
  <c r="I27" i="7"/>
  <c r="BC22" i="9"/>
  <c r="L256" i="4"/>
  <c r="M23" i="7"/>
  <c r="J42" i="4"/>
  <c r="G216" i="7"/>
  <c r="AX59" i="9"/>
  <c r="G31" i="4"/>
  <c r="U47" i="4"/>
  <c r="M64" i="2"/>
  <c r="AW35" i="9"/>
  <c r="D31" i="4"/>
  <c r="AP72" i="9"/>
  <c r="N100" i="4"/>
  <c r="T58" i="7"/>
  <c r="Y24" i="2"/>
  <c r="AH18" i="7"/>
  <c r="T88" i="7"/>
  <c r="T57" i="7"/>
  <c r="AL28" i="9"/>
  <c r="AI39" i="9"/>
  <c r="I33" i="9"/>
  <c r="BB65" i="9"/>
  <c r="AV87" i="9"/>
  <c r="B110" i="7"/>
  <c r="H131" i="4"/>
  <c r="E61" i="7"/>
  <c r="H201" i="7"/>
  <c r="K113" i="2"/>
  <c r="AI41" i="9"/>
  <c r="Q45" i="7"/>
  <c r="F22" i="7"/>
  <c r="J30" i="4"/>
  <c r="E70" i="2"/>
  <c r="O88" i="9"/>
  <c r="AA32" i="4"/>
  <c r="P80" i="7"/>
  <c r="O97" i="9"/>
  <c r="H258" i="7"/>
  <c r="L79" i="9"/>
  <c r="AX38" i="9"/>
  <c r="N41" i="2"/>
  <c r="U77" i="2"/>
  <c r="J53" i="9"/>
  <c r="V43" i="7"/>
  <c r="G119" i="4"/>
  <c r="L119" i="4"/>
  <c r="T45" i="4"/>
  <c r="AN47" i="9"/>
  <c r="B224" i="7"/>
  <c r="E67" i="4"/>
  <c r="AN44" i="9"/>
  <c r="H158" i="7"/>
  <c r="L75" i="7"/>
  <c r="G70" i="7"/>
  <c r="I45" i="9"/>
  <c r="H61" i="7"/>
  <c r="AK97" i="9"/>
  <c r="R61" i="2"/>
  <c r="AF13" i="4"/>
  <c r="BB16" i="9"/>
  <c r="P28" i="4"/>
  <c r="R22" i="4"/>
  <c r="J44" i="7"/>
  <c r="AH21" i="2"/>
  <c r="P73" i="4"/>
  <c r="BJ24" i="9"/>
  <c r="F31" i="4"/>
  <c r="D29" i="2"/>
  <c r="L95" i="9"/>
  <c r="AN97" i="9"/>
  <c r="F155" i="7"/>
  <c r="E250" i="7"/>
  <c r="C207" i="4"/>
  <c r="B62" i="2"/>
  <c r="F69" i="2"/>
  <c r="G193" i="4"/>
  <c r="AA22" i="9"/>
  <c r="D238" i="4"/>
  <c r="O186" i="4"/>
  <c r="D66" i="4"/>
  <c r="D71" i="9"/>
  <c r="J35" i="2"/>
  <c r="C63" i="2"/>
  <c r="BO3" i="9"/>
  <c r="AR41" i="9"/>
  <c r="AK110" i="9"/>
  <c r="C145" i="4"/>
  <c r="H163" i="7"/>
  <c r="AJ33" i="9"/>
  <c r="F103" i="9"/>
  <c r="M82" i="9"/>
  <c r="E62" i="7"/>
  <c r="Y25" i="4"/>
  <c r="C269" i="7"/>
  <c r="P82" i="2"/>
  <c r="D102" i="7"/>
  <c r="B92" i="2"/>
  <c r="AL52" i="9"/>
  <c r="G225" i="7"/>
  <c r="T78" i="4"/>
  <c r="B45" i="9"/>
  <c r="G199" i="7"/>
  <c r="I39" i="9"/>
  <c r="L49" i="7"/>
  <c r="C52" i="4"/>
  <c r="F169" i="7"/>
  <c r="L246" i="7"/>
  <c r="D97" i="7"/>
  <c r="X34" i="2"/>
  <c r="AO91" i="9"/>
  <c r="C206" i="7"/>
  <c r="F269" i="7"/>
  <c r="F117" i="7"/>
  <c r="H76" i="9"/>
  <c r="C35" i="7"/>
  <c r="J67" i="4"/>
  <c r="G266" i="7"/>
  <c r="L189" i="4"/>
  <c r="L268" i="7"/>
  <c r="F83" i="2"/>
  <c r="AM103" i="9"/>
  <c r="Y20" i="9"/>
  <c r="M79" i="4"/>
  <c r="AZ24" i="9"/>
  <c r="AP21" i="9"/>
  <c r="Q29" i="7"/>
  <c r="AD22" i="4"/>
  <c r="V32" i="2"/>
  <c r="AL107" i="9"/>
  <c r="R33" i="4"/>
  <c r="AF3" i="7"/>
  <c r="AJ103" i="9"/>
  <c r="U33" i="4"/>
  <c r="W24" i="9"/>
  <c r="G145" i="4"/>
  <c r="D269" i="4"/>
  <c r="V23" i="7"/>
  <c r="G142" i="4"/>
  <c r="M33" i="7"/>
  <c r="D37" i="7"/>
  <c r="AS43" i="9"/>
  <c r="R90" i="7"/>
  <c r="AN34" i="9"/>
  <c r="P52" i="4"/>
  <c r="S89" i="7"/>
  <c r="D3" i="7"/>
  <c r="AY56" i="9"/>
  <c r="H234" i="4"/>
  <c r="Q61" i="9"/>
  <c r="E273" i="7"/>
  <c r="D62" i="2"/>
  <c r="D259" i="7"/>
  <c r="BB79" i="9"/>
  <c r="V27" i="9"/>
  <c r="O106" i="7"/>
  <c r="C30" i="4"/>
  <c r="AW64" i="9"/>
  <c r="M65" i="4"/>
  <c r="H198" i="7"/>
  <c r="B90" i="2"/>
  <c r="U44" i="7"/>
  <c r="G83" i="7"/>
  <c r="X3" i="9"/>
  <c r="AZ35" i="9"/>
  <c r="C101" i="2"/>
  <c r="M156" i="7"/>
  <c r="AY59" i="9"/>
  <c r="M104" i="4"/>
  <c r="K54" i="2"/>
  <c r="H108" i="9"/>
  <c r="P36" i="7"/>
  <c r="H41" i="9"/>
  <c r="K59" i="9"/>
  <c r="L94" i="9"/>
  <c r="G31" i="2"/>
  <c r="M171" i="7"/>
  <c r="F130" i="7"/>
  <c r="O177" i="4"/>
  <c r="L244" i="4"/>
  <c r="O57" i="4"/>
  <c r="E103" i="7"/>
  <c r="C268" i="4"/>
  <c r="M38" i="2"/>
  <c r="R70" i="2"/>
  <c r="B106" i="4"/>
  <c r="P85" i="2"/>
  <c r="H65" i="9"/>
  <c r="AJ14" i="9"/>
  <c r="L87" i="2"/>
  <c r="U39" i="4"/>
  <c r="O259" i="4"/>
  <c r="V26" i="2"/>
  <c r="P27" i="7"/>
  <c r="E17" i="7"/>
  <c r="Q40" i="9"/>
  <c r="V25" i="9"/>
  <c r="C115" i="4"/>
  <c r="L173" i="7"/>
  <c r="Q22" i="9"/>
  <c r="F173" i="7"/>
  <c r="M36" i="2"/>
  <c r="B29" i="2"/>
  <c r="AD18" i="2"/>
  <c r="G235" i="4"/>
  <c r="AV27" i="9"/>
  <c r="H210" i="7"/>
  <c r="AP103" i="9"/>
  <c r="AG21" i="2"/>
  <c r="AN94" i="9"/>
  <c r="D47" i="4"/>
  <c r="AM109" i="9"/>
  <c r="E79" i="9"/>
  <c r="N183" i="4"/>
  <c r="L110" i="2"/>
  <c r="C47" i="7"/>
  <c r="K194" i="4"/>
  <c r="R79" i="7"/>
  <c r="L34" i="4"/>
  <c r="T53" i="4"/>
  <c r="O107" i="2"/>
  <c r="T37" i="2"/>
  <c r="K239" i="7"/>
  <c r="E222" i="4"/>
  <c r="T90" i="4"/>
  <c r="H45" i="7"/>
  <c r="AV46" i="9"/>
  <c r="I55" i="7"/>
  <c r="B51" i="9"/>
  <c r="AM46" i="9"/>
  <c r="T43" i="9"/>
  <c r="Y30" i="4"/>
  <c r="E94" i="4"/>
  <c r="L153" i="4"/>
  <c r="H189" i="7"/>
  <c r="G224" i="4"/>
  <c r="T94" i="9"/>
  <c r="J91" i="2"/>
  <c r="R89" i="7"/>
  <c r="V3" i="7"/>
  <c r="I76" i="2"/>
  <c r="AU29" i="9"/>
  <c r="P98" i="2"/>
  <c r="V32" i="7"/>
  <c r="O91" i="4"/>
  <c r="H104" i="4"/>
  <c r="B99" i="7"/>
  <c r="K141" i="4"/>
  <c r="BC18" i="9"/>
  <c r="W17" i="7"/>
  <c r="AY19" i="9"/>
  <c r="BC19" i="9"/>
  <c r="AO62" i="9"/>
  <c r="K65" i="4"/>
  <c r="D247" i="4"/>
  <c r="E69" i="7"/>
  <c r="B29" i="4"/>
  <c r="M25" i="7"/>
  <c r="BD25" i="9"/>
  <c r="D74" i="4"/>
  <c r="O72" i="7"/>
  <c r="O92" i="9"/>
  <c r="Z23" i="9"/>
  <c r="G37" i="2"/>
  <c r="V40" i="4"/>
  <c r="AT28" i="9"/>
  <c r="O33" i="9"/>
  <c r="G243" i="4"/>
  <c r="W32" i="7"/>
  <c r="AX67" i="9"/>
  <c r="H84" i="7"/>
  <c r="E30" i="4"/>
  <c r="C140" i="7"/>
  <c r="AA34" i="7"/>
  <c r="F237" i="7"/>
  <c r="J39" i="4"/>
  <c r="C23" i="4"/>
  <c r="J41" i="7"/>
  <c r="N43" i="2"/>
  <c r="M50" i="7"/>
  <c r="I76" i="4"/>
  <c r="D52" i="9"/>
  <c r="F29" i="4"/>
  <c r="AS59" i="9"/>
  <c r="F242" i="7"/>
  <c r="H167" i="7"/>
  <c r="Q15" i="7"/>
  <c r="L16" i="4"/>
  <c r="E9" i="2"/>
  <c r="I37" i="9"/>
  <c r="F20" i="7"/>
  <c r="Y20" i="2"/>
  <c r="M28" i="9"/>
  <c r="T16" i="7"/>
  <c r="Z12" i="4"/>
  <c r="F64" i="4"/>
  <c r="AQ68" i="9"/>
  <c r="AU44" i="9"/>
  <c r="AV34" i="9"/>
  <c r="AP77" i="9"/>
  <c r="U24" i="7"/>
  <c r="BN17" i="9"/>
  <c r="L8" i="9"/>
  <c r="F21" i="4"/>
  <c r="R44" i="4"/>
  <c r="M40" i="4"/>
  <c r="BJ16" i="9"/>
  <c r="AF20" i="4"/>
  <c r="X11" i="2"/>
  <c r="P32" i="9"/>
  <c r="BP17" i="9"/>
  <c r="AY42" i="9"/>
  <c r="M87" i="4"/>
  <c r="U21" i="2"/>
  <c r="AB33" i="4"/>
  <c r="I109" i="2"/>
  <c r="P26" i="2"/>
  <c r="AR33" i="9"/>
  <c r="F66" i="9"/>
  <c r="U38" i="9"/>
  <c r="Q70" i="4"/>
  <c r="T16" i="2"/>
  <c r="O35" i="4"/>
  <c r="D28" i="4"/>
  <c r="Q32" i="4"/>
  <c r="G28" i="2"/>
  <c r="AW79" i="9"/>
  <c r="P38" i="7"/>
  <c r="AB15" i="9"/>
  <c r="N106" i="7"/>
  <c r="F31" i="9"/>
  <c r="M254" i="4"/>
  <c r="J37" i="7"/>
  <c r="AG19" i="9"/>
  <c r="E36" i="4"/>
  <c r="K28" i="4"/>
  <c r="N28" i="9"/>
  <c r="AU17" i="9"/>
  <c r="E197" i="7"/>
  <c r="O57" i="9"/>
  <c r="J31" i="9"/>
  <c r="N40" i="7"/>
  <c r="P49" i="7"/>
  <c r="V36" i="7"/>
  <c r="M78" i="9"/>
  <c r="I106" i="2"/>
  <c r="B58" i="4"/>
  <c r="AV25" i="9"/>
  <c r="AG26" i="7"/>
  <c r="AF22" i="2"/>
  <c r="Y34" i="2"/>
  <c r="BE23" i="9"/>
  <c r="M40" i="2"/>
  <c r="C90" i="7"/>
  <c r="D157" i="4"/>
  <c r="V32" i="9"/>
  <c r="AV48" i="9"/>
  <c r="E265" i="7"/>
  <c r="E58" i="4"/>
  <c r="H223" i="7"/>
  <c r="M209" i="7"/>
  <c r="M143" i="4"/>
  <c r="T49" i="2"/>
  <c r="H110" i="7"/>
  <c r="M96" i="9"/>
  <c r="H196" i="7"/>
  <c r="R26" i="7"/>
  <c r="D24" i="2"/>
  <c r="V36" i="2"/>
  <c r="C44" i="7"/>
  <c r="H37" i="4"/>
  <c r="L54" i="9"/>
  <c r="BO21" i="9"/>
  <c r="F254" i="7"/>
  <c r="C21" i="2"/>
  <c r="AI30" i="9"/>
  <c r="O41" i="9"/>
  <c r="I77" i="7"/>
  <c r="P31" i="9"/>
  <c r="K222" i="4"/>
  <c r="L58" i="4"/>
  <c r="G260" i="7"/>
  <c r="E58" i="9"/>
  <c r="N133" i="4"/>
  <c r="L32" i="4"/>
  <c r="AY43" i="9"/>
  <c r="M252" i="4"/>
  <c r="BB41" i="9"/>
  <c r="I48" i="9"/>
  <c r="E99" i="4"/>
  <c r="J103" i="4"/>
  <c r="M229" i="4"/>
  <c r="G63" i="7"/>
  <c r="H70" i="7"/>
  <c r="L202" i="7"/>
  <c r="L30" i="2"/>
  <c r="AQ26" i="9"/>
  <c r="U20" i="7"/>
  <c r="M28" i="4"/>
  <c r="T42" i="7"/>
  <c r="M186" i="4"/>
  <c r="R38" i="4"/>
  <c r="AX43" i="9"/>
  <c r="L184" i="4"/>
  <c r="Q26" i="4"/>
  <c r="C214" i="7"/>
  <c r="R42" i="7"/>
  <c r="AC26" i="2"/>
  <c r="N54" i="9"/>
  <c r="AW70" i="9"/>
  <c r="O105" i="7"/>
  <c r="Q101" i="4"/>
  <c r="L73" i="7"/>
  <c r="C102" i="2"/>
  <c r="F44" i="4"/>
  <c r="C74" i="4"/>
  <c r="AA20" i="2"/>
  <c r="I58" i="2"/>
  <c r="Q56" i="2"/>
  <c r="Q76" i="4"/>
  <c r="M85" i="9"/>
  <c r="G194" i="4"/>
  <c r="L219" i="4"/>
  <c r="AL109" i="9"/>
  <c r="K37" i="7"/>
  <c r="N3" i="9"/>
  <c r="G187" i="4"/>
  <c r="M62" i="9"/>
  <c r="H52" i="2"/>
  <c r="BF22" i="9"/>
  <c r="F23" i="7"/>
  <c r="R25" i="7"/>
  <c r="I37" i="4"/>
  <c r="D71" i="4"/>
  <c r="F229" i="7"/>
  <c r="F109" i="7"/>
  <c r="V38" i="2"/>
  <c r="Q71" i="7"/>
  <c r="K35" i="7"/>
  <c r="Q106" i="4"/>
  <c r="I25" i="9"/>
  <c r="AI36" i="9"/>
  <c r="N82" i="9"/>
  <c r="E214" i="7"/>
  <c r="N96" i="2"/>
  <c r="AX56" i="9"/>
  <c r="M73" i="4"/>
  <c r="AS25" i="9"/>
  <c r="H174" i="7"/>
  <c r="AQ76" i="9"/>
  <c r="D273" i="4"/>
  <c r="B70" i="9"/>
  <c r="F182" i="7"/>
  <c r="BI30" i="9"/>
  <c r="G40" i="2"/>
  <c r="L42" i="2"/>
  <c r="D178" i="7"/>
  <c r="D205" i="4"/>
  <c r="H143" i="4"/>
  <c r="H47" i="7"/>
  <c r="R86" i="2"/>
  <c r="AP13" i="9"/>
  <c r="M53" i="7"/>
  <c r="N205" i="4"/>
  <c r="Q28" i="7"/>
  <c r="AB36" i="2"/>
  <c r="P52" i="2"/>
  <c r="C200" i="4"/>
  <c r="P22" i="4"/>
  <c r="M204" i="4"/>
  <c r="AN60" i="9"/>
  <c r="F256" i="4"/>
  <c r="E209" i="4"/>
  <c r="L3" i="9"/>
  <c r="D189" i="4"/>
  <c r="M89" i="7"/>
  <c r="C83" i="4"/>
  <c r="F267" i="4"/>
  <c r="D131" i="7"/>
  <c r="O32" i="2"/>
  <c r="G258" i="7"/>
  <c r="AM47" i="9"/>
  <c r="N50" i="4"/>
  <c r="L38" i="4"/>
  <c r="P38" i="9"/>
  <c r="AQ45" i="9"/>
  <c r="K31" i="4"/>
  <c r="S79" i="7"/>
  <c r="K57" i="2"/>
  <c r="G58" i="7"/>
  <c r="T55" i="7"/>
  <c r="AS52" i="9"/>
  <c r="AY32" i="9"/>
  <c r="L22" i="9"/>
  <c r="L185" i="4"/>
  <c r="AY62" i="9"/>
  <c r="AA26" i="2"/>
  <c r="B9" i="10"/>
  <c r="I93" i="2"/>
  <c r="T36" i="2"/>
  <c r="M22" i="4"/>
  <c r="B41" i="4"/>
  <c r="D97" i="9"/>
  <c r="F119" i="4"/>
  <c r="Q42" i="7"/>
  <c r="Q29" i="4"/>
  <c r="D34" i="7"/>
  <c r="G34" i="2"/>
  <c r="K82" i="2"/>
  <c r="M199" i="4"/>
  <c r="C268" i="7"/>
  <c r="M165" i="7"/>
  <c r="G247" i="7"/>
  <c r="O72" i="9"/>
  <c r="K219" i="7"/>
  <c r="B137" i="7"/>
  <c r="AW83" i="9"/>
  <c r="B204" i="7"/>
  <c r="G94" i="4"/>
  <c r="AZ28" i="9"/>
  <c r="J100" i="4"/>
  <c r="K101" i="4"/>
  <c r="AQ96" i="9"/>
  <c r="N21" i="9"/>
  <c r="AJ106" i="9"/>
  <c r="G59" i="4"/>
  <c r="M39" i="4"/>
  <c r="B61" i="2"/>
  <c r="C39" i="4"/>
  <c r="F124" i="4"/>
  <c r="W23" i="4"/>
  <c r="AP61" i="9"/>
  <c r="N62" i="2"/>
  <c r="J30" i="9"/>
  <c r="H30" i="2"/>
  <c r="AQ55" i="9"/>
  <c r="Q30" i="4"/>
  <c r="C211" i="7"/>
  <c r="N258" i="7"/>
  <c r="R31" i="2"/>
  <c r="AJ100" i="9"/>
  <c r="G78" i="2"/>
  <c r="K43" i="2"/>
  <c r="C89" i="2"/>
  <c r="B246" i="7"/>
  <c r="E238" i="4"/>
  <c r="D155" i="4"/>
  <c r="F33" i="7"/>
  <c r="N99" i="7"/>
  <c r="Q27" i="9"/>
  <c r="Q90" i="2"/>
  <c r="R36" i="2"/>
  <c r="I64" i="2"/>
  <c r="D49" i="4"/>
  <c r="I68" i="9"/>
  <c r="G47" i="7"/>
  <c r="M261" i="7"/>
  <c r="L242" i="4"/>
  <c r="K170" i="7"/>
  <c r="F245" i="4"/>
  <c r="R64" i="4"/>
  <c r="M39" i="9"/>
  <c r="AI77" i="9"/>
  <c r="R95" i="4"/>
  <c r="F30" i="9"/>
  <c r="C187" i="4"/>
  <c r="Q88" i="7"/>
  <c r="I21" i="9"/>
  <c r="AS68" i="9"/>
  <c r="I26" i="4"/>
  <c r="AL60" i="9"/>
  <c r="AN63" i="9"/>
  <c r="M190" i="7"/>
  <c r="V35" i="4"/>
  <c r="O35" i="9"/>
  <c r="C25" i="7"/>
  <c r="AK43" i="9"/>
  <c r="C152" i="4"/>
  <c r="K33" i="4"/>
  <c r="L84" i="2"/>
  <c r="J90" i="7"/>
  <c r="F65" i="9"/>
  <c r="I102" i="2"/>
  <c r="B57" i="9"/>
  <c r="M50" i="9"/>
  <c r="P62" i="9"/>
  <c r="M51" i="2"/>
  <c r="B47" i="2"/>
  <c r="P60" i="9"/>
  <c r="K35" i="4"/>
  <c r="K84" i="7"/>
  <c r="C174" i="7"/>
  <c r="G256" i="4"/>
  <c r="H197" i="7"/>
  <c r="O134" i="4"/>
  <c r="L74" i="7"/>
  <c r="M55" i="7"/>
  <c r="AY25" i="9"/>
  <c r="AL23" i="9"/>
  <c r="P49" i="9"/>
  <c r="AA21" i="9"/>
  <c r="G56" i="7"/>
  <c r="J26" i="4"/>
  <c r="M87" i="9"/>
  <c r="U95" i="2"/>
  <c r="T21" i="9"/>
  <c r="BE25" i="9"/>
  <c r="N39" i="2"/>
  <c r="G143" i="7"/>
  <c r="Q69" i="2"/>
  <c r="BC43" i="9"/>
  <c r="C82" i="2"/>
  <c r="Y31" i="2"/>
  <c r="AU81" i="9"/>
  <c r="J39" i="2"/>
  <c r="G263" i="4"/>
  <c r="N203" i="7"/>
  <c r="S95" i="4"/>
  <c r="F28" i="7"/>
  <c r="O68" i="2"/>
  <c r="AP48" i="9"/>
  <c r="C245" i="7"/>
  <c r="M47" i="4"/>
  <c r="L61" i="4"/>
  <c r="N76" i="9"/>
  <c r="H135" i="4"/>
  <c r="AB26" i="2"/>
  <c r="G208" i="7"/>
  <c r="D207" i="4"/>
  <c r="N230" i="4"/>
  <c r="BF33" i="9"/>
  <c r="AX79" i="9"/>
  <c r="E60" i="2"/>
  <c r="G63" i="9"/>
  <c r="I68" i="7"/>
  <c r="M175" i="7"/>
  <c r="K29" i="4"/>
  <c r="J29" i="4"/>
  <c r="H56" i="9"/>
  <c r="N275" i="4"/>
  <c r="BD3" i="9"/>
  <c r="AI74" i="9"/>
  <c r="C128" i="7"/>
  <c r="T33" i="2"/>
  <c r="F213" i="4"/>
  <c r="J86" i="7"/>
  <c r="B84" i="2"/>
  <c r="I97" i="4"/>
  <c r="H128" i="4"/>
  <c r="V39" i="9"/>
  <c r="F237" i="4"/>
  <c r="E249" i="7"/>
  <c r="U73" i="7"/>
  <c r="K177" i="4"/>
  <c r="O98" i="7"/>
  <c r="AW108" i="9"/>
  <c r="P43" i="2"/>
  <c r="G116" i="7"/>
  <c r="C67" i="4"/>
  <c r="I90" i="4"/>
  <c r="AP55" i="9"/>
  <c r="F87" i="4"/>
  <c r="O170" i="4"/>
  <c r="C89" i="4"/>
  <c r="L179" i="4"/>
  <c r="N252" i="7"/>
  <c r="R55" i="7"/>
  <c r="Q59" i="9"/>
  <c r="D74" i="9"/>
  <c r="D116" i="4"/>
  <c r="E109" i="7"/>
  <c r="U46" i="7"/>
  <c r="O79" i="2"/>
  <c r="G77" i="9"/>
  <c r="J55" i="2"/>
  <c r="C59" i="7"/>
  <c r="U86" i="4"/>
  <c r="L114" i="4"/>
  <c r="K231" i="7"/>
  <c r="K167" i="4"/>
  <c r="G107" i="7"/>
  <c r="P103" i="4"/>
  <c r="N95" i="9"/>
  <c r="R80" i="2"/>
  <c r="B57" i="2"/>
  <c r="P37" i="9"/>
  <c r="R78" i="4"/>
  <c r="O108" i="4"/>
  <c r="M245" i="4"/>
  <c r="G185" i="4"/>
  <c r="K50" i="9"/>
  <c r="H215" i="4"/>
  <c r="E140" i="4"/>
  <c r="H212" i="4"/>
  <c r="AE17" i="9"/>
  <c r="AV23" i="9"/>
  <c r="D47" i="7"/>
  <c r="BB38" i="9"/>
  <c r="H100" i="7"/>
  <c r="B83" i="2"/>
  <c r="Q90" i="4"/>
  <c r="L3" i="7"/>
  <c r="G43" i="7"/>
  <c r="F43" i="7"/>
  <c r="BE24" i="9"/>
  <c r="F103" i="4"/>
  <c r="C223" i="4"/>
  <c r="M129" i="7"/>
  <c r="K56" i="9"/>
  <c r="E37" i="9"/>
  <c r="P36" i="2"/>
  <c r="C60" i="7"/>
  <c r="U39" i="9"/>
  <c r="K149" i="7"/>
  <c r="C29" i="2"/>
  <c r="H111" i="2"/>
  <c r="C38" i="2"/>
  <c r="G28" i="9"/>
  <c r="BP23" i="9"/>
  <c r="C52" i="9"/>
  <c r="C62" i="7"/>
  <c r="L183" i="4"/>
  <c r="I61" i="7"/>
  <c r="L164" i="4"/>
  <c r="AK95" i="9"/>
  <c r="R19" i="2"/>
  <c r="AG16" i="2"/>
  <c r="T20" i="9"/>
  <c r="BF30" i="9"/>
  <c r="BM20" i="9"/>
  <c r="G271" i="4"/>
  <c r="L96" i="9"/>
  <c r="W34" i="2"/>
  <c r="AL72" i="9"/>
  <c r="U49" i="2"/>
  <c r="K74" i="7"/>
  <c r="B243" i="7"/>
  <c r="AH20" i="9"/>
  <c r="E103" i="9"/>
  <c r="I75" i="2"/>
  <c r="D246" i="7"/>
  <c r="N206" i="4"/>
  <c r="Q51" i="4"/>
  <c r="E228" i="7"/>
  <c r="T59" i="4"/>
  <c r="I68" i="4"/>
  <c r="M87" i="7"/>
  <c r="F266" i="4"/>
  <c r="B126" i="7"/>
  <c r="AP97" i="9"/>
  <c r="N62" i="9"/>
  <c r="K56" i="4"/>
  <c r="M142" i="7"/>
  <c r="O84" i="9"/>
  <c r="S86" i="4"/>
  <c r="K113" i="7"/>
  <c r="F34" i="7"/>
  <c r="BG28" i="9"/>
  <c r="BB68" i="9"/>
  <c r="AT108" i="9"/>
  <c r="P22" i="7"/>
  <c r="V26" i="7"/>
  <c r="P45" i="9"/>
  <c r="AJ109" i="9"/>
  <c r="J61" i="2"/>
  <c r="L103" i="9"/>
  <c r="F79" i="7"/>
  <c r="M71" i="2"/>
  <c r="AA35" i="4"/>
  <c r="K134" i="4"/>
  <c r="T43" i="2"/>
  <c r="L130" i="4"/>
  <c r="I80" i="4"/>
  <c r="J65" i="9"/>
  <c r="R85" i="4"/>
  <c r="J51" i="7"/>
  <c r="B48" i="2"/>
  <c r="E70" i="7"/>
  <c r="G55" i="7"/>
  <c r="J76" i="7"/>
  <c r="AW81" i="9"/>
  <c r="AN79" i="9"/>
  <c r="G106" i="4"/>
  <c r="AR74" i="9"/>
  <c r="K57" i="4"/>
  <c r="T93" i="7"/>
  <c r="AL86" i="9"/>
  <c r="P93" i="4"/>
  <c r="L40" i="2"/>
  <c r="G186" i="7"/>
  <c r="C155" i="4"/>
  <c r="AZ46" i="9"/>
  <c r="G70" i="4"/>
  <c r="AP88" i="9"/>
  <c r="C87" i="4"/>
  <c r="L218" i="4"/>
  <c r="O211" i="4"/>
  <c r="K55" i="2"/>
  <c r="L58" i="7"/>
  <c r="D3" i="4"/>
  <c r="C53" i="4"/>
  <c r="R67" i="9"/>
  <c r="I86" i="9"/>
  <c r="Y33" i="9"/>
  <c r="L137" i="4"/>
  <c r="Y35" i="2"/>
  <c r="AQ83" i="9"/>
  <c r="AJ77" i="9"/>
  <c r="M198" i="7"/>
  <c r="P43" i="4"/>
  <c r="H52" i="9"/>
  <c r="C198" i="4"/>
  <c r="E99" i="9"/>
  <c r="Q73" i="9"/>
  <c r="O90" i="2"/>
  <c r="L43" i="9"/>
  <c r="B83" i="4"/>
  <c r="E81" i="9"/>
  <c r="N68" i="7"/>
  <c r="H172" i="7"/>
  <c r="BC38" i="9"/>
  <c r="I32" i="4"/>
  <c r="AR31" i="9"/>
  <c r="BE34" i="9"/>
  <c r="AN37" i="9"/>
  <c r="K112" i="7"/>
  <c r="N49" i="2"/>
  <c r="H36" i="2"/>
  <c r="D23" i="9"/>
  <c r="G86" i="7"/>
  <c r="M52" i="2"/>
  <c r="C71" i="9"/>
  <c r="G96" i="4"/>
  <c r="P37" i="7"/>
  <c r="F60" i="7"/>
  <c r="C72" i="9"/>
  <c r="U72" i="2"/>
  <c r="B62" i="4"/>
  <c r="M114" i="7"/>
  <c r="C131" i="4"/>
  <c r="M167" i="4"/>
  <c r="T39" i="7"/>
  <c r="I74" i="9"/>
  <c r="B86" i="4"/>
  <c r="N111" i="2"/>
  <c r="E165" i="7"/>
  <c r="D107" i="4"/>
  <c r="I49" i="7"/>
  <c r="O96" i="7"/>
  <c r="G106" i="9"/>
  <c r="AB32" i="2"/>
  <c r="F16" i="9"/>
  <c r="E113" i="7"/>
  <c r="E52" i="4"/>
  <c r="J27" i="4"/>
  <c r="AQ34" i="9"/>
  <c r="N49" i="7"/>
  <c r="O35" i="2"/>
  <c r="H3" i="7"/>
  <c r="BE33" i="9"/>
  <c r="AS49" i="9"/>
  <c r="Y28" i="2"/>
  <c r="V35" i="2"/>
  <c r="J107" i="2"/>
  <c r="I50" i="2"/>
  <c r="T47" i="4"/>
  <c r="G214" i="7"/>
  <c r="AP59" i="9"/>
  <c r="D28" i="2"/>
  <c r="E198" i="7"/>
  <c r="B22" i="2"/>
  <c r="R56" i="7"/>
  <c r="P90" i="7"/>
  <c r="K41" i="9"/>
  <c r="U70" i="2"/>
  <c r="H199" i="4"/>
  <c r="M273" i="4"/>
  <c r="J104" i="2"/>
  <c r="Q38" i="7"/>
  <c r="K28" i="9"/>
  <c r="D123" i="7"/>
  <c r="G115" i="4"/>
  <c r="R87" i="4"/>
  <c r="K56" i="7"/>
  <c r="E20" i="7"/>
  <c r="AV18" i="9"/>
  <c r="L186" i="7"/>
  <c r="AX64" i="9"/>
  <c r="AG23" i="4"/>
  <c r="V35" i="9"/>
  <c r="O79" i="9"/>
  <c r="M54" i="7"/>
  <c r="C69" i="4"/>
  <c r="AJ45" i="9"/>
  <c r="H96" i="7"/>
  <c r="C57" i="2"/>
  <c r="D224" i="7"/>
  <c r="AQ67" i="9"/>
  <c r="AQ39" i="9"/>
  <c r="AQ77" i="9"/>
  <c r="G45" i="4"/>
  <c r="C251" i="4"/>
  <c r="AV32" i="9"/>
  <c r="E166" i="7"/>
  <c r="L105" i="9"/>
  <c r="L107" i="2"/>
  <c r="B35" i="2"/>
  <c r="K46" i="4"/>
  <c r="M172" i="7"/>
  <c r="F192" i="4"/>
  <c r="Z32" i="2"/>
  <c r="AQ60" i="9"/>
  <c r="C119" i="4"/>
  <c r="R38" i="2"/>
  <c r="L156" i="4"/>
  <c r="G56" i="2"/>
  <c r="E192" i="4"/>
  <c r="F100" i="2"/>
  <c r="H117" i="7"/>
  <c r="M133" i="4"/>
  <c r="G83" i="9"/>
  <c r="K248" i="7"/>
  <c r="Q65" i="9"/>
  <c r="AJ53" i="9"/>
  <c r="P78" i="9"/>
  <c r="I63" i="7"/>
  <c r="B240" i="7"/>
  <c r="B49" i="2"/>
  <c r="E198" i="4"/>
  <c r="B85" i="9"/>
  <c r="E193" i="7"/>
  <c r="F77" i="4"/>
  <c r="BH30" i="9"/>
  <c r="D82" i="4"/>
  <c r="N51" i="2"/>
  <c r="D50" i="7"/>
  <c r="R91" i="4"/>
  <c r="AZ54" i="9"/>
  <c r="B253" i="7"/>
  <c r="E120" i="7"/>
  <c r="F57" i="2"/>
  <c r="G62" i="4"/>
  <c r="E46" i="4"/>
  <c r="M105" i="9"/>
  <c r="D244" i="4"/>
  <c r="AG17" i="9"/>
  <c r="Z27" i="4"/>
  <c r="O38" i="4"/>
  <c r="AT34" i="9"/>
  <c r="B102" i="7"/>
  <c r="R44" i="7"/>
  <c r="I93" i="9"/>
  <c r="AK23" i="9"/>
  <c r="E238" i="7"/>
  <c r="W42" i="2"/>
  <c r="I92" i="9"/>
  <c r="F197" i="4"/>
  <c r="M95" i="9"/>
  <c r="L80" i="7"/>
  <c r="M38" i="9"/>
  <c r="G96" i="9"/>
  <c r="D49" i="9"/>
  <c r="M75" i="4"/>
  <c r="F71" i="4"/>
  <c r="L224" i="7"/>
  <c r="AN95" i="9"/>
  <c r="R55" i="2"/>
  <c r="M66" i="7"/>
  <c r="B21" i="9"/>
  <c r="G165" i="7"/>
  <c r="D84" i="9"/>
  <c r="T44" i="9"/>
  <c r="B70" i="4"/>
  <c r="C257" i="4"/>
  <c r="AN23" i="9"/>
  <c r="V29" i="9"/>
  <c r="AA17" i="2"/>
  <c r="O33" i="2"/>
  <c r="Z32" i="7"/>
  <c r="X24" i="4"/>
  <c r="AI87" i="9"/>
  <c r="AP102" i="9"/>
  <c r="D70" i="9"/>
  <c r="B3" i="9"/>
  <c r="O274" i="4"/>
  <c r="K72" i="4"/>
  <c r="F259" i="7"/>
  <c r="K55" i="7"/>
  <c r="D185" i="7"/>
  <c r="K201" i="7"/>
  <c r="C148" i="7"/>
  <c r="K73" i="7"/>
  <c r="C212" i="4"/>
  <c r="H73" i="2"/>
  <c r="AU35" i="9"/>
  <c r="J44" i="2"/>
  <c r="C163" i="4"/>
  <c r="H217" i="7"/>
  <c r="AL64" i="9"/>
  <c r="AV38" i="9"/>
  <c r="AI62" i="9"/>
  <c r="H109" i="2"/>
  <c r="H66" i="2"/>
  <c r="U61" i="7"/>
  <c r="D194" i="7"/>
  <c r="O94" i="9"/>
  <c r="F179" i="7"/>
  <c r="AB31" i="2"/>
  <c r="U67" i="7"/>
  <c r="M103" i="9"/>
  <c r="M191" i="4"/>
  <c r="E161" i="4"/>
  <c r="M107" i="7"/>
  <c r="O24" i="2"/>
  <c r="E272" i="7"/>
  <c r="B78" i="7"/>
  <c r="N40" i="2"/>
  <c r="AW56" i="9"/>
  <c r="P89" i="2"/>
  <c r="T40" i="4"/>
  <c r="N44" i="7"/>
  <c r="E87" i="9"/>
  <c r="Q74" i="2"/>
  <c r="D26" i="2"/>
  <c r="C162" i="7"/>
  <c r="I63" i="2"/>
  <c r="M74" i="7"/>
  <c r="Q67" i="2"/>
  <c r="H259" i="7"/>
  <c r="T62" i="4"/>
  <c r="O29" i="7"/>
  <c r="K52" i="9"/>
  <c r="H67" i="7"/>
  <c r="H153" i="4"/>
  <c r="N207" i="7"/>
  <c r="H63" i="7"/>
  <c r="F118" i="4"/>
  <c r="O256" i="4"/>
  <c r="N44" i="4"/>
  <c r="AI48" i="9"/>
  <c r="AP98" i="9"/>
  <c r="P100" i="2"/>
  <c r="I51" i="4"/>
  <c r="F200" i="7"/>
  <c r="M97" i="2"/>
  <c r="M178" i="4"/>
  <c r="AO56" i="9"/>
  <c r="C205" i="4"/>
  <c r="L198" i="4"/>
  <c r="D54" i="2"/>
  <c r="G42" i="9"/>
  <c r="O59" i="2"/>
  <c r="AJ99" i="9"/>
  <c r="N267" i="4"/>
  <c r="R11" i="2"/>
  <c r="R46" i="9"/>
  <c r="K59" i="4"/>
  <c r="G191" i="4"/>
  <c r="AL106" i="9"/>
  <c r="Q43" i="7"/>
  <c r="H222" i="7"/>
  <c r="D86" i="4"/>
  <c r="C138" i="4"/>
  <c r="E151" i="7"/>
  <c r="U33" i="9"/>
  <c r="K52" i="7"/>
  <c r="P63" i="4"/>
  <c r="B77" i="7"/>
  <c r="J109" i="2"/>
  <c r="H234" i="7"/>
  <c r="O243" i="4"/>
  <c r="AO28" i="9"/>
  <c r="E126" i="7"/>
  <c r="D37" i="9"/>
  <c r="Q29" i="9"/>
  <c r="E3" i="9"/>
  <c r="C170" i="4"/>
  <c r="AK109" i="9"/>
  <c r="M61" i="9"/>
  <c r="B32" i="7"/>
  <c r="H264" i="7"/>
  <c r="P86" i="7"/>
  <c r="AM108" i="9"/>
  <c r="N271" i="7"/>
  <c r="O209" i="4"/>
  <c r="N43" i="9"/>
  <c r="G231" i="7"/>
  <c r="D249" i="7"/>
  <c r="R26" i="9"/>
  <c r="I108" i="4"/>
  <c r="N125" i="4"/>
  <c r="U63" i="4"/>
  <c r="N150" i="7"/>
  <c r="J73" i="9"/>
  <c r="G101" i="7"/>
  <c r="H34" i="7"/>
  <c r="N213" i="7"/>
  <c r="N119" i="4"/>
  <c r="AY72" i="9"/>
  <c r="H230" i="4"/>
  <c r="O190" i="4"/>
  <c r="F157" i="7"/>
  <c r="N243" i="4"/>
  <c r="G98" i="9"/>
  <c r="AK42" i="9"/>
  <c r="G141" i="7"/>
  <c r="O88" i="7"/>
  <c r="B172" i="7"/>
  <c r="H213" i="4"/>
  <c r="H131" i="7"/>
  <c r="N219" i="4"/>
  <c r="AS62" i="9"/>
  <c r="M50" i="4"/>
  <c r="R83" i="4"/>
  <c r="C158" i="4"/>
  <c r="H43" i="2"/>
  <c r="G71" i="9"/>
  <c r="H59" i="4"/>
  <c r="K103" i="2"/>
  <c r="C29" i="7"/>
  <c r="I56" i="4"/>
  <c r="AL76" i="9"/>
  <c r="V27" i="2"/>
  <c r="O49" i="2"/>
  <c r="L265" i="4"/>
  <c r="N84" i="4"/>
  <c r="BL25" i="9"/>
  <c r="G44" i="7"/>
  <c r="D204" i="4"/>
  <c r="Q60" i="9"/>
  <c r="E84" i="7"/>
  <c r="K48" i="2"/>
  <c r="AO103" i="9"/>
  <c r="K257" i="7"/>
  <c r="P78" i="2"/>
  <c r="AG24" i="7"/>
  <c r="G241" i="4"/>
  <c r="L28" i="7"/>
  <c r="B68" i="9"/>
  <c r="J63" i="4"/>
  <c r="N50" i="7"/>
  <c r="O41" i="2"/>
  <c r="N31" i="2"/>
  <c r="L205" i="4"/>
  <c r="L29" i="9"/>
  <c r="L266" i="4"/>
  <c r="O29" i="9"/>
  <c r="O224" i="4"/>
  <c r="M28" i="2"/>
  <c r="T87" i="2"/>
  <c r="I73" i="4"/>
  <c r="G244" i="4"/>
  <c r="H107" i="7"/>
  <c r="L213" i="4"/>
  <c r="B255" i="7"/>
  <c r="F101" i="9"/>
  <c r="N272" i="4"/>
  <c r="F116" i="4"/>
  <c r="K209" i="7"/>
  <c r="B83" i="9"/>
  <c r="O50" i="4"/>
  <c r="N38" i="4"/>
  <c r="L169" i="4"/>
  <c r="C38" i="9"/>
  <c r="L92" i="2"/>
  <c r="AM105" i="9"/>
  <c r="K198" i="4"/>
  <c r="D93" i="2"/>
  <c r="I67" i="4"/>
  <c r="C101" i="7"/>
  <c r="U11" i="2"/>
  <c r="O198" i="4"/>
  <c r="K192" i="7"/>
  <c r="Q100" i="2"/>
  <c r="B153" i="7"/>
  <c r="AK98" i="9"/>
  <c r="E253" i="4"/>
  <c r="U42" i="4"/>
  <c r="N91" i="2"/>
  <c r="C135" i="7"/>
  <c r="M124" i="7"/>
  <c r="N100" i="7"/>
  <c r="D35" i="2"/>
  <c r="F245" i="7"/>
  <c r="BB76" i="9"/>
  <c r="R55" i="9"/>
  <c r="AQ63" i="9"/>
  <c r="E102" i="2"/>
  <c r="F52" i="4"/>
  <c r="C239" i="7"/>
  <c r="G63" i="2"/>
  <c r="L123" i="4"/>
  <c r="J54" i="2"/>
  <c r="C195" i="4"/>
  <c r="AO45" i="9"/>
  <c r="G94" i="9"/>
  <c r="N108" i="9"/>
  <c r="K203" i="7"/>
  <c r="B79" i="7"/>
  <c r="E128" i="4"/>
  <c r="AB29" i="7"/>
  <c r="Q107" i="2"/>
  <c r="AU40" i="9"/>
  <c r="H20" i="9"/>
  <c r="M242" i="7"/>
  <c r="X32" i="7"/>
  <c r="AF24" i="7"/>
  <c r="Q48" i="7"/>
  <c r="E101" i="9"/>
  <c r="N235" i="7"/>
  <c r="F187" i="7"/>
  <c r="O60" i="7"/>
  <c r="N46" i="7"/>
  <c r="E235" i="7"/>
  <c r="C186" i="7"/>
  <c r="L109" i="4"/>
  <c r="F198" i="4"/>
  <c r="H204" i="4"/>
  <c r="Q91" i="7"/>
  <c r="AK37" i="9"/>
  <c r="T84" i="2"/>
  <c r="B113" i="7"/>
  <c r="E157" i="7"/>
  <c r="D181" i="7"/>
  <c r="D225" i="4"/>
  <c r="C62" i="9"/>
  <c r="K85" i="4"/>
  <c r="P95" i="9"/>
  <c r="D85" i="7"/>
  <c r="L136" i="4"/>
  <c r="P69" i="9"/>
  <c r="F142" i="4"/>
  <c r="B103" i="2"/>
  <c r="F39" i="7"/>
  <c r="F35" i="9"/>
  <c r="Q90" i="7"/>
  <c r="AO46" i="9"/>
  <c r="G56" i="9"/>
  <c r="J36" i="9"/>
  <c r="N43" i="7"/>
  <c r="N54" i="4"/>
  <c r="AI35" i="9"/>
  <c r="M215" i="7"/>
  <c r="D147" i="7"/>
  <c r="BB37" i="9"/>
  <c r="O111" i="2"/>
  <c r="L222" i="4"/>
  <c r="R60" i="2"/>
  <c r="L150" i="4"/>
  <c r="H205" i="4"/>
  <c r="R36" i="9"/>
  <c r="C49" i="9"/>
  <c r="G256" i="7"/>
  <c r="P67" i="4"/>
  <c r="AJ79" i="9"/>
  <c r="N136" i="7"/>
  <c r="F217" i="7"/>
  <c r="G93" i="4"/>
  <c r="P99" i="2"/>
  <c r="C166" i="4"/>
  <c r="M232" i="7"/>
  <c r="D84" i="2"/>
  <c r="E10" i="2"/>
  <c r="V33" i="2"/>
  <c r="F221" i="4"/>
  <c r="AJ44" i="9"/>
  <c r="H55" i="7"/>
  <c r="O207" i="4"/>
  <c r="X26" i="2"/>
  <c r="F239" i="7"/>
  <c r="G74" i="9"/>
  <c r="D125" i="4"/>
  <c r="H91" i="7"/>
  <c r="R49" i="7"/>
  <c r="J84" i="4"/>
  <c r="K122" i="4"/>
  <c r="E215" i="4"/>
  <c r="F78" i="4"/>
  <c r="AK47" i="9"/>
  <c r="G176" i="4"/>
  <c r="K208" i="4"/>
  <c r="L117" i="7"/>
  <c r="K61" i="9"/>
  <c r="E187" i="4"/>
  <c r="N3" i="4"/>
  <c r="C104" i="2"/>
  <c r="E185" i="7"/>
  <c r="J74" i="7"/>
  <c r="K128" i="4"/>
  <c r="O125" i="4"/>
  <c r="V33" i="4"/>
  <c r="E70" i="9"/>
  <c r="Z23" i="2"/>
  <c r="N117" i="7"/>
  <c r="D273" i="7"/>
  <c r="J36" i="7"/>
  <c r="N51" i="7"/>
  <c r="K156" i="7"/>
  <c r="G41" i="2"/>
  <c r="F166" i="7"/>
  <c r="P88" i="4"/>
  <c r="G263" i="7"/>
  <c r="G206" i="4"/>
  <c r="E155" i="4"/>
  <c r="P74" i="2"/>
  <c r="C214" i="4"/>
  <c r="C162" i="4"/>
  <c r="K108" i="2"/>
  <c r="I76" i="9"/>
  <c r="C9" i="7"/>
  <c r="B3" i="2"/>
  <c r="L86" i="4"/>
  <c r="E21" i="7"/>
  <c r="AG25" i="2"/>
  <c r="I20" i="7"/>
  <c r="W22" i="7"/>
  <c r="C30" i="9"/>
  <c r="AD18" i="7"/>
  <c r="B260" i="7"/>
  <c r="B19" i="9"/>
  <c r="AJ31" i="9"/>
  <c r="BM14" i="9"/>
  <c r="T86" i="9"/>
  <c r="X27" i="7"/>
  <c r="AV79" i="9"/>
  <c r="Q22" i="4"/>
  <c r="AA25" i="9"/>
  <c r="F99" i="4"/>
  <c r="BF14" i="9"/>
  <c r="G17" i="9"/>
  <c r="Q28" i="4"/>
  <c r="K21" i="9"/>
  <c r="AK94" i="9"/>
  <c r="G32" i="2"/>
  <c r="AB26" i="9"/>
  <c r="T46" i="2"/>
  <c r="G64" i="9"/>
  <c r="K267" i="4"/>
  <c r="AW17" i="9"/>
  <c r="F118" i="7"/>
  <c r="AB28" i="2"/>
  <c r="AB28" i="7"/>
  <c r="T48" i="2"/>
  <c r="G20" i="9"/>
  <c r="G164" i="4"/>
  <c r="AI86" i="9"/>
  <c r="AX58" i="9"/>
  <c r="V9" i="2"/>
  <c r="T25" i="9"/>
  <c r="B27" i="7"/>
  <c r="L28" i="9"/>
  <c r="C22" i="9"/>
  <c r="P106" i="2"/>
  <c r="AL20" i="9"/>
  <c r="G172" i="4"/>
  <c r="P16" i="9"/>
  <c r="R16" i="9"/>
  <c r="H248" i="4"/>
  <c r="F45" i="7"/>
  <c r="AK35" i="9"/>
  <c r="U67" i="4"/>
  <c r="H28" i="4"/>
  <c r="N180" i="4"/>
  <c r="C39" i="9"/>
  <c r="I43" i="4"/>
  <c r="R63" i="7"/>
  <c r="M54" i="9"/>
  <c r="K132" i="4"/>
  <c r="C153" i="4"/>
  <c r="T66" i="9"/>
  <c r="AU20" i="9"/>
  <c r="G40" i="7"/>
  <c r="G153" i="7"/>
  <c r="F20" i="9"/>
  <c r="C96" i="4"/>
  <c r="J54" i="4"/>
  <c r="M51" i="7"/>
  <c r="E112" i="2"/>
  <c r="AN99" i="9"/>
  <c r="B233" i="7"/>
  <c r="B69" i="4"/>
  <c r="G109" i="2"/>
  <c r="E124" i="4"/>
  <c r="K46" i="9"/>
  <c r="AQ52" i="9"/>
  <c r="P52" i="7"/>
  <c r="AD24" i="4"/>
  <c r="C31" i="4"/>
  <c r="BE16" i="9"/>
  <c r="D33" i="9"/>
  <c r="F205" i="7"/>
  <c r="AU57" i="9"/>
  <c r="W32" i="4"/>
  <c r="E55" i="2"/>
  <c r="AM57" i="9"/>
  <c r="G119" i="7"/>
  <c r="U59" i="2"/>
  <c r="C36" i="7"/>
  <c r="F63" i="7"/>
  <c r="E134" i="4"/>
  <c r="O86" i="2"/>
  <c r="E29" i="7"/>
  <c r="G44" i="9"/>
  <c r="M90" i="7"/>
  <c r="E47" i="2"/>
  <c r="AN56" i="9"/>
  <c r="N89" i="9"/>
  <c r="K200" i="4"/>
  <c r="N200" i="7"/>
  <c r="O96" i="4"/>
  <c r="E114" i="4"/>
  <c r="B165" i="7"/>
  <c r="L69" i="4"/>
  <c r="P58" i="2"/>
  <c r="M139" i="7"/>
  <c r="K99" i="2"/>
  <c r="C40" i="4"/>
  <c r="P63" i="2"/>
  <c r="V39" i="4"/>
  <c r="J31" i="4"/>
  <c r="BP16" i="9"/>
  <c r="K220" i="4"/>
  <c r="AD17" i="2"/>
  <c r="AO21" i="9"/>
  <c r="F88" i="9"/>
  <c r="AP32" i="9"/>
  <c r="L257" i="4"/>
  <c r="J34" i="2"/>
  <c r="E22" i="9"/>
  <c r="Q40" i="2"/>
  <c r="X30" i="7"/>
  <c r="C199" i="7"/>
  <c r="Q37" i="7"/>
  <c r="AW89" i="9"/>
  <c r="N239" i="4"/>
  <c r="D95" i="9"/>
  <c r="I37" i="7"/>
  <c r="M267" i="7"/>
  <c r="F130" i="4"/>
  <c r="E170" i="7"/>
  <c r="Q107" i="4"/>
  <c r="R97" i="4"/>
  <c r="L112" i="2"/>
  <c r="K34" i="4"/>
  <c r="K31" i="9"/>
  <c r="E108" i="4"/>
  <c r="K126" i="4"/>
  <c r="F189" i="7"/>
  <c r="C262" i="4"/>
  <c r="I100" i="4"/>
  <c r="G87" i="9"/>
  <c r="AA29" i="2"/>
  <c r="N97" i="4"/>
  <c r="N35" i="4"/>
  <c r="L21" i="2"/>
  <c r="M112" i="2"/>
  <c r="AW110" i="9"/>
  <c r="I22" i="4"/>
  <c r="B63" i="9"/>
  <c r="AL87" i="9"/>
  <c r="C244" i="7"/>
  <c r="BE19" i="9"/>
  <c r="AA26" i="4"/>
  <c r="F36" i="9"/>
  <c r="BC30" i="9"/>
  <c r="L50" i="4"/>
  <c r="AX74" i="9"/>
  <c r="C261" i="4"/>
  <c r="B29" i="7"/>
  <c r="AN89" i="9"/>
  <c r="U60" i="4"/>
  <c r="H65" i="2"/>
  <c r="L56" i="2"/>
  <c r="AZ56" i="9"/>
  <c r="K83" i="7"/>
  <c r="E240" i="7"/>
  <c r="B59" i="7"/>
  <c r="K265" i="4"/>
  <c r="E98" i="2"/>
  <c r="K90" i="4"/>
  <c r="B65" i="4"/>
  <c r="H128" i="7"/>
  <c r="U34" i="9"/>
  <c r="H86" i="2"/>
  <c r="BN19" i="9"/>
  <c r="T36" i="7"/>
  <c r="J14" i="9"/>
  <c r="BF23" i="9"/>
  <c r="AM40" i="9"/>
  <c r="J95" i="2"/>
  <c r="W31" i="7"/>
  <c r="B34" i="7"/>
  <c r="Q27" i="7"/>
  <c r="C3" i="9"/>
  <c r="H34" i="2"/>
  <c r="N69" i="7"/>
  <c r="G97" i="2"/>
  <c r="T31" i="4"/>
  <c r="R39" i="4"/>
  <c r="F248" i="7"/>
  <c r="T95" i="4"/>
  <c r="AA27" i="9"/>
  <c r="E275" i="4"/>
  <c r="M91" i="4"/>
  <c r="AM50" i="9"/>
  <c r="F36" i="4"/>
  <c r="O165" i="4"/>
  <c r="F271" i="4"/>
  <c r="K49" i="9"/>
  <c r="D272" i="7"/>
  <c r="I94" i="4"/>
  <c r="E210" i="7"/>
  <c r="G75" i="2"/>
  <c r="H230" i="7"/>
  <c r="AL32" i="9"/>
  <c r="P54" i="4"/>
  <c r="BO16" i="9"/>
  <c r="AQ80" i="9"/>
  <c r="BP19" i="9"/>
  <c r="AC27" i="7"/>
  <c r="J47" i="9"/>
  <c r="E31" i="2"/>
  <c r="AV24" i="9"/>
  <c r="J89" i="2"/>
  <c r="C269" i="4"/>
  <c r="M138" i="4"/>
  <c r="I53" i="7"/>
  <c r="N24" i="4"/>
  <c r="M34" i="4"/>
  <c r="H111" i="7"/>
  <c r="R39" i="9"/>
  <c r="M35" i="9"/>
  <c r="M80" i="9"/>
  <c r="J87" i="2"/>
  <c r="P70" i="2"/>
  <c r="I49" i="2"/>
  <c r="D61" i="9"/>
  <c r="O80" i="9"/>
  <c r="T64" i="7"/>
  <c r="E80" i="9"/>
  <c r="N215" i="7"/>
  <c r="K68" i="9"/>
  <c r="E85" i="7"/>
  <c r="H39" i="7"/>
  <c r="D175" i="4"/>
  <c r="W13" i="7"/>
  <c r="B43" i="9"/>
  <c r="AO77" i="9"/>
  <c r="Z19" i="2"/>
  <c r="AD19" i="9"/>
  <c r="N242" i="7"/>
  <c r="H62" i="7"/>
  <c r="AZ40" i="9"/>
  <c r="AC19" i="9"/>
  <c r="AT107" i="9"/>
  <c r="AK92" i="9"/>
  <c r="H197" i="4"/>
  <c r="G100" i="4"/>
  <c r="N71" i="4"/>
  <c r="N87" i="7"/>
  <c r="AL77" i="9"/>
  <c r="D139" i="7"/>
  <c r="L186" i="4"/>
  <c r="AM99" i="9"/>
  <c r="F121" i="4"/>
  <c r="D108" i="9"/>
  <c r="O172" i="4"/>
  <c r="I65" i="9"/>
  <c r="D237" i="7"/>
  <c r="R85" i="7"/>
  <c r="G65" i="4"/>
  <c r="C98" i="7"/>
  <c r="U53" i="7"/>
  <c r="R63" i="9"/>
  <c r="N58" i="4"/>
  <c r="G258" i="4"/>
  <c r="G30" i="7"/>
  <c r="AY48" i="9"/>
  <c r="N66" i="4"/>
  <c r="R94" i="7"/>
  <c r="I111" i="2"/>
  <c r="C85" i="2"/>
  <c r="M204" i="7"/>
  <c r="AM52" i="9"/>
  <c r="L49" i="9"/>
  <c r="C53" i="7"/>
  <c r="R100" i="2"/>
  <c r="K32" i="2"/>
  <c r="O47" i="7"/>
  <c r="H20" i="4"/>
  <c r="X31" i="4"/>
  <c r="H20" i="2"/>
  <c r="AP40" i="9"/>
  <c r="E32" i="2"/>
  <c r="E58" i="2"/>
  <c r="B50" i="4"/>
  <c r="T48" i="9"/>
  <c r="H46" i="9"/>
  <c r="E30" i="7"/>
  <c r="E226" i="7"/>
  <c r="R43" i="4"/>
  <c r="AM31" i="9"/>
  <c r="T3" i="4"/>
  <c r="F147" i="7"/>
  <c r="AI83" i="9"/>
  <c r="O113" i="2"/>
  <c r="L167" i="4"/>
  <c r="F29" i="7"/>
  <c r="T76" i="4"/>
  <c r="F274" i="7"/>
  <c r="Q3" i="9"/>
  <c r="O37" i="4"/>
  <c r="G108" i="9"/>
  <c r="L209" i="4"/>
  <c r="R109" i="4"/>
  <c r="F128" i="7"/>
  <c r="P48" i="4"/>
  <c r="N88" i="4"/>
  <c r="AJ107" i="9"/>
  <c r="AB17" i="7"/>
  <c r="J28" i="2"/>
  <c r="D38" i="2"/>
  <c r="AO26" i="9"/>
  <c r="AG22" i="2"/>
  <c r="AW71" i="9"/>
  <c r="E104" i="9"/>
  <c r="P101" i="2"/>
  <c r="E36" i="9"/>
  <c r="L91" i="9"/>
  <c r="R41" i="4"/>
  <c r="AI33" i="9"/>
  <c r="AJ27" i="9"/>
  <c r="M28" i="7"/>
  <c r="E46" i="9"/>
  <c r="U85" i="4"/>
  <c r="H152" i="7"/>
  <c r="G273" i="4"/>
  <c r="R72" i="4"/>
  <c r="H168" i="4"/>
  <c r="K251" i="4"/>
  <c r="M38" i="7"/>
  <c r="M102" i="2"/>
  <c r="N33" i="2"/>
  <c r="O90" i="7"/>
  <c r="C102" i="7"/>
  <c r="O51" i="9"/>
  <c r="C56" i="2"/>
  <c r="E63" i="9"/>
  <c r="O96" i="2"/>
  <c r="F37" i="7"/>
  <c r="F225" i="4"/>
  <c r="E118" i="7"/>
  <c r="U24" i="9"/>
  <c r="AW106" i="9"/>
  <c r="AN45" i="9"/>
  <c r="O86" i="4"/>
  <c r="F31" i="2"/>
  <c r="B16" i="4"/>
  <c r="AJ108" i="9"/>
  <c r="H52" i="4"/>
  <c r="R30" i="2"/>
  <c r="R45" i="4"/>
  <c r="G97" i="9"/>
  <c r="L270" i="4"/>
  <c r="AO67" i="9"/>
  <c r="L77" i="9"/>
  <c r="G70" i="9"/>
  <c r="P77" i="4"/>
  <c r="F47" i="4"/>
  <c r="AK55" i="9"/>
  <c r="H132" i="7"/>
  <c r="O146" i="4"/>
  <c r="K232" i="4"/>
  <c r="F132" i="4"/>
  <c r="G169" i="4"/>
  <c r="E107" i="4"/>
  <c r="E106" i="4"/>
  <c r="F186" i="7"/>
  <c r="AY30" i="9"/>
  <c r="E61" i="9"/>
  <c r="N107" i="9"/>
  <c r="AK62" i="9"/>
  <c r="L216" i="4"/>
  <c r="E90" i="7"/>
  <c r="K134" i="7"/>
  <c r="Q50" i="2"/>
  <c r="G85" i="4"/>
  <c r="Q54" i="2"/>
  <c r="E44" i="9"/>
  <c r="AN49" i="9"/>
  <c r="M272" i="7"/>
  <c r="D91" i="9"/>
  <c r="AU94" i="9"/>
  <c r="I63" i="4"/>
  <c r="T45" i="7"/>
  <c r="D54" i="9"/>
  <c r="D149" i="7"/>
  <c r="F85" i="4"/>
  <c r="L60" i="2"/>
  <c r="T44" i="4"/>
  <c r="C26" i="4"/>
  <c r="AX82" i="9"/>
  <c r="D184" i="7"/>
  <c r="H211" i="4"/>
  <c r="N171" i="4"/>
  <c r="D251" i="7"/>
  <c r="I96" i="7"/>
  <c r="M80" i="7"/>
  <c r="E73" i="2"/>
  <c r="P98" i="4"/>
  <c r="Q82" i="2"/>
  <c r="F67" i="4"/>
  <c r="O48" i="4"/>
  <c r="F139" i="4"/>
  <c r="T66" i="4"/>
  <c r="T74" i="9"/>
  <c r="F135" i="4"/>
  <c r="K38" i="9"/>
  <c r="R24" i="4"/>
  <c r="R39" i="2"/>
  <c r="S94" i="7"/>
  <c r="K246" i="4"/>
  <c r="R83" i="7"/>
  <c r="AO97" i="9"/>
  <c r="K23" i="7"/>
  <c r="O56" i="7"/>
  <c r="AW25" i="9"/>
  <c r="E245" i="4"/>
  <c r="J66" i="7"/>
  <c r="K246" i="7"/>
  <c r="H268" i="7"/>
  <c r="I30" i="4"/>
  <c r="D64" i="7"/>
  <c r="M84" i="2"/>
  <c r="E66" i="4"/>
  <c r="P29" i="4"/>
  <c r="Q78" i="2"/>
  <c r="AW66" i="9"/>
  <c r="G65" i="7"/>
  <c r="F63" i="2"/>
  <c r="Q49" i="7"/>
  <c r="AJ64" i="9"/>
  <c r="B152" i="7"/>
  <c r="H161" i="7"/>
  <c r="L73" i="4"/>
  <c r="C58" i="4"/>
  <c r="M275" i="7"/>
  <c r="AO36" i="9"/>
  <c r="P81" i="9"/>
  <c r="AM23" i="9"/>
  <c r="K31" i="7"/>
  <c r="H256" i="4"/>
  <c r="M106" i="2"/>
  <c r="C215" i="4"/>
  <c r="Y16" i="2"/>
  <c r="AS63" i="9"/>
  <c r="AJ89" i="9"/>
  <c r="M170" i="7"/>
  <c r="U59" i="4"/>
  <c r="AW93" i="9"/>
  <c r="H237" i="7"/>
  <c r="AL90" i="9"/>
  <c r="BP25" i="9"/>
  <c r="G50" i="9"/>
  <c r="AA31" i="9"/>
  <c r="M99" i="9"/>
  <c r="L138" i="7"/>
  <c r="C86" i="2"/>
  <c r="G81" i="2"/>
  <c r="AP3" i="9"/>
  <c r="Q20" i="9"/>
  <c r="B94" i="7"/>
  <c r="G28" i="4"/>
  <c r="L192" i="7"/>
  <c r="H213" i="7"/>
  <c r="E269" i="7"/>
  <c r="D60" i="4"/>
  <c r="AV105" i="9"/>
  <c r="H71" i="7"/>
  <c r="V3" i="4"/>
  <c r="W13" i="9"/>
  <c r="O22" i="7"/>
  <c r="H70" i="4"/>
  <c r="C90" i="4"/>
  <c r="M213" i="7"/>
  <c r="E28" i="4"/>
  <c r="V38" i="7"/>
  <c r="E57" i="9"/>
  <c r="U94" i="2"/>
  <c r="D160" i="7"/>
  <c r="M164" i="7"/>
  <c r="G46" i="9"/>
  <c r="AP85" i="9"/>
  <c r="O129" i="4"/>
  <c r="AU67" i="9"/>
  <c r="N41" i="7"/>
  <c r="G171" i="4"/>
  <c r="AN51" i="9"/>
  <c r="N212" i="4"/>
  <c r="G110" i="2"/>
  <c r="D11" i="2"/>
  <c r="E110" i="7"/>
  <c r="C32" i="7"/>
  <c r="L147" i="7"/>
  <c r="G245" i="4"/>
  <c r="O93" i="9"/>
  <c r="B27" i="9"/>
  <c r="G82" i="7"/>
  <c r="N78" i="7"/>
  <c r="AP52" i="9"/>
  <c r="O54" i="9"/>
  <c r="N256" i="4"/>
  <c r="B52" i="2"/>
  <c r="D258" i="7"/>
  <c r="BB91" i="9"/>
  <c r="M179" i="4"/>
  <c r="G209" i="7"/>
  <c r="M239" i="7"/>
  <c r="J72" i="2"/>
  <c r="H102" i="9"/>
  <c r="H82" i="7"/>
  <c r="F122" i="4"/>
  <c r="D105" i="2"/>
  <c r="K190" i="4"/>
  <c r="L99" i="4"/>
  <c r="J105" i="4"/>
  <c r="F56" i="2"/>
  <c r="H42" i="7"/>
  <c r="N265" i="7"/>
  <c r="AY44" i="9"/>
  <c r="K105" i="4"/>
  <c r="D47" i="2"/>
  <c r="C59" i="9"/>
  <c r="M103" i="2"/>
  <c r="E75" i="4"/>
  <c r="N77" i="7"/>
  <c r="Q58" i="7"/>
  <c r="O83" i="7"/>
  <c r="F187" i="4"/>
  <c r="AS3" i="9"/>
  <c r="I43" i="7"/>
  <c r="E178" i="7"/>
  <c r="T89" i="9"/>
  <c r="G35" i="4"/>
  <c r="R51" i="4"/>
  <c r="B21" i="2"/>
  <c r="H32" i="9"/>
  <c r="X35" i="4"/>
  <c r="F94" i="2"/>
  <c r="I66" i="2"/>
  <c r="AN82" i="9"/>
  <c r="AS45" i="9"/>
  <c r="K153" i="7"/>
  <c r="N68" i="2"/>
  <c r="AI90" i="9"/>
  <c r="G82" i="4"/>
  <c r="K157" i="7"/>
  <c r="U41" i="7"/>
  <c r="G124" i="7"/>
  <c r="AG25" i="9"/>
  <c r="H91" i="4"/>
  <c r="L31" i="9"/>
  <c r="F68" i="4"/>
  <c r="H27" i="2"/>
  <c r="G266" i="4"/>
  <c r="F129" i="7"/>
  <c r="E179" i="7"/>
  <c r="K49" i="7"/>
  <c r="H101" i="7"/>
  <c r="AN3" i="9"/>
  <c r="J35" i="9"/>
  <c r="AY65" i="9"/>
  <c r="AL53" i="9"/>
  <c r="O12" i="7"/>
  <c r="H64" i="4"/>
  <c r="W24" i="7"/>
  <c r="AJ66" i="9"/>
  <c r="I74" i="4"/>
  <c r="E90" i="9"/>
  <c r="AV21" i="9"/>
  <c r="M33" i="2"/>
  <c r="AI107" i="9"/>
  <c r="Q39" i="2"/>
  <c r="D107" i="9"/>
  <c r="K71" i="2"/>
  <c r="O25" i="2"/>
  <c r="N22" i="2"/>
  <c r="N30" i="7"/>
  <c r="H54" i="4"/>
  <c r="F66" i="7"/>
  <c r="L39" i="9"/>
  <c r="G37" i="7"/>
  <c r="K193" i="4"/>
  <c r="H122" i="7"/>
  <c r="R32" i="2"/>
  <c r="Q93" i="4"/>
  <c r="N83" i="7"/>
  <c r="F55" i="9"/>
  <c r="J60" i="2"/>
  <c r="G199" i="4"/>
  <c r="E75" i="7"/>
  <c r="H261" i="4"/>
  <c r="G47" i="9"/>
  <c r="R21" i="2"/>
  <c r="R59" i="9"/>
  <c r="F29" i="9"/>
  <c r="K212" i="7"/>
  <c r="Y28" i="7"/>
  <c r="X35" i="7"/>
  <c r="B237" i="7"/>
  <c r="E78" i="9"/>
  <c r="O24" i="7"/>
  <c r="E97" i="2"/>
  <c r="K43" i="4"/>
  <c r="N236" i="4"/>
  <c r="B108" i="4"/>
  <c r="B89" i="9"/>
  <c r="P70" i="7"/>
  <c r="I48" i="7"/>
  <c r="F160" i="7"/>
  <c r="N69" i="2"/>
  <c r="Q50" i="4"/>
  <c r="L64" i="4"/>
  <c r="C263" i="7"/>
  <c r="AL44" i="9"/>
  <c r="I56" i="9"/>
  <c r="Q60" i="4"/>
  <c r="M150" i="4"/>
  <c r="O121" i="4"/>
  <c r="M135" i="4"/>
  <c r="F170" i="4"/>
  <c r="N86" i="7"/>
  <c r="AO74" i="9"/>
  <c r="N115" i="7"/>
  <c r="H38" i="2"/>
  <c r="M269" i="7"/>
  <c r="N208" i="4"/>
  <c r="BB94" i="9"/>
  <c r="K269" i="7"/>
  <c r="C178" i="4"/>
  <c r="G71" i="4"/>
  <c r="AJ46" i="9"/>
  <c r="AP91" i="9"/>
  <c r="H51" i="9"/>
  <c r="E261" i="7"/>
  <c r="F82" i="2"/>
  <c r="E223" i="4"/>
  <c r="R105" i="4"/>
  <c r="G268" i="4"/>
  <c r="E212" i="7"/>
  <c r="H75" i="7"/>
  <c r="D81" i="9"/>
  <c r="L60" i="9"/>
  <c r="F248" i="4"/>
  <c r="C94" i="7"/>
  <c r="AI102" i="9"/>
  <c r="BB31" i="9"/>
  <c r="I36" i="9"/>
  <c r="N231" i="4"/>
  <c r="I85" i="7"/>
  <c r="J47" i="2"/>
  <c r="K260" i="7"/>
  <c r="K60" i="2"/>
  <c r="AV68" i="9"/>
  <c r="I77" i="9"/>
  <c r="F140" i="7"/>
  <c r="AM28" i="9"/>
  <c r="AE19" i="4"/>
  <c r="T31" i="9"/>
  <c r="C240" i="4"/>
  <c r="F97" i="4"/>
  <c r="O21" i="9"/>
  <c r="Q42" i="2"/>
  <c r="M27" i="2"/>
  <c r="E21" i="2"/>
  <c r="P47" i="4"/>
  <c r="BC28" i="9"/>
  <c r="J28" i="7"/>
  <c r="C101" i="9"/>
  <c r="D217" i="7"/>
  <c r="AI58" i="9"/>
  <c r="N217" i="7"/>
  <c r="BE27" i="9"/>
  <c r="B219" i="7"/>
  <c r="C267" i="7"/>
  <c r="T92" i="9"/>
  <c r="C266" i="7"/>
  <c r="E236" i="7"/>
  <c r="J95" i="4"/>
  <c r="C45" i="4"/>
  <c r="F258" i="4"/>
  <c r="O223" i="4"/>
  <c r="J3" i="7"/>
  <c r="AV55" i="9"/>
  <c r="Q57" i="4"/>
  <c r="F149" i="7"/>
  <c r="Q85" i="4"/>
  <c r="D101" i="4"/>
  <c r="Q25" i="9"/>
  <c r="P22" i="9"/>
  <c r="E177" i="7"/>
  <c r="V29" i="2"/>
  <c r="I38" i="9"/>
  <c r="F22" i="9"/>
  <c r="G43" i="4"/>
  <c r="C81" i="4"/>
  <c r="C34" i="2"/>
  <c r="U49" i="4"/>
  <c r="H253" i="4"/>
  <c r="R25" i="2"/>
  <c r="L207" i="7"/>
  <c r="K93" i="2"/>
  <c r="N238" i="4"/>
  <c r="P47" i="9"/>
  <c r="BH33" i="9"/>
  <c r="Q35" i="7"/>
  <c r="B123" i="7"/>
  <c r="H148" i="4"/>
  <c r="G97" i="7"/>
  <c r="N121" i="4"/>
  <c r="M84" i="4"/>
  <c r="L118" i="7"/>
  <c r="C173" i="7"/>
  <c r="G129" i="4"/>
  <c r="M40" i="9"/>
  <c r="AQ82" i="9"/>
  <c r="N79" i="2"/>
  <c r="D90" i="4"/>
  <c r="Y32" i="9"/>
  <c r="N132" i="7"/>
  <c r="L85" i="9"/>
  <c r="N15" i="2"/>
  <c r="R56" i="9"/>
  <c r="AT53" i="9"/>
  <c r="L170" i="4"/>
  <c r="G31" i="7"/>
  <c r="AT61" i="9"/>
  <c r="P31" i="2"/>
  <c r="F191" i="4"/>
  <c r="G153" i="4"/>
  <c r="E55" i="7"/>
  <c r="K97" i="4"/>
  <c r="L233" i="7"/>
  <c r="L48" i="9"/>
  <c r="F48" i="9"/>
  <c r="L93" i="2"/>
  <c r="N184" i="4"/>
  <c r="L113" i="7"/>
  <c r="D204" i="7"/>
  <c r="N266" i="7"/>
  <c r="K256" i="4"/>
  <c r="N52" i="7"/>
  <c r="M76" i="2"/>
  <c r="K144" i="4"/>
  <c r="B49" i="4"/>
  <c r="U41" i="9"/>
  <c r="N259" i="4"/>
  <c r="P74" i="9"/>
  <c r="J58" i="7"/>
  <c r="N114" i="7"/>
  <c r="K111" i="2"/>
  <c r="L76" i="4"/>
  <c r="G42" i="4"/>
  <c r="AN67" i="9"/>
  <c r="J57" i="4"/>
  <c r="K191" i="4"/>
  <c r="U99" i="2"/>
  <c r="F194" i="4"/>
  <c r="L98" i="7"/>
  <c r="M110" i="9"/>
  <c r="H36" i="9"/>
  <c r="M168" i="4"/>
  <c r="W36" i="4"/>
  <c r="P105" i="4"/>
  <c r="D146" i="7"/>
  <c r="H89" i="7"/>
  <c r="N77" i="4"/>
  <c r="I64" i="4"/>
  <c r="L76" i="9"/>
  <c r="U89" i="7"/>
  <c r="G209" i="4"/>
  <c r="P88" i="2"/>
  <c r="H48" i="9"/>
  <c r="P108" i="2"/>
  <c r="AT85" i="9"/>
  <c r="D210" i="4"/>
  <c r="F66" i="2"/>
  <c r="T35" i="2"/>
  <c r="D266" i="4"/>
  <c r="F92" i="4"/>
  <c r="M248" i="4"/>
  <c r="R64" i="9"/>
  <c r="O178" i="4"/>
  <c r="C47" i="9"/>
  <c r="AX73" i="9"/>
  <c r="C18" i="4"/>
  <c r="G163" i="7"/>
  <c r="J43" i="7"/>
  <c r="AE24" i="2"/>
  <c r="N39" i="4"/>
  <c r="K94" i="4"/>
  <c r="F108" i="4"/>
  <c r="K31" i="2"/>
  <c r="C272" i="7"/>
  <c r="J95" i="7"/>
  <c r="Q38" i="4"/>
  <c r="AP35" i="9"/>
  <c r="N198" i="7"/>
  <c r="L184" i="7"/>
  <c r="H50" i="2"/>
  <c r="B95" i="2"/>
  <c r="B59" i="4"/>
  <c r="C103" i="7"/>
  <c r="K66" i="9"/>
  <c r="N86" i="2"/>
  <c r="U41" i="2"/>
  <c r="H113" i="7"/>
  <c r="C124" i="7"/>
  <c r="M191" i="7"/>
  <c r="R54" i="4"/>
  <c r="U34" i="7"/>
  <c r="AM97" i="9"/>
  <c r="L91" i="2"/>
  <c r="O72" i="4"/>
  <c r="L215" i="4"/>
  <c r="C88" i="2"/>
  <c r="D53" i="2"/>
  <c r="K92" i="7"/>
  <c r="B234" i="7"/>
  <c r="N85" i="7"/>
  <c r="BB50" i="9"/>
  <c r="M37" i="7"/>
  <c r="O77" i="7"/>
  <c r="V42" i="9"/>
  <c r="M193" i="4"/>
  <c r="T71" i="9"/>
  <c r="D229" i="7"/>
  <c r="H149" i="7"/>
  <c r="D223" i="7"/>
  <c r="G51" i="2"/>
  <c r="J71" i="7"/>
  <c r="C93" i="4"/>
  <c r="E193" i="4"/>
  <c r="O83" i="4"/>
  <c r="C264" i="4"/>
  <c r="C233" i="4"/>
  <c r="N172" i="7"/>
  <c r="M121" i="4"/>
  <c r="Q81" i="7"/>
  <c r="F271" i="7"/>
  <c r="F195" i="7"/>
  <c r="AX39" i="9"/>
  <c r="H87" i="9"/>
  <c r="I88" i="9"/>
  <c r="H94" i="2"/>
  <c r="P70" i="9"/>
  <c r="M56" i="2"/>
  <c r="AB15" i="2"/>
  <c r="BB35" i="9"/>
  <c r="K258" i="4"/>
  <c r="N35" i="2"/>
  <c r="K178" i="7"/>
  <c r="AQ57" i="9"/>
  <c r="N84" i="2"/>
  <c r="T99" i="2"/>
  <c r="K27" i="9"/>
  <c r="H136" i="4"/>
  <c r="L264" i="7"/>
  <c r="R88" i="4"/>
  <c r="R32" i="4"/>
  <c r="AW54" i="9"/>
  <c r="C56" i="4"/>
  <c r="J89" i="7"/>
  <c r="M222" i="4"/>
  <c r="D236" i="4"/>
  <c r="K56" i="2"/>
  <c r="H76" i="4"/>
  <c r="H59" i="7"/>
  <c r="O54" i="2"/>
  <c r="D153" i="7"/>
  <c r="H176" i="7"/>
  <c r="AQ58" i="9"/>
  <c r="AQ49" i="9"/>
  <c r="AI103" i="9"/>
  <c r="C126" i="4"/>
  <c r="P11" i="2"/>
  <c r="U35" i="2"/>
  <c r="M67" i="2"/>
  <c r="AW57" i="9"/>
  <c r="D220" i="4"/>
  <c r="H229" i="4"/>
  <c r="AM85" i="9"/>
  <c r="T63" i="2"/>
  <c r="R54" i="2"/>
  <c r="AO110" i="9"/>
  <c r="C215" i="7"/>
  <c r="G90" i="7"/>
  <c r="AU62" i="9"/>
  <c r="N74" i="2"/>
  <c r="O61" i="9"/>
  <c r="M72" i="4"/>
  <c r="G236" i="7"/>
  <c r="I109" i="4"/>
  <c r="E186" i="4"/>
  <c r="F196" i="7"/>
  <c r="AN107" i="9"/>
  <c r="M57" i="9"/>
  <c r="N196" i="4"/>
  <c r="F177" i="4"/>
  <c r="C247" i="4"/>
  <c r="C229" i="4"/>
  <c r="F194" i="7"/>
  <c r="D78" i="4"/>
  <c r="N225" i="7"/>
  <c r="E72" i="7"/>
  <c r="F108" i="2"/>
  <c r="U42" i="2"/>
  <c r="I52" i="2"/>
  <c r="T38" i="4"/>
  <c r="N84" i="7"/>
  <c r="AZ68" i="9"/>
  <c r="M262" i="7"/>
  <c r="T26" i="9"/>
  <c r="E239" i="7"/>
  <c r="D48" i="4"/>
  <c r="K100" i="4"/>
  <c r="M247" i="4"/>
  <c r="P91" i="9"/>
  <c r="AL96" i="9"/>
  <c r="E166" i="4"/>
  <c r="N45" i="4"/>
  <c r="E225" i="4"/>
  <c r="C257" i="7"/>
  <c r="V24" i="2"/>
  <c r="AM92" i="9"/>
  <c r="J96" i="7"/>
  <c r="P93" i="2"/>
  <c r="G106" i="7"/>
  <c r="L140" i="4"/>
  <c r="E67" i="9"/>
  <c r="Z35" i="2"/>
  <c r="R43" i="7"/>
  <c r="N70" i="7"/>
  <c r="E51" i="9"/>
  <c r="AO42" i="9"/>
  <c r="Q60" i="7"/>
  <c r="U45" i="4"/>
  <c r="K41" i="2"/>
  <c r="R34" i="4"/>
  <c r="N81" i="7"/>
  <c r="BB63" i="9"/>
  <c r="U65" i="7"/>
  <c r="Q57" i="2"/>
  <c r="G136" i="4"/>
  <c r="E224" i="7"/>
  <c r="L97" i="7"/>
  <c r="G99" i="2"/>
  <c r="K135" i="4"/>
  <c r="M103" i="7"/>
  <c r="AN70" i="9"/>
  <c r="K228" i="7"/>
  <c r="AT56" i="9"/>
  <c r="G134" i="7"/>
  <c r="N188" i="7"/>
  <c r="N58" i="2"/>
  <c r="O127" i="4"/>
  <c r="U100" i="2"/>
  <c r="M178" i="7"/>
  <c r="B193" i="7"/>
  <c r="AZ29" i="9"/>
  <c r="O63" i="7"/>
  <c r="G158" i="4"/>
  <c r="T72" i="7"/>
  <c r="L265" i="7"/>
  <c r="O71" i="4"/>
  <c r="D137" i="7"/>
  <c r="K76" i="2"/>
  <c r="C81" i="7"/>
  <c r="L80" i="4"/>
  <c r="D70" i="4"/>
  <c r="L25" i="4"/>
  <c r="I47" i="4"/>
  <c r="M151" i="4"/>
  <c r="AK45" i="9"/>
  <c r="B269" i="7"/>
  <c r="D195" i="4"/>
  <c r="V22" i="9"/>
  <c r="M274" i="7"/>
  <c r="D68" i="4"/>
  <c r="T65" i="2"/>
  <c r="J38" i="9"/>
  <c r="AJ57" i="9"/>
  <c r="F98" i="2"/>
  <c r="G55" i="2"/>
  <c r="H37" i="7"/>
  <c r="O85" i="9"/>
  <c r="AF24" i="9"/>
  <c r="B102" i="2"/>
  <c r="M155" i="4"/>
  <c r="AO83" i="9"/>
  <c r="R75" i="2"/>
  <c r="C246" i="7"/>
  <c r="M186" i="7"/>
  <c r="K192" i="4"/>
  <c r="D177" i="4"/>
  <c r="M162" i="4"/>
  <c r="P48" i="7"/>
  <c r="N73" i="9"/>
  <c r="E38" i="7"/>
  <c r="AQ89" i="9"/>
  <c r="G48" i="4"/>
  <c r="C210" i="4"/>
  <c r="P103" i="2"/>
  <c r="R80" i="4"/>
  <c r="K270" i="4"/>
  <c r="L44" i="2"/>
  <c r="H170" i="7"/>
  <c r="H175" i="7"/>
  <c r="L55" i="2"/>
  <c r="T68" i="9"/>
  <c r="G175" i="4"/>
  <c r="T82" i="9"/>
  <c r="Q85" i="7"/>
  <c r="C105" i="4"/>
  <c r="D83" i="4"/>
  <c r="T91" i="2"/>
  <c r="J101" i="4"/>
  <c r="G218" i="4"/>
  <c r="T72" i="4"/>
  <c r="Q104" i="2"/>
  <c r="O182" i="4"/>
  <c r="I90" i="9"/>
  <c r="I9" i="2"/>
  <c r="AT12" i="9"/>
  <c r="Y15" i="9"/>
  <c r="G23" i="7"/>
  <c r="L16" i="2"/>
  <c r="AG13" i="7"/>
  <c r="AM12" i="9"/>
  <c r="BB33" i="9"/>
  <c r="F179" i="4"/>
  <c r="H107" i="9"/>
  <c r="AC20" i="9"/>
  <c r="R16" i="7"/>
  <c r="AG17" i="2"/>
  <c r="J26" i="7"/>
  <c r="K32" i="4"/>
  <c r="BB19" i="9"/>
  <c r="O42" i="9"/>
  <c r="Q34" i="9"/>
  <c r="BI17" i="9"/>
  <c r="E176" i="7"/>
  <c r="L68" i="9"/>
  <c r="V24" i="7"/>
  <c r="G135" i="4"/>
  <c r="H21" i="9"/>
  <c r="C242" i="4"/>
  <c r="U3" i="7"/>
  <c r="D22" i="7"/>
  <c r="J32" i="9"/>
  <c r="F100" i="7"/>
  <c r="AV102" i="9"/>
  <c r="AS37" i="9"/>
  <c r="L48" i="4"/>
  <c r="C184" i="7"/>
  <c r="J109" i="4"/>
  <c r="O73" i="4"/>
  <c r="M31" i="2"/>
  <c r="N173" i="7"/>
  <c r="B169" i="7"/>
  <c r="B195" i="7"/>
  <c r="AR67" i="9"/>
  <c r="P26" i="9"/>
  <c r="T24" i="9"/>
  <c r="W22" i="9"/>
  <c r="F21" i="7"/>
  <c r="D27" i="4"/>
  <c r="B11" i="10"/>
  <c r="C261" i="7"/>
  <c r="M141" i="4"/>
  <c r="F265" i="7"/>
  <c r="AN32" i="9"/>
  <c r="AV100" i="9"/>
  <c r="O69" i="7"/>
  <c r="B74" i="4"/>
  <c r="K99" i="4"/>
  <c r="F166" i="4"/>
  <c r="AW91" i="9"/>
  <c r="AI28" i="9"/>
  <c r="Y24" i="9"/>
  <c r="AK69" i="9"/>
  <c r="K28" i="2"/>
  <c r="F36" i="7"/>
  <c r="Q64" i="2"/>
  <c r="M176" i="7"/>
  <c r="H62" i="9"/>
  <c r="H254" i="4"/>
  <c r="P40" i="2"/>
  <c r="AL62" i="9"/>
  <c r="B31" i="4"/>
  <c r="H164" i="7"/>
  <c r="K262" i="4"/>
  <c r="H150" i="4"/>
  <c r="AU109" i="9"/>
  <c r="B33" i="9"/>
  <c r="N158" i="7"/>
  <c r="N133" i="7"/>
  <c r="T34" i="9"/>
  <c r="M23" i="2"/>
  <c r="C238" i="4"/>
  <c r="C99" i="7"/>
  <c r="K179" i="4"/>
  <c r="F83" i="9"/>
  <c r="AI56" i="9"/>
  <c r="G251" i="4"/>
  <c r="N178" i="7"/>
  <c r="D256" i="4"/>
  <c r="L219" i="7"/>
  <c r="V27" i="7"/>
  <c r="G81" i="9"/>
  <c r="Z20" i="7"/>
  <c r="D109" i="2"/>
  <c r="N41" i="9"/>
  <c r="X30" i="4"/>
  <c r="G22" i="4"/>
  <c r="U40" i="2"/>
  <c r="D32" i="9"/>
  <c r="O109" i="2"/>
  <c r="J92" i="2"/>
  <c r="E125" i="7"/>
  <c r="N84" i="9"/>
  <c r="N160" i="4"/>
  <c r="O65" i="4"/>
  <c r="K82" i="4"/>
  <c r="AM61" i="9"/>
  <c r="AN102" i="9"/>
  <c r="U13" i="2"/>
  <c r="J38" i="2"/>
  <c r="I80" i="2"/>
  <c r="D43" i="7"/>
  <c r="V36" i="4"/>
  <c r="E31" i="7"/>
  <c r="B36" i="9"/>
  <c r="D190" i="7"/>
  <c r="F95" i="4"/>
  <c r="U76" i="7"/>
  <c r="AU74" i="9"/>
  <c r="M155" i="7"/>
  <c r="N257" i="4"/>
  <c r="S76" i="7"/>
  <c r="N64" i="2"/>
  <c r="BH24" i="9"/>
  <c r="J29" i="7"/>
  <c r="AW22" i="9"/>
  <c r="B36" i="7"/>
  <c r="B92" i="9"/>
  <c r="AB34" i="7"/>
  <c r="AX96" i="9"/>
  <c r="AN58" i="9"/>
  <c r="J93" i="7"/>
  <c r="E100" i="9"/>
  <c r="L178" i="4"/>
  <c r="W27" i="9"/>
  <c r="D80" i="9"/>
  <c r="W25" i="2"/>
  <c r="AO76" i="9"/>
  <c r="C222" i="7"/>
  <c r="AM32" i="9"/>
  <c r="D106" i="7"/>
  <c r="AP80" i="9"/>
  <c r="I59" i="7"/>
  <c r="U84" i="2"/>
  <c r="C17" i="9"/>
  <c r="AS34" i="9"/>
  <c r="D115" i="4"/>
  <c r="C156" i="4"/>
  <c r="D24" i="7"/>
  <c r="I53" i="4"/>
  <c r="I98" i="2"/>
  <c r="D66" i="7"/>
  <c r="Q77" i="4"/>
  <c r="J72" i="4"/>
  <c r="AS35" i="9"/>
  <c r="C43" i="7"/>
  <c r="P64" i="7"/>
  <c r="E105" i="2"/>
  <c r="E113" i="2"/>
  <c r="L254" i="7"/>
  <c r="B35" i="4"/>
  <c r="AA35" i="2"/>
  <c r="H124" i="4"/>
  <c r="AT29" i="9"/>
  <c r="G33" i="4"/>
  <c r="B225" i="7"/>
  <c r="B27" i="4"/>
  <c r="L129" i="7"/>
  <c r="AZ34" i="9"/>
  <c r="C28" i="7"/>
  <c r="AM51" i="9"/>
  <c r="F137" i="4"/>
  <c r="AG24" i="9"/>
  <c r="I81" i="7"/>
  <c r="E243" i="7"/>
  <c r="AN33" i="9"/>
  <c r="AB35" i="7"/>
  <c r="F159" i="4"/>
  <c r="E19" i="7"/>
  <c r="T34" i="7"/>
  <c r="G150" i="7"/>
  <c r="N25" i="2"/>
  <c r="AB28" i="4"/>
  <c r="N67" i="7"/>
  <c r="K79" i="4"/>
  <c r="P50" i="9"/>
  <c r="N264" i="4"/>
  <c r="O85" i="7"/>
  <c r="E187" i="7"/>
  <c r="J53" i="2"/>
  <c r="R65" i="7"/>
  <c r="L246" i="4"/>
  <c r="P87" i="4"/>
  <c r="B122" i="7"/>
  <c r="D70" i="2"/>
  <c r="BB75" i="9"/>
  <c r="D156" i="7"/>
  <c r="L64" i="9"/>
  <c r="L47" i="2"/>
  <c r="R41" i="2"/>
  <c r="U54" i="7"/>
  <c r="O89" i="9"/>
  <c r="K253" i="7"/>
  <c r="I79" i="2"/>
  <c r="B72" i="9"/>
  <c r="AV108" i="9"/>
  <c r="E94" i="9"/>
  <c r="L198" i="7"/>
  <c r="J40" i="7"/>
  <c r="AD24" i="2"/>
  <c r="AR27" i="9"/>
  <c r="AZ30" i="9"/>
  <c r="F104" i="4"/>
  <c r="AI55" i="9"/>
  <c r="AN36" i="9"/>
  <c r="D188" i="4"/>
  <c r="P96" i="7"/>
  <c r="C97" i="2"/>
  <c r="Y21" i="9"/>
  <c r="C106" i="2"/>
  <c r="H191" i="4"/>
  <c r="E51" i="4"/>
  <c r="J39" i="7"/>
  <c r="L40" i="7"/>
  <c r="BF24" i="9"/>
  <c r="E184" i="7"/>
  <c r="AN42" i="9"/>
  <c r="L26" i="2"/>
  <c r="I72" i="4"/>
  <c r="G250" i="7"/>
  <c r="L264" i="4"/>
  <c r="G50" i="7"/>
  <c r="AV39" i="9"/>
  <c r="G45" i="9"/>
  <c r="AR44" i="9"/>
  <c r="K27" i="2"/>
  <c r="L62" i="4"/>
  <c r="X27" i="9"/>
  <c r="O88" i="4"/>
  <c r="B73" i="4"/>
  <c r="AT25" i="9"/>
  <c r="I34" i="2"/>
  <c r="P71" i="9"/>
  <c r="BC40" i="9"/>
  <c r="U49" i="7"/>
  <c r="N205" i="7"/>
  <c r="K132" i="7"/>
  <c r="M187" i="7"/>
  <c r="G89" i="4"/>
  <c r="B242" i="7"/>
  <c r="O76" i="4"/>
  <c r="N156" i="7"/>
  <c r="F165" i="4"/>
  <c r="H72" i="4"/>
  <c r="T82" i="2"/>
  <c r="M229" i="7"/>
  <c r="H44" i="2"/>
  <c r="H257" i="7"/>
  <c r="R29" i="4"/>
  <c r="L257" i="7"/>
  <c r="G107" i="9"/>
  <c r="C72" i="2"/>
  <c r="B77" i="9"/>
  <c r="L116" i="4"/>
  <c r="M90" i="2"/>
  <c r="H33" i="2"/>
  <c r="O54" i="4"/>
  <c r="F55" i="7"/>
  <c r="G78" i="4"/>
  <c r="D60" i="7"/>
  <c r="N270" i="7"/>
  <c r="B8" i="2"/>
  <c r="P35" i="2"/>
  <c r="AJ35" i="9"/>
  <c r="P51" i="7"/>
  <c r="D28" i="9"/>
  <c r="G22" i="9"/>
  <c r="B220" i="7"/>
  <c r="F91" i="7"/>
  <c r="Z29" i="9"/>
  <c r="H246" i="7"/>
  <c r="H50" i="4"/>
  <c r="Q49" i="4"/>
  <c r="N209" i="7"/>
  <c r="C151" i="7"/>
  <c r="C170" i="7"/>
  <c r="AL54" i="9"/>
  <c r="Q18" i="2"/>
  <c r="O38" i="7"/>
  <c r="C51" i="7"/>
  <c r="AO23" i="9"/>
  <c r="AM86" i="9"/>
  <c r="AN25" i="9"/>
  <c r="H178" i="4"/>
  <c r="AL59" i="9"/>
  <c r="I48" i="2"/>
  <c r="F226" i="7"/>
  <c r="L233" i="4"/>
  <c r="N263" i="7"/>
  <c r="F36" i="2"/>
  <c r="L69" i="2"/>
  <c r="L260" i="7"/>
  <c r="AN98" i="9"/>
  <c r="M21" i="9"/>
  <c r="W34" i="4"/>
  <c r="E26" i="2"/>
  <c r="AN59" i="9"/>
  <c r="J63" i="7"/>
  <c r="AM88" i="9"/>
  <c r="N229" i="4"/>
  <c r="T84" i="7"/>
  <c r="O71" i="9"/>
  <c r="O236" i="4"/>
  <c r="P35" i="4"/>
  <c r="P84" i="7"/>
  <c r="E67" i="7"/>
  <c r="F30" i="4"/>
  <c r="O106" i="2"/>
  <c r="AU41" i="9"/>
  <c r="M68" i="2"/>
  <c r="L145" i="7"/>
  <c r="K271" i="4"/>
  <c r="C232" i="7"/>
  <c r="H149" i="4"/>
  <c r="T73" i="7"/>
  <c r="D94" i="7"/>
  <c r="K61" i="4"/>
  <c r="N75" i="7"/>
  <c r="L84" i="4"/>
  <c r="G100" i="9"/>
  <c r="C70" i="4"/>
  <c r="U89" i="2"/>
  <c r="F168" i="7"/>
  <c r="BB90" i="9"/>
  <c r="Q56" i="7"/>
  <c r="U45" i="7"/>
  <c r="T65" i="7"/>
  <c r="E232" i="7"/>
  <c r="AZ67" i="9"/>
  <c r="P68" i="9"/>
  <c r="BB42" i="9"/>
  <c r="N138" i="7"/>
  <c r="L42" i="9"/>
  <c r="M70" i="9"/>
  <c r="I68" i="2"/>
  <c r="T54" i="4"/>
  <c r="AR51" i="9"/>
  <c r="H60" i="7"/>
  <c r="D70" i="7"/>
  <c r="R14" i="2"/>
  <c r="I28" i="7"/>
  <c r="K128" i="7"/>
  <c r="H104" i="7"/>
  <c r="AK20" i="9"/>
  <c r="AV42" i="9"/>
  <c r="N173" i="4"/>
  <c r="P50" i="2"/>
  <c r="E94" i="2"/>
  <c r="AS67" i="9"/>
  <c r="B80" i="7"/>
  <c r="AQ31" i="9"/>
  <c r="D50" i="9"/>
  <c r="C94" i="4"/>
  <c r="F145" i="4"/>
  <c r="L100" i="2"/>
  <c r="D17" i="2"/>
  <c r="F33" i="2"/>
  <c r="O36" i="9"/>
  <c r="O107" i="9"/>
  <c r="C71" i="4"/>
  <c r="E150" i="7"/>
  <c r="K165" i="7"/>
  <c r="E114" i="7"/>
  <c r="M42" i="9"/>
  <c r="AK46" i="9"/>
  <c r="D263" i="7"/>
  <c r="H231" i="7"/>
  <c r="L96" i="2"/>
  <c r="BB36" i="9"/>
  <c r="D96" i="2"/>
  <c r="Q93" i="2"/>
  <c r="H266" i="7"/>
  <c r="K39" i="2"/>
  <c r="G93" i="7"/>
  <c r="F240" i="7"/>
  <c r="J74" i="4"/>
  <c r="AL69" i="9"/>
  <c r="L274" i="7"/>
  <c r="P60" i="4"/>
  <c r="AX90" i="9"/>
  <c r="AT75" i="9"/>
  <c r="B228" i="7"/>
  <c r="T64" i="2"/>
  <c r="M214" i="7"/>
  <c r="C129" i="7"/>
  <c r="L177" i="4"/>
  <c r="B78" i="4"/>
  <c r="Y16" i="9"/>
  <c r="S3" i="7"/>
  <c r="AT22" i="9"/>
  <c r="N63" i="7"/>
  <c r="AV47" i="9"/>
  <c r="M58" i="7"/>
  <c r="G25" i="2"/>
  <c r="AJ54" i="9"/>
  <c r="D31" i="2"/>
  <c r="K204" i="4"/>
  <c r="E190" i="7"/>
  <c r="G273" i="7"/>
  <c r="B239" i="7"/>
  <c r="F90" i="7"/>
  <c r="D68" i="2"/>
  <c r="AR43" i="9"/>
  <c r="Q99" i="4"/>
  <c r="C76" i="7"/>
  <c r="F79" i="4"/>
  <c r="N92" i="7"/>
  <c r="AL68" i="9"/>
  <c r="N177" i="7"/>
  <c r="K109" i="4"/>
  <c r="H121" i="7"/>
  <c r="AY67" i="9"/>
  <c r="B85" i="4"/>
  <c r="B176" i="7"/>
  <c r="P91" i="2"/>
  <c r="B261" i="7"/>
  <c r="E265" i="4"/>
  <c r="L217" i="4"/>
  <c r="AV91" i="9"/>
  <c r="E68" i="9"/>
  <c r="T80" i="4"/>
  <c r="D104" i="7"/>
  <c r="K68" i="7"/>
  <c r="B151" i="7"/>
  <c r="BF31" i="9"/>
  <c r="G81" i="7"/>
  <c r="H40" i="4"/>
  <c r="T45" i="9"/>
  <c r="M271" i="4"/>
  <c r="T52" i="9"/>
  <c r="AN38" i="9"/>
  <c r="AX75" i="9"/>
  <c r="H89" i="9"/>
  <c r="D205" i="7"/>
  <c r="N70" i="9"/>
  <c r="C233" i="7"/>
  <c r="E213" i="4"/>
  <c r="R86" i="7"/>
  <c r="B44" i="9"/>
  <c r="N211" i="7"/>
  <c r="H267" i="4"/>
  <c r="L251" i="7"/>
  <c r="T53" i="9"/>
  <c r="C273" i="7"/>
  <c r="O106" i="9"/>
  <c r="E183" i="4"/>
  <c r="L150" i="7"/>
  <c r="G151" i="7"/>
  <c r="L109" i="7"/>
  <c r="N241" i="7"/>
  <c r="AO40" i="9"/>
  <c r="AW26" i="9"/>
  <c r="H78" i="7"/>
  <c r="AQ23" i="9"/>
  <c r="X35" i="2"/>
  <c r="AQ94" i="9"/>
  <c r="C140" i="4"/>
  <c r="J70" i="4"/>
  <c r="AX52" i="9"/>
  <c r="E200" i="4"/>
  <c r="AU101" i="9"/>
  <c r="AZ44" i="9"/>
  <c r="I62" i="9"/>
  <c r="U85" i="7"/>
  <c r="J41" i="2"/>
  <c r="P75" i="4"/>
  <c r="R59" i="4"/>
  <c r="O66" i="7"/>
  <c r="Q100" i="4"/>
  <c r="F273" i="7"/>
  <c r="M74" i="2"/>
  <c r="C154" i="7"/>
  <c r="L46" i="9"/>
  <c r="P61" i="2"/>
  <c r="C66" i="4"/>
  <c r="G148" i="4"/>
  <c r="W43" i="2"/>
  <c r="U57" i="7"/>
  <c r="M268" i="4"/>
  <c r="N83" i="9"/>
  <c r="G89" i="7"/>
  <c r="BD41" i="9"/>
  <c r="D23" i="7"/>
  <c r="H250" i="4"/>
  <c r="H30" i="4"/>
  <c r="R40" i="9"/>
  <c r="N177" i="4"/>
  <c r="M225" i="4"/>
  <c r="P41" i="7"/>
  <c r="K65" i="9"/>
  <c r="H151" i="7"/>
  <c r="AM84" i="9"/>
  <c r="J42" i="9"/>
  <c r="O59" i="7"/>
  <c r="AV95" i="9"/>
  <c r="F212" i="4"/>
  <c r="B26" i="2"/>
  <c r="E140" i="7"/>
  <c r="G129" i="7"/>
  <c r="B87" i="4"/>
  <c r="F264" i="4"/>
  <c r="F57" i="7"/>
  <c r="H96" i="9"/>
  <c r="F126" i="4"/>
  <c r="O74" i="2"/>
  <c r="G37" i="9"/>
  <c r="P67" i="7"/>
  <c r="K188" i="7"/>
  <c r="C103" i="2"/>
  <c r="AU71" i="9"/>
  <c r="M147" i="7"/>
  <c r="L169" i="7"/>
  <c r="H142" i="4"/>
  <c r="C85" i="7"/>
  <c r="O75" i="2"/>
  <c r="AW42" i="9"/>
  <c r="L82" i="7"/>
  <c r="H91" i="2"/>
  <c r="R68" i="7"/>
  <c r="U36" i="2"/>
  <c r="E95" i="7"/>
  <c r="BI28" i="9"/>
  <c r="AC21" i="9"/>
  <c r="X25" i="7"/>
  <c r="L55" i="9"/>
  <c r="AF26" i="7"/>
  <c r="H42" i="2"/>
  <c r="BC33" i="9"/>
  <c r="P102" i="4"/>
  <c r="K47" i="9"/>
  <c r="B94" i="9"/>
  <c r="M42" i="4"/>
  <c r="AR42" i="9"/>
  <c r="M143" i="7"/>
  <c r="U37" i="9"/>
  <c r="B65" i="7"/>
  <c r="O78" i="2"/>
  <c r="G99" i="7"/>
  <c r="D266" i="7"/>
  <c r="D76" i="2"/>
  <c r="D107" i="7"/>
  <c r="H219" i="7"/>
  <c r="B179" i="7"/>
  <c r="M115" i="7"/>
  <c r="Q46" i="2"/>
  <c r="U52" i="7"/>
  <c r="O60" i="2"/>
  <c r="M221" i="7"/>
  <c r="R23" i="2"/>
  <c r="F181" i="7"/>
  <c r="H108" i="4"/>
  <c r="W31" i="9"/>
  <c r="F199" i="7"/>
  <c r="K91" i="7"/>
  <c r="K154" i="7"/>
  <c r="N161" i="7"/>
  <c r="H133" i="4"/>
  <c r="H61" i="2"/>
  <c r="F120" i="4"/>
  <c r="F167" i="4"/>
  <c r="J85" i="4"/>
  <c r="E59" i="9"/>
  <c r="N257" i="7"/>
  <c r="C86" i="4"/>
  <c r="G182" i="4"/>
  <c r="G108" i="2"/>
  <c r="C67" i="7"/>
  <c r="AJ110" i="9"/>
  <c r="I55" i="4"/>
  <c r="H102" i="2"/>
  <c r="G74" i="2"/>
  <c r="F209" i="4"/>
  <c r="H47" i="4"/>
  <c r="K166" i="4"/>
  <c r="E65" i="2"/>
  <c r="J64" i="2"/>
  <c r="D35" i="9"/>
  <c r="B50" i="7"/>
  <c r="K150" i="4"/>
  <c r="B49" i="7"/>
  <c r="AL108" i="9"/>
  <c r="H247" i="7"/>
  <c r="D46" i="2"/>
  <c r="W18" i="9"/>
  <c r="Z22" i="2"/>
  <c r="R30" i="4"/>
  <c r="BD30" i="9"/>
  <c r="F35" i="2"/>
  <c r="AH22" i="2"/>
  <c r="D270" i="7"/>
  <c r="AT83" i="9"/>
  <c r="P41" i="2"/>
  <c r="AT50" i="9"/>
  <c r="C62" i="4"/>
  <c r="B227" i="7"/>
  <c r="G259" i="7"/>
  <c r="AL85" i="9"/>
  <c r="L76" i="7"/>
  <c r="B56" i="4"/>
  <c r="H29" i="2"/>
  <c r="I56" i="7"/>
  <c r="B84" i="4"/>
  <c r="E137" i="4"/>
  <c r="K211" i="7"/>
  <c r="G102" i="4"/>
  <c r="F54" i="2"/>
  <c r="M266" i="7"/>
  <c r="J75" i="2"/>
  <c r="Q67" i="9"/>
  <c r="E95" i="2"/>
  <c r="T33" i="4"/>
  <c r="L104" i="7"/>
  <c r="E45" i="2"/>
  <c r="H60" i="9"/>
  <c r="C112" i="7"/>
  <c r="R77" i="2"/>
  <c r="H37" i="9"/>
  <c r="N145" i="4"/>
  <c r="O34" i="9"/>
  <c r="F38" i="2"/>
  <c r="G237" i="4"/>
  <c r="N212" i="7"/>
  <c r="K93" i="7"/>
  <c r="K58" i="4"/>
  <c r="G211" i="4"/>
  <c r="C79" i="4"/>
  <c r="D185" i="4"/>
  <c r="U95" i="7"/>
  <c r="L51" i="2"/>
  <c r="L57" i="9"/>
  <c r="O252" i="4"/>
  <c r="F160" i="4"/>
  <c r="M79" i="2"/>
  <c r="H239" i="7"/>
  <c r="D260" i="7"/>
  <c r="E117" i="4"/>
  <c r="K221" i="7"/>
  <c r="M210" i="4"/>
  <c r="K69" i="9"/>
  <c r="M201" i="7"/>
  <c r="C206" i="4"/>
  <c r="E149" i="4"/>
  <c r="Q16" i="7"/>
  <c r="I37" i="2"/>
  <c r="T29" i="2"/>
  <c r="BF28" i="9"/>
  <c r="D260" i="4"/>
  <c r="H23" i="9"/>
  <c r="K121" i="7"/>
  <c r="F78" i="7"/>
  <c r="M36" i="9"/>
  <c r="N108" i="4"/>
  <c r="C105" i="2"/>
  <c r="C48" i="4"/>
  <c r="G75" i="7"/>
  <c r="T96" i="2"/>
  <c r="J58" i="9"/>
  <c r="AX47" i="9"/>
  <c r="M119" i="4"/>
  <c r="C64" i="2"/>
  <c r="N189" i="4"/>
  <c r="D163" i="7"/>
  <c r="R70" i="7"/>
  <c r="E173" i="7"/>
  <c r="AO89" i="9"/>
  <c r="D257" i="7"/>
  <c r="AX55" i="9"/>
  <c r="B42" i="9"/>
  <c r="D42" i="4"/>
  <c r="O57" i="7"/>
  <c r="Q86" i="2"/>
  <c r="AU84" i="9"/>
  <c r="L135" i="7"/>
  <c r="M136" i="4"/>
  <c r="N95" i="4"/>
  <c r="N32" i="9"/>
  <c r="C73" i="7"/>
  <c r="D103" i="2"/>
  <c r="O76" i="2"/>
  <c r="H59" i="2"/>
  <c r="F86" i="7"/>
  <c r="M218" i="7"/>
  <c r="R72" i="7"/>
  <c r="H94" i="4"/>
  <c r="G221" i="4"/>
  <c r="K272" i="7"/>
  <c r="M105" i="7"/>
  <c r="N74" i="4"/>
  <c r="J108" i="4"/>
  <c r="P63" i="7"/>
  <c r="E60" i="9"/>
  <c r="K137" i="7"/>
  <c r="F53" i="9"/>
  <c r="F214" i="4"/>
  <c r="C147" i="7"/>
  <c r="AV98" i="9"/>
  <c r="J50" i="7"/>
  <c r="AW98" i="9"/>
  <c r="C55" i="4"/>
  <c r="AL74" i="9"/>
  <c r="T94" i="4"/>
  <c r="P107" i="2"/>
  <c r="C87" i="2"/>
  <c r="L190" i="7"/>
  <c r="M83" i="7"/>
  <c r="G36" i="2"/>
  <c r="K78" i="4"/>
  <c r="AN21" i="9"/>
  <c r="E89" i="9"/>
  <c r="E211" i="7"/>
  <c r="AL88" i="9"/>
  <c r="E81" i="4"/>
  <c r="H245" i="4"/>
  <c r="E54" i="9"/>
  <c r="B110" i="9"/>
  <c r="C58" i="7"/>
  <c r="L106" i="2"/>
  <c r="D58" i="4"/>
  <c r="N37" i="4"/>
  <c r="E48" i="9"/>
  <c r="Q69" i="4"/>
  <c r="V29" i="7"/>
  <c r="O37" i="7"/>
  <c r="T87" i="4"/>
  <c r="O120" i="4"/>
  <c r="N146" i="4"/>
  <c r="C251" i="7"/>
  <c r="E218" i="4"/>
  <c r="C29" i="9"/>
  <c r="AO85" i="9"/>
  <c r="P94" i="7"/>
  <c r="R42" i="9"/>
  <c r="F180" i="4"/>
  <c r="O112" i="2"/>
  <c r="N42" i="4"/>
  <c r="D180" i="7"/>
  <c r="R53" i="7"/>
  <c r="G111" i="2"/>
  <c r="H77" i="9"/>
  <c r="H63" i="9"/>
  <c r="O73" i="2"/>
  <c r="AJ68" i="9"/>
  <c r="D130" i="4"/>
  <c r="N174" i="7"/>
  <c r="B46" i="2"/>
  <c r="E251" i="7"/>
  <c r="H96" i="2"/>
  <c r="H186" i="7"/>
  <c r="C91" i="7"/>
  <c r="E109" i="4"/>
  <c r="AM69" i="9"/>
  <c r="O159" i="4"/>
  <c r="AV84" i="9"/>
  <c r="I61" i="4"/>
  <c r="AZ63" i="9"/>
  <c r="G221" i="7"/>
  <c r="L153" i="7"/>
  <c r="AO59" i="9"/>
  <c r="I92" i="4"/>
  <c r="G11" i="2"/>
  <c r="H93" i="7"/>
  <c r="Q62" i="4"/>
  <c r="F243" i="4"/>
  <c r="C99" i="2"/>
  <c r="H235" i="7"/>
  <c r="B35" i="9"/>
  <c r="E90" i="4"/>
  <c r="P46" i="9"/>
  <c r="U35" i="9"/>
  <c r="T68" i="7"/>
  <c r="H84" i="2"/>
  <c r="AV29" i="9"/>
  <c r="AC24" i="9"/>
  <c r="G84" i="7"/>
  <c r="T69" i="7"/>
  <c r="E162" i="7"/>
  <c r="C104" i="7"/>
  <c r="M74" i="4"/>
  <c r="C213" i="4"/>
  <c r="M216" i="7"/>
  <c r="E75" i="2"/>
  <c r="P42" i="7"/>
  <c r="F263" i="7"/>
  <c r="E92" i="7"/>
  <c r="N88" i="7"/>
  <c r="T83" i="4"/>
  <c r="AI70" i="9"/>
  <c r="T54" i="7"/>
  <c r="L170" i="7"/>
  <c r="L228" i="4"/>
  <c r="F57" i="4"/>
  <c r="AP68" i="9"/>
  <c r="G190" i="4"/>
  <c r="D233" i="7"/>
  <c r="M158" i="4"/>
  <c r="F77" i="9"/>
  <c r="AU60" i="9"/>
  <c r="K70" i="4"/>
  <c r="K181" i="7"/>
  <c r="B55" i="2"/>
  <c r="K243" i="4"/>
  <c r="N189" i="7"/>
  <c r="AK86" i="9"/>
  <c r="J68" i="7"/>
  <c r="C63" i="7"/>
  <c r="D27" i="9"/>
  <c r="B121" i="7"/>
  <c r="AK91" i="9"/>
  <c r="H77" i="4"/>
  <c r="M109" i="4"/>
  <c r="L103" i="7"/>
  <c r="E157" i="4"/>
  <c r="E90" i="2"/>
  <c r="M128" i="7"/>
  <c r="M71" i="7"/>
  <c r="G68" i="4"/>
  <c r="M93" i="9"/>
  <c r="F176" i="4"/>
  <c r="E222" i="7"/>
  <c r="F74" i="2"/>
  <c r="E100" i="7"/>
  <c r="B99" i="2"/>
  <c r="F232" i="7"/>
  <c r="H77" i="2"/>
  <c r="H72" i="2"/>
  <c r="AM43" i="9"/>
  <c r="K138" i="7"/>
  <c r="F38" i="7"/>
  <c r="J52" i="9"/>
  <c r="AA11" i="2"/>
  <c r="AW90" i="9"/>
  <c r="F71" i="2"/>
  <c r="M48" i="7"/>
  <c r="F247" i="7"/>
  <c r="G246" i="4"/>
  <c r="D261" i="4"/>
  <c r="I60" i="2"/>
  <c r="O188" i="4"/>
  <c r="G159" i="4"/>
  <c r="C182" i="7"/>
  <c r="B56" i="9"/>
  <c r="H123" i="4"/>
  <c r="C270" i="7"/>
  <c r="F249" i="7"/>
  <c r="E257" i="4"/>
  <c r="F49" i="2"/>
  <c r="T78" i="9"/>
  <c r="L62" i="2"/>
  <c r="H47" i="9"/>
  <c r="N191" i="7"/>
  <c r="AP108" i="9"/>
  <c r="K242" i="4"/>
  <c r="L107" i="9"/>
  <c r="B67" i="9"/>
  <c r="E235" i="4"/>
  <c r="N123" i="4"/>
  <c r="O104" i="7"/>
  <c r="N254" i="7"/>
  <c r="H267" i="7"/>
  <c r="D245" i="7"/>
  <c r="M49" i="9"/>
  <c r="K123" i="4"/>
  <c r="R77" i="7"/>
  <c r="D72" i="2"/>
  <c r="H55" i="2"/>
  <c r="AK80" i="9"/>
  <c r="M226" i="7"/>
  <c r="R57" i="9"/>
  <c r="K78" i="2"/>
  <c r="D100" i="7"/>
  <c r="O93" i="2"/>
  <c r="G218" i="7"/>
  <c r="N66" i="7"/>
  <c r="R44" i="2"/>
  <c r="D270" i="4"/>
  <c r="N118" i="4"/>
  <c r="C161" i="4"/>
  <c r="L31" i="2"/>
  <c r="F172" i="4"/>
  <c r="S90" i="4"/>
  <c r="M248" i="7"/>
  <c r="I103" i="4"/>
  <c r="O145" i="4"/>
  <c r="C225" i="4"/>
  <c r="AJ97" i="9"/>
  <c r="E220" i="4"/>
  <c r="B67" i="7"/>
  <c r="P44" i="7"/>
  <c r="G104" i="2"/>
  <c r="L69" i="7"/>
  <c r="G36" i="7"/>
  <c r="T67" i="4"/>
  <c r="F86" i="9"/>
  <c r="F207" i="4"/>
  <c r="Z31" i="2"/>
  <c r="V38" i="9"/>
  <c r="N137" i="4"/>
  <c r="D82" i="7"/>
  <c r="O210" i="4"/>
  <c r="AQ66" i="9"/>
  <c r="W21" i="2"/>
  <c r="D63" i="2"/>
  <c r="I29" i="2"/>
  <c r="M109" i="2"/>
  <c r="F70" i="7"/>
  <c r="K259" i="4"/>
  <c r="D102" i="2"/>
  <c r="G128" i="4"/>
  <c r="B88" i="4"/>
  <c r="AX70" i="9"/>
  <c r="H38" i="9"/>
  <c r="L268" i="4"/>
  <c r="F35" i="7"/>
  <c r="H102" i="7"/>
  <c r="F215" i="4"/>
  <c r="AP44" i="9"/>
  <c r="P54" i="7"/>
  <c r="G157" i="4"/>
  <c r="D264" i="4"/>
  <c r="F58" i="4"/>
  <c r="K89" i="4"/>
  <c r="M240" i="4"/>
  <c r="H11" i="2"/>
  <c r="U92" i="2"/>
  <c r="O100" i="2"/>
  <c r="AZ41" i="9"/>
  <c r="T81" i="2"/>
  <c r="E106" i="2"/>
  <c r="B95" i="4"/>
  <c r="D216" i="7"/>
  <c r="B212" i="7"/>
  <c r="G39" i="7"/>
  <c r="H103" i="4"/>
  <c r="AM102" i="9"/>
  <c r="AL105" i="9"/>
  <c r="G46" i="2"/>
  <c r="E79" i="2"/>
  <c r="I84" i="2"/>
  <c r="E62" i="4"/>
  <c r="C150" i="7"/>
  <c r="C98" i="9"/>
  <c r="D72" i="7"/>
  <c r="C154" i="4"/>
  <c r="AU42" i="9"/>
  <c r="M92" i="7"/>
  <c r="H94" i="7"/>
  <c r="E62" i="2"/>
  <c r="AK54" i="9"/>
  <c r="K195" i="7"/>
  <c r="N248" i="4"/>
  <c r="D78" i="9"/>
  <c r="M159" i="4"/>
  <c r="N36" i="9"/>
  <c r="AJ69" i="9"/>
  <c r="R50" i="7"/>
  <c r="AX80" i="9"/>
  <c r="E194" i="4"/>
  <c r="H200" i="4"/>
  <c r="AI64" i="9"/>
  <c r="T88" i="2"/>
  <c r="R62" i="7"/>
  <c r="F28" i="4"/>
  <c r="M152" i="4"/>
  <c r="R100" i="4"/>
  <c r="E252" i="7"/>
  <c r="AK76" i="9"/>
  <c r="AR48" i="9"/>
  <c r="O253" i="4"/>
  <c r="AT55" i="9"/>
  <c r="G228" i="7"/>
  <c r="AI44" i="9"/>
  <c r="T58" i="9"/>
  <c r="G48" i="9"/>
  <c r="U60" i="7"/>
  <c r="O66" i="4"/>
  <c r="B119" i="7"/>
  <c r="M61" i="2"/>
  <c r="E92" i="9"/>
  <c r="C136" i="7"/>
  <c r="D144" i="7"/>
  <c r="D85" i="4"/>
  <c r="AU80" i="9"/>
  <c r="D268" i="7"/>
  <c r="M224" i="4"/>
  <c r="N60" i="2"/>
  <c r="AN105" i="9"/>
  <c r="D40" i="9"/>
  <c r="O59" i="4"/>
  <c r="L214" i="4"/>
  <c r="R71" i="7"/>
  <c r="R73" i="7"/>
  <c r="F35" i="4"/>
  <c r="O213" i="4"/>
  <c r="E204" i="7"/>
  <c r="C114" i="4"/>
  <c r="G215" i="7"/>
  <c r="F188" i="4"/>
  <c r="K96" i="2"/>
  <c r="P81" i="2"/>
  <c r="C207" i="7"/>
  <c r="Q94" i="2"/>
  <c r="F235" i="4"/>
  <c r="R61" i="7"/>
  <c r="M56" i="4"/>
  <c r="J62" i="2"/>
  <c r="U64" i="4"/>
  <c r="AQ40" i="9"/>
  <c r="K163" i="4"/>
  <c r="O148" i="4"/>
  <c r="B164" i="7"/>
  <c r="T63" i="7"/>
  <c r="P67" i="9"/>
  <c r="G158" i="7"/>
  <c r="Q53" i="4"/>
  <c r="U79" i="2"/>
  <c r="AC9" i="4"/>
  <c r="M17" i="4"/>
  <c r="BK17" i="9"/>
  <c r="F84" i="4"/>
  <c r="AD25" i="2"/>
  <c r="AE17" i="2"/>
  <c r="D21" i="4"/>
  <c r="U20" i="9"/>
  <c r="V25" i="4"/>
  <c r="W28" i="7"/>
  <c r="AZ26" i="9"/>
  <c r="AN19" i="9"/>
  <c r="T88" i="4"/>
  <c r="L251" i="4"/>
  <c r="O18" i="9"/>
  <c r="U61" i="4"/>
  <c r="S92" i="7"/>
  <c r="AD20" i="2"/>
  <c r="AL73" i="9"/>
  <c r="O245" i="4"/>
  <c r="G83" i="2"/>
  <c r="G16" i="2"/>
  <c r="B250" i="7"/>
  <c r="H22" i="2"/>
  <c r="N62" i="7"/>
  <c r="Q16" i="2"/>
  <c r="H183" i="4"/>
  <c r="J34" i="7"/>
  <c r="L125" i="4"/>
  <c r="T34" i="4"/>
  <c r="E134" i="7"/>
  <c r="AA23" i="7"/>
  <c r="T51" i="4"/>
  <c r="K151" i="7"/>
  <c r="M231" i="7"/>
  <c r="Q52" i="7"/>
  <c r="F216" i="7"/>
  <c r="N54" i="2"/>
  <c r="Q67" i="4"/>
  <c r="F45" i="4"/>
  <c r="AL24" i="9"/>
  <c r="N29" i="9"/>
  <c r="E84" i="4"/>
  <c r="AK89" i="9"/>
  <c r="H141" i="4"/>
  <c r="F28" i="9"/>
  <c r="T62" i="7"/>
  <c r="U88" i="2"/>
  <c r="E106" i="9"/>
  <c r="H69" i="9"/>
  <c r="AV63" i="9"/>
  <c r="N275" i="7"/>
  <c r="I33" i="7"/>
  <c r="H196" i="4"/>
  <c r="P52" i="9"/>
  <c r="E271" i="4"/>
  <c r="BB89" i="9"/>
  <c r="G19" i="9"/>
  <c r="F32" i="7"/>
  <c r="Q44" i="9"/>
  <c r="AA19" i="9"/>
  <c r="C153" i="7"/>
  <c r="N79" i="7"/>
  <c r="O104" i="9"/>
  <c r="AY54" i="9"/>
  <c r="C95" i="7"/>
  <c r="M56" i="7"/>
  <c r="J26" i="9"/>
  <c r="AN104" i="9"/>
  <c r="C101" i="4"/>
  <c r="E95" i="4"/>
  <c r="X13" i="2"/>
  <c r="U70" i="7"/>
  <c r="BD20" i="9"/>
  <c r="O82" i="9"/>
  <c r="AA25" i="2"/>
  <c r="AO96" i="9"/>
  <c r="G66" i="4"/>
  <c r="O50" i="7"/>
  <c r="L45" i="4"/>
  <c r="Q57" i="9"/>
  <c r="AV62" i="9"/>
  <c r="P32" i="7"/>
  <c r="N273" i="7"/>
  <c r="AK65" i="9"/>
  <c r="J36" i="2"/>
  <c r="K51" i="4"/>
  <c r="U15" i="9"/>
  <c r="P27" i="2"/>
  <c r="AB19" i="9"/>
  <c r="J62" i="4"/>
  <c r="P87" i="7"/>
  <c r="BL19" i="9"/>
  <c r="AC23" i="7"/>
  <c r="F134" i="7"/>
  <c r="AT60" i="9"/>
  <c r="D134" i="4"/>
  <c r="D274" i="4"/>
  <c r="N78" i="9"/>
  <c r="C220" i="7"/>
  <c r="D167" i="7"/>
  <c r="H83" i="4"/>
  <c r="W21" i="9"/>
  <c r="Q16" i="9"/>
  <c r="C61" i="9"/>
  <c r="AO27" i="9"/>
  <c r="L193" i="7"/>
  <c r="I36" i="2"/>
  <c r="AP22" i="9"/>
  <c r="N142" i="7"/>
  <c r="N92" i="9"/>
  <c r="C173" i="4"/>
  <c r="G76" i="7"/>
  <c r="T42" i="2"/>
  <c r="F199" i="4"/>
  <c r="F106" i="2"/>
  <c r="V34" i="7"/>
  <c r="G50" i="4"/>
  <c r="AP65" i="9"/>
  <c r="AB17" i="9"/>
  <c r="AI32" i="9"/>
  <c r="I85" i="4"/>
  <c r="N247" i="4"/>
  <c r="AA18" i="2"/>
  <c r="R31" i="4"/>
  <c r="L39" i="2"/>
  <c r="R49" i="4"/>
  <c r="P112" i="2"/>
  <c r="M62" i="4"/>
  <c r="E93" i="2"/>
  <c r="P94" i="9"/>
  <c r="B162" i="7"/>
  <c r="N28" i="7"/>
  <c r="D196" i="7"/>
  <c r="M43" i="2"/>
  <c r="O29" i="4"/>
  <c r="C183" i="7"/>
  <c r="C171" i="7"/>
  <c r="M144" i="4"/>
  <c r="AI68" i="9"/>
  <c r="AJ18" i="9"/>
  <c r="T24" i="4"/>
  <c r="G54" i="7"/>
  <c r="L107" i="7"/>
  <c r="F153" i="4"/>
  <c r="AI31" i="9"/>
  <c r="AQ38" i="9"/>
  <c r="AT66" i="9"/>
  <c r="N76" i="7"/>
  <c r="AT67" i="9"/>
  <c r="K215" i="7"/>
  <c r="AI105" i="9"/>
  <c r="M159" i="7"/>
  <c r="H273" i="4"/>
  <c r="L222" i="7"/>
  <c r="X24" i="2"/>
  <c r="AS27" i="9"/>
  <c r="AJ21" i="9"/>
  <c r="AU89" i="9"/>
  <c r="AO34" i="9"/>
  <c r="U36" i="9"/>
  <c r="F54" i="4"/>
  <c r="F250" i="4"/>
  <c r="L70" i="4"/>
  <c r="N63" i="2"/>
  <c r="H138" i="7"/>
  <c r="M213" i="4"/>
  <c r="H170" i="4"/>
  <c r="M99" i="7"/>
  <c r="K172" i="4"/>
  <c r="T23" i="9"/>
  <c r="C59" i="4"/>
  <c r="K105" i="2"/>
  <c r="Q41" i="2"/>
  <c r="J31" i="7"/>
  <c r="K53" i="9"/>
  <c r="L226" i="7"/>
  <c r="N155" i="4"/>
  <c r="F107" i="2"/>
  <c r="Q61" i="2"/>
  <c r="K247" i="7"/>
  <c r="N157" i="7"/>
  <c r="AK75" i="9"/>
  <c r="F69" i="7"/>
  <c r="H80" i="9"/>
  <c r="L250" i="7"/>
  <c r="N251" i="4"/>
  <c r="F52" i="9"/>
  <c r="BB30" i="9"/>
  <c r="U52" i="4"/>
  <c r="P73" i="9"/>
  <c r="K256" i="7"/>
  <c r="R94" i="4"/>
  <c r="E51" i="2"/>
  <c r="D254" i="4"/>
  <c r="L191" i="7"/>
  <c r="N61" i="9"/>
  <c r="R78" i="7"/>
  <c r="H193" i="7"/>
  <c r="K195" i="4"/>
  <c r="N55" i="4"/>
  <c r="F185" i="4"/>
  <c r="H93" i="9"/>
  <c r="G79" i="7"/>
  <c r="Y19" i="4"/>
  <c r="AB24" i="7"/>
  <c r="H269" i="4"/>
  <c r="C64" i="7"/>
  <c r="BB82" i="9"/>
  <c r="AW76" i="9"/>
  <c r="B106" i="2"/>
  <c r="D132" i="7"/>
  <c r="K62" i="7"/>
  <c r="AJ76" i="9"/>
  <c r="C31" i="9"/>
  <c r="F203" i="7"/>
  <c r="E131" i="4"/>
  <c r="N34" i="9"/>
  <c r="N216" i="7"/>
  <c r="U19" i="7"/>
  <c r="Q47" i="4"/>
  <c r="AY3" i="9"/>
  <c r="F262" i="7"/>
  <c r="M27" i="9"/>
  <c r="G247" i="4"/>
  <c r="AY21" i="9"/>
  <c r="AA32" i="2"/>
  <c r="L250" i="4"/>
  <c r="N11" i="2"/>
  <c r="F125" i="7"/>
  <c r="AW107" i="9"/>
  <c r="D63" i="7"/>
  <c r="H159" i="4"/>
  <c r="G75" i="4"/>
  <c r="N154" i="4"/>
  <c r="U81" i="7"/>
  <c r="AE22" i="9"/>
  <c r="BB55" i="9"/>
  <c r="H49" i="9"/>
  <c r="J62" i="7"/>
  <c r="L44" i="7"/>
  <c r="D178" i="4"/>
  <c r="O32" i="9"/>
  <c r="E200" i="7"/>
  <c r="D43" i="2"/>
  <c r="L110" i="7"/>
  <c r="H233" i="7"/>
  <c r="H87" i="2"/>
  <c r="F104" i="7"/>
  <c r="G74" i="7"/>
  <c r="P45" i="2"/>
  <c r="L60" i="7"/>
  <c r="D72" i="9"/>
  <c r="AX41" i="9"/>
  <c r="S88" i="7"/>
  <c r="M244" i="4"/>
  <c r="D271" i="4"/>
  <c r="AU36" i="9"/>
  <c r="L78" i="7"/>
  <c r="B30" i="9"/>
  <c r="O47" i="2"/>
  <c r="U55" i="7"/>
  <c r="P92" i="7"/>
  <c r="N176" i="7"/>
  <c r="AX84" i="9"/>
  <c r="G64" i="4"/>
  <c r="R106" i="4"/>
  <c r="U17" i="4"/>
  <c r="E52" i="7"/>
  <c r="BB29" i="9"/>
  <c r="M100" i="7"/>
  <c r="F109" i="2"/>
  <c r="B40" i="9"/>
  <c r="AX76" i="9"/>
  <c r="L102" i="9"/>
  <c r="D230" i="7"/>
  <c r="H41" i="4"/>
  <c r="J46" i="2"/>
  <c r="C157" i="7"/>
  <c r="D267" i="7"/>
  <c r="O73" i="9"/>
  <c r="R72" i="2"/>
  <c r="M236" i="7"/>
  <c r="J98" i="2"/>
  <c r="T24" i="7"/>
  <c r="U47" i="2"/>
  <c r="B27" i="2"/>
  <c r="K60" i="4"/>
  <c r="G24" i="9"/>
  <c r="K28" i="7"/>
  <c r="I52" i="7"/>
  <c r="R42" i="2"/>
  <c r="L106" i="9"/>
  <c r="B236" i="7"/>
  <c r="AL92" i="9"/>
  <c r="N243" i="7"/>
  <c r="AP50" i="9"/>
  <c r="M153" i="4"/>
  <c r="AL78" i="9"/>
  <c r="K26" i="2"/>
  <c r="O3" i="9"/>
  <c r="J22" i="9"/>
  <c r="E192" i="7"/>
  <c r="B54" i="9"/>
  <c r="AZ65" i="9"/>
  <c r="Q76" i="7"/>
  <c r="AU22" i="9"/>
  <c r="G172" i="7"/>
  <c r="AK50" i="9"/>
  <c r="N86" i="4"/>
  <c r="E57" i="4"/>
  <c r="AJ41" i="9"/>
  <c r="M134" i="7"/>
  <c r="K199" i="7"/>
  <c r="E256" i="7"/>
  <c r="B211" i="7"/>
  <c r="H134" i="7"/>
  <c r="F136" i="4"/>
  <c r="M260" i="7"/>
  <c r="E106" i="7"/>
  <c r="K76" i="4"/>
  <c r="Q71" i="9"/>
  <c r="E45" i="7"/>
  <c r="L227" i="4"/>
  <c r="J32" i="4"/>
  <c r="K36" i="4"/>
  <c r="D46" i="9"/>
  <c r="E48" i="7"/>
  <c r="K275" i="7"/>
  <c r="G198" i="4"/>
  <c r="J19" i="9"/>
  <c r="M69" i="4"/>
  <c r="H25" i="2"/>
  <c r="M67" i="7"/>
  <c r="AT30" i="9"/>
  <c r="J36" i="4"/>
  <c r="B82" i="9"/>
  <c r="N187" i="7"/>
  <c r="W26" i="4"/>
  <c r="U26" i="2"/>
  <c r="D232" i="7"/>
  <c r="K185" i="4"/>
  <c r="F134" i="4"/>
  <c r="H93" i="2"/>
  <c r="F204" i="7"/>
  <c r="AT69" i="9"/>
  <c r="T26" i="4"/>
  <c r="V30" i="4"/>
  <c r="AK96" i="9"/>
  <c r="J29" i="2"/>
  <c r="M124" i="4"/>
  <c r="L41" i="4"/>
  <c r="AK61" i="9"/>
  <c r="AJ24" i="9"/>
  <c r="AL89" i="9"/>
  <c r="F78" i="9"/>
  <c r="E37" i="4"/>
  <c r="AV30" i="9"/>
  <c r="AV80" i="9"/>
  <c r="N220" i="7"/>
  <c r="N38" i="7"/>
  <c r="D25" i="9"/>
  <c r="M227" i="4"/>
  <c r="O20" i="2"/>
  <c r="M219" i="7"/>
  <c r="B203" i="7"/>
  <c r="M261" i="4"/>
  <c r="B183" i="7"/>
  <c r="N228" i="4"/>
  <c r="AO51" i="9"/>
  <c r="C118" i="7"/>
  <c r="F40" i="4"/>
  <c r="E36" i="2"/>
  <c r="B71" i="4"/>
  <c r="D138" i="7"/>
  <c r="R29" i="7"/>
  <c r="N93" i="2"/>
  <c r="T61" i="4"/>
  <c r="C176" i="7"/>
  <c r="K86" i="4"/>
  <c r="N159" i="7"/>
  <c r="G192" i="7"/>
  <c r="N53" i="2"/>
  <c r="B14" i="10"/>
  <c r="H205" i="7"/>
  <c r="G91" i="4"/>
  <c r="O50" i="2"/>
  <c r="N172" i="4"/>
  <c r="E35" i="7"/>
  <c r="D33" i="4"/>
  <c r="C88" i="7"/>
  <c r="K69" i="7"/>
  <c r="G254" i="4"/>
  <c r="AB19" i="7"/>
  <c r="Q36" i="4"/>
  <c r="B103" i="7"/>
  <c r="AU108" i="9"/>
  <c r="G95" i="4"/>
  <c r="G94" i="7"/>
  <c r="B33" i="2"/>
  <c r="K127" i="4"/>
  <c r="BB78" i="9"/>
  <c r="C242" i="7"/>
  <c r="C36" i="4"/>
  <c r="P57" i="2"/>
  <c r="M98" i="4"/>
  <c r="L125" i="7"/>
  <c r="AV50" i="9"/>
  <c r="G125" i="4"/>
  <c r="O108" i="7"/>
  <c r="C132" i="4"/>
  <c r="B12" i="10"/>
  <c r="C91" i="9"/>
  <c r="T60" i="7"/>
  <c r="H75" i="4"/>
  <c r="N87" i="9"/>
  <c r="G132" i="7"/>
  <c r="L43" i="7"/>
  <c r="K44" i="9"/>
  <c r="O98" i="9"/>
  <c r="H43" i="9"/>
  <c r="O52" i="4"/>
  <c r="J105" i="2"/>
  <c r="C83" i="9"/>
  <c r="Q111" i="2"/>
  <c r="L220" i="4"/>
  <c r="AQ87" i="9"/>
  <c r="C135" i="4"/>
  <c r="BG3" i="9"/>
  <c r="E256" i="4"/>
  <c r="B115" i="7"/>
  <c r="G250" i="4"/>
  <c r="AU92" i="9"/>
  <c r="T90" i="9"/>
  <c r="N90" i="7"/>
  <c r="E169" i="4"/>
  <c r="O45" i="7"/>
  <c r="N79" i="4"/>
  <c r="E42" i="2"/>
  <c r="Q32" i="9"/>
  <c r="M228" i="7"/>
  <c r="Q47" i="9"/>
  <c r="K261" i="7"/>
  <c r="E56" i="9"/>
  <c r="AY41" i="9"/>
  <c r="C100" i="9"/>
  <c r="R71" i="2"/>
  <c r="M46" i="7"/>
  <c r="AJ101" i="9"/>
  <c r="B69" i="2"/>
  <c r="J31" i="2"/>
  <c r="AU87" i="9"/>
  <c r="F81" i="4"/>
  <c r="G226" i="7"/>
  <c r="M217" i="4"/>
  <c r="N260" i="7"/>
  <c r="O135" i="4"/>
  <c r="AT21" i="9"/>
  <c r="V20" i="2"/>
  <c r="AW40" i="9"/>
  <c r="B93" i="7"/>
  <c r="B45" i="7"/>
  <c r="H95" i="7"/>
  <c r="U43" i="9"/>
  <c r="AK40" i="9"/>
  <c r="B114" i="7"/>
  <c r="U84" i="4"/>
  <c r="AL50" i="9"/>
  <c r="H79" i="4"/>
  <c r="G103" i="4"/>
  <c r="M53" i="4"/>
  <c r="L236" i="7"/>
  <c r="D268" i="4"/>
  <c r="K124" i="4"/>
  <c r="K59" i="7"/>
  <c r="G104" i="7"/>
  <c r="F41" i="2"/>
  <c r="E119" i="4"/>
  <c r="C116" i="7"/>
  <c r="O271" i="4"/>
  <c r="R52" i="7"/>
  <c r="E29" i="4"/>
  <c r="AZ47" i="9"/>
  <c r="N213" i="4"/>
  <c r="O78" i="4"/>
  <c r="N135" i="7"/>
  <c r="P79" i="4"/>
  <c r="K214" i="4"/>
  <c r="F13" i="2"/>
  <c r="AX37" i="9"/>
  <c r="K143" i="7"/>
  <c r="D206" i="4"/>
  <c r="Y25" i="7"/>
  <c r="G210" i="7"/>
  <c r="AI108" i="9"/>
  <c r="E53" i="7"/>
  <c r="AX77" i="9"/>
  <c r="O147" i="4"/>
  <c r="L89" i="4"/>
  <c r="E129" i="4"/>
  <c r="E231" i="7"/>
  <c r="R57" i="2"/>
  <c r="D73" i="2"/>
  <c r="N163" i="7"/>
  <c r="M84" i="7"/>
  <c r="AN52" i="9"/>
  <c r="G109" i="9"/>
  <c r="B168" i="7"/>
  <c r="T85" i="2"/>
  <c r="H194" i="7"/>
  <c r="N242" i="4"/>
  <c r="K198" i="7"/>
  <c r="F65" i="7"/>
  <c r="H165" i="4"/>
  <c r="G47" i="2"/>
  <c r="K229" i="4"/>
  <c r="D143" i="4"/>
  <c r="BB51" i="9"/>
  <c r="N87" i="4"/>
  <c r="E59" i="7"/>
  <c r="Q82" i="4"/>
  <c r="B105" i="4"/>
  <c r="P60" i="7"/>
  <c r="Q68" i="2"/>
  <c r="Q48" i="9"/>
  <c r="G60" i="4"/>
  <c r="E163" i="7"/>
  <c r="N23" i="9"/>
  <c r="AX24" i="9"/>
  <c r="J64" i="7"/>
  <c r="Y25" i="2"/>
  <c r="W35" i="4"/>
  <c r="E131" i="7"/>
  <c r="M56" i="9"/>
  <c r="BC31" i="9"/>
  <c r="E107" i="9"/>
  <c r="AS28" i="9"/>
  <c r="E258" i="4"/>
  <c r="N72" i="7"/>
  <c r="AQ43" i="9"/>
  <c r="Q70" i="9"/>
  <c r="O262" i="4"/>
  <c r="H241" i="4"/>
  <c r="AX91" i="9"/>
  <c r="C87" i="7"/>
  <c r="I78" i="2"/>
  <c r="F156" i="4"/>
  <c r="R73" i="4"/>
  <c r="O195" i="4"/>
  <c r="D197" i="7"/>
  <c r="L68" i="4"/>
  <c r="G87" i="2"/>
  <c r="H248" i="7"/>
  <c r="C61" i="2"/>
  <c r="O157" i="4"/>
  <c r="B43" i="2"/>
  <c r="U31" i="9"/>
  <c r="F234" i="4"/>
  <c r="K47" i="7"/>
  <c r="T63" i="9"/>
  <c r="E237" i="7"/>
  <c r="D88" i="7"/>
  <c r="B247" i="7"/>
  <c r="M77" i="2"/>
  <c r="N263" i="4"/>
  <c r="E66" i="2"/>
  <c r="I64" i="7"/>
  <c r="O130" i="4"/>
  <c r="F88" i="7"/>
  <c r="F67" i="9"/>
  <c r="AK100" i="9"/>
  <c r="O110" i="2"/>
  <c r="O46" i="2"/>
  <c r="B42" i="2"/>
  <c r="D148" i="7"/>
  <c r="AH24" i="2"/>
  <c r="J52" i="4"/>
  <c r="O93" i="7"/>
  <c r="AX42" i="9"/>
  <c r="O267" i="4"/>
  <c r="N82" i="7"/>
  <c r="AS69" i="9"/>
  <c r="Q78" i="4"/>
  <c r="C80" i="7"/>
  <c r="AY55" i="9"/>
  <c r="R90" i="2"/>
  <c r="N160" i="7"/>
  <c r="L152" i="7"/>
  <c r="AR64" i="9"/>
  <c r="D30" i="7"/>
  <c r="B25" i="4"/>
  <c r="G133" i="4"/>
  <c r="V41" i="4"/>
  <c r="E101" i="7"/>
  <c r="L239" i="7"/>
  <c r="Q35" i="2"/>
  <c r="AI75" i="9"/>
  <c r="D207" i="7"/>
  <c r="D55" i="2"/>
  <c r="D88" i="4"/>
  <c r="I106" i="4"/>
  <c r="AT101" i="9"/>
  <c r="I107" i="4"/>
  <c r="L75" i="4"/>
  <c r="C275" i="7"/>
  <c r="L126" i="4"/>
  <c r="L71" i="4"/>
  <c r="AN64" i="9"/>
  <c r="C185" i="4"/>
  <c r="L218" i="7"/>
  <c r="L92" i="7"/>
  <c r="N150" i="4"/>
  <c r="L249" i="7"/>
  <c r="I95" i="2"/>
  <c r="O206" i="4"/>
  <c r="C107" i="9"/>
  <c r="H83" i="9"/>
  <c r="L227" i="7"/>
  <c r="F182" i="4"/>
  <c r="F141" i="4"/>
  <c r="E196" i="4"/>
  <c r="Q27" i="2"/>
  <c r="V41" i="7"/>
  <c r="M270" i="7"/>
  <c r="M142" i="4"/>
  <c r="AI106" i="9"/>
  <c r="K193" i="7"/>
  <c r="D75" i="4"/>
  <c r="O185" i="4"/>
  <c r="P100" i="4"/>
  <c r="AK57" i="9"/>
  <c r="N139" i="7"/>
  <c r="J54" i="7"/>
  <c r="E174" i="7"/>
  <c r="L175" i="4"/>
  <c r="F223" i="7"/>
  <c r="H105" i="2"/>
  <c r="N130" i="7"/>
  <c r="F78" i="2"/>
  <c r="L51" i="4"/>
  <c r="AY64" i="9"/>
  <c r="P92" i="9"/>
  <c r="E172" i="4"/>
  <c r="I62" i="7"/>
  <c r="BD32" i="9"/>
  <c r="C192" i="7"/>
  <c r="L56" i="4"/>
  <c r="L85" i="4"/>
  <c r="X18" i="9"/>
  <c r="AP28" i="9"/>
  <c r="R23" i="9"/>
  <c r="N85" i="4"/>
  <c r="G63" i="4"/>
  <c r="R34" i="7"/>
  <c r="AG22" i="4"/>
  <c r="N245" i="4"/>
  <c r="N126" i="4"/>
  <c r="K120" i="7"/>
  <c r="L35" i="7"/>
  <c r="D198" i="4"/>
  <c r="H134" i="4"/>
  <c r="E154" i="7"/>
  <c r="BB64" i="9"/>
  <c r="M265" i="4"/>
  <c r="E207" i="7"/>
  <c r="N103" i="2"/>
  <c r="N112" i="2"/>
  <c r="I55" i="9"/>
  <c r="AI81" i="9"/>
  <c r="K52" i="2"/>
  <c r="P34" i="9"/>
  <c r="P45" i="4"/>
  <c r="BB45" i="9"/>
  <c r="Q112" i="2"/>
  <c r="J11" i="2"/>
  <c r="R58" i="7"/>
  <c r="P89" i="7"/>
  <c r="B47" i="4"/>
  <c r="L197" i="4"/>
  <c r="T70" i="4"/>
  <c r="B131" i="7"/>
  <c r="E37" i="2"/>
  <c r="H120" i="7"/>
  <c r="D248" i="4"/>
  <c r="D71" i="2"/>
  <c r="T33" i="9"/>
  <c r="M253" i="4"/>
  <c r="M34" i="9"/>
  <c r="Q66" i="4"/>
  <c r="P99" i="4"/>
  <c r="M207" i="4"/>
  <c r="Q66" i="7"/>
  <c r="T66" i="7"/>
  <c r="P48" i="9"/>
  <c r="K66" i="7"/>
  <c r="X35" i="9"/>
  <c r="R43" i="2"/>
  <c r="N115" i="4"/>
  <c r="F238" i="4"/>
  <c r="E206" i="4"/>
  <c r="D130" i="7"/>
  <c r="I98" i="4"/>
  <c r="C37" i="2"/>
  <c r="L75" i="2"/>
  <c r="O106" i="4"/>
  <c r="AX65" i="9"/>
  <c r="N104" i="9"/>
  <c r="H95" i="2"/>
  <c r="I57" i="9"/>
  <c r="F3" i="4"/>
  <c r="E189" i="7"/>
  <c r="AA22" i="7"/>
  <c r="F103" i="7"/>
  <c r="M81" i="9"/>
  <c r="E176" i="4"/>
  <c r="E205" i="7"/>
  <c r="D91" i="7"/>
  <c r="L165" i="7"/>
  <c r="P75" i="9"/>
  <c r="R35" i="4"/>
  <c r="H156" i="7"/>
  <c r="J59" i="2"/>
  <c r="G126" i="4"/>
  <c r="I77" i="4"/>
  <c r="M194" i="7"/>
  <c r="L143" i="4"/>
  <c r="M250" i="7"/>
  <c r="T70" i="9"/>
  <c r="AN92" i="9"/>
  <c r="C123" i="7"/>
  <c r="M75" i="7"/>
  <c r="L235" i="4"/>
  <c r="L158" i="4"/>
  <c r="G52" i="9"/>
  <c r="K50" i="2"/>
  <c r="C113" i="7"/>
  <c r="B189" i="7"/>
  <c r="F107" i="7"/>
  <c r="C73" i="9"/>
  <c r="G240" i="7"/>
  <c r="O32" i="7"/>
  <c r="C241" i="4"/>
  <c r="B37" i="7"/>
  <c r="I86" i="7"/>
  <c r="P59" i="4"/>
  <c r="H191" i="7"/>
  <c r="L189" i="7"/>
  <c r="K48" i="4"/>
  <c r="N249" i="7"/>
  <c r="T38" i="7"/>
  <c r="N48" i="7"/>
  <c r="H51" i="4"/>
  <c r="N105" i="2"/>
  <c r="M44" i="7"/>
  <c r="M196" i="7"/>
  <c r="G219" i="4"/>
  <c r="R87" i="2"/>
  <c r="E160" i="4"/>
  <c r="T50" i="9"/>
  <c r="C80" i="9"/>
  <c r="K136" i="7"/>
  <c r="G90" i="9"/>
  <c r="F208" i="7"/>
  <c r="D179" i="7"/>
  <c r="R75" i="7"/>
  <c r="E205" i="4"/>
  <c r="O94" i="4"/>
  <c r="M179" i="7"/>
  <c r="D80" i="7"/>
  <c r="K147" i="4"/>
  <c r="K107" i="2"/>
  <c r="AA30" i="4"/>
  <c r="R95" i="2"/>
  <c r="Q109" i="2"/>
  <c r="P23" i="7"/>
  <c r="L65" i="4"/>
  <c r="K66" i="2"/>
  <c r="X21" i="2"/>
  <c r="BP21" i="9"/>
  <c r="B50" i="9"/>
  <c r="O221" i="4"/>
  <c r="AL56" i="9"/>
  <c r="C55" i="9"/>
  <c r="L236" i="4"/>
  <c r="O74" i="7"/>
  <c r="G98" i="2"/>
  <c r="L64" i="2"/>
  <c r="L158" i="7"/>
  <c r="U59" i="7"/>
  <c r="C204" i="7"/>
  <c r="B100" i="7"/>
  <c r="L101" i="7"/>
  <c r="K261" i="4"/>
  <c r="T72" i="2"/>
  <c r="O76" i="9"/>
  <c r="H43" i="7"/>
  <c r="K180" i="4"/>
  <c r="E97" i="7"/>
  <c r="E275" i="7"/>
  <c r="L253" i="4"/>
  <c r="BB72" i="9"/>
  <c r="F236" i="4"/>
  <c r="C109" i="2"/>
  <c r="N253" i="7"/>
  <c r="D170" i="7"/>
  <c r="K73" i="2"/>
  <c r="Q45" i="2"/>
  <c r="T89" i="7"/>
  <c r="D106" i="2"/>
  <c r="E138" i="4"/>
  <c r="AO92" i="9"/>
  <c r="K63" i="4"/>
  <c r="H256" i="7"/>
  <c r="T52" i="2"/>
  <c r="J69" i="9"/>
  <c r="L237" i="7"/>
  <c r="B214" i="7"/>
  <c r="L199" i="4"/>
  <c r="L149" i="7"/>
  <c r="B109" i="7"/>
  <c r="F79" i="2"/>
  <c r="M94" i="2"/>
  <c r="AX95" i="9"/>
  <c r="M86" i="7"/>
  <c r="L154" i="4"/>
  <c r="C77" i="4"/>
  <c r="D100" i="2"/>
  <c r="P91" i="7"/>
  <c r="G144" i="7"/>
  <c r="L262" i="4"/>
  <c r="N64" i="4"/>
  <c r="G113" i="2"/>
  <c r="AZ52" i="9"/>
  <c r="F71" i="9"/>
  <c r="D236" i="7"/>
  <c r="G78" i="7"/>
  <c r="C47" i="2"/>
  <c r="N180" i="7"/>
  <c r="BL24" i="9"/>
  <c r="AQ33" i="9"/>
  <c r="E129" i="7"/>
  <c r="AQ75" i="9"/>
  <c r="G268" i="7"/>
  <c r="L171" i="4"/>
  <c r="M44" i="4"/>
  <c r="G124" i="4"/>
  <c r="M256" i="4"/>
  <c r="M61" i="7"/>
  <c r="C163" i="7"/>
  <c r="L191" i="4"/>
  <c r="M54" i="4"/>
  <c r="G91" i="2"/>
  <c r="D65" i="4"/>
  <c r="M140" i="4"/>
  <c r="AV85" i="9"/>
  <c r="C221" i="7"/>
  <c r="K102" i="2"/>
  <c r="AN68" i="9"/>
  <c r="U82" i="4"/>
  <c r="L230" i="7"/>
  <c r="F80" i="4"/>
  <c r="D123" i="4"/>
  <c r="J72" i="9"/>
  <c r="D84" i="7"/>
  <c r="N73" i="2"/>
  <c r="L212" i="7"/>
  <c r="L90" i="7"/>
  <c r="J113" i="2"/>
  <c r="B52" i="7"/>
  <c r="E49" i="4"/>
  <c r="I65" i="7"/>
  <c r="E11" i="2"/>
  <c r="Q63" i="7"/>
  <c r="C63" i="4"/>
  <c r="H49" i="2"/>
  <c r="T79" i="9"/>
  <c r="G46" i="7"/>
  <c r="D74" i="7"/>
  <c r="R99" i="4"/>
  <c r="L102" i="7"/>
  <c r="L256" i="7"/>
  <c r="F101" i="2"/>
  <c r="Q62" i="9"/>
  <c r="L211" i="4"/>
  <c r="L148" i="4"/>
  <c r="L182" i="4"/>
  <c r="L252" i="4"/>
  <c r="I11" i="2"/>
  <c r="B73" i="9"/>
  <c r="G166" i="4"/>
  <c r="M206" i="4"/>
  <c r="H89" i="4"/>
  <c r="P104" i="4"/>
  <c r="B217" i="7"/>
  <c r="H174" i="4"/>
  <c r="K146" i="7"/>
  <c r="G226" i="4"/>
  <c r="N222" i="7"/>
  <c r="E269" i="4"/>
  <c r="C142" i="4"/>
  <c r="D50" i="4"/>
  <c r="AU50" i="9"/>
  <c r="T75" i="4"/>
  <c r="G61" i="4"/>
  <c r="G145" i="7"/>
  <c r="N33" i="9"/>
  <c r="AX28" i="9"/>
  <c r="P83" i="4"/>
  <c r="G99" i="4"/>
  <c r="D158" i="4"/>
  <c r="AS22" i="9"/>
  <c r="E60" i="4"/>
  <c r="G197" i="4"/>
  <c r="L40" i="9"/>
  <c r="AV36" i="9"/>
  <c r="C200" i="7"/>
  <c r="E72" i="2"/>
  <c r="O81" i="4"/>
  <c r="O88" i="2"/>
  <c r="M240" i="7"/>
  <c r="B69" i="7"/>
  <c r="T63" i="4"/>
  <c r="K233" i="7"/>
  <c r="H182" i="4"/>
  <c r="M92" i="2"/>
  <c r="F183" i="7"/>
  <c r="D24" i="9"/>
  <c r="C108" i="9"/>
  <c r="D36" i="9"/>
  <c r="L247" i="4"/>
  <c r="N182" i="7"/>
  <c r="T36" i="4"/>
  <c r="D81" i="4"/>
  <c r="H92" i="9"/>
  <c r="M157" i="4"/>
  <c r="O79" i="4"/>
  <c r="Q63" i="9"/>
  <c r="D120" i="4"/>
  <c r="M110" i="2"/>
  <c r="L162" i="4"/>
  <c r="J65" i="4"/>
  <c r="E219" i="4"/>
  <c r="B86" i="7"/>
  <c r="L132" i="7"/>
  <c r="K274" i="7"/>
  <c r="C188" i="4"/>
  <c r="P90" i="4"/>
  <c r="H238" i="7"/>
  <c r="C105" i="9"/>
  <c r="E57" i="2"/>
  <c r="B147" i="7"/>
  <c r="M45" i="9"/>
  <c r="T44" i="7"/>
  <c r="D87" i="9"/>
  <c r="D140" i="4"/>
  <c r="E118" i="4"/>
  <c r="F112" i="2"/>
  <c r="B44" i="2"/>
  <c r="C72" i="7"/>
  <c r="N144" i="4"/>
  <c r="K243" i="7"/>
  <c r="G42" i="2"/>
  <c r="F258" i="7"/>
  <c r="C51" i="9"/>
  <c r="AU100" i="9"/>
  <c r="AP82" i="9"/>
  <c r="BL18" i="9"/>
  <c r="O54" i="7"/>
  <c r="C36" i="9"/>
  <c r="AQ19" i="9"/>
  <c r="AP93" i="9"/>
  <c r="L239" i="4"/>
  <c r="L94" i="4"/>
  <c r="U29" i="2"/>
  <c r="L102" i="4"/>
  <c r="AI66" i="9"/>
  <c r="M136" i="7"/>
  <c r="AS64" i="9"/>
  <c r="L151" i="7"/>
  <c r="G78" i="9"/>
  <c r="J96" i="2"/>
  <c r="C84" i="4"/>
  <c r="H211" i="7"/>
  <c r="AP87" i="9"/>
  <c r="M101" i="2"/>
  <c r="AW92" i="9"/>
  <c r="G187" i="7"/>
  <c r="K72" i="2"/>
  <c r="H245" i="7"/>
  <c r="Q47" i="2"/>
  <c r="P83" i="9"/>
  <c r="AN53" i="9"/>
  <c r="C159" i="4"/>
  <c r="I90" i="2"/>
  <c r="G269" i="7"/>
  <c r="AZ62" i="9"/>
  <c r="D248" i="7"/>
  <c r="F254" i="4"/>
  <c r="J69" i="7"/>
  <c r="F47" i="9"/>
  <c r="AT71" i="9"/>
  <c r="AP76" i="9"/>
  <c r="N246" i="4"/>
  <c r="J50" i="4"/>
  <c r="B59" i="9"/>
  <c r="F97" i="9"/>
  <c r="E189" i="4"/>
  <c r="C42" i="9"/>
  <c r="E61" i="4"/>
  <c r="P57" i="7"/>
  <c r="B38" i="2"/>
  <c r="F60" i="2"/>
  <c r="D112" i="2"/>
  <c r="N214" i="4"/>
  <c r="O241" i="4"/>
  <c r="D234" i="4"/>
  <c r="AS53" i="9"/>
  <c r="C48" i="9"/>
  <c r="D116" i="7"/>
  <c r="G61" i="7"/>
  <c r="O86" i="7"/>
  <c r="AI100" i="9"/>
  <c r="F135" i="7"/>
  <c r="X12" i="4"/>
  <c r="AM16" i="9"/>
  <c r="W19" i="9"/>
  <c r="AV17" i="9"/>
  <c r="X22" i="9"/>
  <c r="C91" i="2"/>
  <c r="AB32" i="4"/>
  <c r="AP18" i="9"/>
  <c r="AB33" i="7"/>
  <c r="AS44" i="9"/>
  <c r="D138" i="4"/>
  <c r="F186" i="4"/>
  <c r="E156" i="4"/>
  <c r="BO25" i="9"/>
  <c r="G142" i="7"/>
  <c r="L82" i="4"/>
  <c r="R21" i="9"/>
  <c r="R66" i="9"/>
  <c r="R35" i="7"/>
  <c r="I28" i="9"/>
  <c r="F34" i="4"/>
  <c r="I82" i="9"/>
  <c r="K183" i="4"/>
  <c r="L66" i="2"/>
  <c r="L63" i="7"/>
  <c r="J41" i="9"/>
  <c r="L23" i="2"/>
  <c r="D187" i="7"/>
  <c r="E65" i="4"/>
  <c r="D31" i="7"/>
  <c r="AZ3" i="9"/>
  <c r="C161" i="7"/>
  <c r="F43" i="9"/>
  <c r="H89" i="2"/>
  <c r="O55" i="7"/>
  <c r="AM53" i="9"/>
  <c r="D28" i="7"/>
  <c r="AL55" i="9"/>
  <c r="K119" i="4"/>
  <c r="N57" i="4"/>
  <c r="AE23" i="7"/>
  <c r="AQ28" i="9"/>
  <c r="AM38" i="9"/>
  <c r="D110" i="7"/>
  <c r="AN81" i="9"/>
  <c r="O268" i="4"/>
  <c r="X16" i="2"/>
  <c r="F253" i="7"/>
  <c r="F101" i="4"/>
  <c r="E262" i="7"/>
  <c r="AV72" i="9"/>
  <c r="N121" i="7"/>
  <c r="T17" i="2"/>
  <c r="K196" i="4"/>
  <c r="G34" i="7"/>
  <c r="BF32" i="9"/>
  <c r="N274" i="7"/>
  <c r="H202" i="7"/>
  <c r="H53" i="7"/>
  <c r="I28" i="4"/>
  <c r="E136" i="4"/>
  <c r="D212" i="7"/>
  <c r="AY35" i="9"/>
  <c r="L232" i="4"/>
  <c r="AM36" i="9"/>
  <c r="G59" i="7"/>
  <c r="AO44" i="9"/>
  <c r="AN86" i="9"/>
  <c r="P104" i="2"/>
  <c r="AK107" i="9"/>
  <c r="AE3" i="9"/>
  <c r="B24" i="9"/>
  <c r="G265" i="7"/>
  <c r="AX53" i="9"/>
  <c r="Q105" i="2"/>
  <c r="P87" i="2"/>
  <c r="BI21" i="9"/>
  <c r="E77" i="7"/>
  <c r="P37" i="2"/>
  <c r="AM48" i="9"/>
  <c r="Q93" i="7"/>
  <c r="AI78" i="9"/>
  <c r="E45" i="4"/>
  <c r="N100" i="9"/>
  <c r="B180" i="7"/>
  <c r="AR28" i="9"/>
  <c r="B259" i="7"/>
  <c r="O28" i="2"/>
  <c r="M64" i="9"/>
  <c r="L61" i="2"/>
  <c r="M35" i="7"/>
  <c r="B191" i="7"/>
  <c r="F114" i="4"/>
  <c r="L131" i="4"/>
  <c r="P63" i="9"/>
  <c r="K109" i="7"/>
  <c r="D274" i="7"/>
  <c r="I84" i="4"/>
  <c r="D230" i="4"/>
  <c r="D61" i="4"/>
  <c r="W29" i="7"/>
  <c r="F96" i="9"/>
  <c r="AX93" i="9"/>
  <c r="N152" i="4"/>
  <c r="AO86" i="9"/>
  <c r="AW96" i="9"/>
  <c r="AP26" i="9"/>
  <c r="V39" i="7"/>
  <c r="Y30" i="9"/>
  <c r="AR66" i="9"/>
  <c r="L20" i="2"/>
  <c r="D38" i="7"/>
  <c r="AQ81" i="9"/>
  <c r="S94" i="4"/>
  <c r="O42" i="7"/>
  <c r="C190" i="4"/>
  <c r="K55" i="4"/>
  <c r="C50" i="4"/>
  <c r="P84" i="4"/>
  <c r="J53" i="7"/>
  <c r="I89" i="9"/>
  <c r="K95" i="2"/>
  <c r="K88" i="7"/>
  <c r="Q53" i="2"/>
  <c r="C144" i="4"/>
  <c r="J28" i="4"/>
  <c r="C115" i="7"/>
  <c r="D76" i="4"/>
  <c r="E76" i="4"/>
  <c r="E273" i="4"/>
  <c r="C255" i="4"/>
  <c r="N222" i="4"/>
  <c r="I44" i="9"/>
  <c r="D153" i="4"/>
  <c r="I67" i="9"/>
  <c r="K47" i="4"/>
  <c r="M75" i="9"/>
  <c r="W24" i="2"/>
  <c r="H54" i="7"/>
  <c r="AQ70" i="9"/>
  <c r="F46" i="7"/>
  <c r="T22" i="4"/>
  <c r="G64" i="7"/>
  <c r="D161" i="4"/>
  <c r="AO98" i="9"/>
  <c r="AI110" i="9"/>
  <c r="I94" i="2"/>
  <c r="AQ27" i="9"/>
  <c r="O128" i="4"/>
  <c r="J76" i="4"/>
  <c r="AU85" i="9"/>
  <c r="P39" i="7"/>
  <c r="AE23" i="2"/>
  <c r="K29" i="9"/>
  <c r="P33" i="9"/>
  <c r="F207" i="7"/>
  <c r="E147" i="7"/>
  <c r="F218" i="7"/>
  <c r="AV52" i="9"/>
  <c r="Q95" i="4"/>
  <c r="AQ92" i="9"/>
  <c r="G112" i="2"/>
  <c r="H64" i="2"/>
  <c r="H228" i="4"/>
  <c r="R76" i="2"/>
  <c r="AO60" i="9"/>
  <c r="G42" i="7"/>
  <c r="G202" i="7"/>
  <c r="H77" i="7"/>
  <c r="I108" i="2"/>
  <c r="R81" i="4"/>
  <c r="H31" i="7"/>
  <c r="N19" i="2"/>
  <c r="E96" i="2"/>
  <c r="F27" i="9"/>
  <c r="N78" i="2"/>
  <c r="Q104" i="4"/>
  <c r="Y28" i="4"/>
  <c r="B73" i="2"/>
  <c r="H253" i="7"/>
  <c r="Z34" i="2"/>
  <c r="J40" i="2"/>
  <c r="M130" i="4"/>
  <c r="H97" i="7"/>
  <c r="I66" i="9"/>
  <c r="AZ38" i="9"/>
  <c r="F96" i="4"/>
  <c r="K92" i="2"/>
  <c r="E47" i="9"/>
  <c r="L11" i="2"/>
  <c r="J75" i="4"/>
  <c r="O152" i="4"/>
  <c r="P53" i="7"/>
  <c r="G56" i="4"/>
  <c r="E48" i="2"/>
  <c r="L88" i="2"/>
  <c r="C236" i="7"/>
  <c r="K253" i="4"/>
  <c r="D47" i="9"/>
  <c r="M68" i="4"/>
  <c r="AQ74" i="9"/>
  <c r="M69" i="2"/>
  <c r="AI95" i="9"/>
  <c r="N140" i="7"/>
  <c r="F105" i="9"/>
  <c r="I105" i="4"/>
  <c r="C75" i="4"/>
  <c r="N206" i="7"/>
  <c r="AJ55" i="9"/>
  <c r="K169" i="4"/>
  <c r="M51" i="4"/>
  <c r="AL102" i="9"/>
  <c r="J32" i="2"/>
  <c r="D32" i="2"/>
  <c r="B68" i="2"/>
  <c r="G101" i="4"/>
  <c r="K232" i="7"/>
  <c r="N80" i="4"/>
  <c r="F247" i="4"/>
  <c r="N112" i="7"/>
  <c r="M168" i="7"/>
  <c r="M46" i="9"/>
  <c r="M72" i="2"/>
  <c r="N61" i="4"/>
  <c r="K250" i="7"/>
  <c r="H146" i="4"/>
  <c r="N238" i="7"/>
  <c r="F246" i="7"/>
  <c r="K106" i="4"/>
  <c r="W35" i="9"/>
  <c r="L55" i="7"/>
  <c r="N56" i="9"/>
  <c r="V28" i="9"/>
  <c r="F216" i="4"/>
  <c r="AY47" i="9"/>
  <c r="W29" i="4"/>
  <c r="D165" i="4"/>
  <c r="M106" i="4"/>
  <c r="L245" i="4"/>
  <c r="C266" i="4"/>
  <c r="E272" i="4"/>
  <c r="AN96" i="9"/>
  <c r="N42" i="7"/>
  <c r="K137" i="4"/>
  <c r="V40" i="2"/>
  <c r="AX92" i="9"/>
  <c r="W37" i="4"/>
  <c r="J42" i="2"/>
  <c r="T64" i="4"/>
  <c r="K145" i="7"/>
  <c r="N268" i="4"/>
  <c r="O40" i="4"/>
  <c r="M233" i="7"/>
  <c r="E155" i="7"/>
  <c r="T48" i="4"/>
  <c r="AI94" i="9"/>
  <c r="G80" i="4"/>
  <c r="AM104" i="9"/>
  <c r="C177" i="7"/>
  <c r="T67" i="9"/>
  <c r="O49" i="7"/>
  <c r="G48" i="7"/>
  <c r="N270" i="4"/>
  <c r="D19" i="4"/>
  <c r="BO22" i="9"/>
  <c r="U41" i="4"/>
  <c r="G104" i="9"/>
  <c r="K63" i="2"/>
  <c r="H180" i="7"/>
  <c r="L43" i="2"/>
  <c r="AI96" i="9"/>
  <c r="AS57" i="9"/>
  <c r="BH21" i="9"/>
  <c r="AL93" i="9"/>
  <c r="K44" i="7"/>
  <c r="D126" i="7"/>
  <c r="N105" i="4"/>
  <c r="BG31" i="9"/>
  <c r="AS48" i="9"/>
  <c r="O254" i="4"/>
  <c r="G255" i="7"/>
  <c r="N209" i="4"/>
  <c r="K176" i="7"/>
  <c r="O69" i="4"/>
  <c r="U55" i="4"/>
  <c r="T59" i="7"/>
  <c r="C110" i="2"/>
  <c r="I57" i="7"/>
  <c r="C60" i="4"/>
  <c r="K251" i="7"/>
  <c r="E252" i="4"/>
  <c r="F225" i="7"/>
  <c r="H112" i="2"/>
  <c r="P90" i="9"/>
  <c r="B111" i="2"/>
  <c r="X22" i="4"/>
  <c r="G242" i="7"/>
  <c r="H67" i="2"/>
  <c r="N73" i="7"/>
  <c r="F99" i="9"/>
  <c r="O264" i="4"/>
  <c r="K126" i="7"/>
  <c r="O216" i="4"/>
  <c r="F50" i="2"/>
  <c r="N51" i="4"/>
  <c r="R69" i="7"/>
  <c r="C124" i="4"/>
  <c r="H139" i="7"/>
  <c r="J85" i="2"/>
  <c r="N81" i="9"/>
  <c r="O197" i="4"/>
  <c r="E266" i="4"/>
  <c r="AR62" i="9"/>
  <c r="AJ42" i="9"/>
  <c r="L109" i="9"/>
  <c r="O75" i="4"/>
  <c r="H274" i="4"/>
  <c r="E74" i="4"/>
  <c r="E32" i="7"/>
  <c r="M104" i="9"/>
  <c r="E182" i="7"/>
  <c r="D176" i="4"/>
  <c r="R62" i="9"/>
  <c r="R45" i="9"/>
  <c r="N23" i="4"/>
  <c r="Y25" i="9"/>
  <c r="M96" i="2"/>
  <c r="AW65" i="9"/>
  <c r="AR63" i="9"/>
  <c r="N69" i="4"/>
  <c r="N237" i="7"/>
  <c r="B31" i="2"/>
  <c r="I3" i="7"/>
  <c r="D98" i="7"/>
  <c r="E121" i="4"/>
  <c r="C55" i="7"/>
  <c r="M59" i="7"/>
  <c r="K35" i="2"/>
  <c r="I42" i="9"/>
  <c r="N171" i="7"/>
  <c r="D196" i="4"/>
  <c r="O214" i="4"/>
  <c r="F230" i="4"/>
  <c r="AU73" i="9"/>
  <c r="K75" i="4"/>
  <c r="AN109" i="9"/>
  <c r="Q59" i="4"/>
  <c r="C181" i="7"/>
  <c r="J48" i="7"/>
  <c r="J65" i="7"/>
  <c r="F176" i="7"/>
  <c r="L168" i="4"/>
  <c r="M160" i="4"/>
  <c r="M93" i="4"/>
  <c r="N42" i="2"/>
  <c r="AK22" i="9"/>
  <c r="F106" i="9"/>
  <c r="U45" i="2"/>
  <c r="T75" i="2"/>
  <c r="Z30" i="9"/>
  <c r="AV41" i="9"/>
  <c r="AV86" i="9"/>
  <c r="E74" i="7"/>
  <c r="H185" i="4"/>
  <c r="AF25" i="2"/>
  <c r="J78" i="7"/>
  <c r="E228" i="4"/>
  <c r="AT80" i="9"/>
  <c r="R30" i="7"/>
  <c r="O81" i="7"/>
  <c r="H41" i="2"/>
  <c r="S90" i="7"/>
  <c r="AL100" i="9"/>
  <c r="C69" i="9"/>
  <c r="N48" i="2"/>
  <c r="M79" i="9"/>
  <c r="H90" i="4"/>
  <c r="M161" i="4"/>
  <c r="M268" i="7"/>
  <c r="R91" i="7"/>
  <c r="AJ93" i="9"/>
  <c r="M128" i="4"/>
  <c r="K166" i="7"/>
  <c r="O230" i="4"/>
  <c r="AU66" i="9"/>
  <c r="U90" i="4"/>
  <c r="H210" i="4"/>
  <c r="T19" i="9"/>
  <c r="E209" i="7"/>
  <c r="D202" i="7"/>
  <c r="E188" i="4"/>
  <c r="G51" i="9"/>
  <c r="L98" i="9"/>
  <c r="I99" i="4"/>
  <c r="K117" i="4"/>
  <c r="N239" i="7"/>
  <c r="Q44" i="4"/>
  <c r="C216" i="4"/>
  <c r="T69" i="4"/>
  <c r="Q62" i="7"/>
  <c r="G151" i="4"/>
  <c r="AK64" i="9"/>
  <c r="C104" i="9"/>
  <c r="C82" i="4"/>
  <c r="L247" i="7"/>
  <c r="R48" i="7"/>
  <c r="N228" i="7"/>
  <c r="K86" i="2"/>
  <c r="E158" i="4"/>
  <c r="N90" i="9"/>
  <c r="E132" i="7"/>
  <c r="C82" i="9"/>
  <c r="D131" i="4"/>
  <c r="N45" i="7"/>
  <c r="N225" i="4"/>
  <c r="B202" i="7"/>
  <c r="M264" i="4"/>
  <c r="M251" i="7"/>
  <c r="H108" i="2"/>
  <c r="F25" i="4"/>
  <c r="K58" i="2"/>
  <c r="M258" i="4"/>
  <c r="D106" i="9"/>
  <c r="E141" i="4"/>
  <c r="AI53" i="9"/>
  <c r="G35" i="7"/>
  <c r="M228" i="4"/>
  <c r="N127" i="4"/>
  <c r="K98" i="2"/>
  <c r="L72" i="2"/>
  <c r="J111" i="2"/>
  <c r="O56" i="9"/>
  <c r="B64" i="4"/>
  <c r="AI76" i="9"/>
  <c r="AS51" i="9"/>
  <c r="C31" i="2"/>
  <c r="M100" i="2"/>
  <c r="AR37" i="9"/>
  <c r="Q89" i="2"/>
  <c r="P82" i="9"/>
  <c r="F181" i="4"/>
  <c r="N100" i="2"/>
  <c r="AW52" i="9"/>
  <c r="U92" i="7"/>
  <c r="O66" i="9"/>
  <c r="AU90" i="9"/>
  <c r="E82" i="4"/>
  <c r="K144" i="7"/>
  <c r="AN41" i="9"/>
  <c r="AV89" i="9"/>
  <c r="H244" i="7"/>
  <c r="AS29" i="9"/>
  <c r="N9" i="2"/>
  <c r="B101" i="9"/>
  <c r="D35" i="7"/>
  <c r="O220" i="4"/>
  <c r="C187" i="7"/>
  <c r="F175" i="7"/>
  <c r="E79" i="7"/>
  <c r="E111" i="2"/>
  <c r="C157" i="4"/>
  <c r="J34" i="4"/>
  <c r="H203" i="7"/>
  <c r="U77" i="4"/>
  <c r="B215" i="7"/>
  <c r="AV96" i="9"/>
  <c r="H218" i="7"/>
  <c r="N57" i="9"/>
  <c r="O215" i="4"/>
  <c r="K141" i="7"/>
  <c r="N90" i="2"/>
  <c r="M83" i="2"/>
  <c r="H73" i="9"/>
  <c r="D211" i="4"/>
  <c r="T81" i="7"/>
  <c r="L211" i="7"/>
  <c r="AI109" i="9"/>
  <c r="L162" i="7"/>
  <c r="K218" i="7"/>
  <c r="P66" i="7"/>
  <c r="H98" i="4"/>
  <c r="F75" i="9"/>
  <c r="H228" i="7"/>
  <c r="B40" i="7"/>
  <c r="AT73" i="9"/>
  <c r="N26" i="2"/>
  <c r="Q82" i="7"/>
  <c r="G69" i="7"/>
  <c r="H69" i="2"/>
  <c r="G76" i="4"/>
  <c r="G233" i="4"/>
  <c r="AM94" i="9"/>
  <c r="L259" i="4"/>
  <c r="L89" i="7"/>
  <c r="AM67" i="9"/>
  <c r="L56" i="7"/>
  <c r="L119" i="7"/>
  <c r="E168" i="7"/>
  <c r="D93" i="7"/>
  <c r="I58" i="4"/>
  <c r="G93" i="9"/>
  <c r="H188" i="7"/>
  <c r="K262" i="7"/>
  <c r="O74" i="4"/>
  <c r="H113" i="2"/>
  <c r="F144" i="4"/>
  <c r="AV83" i="9"/>
  <c r="N85" i="9"/>
  <c r="K153" i="4"/>
  <c r="E59" i="2"/>
  <c r="N162" i="7"/>
  <c r="R40" i="4"/>
  <c r="L134" i="4"/>
  <c r="H177" i="7"/>
  <c r="Q68" i="4"/>
  <c r="E227" i="4"/>
  <c r="L45" i="7"/>
  <c r="M137" i="7"/>
  <c r="AL49" i="9"/>
  <c r="O110" i="9"/>
  <c r="H204" i="7"/>
  <c r="AR61" i="9"/>
  <c r="C149" i="4"/>
  <c r="F193" i="7"/>
  <c r="L175" i="7"/>
  <c r="AU31" i="9"/>
  <c r="G84" i="4"/>
  <c r="AJ78" i="9"/>
  <c r="O55" i="4"/>
  <c r="K181" i="4"/>
  <c r="Y26" i="2"/>
  <c r="L24" i="7"/>
  <c r="L201" i="7"/>
  <c r="C54" i="2"/>
  <c r="F263" i="4"/>
  <c r="D198" i="7"/>
  <c r="G167" i="7"/>
  <c r="AJ34" i="9"/>
  <c r="D222" i="7"/>
  <c r="F233" i="4"/>
  <c r="F239" i="4"/>
  <c r="Q37" i="9"/>
  <c r="L206" i="4"/>
  <c r="O105" i="9"/>
  <c r="K48" i="9"/>
  <c r="AJ59" i="9"/>
  <c r="I50" i="7"/>
  <c r="L93" i="9"/>
  <c r="AJ102" i="9"/>
  <c r="AW34" i="9"/>
  <c r="M50" i="2"/>
  <c r="K68" i="2"/>
  <c r="M69" i="9"/>
  <c r="K244" i="7"/>
  <c r="I101" i="2"/>
  <c r="N33" i="7"/>
  <c r="G225" i="4"/>
  <c r="G103" i="2"/>
  <c r="C134" i="7"/>
  <c r="J49" i="9"/>
  <c r="G169" i="7"/>
  <c r="R82" i="7"/>
  <c r="O132" i="4"/>
  <c r="BI29" i="9"/>
  <c r="L140" i="7"/>
  <c r="D60" i="9"/>
  <c r="D164" i="4"/>
  <c r="M85" i="2"/>
  <c r="P85" i="4"/>
  <c r="M105" i="4"/>
  <c r="K64" i="7"/>
  <c r="AS66" i="9"/>
  <c r="B264" i="7"/>
  <c r="M224" i="7"/>
  <c r="T52" i="7"/>
  <c r="M49" i="4"/>
  <c r="C209" i="4"/>
  <c r="V42" i="2"/>
  <c r="BC36" i="9"/>
  <c r="I60" i="7"/>
  <c r="G72" i="9"/>
  <c r="N241" i="4"/>
  <c r="B134" i="7"/>
  <c r="AN80" i="9"/>
  <c r="I33" i="2"/>
  <c r="G51" i="7"/>
  <c r="T95" i="7"/>
  <c r="D124" i="7"/>
  <c r="F90" i="9"/>
  <c r="N227" i="4"/>
  <c r="M223" i="4"/>
  <c r="N207" i="4"/>
  <c r="C168" i="7"/>
  <c r="D99" i="9"/>
  <c r="K116" i="7"/>
  <c r="T83" i="9"/>
  <c r="M145" i="7"/>
  <c r="U57" i="2"/>
  <c r="E91" i="2"/>
  <c r="C195" i="7"/>
  <c r="N101" i="4"/>
  <c r="AK59" i="9"/>
  <c r="Q89" i="7"/>
  <c r="H45" i="2"/>
  <c r="F94" i="9"/>
  <c r="R86" i="4"/>
  <c r="F251" i="7"/>
  <c r="F87" i="2"/>
  <c r="I96" i="2"/>
  <c r="E179" i="4"/>
  <c r="U62" i="4"/>
  <c r="AT76" i="9"/>
  <c r="E145" i="7"/>
  <c r="N139" i="4"/>
  <c r="K242" i="7"/>
  <c r="Q22" i="2"/>
  <c r="Q87" i="2"/>
  <c r="J78" i="4"/>
  <c r="I99" i="2"/>
  <c r="Y33" i="4"/>
  <c r="T44" i="2"/>
  <c r="E270" i="7"/>
  <c r="U54" i="4"/>
  <c r="AW100" i="9"/>
  <c r="K133" i="4"/>
  <c r="AW97" i="9"/>
  <c r="P58" i="7"/>
  <c r="U91" i="2"/>
  <c r="V22" i="7"/>
  <c r="AV101" i="9"/>
  <c r="Q96" i="2"/>
  <c r="C33" i="7"/>
  <c r="AT70" i="9"/>
  <c r="R48" i="2"/>
  <c r="L248" i="7"/>
  <c r="J64" i="4"/>
  <c r="H88" i="9"/>
  <c r="N49" i="9"/>
  <c r="L179" i="7"/>
  <c r="R58" i="4"/>
  <c r="B104" i="2"/>
  <c r="D199" i="4"/>
  <c r="F138" i="4"/>
  <c r="L57" i="7"/>
  <c r="D250" i="7"/>
  <c r="G220" i="7"/>
  <c r="B49" i="9"/>
  <c r="J61" i="9"/>
  <c r="D122" i="4"/>
  <c r="O269" i="4"/>
  <c r="AP110" i="9"/>
  <c r="U56" i="4"/>
  <c r="E55" i="4"/>
  <c r="AZ48" i="9"/>
  <c r="F167" i="7"/>
  <c r="H78" i="4"/>
  <c r="K89" i="2"/>
  <c r="H45" i="4"/>
  <c r="AJ71" i="9"/>
  <c r="C234" i="7"/>
  <c r="I49" i="4"/>
  <c r="J86" i="2"/>
  <c r="N120" i="7"/>
  <c r="U90" i="2"/>
  <c r="G98" i="7"/>
  <c r="P44" i="4"/>
  <c r="L62" i="9"/>
  <c r="F174" i="4"/>
  <c r="AL79" i="9"/>
  <c r="M140" i="7"/>
  <c r="G252" i="4"/>
  <c r="F43" i="2"/>
  <c r="Q38" i="2"/>
  <c r="L224" i="4"/>
  <c r="O84" i="2"/>
  <c r="K196" i="7"/>
  <c r="L47" i="4"/>
  <c r="F37" i="4"/>
  <c r="Q42" i="9"/>
  <c r="E264" i="4"/>
  <c r="T47" i="7"/>
  <c r="Q61" i="7"/>
  <c r="O65" i="2"/>
  <c r="K140" i="7"/>
  <c r="M221" i="4"/>
  <c r="L168" i="7"/>
  <c r="Q52" i="4"/>
  <c r="M54" i="2"/>
  <c r="H79" i="7"/>
  <c r="H99" i="7"/>
  <c r="B53" i="2"/>
  <c r="M40" i="7"/>
  <c r="F44" i="9"/>
  <c r="H44" i="9"/>
  <c r="E215" i="7"/>
  <c r="E249" i="4"/>
  <c r="AI99" i="9"/>
  <c r="D137" i="4"/>
  <c r="E220" i="7"/>
  <c r="B82" i="4"/>
  <c r="G162" i="7"/>
  <c r="L271" i="4"/>
  <c r="L216" i="7"/>
  <c r="AU64" i="9"/>
  <c r="Q58" i="4"/>
  <c r="M80" i="2"/>
  <c r="G264" i="4"/>
  <c r="AM77" i="9"/>
  <c r="C68" i="9"/>
  <c r="T89" i="2"/>
  <c r="J92" i="7"/>
  <c r="N142" i="4"/>
  <c r="AO80" i="9"/>
  <c r="D109" i="9"/>
  <c r="L60" i="4"/>
  <c r="H227" i="4"/>
  <c r="L207" i="4"/>
  <c r="L57" i="4"/>
  <c r="AQ54" i="9"/>
  <c r="E232" i="4"/>
  <c r="K161" i="4"/>
  <c r="N81" i="4"/>
  <c r="I104" i="4"/>
  <c r="L159" i="4"/>
  <c r="R76" i="7"/>
  <c r="C44" i="2"/>
  <c r="L59" i="4"/>
  <c r="B143" i="7"/>
  <c r="T54" i="2"/>
  <c r="M148" i="4"/>
  <c r="M81" i="2"/>
  <c r="L114" i="7"/>
  <c r="L65" i="7"/>
  <c r="L51" i="7"/>
  <c r="L142" i="7"/>
  <c r="C196" i="4"/>
  <c r="L104" i="2"/>
  <c r="E168" i="4"/>
  <c r="U80" i="7"/>
  <c r="E89" i="4"/>
  <c r="H172" i="4"/>
  <c r="K48" i="7"/>
  <c r="Q51" i="2"/>
  <c r="I107" i="2"/>
  <c r="AL99" i="9"/>
  <c r="K274" i="4"/>
  <c r="O150" i="4"/>
  <c r="N165" i="7"/>
  <c r="D254" i="7"/>
  <c r="E141" i="7"/>
  <c r="D191" i="4"/>
  <c r="L229" i="4"/>
  <c r="K86" i="7"/>
  <c r="N110" i="7"/>
  <c r="K39" i="4"/>
  <c r="K149" i="4"/>
  <c r="Q69" i="9"/>
  <c r="M53" i="9"/>
  <c r="D193" i="4"/>
  <c r="H242" i="4"/>
  <c r="E204" i="4"/>
  <c r="E244" i="7"/>
  <c r="M219" i="4"/>
  <c r="C89" i="7"/>
  <c r="I47" i="2"/>
  <c r="T67" i="2"/>
  <c r="M102" i="4"/>
  <c r="J73" i="4"/>
  <c r="AQ46" i="9"/>
  <c r="I58" i="7"/>
  <c r="Q30" i="7"/>
  <c r="AJ67" i="9"/>
  <c r="C160" i="7"/>
  <c r="AQ72" i="9"/>
  <c r="B11" i="2"/>
  <c r="R52" i="9"/>
  <c r="M205" i="7"/>
  <c r="E81" i="7"/>
  <c r="F123" i="7"/>
  <c r="AK71" i="9"/>
  <c r="O44" i="2"/>
  <c r="L148" i="7"/>
  <c r="T68" i="4"/>
  <c r="G73" i="2"/>
  <c r="J55" i="4"/>
  <c r="J90" i="2"/>
  <c r="AY52" i="9"/>
  <c r="H75" i="9"/>
  <c r="B77" i="4"/>
  <c r="AY63" i="9"/>
  <c r="F224" i="7"/>
  <c r="D241" i="7"/>
  <c r="K102" i="4"/>
  <c r="L121" i="7"/>
  <c r="K51" i="7"/>
  <c r="R56" i="4"/>
  <c r="K218" i="4"/>
  <c r="BB58" i="9"/>
  <c r="I22" i="2"/>
  <c r="N54" i="7"/>
  <c r="D43" i="4"/>
  <c r="G30" i="2"/>
  <c r="O43" i="7"/>
  <c r="F87" i="9"/>
  <c r="F242" i="4"/>
  <c r="Q81" i="2"/>
  <c r="C189" i="7"/>
  <c r="G155" i="7"/>
  <c r="T56" i="7"/>
  <c r="M161" i="7"/>
  <c r="Q52" i="2"/>
  <c r="P46" i="2"/>
  <c r="AW78" i="9"/>
  <c r="X32" i="9"/>
  <c r="AI38" i="9"/>
  <c r="M250" i="4"/>
  <c r="E234" i="4"/>
  <c r="BB52" i="9"/>
  <c r="P108" i="4"/>
  <c r="H255" i="4"/>
  <c r="R84" i="7"/>
  <c r="O231" i="4"/>
  <c r="M233" i="4"/>
  <c r="AY46" i="9"/>
  <c r="R57" i="4"/>
  <c r="C70" i="7"/>
  <c r="U77" i="7"/>
  <c r="L102" i="2"/>
  <c r="K212" i="4"/>
  <c r="J61" i="7"/>
  <c r="AU52" i="9"/>
  <c r="D81" i="7"/>
  <c r="K227" i="7"/>
  <c r="F72" i="4"/>
  <c r="K57" i="9"/>
  <c r="P105" i="2"/>
  <c r="C253" i="4"/>
  <c r="N67" i="2"/>
  <c r="F211" i="7"/>
  <c r="H88" i="4"/>
  <c r="N96" i="4"/>
  <c r="H104" i="2"/>
  <c r="B76" i="2"/>
  <c r="L83" i="9"/>
  <c r="E112" i="7"/>
  <c r="AJ70" i="9"/>
  <c r="H73" i="7"/>
  <c r="U68" i="7"/>
  <c r="B87" i="7"/>
  <c r="H243" i="4"/>
  <c r="D188" i="7"/>
  <c r="S89" i="4"/>
  <c r="H136" i="7"/>
  <c r="BE35" i="9"/>
  <c r="H39" i="9"/>
  <c r="F178" i="7"/>
  <c r="H48" i="2"/>
  <c r="M69" i="7"/>
  <c r="E144" i="4"/>
  <c r="Q91" i="4"/>
  <c r="C123" i="4"/>
  <c r="P83" i="2"/>
  <c r="S88" i="4"/>
  <c r="L101" i="2"/>
  <c r="U76" i="4"/>
  <c r="M257" i="4"/>
  <c r="D255" i="7"/>
  <c r="K129" i="4"/>
  <c r="N97" i="9"/>
  <c r="H207" i="7"/>
  <c r="AU33" i="9"/>
  <c r="AU99" i="9"/>
  <c r="O118" i="4"/>
  <c r="U88" i="7"/>
  <c r="O89" i="2"/>
  <c r="AS56" i="9"/>
  <c r="B108" i="7"/>
  <c r="G44" i="4"/>
  <c r="AX46" i="9"/>
  <c r="N76" i="2"/>
  <c r="D55" i="9"/>
  <c r="U48" i="7"/>
  <c r="G230" i="7"/>
  <c r="C192" i="4"/>
  <c r="D58" i="7"/>
  <c r="L88" i="4"/>
  <c r="C50" i="7"/>
  <c r="P93" i="7"/>
  <c r="AT57" i="9"/>
  <c r="B16" i="10"/>
  <c r="AI34" i="9"/>
  <c r="R42" i="4"/>
  <c r="C127" i="4"/>
  <c r="D135" i="4"/>
  <c r="E63" i="2"/>
  <c r="J74" i="2"/>
  <c r="J51" i="9"/>
  <c r="B226" i="7"/>
  <c r="U44" i="2"/>
  <c r="AS42" i="9"/>
  <c r="C84" i="9"/>
  <c r="AP57" i="9"/>
  <c r="P73" i="7"/>
  <c r="T61" i="2"/>
  <c r="K44" i="4"/>
  <c r="AT82" i="9"/>
  <c r="R49" i="9"/>
  <c r="O41" i="7"/>
  <c r="AZ55" i="9"/>
  <c r="C265" i="7"/>
  <c r="L46" i="4"/>
  <c r="G72" i="7"/>
  <c r="C130" i="4"/>
  <c r="O59" i="9"/>
  <c r="N96" i="9"/>
  <c r="AK3" i="9"/>
  <c r="L229" i="7"/>
  <c r="B70" i="7"/>
  <c r="B41" i="9"/>
  <c r="G161" i="7"/>
  <c r="B101" i="2"/>
  <c r="D75" i="7"/>
  <c r="O98" i="4"/>
  <c r="H83" i="7"/>
  <c r="Z21" i="2"/>
  <c r="C75" i="7"/>
  <c r="O244" i="4"/>
  <c r="D275" i="7"/>
  <c r="P68" i="7"/>
  <c r="G58" i="4"/>
  <c r="AI45" i="9"/>
  <c r="U81" i="2"/>
  <c r="J88" i="2"/>
  <c r="G88" i="4"/>
  <c r="C122" i="4"/>
  <c r="O234" i="4"/>
  <c r="N68" i="4"/>
  <c r="N114" i="4"/>
  <c r="AP69" i="9"/>
  <c r="AK60" i="9"/>
  <c r="J78" i="2"/>
  <c r="D173" i="7"/>
  <c r="AL71" i="9"/>
  <c r="F234" i="7"/>
  <c r="B70" i="2"/>
  <c r="G73" i="7"/>
  <c r="AK68" i="9"/>
  <c r="B72" i="2"/>
  <c r="D231" i="7"/>
  <c r="B88" i="2"/>
  <c r="N233" i="7"/>
  <c r="M263" i="4"/>
  <c r="F227" i="4"/>
  <c r="C95" i="4"/>
  <c r="M73" i="2"/>
  <c r="G73" i="4"/>
  <c r="P59" i="2"/>
  <c r="I31" i="4"/>
  <c r="I91" i="9"/>
  <c r="G48" i="2"/>
  <c r="E69" i="2"/>
  <c r="B103" i="4"/>
  <c r="N179" i="4"/>
  <c r="E70" i="4"/>
  <c r="O187" i="4"/>
  <c r="Q109" i="4"/>
  <c r="C86" i="7"/>
  <c r="G262" i="7"/>
  <c r="K42" i="9"/>
  <c r="G251" i="7"/>
  <c r="AN88" i="9"/>
  <c r="B72" i="4"/>
  <c r="D216" i="4"/>
  <c r="Q46" i="4"/>
  <c r="L214" i="7"/>
  <c r="L124" i="7"/>
  <c r="J110" i="2"/>
  <c r="O153" i="4"/>
  <c r="N153" i="7"/>
  <c r="AK66" i="9"/>
  <c r="J60" i="7"/>
  <c r="AJ75" i="9"/>
  <c r="F73" i="7"/>
  <c r="K194" i="7"/>
  <c r="AZ59" i="9"/>
  <c r="M270" i="4"/>
  <c r="F80" i="7"/>
  <c r="B54" i="4"/>
  <c r="Q79" i="2"/>
  <c r="I71" i="4"/>
  <c r="L112" i="7"/>
  <c r="D150" i="4"/>
  <c r="D105" i="7"/>
  <c r="I91" i="7"/>
  <c r="H153" i="7"/>
  <c r="L221" i="7"/>
  <c r="K35" i="9"/>
  <c r="I65" i="4"/>
  <c r="G180" i="4"/>
  <c r="C136" i="4"/>
  <c r="G44" i="2"/>
  <c r="M100" i="9"/>
  <c r="B93" i="9"/>
  <c r="H115" i="7"/>
  <c r="G49" i="4"/>
  <c r="P65" i="4"/>
  <c r="G271" i="7"/>
  <c r="G52" i="4"/>
  <c r="L72" i="4"/>
  <c r="AQ62" i="9"/>
  <c r="E178" i="4"/>
  <c r="I104" i="2"/>
  <c r="BH31" i="9"/>
  <c r="E191" i="7"/>
  <c r="C271" i="4"/>
  <c r="AV61" i="9"/>
  <c r="O219" i="4"/>
  <c r="D77" i="2"/>
  <c r="O163" i="4"/>
  <c r="H151" i="4"/>
  <c r="BD23" i="9"/>
  <c r="AA3" i="4"/>
  <c r="B109" i="2"/>
  <c r="B132" i="7"/>
  <c r="AI61" i="9"/>
  <c r="F213" i="7"/>
  <c r="AP92" i="9"/>
  <c r="B232" i="7"/>
  <c r="M245" i="7"/>
  <c r="J66" i="2"/>
  <c r="P56" i="4"/>
  <c r="G200" i="4"/>
  <c r="D69" i="2"/>
  <c r="H105" i="9"/>
  <c r="E109" i="2"/>
  <c r="D234" i="7"/>
  <c r="B88" i="7"/>
  <c r="R68" i="9"/>
  <c r="L95" i="4"/>
  <c r="S83" i="7"/>
  <c r="F190" i="4"/>
  <c r="AL103" i="9"/>
  <c r="F40" i="2"/>
  <c r="AZ39" i="9"/>
  <c r="K259" i="7"/>
  <c r="O48" i="2"/>
  <c r="BG14" i="9"/>
  <c r="H22" i="4"/>
  <c r="AP31" i="9"/>
  <c r="O142" i="4"/>
  <c r="N103" i="9"/>
  <c r="D108" i="2"/>
  <c r="C93" i="9"/>
  <c r="R50" i="2"/>
  <c r="K249" i="7"/>
  <c r="E227" i="7"/>
  <c r="E103" i="4"/>
  <c r="J87" i="4"/>
  <c r="O70" i="9"/>
  <c r="AO66" i="9"/>
  <c r="B38" i="4"/>
  <c r="E153" i="4"/>
  <c r="N129" i="4"/>
  <c r="U64" i="7"/>
  <c r="D41" i="9"/>
  <c r="L212" i="4"/>
  <c r="K66" i="4"/>
  <c r="K79" i="2"/>
  <c r="G170" i="7"/>
  <c r="J53" i="4"/>
  <c r="C45" i="2"/>
  <c r="K78" i="7"/>
  <c r="N163" i="4"/>
  <c r="L58" i="9"/>
  <c r="M101" i="4"/>
  <c r="K49" i="2"/>
  <c r="K164" i="4"/>
  <c r="G58" i="9"/>
  <c r="P69" i="7"/>
  <c r="E146" i="4"/>
  <c r="O47" i="4"/>
  <c r="D134" i="7"/>
  <c r="K226" i="7"/>
  <c r="H160" i="7"/>
  <c r="U46" i="2"/>
  <c r="C48" i="2"/>
  <c r="N134" i="4"/>
  <c r="O40" i="2"/>
  <c r="K183" i="7"/>
  <c r="E95" i="9"/>
  <c r="BB48" i="9"/>
  <c r="H273" i="7"/>
  <c r="D241" i="4"/>
  <c r="K168" i="7"/>
  <c r="N97" i="7"/>
  <c r="R89" i="4"/>
  <c r="N75" i="2"/>
  <c r="C120" i="7"/>
  <c r="R47" i="7"/>
  <c r="V3" i="9"/>
  <c r="C244" i="4"/>
  <c r="H114" i="7"/>
  <c r="O75" i="9"/>
  <c r="N62" i="4"/>
  <c r="M77" i="7"/>
  <c r="C100" i="2"/>
  <c r="N195" i="7"/>
  <c r="N107" i="2"/>
  <c r="U40" i="9"/>
  <c r="C202" i="7"/>
  <c r="L187" i="7"/>
  <c r="M234" i="4"/>
  <c r="K223" i="7"/>
  <c r="M189" i="4"/>
  <c r="L143" i="7"/>
  <c r="H244" i="4"/>
  <c r="G62" i="2"/>
  <c r="U93" i="4"/>
  <c r="Q63" i="4"/>
  <c r="T80" i="2"/>
  <c r="G102" i="2"/>
  <c r="B34" i="2"/>
  <c r="K69" i="2"/>
  <c r="C230" i="7"/>
  <c r="H207" i="4"/>
  <c r="E242" i="7"/>
  <c r="AO54" i="9"/>
  <c r="C217" i="7"/>
  <c r="L181" i="4"/>
  <c r="G57" i="2"/>
  <c r="C250" i="7"/>
  <c r="O83" i="9"/>
  <c r="H184" i="7"/>
  <c r="E148" i="7"/>
  <c r="K110" i="2"/>
  <c r="C57" i="9"/>
  <c r="G59" i="9"/>
  <c r="D43" i="9"/>
  <c r="AV43" i="9"/>
  <c r="G222" i="7"/>
  <c r="O261" i="4"/>
  <c r="O173" i="4"/>
  <c r="N94" i="4"/>
  <c r="H249" i="4"/>
  <c r="D220" i="7"/>
  <c r="B192" i="7"/>
  <c r="B3" i="4"/>
  <c r="O26" i="2"/>
  <c r="G171" i="7"/>
  <c r="E148" i="4"/>
  <c r="U96" i="2"/>
  <c r="C194" i="7"/>
  <c r="D94" i="2"/>
  <c r="P96" i="2"/>
  <c r="C46" i="7"/>
  <c r="F264" i="7"/>
  <c r="O232" i="4"/>
  <c r="R73" i="2"/>
  <c r="BD37" i="9"/>
  <c r="Q79" i="4"/>
  <c r="P46" i="4"/>
  <c r="G196" i="4"/>
  <c r="AM45" i="9"/>
  <c r="AM98" i="9"/>
  <c r="E240" i="4"/>
  <c r="D158" i="7"/>
  <c r="M169" i="4"/>
  <c r="G252" i="7"/>
  <c r="N135" i="4"/>
  <c r="AP99" i="9"/>
  <c r="G50" i="2"/>
  <c r="AU86" i="9"/>
  <c r="J59" i="7"/>
  <c r="B58" i="2"/>
  <c r="Q39" i="7"/>
  <c r="J47" i="4"/>
  <c r="G174" i="4"/>
  <c r="K217" i="7"/>
  <c r="AN43" i="9"/>
  <c r="H98" i="7"/>
  <c r="G239" i="4"/>
  <c r="I75" i="7"/>
  <c r="B100" i="2"/>
  <c r="M150" i="7"/>
  <c r="H173" i="4"/>
  <c r="H57" i="4"/>
  <c r="B96" i="7"/>
  <c r="B58" i="9"/>
  <c r="E195" i="7"/>
  <c r="H141" i="7"/>
  <c r="AM75" i="9"/>
  <c r="H249" i="7"/>
  <c r="AX60" i="9"/>
  <c r="AO109" i="9"/>
  <c r="L82" i="2"/>
  <c r="F231" i="4"/>
  <c r="D105" i="9"/>
  <c r="I67" i="7"/>
  <c r="K138" i="4"/>
  <c r="P33" i="2"/>
  <c r="AN27" i="9"/>
  <c r="D41" i="2"/>
  <c r="D75" i="9"/>
  <c r="N124" i="4"/>
  <c r="G54" i="4"/>
  <c r="AY71" i="9"/>
  <c r="K47" i="2"/>
  <c r="D136" i="7"/>
  <c r="K225" i="7"/>
  <c r="M125" i="7"/>
  <c r="Q44" i="2"/>
  <c r="K187" i="4"/>
  <c r="I86" i="2"/>
  <c r="M97" i="4"/>
  <c r="H144" i="7"/>
  <c r="O48" i="7"/>
  <c r="H54" i="2"/>
  <c r="T61" i="7"/>
  <c r="C218" i="4"/>
  <c r="K70" i="2"/>
  <c r="O204" i="4"/>
  <c r="R45" i="2"/>
  <c r="E266" i="7"/>
  <c r="E88" i="7"/>
  <c r="C164" i="7"/>
  <c r="E100" i="2"/>
  <c r="D77" i="4"/>
  <c r="D250" i="4"/>
  <c r="AJ82" i="9"/>
  <c r="AX63" i="9"/>
  <c r="N175" i="7"/>
  <c r="L192" i="4"/>
  <c r="L33" i="2"/>
  <c r="E153" i="7"/>
  <c r="F147" i="4"/>
  <c r="V34" i="9"/>
  <c r="M182" i="7"/>
  <c r="AV35" i="9"/>
  <c r="G257" i="7"/>
  <c r="AQ93" i="9"/>
  <c r="M208" i="7"/>
  <c r="G194" i="7"/>
  <c r="C179" i="7"/>
  <c r="Z22" i="9"/>
  <c r="L98" i="2"/>
  <c r="D229" i="4"/>
  <c r="I92" i="2"/>
  <c r="J66" i="9"/>
  <c r="AO70" i="9"/>
  <c r="N52" i="2"/>
  <c r="D56" i="2"/>
  <c r="I88" i="7"/>
  <c r="G243" i="7"/>
  <c r="D141" i="4"/>
  <c r="Q96" i="4"/>
  <c r="C108" i="4"/>
  <c r="L182" i="7"/>
  <c r="O92" i="4"/>
  <c r="H214" i="7"/>
  <c r="H187" i="7"/>
  <c r="D114" i="4"/>
  <c r="D226" i="4"/>
  <c r="E175" i="7"/>
  <c r="U73" i="2"/>
  <c r="N148" i="4"/>
  <c r="H114" i="4"/>
  <c r="X28" i="9"/>
  <c r="M73" i="7"/>
  <c r="C81" i="2"/>
  <c r="M162" i="7"/>
  <c r="G67" i="2"/>
  <c r="J71" i="4"/>
  <c r="G275" i="7"/>
  <c r="AT96" i="9"/>
  <c r="C67" i="9"/>
  <c r="AQ79" i="9"/>
  <c r="E230" i="4"/>
  <c r="I93" i="4"/>
  <c r="O77" i="2"/>
  <c r="N56" i="4"/>
  <c r="AR57" i="9"/>
  <c r="D62" i="7"/>
  <c r="I95" i="9"/>
  <c r="D105" i="4"/>
  <c r="P56" i="7"/>
  <c r="N79" i="9"/>
  <c r="I60" i="4"/>
  <c r="I61" i="9"/>
  <c r="G156" i="4"/>
  <c r="T87" i="9"/>
  <c r="O71" i="2"/>
  <c r="G71" i="7"/>
  <c r="K107" i="4"/>
  <c r="B199" i="7"/>
  <c r="G204" i="7"/>
  <c r="C167" i="4"/>
  <c r="T88" i="9"/>
  <c r="U54" i="2"/>
  <c r="E94" i="7"/>
  <c r="F217" i="4"/>
  <c r="D24" i="4"/>
  <c r="N64" i="7"/>
  <c r="O139" i="4"/>
  <c r="L164" i="7"/>
  <c r="L80" i="2"/>
  <c r="C57" i="7"/>
  <c r="H178" i="7"/>
  <c r="D114" i="7"/>
  <c r="N170" i="4"/>
  <c r="G188" i="7"/>
  <c r="L259" i="7"/>
  <c r="D151" i="7"/>
  <c r="C110" i="7"/>
  <c r="H65" i="7"/>
  <c r="N128" i="4"/>
  <c r="O61" i="4"/>
  <c r="D87" i="2"/>
  <c r="O229" i="4"/>
  <c r="R48" i="9"/>
  <c r="T98" i="2"/>
  <c r="H49" i="7"/>
  <c r="AK108" i="9"/>
  <c r="N85" i="2"/>
  <c r="B64" i="7"/>
  <c r="H83" i="2"/>
  <c r="C100" i="4"/>
  <c r="D186" i="4"/>
  <c r="H159" i="7"/>
  <c r="T56" i="9"/>
  <c r="K67" i="4"/>
  <c r="Q76" i="2"/>
  <c r="H59" i="9"/>
  <c r="M260" i="4"/>
  <c r="F62" i="4"/>
  <c r="M94" i="4"/>
  <c r="D193" i="7"/>
  <c r="C239" i="4"/>
  <c r="AM74" i="9"/>
  <c r="L144" i="4"/>
  <c r="O167" i="4"/>
  <c r="P28" i="7"/>
  <c r="BJ26" i="9"/>
  <c r="M63" i="4"/>
  <c r="E53" i="4"/>
  <c r="L269" i="7"/>
  <c r="B61" i="9"/>
  <c r="AG27" i="7"/>
  <c r="E35" i="2"/>
  <c r="E246" i="7"/>
  <c r="P93" i="9"/>
  <c r="G163" i="4"/>
  <c r="R53" i="4"/>
  <c r="K133" i="7"/>
  <c r="D108" i="7"/>
  <c r="G193" i="7"/>
  <c r="E108" i="9"/>
  <c r="T92" i="7"/>
  <c r="S82" i="7"/>
  <c r="M45" i="2"/>
  <c r="E48" i="4"/>
  <c r="G207" i="4"/>
  <c r="Q48" i="4"/>
  <c r="B107" i="9"/>
  <c r="AX78" i="9"/>
  <c r="H240" i="7"/>
  <c r="D176" i="7"/>
  <c r="B82" i="7"/>
  <c r="D239" i="4"/>
  <c r="M91" i="2"/>
  <c r="K188" i="4"/>
  <c r="M58" i="4"/>
  <c r="R47" i="9"/>
  <c r="R45" i="7"/>
  <c r="B150" i="7"/>
  <c r="R93" i="4"/>
  <c r="L86" i="7"/>
  <c r="F202" i="7"/>
  <c r="D224" i="4"/>
  <c r="C11" i="2"/>
  <c r="Q102" i="4"/>
  <c r="Q64" i="9"/>
  <c r="J22" i="4"/>
  <c r="B57" i="4"/>
  <c r="C193" i="4"/>
  <c r="L131" i="7"/>
  <c r="P67" i="2"/>
  <c r="G262" i="4"/>
  <c r="D262" i="7"/>
  <c r="B47" i="7"/>
  <c r="AT59" i="9"/>
  <c r="N151" i="7"/>
  <c r="C250" i="4"/>
  <c r="E259" i="7"/>
  <c r="H216" i="4"/>
  <c r="I30" i="9"/>
  <c r="H168" i="7"/>
  <c r="O183" i="4"/>
  <c r="K65" i="2"/>
  <c r="C151" i="4"/>
  <c r="D252" i="7"/>
  <c r="E96" i="7"/>
  <c r="B41" i="2"/>
  <c r="U74" i="2"/>
  <c r="I94" i="7"/>
  <c r="G229" i="4"/>
  <c r="N194" i="7"/>
  <c r="H215" i="7"/>
  <c r="G107" i="2"/>
  <c r="G181" i="4"/>
  <c r="C56" i="9"/>
  <c r="AK49" i="9"/>
  <c r="L63" i="2"/>
  <c r="B118" i="7"/>
  <c r="M102" i="7"/>
  <c r="B238" i="7"/>
  <c r="F102" i="7"/>
  <c r="Y26" i="7"/>
  <c r="AM100" i="9"/>
  <c r="O28" i="4"/>
  <c r="D215" i="4"/>
  <c r="Z18" i="7"/>
  <c r="J23" i="9"/>
  <c r="K72" i="7"/>
  <c r="H54" i="9"/>
  <c r="M29" i="9"/>
  <c r="N34" i="7"/>
  <c r="M95" i="2"/>
  <c r="C83" i="7"/>
  <c r="G24" i="2"/>
  <c r="AR24" i="9"/>
  <c r="I89" i="7"/>
  <c r="P51" i="9"/>
  <c r="Y30" i="7"/>
  <c r="AL25" i="9"/>
  <c r="B271" i="7"/>
  <c r="AR29" i="9"/>
  <c r="M94" i="9"/>
  <c r="AP74" i="9"/>
  <c r="F79" i="9"/>
  <c r="C133" i="4"/>
  <c r="B40" i="2"/>
  <c r="N67" i="4"/>
  <c r="W3" i="9"/>
  <c r="BB34" i="9"/>
  <c r="M262" i="4"/>
  <c r="C38" i="4"/>
  <c r="C26" i="2"/>
  <c r="N76" i="4"/>
  <c r="M217" i="7"/>
  <c r="BB80" i="9"/>
  <c r="C249" i="4"/>
  <c r="J56" i="9"/>
  <c r="B30" i="7"/>
  <c r="F228" i="7"/>
  <c r="N271" i="4"/>
  <c r="C84" i="7"/>
  <c r="AO55" i="9"/>
  <c r="BD33" i="9"/>
  <c r="R36" i="4"/>
  <c r="AR52" i="9"/>
  <c r="K148" i="7"/>
  <c r="G34" i="9"/>
  <c r="F37" i="2"/>
  <c r="J92" i="4"/>
  <c r="B102" i="4"/>
  <c r="L183" i="7"/>
  <c r="I85" i="2"/>
  <c r="N166" i="7"/>
  <c r="H146" i="7"/>
  <c r="I73" i="2"/>
  <c r="AZ49" i="9"/>
  <c r="C74" i="7"/>
  <c r="E93" i="4"/>
  <c r="F69" i="4"/>
  <c r="K50" i="7"/>
  <c r="E88" i="2"/>
  <c r="BO20" i="9"/>
  <c r="N22" i="4"/>
  <c r="F74" i="9"/>
  <c r="D50" i="2"/>
  <c r="J93" i="2"/>
  <c r="BN24" i="9"/>
  <c r="K142" i="4"/>
  <c r="Q94" i="4"/>
  <c r="AQ17" i="9"/>
  <c r="Q92" i="4"/>
  <c r="N164" i="7"/>
  <c r="D55" i="7"/>
  <c r="Q83" i="4"/>
  <c r="J64" i="9"/>
  <c r="AL51" i="9"/>
  <c r="BM23" i="9"/>
  <c r="J25" i="7"/>
  <c r="B48" i="7"/>
  <c r="I83" i="2"/>
  <c r="H24" i="4"/>
  <c r="T30" i="7"/>
  <c r="G68" i="7"/>
  <c r="S3" i="9"/>
  <c r="Q84" i="4"/>
  <c r="M166" i="4"/>
  <c r="G179" i="4"/>
  <c r="D77" i="9"/>
  <c r="P72" i="7"/>
  <c r="K178" i="4"/>
  <c r="AA28" i="4"/>
  <c r="AU107" i="9"/>
  <c r="U80" i="4"/>
  <c r="N144" i="7"/>
  <c r="AM79" i="9"/>
  <c r="F260" i="4"/>
  <c r="B157" i="7"/>
  <c r="N109" i="4"/>
  <c r="E89" i="2"/>
  <c r="O87" i="2"/>
  <c r="G80" i="9"/>
  <c r="B128" i="7"/>
  <c r="D219" i="7"/>
  <c r="H87" i="7"/>
  <c r="H117" i="4"/>
  <c r="P84" i="2"/>
  <c r="T49" i="7"/>
  <c r="R47" i="2"/>
  <c r="B39" i="2"/>
  <c r="AS33" i="9"/>
  <c r="N267" i="7"/>
  <c r="O126" i="4"/>
  <c r="AQ78" i="9"/>
  <c r="P96" i="9"/>
  <c r="J46" i="7"/>
  <c r="C185" i="7"/>
  <c r="AX35" i="9"/>
  <c r="P65" i="9"/>
  <c r="AP47" i="9"/>
  <c r="G108" i="4"/>
  <c r="I41" i="4"/>
  <c r="J81" i="7"/>
  <c r="L32" i="7"/>
  <c r="O87" i="4"/>
  <c r="C182" i="4"/>
  <c r="T29" i="9"/>
  <c r="AK31" i="9"/>
  <c r="D187" i="4"/>
  <c r="O99" i="9"/>
  <c r="E230" i="7"/>
  <c r="AJ48" i="9"/>
  <c r="E43" i="4"/>
  <c r="U94" i="7"/>
  <c r="L190" i="4"/>
  <c r="F246" i="4"/>
  <c r="C117" i="4"/>
  <c r="F140" i="4"/>
  <c r="G92" i="4"/>
  <c r="B40" i="4"/>
  <c r="D155" i="7"/>
  <c r="BB77" i="9"/>
  <c r="N47" i="4"/>
  <c r="AR40" i="9"/>
  <c r="N190" i="7"/>
  <c r="K139" i="4"/>
  <c r="AY68" i="9"/>
  <c r="K82" i="7"/>
  <c r="D177" i="7"/>
  <c r="F261" i="7"/>
  <c r="D249" i="4"/>
  <c r="F75" i="7"/>
  <c r="D174" i="7"/>
  <c r="F132" i="7"/>
  <c r="M237" i="7"/>
  <c r="M29" i="2"/>
  <c r="I112" i="2"/>
  <c r="H225" i="4"/>
  <c r="C20" i="9"/>
  <c r="M200" i="4"/>
  <c r="V34" i="4"/>
  <c r="F218" i="4"/>
  <c r="I70" i="9"/>
  <c r="N103" i="7"/>
  <c r="I82" i="2"/>
  <c r="AO75" i="9"/>
  <c r="N89" i="2"/>
  <c r="M246" i="4"/>
  <c r="B97" i="9"/>
  <c r="K225" i="4"/>
  <c r="N102" i="4"/>
  <c r="G38" i="9"/>
  <c r="O266" i="4"/>
  <c r="H74" i="4"/>
  <c r="C246" i="4"/>
  <c r="N92" i="4"/>
  <c r="E217" i="7"/>
  <c r="P113" i="2"/>
  <c r="K41" i="7"/>
  <c r="H46" i="7"/>
  <c r="M24" i="2"/>
  <c r="E64" i="7"/>
  <c r="K202" i="7"/>
  <c r="N49" i="4"/>
  <c r="AX87" i="9"/>
  <c r="J77" i="2"/>
  <c r="R66" i="7"/>
  <c r="M188" i="7"/>
  <c r="C81" i="9"/>
  <c r="E64" i="9"/>
  <c r="L113" i="2"/>
  <c r="AA26" i="9"/>
  <c r="G234" i="7"/>
  <c r="P56" i="2"/>
  <c r="D133" i="7"/>
  <c r="H175" i="4"/>
  <c r="H100" i="4"/>
  <c r="Q77" i="7"/>
  <c r="B5" i="10"/>
  <c r="C156" i="7"/>
  <c r="F51" i="2"/>
  <c r="T85" i="4"/>
  <c r="O255" i="4"/>
  <c r="G234" i="4"/>
  <c r="C91" i="4"/>
  <c r="H57" i="9"/>
  <c r="E63" i="7"/>
  <c r="Q48" i="2"/>
  <c r="H212" i="7"/>
  <c r="B205" i="7"/>
  <c r="N162" i="4"/>
  <c r="E84" i="9"/>
  <c r="O265" i="4"/>
  <c r="M60" i="4"/>
  <c r="H164" i="4"/>
  <c r="C112" i="2"/>
  <c r="U38" i="4"/>
  <c r="F73" i="2"/>
  <c r="O63" i="2"/>
  <c r="F74" i="7"/>
  <c r="N247" i="7"/>
  <c r="AN66" i="9"/>
  <c r="D58" i="2"/>
  <c r="U22" i="9"/>
  <c r="D29" i="4"/>
  <c r="O44" i="7"/>
  <c r="G233" i="7"/>
  <c r="AW72" i="9"/>
  <c r="E108" i="7"/>
  <c r="C274" i="4"/>
  <c r="AW105" i="9"/>
  <c r="AK78" i="9"/>
  <c r="D118" i="4"/>
  <c r="T94" i="2"/>
  <c r="N188" i="4"/>
  <c r="AZ51" i="9"/>
  <c r="AT98" i="9"/>
  <c r="AU97" i="9"/>
  <c r="D184" i="4"/>
  <c r="M220" i="4"/>
  <c r="K130" i="4"/>
  <c r="AM71" i="9"/>
  <c r="H109" i="7"/>
  <c r="J89" i="4"/>
  <c r="AT105" i="9"/>
  <c r="P89" i="9"/>
  <c r="K167" i="7"/>
  <c r="G181" i="7"/>
  <c r="AP67" i="9"/>
  <c r="I41" i="7"/>
  <c r="G196" i="7"/>
  <c r="M212" i="4"/>
  <c r="C97" i="9"/>
  <c r="H71" i="2"/>
  <c r="C210" i="7"/>
  <c r="I91" i="4"/>
  <c r="O141" i="4"/>
  <c r="N26" i="7"/>
  <c r="AX3" i="9"/>
  <c r="L135" i="4"/>
  <c r="AT36" i="9"/>
  <c r="M62" i="2"/>
  <c r="T74" i="2"/>
  <c r="G53" i="4"/>
  <c r="L275" i="4"/>
  <c r="AT62" i="9"/>
  <c r="D64" i="4"/>
  <c r="E67" i="2"/>
  <c r="H252" i="4"/>
  <c r="L83" i="2"/>
  <c r="AX61" i="9"/>
  <c r="B65" i="2"/>
  <c r="AI67" i="9"/>
  <c r="AX20" i="9"/>
  <c r="B66" i="4"/>
  <c r="C54" i="9"/>
  <c r="B262" i="7"/>
  <c r="L53" i="4"/>
  <c r="G69" i="9"/>
  <c r="C184" i="4"/>
  <c r="R107" i="4"/>
  <c r="U73" i="4"/>
  <c r="C102" i="4"/>
  <c r="T77" i="4"/>
  <c r="L200" i="7"/>
  <c r="T62" i="9"/>
  <c r="H51" i="7"/>
  <c r="AJ95" i="9"/>
  <c r="O192" i="4"/>
  <c r="Q101" i="2"/>
  <c r="D172" i="4"/>
  <c r="G74" i="4"/>
  <c r="H182" i="7"/>
  <c r="F109" i="4"/>
  <c r="D94" i="4"/>
  <c r="H270" i="7"/>
  <c r="AX72" i="9"/>
  <c r="R65" i="4"/>
  <c r="AI88" i="9"/>
  <c r="R93" i="7"/>
  <c r="M180" i="7"/>
  <c r="U62" i="7"/>
  <c r="M108" i="4"/>
  <c r="H32" i="2"/>
  <c r="G39" i="2"/>
  <c r="G203" i="7"/>
  <c r="V33" i="9"/>
  <c r="G43" i="9"/>
  <c r="B61" i="7"/>
  <c r="V33" i="7"/>
  <c r="N141" i="7"/>
  <c r="D118" i="7"/>
  <c r="K177" i="7"/>
  <c r="AX48" i="9"/>
  <c r="R98" i="2"/>
  <c r="H44" i="4"/>
  <c r="H171" i="7"/>
  <c r="D119" i="7"/>
  <c r="AS60" i="9"/>
  <c r="C260" i="4"/>
  <c r="K206" i="7"/>
  <c r="N88" i="2"/>
  <c r="K189" i="4"/>
  <c r="C122" i="7"/>
  <c r="B209" i="7"/>
  <c r="D67" i="7"/>
  <c r="G54" i="2"/>
  <c r="O65" i="9"/>
  <c r="P66" i="9"/>
  <c r="AP60" i="9"/>
  <c r="L67" i="4"/>
  <c r="J33" i="2"/>
  <c r="N101" i="7"/>
  <c r="G105" i="9"/>
  <c r="C71" i="7"/>
  <c r="G112" i="7"/>
  <c r="M115" i="4"/>
  <c r="BE31" i="9"/>
  <c r="C109" i="4"/>
  <c r="L78" i="4"/>
  <c r="L54" i="4"/>
  <c r="H22" i="9"/>
  <c r="AV106" i="9"/>
  <c r="R43" i="9"/>
  <c r="H95" i="9"/>
  <c r="U79" i="7"/>
  <c r="C197" i="7"/>
  <c r="H57" i="7"/>
  <c r="AU61" i="9"/>
  <c r="C132" i="7"/>
  <c r="B163" i="7"/>
  <c r="D99" i="4"/>
  <c r="AO108" i="9"/>
  <c r="O94" i="2"/>
  <c r="AQ65" i="9"/>
  <c r="E72" i="4"/>
  <c r="D169" i="4"/>
  <c r="D210" i="7"/>
  <c r="AP89" i="9"/>
  <c r="AI91" i="9"/>
  <c r="M34" i="2"/>
  <c r="G121" i="4"/>
  <c r="M202" i="7"/>
  <c r="K257" i="4"/>
  <c r="B89" i="4"/>
  <c r="AK72" i="9"/>
  <c r="D242" i="7"/>
  <c r="M151" i="7"/>
  <c r="H264" i="4"/>
  <c r="F94" i="7"/>
  <c r="P48" i="2"/>
  <c r="U93" i="2"/>
  <c r="AX88" i="9"/>
  <c r="Q43" i="2"/>
  <c r="P59" i="9"/>
  <c r="Q108" i="2"/>
  <c r="B98" i="2"/>
  <c r="G227" i="4"/>
  <c r="D154" i="7"/>
  <c r="L41" i="9"/>
  <c r="I80" i="9"/>
  <c r="H62" i="4"/>
  <c r="F76" i="4"/>
  <c r="U58" i="7"/>
  <c r="O82" i="7"/>
  <c r="P40" i="4"/>
  <c r="N232" i="4"/>
  <c r="H55" i="4"/>
  <c r="K55" i="9"/>
  <c r="L52" i="2"/>
  <c r="O70" i="7"/>
  <c r="L241" i="7"/>
  <c r="G72" i="2"/>
  <c r="K270" i="7"/>
  <c r="M44" i="2"/>
  <c r="C199" i="4"/>
  <c r="H180" i="4"/>
  <c r="AJ43" i="9"/>
  <c r="N36" i="2"/>
  <c r="L63" i="4"/>
  <c r="D143" i="7"/>
  <c r="E85" i="4"/>
  <c r="M249" i="4"/>
  <c r="R33" i="2"/>
  <c r="J43" i="2"/>
  <c r="L95" i="7"/>
  <c r="Q73" i="2"/>
  <c r="D44" i="4"/>
  <c r="P58" i="4"/>
  <c r="N44" i="9"/>
  <c r="H68" i="7"/>
  <c r="H108" i="7"/>
  <c r="C93" i="7"/>
  <c r="F220" i="4"/>
  <c r="M111" i="7"/>
  <c r="BB49" i="9"/>
  <c r="R64" i="7"/>
  <c r="L104" i="4"/>
  <c r="D101" i="7"/>
  <c r="K81" i="7"/>
  <c r="G79" i="2"/>
  <c r="I74" i="7"/>
  <c r="N78" i="4"/>
  <c r="G152" i="7"/>
  <c r="B48" i="4"/>
  <c r="N248" i="7"/>
  <c r="F104" i="9"/>
  <c r="P79" i="2"/>
  <c r="N58" i="9"/>
  <c r="N93" i="7"/>
  <c r="M243" i="7"/>
  <c r="M149" i="7"/>
  <c r="H222" i="4"/>
  <c r="M184" i="4"/>
  <c r="F83" i="4"/>
  <c r="B90" i="4"/>
  <c r="C96" i="2"/>
  <c r="K235" i="4"/>
  <c r="M57" i="7"/>
  <c r="F66" i="4"/>
  <c r="AM35" i="9"/>
  <c r="K44" i="2"/>
  <c r="O166" i="4"/>
  <c r="G149" i="4"/>
  <c r="O47" i="9"/>
  <c r="AX49" i="9"/>
  <c r="N258" i="4"/>
  <c r="D75" i="2"/>
  <c r="F97" i="7"/>
  <c r="L197" i="7"/>
  <c r="D100" i="9"/>
  <c r="L206" i="7"/>
  <c r="M129" i="4"/>
  <c r="P109" i="2"/>
  <c r="L196" i="4"/>
  <c r="G24" i="4"/>
  <c r="G68" i="9"/>
  <c r="E142" i="4"/>
  <c r="M241" i="7"/>
  <c r="M30" i="4"/>
  <c r="AU77" i="9"/>
  <c r="C105" i="7"/>
  <c r="C22" i="7"/>
  <c r="K94" i="7"/>
  <c r="T35" i="7"/>
  <c r="N110" i="9"/>
  <c r="M258" i="7"/>
  <c r="M148" i="7"/>
  <c r="G213" i="4"/>
  <c r="C213" i="7"/>
  <c r="L133" i="4"/>
  <c r="O70" i="2"/>
  <c r="H227" i="7"/>
  <c r="C155" i="7"/>
  <c r="G270" i="7"/>
  <c r="F143" i="7"/>
  <c r="E57" i="7"/>
  <c r="C57" i="4"/>
  <c r="K269" i="4"/>
  <c r="G265" i="4"/>
  <c r="G214" i="4"/>
  <c r="G176" i="7"/>
  <c r="G53" i="2"/>
  <c r="B87" i="9"/>
  <c r="AT86" i="9"/>
  <c r="AV53" i="9"/>
  <c r="F75" i="2"/>
  <c r="AU78" i="9"/>
  <c r="E86" i="2"/>
  <c r="T70" i="2"/>
  <c r="B41" i="7"/>
  <c r="F229" i="4"/>
  <c r="C224" i="7"/>
  <c r="E3" i="4"/>
  <c r="D45" i="2"/>
  <c r="E116" i="7"/>
  <c r="N75" i="4"/>
  <c r="AM60" i="9"/>
  <c r="J99" i="2"/>
  <c r="L154" i="7"/>
  <c r="AQ64" i="9"/>
  <c r="F206" i="7"/>
  <c r="O95" i="9"/>
  <c r="T27" i="2"/>
  <c r="O179" i="4"/>
  <c r="B251" i="7"/>
  <c r="F267" i="7"/>
  <c r="AQ3" i="9"/>
  <c r="H145" i="7"/>
  <c r="Q92" i="7"/>
  <c r="AJ47" i="9"/>
  <c r="K171" i="7"/>
  <c r="M146" i="7"/>
  <c r="L142" i="4"/>
  <c r="G245" i="7"/>
  <c r="R68" i="4"/>
  <c r="K81" i="4"/>
  <c r="F193" i="4"/>
  <c r="U32" i="7"/>
  <c r="L94" i="7"/>
  <c r="G248" i="4"/>
  <c r="E195" i="4"/>
  <c r="B96" i="4"/>
  <c r="C198" i="7"/>
  <c r="K43" i="9"/>
  <c r="R36" i="7"/>
  <c r="K77" i="2"/>
  <c r="P73" i="2"/>
  <c r="P51" i="4"/>
  <c r="C231" i="4"/>
  <c r="O101" i="9"/>
  <c r="C237" i="7"/>
  <c r="I44" i="7"/>
  <c r="I47" i="9"/>
  <c r="C141" i="4"/>
  <c r="H163" i="4"/>
  <c r="M220" i="7"/>
  <c r="AK106" i="9"/>
  <c r="E87" i="4"/>
  <c r="P42" i="9"/>
  <c r="G230" i="4"/>
  <c r="H66" i="4"/>
  <c r="F58" i="9"/>
  <c r="E102" i="4"/>
  <c r="N102" i="7"/>
  <c r="P97" i="2"/>
  <c r="E151" i="4"/>
  <c r="K3" i="4"/>
  <c r="O44" i="4"/>
  <c r="K45" i="4"/>
  <c r="G130" i="7"/>
  <c r="E74" i="9"/>
  <c r="O99" i="7"/>
  <c r="L269" i="4"/>
  <c r="AE20" i="9"/>
  <c r="K216" i="7"/>
  <c r="BG32" i="9"/>
  <c r="H200" i="7"/>
  <c r="AN103" i="9"/>
  <c r="O105" i="2"/>
  <c r="AP104" i="9"/>
  <c r="N149" i="4"/>
  <c r="G272" i="7"/>
  <c r="D79" i="9"/>
  <c r="H88" i="2"/>
  <c r="K182" i="4"/>
  <c r="F51" i="7"/>
  <c r="M71" i="9"/>
  <c r="E144" i="7"/>
  <c r="K204" i="7"/>
  <c r="AJ52" i="9"/>
  <c r="F178" i="4"/>
  <c r="N118" i="7"/>
  <c r="F226" i="4"/>
  <c r="E82" i="2"/>
  <c r="K38" i="7"/>
  <c r="AQ85" i="9"/>
  <c r="I94" i="9"/>
  <c r="J94" i="7"/>
  <c r="F72" i="9"/>
  <c r="D60" i="2"/>
  <c r="AO82" i="9"/>
  <c r="I72" i="7"/>
  <c r="D110" i="9"/>
  <c r="H165" i="7"/>
  <c r="L111" i="7"/>
  <c r="E237" i="4"/>
  <c r="D97" i="2"/>
  <c r="N104" i="7"/>
  <c r="C53" i="9"/>
  <c r="K49" i="4"/>
  <c r="K45" i="2"/>
  <c r="O62" i="2"/>
  <c r="C172" i="7"/>
  <c r="D48" i="7"/>
  <c r="AS50" i="9"/>
  <c r="E78" i="7"/>
  <c r="K275" i="4"/>
  <c r="K75" i="2"/>
  <c r="M111" i="2"/>
  <c r="AW61" i="9"/>
  <c r="G67" i="4"/>
  <c r="L65" i="9"/>
  <c r="AO68" i="9"/>
  <c r="AK74" i="9"/>
  <c r="B13" i="10"/>
  <c r="D231" i="4"/>
  <c r="C258" i="4"/>
  <c r="AF13" i="2"/>
  <c r="B107" i="4"/>
  <c r="L223" i="7"/>
  <c r="I81" i="9"/>
  <c r="Q55" i="9"/>
  <c r="K155" i="7"/>
  <c r="D172" i="7"/>
  <c r="AM42" i="9"/>
  <c r="F120" i="7"/>
  <c r="U65" i="4"/>
  <c r="D93" i="4"/>
  <c r="D164" i="7"/>
  <c r="C247" i="7"/>
  <c r="BL10" i="9"/>
  <c r="L22" i="2"/>
  <c r="E188" i="7"/>
  <c r="B19" i="2"/>
  <c r="AH24" i="9"/>
  <c r="G20" i="4"/>
  <c r="BK14" i="9"/>
  <c r="D213" i="4"/>
  <c r="I46" i="9"/>
  <c r="H86" i="7"/>
  <c r="K62" i="9"/>
  <c r="L28" i="4"/>
  <c r="E175" i="4"/>
  <c r="E133" i="7"/>
  <c r="BD34" i="9"/>
  <c r="AF25" i="4"/>
  <c r="C108" i="2"/>
  <c r="O228" i="4"/>
  <c r="H92" i="7"/>
  <c r="AU110" i="9"/>
  <c r="W41" i="2"/>
  <c r="D33" i="2"/>
  <c r="H28" i="9"/>
  <c r="N254" i="4"/>
  <c r="N166" i="4"/>
  <c r="AP86" i="9"/>
  <c r="H41" i="7"/>
  <c r="BK25" i="9"/>
  <c r="N13" i="2"/>
  <c r="F220" i="7"/>
  <c r="H51" i="2"/>
  <c r="AY40" i="9"/>
  <c r="K147" i="7"/>
  <c r="B160" i="7"/>
  <c r="I87" i="4"/>
  <c r="H3" i="9"/>
  <c r="T53" i="7"/>
  <c r="U39" i="2"/>
  <c r="H169" i="7"/>
  <c r="D61" i="2"/>
  <c r="B76" i="9"/>
  <c r="F206" i="4"/>
  <c r="AL47" i="9"/>
  <c r="C235" i="4"/>
  <c r="H127" i="4"/>
  <c r="L237" i="4"/>
  <c r="D215" i="7"/>
  <c r="N60" i="4"/>
  <c r="C34" i="9"/>
  <c r="AN69" i="9"/>
  <c r="D79" i="2"/>
  <c r="P38" i="4"/>
  <c r="BG24" i="9"/>
  <c r="AI16" i="9"/>
  <c r="AU55" i="9"/>
  <c r="R103" i="4"/>
  <c r="G126" i="7"/>
  <c r="I32" i="7"/>
  <c r="E77" i="4"/>
  <c r="AG21" i="9"/>
  <c r="C92" i="2"/>
  <c r="AK79" i="9"/>
  <c r="M211" i="7"/>
  <c r="Q67" i="7"/>
  <c r="P65" i="2"/>
  <c r="J63" i="9"/>
  <c r="D67" i="9"/>
  <c r="AB35" i="2"/>
  <c r="E50" i="4"/>
  <c r="L225" i="4"/>
  <c r="Q72" i="7"/>
  <c r="BD40" i="9"/>
  <c r="AS32" i="9"/>
  <c r="N93" i="9"/>
  <c r="D228" i="7"/>
  <c r="R48" i="4"/>
  <c r="N240" i="4"/>
  <c r="G80" i="7"/>
  <c r="E50" i="2"/>
  <c r="Z23" i="7"/>
  <c r="N204" i="4"/>
  <c r="G150" i="4"/>
  <c r="I54" i="2"/>
  <c r="U48" i="2"/>
  <c r="G102" i="7"/>
  <c r="O109" i="4"/>
  <c r="H18" i="9"/>
  <c r="F208" i="4"/>
  <c r="H29" i="7"/>
  <c r="U80" i="2"/>
  <c r="K174" i="7"/>
  <c r="L107" i="4"/>
  <c r="G134" i="4"/>
  <c r="D53" i="4"/>
  <c r="K169" i="7"/>
  <c r="U64" i="2"/>
  <c r="F81" i="9"/>
  <c r="G87" i="4"/>
  <c r="J26" i="2"/>
  <c r="AS65" i="9"/>
  <c r="J59" i="4"/>
  <c r="N58" i="7"/>
  <c r="C35" i="4"/>
  <c r="AL61" i="9"/>
  <c r="L66" i="4"/>
  <c r="AQ73" i="9"/>
  <c r="O27" i="2"/>
  <c r="D247" i="7"/>
  <c r="K229" i="7"/>
  <c r="C271" i="7"/>
  <c r="AB33" i="2"/>
  <c r="T28" i="4"/>
  <c r="AU76" i="9"/>
  <c r="I79" i="4"/>
  <c r="R92" i="7"/>
  <c r="J60" i="9"/>
  <c r="H270" i="4"/>
  <c r="L161" i="7"/>
  <c r="G91" i="9"/>
  <c r="D39" i="4"/>
  <c r="AT104" i="9"/>
  <c r="R78" i="2"/>
  <c r="M196" i="4"/>
  <c r="B54" i="2"/>
  <c r="K161" i="7"/>
  <c r="G216" i="4"/>
  <c r="L243" i="4"/>
  <c r="O251" i="4"/>
  <c r="R84" i="4"/>
  <c r="H81" i="2"/>
  <c r="C125" i="7"/>
  <c r="M253" i="7"/>
  <c r="C71" i="2"/>
  <c r="AJ58" i="9"/>
  <c r="E28" i="9"/>
  <c r="BN3" i="9"/>
  <c r="U74" i="7"/>
  <c r="K172" i="7"/>
  <c r="S85" i="7"/>
  <c r="F61" i="9"/>
  <c r="N132" i="4"/>
  <c r="D20" i="7"/>
  <c r="B140" i="7"/>
  <c r="J86" i="4"/>
  <c r="L37" i="4"/>
  <c r="C92" i="7"/>
  <c r="D89" i="9"/>
  <c r="AO25" i="9"/>
  <c r="Q71" i="4"/>
  <c r="AB30" i="4"/>
  <c r="AO37" i="9"/>
  <c r="AF22" i="9"/>
  <c r="E214" i="4"/>
  <c r="C104" i="4"/>
  <c r="L86" i="9"/>
  <c r="F171" i="4"/>
  <c r="H68" i="9"/>
  <c r="C46" i="4"/>
  <c r="E73" i="4"/>
  <c r="AR55" i="9"/>
  <c r="B91" i="7"/>
  <c r="U31" i="2"/>
  <c r="X31" i="2"/>
  <c r="K64" i="9"/>
  <c r="B200" i="7"/>
  <c r="Y31" i="4"/>
  <c r="N24" i="9"/>
  <c r="AV22" i="9"/>
  <c r="B270" i="7"/>
  <c r="F231" i="7"/>
  <c r="F65" i="4"/>
  <c r="I95" i="4"/>
  <c r="O25" i="4"/>
  <c r="C92" i="9"/>
  <c r="D33" i="7"/>
  <c r="U28" i="9"/>
  <c r="L82" i="9"/>
  <c r="T31" i="2"/>
  <c r="C183" i="4"/>
  <c r="G144" i="4"/>
  <c r="D90" i="2"/>
  <c r="AV57" i="9"/>
  <c r="N187" i="4"/>
  <c r="B135" i="7"/>
  <c r="C176" i="4"/>
  <c r="G57" i="4"/>
  <c r="O108" i="9"/>
  <c r="AQ91" i="9"/>
  <c r="AU104" i="9"/>
  <c r="M189" i="7"/>
  <c r="T34" i="2"/>
  <c r="E267" i="4"/>
  <c r="E229" i="7"/>
  <c r="D78" i="2"/>
  <c r="Q103" i="4"/>
  <c r="L70" i="7"/>
  <c r="J101" i="2"/>
  <c r="G180" i="7"/>
  <c r="G88" i="9"/>
  <c r="AY34" i="9"/>
  <c r="B53" i="7"/>
  <c r="G195" i="4"/>
  <c r="H218" i="4"/>
  <c r="M108" i="9"/>
  <c r="H138" i="4"/>
  <c r="K54" i="9"/>
  <c r="O92" i="7"/>
  <c r="F84" i="7"/>
  <c r="AQ50" i="9"/>
  <c r="C75" i="9"/>
  <c r="L166" i="7"/>
  <c r="E78" i="4"/>
  <c r="M246" i="7"/>
  <c r="AM33" i="9"/>
  <c r="N71" i="7"/>
  <c r="M123" i="7"/>
  <c r="M85" i="7"/>
  <c r="L200" i="4"/>
  <c r="AX51" i="9"/>
  <c r="AS31" i="9"/>
  <c r="I76" i="7"/>
  <c r="K255" i="4"/>
  <c r="I71" i="2"/>
  <c r="AZ31" i="9"/>
  <c r="O46" i="7"/>
  <c r="L95" i="2"/>
  <c r="U75" i="4"/>
  <c r="E115" i="4"/>
  <c r="N55" i="2"/>
  <c r="W36" i="7"/>
  <c r="T95" i="9"/>
  <c r="B173" i="7"/>
  <c r="T40" i="2"/>
  <c r="H69" i="7"/>
  <c r="H231" i="4"/>
  <c r="K238" i="4"/>
  <c r="N129" i="7"/>
  <c r="L152" i="4"/>
  <c r="P89" i="4"/>
  <c r="AL75" i="9"/>
  <c r="I80" i="7"/>
  <c r="H124" i="7"/>
  <c r="D186" i="7"/>
  <c r="L273" i="7"/>
  <c r="AB34" i="2"/>
  <c r="K88" i="4"/>
  <c r="M43" i="7"/>
  <c r="F205" i="4"/>
  <c r="BA3" i="9"/>
  <c r="H226" i="4"/>
  <c r="M35" i="2"/>
  <c r="B38" i="9"/>
  <c r="K96" i="4"/>
  <c r="C111" i="2"/>
  <c r="E159" i="7"/>
  <c r="N221" i="7"/>
  <c r="AK56" i="9"/>
  <c r="AQ36" i="9"/>
  <c r="E160" i="7"/>
  <c r="D199" i="7"/>
  <c r="T91" i="7"/>
  <c r="AT103" i="9"/>
  <c r="I53" i="9"/>
  <c r="AD16" i="4"/>
  <c r="D29" i="9"/>
  <c r="N29" i="2"/>
  <c r="AJ81" i="9"/>
  <c r="E260" i="7"/>
  <c r="F151" i="4"/>
  <c r="E58" i="7"/>
  <c r="I3" i="4"/>
  <c r="L56" i="9"/>
  <c r="C274" i="7"/>
  <c r="AU82" i="9"/>
  <c r="M36" i="7"/>
  <c r="B65" i="9"/>
  <c r="C222" i="4"/>
  <c r="Q108" i="4"/>
  <c r="L47" i="7"/>
  <c r="D140" i="7"/>
  <c r="M187" i="4"/>
  <c r="F105" i="7"/>
  <c r="C80" i="4"/>
  <c r="F46" i="2"/>
  <c r="H85" i="9"/>
  <c r="G170" i="4"/>
  <c r="J44" i="4"/>
  <c r="R65" i="9"/>
  <c r="I72" i="2"/>
  <c r="R69" i="2"/>
  <c r="E199" i="7"/>
  <c r="I44" i="4"/>
  <c r="B155" i="7"/>
  <c r="E216" i="7"/>
  <c r="I97" i="2"/>
  <c r="AT81" i="9"/>
  <c r="D183" i="7"/>
  <c r="BE30" i="9"/>
  <c r="G20" i="2"/>
  <c r="K34" i="2"/>
  <c r="AW58" i="9"/>
  <c r="BC26" i="9"/>
  <c r="AU45" i="9"/>
  <c r="N57" i="7"/>
  <c r="U43" i="7"/>
  <c r="H82" i="4"/>
  <c r="G205" i="4"/>
  <c r="BB95" i="9"/>
  <c r="K205" i="4"/>
  <c r="I69" i="7"/>
  <c r="V44" i="4"/>
  <c r="N90" i="4"/>
  <c r="K164" i="7"/>
  <c r="BB53" i="9"/>
  <c r="F103" i="2"/>
  <c r="K228" i="4"/>
  <c r="H76" i="2"/>
  <c r="AM55" i="9"/>
  <c r="AR46" i="9"/>
  <c r="E83" i="4"/>
  <c r="Q41" i="7"/>
  <c r="D148" i="4"/>
  <c r="P101" i="4"/>
  <c r="H130" i="7"/>
  <c r="Q33" i="7"/>
  <c r="R67" i="4"/>
  <c r="AN78" i="9"/>
  <c r="T86" i="2"/>
  <c r="C77" i="7"/>
  <c r="O217" i="4"/>
  <c r="G53" i="9"/>
  <c r="AP49" i="9"/>
  <c r="AI50" i="9"/>
  <c r="P80" i="2"/>
  <c r="U30" i="4"/>
  <c r="H82" i="2"/>
  <c r="D256" i="7"/>
  <c r="M197" i="4"/>
  <c r="D66" i="2"/>
  <c r="H209" i="4"/>
  <c r="M63" i="7"/>
  <c r="P49" i="2"/>
  <c r="R88" i="2"/>
  <c r="M107" i="4"/>
  <c r="H74" i="7"/>
  <c r="M118" i="7"/>
  <c r="M195" i="4"/>
  <c r="K74" i="4"/>
  <c r="D64" i="9"/>
  <c r="M64" i="4"/>
  <c r="F124" i="7"/>
  <c r="B98" i="4"/>
  <c r="F85" i="9"/>
  <c r="P68" i="4"/>
  <c r="M266" i="4"/>
  <c r="AB22" i="4"/>
  <c r="R39" i="7"/>
  <c r="I42" i="4"/>
  <c r="AP43" i="9"/>
  <c r="C72" i="4"/>
  <c r="E104" i="2"/>
  <c r="H60" i="2"/>
  <c r="G154" i="7"/>
  <c r="K252" i="7"/>
  <c r="D174" i="4"/>
  <c r="C226" i="7"/>
  <c r="H100" i="2"/>
  <c r="E239" i="4"/>
  <c r="B52" i="9"/>
  <c r="F215" i="7"/>
  <c r="D275" i="4"/>
  <c r="L146" i="7"/>
  <c r="F129" i="4"/>
  <c r="Q49" i="9"/>
  <c r="N46" i="2"/>
  <c r="H224" i="7"/>
  <c r="H179" i="7"/>
  <c r="D145" i="7"/>
  <c r="U51" i="4"/>
  <c r="C234" i="4"/>
  <c r="F270" i="4"/>
  <c r="M132" i="4"/>
  <c r="C73" i="4"/>
  <c r="L77" i="7"/>
  <c r="BB92" i="9"/>
  <c r="I71" i="9"/>
  <c r="N70" i="4"/>
  <c r="AV110" i="9"/>
  <c r="O52" i="7"/>
  <c r="U75" i="7"/>
  <c r="B80" i="2"/>
  <c r="F139" i="7"/>
  <c r="I33" i="4"/>
  <c r="K135" i="7"/>
  <c r="R25" i="4"/>
  <c r="E146" i="7"/>
  <c r="G81" i="4"/>
  <c r="H103" i="7"/>
  <c r="AV77" i="9"/>
  <c r="J88" i="7"/>
  <c r="D132" i="4"/>
  <c r="M49" i="7"/>
  <c r="L116" i="7"/>
  <c r="D66" i="9"/>
  <c r="L272" i="7"/>
  <c r="N99" i="2"/>
  <c r="T47" i="9"/>
  <c r="F51" i="9"/>
  <c r="N186" i="7"/>
  <c r="M133" i="7"/>
  <c r="N82" i="2"/>
  <c r="H206" i="4"/>
  <c r="V37" i="9"/>
  <c r="L267" i="4"/>
  <c r="G55" i="9"/>
  <c r="F45" i="2"/>
  <c r="C51" i="4"/>
  <c r="I91" i="2"/>
  <c r="G59" i="2"/>
  <c r="AT31" i="9"/>
  <c r="AW49" i="9"/>
  <c r="N116" i="4"/>
  <c r="AE25" i="9"/>
  <c r="U58" i="2"/>
  <c r="F72" i="2"/>
  <c r="L111" i="2"/>
  <c r="P54" i="9"/>
  <c r="AL97" i="9"/>
  <c r="B80" i="4"/>
  <c r="E80" i="7"/>
  <c r="C160" i="4"/>
  <c r="G97" i="4"/>
  <c r="C78" i="7"/>
  <c r="C76" i="9"/>
  <c r="O194" i="4"/>
  <c r="H220" i="4"/>
  <c r="K109" i="2"/>
  <c r="O42" i="2"/>
  <c r="C252" i="7"/>
  <c r="L134" i="7"/>
  <c r="K210" i="4"/>
  <c r="R96" i="2"/>
  <c r="B188" i="7"/>
  <c r="AS46" i="9"/>
  <c r="L68" i="7"/>
  <c r="L99" i="9"/>
  <c r="F154" i="4"/>
  <c r="H161" i="4"/>
  <c r="T55" i="2"/>
  <c r="O36" i="2"/>
  <c r="C178" i="7"/>
  <c r="P57" i="4"/>
  <c r="N256" i="7"/>
  <c r="B59" i="2"/>
  <c r="D82" i="9"/>
  <c r="D144" i="4"/>
  <c r="H103" i="2"/>
  <c r="I89" i="4"/>
  <c r="G32" i="7"/>
  <c r="L67" i="2"/>
  <c r="K136" i="4"/>
  <c r="N176" i="4"/>
  <c r="AW62" i="9"/>
  <c r="AY61" i="9"/>
  <c r="L90" i="9"/>
  <c r="F125" i="4"/>
  <c r="C165" i="4"/>
  <c r="H224" i="4"/>
  <c r="AN108" i="9"/>
  <c r="D61" i="7"/>
  <c r="N50" i="9"/>
  <c r="N104" i="4"/>
  <c r="AM96" i="9"/>
  <c r="G131" i="4"/>
  <c r="N152" i="7"/>
  <c r="H262" i="4"/>
  <c r="T37" i="7"/>
  <c r="F68" i="2"/>
  <c r="O275" i="4"/>
  <c r="E154" i="4"/>
  <c r="D200" i="4"/>
  <c r="E255" i="7"/>
  <c r="U98" i="2"/>
  <c r="H35" i="9"/>
  <c r="R35" i="2"/>
  <c r="G198" i="7"/>
  <c r="B54" i="7"/>
  <c r="L97" i="9"/>
  <c r="G103" i="9"/>
  <c r="AP107" i="9"/>
  <c r="N175" i="4"/>
  <c r="O95" i="2"/>
  <c r="D93" i="9"/>
  <c r="B64" i="9"/>
  <c r="B257" i="7"/>
  <c r="L57" i="2"/>
  <c r="E124" i="7"/>
  <c r="B94" i="4"/>
  <c r="D32" i="7"/>
  <c r="H187" i="4"/>
  <c r="G141" i="4"/>
  <c r="E85" i="2"/>
  <c r="D124" i="4"/>
  <c r="B266" i="7"/>
  <c r="N108" i="2"/>
  <c r="C108" i="7"/>
  <c r="N219" i="7"/>
  <c r="D79" i="4"/>
  <c r="H257" i="4"/>
  <c r="G261" i="7"/>
  <c r="M108" i="7"/>
  <c r="C121" i="7"/>
  <c r="F163" i="7"/>
  <c r="T27" i="9"/>
  <c r="E88" i="9"/>
  <c r="R50" i="9"/>
  <c r="E72" i="9"/>
  <c r="I75" i="9"/>
  <c r="G149" i="7"/>
  <c r="D92" i="2"/>
  <c r="V34" i="2"/>
  <c r="U53" i="2"/>
  <c r="D99" i="2"/>
  <c r="D222" i="4"/>
  <c r="K235" i="7"/>
  <c r="AA28" i="2"/>
  <c r="L138" i="4"/>
  <c r="S95" i="7"/>
  <c r="M39" i="2"/>
  <c r="T49" i="4"/>
  <c r="K33" i="7"/>
  <c r="AR47" i="9"/>
  <c r="I54" i="9"/>
  <c r="T46" i="9"/>
  <c r="D265" i="4"/>
  <c r="F89" i="7"/>
  <c r="F241" i="4"/>
  <c r="N67" i="9"/>
  <c r="H67" i="9"/>
  <c r="C97" i="7"/>
  <c r="H193" i="4"/>
  <c r="P41" i="9"/>
  <c r="R63" i="2"/>
  <c r="T60" i="2"/>
  <c r="AJ20" i="9"/>
  <c r="AK83" i="9"/>
  <c r="D109" i="7"/>
  <c r="J67" i="2"/>
  <c r="AS38" i="9"/>
  <c r="D91" i="2"/>
  <c r="H147" i="4"/>
  <c r="F169" i="4"/>
  <c r="L145" i="4"/>
  <c r="O74" i="9"/>
  <c r="P82" i="7"/>
  <c r="E170" i="4"/>
  <c r="D149" i="4"/>
  <c r="D119" i="4"/>
  <c r="H80" i="7"/>
  <c r="F158" i="7"/>
  <c r="G52" i="2"/>
  <c r="R55" i="4"/>
  <c r="H190" i="7"/>
  <c r="F200" i="4"/>
  <c r="F270" i="7"/>
  <c r="Q37" i="2"/>
  <c r="F255" i="4"/>
  <c r="O168" i="4"/>
  <c r="F162" i="4"/>
  <c r="K62" i="2"/>
  <c r="B161" i="7"/>
  <c r="M131" i="7"/>
  <c r="J108" i="2"/>
  <c r="P110" i="2"/>
  <c r="B120" i="7"/>
  <c r="B154" i="7"/>
  <c r="H236" i="7"/>
  <c r="K170" i="4"/>
  <c r="H198" i="4"/>
  <c r="R104" i="4"/>
  <c r="N89" i="4"/>
  <c r="AX86" i="9"/>
  <c r="K239" i="4"/>
  <c r="AM101" i="9"/>
  <c r="AI97" i="9"/>
  <c r="L84" i="9"/>
  <c r="K90" i="2"/>
  <c r="D265" i="7"/>
  <c r="P59" i="7"/>
  <c r="G79" i="9"/>
  <c r="T73" i="2"/>
  <c r="C228" i="7"/>
  <c r="C93" i="2"/>
  <c r="C236" i="4"/>
  <c r="P79" i="7"/>
  <c r="I41" i="2"/>
  <c r="G227" i="7"/>
  <c r="N199" i="7"/>
  <c r="F62" i="2"/>
  <c r="AM107" i="9"/>
  <c r="D189" i="7"/>
  <c r="D221" i="4"/>
  <c r="N99" i="9"/>
  <c r="D166" i="4"/>
  <c r="T81" i="4"/>
  <c r="AU56" i="9"/>
  <c r="K53" i="2"/>
  <c r="H160" i="4"/>
  <c r="F61" i="2"/>
  <c r="D244" i="7"/>
  <c r="AO57" i="9"/>
  <c r="D237" i="4"/>
  <c r="L77" i="2"/>
  <c r="H97" i="4"/>
  <c r="P86" i="2"/>
  <c r="C69" i="2"/>
  <c r="F76" i="2"/>
  <c r="N48" i="4"/>
  <c r="B81" i="4"/>
  <c r="H94" i="9"/>
  <c r="E247" i="7"/>
  <c r="C88" i="9"/>
  <c r="F52" i="7"/>
  <c r="G65" i="9"/>
  <c r="M123" i="4"/>
  <c r="M94" i="7"/>
  <c r="C211" i="4"/>
  <c r="D238" i="7"/>
  <c r="H103" i="9"/>
  <c r="J80" i="7"/>
  <c r="H101" i="4"/>
  <c r="O52" i="2"/>
  <c r="O95" i="4"/>
  <c r="T53" i="2"/>
  <c r="Q97" i="4"/>
  <c r="I62" i="4"/>
  <c r="H26" i="4"/>
  <c r="F105" i="2"/>
  <c r="AK29" i="9"/>
  <c r="K185" i="7"/>
  <c r="BP22" i="9"/>
  <c r="AN48" i="9"/>
  <c r="U83" i="7"/>
  <c r="AU3" i="9"/>
  <c r="P82" i="4"/>
  <c r="J51" i="4"/>
  <c r="T71" i="2"/>
  <c r="L271" i="7"/>
  <c r="E107" i="7"/>
  <c r="M117" i="4"/>
  <c r="AJ51" i="9"/>
  <c r="D218" i="4"/>
  <c r="L275" i="7"/>
  <c r="I54" i="4"/>
  <c r="N218" i="7"/>
  <c r="D77" i="7"/>
  <c r="G195" i="7"/>
  <c r="E68" i="7"/>
  <c r="E111" i="7"/>
  <c r="C97" i="4"/>
  <c r="M87" i="2"/>
  <c r="K88" i="2"/>
  <c r="D190" i="4"/>
  <c r="M177" i="7"/>
  <c r="O136" i="4"/>
  <c r="M72" i="9"/>
  <c r="O60" i="9"/>
  <c r="L103" i="4"/>
  <c r="O171" i="4"/>
  <c r="AY73" i="9"/>
  <c r="H221" i="4"/>
  <c r="L34" i="9"/>
  <c r="F209" i="7"/>
  <c r="E219" i="7"/>
  <c r="G90" i="4"/>
  <c r="O85" i="2"/>
  <c r="Q110" i="2"/>
  <c r="H102" i="4"/>
  <c r="L240" i="7"/>
  <c r="AX71" i="9"/>
  <c r="G206" i="7"/>
  <c r="L261" i="7"/>
  <c r="H148" i="7"/>
  <c r="C59" i="2"/>
  <c r="T46" i="4"/>
  <c r="B142" i="7"/>
  <c r="AU39" i="9"/>
  <c r="B111" i="7"/>
  <c r="J70" i="2"/>
  <c r="F113" i="2"/>
  <c r="C120" i="4"/>
  <c r="H275" i="7"/>
  <c r="O102" i="2"/>
  <c r="D90" i="7"/>
  <c r="O101" i="2"/>
  <c r="Q106" i="2"/>
  <c r="O57" i="2"/>
  <c r="S93" i="4"/>
  <c r="D127" i="4"/>
  <c r="L262" i="7"/>
  <c r="K168" i="4"/>
  <c r="M43" i="9"/>
  <c r="D168" i="4"/>
  <c r="F235" i="7"/>
  <c r="E101" i="2"/>
  <c r="C148" i="4"/>
  <c r="T51" i="9"/>
  <c r="M216" i="4"/>
  <c r="F100" i="9"/>
  <c r="P81" i="4"/>
  <c r="G53" i="7"/>
  <c r="B210" i="7"/>
  <c r="AJ40" i="9"/>
  <c r="F92" i="7"/>
  <c r="N234" i="7"/>
  <c r="F146" i="4"/>
  <c r="T86" i="7"/>
  <c r="G177" i="4"/>
  <c r="AK102" i="9"/>
  <c r="F244" i="4"/>
  <c r="F257" i="7"/>
  <c r="H49" i="4"/>
  <c r="H105" i="7"/>
  <c r="M109" i="7"/>
  <c r="U72" i="4"/>
  <c r="C189" i="4"/>
  <c r="G220" i="4"/>
  <c r="AV107" i="9"/>
  <c r="AV93" i="9"/>
  <c r="D103" i="9"/>
  <c r="O97" i="4"/>
  <c r="T90" i="2"/>
  <c r="O49" i="9"/>
  <c r="K87" i="7"/>
  <c r="E203" i="7"/>
  <c r="Q75" i="2"/>
  <c r="J40" i="4"/>
  <c r="AU103" i="9"/>
  <c r="N272" i="7"/>
  <c r="G23" i="2"/>
  <c r="B98" i="9"/>
  <c r="N95" i="2"/>
  <c r="N123" i="7"/>
  <c r="R60" i="7"/>
  <c r="J38" i="4"/>
  <c r="N193" i="4"/>
  <c r="AO49" i="9"/>
  <c r="L178" i="7"/>
  <c r="K58" i="9"/>
  <c r="F29" i="2"/>
  <c r="K91" i="4"/>
  <c r="J82" i="4"/>
  <c r="AI104" i="9"/>
  <c r="D52" i="7"/>
  <c r="H84" i="4"/>
  <c r="G270" i="4"/>
  <c r="T60" i="4"/>
  <c r="N223" i="7"/>
  <c r="AO102" i="9"/>
  <c r="G61" i="9"/>
  <c r="M104" i="7"/>
  <c r="E271" i="7"/>
  <c r="AZ64" i="9"/>
  <c r="F272" i="4"/>
  <c r="P97" i="4"/>
  <c r="B184" i="7"/>
  <c r="C103" i="9"/>
  <c r="K152" i="4"/>
  <c r="B50" i="2"/>
  <c r="D197" i="4"/>
  <c r="N82" i="4"/>
  <c r="AL35" i="9"/>
  <c r="H137" i="7"/>
  <c r="N65" i="7"/>
  <c r="U69" i="7"/>
  <c r="F252" i="4"/>
  <c r="K210" i="7"/>
  <c r="I83" i="7"/>
  <c r="C256" i="4"/>
  <c r="AL81" i="9"/>
  <c r="C212" i="7"/>
  <c r="AL80" i="9"/>
  <c r="G147" i="7"/>
  <c r="AT87" i="9"/>
  <c r="D264" i="7"/>
  <c r="H229" i="7"/>
  <c r="F88" i="4"/>
  <c r="B42" i="4"/>
  <c r="L193" i="4"/>
  <c r="C205" i="7"/>
  <c r="AM95" i="9"/>
  <c r="Q36" i="9"/>
  <c r="T3" i="9"/>
  <c r="N122" i="4"/>
  <c r="J68" i="4"/>
  <c r="BB86" i="9"/>
  <c r="H95" i="4"/>
  <c r="AX50" i="9"/>
  <c r="L50" i="7"/>
  <c r="AF21" i="9"/>
  <c r="L44" i="9"/>
  <c r="F250" i="7"/>
  <c r="L38" i="7"/>
  <c r="P28" i="2"/>
  <c r="L100" i="9"/>
  <c r="L96" i="4"/>
  <c r="E137" i="7"/>
  <c r="B208" i="7"/>
  <c r="AK67" i="9"/>
  <c r="AU59" i="9"/>
  <c r="U68" i="4"/>
  <c r="R70" i="4"/>
  <c r="M55" i="4"/>
  <c r="L42" i="4"/>
  <c r="P36" i="4"/>
  <c r="M76" i="7"/>
  <c r="I56" i="2"/>
  <c r="B102" i="9"/>
  <c r="R54" i="9"/>
  <c r="E169" i="7"/>
  <c r="O56" i="4"/>
  <c r="Q96" i="7"/>
  <c r="X3" i="7"/>
  <c r="Q53" i="7"/>
  <c r="O138" i="4"/>
  <c r="G85" i="2"/>
  <c r="N250" i="4"/>
  <c r="L194" i="4"/>
  <c r="G205" i="7"/>
  <c r="P80" i="9"/>
  <c r="K60" i="7"/>
  <c r="B90" i="9"/>
  <c r="C179" i="4"/>
  <c r="B3" i="10"/>
  <c r="D192" i="7"/>
  <c r="C44" i="4"/>
  <c r="B66" i="2"/>
  <c r="E107" i="2"/>
  <c r="L66" i="7"/>
  <c r="J45" i="4"/>
  <c r="AX54" i="9"/>
  <c r="O67" i="4"/>
  <c r="O63" i="4"/>
  <c r="F84" i="2"/>
  <c r="C188" i="7"/>
  <c r="N52" i="4"/>
  <c r="AI71" i="9"/>
  <c r="N109" i="7"/>
  <c r="E38" i="4"/>
  <c r="G240" i="4"/>
  <c r="O89" i="4"/>
  <c r="L155" i="7"/>
  <c r="P50" i="4"/>
  <c r="C129" i="4"/>
  <c r="B104" i="7"/>
  <c r="AS58" i="9"/>
  <c r="T55" i="4"/>
  <c r="F48" i="7"/>
  <c r="T81" i="9"/>
  <c r="O90" i="4"/>
  <c r="E102" i="7"/>
  <c r="R64" i="2"/>
  <c r="E245" i="7"/>
  <c r="B75" i="7"/>
  <c r="P85" i="7"/>
  <c r="AZ69" i="9"/>
  <c r="G99" i="9"/>
  <c r="O84" i="4"/>
  <c r="H220" i="7"/>
  <c r="E263" i="4"/>
  <c r="U43" i="2"/>
  <c r="F60" i="9"/>
  <c r="AJ90" i="9"/>
  <c r="D37" i="2"/>
  <c r="O104" i="2"/>
  <c r="O199" i="4"/>
  <c r="U82" i="7"/>
  <c r="C243" i="7"/>
  <c r="D48" i="9"/>
  <c r="E207" i="4"/>
  <c r="N273" i="4"/>
  <c r="C102" i="9"/>
  <c r="E98" i="7"/>
  <c r="U91" i="7"/>
  <c r="P42" i="4"/>
  <c r="K62" i="4"/>
  <c r="O77" i="4"/>
  <c r="F221" i="7"/>
  <c r="M98" i="7"/>
  <c r="H116" i="7"/>
  <c r="C217" i="4"/>
  <c r="L49" i="4"/>
  <c r="K83" i="4"/>
  <c r="G77" i="7"/>
  <c r="G148" i="7"/>
  <c r="AW95" i="9"/>
  <c r="N37" i="9"/>
  <c r="H166" i="4"/>
  <c r="M82" i="7"/>
  <c r="K266" i="4"/>
  <c r="C249" i="7"/>
  <c r="E83" i="9"/>
  <c r="L252" i="7"/>
  <c r="B267" i="7"/>
  <c r="O86" i="9"/>
  <c r="B112" i="2"/>
  <c r="C137" i="4"/>
  <c r="C229" i="7"/>
  <c r="C138" i="7"/>
  <c r="B231" i="7"/>
  <c r="L39" i="7"/>
  <c r="L92" i="4"/>
  <c r="O80" i="2"/>
  <c r="AL45" i="9"/>
  <c r="AV73" i="9"/>
  <c r="E149" i="7"/>
  <c r="U71" i="2"/>
  <c r="B139" i="7"/>
  <c r="E208" i="4"/>
  <c r="F266" i="7"/>
  <c r="O73" i="7"/>
  <c r="H216" i="7"/>
  <c r="AO71" i="9"/>
  <c r="N216" i="4"/>
  <c r="J34" i="9"/>
  <c r="AE23" i="4"/>
  <c r="B187" i="7"/>
  <c r="AV69" i="9"/>
  <c r="E91" i="4"/>
  <c r="F59" i="4"/>
  <c r="M180" i="4"/>
  <c r="H72" i="7"/>
  <c r="AV51" i="9"/>
  <c r="P87" i="9"/>
  <c r="H82" i="9"/>
  <c r="AV66" i="9"/>
  <c r="F138" i="7"/>
  <c r="O95" i="7"/>
  <c r="H250" i="7"/>
  <c r="G200" i="7"/>
  <c r="H58" i="2"/>
  <c r="E53" i="9"/>
  <c r="H70" i="2"/>
  <c r="D49" i="2"/>
  <c r="G85" i="7"/>
  <c r="F99" i="7"/>
  <c r="K58" i="7"/>
  <c r="M272" i="4"/>
  <c r="D98" i="2"/>
  <c r="AO73" i="9"/>
  <c r="E173" i="4"/>
  <c r="B156" i="7"/>
  <c r="AO35" i="9"/>
  <c r="P77" i="2"/>
  <c r="AL84" i="9"/>
  <c r="E68" i="4"/>
  <c r="AI47" i="9"/>
  <c r="R60" i="4"/>
  <c r="Q57" i="7"/>
  <c r="G47" i="4"/>
  <c r="C203" i="7"/>
  <c r="L87" i="9"/>
  <c r="O43" i="2"/>
  <c r="G238" i="7"/>
  <c r="AO90" i="9"/>
  <c r="V43" i="2"/>
  <c r="C45" i="9"/>
  <c r="W29" i="2"/>
  <c r="C36" i="2"/>
  <c r="F184" i="4"/>
  <c r="F121" i="7"/>
  <c r="N193" i="7"/>
  <c r="F172" i="7"/>
  <c r="K80" i="4"/>
  <c r="G229" i="7"/>
  <c r="I86" i="4"/>
  <c r="L54" i="2"/>
  <c r="M190" i="4"/>
  <c r="L77" i="4"/>
  <c r="AN110" i="9"/>
  <c r="D200" i="7"/>
  <c r="B76" i="4"/>
  <c r="F42" i="2"/>
  <c r="M215" i="4"/>
  <c r="H260" i="7"/>
  <c r="E233" i="4"/>
  <c r="N72" i="2"/>
  <c r="Q42" i="4"/>
  <c r="M105" i="2"/>
  <c r="AT48" i="9"/>
  <c r="C125" i="4"/>
  <c r="O99" i="4"/>
  <c r="F109" i="9"/>
  <c r="O68" i="7"/>
  <c r="L74" i="2"/>
  <c r="E241" i="7"/>
  <c r="O99" i="2"/>
  <c r="AK85" i="9"/>
  <c r="M78" i="7"/>
  <c r="F198" i="7"/>
  <c r="H195" i="7"/>
  <c r="L71" i="2"/>
  <c r="K240" i="4"/>
  <c r="P69" i="4"/>
  <c r="B174" i="7"/>
  <c r="O248" i="4"/>
  <c r="AV37" i="9"/>
  <c r="E212" i="4"/>
  <c r="AT64" i="9"/>
  <c r="M118" i="4"/>
  <c r="K179" i="7"/>
  <c r="C79" i="9"/>
  <c r="C88" i="4"/>
  <c r="L90" i="4"/>
  <c r="BB46" i="9"/>
  <c r="B90" i="7"/>
  <c r="H263" i="4"/>
  <c r="K61" i="2"/>
  <c r="L100" i="7"/>
  <c r="I31" i="7"/>
  <c r="O273" i="4"/>
  <c r="D98" i="9"/>
  <c r="L124" i="4"/>
  <c r="K111" i="7"/>
  <c r="I78" i="7"/>
  <c r="AR38" i="9"/>
  <c r="H272" i="7"/>
  <c r="P50" i="7"/>
  <c r="P95" i="2"/>
  <c r="K249" i="4"/>
  <c r="F189" i="4"/>
  <c r="D261" i="7"/>
  <c r="G95" i="7"/>
  <c r="E163" i="4"/>
  <c r="N269" i="7"/>
  <c r="N221" i="4"/>
  <c r="N185" i="4"/>
  <c r="F251" i="4"/>
  <c r="F106" i="7"/>
  <c r="AT65" i="9"/>
  <c r="F44" i="7"/>
  <c r="F141" i="7"/>
  <c r="B94" i="2"/>
  <c r="AZ53" i="9"/>
  <c r="B89" i="7"/>
  <c r="AS61" i="9"/>
  <c r="W29" i="9"/>
  <c r="Q56" i="9"/>
  <c r="N169" i="7"/>
  <c r="O116" i="4"/>
  <c r="E91" i="7"/>
  <c r="G114" i="4"/>
  <c r="H76" i="7"/>
  <c r="N60" i="7"/>
  <c r="G210" i="4"/>
  <c r="C231" i="7"/>
  <c r="O246" i="4"/>
  <c r="B182" i="7"/>
  <c r="L195" i="4"/>
  <c r="K230" i="4"/>
  <c r="F192" i="7"/>
  <c r="E257" i="7"/>
  <c r="H56" i="7"/>
  <c r="G137" i="7"/>
  <c r="U55" i="2"/>
  <c r="AU69" i="9"/>
  <c r="O97" i="7"/>
  <c r="I40" i="9"/>
  <c r="J84" i="7"/>
  <c r="D51" i="2"/>
  <c r="K226" i="4"/>
  <c r="K76" i="7"/>
  <c r="T55" i="9"/>
  <c r="I61" i="2"/>
  <c r="AU54" i="9"/>
  <c r="AW75" i="9"/>
  <c r="I46" i="7"/>
  <c r="H177" i="4"/>
  <c r="AL67" i="9"/>
  <c r="F90" i="4"/>
  <c r="N95" i="7"/>
  <c r="I66" i="4"/>
  <c r="O51" i="7"/>
  <c r="AY69" i="9"/>
  <c r="M141" i="7"/>
  <c r="D80" i="2"/>
  <c r="F222" i="4"/>
  <c r="M243" i="4"/>
  <c r="B97" i="2"/>
  <c r="B79" i="2"/>
  <c r="F32" i="4"/>
  <c r="N42" i="9"/>
  <c r="N96" i="7"/>
  <c r="M53" i="2"/>
  <c r="H262" i="7"/>
  <c r="B100" i="9"/>
  <c r="H73" i="4"/>
  <c r="AU88" i="9"/>
  <c r="C95" i="2"/>
  <c r="G223" i="7"/>
  <c r="H232" i="4"/>
  <c r="AZ20" i="9"/>
  <c r="T90" i="7"/>
  <c r="O87" i="7"/>
  <c r="I100" i="2"/>
  <c r="R60" i="9"/>
  <c r="M109" i="9"/>
  <c r="H56" i="4"/>
  <c r="E83" i="2"/>
  <c r="E123" i="7"/>
  <c r="L96" i="7"/>
  <c r="C227" i="4"/>
  <c r="S81" i="7"/>
  <c r="V43" i="9"/>
  <c r="AT95" i="9"/>
  <c r="M90" i="4"/>
  <c r="AP90" i="9"/>
  <c r="E105" i="7"/>
  <c r="O72" i="2"/>
  <c r="Q86" i="4"/>
  <c r="E49" i="2"/>
  <c r="Q3" i="4"/>
  <c r="K248" i="4"/>
  <c r="T58" i="2"/>
  <c r="N107" i="7"/>
  <c r="K52" i="4"/>
  <c r="F133" i="4"/>
  <c r="AM63" i="9"/>
  <c r="N126" i="7"/>
  <c r="G253" i="4"/>
  <c r="Q73" i="4"/>
  <c r="M255" i="4"/>
  <c r="J60" i="4"/>
  <c r="G77" i="2"/>
  <c r="AI42" i="9"/>
  <c r="C245" i="4"/>
  <c r="O39" i="7"/>
  <c r="AO72" i="9"/>
  <c r="D89" i="2"/>
  <c r="D141" i="7"/>
  <c r="E247" i="4"/>
  <c r="B104" i="4"/>
  <c r="P71" i="2"/>
  <c r="E181" i="7"/>
  <c r="O66" i="2"/>
  <c r="B254" i="7"/>
  <c r="N43" i="4"/>
  <c r="B213" i="7"/>
  <c r="G82" i="2"/>
  <c r="D126" i="4"/>
  <c r="P47" i="7"/>
  <c r="AW99" i="9"/>
  <c r="V31" i="2"/>
  <c r="C90" i="2"/>
  <c r="D121" i="4"/>
  <c r="K213" i="7"/>
  <c r="C84" i="2"/>
  <c r="O78" i="7"/>
  <c r="G102" i="9"/>
  <c r="M238" i="4"/>
  <c r="F228" i="4"/>
  <c r="M149" i="4"/>
  <c r="K190" i="7"/>
  <c r="K236" i="7"/>
  <c r="AU106" i="9"/>
  <c r="G86" i="4"/>
  <c r="O237" i="4"/>
  <c r="D78" i="7"/>
  <c r="N68" i="9"/>
  <c r="N55" i="9"/>
  <c r="N233" i="4"/>
  <c r="N39" i="9"/>
  <c r="C258" i="7"/>
  <c r="BK13" i="9"/>
  <c r="P37" i="4"/>
  <c r="E76" i="7"/>
  <c r="K230" i="7"/>
  <c r="Q89" i="4"/>
  <c r="F190" i="7"/>
  <c r="H176" i="4"/>
  <c r="L108" i="2"/>
  <c r="AL57" i="9"/>
  <c r="H269" i="7"/>
  <c r="E46" i="7"/>
  <c r="I29" i="9"/>
  <c r="C139" i="4"/>
  <c r="E77" i="2"/>
  <c r="AJ61" i="9"/>
  <c r="G274" i="4"/>
  <c r="O102" i="7"/>
  <c r="M91" i="7"/>
  <c r="B245" i="7"/>
  <c r="I57" i="2"/>
  <c r="AP51" i="9"/>
  <c r="L94" i="2"/>
  <c r="O44" i="9"/>
  <c r="M211" i="4"/>
  <c r="L204" i="7"/>
  <c r="M97" i="7"/>
  <c r="B144" i="7"/>
  <c r="AV65" i="9"/>
  <c r="G162" i="4"/>
  <c r="P72" i="9"/>
  <c r="O249" i="4"/>
  <c r="M101" i="9"/>
  <c r="N181" i="7"/>
  <c r="D95" i="7"/>
  <c r="T97" i="2"/>
  <c r="E59" i="4"/>
  <c r="B89" i="2"/>
  <c r="Q92" i="2"/>
  <c r="M32" i="9"/>
  <c r="C193" i="7"/>
  <c r="L139" i="7"/>
  <c r="M90" i="9"/>
  <c r="H90" i="2"/>
  <c r="M55" i="2"/>
  <c r="H266" i="4"/>
  <c r="F219" i="7"/>
  <c r="O200" i="4"/>
  <c r="D86" i="2"/>
  <c r="C254" i="4"/>
  <c r="M257" i="7"/>
  <c r="B51" i="2"/>
  <c r="M48" i="4"/>
  <c r="AN90" i="9"/>
  <c r="F63" i="9"/>
  <c r="H98" i="9"/>
  <c r="D18" i="4"/>
  <c r="J87" i="7"/>
  <c r="K40" i="4"/>
  <c r="C131" i="7"/>
  <c r="H137" i="4"/>
  <c r="G131" i="7"/>
  <c r="I36" i="7"/>
  <c r="N77" i="2"/>
  <c r="B124" i="7"/>
  <c r="E68" i="2"/>
  <c r="H133" i="7"/>
  <c r="F48" i="4"/>
  <c r="R63" i="4"/>
  <c r="B81" i="7"/>
  <c r="Q86" i="7"/>
  <c r="P106" i="4"/>
  <c r="F224" i="4"/>
  <c r="T70" i="7"/>
  <c r="AU38" i="9"/>
  <c r="AU70" i="9"/>
  <c r="L65" i="2"/>
  <c r="F59" i="7"/>
  <c r="F269" i="4"/>
  <c r="L86" i="2"/>
  <c r="G62" i="7"/>
  <c r="L245" i="7"/>
  <c r="L228" i="7"/>
  <c r="U56" i="7"/>
  <c r="G76" i="9"/>
  <c r="F91" i="2"/>
  <c r="N83" i="4"/>
  <c r="C194" i="4"/>
  <c r="L73" i="2"/>
  <c r="G41" i="7"/>
  <c r="G257" i="4"/>
  <c r="AQ56" i="9"/>
  <c r="I63" i="9"/>
  <c r="O250" i="4"/>
  <c r="AW74" i="9"/>
  <c r="R94" i="2"/>
  <c r="B36" i="2"/>
  <c r="C248" i="4"/>
  <c r="D108" i="4"/>
  <c r="O191" i="4"/>
  <c r="F89" i="4"/>
  <c r="K84" i="2"/>
  <c r="D151" i="4"/>
  <c r="I83" i="4"/>
  <c r="E145" i="4"/>
  <c r="B185" i="7"/>
  <c r="N57" i="2"/>
  <c r="C106" i="4"/>
  <c r="D88" i="9"/>
  <c r="E64" i="4"/>
  <c r="Q31" i="7"/>
  <c r="R85" i="2"/>
  <c r="G115" i="7"/>
  <c r="M70" i="4"/>
  <c r="K22" i="2"/>
  <c r="B62" i="9"/>
  <c r="L83" i="4"/>
  <c r="AL34" i="9"/>
  <c r="T82" i="4"/>
  <c r="H110" i="2"/>
  <c r="L71" i="7"/>
  <c r="O123" i="4"/>
  <c r="M275" i="4"/>
  <c r="F3" i="9"/>
  <c r="G159" i="7"/>
  <c r="F116" i="7"/>
  <c r="E159" i="4"/>
  <c r="N211" i="4"/>
  <c r="AH26" i="4"/>
  <c r="AT89" i="9"/>
  <c r="AK52" i="9"/>
  <c r="AP46" i="9"/>
  <c r="E50" i="9"/>
  <c r="AO105" i="9"/>
  <c r="L266" i="7"/>
  <c r="AI54" i="9"/>
  <c r="K89" i="7"/>
  <c r="K241" i="7"/>
  <c r="Q79" i="7"/>
  <c r="B61" i="4"/>
  <c r="H243" i="7"/>
  <c r="J52" i="2"/>
  <c r="AU91" i="9"/>
  <c r="E38" i="2"/>
  <c r="AK82" i="9"/>
  <c r="E122" i="4"/>
  <c r="G100" i="2"/>
  <c r="H97" i="2"/>
  <c r="E125" i="4"/>
  <c r="C73" i="2"/>
  <c r="C79" i="7"/>
  <c r="E61" i="2"/>
  <c r="K207" i="7"/>
  <c r="F142" i="7"/>
  <c r="B45" i="4"/>
  <c r="N109" i="2"/>
  <c r="K224" i="4"/>
  <c r="P53" i="4"/>
  <c r="AY60" i="9"/>
  <c r="I84" i="7"/>
  <c r="N165" i="4"/>
  <c r="I71" i="7"/>
  <c r="I70" i="4"/>
  <c r="G146" i="4"/>
  <c r="F238" i="7"/>
  <c r="AN65" i="9"/>
  <c r="K273" i="4"/>
  <c r="AP56" i="9"/>
  <c r="Q32" i="7"/>
  <c r="P42" i="2"/>
  <c r="I20" i="2"/>
  <c r="Q87" i="4"/>
  <c r="C218" i="7"/>
  <c r="G92" i="9"/>
  <c r="AF23" i="9"/>
  <c r="F232" i="4"/>
  <c r="K145" i="4"/>
  <c r="M72" i="7"/>
  <c r="C99" i="4"/>
  <c r="L105" i="4"/>
  <c r="E109" i="9"/>
  <c r="O61" i="2"/>
  <c r="T78" i="2"/>
  <c r="D135" i="7"/>
  <c r="C49" i="7"/>
  <c r="G183" i="4"/>
  <c r="T64" i="9"/>
  <c r="L79" i="2"/>
  <c r="G114" i="7"/>
  <c r="C262" i="7"/>
  <c r="C111" i="7"/>
  <c r="N34" i="4"/>
  <c r="F219" i="4"/>
  <c r="AQ59" i="9"/>
  <c r="E56" i="4"/>
  <c r="F85" i="7"/>
  <c r="E53" i="2"/>
  <c r="K50" i="4"/>
  <c r="AM87" i="9"/>
  <c r="G66" i="9"/>
  <c r="C275" i="4"/>
  <c r="E42" i="4"/>
  <c r="B71" i="7"/>
  <c r="O97" i="2"/>
  <c r="L99" i="2"/>
  <c r="Q50" i="9"/>
  <c r="L48" i="7"/>
  <c r="M203" i="7"/>
  <c r="O84" i="7"/>
  <c r="H265" i="7"/>
  <c r="O61" i="7"/>
  <c r="B107" i="7"/>
  <c r="E50" i="7"/>
  <c r="B37" i="4"/>
  <c r="G91" i="7"/>
  <c r="G70" i="2"/>
  <c r="C107" i="4"/>
  <c r="L108" i="7"/>
  <c r="M86" i="9"/>
  <c r="F42" i="9"/>
  <c r="AW63" i="9"/>
  <c r="F177" i="7"/>
  <c r="N63" i="4"/>
  <c r="H53" i="9"/>
  <c r="U75" i="2"/>
  <c r="L85" i="7"/>
  <c r="N178" i="4"/>
  <c r="E254" i="4"/>
  <c r="AU47" i="9"/>
  <c r="N44" i="2"/>
  <c r="L81" i="2"/>
  <c r="AM49" i="9"/>
  <c r="AS54" i="9"/>
  <c r="Q45" i="9"/>
  <c r="F275" i="7"/>
  <c r="H179" i="4"/>
  <c r="T89" i="4"/>
  <c r="G215" i="4"/>
  <c r="H156" i="4"/>
  <c r="M173" i="4"/>
  <c r="D9" i="9"/>
  <c r="J99" i="4"/>
  <c r="Q41" i="4"/>
  <c r="R31" i="7"/>
  <c r="Y24" i="4"/>
  <c r="G211" i="7"/>
  <c r="N94" i="2"/>
  <c r="AF27" i="4"/>
  <c r="N18" i="7"/>
  <c r="BB18" i="9"/>
  <c r="X25" i="9"/>
  <c r="K112" i="2"/>
  <c r="AT88" i="9"/>
  <c r="AO65" i="9"/>
  <c r="I82" i="4"/>
  <c r="AO100" i="9"/>
  <c r="R75" i="4"/>
  <c r="U58" i="4"/>
  <c r="O257" i="4"/>
  <c r="C174" i="4"/>
  <c r="D95" i="4"/>
  <c r="E89" i="7"/>
  <c r="F67" i="2"/>
  <c r="L104" i="9"/>
  <c r="K115" i="4"/>
  <c r="K216" i="4"/>
  <c r="M41" i="7"/>
  <c r="AW86" i="9"/>
  <c r="C230" i="4"/>
  <c r="M46" i="4"/>
  <c r="B207" i="7"/>
  <c r="P17" i="2"/>
  <c r="D101" i="9"/>
  <c r="O151" i="4"/>
  <c r="O11" i="2"/>
  <c r="H75" i="2"/>
  <c r="L52" i="4"/>
  <c r="H157" i="7"/>
  <c r="G189" i="4"/>
  <c r="L180" i="7"/>
  <c r="F82" i="4"/>
  <c r="AO53" i="9"/>
  <c r="H271" i="7"/>
  <c r="B241" i="7"/>
  <c r="I45" i="2"/>
  <c r="K18" i="7"/>
  <c r="E99" i="2"/>
  <c r="F122" i="7"/>
  <c r="BB61" i="9"/>
  <c r="F42" i="4"/>
  <c r="H140" i="4"/>
  <c r="E143" i="4"/>
  <c r="K74" i="2"/>
  <c r="G204" i="4"/>
  <c r="U97" i="2"/>
  <c r="U68" i="2"/>
  <c r="G96" i="7"/>
  <c r="F171" i="7"/>
  <c r="X26" i="9"/>
  <c r="AP83" i="9"/>
  <c r="G242" i="4"/>
  <c r="AN20" i="9"/>
  <c r="AP27" i="9"/>
  <c r="AY37" i="9"/>
  <c r="I78" i="9"/>
  <c r="E54" i="2"/>
  <c r="E73" i="7"/>
  <c r="AW38" i="9"/>
  <c r="M74" i="9"/>
  <c r="F81" i="2"/>
  <c r="K114" i="4"/>
  <c r="J44" i="9"/>
  <c r="U57" i="4"/>
  <c r="BK19" i="9"/>
  <c r="L100" i="4"/>
  <c r="G122" i="4"/>
  <c r="O174" i="4"/>
  <c r="R96" i="7"/>
  <c r="K233" i="4"/>
  <c r="G49" i="7"/>
  <c r="B25" i="7"/>
  <c r="W38" i="2"/>
  <c r="T71" i="4"/>
  <c r="L91" i="7"/>
  <c r="M158" i="7"/>
  <c r="M96" i="7"/>
  <c r="H233" i="4"/>
  <c r="O162" i="4"/>
  <c r="M126" i="7"/>
  <c r="C75" i="2"/>
  <c r="G132" i="4"/>
  <c r="H119" i="7"/>
  <c r="AR35" i="9"/>
  <c r="L32" i="2"/>
  <c r="BI27" i="9"/>
  <c r="F30" i="7"/>
  <c r="Q45" i="4"/>
  <c r="L85" i="2"/>
  <c r="C216" i="7"/>
  <c r="AM59" i="9"/>
  <c r="O93" i="4"/>
  <c r="C68" i="7"/>
  <c r="R65" i="2"/>
  <c r="G236" i="4"/>
  <c r="C77" i="9"/>
  <c r="P40" i="7"/>
  <c r="L230" i="4"/>
  <c r="AV90" i="9"/>
  <c r="N179" i="7"/>
  <c r="F230" i="7"/>
  <c r="L231" i="4"/>
  <c r="B51" i="4"/>
  <c r="C41" i="7"/>
  <c r="F127" i="4"/>
  <c r="G173" i="7"/>
  <c r="D57" i="4"/>
  <c r="L273" i="4"/>
  <c r="K197" i="4"/>
  <c r="AI57" i="9"/>
  <c r="P66" i="2"/>
  <c r="F152" i="4"/>
  <c r="AH26" i="2"/>
  <c r="O76" i="7"/>
  <c r="B221" i="7"/>
  <c r="K54" i="7"/>
  <c r="AK104" i="9"/>
  <c r="G86" i="2"/>
  <c r="AN73" i="9"/>
  <c r="Q66" i="9"/>
  <c r="E55" i="9"/>
  <c r="D56" i="9"/>
  <c r="AU43" i="9"/>
  <c r="L249" i="4"/>
  <c r="B275" i="7"/>
  <c r="B44" i="7"/>
  <c r="Q80" i="4"/>
  <c r="D58" i="9"/>
  <c r="AV59" i="9"/>
  <c r="D221" i="7"/>
  <c r="F110" i="2"/>
  <c r="C219" i="4"/>
  <c r="D86" i="9"/>
  <c r="AJ73" i="9"/>
  <c r="AR39" i="9"/>
  <c r="H81" i="4"/>
  <c r="M52" i="9"/>
  <c r="AU83" i="9"/>
  <c r="E172" i="7"/>
  <c r="AL110" i="9"/>
  <c r="L232" i="7"/>
  <c r="L210" i="7"/>
  <c r="AL43" i="9"/>
  <c r="AT26" i="9"/>
  <c r="D121" i="7"/>
  <c r="B166" i="7"/>
  <c r="F98" i="9"/>
  <c r="T94" i="7"/>
  <c r="B145" i="7"/>
  <c r="C172" i="4"/>
  <c r="J51" i="2"/>
  <c r="C70" i="2"/>
  <c r="E274" i="7"/>
  <c r="M59" i="9"/>
  <c r="O38" i="2"/>
  <c r="E63" i="4"/>
  <c r="G190" i="7"/>
  <c r="N210" i="4"/>
  <c r="M86" i="4"/>
  <c r="P33" i="4"/>
  <c r="H68" i="2"/>
  <c r="R58" i="2"/>
  <c r="C40" i="7"/>
  <c r="M110" i="7"/>
  <c r="U61" i="2"/>
  <c r="C133" i="7"/>
  <c r="O263" i="4"/>
  <c r="G188" i="4"/>
  <c r="E126" i="4"/>
  <c r="C208" i="7"/>
  <c r="Q46" i="9"/>
  <c r="O58" i="9"/>
  <c r="AY53" i="9"/>
  <c r="J58" i="2"/>
  <c r="R89" i="2"/>
  <c r="M77" i="4"/>
  <c r="U63" i="7"/>
  <c r="B55" i="9"/>
  <c r="B53" i="4"/>
  <c r="L255" i="7"/>
  <c r="AO52" i="9"/>
  <c r="C168" i="4"/>
  <c r="F222" i="7"/>
  <c r="J56" i="2"/>
  <c r="AN85" i="9"/>
  <c r="D51" i="4"/>
  <c r="D92" i="7"/>
  <c r="AT49" i="9"/>
  <c r="L204" i="4"/>
  <c r="K125" i="4"/>
  <c r="BD19" i="9"/>
  <c r="H60" i="4"/>
  <c r="E56" i="2"/>
  <c r="AK44" i="9"/>
  <c r="Q68" i="9"/>
  <c r="P43" i="9"/>
  <c r="N80" i="7"/>
  <c r="H237" i="4"/>
  <c r="C226" i="4"/>
  <c r="W28" i="2"/>
  <c r="AO78" i="9"/>
  <c r="E135" i="7"/>
  <c r="E82" i="9"/>
  <c r="N200" i="4"/>
  <c r="T91" i="4"/>
  <c r="E254" i="7"/>
  <c r="O40" i="7"/>
  <c r="J85" i="7"/>
  <c r="L87" i="4"/>
  <c r="AW36" i="9"/>
  <c r="E36" i="7"/>
  <c r="D162" i="7"/>
  <c r="E150" i="4"/>
  <c r="P65" i="7"/>
  <c r="L89" i="2"/>
  <c r="U47" i="7"/>
  <c r="F126" i="7"/>
  <c r="G72" i="4"/>
  <c r="R74" i="4"/>
  <c r="P66" i="4"/>
  <c r="Q53" i="9"/>
  <c r="AM65" i="9"/>
  <c r="O87" i="9"/>
  <c r="M65" i="9"/>
  <c r="N124" i="7"/>
  <c r="D69" i="7"/>
  <c r="N269" i="4"/>
  <c r="AN62" i="9"/>
  <c r="AM44" i="9"/>
  <c r="D203" i="7"/>
  <c r="D235" i="7"/>
  <c r="J45" i="9"/>
  <c r="K156" i="4"/>
  <c r="D209" i="7"/>
  <c r="N59" i="2"/>
  <c r="H208" i="4"/>
  <c r="V45" i="4"/>
  <c r="AN54" i="9"/>
  <c r="T38" i="9"/>
  <c r="Y34" i="4"/>
  <c r="K173" i="7"/>
  <c r="AZ57" i="9"/>
  <c r="I105" i="2"/>
  <c r="BD27" i="9"/>
  <c r="Q34" i="7"/>
  <c r="C54" i="7"/>
  <c r="M225" i="7"/>
  <c r="M92" i="4"/>
  <c r="U66" i="7"/>
  <c r="E143" i="7"/>
  <c r="L72" i="7"/>
  <c r="L97" i="2"/>
  <c r="M181" i="7"/>
  <c r="G212" i="4"/>
  <c r="H140" i="7"/>
  <c r="E87" i="7"/>
  <c r="D71" i="7"/>
  <c r="AE25" i="4"/>
  <c r="O119" i="4"/>
  <c r="R40" i="2"/>
  <c r="AW94" i="9"/>
  <c r="F274" i="4"/>
  <c r="H126" i="7"/>
  <c r="N157" i="4"/>
  <c r="P61" i="4"/>
  <c r="R99" i="2"/>
  <c r="M55" i="9"/>
  <c r="N147" i="7"/>
  <c r="E251" i="4"/>
  <c r="K114" i="7"/>
  <c r="W37" i="2"/>
  <c r="AR53" i="9"/>
  <c r="AW102" i="9"/>
  <c r="C180" i="4"/>
  <c r="F96" i="2"/>
  <c r="L238" i="7"/>
  <c r="K158" i="7"/>
  <c r="Q94" i="7"/>
  <c r="AO104" i="9"/>
  <c r="G168" i="4"/>
  <c r="D267" i="4"/>
  <c r="L88" i="9"/>
  <c r="R50" i="4"/>
  <c r="AT47" i="9"/>
  <c r="V41" i="2"/>
  <c r="P64" i="2"/>
  <c r="N87" i="2"/>
  <c r="M73" i="9"/>
  <c r="H64" i="7"/>
  <c r="AY74" i="9"/>
  <c r="I38" i="7"/>
  <c r="F87" i="7"/>
  <c r="AM41" i="9"/>
  <c r="M166" i="7"/>
  <c r="K191" i="7"/>
  <c r="C99" i="9"/>
  <c r="M121" i="7"/>
  <c r="G98" i="4"/>
  <c r="Q88" i="2"/>
  <c r="J83" i="2"/>
  <c r="J82" i="2"/>
  <c r="F59" i="2"/>
  <c r="P72" i="4"/>
  <c r="M154" i="4"/>
  <c r="K81" i="2"/>
  <c r="BB25" i="9"/>
  <c r="L59" i="9"/>
  <c r="F111" i="2"/>
  <c r="W40" i="2"/>
  <c r="G109" i="4"/>
  <c r="O239" i="4"/>
  <c r="E77" i="9"/>
  <c r="AU65" i="9"/>
  <c r="B133" i="7"/>
  <c r="W3" i="4"/>
  <c r="M183" i="7"/>
  <c r="AV109" i="9"/>
  <c r="N249" i="4"/>
  <c r="E74" i="2"/>
  <c r="D87" i="7"/>
  <c r="D171" i="7"/>
  <c r="L98" i="4"/>
  <c r="M107" i="9"/>
  <c r="B235" i="7"/>
  <c r="U93" i="7"/>
  <c r="E62" i="9"/>
  <c r="D128" i="7"/>
  <c r="M98" i="9"/>
  <c r="F149" i="4"/>
  <c r="AO63" i="9"/>
  <c r="D245" i="4"/>
  <c r="C227" i="7"/>
  <c r="M181" i="4"/>
  <c r="AT44" i="9"/>
  <c r="P49" i="4"/>
  <c r="U37" i="4"/>
  <c r="H27" i="9"/>
  <c r="H53" i="2"/>
  <c r="L253" i="7"/>
  <c r="N191" i="4"/>
  <c r="H86" i="4"/>
  <c r="V37" i="4"/>
  <c r="Q64" i="7"/>
  <c r="E39" i="9"/>
  <c r="N146" i="7"/>
  <c r="AB27" i="2"/>
  <c r="O36" i="4"/>
  <c r="O82" i="2"/>
  <c r="I52" i="4"/>
  <c r="K121" i="4"/>
  <c r="E99" i="7"/>
  <c r="N98" i="2"/>
  <c r="E164" i="4"/>
  <c r="AM110" i="9"/>
  <c r="E234" i="7"/>
  <c r="G110" i="9"/>
  <c r="M234" i="7"/>
  <c r="F54" i="7"/>
  <c r="H125" i="7"/>
  <c r="C109" i="7"/>
  <c r="E274" i="4"/>
  <c r="G267" i="7"/>
  <c r="F175" i="4"/>
  <c r="B136" i="7"/>
  <c r="G177" i="7"/>
  <c r="T45" i="2"/>
  <c r="H92" i="4"/>
  <c r="AO81" i="9"/>
  <c r="B93" i="4"/>
  <c r="AW43" i="9"/>
  <c r="H74" i="9"/>
  <c r="D65" i="2"/>
  <c r="O3" i="4"/>
  <c r="T77" i="2"/>
  <c r="E174" i="4"/>
  <c r="D232" i="4"/>
  <c r="U51" i="7"/>
  <c r="C85" i="4"/>
  <c r="L70" i="9"/>
  <c r="K85" i="7"/>
  <c r="E81" i="2"/>
  <c r="N220" i="4"/>
  <c r="H158" i="4"/>
  <c r="M42" i="2"/>
  <c r="E38" i="9"/>
  <c r="D169" i="7"/>
  <c r="M70" i="2"/>
  <c r="C145" i="7"/>
  <c r="O69" i="9"/>
  <c r="F50" i="4"/>
  <c r="T75" i="9"/>
  <c r="G94" i="2"/>
  <c r="M125" i="4"/>
  <c r="M95" i="7"/>
  <c r="Q113" i="2"/>
  <c r="J48" i="9"/>
  <c r="U79" i="4"/>
  <c r="B97" i="7"/>
  <c r="L173" i="4"/>
  <c r="B86" i="2"/>
  <c r="G269" i="4"/>
  <c r="E171" i="7"/>
  <c r="AZ33" i="9"/>
  <c r="N98" i="9"/>
  <c r="O226" i="4"/>
  <c r="Q98" i="2"/>
  <c r="M152" i="7"/>
  <c r="D211" i="7"/>
  <c r="Q83" i="7"/>
  <c r="L180" i="4"/>
  <c r="N246" i="7"/>
  <c r="D94" i="9"/>
  <c r="D81" i="2"/>
  <c r="H232" i="7"/>
  <c r="Q70" i="7"/>
  <c r="F99" i="2"/>
  <c r="H259" i="4"/>
  <c r="K175" i="4"/>
  <c r="T85" i="7"/>
  <c r="U50" i="7"/>
  <c r="AP84" i="9"/>
  <c r="U86" i="7"/>
  <c r="O247" i="4"/>
  <c r="K186" i="4"/>
  <c r="C146" i="4"/>
  <c r="D272" i="4"/>
  <c r="G105" i="4"/>
  <c r="E186" i="7"/>
  <c r="F73" i="4"/>
  <c r="U76" i="2"/>
  <c r="Q80" i="7"/>
  <c r="N116" i="7"/>
  <c r="AT37" i="9"/>
  <c r="P51" i="2"/>
  <c r="J91" i="4"/>
  <c r="AT78" i="9"/>
  <c r="D57" i="2"/>
  <c r="K77" i="4"/>
  <c r="L174" i="4"/>
  <c r="K184" i="4"/>
  <c r="N192" i="4"/>
  <c r="N35" i="9"/>
  <c r="AU72" i="9"/>
  <c r="D181" i="4"/>
  <c r="L235" i="7"/>
  <c r="K157" i="4"/>
  <c r="O55" i="9"/>
  <c r="L99" i="7"/>
  <c r="H80" i="2"/>
  <c r="M93" i="7"/>
  <c r="B129" i="7"/>
  <c r="U74" i="4"/>
  <c r="U95" i="4"/>
  <c r="J88" i="4"/>
  <c r="G60" i="2"/>
  <c r="U92" i="4"/>
  <c r="E264" i="7"/>
  <c r="F201" i="7"/>
  <c r="B248" i="7"/>
  <c r="AN75" i="9"/>
  <c r="B39" i="9"/>
  <c r="P31" i="7"/>
  <c r="M76" i="4"/>
  <c r="D92" i="9"/>
  <c r="H226" i="7"/>
  <c r="L46" i="7"/>
  <c r="H186" i="4"/>
  <c r="B69" i="9"/>
  <c r="AM80" i="9"/>
  <c r="N106" i="4"/>
  <c r="F150" i="4"/>
  <c r="I46" i="2"/>
  <c r="G90" i="2"/>
  <c r="F268" i="4"/>
  <c r="H214" i="4"/>
  <c r="D170" i="4"/>
  <c r="AU49" i="9"/>
  <c r="O107" i="7"/>
  <c r="K131" i="7"/>
  <c r="F115" i="4"/>
  <c r="H99" i="2"/>
  <c r="G249" i="7"/>
  <c r="D46" i="7"/>
  <c r="C50" i="2"/>
  <c r="U71" i="7"/>
  <c r="F100" i="4"/>
  <c r="O205" i="4"/>
  <c r="K247" i="4"/>
  <c r="L61" i="7"/>
  <c r="Q83" i="2"/>
  <c r="F85" i="2"/>
  <c r="I31" i="2"/>
  <c r="L157" i="7"/>
  <c r="E132" i="4"/>
  <c r="F204" i="4"/>
  <c r="M41" i="2"/>
  <c r="O65" i="7"/>
  <c r="U88" i="4"/>
  <c r="K237" i="7"/>
  <c r="AR70" i="9"/>
  <c r="B92" i="4"/>
  <c r="N53" i="9"/>
  <c r="G156" i="7"/>
  <c r="P80" i="4"/>
  <c r="D227" i="7"/>
  <c r="N159" i="4"/>
  <c r="AW53" i="9"/>
  <c r="R66" i="2"/>
  <c r="AN61" i="9"/>
  <c r="D100" i="4"/>
  <c r="F68" i="9"/>
  <c r="AM62" i="9"/>
  <c r="BB62" i="9"/>
  <c r="D243" i="4"/>
  <c r="I102" i="4"/>
  <c r="E167" i="7"/>
  <c r="C55" i="2"/>
  <c r="D102" i="9"/>
  <c r="AY27" i="9"/>
  <c r="H247" i="4"/>
  <c r="J33" i="9"/>
  <c r="L108" i="9"/>
  <c r="F47" i="2"/>
  <c r="C273" i="4"/>
  <c r="F89" i="2"/>
  <c r="C54" i="4"/>
  <c r="H118" i="7"/>
  <c r="AT51" i="9"/>
  <c r="B78" i="9"/>
  <c r="M255" i="7"/>
  <c r="L187" i="4"/>
  <c r="G51" i="4"/>
  <c r="K75" i="7"/>
  <c r="R82" i="4"/>
  <c r="R26" i="2"/>
  <c r="K184" i="7"/>
  <c r="D111" i="7"/>
  <c r="D214" i="4"/>
  <c r="N230" i="7"/>
  <c r="L88" i="7"/>
  <c r="F196" i="4"/>
  <c r="O154" i="4"/>
  <c r="C79" i="2"/>
  <c r="O77" i="9"/>
  <c r="AZ58" i="9"/>
  <c r="N167" i="7"/>
  <c r="N164" i="4"/>
  <c r="AF18" i="7"/>
  <c r="T78" i="7"/>
  <c r="T93" i="2"/>
  <c r="Q58" i="2"/>
  <c r="T82" i="7"/>
  <c r="C265" i="4"/>
  <c r="P77" i="9"/>
  <c r="E243" i="4"/>
  <c r="L240" i="4"/>
  <c r="G152" i="4"/>
  <c r="C165" i="7"/>
  <c r="H190" i="4"/>
  <c r="B116" i="7"/>
  <c r="B93" i="2"/>
  <c r="G231" i="4"/>
  <c r="N224" i="4"/>
  <c r="AR34" i="9"/>
  <c r="M163" i="7"/>
  <c r="O49" i="4"/>
  <c r="D208" i="4"/>
  <c r="O79" i="7"/>
  <c r="P86" i="9"/>
  <c r="J84" i="2"/>
  <c r="M47" i="9"/>
  <c r="T80" i="9"/>
  <c r="J81" i="2"/>
  <c r="F168" i="4"/>
  <c r="G88" i="2"/>
  <c r="H78" i="9"/>
  <c r="B62" i="7"/>
  <c r="E103" i="2"/>
  <c r="AX33" i="9"/>
  <c r="H219" i="4"/>
  <c r="M251" i="4"/>
  <c r="H109" i="4"/>
  <c r="L41" i="7"/>
  <c r="L166" i="4"/>
  <c r="AI59" i="9"/>
  <c r="G75" i="9"/>
  <c r="E43" i="9"/>
  <c r="K129" i="7"/>
  <c r="F50" i="9"/>
  <c r="Q65" i="2"/>
  <c r="G88" i="7"/>
  <c r="M160" i="7"/>
  <c r="G185" i="7"/>
  <c r="G186" i="4"/>
  <c r="G182" i="7"/>
  <c r="C64" i="4"/>
  <c r="O51" i="2"/>
  <c r="H251" i="4"/>
  <c r="I50" i="4"/>
  <c r="M239" i="4"/>
  <c r="N223" i="4"/>
  <c r="J49" i="2"/>
  <c r="K155" i="4"/>
  <c r="O222" i="4"/>
  <c r="C224" i="4"/>
  <c r="G207" i="7"/>
  <c r="P68" i="2"/>
  <c r="Q72" i="2"/>
  <c r="K151" i="4"/>
  <c r="U56" i="2"/>
  <c r="K106" i="2"/>
  <c r="D56" i="7"/>
  <c r="J80" i="2"/>
  <c r="M84" i="9"/>
  <c r="F143" i="4"/>
  <c r="O160" i="4"/>
  <c r="L270" i="7"/>
  <c r="M77" i="9"/>
  <c r="L62" i="7"/>
  <c r="F154" i="7"/>
  <c r="D69" i="4"/>
  <c r="G40" i="4"/>
  <c r="R69" i="4"/>
  <c r="C121" i="4"/>
  <c r="H241" i="7"/>
  <c r="F210" i="4"/>
  <c r="BC7" i="9"/>
  <c r="AN26" i="9"/>
  <c r="AZ66" i="9"/>
  <c r="Y35" i="4"/>
  <c r="C33" i="9"/>
  <c r="F75" i="4"/>
  <c r="AI3" i="9"/>
  <c r="W41" i="4"/>
  <c r="C190" i="7"/>
  <c r="P94" i="2"/>
  <c r="M263" i="7"/>
  <c r="BP13" i="9"/>
  <c r="R97" i="2"/>
  <c r="AN39" i="9"/>
  <c r="O81" i="9"/>
  <c r="L159" i="7"/>
  <c r="S84" i="7"/>
  <c r="J3" i="9"/>
  <c r="T56" i="4"/>
  <c r="H260" i="4"/>
  <c r="R37" i="2"/>
  <c r="K65" i="7"/>
  <c r="B56" i="7"/>
  <c r="M48" i="9"/>
  <c r="AS39" i="9"/>
  <c r="E250" i="4"/>
  <c r="C137" i="7"/>
  <c r="D225" i="7"/>
  <c r="M37" i="9"/>
  <c r="E120" i="4"/>
  <c r="J103" i="2"/>
  <c r="L217" i="7"/>
  <c r="W33" i="2"/>
  <c r="I85" i="9"/>
  <c r="AM78" i="9"/>
  <c r="N260" i="4"/>
  <c r="K175" i="7"/>
  <c r="AW60" i="9"/>
  <c r="G49" i="9"/>
  <c r="F46" i="4"/>
  <c r="N122" i="7"/>
  <c r="AD23" i="7"/>
  <c r="H265" i="4"/>
  <c r="D40" i="7"/>
  <c r="L258" i="7"/>
  <c r="H31" i="9"/>
  <c r="C196" i="7"/>
  <c r="O212" i="4"/>
  <c r="B67" i="4"/>
  <c r="P24" i="2"/>
  <c r="J74" i="9"/>
  <c r="B216" i="7"/>
  <c r="I67" i="2"/>
  <c r="G272" i="4"/>
  <c r="K84" i="4"/>
  <c r="C96" i="7"/>
  <c r="AN100" i="9"/>
  <c r="R68" i="2"/>
  <c r="B79" i="9"/>
  <c r="O48" i="9"/>
  <c r="L87" i="7"/>
  <c r="T65" i="9"/>
  <c r="G217" i="4"/>
  <c r="M78" i="2"/>
  <c r="H69" i="4"/>
  <c r="H173" i="7"/>
  <c r="AK70" i="9"/>
  <c r="D67" i="2"/>
  <c r="B60" i="7"/>
  <c r="T77" i="7"/>
  <c r="G165" i="4"/>
  <c r="L146" i="4"/>
  <c r="D223" i="4"/>
  <c r="W35" i="2"/>
  <c r="N227" i="7"/>
  <c r="U31" i="4"/>
  <c r="D257" i="4"/>
  <c r="O94" i="7"/>
  <c r="G133" i="7"/>
  <c r="K263" i="7"/>
  <c r="O91" i="2"/>
  <c r="AQ24" i="9"/>
  <c r="G26" i="4"/>
  <c r="L163" i="4"/>
  <c r="C107" i="7"/>
  <c r="AL40" i="9"/>
  <c r="C49" i="4"/>
  <c r="AM64" i="9"/>
  <c r="M135" i="7"/>
  <c r="K30" i="4"/>
  <c r="B10" i="10"/>
  <c r="L64" i="7"/>
  <c r="G86" i="9"/>
  <c r="F92" i="2"/>
  <c r="H235" i="4"/>
  <c r="N174" i="4"/>
  <c r="T42" i="9"/>
  <c r="P26" i="7"/>
  <c r="B103" i="9"/>
  <c r="AM90" i="9"/>
  <c r="I60" i="9"/>
  <c r="G178" i="7"/>
  <c r="I36" i="4"/>
  <c r="M167" i="7"/>
  <c r="AQ44" i="9"/>
  <c r="F110" i="7"/>
  <c r="Z27" i="9"/>
  <c r="F102" i="9"/>
  <c r="H236" i="4"/>
  <c r="D48" i="2"/>
  <c r="O103" i="2"/>
  <c r="F108" i="7"/>
  <c r="D115" i="7"/>
  <c r="H272" i="4"/>
  <c r="M207" i="7"/>
  <c r="F185" i="7"/>
  <c r="AI63" i="9"/>
  <c r="M89" i="9"/>
  <c r="G92" i="2"/>
  <c r="M206" i="7"/>
  <c r="B105" i="7"/>
  <c r="F158" i="4"/>
  <c r="E98" i="4"/>
  <c r="C89" i="9"/>
  <c r="E236" i="4"/>
  <c r="R49" i="2"/>
  <c r="C3" i="4"/>
  <c r="H93" i="4"/>
  <c r="E161" i="7"/>
  <c r="E231" i="4"/>
  <c r="K139" i="7"/>
  <c r="H242" i="7"/>
  <c r="T73" i="4"/>
  <c r="H121" i="4"/>
  <c r="AX44" i="9"/>
  <c r="P107" i="4"/>
  <c r="D168" i="7"/>
  <c r="O235" i="4"/>
  <c r="L118" i="4"/>
  <c r="AO41" i="9"/>
  <c r="C146" i="7"/>
  <c r="E139" i="7"/>
  <c r="E65" i="7"/>
  <c r="I41" i="9"/>
  <c r="F102" i="4"/>
  <c r="N74" i="9"/>
  <c r="K110" i="7"/>
  <c r="AQ48" i="9"/>
  <c r="H142" i="7"/>
  <c r="B46" i="9"/>
  <c r="D95" i="2"/>
  <c r="D142" i="7"/>
  <c r="E69" i="4"/>
  <c r="T73" i="9"/>
  <c r="Q55" i="4"/>
  <c r="I57" i="4"/>
  <c r="H181" i="4"/>
  <c r="D226" i="7"/>
  <c r="M131" i="4"/>
  <c r="T42" i="4"/>
  <c r="H81" i="7"/>
  <c r="F93" i="7"/>
  <c r="B158" i="7"/>
  <c r="G93" i="2"/>
  <c r="H48" i="4"/>
  <c r="R51" i="9"/>
  <c r="F93" i="4"/>
  <c r="N47" i="9"/>
  <c r="C169" i="7"/>
  <c r="H162" i="7"/>
  <c r="T39" i="4"/>
  <c r="AP109" i="9"/>
  <c r="K159" i="4"/>
  <c r="B190" i="7"/>
  <c r="B56" i="2"/>
  <c r="E202" i="7"/>
  <c r="N195" i="4"/>
  <c r="I81" i="4"/>
  <c r="K209" i="4"/>
  <c r="D107" i="2"/>
  <c r="B60" i="2"/>
  <c r="L141" i="4"/>
  <c r="E182" i="4"/>
  <c r="D152" i="4"/>
  <c r="C225" i="7"/>
  <c r="AP58" i="9"/>
  <c r="W28" i="9"/>
  <c r="G238" i="4"/>
  <c r="M139" i="4"/>
  <c r="G259" i="4"/>
  <c r="J71" i="2"/>
  <c r="B75" i="2"/>
  <c r="K221" i="4"/>
  <c r="L115" i="7"/>
  <c r="D89" i="4"/>
  <c r="T58" i="4"/>
  <c r="G174" i="7"/>
  <c r="G87" i="7"/>
  <c r="Q95" i="2"/>
  <c r="G123" i="7"/>
  <c r="H240" i="4"/>
  <c r="L263" i="7"/>
  <c r="C243" i="4"/>
  <c r="K215" i="4"/>
  <c r="G92" i="7"/>
  <c r="M88" i="2"/>
  <c r="G157" i="7"/>
  <c r="BC41" i="9"/>
  <c r="O189" i="4"/>
  <c r="H192" i="4"/>
  <c r="K227" i="4"/>
  <c r="M236" i="4"/>
  <c r="C39" i="7"/>
  <c r="U86" i="2"/>
  <c r="U63" i="2"/>
  <c r="B252" i="7"/>
  <c r="L194" i="7"/>
  <c r="C159" i="7"/>
  <c r="O45" i="9"/>
  <c r="O122" i="4"/>
  <c r="H72" i="9"/>
  <c r="I54" i="7"/>
  <c r="E71" i="9"/>
  <c r="G96" i="2"/>
  <c r="D218" i="7"/>
  <c r="N89" i="7"/>
  <c r="K186" i="7"/>
  <c r="G175" i="7"/>
  <c r="L40" i="4"/>
  <c r="AO61" i="9"/>
  <c r="B198" i="7"/>
  <c r="P76" i="2"/>
  <c r="Q87" i="7"/>
  <c r="O89" i="7"/>
  <c r="D44" i="9"/>
  <c r="D67" i="4"/>
  <c r="B85" i="7"/>
  <c r="C264" i="7"/>
  <c r="AW84" i="9"/>
  <c r="F64" i="2"/>
  <c r="G118" i="7"/>
  <c r="F55" i="2"/>
  <c r="C253" i="7"/>
  <c r="K252" i="4"/>
  <c r="K174" i="4"/>
  <c r="I103" i="2"/>
  <c r="M82" i="2"/>
  <c r="L163" i="7"/>
  <c r="P95" i="4"/>
  <c r="C78" i="2"/>
  <c r="H157" i="4"/>
  <c r="B112" i="7"/>
  <c r="U31" i="7"/>
  <c r="C186" i="4"/>
  <c r="G139" i="4"/>
  <c r="C191" i="7"/>
  <c r="E71" i="4"/>
  <c r="Q54" i="4"/>
  <c r="I84" i="9"/>
  <c r="E268" i="4"/>
  <c r="D52" i="4"/>
  <c r="G109" i="7"/>
  <c r="N251" i="7"/>
  <c r="E130" i="7"/>
  <c r="B159" i="7"/>
  <c r="D182" i="7"/>
  <c r="G249" i="4"/>
  <c r="G274" i="7"/>
  <c r="AW109" i="9"/>
  <c r="AP70" i="9"/>
  <c r="B197" i="7"/>
  <c r="F91" i="9"/>
  <c r="F150" i="7"/>
  <c r="N59" i="4"/>
  <c r="O69" i="2"/>
  <c r="V13" i="9"/>
  <c r="T74" i="4"/>
  <c r="M192" i="7"/>
  <c r="N236" i="7"/>
  <c r="K122" i="7"/>
  <c r="D167" i="4"/>
  <c r="O100" i="9"/>
  <c r="P43" i="7"/>
  <c r="D59" i="9"/>
  <c r="H46" i="4"/>
  <c r="H123" i="7"/>
  <c r="K68" i="4"/>
  <c r="N61" i="2"/>
  <c r="AX68" i="9"/>
  <c r="AL70" i="9"/>
  <c r="P60" i="2"/>
  <c r="L174" i="7"/>
  <c r="O64" i="2"/>
  <c r="H58" i="7"/>
  <c r="I39" i="4"/>
  <c r="F71" i="7"/>
  <c r="AK53" i="9"/>
  <c r="R67" i="2"/>
  <c r="AA34" i="2"/>
  <c r="AS41" i="9"/>
  <c r="C130" i="7"/>
  <c r="O137" i="4"/>
  <c r="K131" i="4"/>
  <c r="H239" i="4"/>
  <c r="AI92" i="9"/>
  <c r="S86" i="7"/>
  <c r="AK77" i="9"/>
  <c r="Q70" i="2"/>
  <c r="C139" i="7"/>
  <c r="F73" i="9"/>
  <c r="E263" i="7"/>
  <c r="M108" i="2"/>
  <c r="K160" i="7"/>
  <c r="F39" i="4"/>
  <c r="E208" i="7"/>
  <c r="C53" i="2"/>
  <c r="K125" i="7"/>
  <c r="N46" i="4"/>
  <c r="O62" i="7"/>
  <c r="P90" i="2"/>
  <c r="C221" i="4"/>
  <c r="K250" i="4"/>
  <c r="N99" i="4"/>
  <c r="AU48" i="9"/>
  <c r="M242" i="4"/>
  <c r="C260" i="7"/>
  <c r="N83" i="2"/>
  <c r="R57" i="7"/>
  <c r="N117" i="4"/>
  <c r="B80" i="9"/>
  <c r="G244" i="7"/>
  <c r="AP42" i="9"/>
  <c r="G137" i="4"/>
  <c r="O55" i="2"/>
  <c r="C47" i="4"/>
  <c r="J45" i="7"/>
  <c r="D163" i="4"/>
  <c r="S77" i="7"/>
  <c r="I83" i="9"/>
  <c r="AX85" i="9"/>
  <c r="AW88" i="9"/>
  <c r="M156" i="4"/>
  <c r="Q49" i="2"/>
  <c r="B100" i="4"/>
  <c r="U62" i="2"/>
  <c r="D233" i="4"/>
  <c r="X32" i="2"/>
  <c r="M146" i="4"/>
  <c r="D183" i="4"/>
  <c r="G61" i="2"/>
  <c r="C46" i="2"/>
  <c r="I29" i="7"/>
  <c r="G55" i="4"/>
  <c r="AW67" i="9"/>
  <c r="N59" i="7"/>
  <c r="E104" i="4"/>
  <c r="F93" i="2"/>
  <c r="H166" i="7"/>
  <c r="AL82" i="9"/>
  <c r="R88" i="7"/>
  <c r="D63" i="4"/>
  <c r="C69" i="7"/>
  <c r="C128" i="4"/>
  <c r="N196" i="7"/>
  <c r="D154" i="4"/>
  <c r="B265" i="7"/>
  <c r="H42" i="9"/>
  <c r="T59" i="2"/>
  <c r="BC44" i="9"/>
  <c r="K118" i="4"/>
  <c r="Q74" i="7"/>
  <c r="AQ84" i="9"/>
  <c r="R93" i="2"/>
  <c r="AJ80" i="9"/>
  <c r="AP33" i="9"/>
  <c r="I59" i="2"/>
  <c r="K117" i="7"/>
  <c r="AP95" i="9"/>
  <c r="F233" i="7"/>
  <c r="E248" i="7"/>
  <c r="M195" i="7"/>
  <c r="H70" i="9"/>
  <c r="K63" i="7"/>
  <c r="L67" i="9"/>
  <c r="K148" i="4"/>
  <c r="K273" i="7"/>
  <c r="J57" i="9"/>
  <c r="D175" i="7"/>
  <c r="J79" i="7"/>
  <c r="U40" i="4"/>
  <c r="N245" i="7"/>
  <c r="L267" i="7"/>
  <c r="T75" i="7"/>
  <c r="N72" i="4"/>
  <c r="O29" i="2"/>
  <c r="U60" i="2"/>
  <c r="F52" i="2"/>
  <c r="E66" i="7"/>
  <c r="O208" i="4"/>
  <c r="O42" i="4"/>
  <c r="B63" i="4"/>
  <c r="H63" i="4"/>
  <c r="H109" i="9"/>
  <c r="L215" i="7"/>
  <c r="G160" i="4"/>
  <c r="C228" i="4"/>
  <c r="Q46" i="7"/>
  <c r="Q66" i="2"/>
  <c r="Q71" i="2"/>
  <c r="C223" i="7"/>
  <c r="AT46" i="9"/>
  <c r="BC42" i="9"/>
  <c r="D46" i="4"/>
  <c r="M86" i="2"/>
  <c r="L205" i="7"/>
  <c r="L225" i="7"/>
  <c r="M88" i="7"/>
  <c r="BB85" i="9"/>
  <c r="O242" i="4"/>
  <c r="L72" i="9"/>
  <c r="O102" i="9"/>
  <c r="T67" i="7"/>
  <c r="E117" i="7"/>
  <c r="N199" i="4"/>
  <c r="P76" i="7"/>
  <c r="AQ47" i="9"/>
  <c r="P35" i="9"/>
  <c r="M193" i="7"/>
  <c r="D145" i="4"/>
  <c r="I44" i="2"/>
  <c r="D51" i="9"/>
  <c r="H64" i="9"/>
  <c r="J69" i="4"/>
  <c r="D235" i="4"/>
  <c r="J62" i="9"/>
  <c r="N169" i="4"/>
  <c r="C259" i="7"/>
  <c r="G246" i="7"/>
  <c r="J79" i="2"/>
  <c r="U91" i="4"/>
  <c r="D57" i="9"/>
  <c r="O67" i="2"/>
  <c r="I82" i="7"/>
  <c r="N102" i="2"/>
  <c r="E158" i="7"/>
  <c r="H63" i="2"/>
  <c r="I59" i="9"/>
  <c r="I38" i="4"/>
  <c r="F90" i="2"/>
  <c r="M208" i="4"/>
  <c r="F98" i="7"/>
  <c r="E255" i="4"/>
  <c r="B244" i="7"/>
  <c r="B46" i="7"/>
  <c r="C114" i="7"/>
  <c r="D73" i="4"/>
  <c r="M231" i="4"/>
  <c r="L73" i="9"/>
  <c r="I89" i="2"/>
  <c r="O52" i="9"/>
  <c r="F165" i="7"/>
  <c r="M184" i="7"/>
  <c r="F70" i="2"/>
  <c r="H106" i="7"/>
  <c r="D251" i="4"/>
  <c r="N125" i="7"/>
  <c r="AM91" i="9"/>
  <c r="N229" i="7"/>
  <c r="O164" i="4"/>
  <c r="J81" i="4"/>
  <c r="E221" i="4"/>
  <c r="F183" i="4"/>
  <c r="Q103" i="2"/>
  <c r="E97" i="9"/>
  <c r="M249" i="7"/>
  <c r="S3" i="4"/>
  <c r="E184" i="4"/>
  <c r="O240" i="4"/>
  <c r="AU63" i="9"/>
  <c r="C220" i="4"/>
  <c r="D3" i="9"/>
  <c r="E194" i="7"/>
  <c r="E224" i="4"/>
  <c r="D65" i="9"/>
  <c r="M70" i="7"/>
  <c r="H90" i="7"/>
  <c r="R59" i="7"/>
  <c r="F268" i="7"/>
  <c r="C58" i="2"/>
  <c r="H154" i="4"/>
  <c r="M60" i="2"/>
  <c r="E183" i="7"/>
  <c r="E40" i="4"/>
  <c r="H254" i="7"/>
  <c r="L195" i="7"/>
  <c r="AX62" i="9"/>
  <c r="R62" i="4"/>
  <c r="BD43" i="9"/>
  <c r="C272" i="4"/>
  <c r="O238" i="4"/>
  <c r="P56" i="9"/>
  <c r="D103" i="4"/>
  <c r="AN77" i="9"/>
  <c r="G224" i="7"/>
  <c r="AL94" i="9"/>
  <c r="F74" i="4"/>
  <c r="O104" i="4"/>
  <c r="D125" i="7"/>
  <c r="P64" i="9"/>
  <c r="U66" i="4"/>
  <c r="D56" i="4"/>
  <c r="H217" i="4"/>
  <c r="K142" i="7"/>
  <c r="N86" i="9"/>
  <c r="Q65" i="4"/>
  <c r="AR54" i="9"/>
  <c r="O103" i="7"/>
  <c r="G46" i="4"/>
  <c r="F70" i="9"/>
  <c r="U94" i="4"/>
  <c r="Q81" i="4"/>
  <c r="C23" i="2"/>
  <c r="F214" i="7"/>
  <c r="U67" i="2"/>
  <c r="F257" i="4"/>
  <c r="C31" i="7"/>
  <c r="C29" i="4"/>
  <c r="B82" i="2"/>
  <c r="L68" i="2"/>
  <c r="H52" i="7"/>
  <c r="H61" i="4"/>
  <c r="N109" i="9"/>
  <c r="B194" i="7"/>
  <c r="AW87" i="9"/>
  <c r="C237" i="4"/>
  <c r="G84" i="9"/>
  <c r="K231" i="4"/>
  <c r="R84" i="2"/>
  <c r="U69" i="2"/>
  <c r="J97" i="2"/>
  <c r="B14" i="2"/>
  <c r="Y23" i="2"/>
  <c r="M98" i="2"/>
  <c r="K158" i="4"/>
  <c r="D39" i="9"/>
  <c r="I49" i="9"/>
  <c r="L238" i="4"/>
  <c r="AK105" i="9"/>
  <c r="N32" i="2"/>
  <c r="AV54" i="9"/>
  <c r="U46" i="4"/>
  <c r="O156" i="4"/>
  <c r="M49" i="2"/>
  <c r="AX89" i="9"/>
  <c r="K92" i="4"/>
  <c r="N255" i="7"/>
  <c r="Z35" i="4"/>
  <c r="D129" i="7"/>
  <c r="K87" i="2"/>
  <c r="AK81" i="9"/>
  <c r="L243" i="7"/>
  <c r="M188" i="4"/>
  <c r="L176" i="7"/>
  <c r="AV45" i="9"/>
  <c r="D133" i="4"/>
  <c r="B141" i="7"/>
  <c r="F95" i="2"/>
  <c r="I88" i="4"/>
  <c r="J47" i="7"/>
  <c r="M76" i="9"/>
  <c r="O101" i="4"/>
  <c r="AL33" i="9"/>
  <c r="D54" i="4"/>
  <c r="AK36" i="9"/>
  <c r="L84" i="7"/>
  <c r="H112" i="7"/>
  <c r="H171" i="4"/>
  <c r="N93" i="4"/>
  <c r="H261" i="7"/>
  <c r="P77" i="7"/>
  <c r="U81" i="4"/>
  <c r="I73" i="9"/>
  <c r="S87" i="4"/>
  <c r="Q105" i="4"/>
  <c r="AZ43" i="9"/>
  <c r="C43" i="9"/>
  <c r="I70" i="2"/>
  <c r="D171" i="4"/>
  <c r="N74" i="7"/>
  <c r="T56" i="2"/>
  <c r="M82" i="4"/>
  <c r="K79" i="7"/>
  <c r="I43" i="9"/>
  <c r="H105" i="4"/>
  <c r="K211" i="4"/>
  <c r="D120" i="7"/>
  <c r="AW50" i="9"/>
  <c r="K36" i="9"/>
  <c r="AZ61" i="9"/>
  <c r="E181" i="4"/>
  <c r="M200" i="7"/>
  <c r="F107" i="9"/>
  <c r="G241" i="7"/>
  <c r="K241" i="4"/>
  <c r="N158" i="4"/>
  <c r="G167" i="4"/>
  <c r="E97" i="4"/>
  <c r="O60" i="4"/>
  <c r="L81" i="4"/>
  <c r="Q55" i="2"/>
  <c r="C191" i="4"/>
  <c r="K80" i="2"/>
  <c r="AL101" i="9"/>
  <c r="P53" i="2"/>
  <c r="L209" i="7"/>
  <c r="H84" i="9"/>
  <c r="AI82" i="9"/>
  <c r="AI80" i="9"/>
  <c r="L89" i="9"/>
  <c r="F210" i="7"/>
  <c r="G120" i="4"/>
  <c r="M91" i="9"/>
  <c r="R56" i="2"/>
  <c r="K51" i="2"/>
  <c r="K80" i="7"/>
  <c r="L59" i="7"/>
  <c r="K150" i="7"/>
  <c r="B83" i="7"/>
  <c r="P78" i="4"/>
  <c r="L128" i="4"/>
  <c r="AV49" i="9"/>
  <c r="F68" i="7"/>
  <c r="K208" i="7"/>
  <c r="AJ104" i="9"/>
  <c r="M100" i="4"/>
  <c r="L226" i="4"/>
  <c r="R41" i="7"/>
  <c r="C103" i="4"/>
  <c r="N181" i="4"/>
  <c r="F173" i="4"/>
  <c r="T30" i="2"/>
  <c r="C68" i="2"/>
  <c r="T83" i="7"/>
  <c r="R33" i="9"/>
  <c r="C143" i="7"/>
  <c r="R79" i="4"/>
  <c r="M137" i="4"/>
  <c r="E79" i="4"/>
  <c r="G140" i="4"/>
  <c r="J106" i="2"/>
  <c r="M92" i="9"/>
  <c r="D243" i="7"/>
  <c r="K60" i="9"/>
  <c r="F57" i="9"/>
  <c r="N70" i="2"/>
  <c r="D160" i="4"/>
  <c r="H58" i="9"/>
  <c r="Q54" i="9"/>
  <c r="M147" i="4"/>
  <c r="N261" i="4"/>
  <c r="F72" i="7"/>
  <c r="R51" i="7"/>
  <c r="U69" i="4"/>
  <c r="AQ53" i="9"/>
  <c r="G184" i="4"/>
  <c r="H110" i="9"/>
  <c r="O67" i="7"/>
  <c r="K245" i="7"/>
  <c r="H74" i="2"/>
  <c r="E147" i="4"/>
  <c r="F157" i="4"/>
  <c r="L199" i="7"/>
  <c r="M44" i="9"/>
  <c r="E127" i="4"/>
  <c r="BB83" i="9"/>
  <c r="T61" i="9"/>
  <c r="F70" i="4"/>
  <c r="M61" i="4"/>
  <c r="L50" i="2"/>
  <c r="G139" i="7"/>
  <c r="L172" i="4"/>
  <c r="K217" i="4"/>
  <c r="N128" i="7"/>
  <c r="E242" i="4"/>
  <c r="AW103" i="9"/>
  <c r="O272" i="4"/>
  <c r="G106" i="2"/>
  <c r="Q80" i="2"/>
  <c r="F240" i="4"/>
  <c r="B91" i="2"/>
  <c r="W33" i="4"/>
  <c r="L160" i="7"/>
  <c r="G57" i="7"/>
  <c r="P36" i="9"/>
  <c r="G35" i="2"/>
  <c r="K268" i="7"/>
  <c r="AB34" i="4"/>
  <c r="P69" i="2"/>
  <c r="L109" i="2"/>
  <c r="C66" i="9"/>
  <c r="G117" i="7"/>
  <c r="Q64" i="4"/>
  <c r="M132" i="7"/>
  <c r="C96" i="9"/>
  <c r="F77" i="2"/>
  <c r="C42" i="7"/>
  <c r="AJ60" i="9"/>
  <c r="B222" i="7"/>
  <c r="M64" i="7"/>
  <c r="AM56" i="9"/>
  <c r="AU51" i="9"/>
  <c r="E268" i="7"/>
  <c r="M66" i="4"/>
  <c r="M122" i="4"/>
  <c r="C74" i="9"/>
  <c r="G160" i="7"/>
  <c r="E104" i="7"/>
  <c r="B81" i="2"/>
  <c r="W43" i="4"/>
  <c r="N101" i="9"/>
  <c r="K36" i="2"/>
  <c r="O39" i="4"/>
  <c r="R101" i="4"/>
  <c r="G28" i="7"/>
  <c r="H35" i="4"/>
  <c r="F144" i="7"/>
  <c r="G29" i="4"/>
  <c r="AN24" i="9"/>
  <c r="N262" i="7"/>
  <c r="C175" i="4"/>
  <c r="L41" i="2"/>
  <c r="L26" i="4"/>
  <c r="Z34" i="4"/>
  <c r="N30" i="2"/>
  <c r="R47" i="4"/>
  <c r="K124" i="7"/>
  <c r="AT99" i="9"/>
  <c r="I55" i="2"/>
  <c r="N103" i="4"/>
  <c r="K173" i="4"/>
  <c r="U70" i="4"/>
  <c r="E33" i="4"/>
  <c r="G235" i="7"/>
  <c r="D83" i="9"/>
  <c r="BF27" i="9"/>
  <c r="N190" i="4"/>
  <c r="D39" i="2"/>
  <c r="AR68" i="9"/>
  <c r="N71" i="9"/>
  <c r="N240" i="7"/>
  <c r="K162" i="7"/>
  <c r="F117" i="4"/>
  <c r="C65" i="4"/>
  <c r="E217" i="4"/>
  <c r="K54" i="4"/>
  <c r="I92" i="7"/>
  <c r="J96" i="4"/>
  <c r="K271" i="7"/>
  <c r="L177" i="7"/>
  <c r="U83" i="2"/>
  <c r="AV88" i="9"/>
  <c r="B15" i="10"/>
  <c r="E167" i="4"/>
  <c r="L263" i="4"/>
  <c r="D240" i="7"/>
  <c r="E119" i="7"/>
  <c r="E246" i="4"/>
  <c r="B63" i="2"/>
  <c r="B99" i="9"/>
  <c r="M145" i="4"/>
  <c r="M182" i="4"/>
  <c r="H144" i="4"/>
  <c r="L44" i="4"/>
  <c r="L129" i="4"/>
  <c r="AJ37" i="9"/>
  <c r="I48" i="4"/>
  <c r="D76" i="7"/>
  <c r="F44" i="2"/>
  <c r="AO107" i="9"/>
  <c r="M80" i="4"/>
  <c r="L106" i="4"/>
  <c r="C50" i="9"/>
  <c r="AN76" i="9"/>
  <c r="Q60" i="2"/>
  <c r="G45" i="2"/>
  <c r="K159" i="7"/>
  <c r="F184" i="7"/>
  <c r="K69" i="4"/>
  <c r="T76" i="7"/>
  <c r="B75" i="9"/>
  <c r="F252" i="7"/>
  <c r="L144" i="7"/>
  <c r="B196" i="7"/>
  <c r="G41" i="9"/>
  <c r="Q41" i="9"/>
  <c r="Q59" i="2"/>
  <c r="I51" i="9"/>
  <c r="L157" i="4"/>
  <c r="T92" i="4"/>
  <c r="T80" i="7"/>
  <c r="C44" i="9"/>
  <c r="T59" i="9"/>
  <c r="M259" i="4"/>
  <c r="L155" i="4"/>
  <c r="P47" i="2"/>
  <c r="D212" i="4"/>
  <c r="X20" i="7"/>
  <c r="N244" i="4"/>
  <c r="Q74" i="4"/>
  <c r="H192" i="7"/>
  <c r="D86" i="7"/>
  <c r="O100" i="7"/>
  <c r="K73" i="4"/>
  <c r="C64" i="9"/>
  <c r="P70" i="4"/>
  <c r="G261" i="4"/>
  <c r="N64" i="9"/>
  <c r="M116" i="4"/>
  <c r="P75" i="7"/>
  <c r="F59" i="9"/>
  <c r="N148" i="7"/>
  <c r="Q78" i="7"/>
  <c r="M214" i="4"/>
  <c r="N111" i="7"/>
  <c r="T83" i="2"/>
  <c r="J30" i="7"/>
  <c r="H50" i="7"/>
  <c r="BN21" i="9"/>
  <c r="G89" i="9"/>
  <c r="O124" i="4"/>
  <c r="B51" i="7"/>
  <c r="B63" i="7"/>
  <c r="AR45" i="9"/>
  <c r="F261" i="4"/>
  <c r="M48" i="2"/>
  <c r="T36" i="9"/>
  <c r="J97" i="4"/>
  <c r="N92" i="2"/>
  <c r="D82" i="2"/>
  <c r="AI93" i="9"/>
  <c r="F64" i="7"/>
  <c r="K45" i="7"/>
  <c r="R44" i="9"/>
  <c r="N192" i="7"/>
  <c r="H223" i="4"/>
  <c r="K67" i="2"/>
  <c r="T39" i="9"/>
  <c r="K152" i="7"/>
  <c r="H99" i="4"/>
  <c r="E73" i="9"/>
  <c r="N119" i="7"/>
  <c r="H143" i="7"/>
  <c r="R66" i="4"/>
  <c r="J77" i="7"/>
  <c r="AJ85" i="9"/>
  <c r="B105" i="2"/>
  <c r="I52" i="9"/>
  <c r="Q50" i="7"/>
  <c r="U50" i="4"/>
  <c r="G254" i="7"/>
  <c r="E165" i="4"/>
  <c r="L254" i="4"/>
  <c r="M174" i="7"/>
  <c r="H85" i="4"/>
  <c r="AY66" i="9"/>
  <c r="M212" i="7"/>
  <c r="T51" i="2"/>
  <c r="G219" i="7"/>
  <c r="J57" i="2"/>
  <c r="Q58" i="9"/>
  <c r="P54" i="2"/>
  <c r="H271" i="4"/>
  <c r="L128" i="7"/>
  <c r="AW51" i="9"/>
  <c r="AV99" i="9"/>
  <c r="U28" i="7"/>
  <c r="K254" i="4"/>
  <c r="H90" i="9"/>
  <c r="C70" i="9"/>
  <c r="M62" i="7"/>
  <c r="M104" i="2"/>
  <c r="L223" i="4"/>
  <c r="J79" i="4"/>
  <c r="N218" i="4"/>
  <c r="I45" i="4"/>
  <c r="L208" i="4"/>
  <c r="O169" i="4"/>
  <c r="M226" i="4"/>
  <c r="K154" i="4"/>
  <c r="E261" i="4"/>
  <c r="C92" i="4"/>
  <c r="K45" i="9"/>
  <c r="B272" i="7"/>
  <c r="N153" i="4"/>
  <c r="E87" i="2"/>
  <c r="AI98" i="9"/>
  <c r="AO48" i="9"/>
  <c r="M107" i="2"/>
  <c r="B68" i="4"/>
  <c r="E267" i="7"/>
  <c r="G183" i="7"/>
  <c r="F80" i="9"/>
  <c r="AK88" i="9"/>
  <c r="N261" i="7"/>
  <c r="F163" i="4"/>
  <c r="AL37" i="9"/>
  <c r="F115" i="7"/>
  <c r="G179" i="7"/>
  <c r="T76" i="2"/>
  <c r="H150" i="7"/>
  <c r="I28" i="2"/>
  <c r="AC18" i="7"/>
  <c r="D15" i="9"/>
  <c r="H184" i="4"/>
  <c r="H79" i="2"/>
  <c r="N3" i="7"/>
  <c r="T3" i="7"/>
  <c r="AT106" i="9"/>
  <c r="M185" i="4"/>
  <c r="D51" i="7"/>
  <c r="L234" i="4"/>
  <c r="C21" i="9"/>
  <c r="G108" i="7"/>
  <c r="C43" i="2"/>
  <c r="M22" i="2"/>
  <c r="G60" i="7"/>
  <c r="P61" i="7"/>
  <c r="E156" i="7"/>
  <c r="M52" i="7"/>
  <c r="R16" i="2"/>
  <c r="D258" i="4"/>
  <c r="P62" i="7"/>
  <c r="N30" i="4"/>
  <c r="I72" i="9"/>
  <c r="T57" i="4"/>
  <c r="G125" i="7"/>
  <c r="G100" i="7"/>
  <c r="AV28" i="9"/>
  <c r="T71" i="7"/>
  <c r="AH11" i="2"/>
  <c r="F243" i="7"/>
  <c r="AO101" i="9"/>
  <c r="W34" i="9"/>
  <c r="K207" i="4"/>
  <c r="D201" i="7"/>
  <c r="D15" i="2"/>
  <c r="D96" i="7"/>
  <c r="M68" i="9"/>
  <c r="N31" i="9"/>
  <c r="C41" i="9"/>
  <c r="M269" i="4"/>
  <c r="M271" i="7"/>
  <c r="P76" i="9"/>
  <c r="W43" i="7"/>
  <c r="K100" i="2"/>
  <c r="M39" i="7"/>
  <c r="B37" i="9"/>
  <c r="AJ56" i="9"/>
  <c r="I110" i="2"/>
  <c r="J32" i="7"/>
  <c r="N88" i="9"/>
  <c r="O176" i="4"/>
  <c r="Q102" i="2"/>
  <c r="AT109" i="9"/>
  <c r="AY45" i="9"/>
  <c r="O181" i="4"/>
  <c r="P55" i="9"/>
  <c r="Q22" i="7"/>
  <c r="B28" i="9"/>
  <c r="E190" i="4"/>
  <c r="N214" i="7"/>
  <c r="F21" i="2"/>
  <c r="N170" i="7"/>
  <c r="Q75" i="7"/>
  <c r="I46" i="4"/>
  <c r="M230" i="4"/>
  <c r="AJ62" i="9"/>
  <c r="L181" i="7"/>
  <c r="C86" i="9"/>
  <c r="K223" i="4"/>
  <c r="I73" i="7"/>
  <c r="P109" i="4"/>
  <c r="R69" i="9"/>
  <c r="O233" i="4"/>
  <c r="B87" i="2"/>
  <c r="F96" i="7"/>
  <c r="E248" i="4"/>
  <c r="F54" i="9"/>
  <c r="E71" i="2"/>
  <c r="E110" i="2"/>
  <c r="C263" i="4"/>
  <c r="F161" i="7"/>
  <c r="O46" i="9"/>
  <c r="F191" i="7"/>
  <c r="U30" i="7"/>
  <c r="AZ60" i="9"/>
  <c r="D162" i="4"/>
  <c r="D52" i="2"/>
  <c r="B175" i="7"/>
  <c r="V40" i="7"/>
  <c r="F46" i="9"/>
  <c r="R74" i="2"/>
  <c r="AI60" i="9"/>
  <c r="D87" i="4"/>
  <c r="K95" i="7"/>
  <c r="N141" i="4"/>
  <c r="I90" i="7"/>
  <c r="L103" i="2"/>
  <c r="B79" i="4"/>
  <c r="M254" i="7"/>
  <c r="N131" i="7"/>
  <c r="B138" i="7"/>
  <c r="M89" i="4"/>
  <c r="AK33" i="9"/>
  <c r="B78" i="2"/>
  <c r="BC37" i="9"/>
  <c r="D113" i="2"/>
  <c r="Q33" i="2"/>
  <c r="M264" i="7"/>
  <c r="D159" i="7"/>
  <c r="R95" i="7"/>
  <c r="B105" i="9"/>
  <c r="AI79" i="9"/>
  <c r="O46" i="4"/>
  <c r="K11" i="2"/>
  <c r="H263" i="7"/>
  <c r="G191" i="7"/>
  <c r="C65" i="7"/>
  <c r="N98" i="4"/>
  <c r="I43" i="2"/>
  <c r="H162" i="4"/>
  <c r="D64" i="2"/>
  <c r="L47" i="9"/>
  <c r="R46" i="2"/>
  <c r="I34" i="9"/>
  <c r="G49" i="2"/>
  <c r="B60" i="4"/>
  <c r="C80" i="2"/>
  <c r="D102" i="4"/>
  <c r="AN74" i="9"/>
  <c r="BH3" i="9"/>
  <c r="T41" i="7"/>
  <c r="B249" i="7"/>
  <c r="J100" i="2"/>
  <c r="N47" i="7"/>
  <c r="F260" i="7"/>
  <c r="AI52" i="9"/>
  <c r="B206" i="7"/>
  <c r="K94" i="2"/>
  <c r="D96" i="4"/>
  <c r="L272" i="4"/>
  <c r="H106" i="2"/>
  <c r="M116" i="7"/>
  <c r="N94" i="9"/>
  <c r="H122" i="4"/>
  <c r="H155" i="4"/>
  <c r="E211" i="4"/>
  <c r="AX83" i="9"/>
  <c r="G84" i="2"/>
  <c r="G60" i="9"/>
  <c r="K83" i="2"/>
  <c r="G31" i="9"/>
  <c r="K264" i="4"/>
  <c r="B181" i="7"/>
  <c r="Y27" i="9"/>
  <c r="F53" i="4"/>
  <c r="F32" i="2"/>
  <c r="J61" i="4"/>
  <c r="Q62" i="2"/>
  <c r="B55" i="7"/>
  <c r="H135" i="7"/>
  <c r="M103" i="4"/>
  <c r="E43" i="2"/>
  <c r="G89" i="2"/>
  <c r="AV75" i="9"/>
  <c r="BB56" i="9"/>
  <c r="P71" i="4"/>
  <c r="R98" i="4"/>
  <c r="H48" i="7"/>
  <c r="K119" i="7"/>
  <c r="Y29" i="9"/>
  <c r="J106" i="4"/>
  <c r="AB29" i="2"/>
  <c r="H255" i="7"/>
  <c r="N161" i="4"/>
  <c r="H101" i="9"/>
  <c r="D227" i="4"/>
  <c r="N237" i="4"/>
  <c r="O103" i="4"/>
  <c r="K222" i="7"/>
  <c r="I45" i="7"/>
  <c r="L160" i="4"/>
  <c r="I87" i="2"/>
  <c r="L115" i="4"/>
  <c r="M174" i="4"/>
  <c r="O82" i="4"/>
  <c r="F155" i="4"/>
  <c r="E244" i="4"/>
  <c r="E44" i="4"/>
  <c r="D99" i="7"/>
  <c r="N268" i="7"/>
  <c r="BB88" i="9"/>
  <c r="T79" i="4"/>
  <c r="K143" i="4"/>
  <c r="M209" i="4"/>
  <c r="H71" i="4"/>
  <c r="J67" i="9"/>
  <c r="BD42" i="9"/>
  <c r="M93" i="2"/>
  <c r="M79" i="7"/>
  <c r="K46" i="2"/>
  <c r="G178" i="4"/>
  <c r="D253" i="7"/>
  <c r="I79" i="9"/>
  <c r="D42" i="9"/>
  <c r="R101" i="2"/>
  <c r="D191" i="7"/>
  <c r="T69" i="2"/>
  <c r="P81" i="7"/>
  <c r="N52" i="9"/>
  <c r="N63" i="9"/>
  <c r="G135" i="7"/>
  <c r="C52" i="2"/>
  <c r="N259" i="7"/>
  <c r="F249" i="4"/>
  <c r="N104" i="2"/>
  <c r="R83" i="2"/>
  <c r="P94" i="4"/>
  <c r="AU105" i="9"/>
  <c r="M38" i="4"/>
  <c r="C167" i="7"/>
  <c r="AR69" i="9"/>
  <c r="AE11" i="2"/>
  <c r="H96" i="4"/>
  <c r="U53" i="4"/>
  <c r="P44" i="9"/>
  <c r="O75" i="7"/>
  <c r="L117" i="4"/>
  <c r="AU46" i="9"/>
  <c r="AN93" i="9"/>
  <c r="D219" i="4"/>
  <c r="N91" i="9"/>
  <c r="K238" i="7"/>
  <c r="F49" i="9"/>
  <c r="F88" i="2"/>
  <c r="AJ86" i="9"/>
  <c r="C141" i="7"/>
  <c r="K103" i="4"/>
  <c r="D96" i="9"/>
  <c r="M164" i="4"/>
  <c r="L53" i="9"/>
  <c r="AN106" i="9"/>
  <c r="P62" i="2"/>
  <c r="M41" i="9"/>
  <c r="O225" i="4"/>
  <c r="T76" i="9"/>
  <c r="B229" i="7"/>
  <c r="AT74" i="9"/>
  <c r="N75" i="9"/>
  <c r="C267" i="4"/>
  <c r="N130" i="4"/>
  <c r="D84" i="4"/>
  <c r="M230" i="7"/>
  <c r="M63" i="2"/>
  <c r="P74" i="4"/>
  <c r="F262" i="4"/>
  <c r="AW82" i="9"/>
  <c r="J65" i="2"/>
  <c r="R23" i="7"/>
  <c r="F123" i="4"/>
  <c r="O109" i="9"/>
  <c r="L70" i="2"/>
  <c r="Q69" i="7"/>
  <c r="G104" i="4"/>
  <c r="K67" i="7"/>
  <c r="F136" i="7"/>
  <c r="AI101" i="9"/>
  <c r="T48" i="7"/>
  <c r="U22" i="7"/>
  <c r="G45" i="7"/>
  <c r="AO87" i="9"/>
  <c r="D68" i="7"/>
  <c r="BC21" i="9"/>
  <c r="F39" i="2"/>
  <c r="R46" i="4"/>
  <c r="O45" i="4"/>
  <c r="K30" i="7"/>
  <c r="Z3" i="9"/>
  <c r="O36" i="7"/>
  <c r="G122" i="7"/>
  <c r="D117" i="7"/>
  <c r="AW69" i="9"/>
  <c r="K37" i="9"/>
  <c r="AE24" i="9"/>
  <c r="E86" i="4"/>
  <c r="C166" i="7"/>
  <c r="AI69" i="9"/>
  <c r="I96" i="9"/>
  <c r="H107" i="4"/>
  <c r="G30" i="4"/>
  <c r="AN35" i="9"/>
  <c r="N56" i="2"/>
  <c r="E199" i="4"/>
  <c r="F95" i="7"/>
  <c r="H181" i="7"/>
  <c r="T86" i="4"/>
  <c r="E66" i="9"/>
  <c r="E105" i="9"/>
  <c r="M267" i="4"/>
  <c r="AP54" i="9"/>
  <c r="B186" i="7"/>
  <c r="G66" i="2"/>
  <c r="M197" i="7"/>
  <c r="U51" i="2"/>
  <c r="M127" i="4"/>
  <c r="J55" i="7"/>
  <c r="K32" i="9"/>
  <c r="C66" i="2"/>
  <c r="K176" i="4"/>
  <c r="O218" i="4"/>
  <c r="K187" i="7"/>
  <c r="M83" i="9"/>
  <c r="H246" i="4"/>
  <c r="E233" i="7"/>
  <c r="C181" i="4"/>
  <c r="AW55" i="9"/>
  <c r="B274" i="7"/>
  <c r="H152" i="4"/>
  <c r="D62" i="4"/>
  <c r="F253" i="4"/>
  <c r="C66" i="7"/>
  <c r="L196" i="7"/>
  <c r="M46" i="2"/>
  <c r="L97" i="4"/>
  <c r="B81" i="9"/>
  <c r="D213" i="7"/>
  <c r="D192" i="4"/>
  <c r="L167" i="7"/>
  <c r="M71" i="4"/>
  <c r="J72" i="7"/>
  <c r="F62" i="7"/>
  <c r="T72" i="9"/>
  <c r="Z29" i="2"/>
  <c r="AU98" i="9"/>
  <c r="B107" i="2"/>
  <c r="E213" i="7"/>
  <c r="L176" i="4"/>
  <c r="M58" i="2"/>
  <c r="I93" i="7"/>
  <c r="F131" i="4"/>
  <c r="F195" i="4"/>
  <c r="U87" i="4"/>
  <c r="G68" i="2"/>
  <c r="O62" i="9"/>
  <c r="L188" i="4"/>
  <c r="P44" i="2"/>
  <c r="R76" i="4"/>
  <c r="K118" i="7"/>
  <c r="F211" i="4"/>
  <c r="AB30" i="2"/>
  <c r="F212" i="7"/>
  <c r="N154" i="7"/>
  <c r="AM89" i="9"/>
  <c r="K197" i="7"/>
  <c r="D109" i="4"/>
  <c r="AV92" i="9"/>
  <c r="AP79" i="9"/>
  <c r="D195" i="7"/>
  <c r="N262" i="4"/>
  <c r="E52" i="2"/>
  <c r="L133" i="7"/>
  <c r="K220" i="7"/>
  <c r="M194" i="4"/>
  <c r="D62" i="9"/>
  <c r="F128" i="4"/>
  <c r="D112" i="7"/>
  <c r="J43" i="9"/>
  <c r="F180" i="7"/>
  <c r="L122" i="4"/>
  <c r="E116" i="4"/>
  <c r="AM72" i="9"/>
  <c r="D104" i="2"/>
  <c r="T92" i="2"/>
  <c r="L106" i="7"/>
  <c r="N168" i="7"/>
  <c r="D76" i="9"/>
  <c r="H62" i="2"/>
  <c r="C149" i="7"/>
  <c r="J49" i="4"/>
  <c r="F137" i="7"/>
  <c r="J94" i="4"/>
  <c r="G184" i="7"/>
  <c r="H107" i="2"/>
  <c r="F47" i="7"/>
  <c r="L139" i="4"/>
  <c r="E133" i="4"/>
  <c r="AM82" i="9"/>
  <c r="C259" i="4"/>
  <c r="O80" i="4"/>
  <c r="AV67" i="9"/>
  <c r="L79" i="4"/>
  <c r="N136" i="4"/>
  <c r="M237" i="4"/>
  <c r="M198" i="4"/>
  <c r="I87" i="9"/>
  <c r="AT92" i="9"/>
  <c r="J102" i="2"/>
  <c r="E171" i="4"/>
  <c r="E108" i="2"/>
  <c r="E229" i="4"/>
  <c r="C254" i="7"/>
  <c r="F259" i="4"/>
  <c r="G71" i="2"/>
  <c r="D65" i="7"/>
  <c r="G105" i="2"/>
  <c r="K224" i="7"/>
  <c r="L66" i="9"/>
  <c r="AW59" i="9"/>
  <c r="E91" i="9"/>
  <c r="H221" i="7"/>
  <c r="R46" i="7"/>
  <c r="J80" i="4"/>
  <c r="B101" i="4"/>
  <c r="AZ21" i="9"/>
  <c r="M119" i="7"/>
  <c r="H97" i="9"/>
  <c r="T84" i="4"/>
  <c r="N234" i="4"/>
  <c r="F86" i="2"/>
  <c r="C169" i="4"/>
  <c r="G79" i="4"/>
  <c r="H68" i="4"/>
  <c r="D103" i="7"/>
  <c r="N210" i="7"/>
  <c r="K90" i="7"/>
  <c r="AT72" i="9"/>
  <c r="C68" i="4"/>
  <c r="N143" i="4"/>
  <c r="U19" i="9"/>
  <c r="E201" i="7"/>
  <c r="AO64" i="9"/>
  <c r="H3" i="4"/>
  <c r="Q84" i="7"/>
  <c r="M59" i="4"/>
  <c r="H81" i="9"/>
  <c r="D90" i="9"/>
  <c r="M235" i="7"/>
  <c r="N168" i="4"/>
  <c r="D104" i="4"/>
  <c r="O100" i="4"/>
  <c r="B73" i="7"/>
  <c r="F61" i="7"/>
  <c r="D85" i="2"/>
  <c r="D72" i="4"/>
  <c r="P111" i="2"/>
  <c r="N134" i="7"/>
  <c r="H32" i="7"/>
  <c r="E180" i="7"/>
  <c r="G107" i="4"/>
  <c r="E88" i="4"/>
  <c r="AI72" i="9"/>
  <c r="N226" i="7"/>
  <c r="P58" i="9"/>
  <c r="K234" i="4"/>
  <c r="E71" i="7"/>
  <c r="N208" i="7"/>
  <c r="M122" i="7"/>
  <c r="Q54" i="7"/>
  <c r="AZ50" i="9"/>
  <c r="U87" i="7"/>
  <c r="J83" i="7"/>
  <c r="G164" i="7"/>
  <c r="F241" i="7"/>
  <c r="C208" i="4"/>
  <c r="J91" i="7"/>
  <c r="B74" i="7"/>
  <c r="G192" i="4"/>
  <c r="AM18" i="9"/>
  <c r="AT33" i="9"/>
  <c r="N244" i="7"/>
  <c r="E270" i="4"/>
  <c r="N41" i="4"/>
  <c r="BB40" i="9"/>
  <c r="AG20" i="2"/>
  <c r="C25" i="4"/>
  <c r="K146" i="4"/>
  <c r="L120" i="4"/>
  <c r="I66" i="7"/>
  <c r="M114" i="4"/>
  <c r="D34" i="9"/>
  <c r="D173" i="4"/>
  <c r="K264" i="7"/>
  <c r="D208" i="7"/>
  <c r="H78" i="2"/>
  <c r="N201" i="7"/>
  <c r="G95" i="2"/>
  <c r="H125" i="4"/>
  <c r="M66" i="2"/>
  <c r="E123" i="4"/>
  <c r="H88" i="7"/>
  <c r="M199" i="7"/>
  <c r="O184" i="4"/>
  <c r="G118" i="4"/>
  <c r="BB81" i="9"/>
  <c r="AX36" i="9"/>
  <c r="I64" i="9"/>
  <c r="K237" i="4"/>
  <c r="E83" i="7"/>
  <c r="H183" i="7"/>
  <c r="R81" i="7"/>
  <c r="C235" i="7"/>
  <c r="O270" i="4"/>
  <c r="K64" i="2"/>
  <c r="F98" i="4"/>
  <c r="AT3" i="9"/>
  <c r="P71" i="7"/>
  <c r="K91" i="2"/>
  <c r="O115" i="4"/>
  <c r="F80" i="2"/>
  <c r="Y27" i="2"/>
  <c r="P95" i="7"/>
  <c r="B38" i="7"/>
  <c r="AY70" i="9"/>
  <c r="B72" i="7"/>
  <c r="I78" i="4"/>
  <c r="F223" i="4"/>
  <c r="D92" i="4"/>
  <c r="H185" i="7"/>
  <c r="O180" i="4"/>
  <c r="C126" i="7"/>
  <c r="N65" i="4"/>
  <c r="F106" i="4"/>
  <c r="AM93" i="9"/>
  <c r="M273" i="7"/>
  <c r="E96" i="4"/>
  <c r="B106" i="9"/>
  <c r="B85" i="2"/>
  <c r="O58" i="7"/>
  <c r="L185" i="7"/>
  <c r="H92" i="2"/>
  <c r="P78" i="7"/>
  <c r="O108" i="2"/>
  <c r="C78" i="4"/>
  <c r="F65" i="2"/>
  <c r="M85" i="4"/>
  <c r="E41" i="9"/>
  <c r="F55" i="4"/>
  <c r="O196" i="4"/>
  <c r="P79" i="9"/>
  <c r="C60" i="2"/>
  <c r="N77" i="9"/>
  <c r="R77" i="4"/>
  <c r="G83" i="4"/>
  <c r="K39" i="7"/>
  <c r="E180" i="4"/>
  <c r="E69" i="9"/>
  <c r="D180" i="4"/>
  <c r="J68" i="9"/>
  <c r="R92" i="2"/>
  <c r="N184" i="7"/>
  <c r="O149" i="4"/>
  <c r="Q84" i="2"/>
  <c r="E46" i="2"/>
  <c r="I51" i="7"/>
  <c r="H199" i="7"/>
  <c r="F170" i="7"/>
  <c r="N147" i="4"/>
  <c r="H206" i="7"/>
  <c r="C35" i="2"/>
  <c r="K26" i="7"/>
  <c r="D88" i="2"/>
  <c r="K171" i="4"/>
  <c r="B99" i="4"/>
  <c r="F275" i="4"/>
  <c r="AV58" i="9"/>
  <c r="E139" i="4"/>
  <c r="L45" i="2"/>
  <c r="O81" i="2"/>
  <c r="H147" i="7"/>
  <c r="N47" i="2"/>
  <c r="L81" i="7"/>
  <c r="H208" i="7"/>
  <c r="AK38" i="9"/>
  <c r="E241" i="4"/>
  <c r="AQ71" i="9"/>
  <c r="K234" i="7"/>
  <c r="I38" i="2"/>
  <c r="K213" i="4"/>
  <c r="N105" i="9"/>
  <c r="T50" i="2"/>
  <c r="L132" i="4"/>
  <c r="E223" i="7"/>
  <c r="E65" i="9"/>
  <c r="AB25" i="2"/>
  <c r="N73" i="4"/>
  <c r="N140" i="4"/>
  <c r="N105" i="7"/>
  <c r="K57" i="7"/>
  <c r="U36" i="4"/>
  <c r="K95" i="4"/>
  <c r="L127" i="4"/>
  <c r="C25" i="9"/>
  <c r="J63" i="2"/>
  <c r="L274" i="4"/>
  <c r="L53" i="2"/>
  <c r="G223" i="4"/>
  <c r="P88" i="7"/>
  <c r="G255" i="4"/>
  <c r="T57" i="2"/>
  <c r="H98" i="2"/>
  <c r="G143" i="4"/>
  <c r="F188" i="7"/>
  <c r="M154" i="7"/>
  <c r="L35" i="2"/>
  <c r="L105" i="7"/>
  <c r="B171" i="7"/>
  <c r="E96" i="9"/>
  <c r="N224" i="7"/>
  <c r="G212" i="7"/>
  <c r="M223" i="7"/>
  <c r="E47" i="7"/>
  <c r="D136" i="4"/>
  <c r="T33" i="7"/>
  <c r="F265" i="4"/>
  <c r="Q85" i="2"/>
  <c r="N137" i="7"/>
  <c r="K63" i="9"/>
  <c r="L161" i="4"/>
  <c r="O45" i="2"/>
  <c r="M173" i="7"/>
  <c r="U44" i="9"/>
  <c r="M89" i="2"/>
  <c r="Q59" i="7"/>
  <c r="B76" i="7"/>
  <c r="J45" i="2"/>
  <c r="Q55" i="7"/>
  <c r="E80" i="4"/>
  <c r="B57" i="7"/>
  <c r="L136" i="7"/>
  <c r="AT110" i="9"/>
  <c r="H106" i="4"/>
  <c r="U89" i="4"/>
  <c r="R102" i="4"/>
  <c r="Q75" i="4"/>
  <c r="G101" i="2"/>
  <c r="K77" i="7"/>
  <c r="M88" i="4"/>
  <c r="C63" i="9"/>
  <c r="F92" i="9"/>
  <c r="B113" i="2"/>
  <c r="H195" i="4"/>
  <c r="G80" i="2"/>
  <c r="E35" i="9"/>
  <c r="AJ83" i="9"/>
  <c r="L69" i="9"/>
  <c r="J21" i="2"/>
  <c r="AT39" i="9"/>
  <c r="H87" i="4"/>
  <c r="E262" i="4"/>
  <c r="K64" i="4"/>
  <c r="F227" i="7"/>
  <c r="B148" i="7"/>
  <c r="L260" i="4"/>
  <c r="H268" i="4"/>
  <c r="T66" i="2"/>
  <c r="R51" i="2"/>
  <c r="N113" i="7"/>
  <c r="I69" i="4"/>
  <c r="L101" i="9"/>
  <c r="P61" i="9"/>
  <c r="M95" i="4"/>
  <c r="L61" i="9"/>
  <c r="U37" i="2"/>
  <c r="K199" i="4"/>
  <c r="F59" i="14" l="1"/>
  <c r="F64" i="14"/>
  <c r="F38" i="13"/>
  <c r="F72" i="14"/>
  <c r="CI83" i="9"/>
  <c r="E33" i="14"/>
  <c r="C61" i="14"/>
  <c r="C66" i="14"/>
  <c r="AR57" i="7"/>
  <c r="B55" i="18"/>
  <c r="AR76" i="7"/>
  <c r="H31" i="18"/>
  <c r="E45" i="18"/>
  <c r="C23" i="14"/>
  <c r="E63" i="14"/>
  <c r="E68" i="14"/>
  <c r="C37" i="13"/>
  <c r="E72" i="14"/>
  <c r="E39" i="14"/>
  <c r="CJ106" i="9"/>
  <c r="AR72" i="7"/>
  <c r="AR38" i="7"/>
  <c r="B36" i="18"/>
  <c r="F2" i="13"/>
  <c r="D32" i="14"/>
  <c r="H39" i="13"/>
  <c r="F32" i="13"/>
  <c r="E17" i="13"/>
  <c r="AR74" i="7"/>
  <c r="AR73" i="7"/>
  <c r="F69" i="14"/>
  <c r="D63" i="18"/>
  <c r="D68" i="18"/>
  <c r="D65" i="14"/>
  <c r="D60" i="14"/>
  <c r="CJ81" i="9"/>
  <c r="C69" i="18"/>
  <c r="G53" i="13"/>
  <c r="E69" i="14"/>
  <c r="D71" i="18"/>
  <c r="H46" i="18"/>
  <c r="F51" i="14"/>
  <c r="CI86" i="9"/>
  <c r="G61" i="14"/>
  <c r="G66" i="14"/>
  <c r="G50" i="14"/>
  <c r="D40" i="14"/>
  <c r="H55" i="13"/>
  <c r="B53" i="18"/>
  <c r="AR55" i="7"/>
  <c r="G45" i="18"/>
  <c r="H39" i="18"/>
  <c r="F45" i="14"/>
  <c r="C63" i="18"/>
  <c r="C68" i="18"/>
  <c r="CJ105" i="9"/>
  <c r="C32" i="13"/>
  <c r="B66" i="13"/>
  <c r="CI62" i="9"/>
  <c r="B61" i="13"/>
  <c r="B26" i="14"/>
  <c r="CJ28" i="9"/>
  <c r="CI56" i="9"/>
  <c r="B55" i="13"/>
  <c r="B35" i="14"/>
  <c r="CJ37" i="9"/>
  <c r="C39" i="14"/>
  <c r="G29" i="14"/>
  <c r="C19" i="14"/>
  <c r="D49" i="18"/>
  <c r="G2" i="18"/>
  <c r="D13" i="14"/>
  <c r="D36" i="13"/>
  <c r="CI85" i="9"/>
  <c r="H37" i="14"/>
  <c r="H34" i="14"/>
  <c r="B66" i="18"/>
  <c r="B61" i="18"/>
  <c r="AR63" i="7"/>
  <c r="B49" i="18"/>
  <c r="AR51" i="7"/>
  <c r="G67" i="14"/>
  <c r="G62" i="14"/>
  <c r="C62" i="14"/>
  <c r="C67" i="14"/>
  <c r="H57" i="14"/>
  <c r="C42" i="14"/>
  <c r="CJ75" i="9"/>
  <c r="C48" i="14"/>
  <c r="CI37" i="9"/>
  <c r="CK37" i="9" s="1"/>
  <c r="B36" i="13"/>
  <c r="CJ99" i="9"/>
  <c r="E55" i="13"/>
  <c r="CI60" i="9"/>
  <c r="B59" i="13"/>
  <c r="C40" i="18"/>
  <c r="C69" i="14"/>
  <c r="H59" i="14"/>
  <c r="H64" i="14"/>
  <c r="CI104" i="9"/>
  <c r="AR83" i="7"/>
  <c r="F57" i="18"/>
  <c r="C41" i="14"/>
  <c r="C35" i="13"/>
  <c r="D32" i="13"/>
  <c r="D37" i="14"/>
  <c r="C29" i="18"/>
  <c r="D68" i="14"/>
  <c r="D63" i="14"/>
  <c r="D2" i="14"/>
  <c r="AR46" i="7"/>
  <c r="B44" i="18"/>
  <c r="D55" i="14"/>
  <c r="D49" i="14"/>
  <c r="H70" i="18"/>
  <c r="F45" i="13"/>
  <c r="E69" i="18"/>
  <c r="F70" i="14"/>
  <c r="G32" i="13"/>
  <c r="CI80" i="9"/>
  <c r="C72" i="18"/>
  <c r="G57" i="18"/>
  <c r="G41" i="13"/>
  <c r="CJ80" i="9"/>
  <c r="CL80" i="9" s="1"/>
  <c r="C52" i="13"/>
  <c r="D57" i="14"/>
  <c r="AR85" i="7"/>
  <c r="D42" i="14"/>
  <c r="C37" i="18"/>
  <c r="G57" i="13"/>
  <c r="G45" i="14"/>
  <c r="B44" i="14"/>
  <c r="CJ46" i="9"/>
  <c r="E63" i="18"/>
  <c r="E68" i="18"/>
  <c r="AR105" i="7"/>
  <c r="CJ103" i="9"/>
  <c r="H40" i="14"/>
  <c r="F67" i="18"/>
  <c r="F62" i="18"/>
  <c r="E68" i="13"/>
  <c r="E63" i="13"/>
  <c r="D39" i="13"/>
  <c r="AR60" i="7"/>
  <c r="B58" i="18"/>
  <c r="H63" i="14"/>
  <c r="H68" i="14"/>
  <c r="CJ79" i="9"/>
  <c r="D38" i="18"/>
  <c r="B54" i="18"/>
  <c r="AR56" i="7"/>
  <c r="AS56" i="7" s="1"/>
  <c r="C31" i="14"/>
  <c r="F65" i="18"/>
  <c r="F60" i="18"/>
  <c r="D54" i="18"/>
  <c r="E41" i="14"/>
  <c r="F39" i="18"/>
  <c r="B60" i="18"/>
  <c r="AR62" i="7"/>
  <c r="AS62" i="7" s="1"/>
  <c r="B65" i="18"/>
  <c r="CJ78" i="9"/>
  <c r="F50" i="13"/>
  <c r="H61" i="13"/>
  <c r="H66" i="13"/>
  <c r="E66" i="13"/>
  <c r="E61" i="13"/>
  <c r="G51" i="14"/>
  <c r="F59" i="18"/>
  <c r="F64" i="18"/>
  <c r="D44" i="18"/>
  <c r="B72" i="14"/>
  <c r="CJ69" i="9"/>
  <c r="F44" i="18"/>
  <c r="CJ39" i="9"/>
  <c r="B37" i="14"/>
  <c r="G33" i="14"/>
  <c r="F36" i="13"/>
  <c r="AR97" i="7"/>
  <c r="E36" i="14"/>
  <c r="E37" i="14"/>
  <c r="F43" i="13"/>
  <c r="E60" i="14"/>
  <c r="E65" i="14"/>
  <c r="F57" i="14"/>
  <c r="H24" i="13"/>
  <c r="E40" i="13"/>
  <c r="F46" i="13"/>
  <c r="C52" i="18"/>
  <c r="H36" i="14"/>
  <c r="E43" i="13"/>
  <c r="D72" i="18"/>
  <c r="E69" i="13"/>
  <c r="E64" i="13"/>
  <c r="E34" i="18"/>
  <c r="C43" i="13"/>
  <c r="F48" i="13"/>
  <c r="B53" i="14"/>
  <c r="CJ55" i="9"/>
  <c r="C38" i="18"/>
  <c r="F25" i="13"/>
  <c r="D42" i="13"/>
  <c r="CI73" i="9"/>
  <c r="D56" i="14"/>
  <c r="B42" i="18"/>
  <c r="AR44" i="7"/>
  <c r="D54" i="14"/>
  <c r="E53" i="14"/>
  <c r="C39" i="18"/>
  <c r="C71" i="18"/>
  <c r="E58" i="13"/>
  <c r="AR25" i="7"/>
  <c r="B23" i="18"/>
  <c r="G26" i="13"/>
  <c r="H60" i="13"/>
  <c r="H65" i="13"/>
  <c r="H17" i="13"/>
  <c r="G16" i="18"/>
  <c r="D7" i="14"/>
  <c r="E48" i="13"/>
  <c r="E48" i="18"/>
  <c r="AR107" i="7"/>
  <c r="F46" i="18"/>
  <c r="AR71" i="7"/>
  <c r="AS71" i="7" s="1"/>
  <c r="H67" i="14"/>
  <c r="H62" i="14"/>
  <c r="C47" i="18"/>
  <c r="G55" i="13"/>
  <c r="E48" i="14"/>
  <c r="G45" i="13"/>
  <c r="C51" i="13"/>
  <c r="D33" i="13"/>
  <c r="CJ62" i="9"/>
  <c r="B60" i="14"/>
  <c r="B65" i="14"/>
  <c r="AR81" i="7"/>
  <c r="G50" i="13"/>
  <c r="B65" i="13"/>
  <c r="B60" i="13"/>
  <c r="CI61" i="9"/>
  <c r="E44" i="18"/>
  <c r="D56" i="13"/>
  <c r="G37" i="14"/>
  <c r="G53" i="14"/>
  <c r="G71" i="14"/>
  <c r="E67" i="13"/>
  <c r="E62" i="13"/>
  <c r="CJ100" i="9"/>
  <c r="G40" i="14"/>
  <c r="D71" i="13"/>
  <c r="H53" i="14"/>
  <c r="G58" i="18"/>
  <c r="AR89" i="7"/>
  <c r="F69" i="13"/>
  <c r="F64" i="13"/>
  <c r="AR90" i="7"/>
  <c r="H45" i="13"/>
  <c r="F63" i="13"/>
  <c r="F68" i="13"/>
  <c r="F47" i="13"/>
  <c r="C43" i="14"/>
  <c r="E51" i="14"/>
  <c r="D44" i="13"/>
  <c r="F37" i="18"/>
  <c r="G35" i="14"/>
  <c r="D46" i="14"/>
  <c r="CI90" i="9"/>
  <c r="AR75" i="7"/>
  <c r="AS75" i="7" s="1"/>
  <c r="AR104" i="7"/>
  <c r="AS104" i="7" s="1"/>
  <c r="F69" i="18"/>
  <c r="CJ90" i="9"/>
  <c r="CL90" i="9" s="1"/>
  <c r="CJ102" i="9"/>
  <c r="C71" i="13"/>
  <c r="F36" i="18"/>
  <c r="F42" i="14"/>
  <c r="F48" i="18"/>
  <c r="G68" i="18"/>
  <c r="G63" i="18"/>
  <c r="D34" i="13"/>
  <c r="D50" i="18"/>
  <c r="CJ98" i="9"/>
  <c r="CI40" i="9"/>
  <c r="B39" i="13"/>
  <c r="H49" i="14"/>
  <c r="F32" i="14"/>
  <c r="E71" i="18"/>
  <c r="CI51" i="9"/>
  <c r="B50" i="13"/>
  <c r="C28" i="13"/>
  <c r="CI20" i="9"/>
  <c r="B19" i="13"/>
  <c r="G70" i="14"/>
  <c r="H44" i="14"/>
  <c r="H25" i="14"/>
  <c r="D30" i="18"/>
  <c r="CJ64" i="9"/>
  <c r="B62" i="14"/>
  <c r="B67" i="14"/>
  <c r="B52" i="18"/>
  <c r="AR54" i="7"/>
  <c r="H35" i="18"/>
  <c r="G48" i="14"/>
  <c r="D59" i="18"/>
  <c r="D64" i="18"/>
  <c r="F71" i="18"/>
  <c r="F30" i="13"/>
  <c r="H45" i="14"/>
  <c r="D69" i="14"/>
  <c r="CJ52" i="9"/>
  <c r="B50" i="14"/>
  <c r="G42" i="13"/>
  <c r="D62" i="14"/>
  <c r="D67" i="14"/>
  <c r="G48" i="13"/>
  <c r="E54" i="13"/>
  <c r="H52" i="13"/>
  <c r="G55" i="18"/>
  <c r="F45" i="18"/>
  <c r="B63" i="14"/>
  <c r="B68" i="14"/>
  <c r="CJ65" i="9"/>
  <c r="F54" i="14"/>
  <c r="E56" i="18"/>
  <c r="CI81" i="9"/>
  <c r="D27" i="14"/>
  <c r="C55" i="13"/>
  <c r="CJ38" i="9"/>
  <c r="B36" i="14"/>
  <c r="H2" i="13"/>
  <c r="E32" i="13"/>
  <c r="B51" i="18"/>
  <c r="AR53" i="7"/>
  <c r="AS53" i="7" s="1"/>
  <c r="D31" i="18"/>
  <c r="G22" i="14"/>
  <c r="AR91" i="7"/>
  <c r="D18" i="18"/>
  <c r="E26" i="14"/>
  <c r="B57" i="13"/>
  <c r="CI58" i="9"/>
  <c r="D65" i="13"/>
  <c r="D60" i="13"/>
  <c r="G56" i="18"/>
  <c r="D70" i="14"/>
  <c r="C32" i="14"/>
  <c r="D46" i="13"/>
  <c r="CJ76" i="9"/>
  <c r="H51" i="18"/>
  <c r="E41" i="13"/>
  <c r="F68" i="14"/>
  <c r="F63" i="14"/>
  <c r="D46" i="18"/>
  <c r="C51" i="14"/>
  <c r="CI52" i="9"/>
  <c r="CK52" i="9" s="1"/>
  <c r="B51" i="13"/>
  <c r="B46" i="13"/>
  <c r="CI47" i="9"/>
  <c r="E59" i="13"/>
  <c r="AR41" i="7"/>
  <c r="B39" i="18"/>
  <c r="CJ87" i="9"/>
  <c r="E55" i="18"/>
  <c r="H33" i="18"/>
  <c r="C20" i="18"/>
  <c r="E34" i="13"/>
  <c r="G56" i="14"/>
  <c r="H48" i="13"/>
  <c r="G42" i="14"/>
  <c r="CI43" i="9"/>
  <c r="B42" i="13"/>
  <c r="F39" i="14"/>
  <c r="G59" i="13"/>
  <c r="D70" i="18"/>
  <c r="AR61" i="7"/>
  <c r="B59" i="18"/>
  <c r="B64" i="18"/>
  <c r="CI95" i="9"/>
  <c r="H60" i="14"/>
  <c r="H65" i="14"/>
  <c r="C52" i="14"/>
  <c r="F66" i="13"/>
  <c r="F61" i="13"/>
  <c r="F35" i="13"/>
  <c r="G24" i="18"/>
  <c r="G71" i="13"/>
  <c r="E61" i="18"/>
  <c r="E66" i="18"/>
  <c r="E62" i="14"/>
  <c r="E67" i="14"/>
  <c r="E62" i="18"/>
  <c r="E67" i="18"/>
  <c r="CJ97" i="9"/>
  <c r="C18" i="14"/>
  <c r="B47" i="13"/>
  <c r="CI48" i="9"/>
  <c r="C30" i="13"/>
  <c r="H27" i="14"/>
  <c r="F30" i="18"/>
  <c r="G46" i="13"/>
  <c r="H47" i="18"/>
  <c r="H2" i="14"/>
  <c r="H28" i="18"/>
  <c r="AR48" i="7"/>
  <c r="B46" i="18"/>
  <c r="D50" i="13"/>
  <c r="D53" i="18"/>
  <c r="B28" i="18"/>
  <c r="AR30" i="7"/>
  <c r="H33" i="13"/>
  <c r="D24" i="13"/>
  <c r="G32" i="18"/>
  <c r="C48" i="13"/>
  <c r="C54" i="14"/>
  <c r="F58" i="13"/>
  <c r="B45" i="18"/>
  <c r="AR47" i="7"/>
  <c r="AR82" i="7"/>
  <c r="AS82" i="7" s="1"/>
  <c r="CJ107" i="9"/>
  <c r="CJ61" i="9"/>
  <c r="B59" i="14"/>
  <c r="B64" i="14"/>
  <c r="H54" i="14"/>
  <c r="B67" i="18"/>
  <c r="B62" i="18"/>
  <c r="AR64" i="7"/>
  <c r="C55" i="18"/>
  <c r="G67" i="18"/>
  <c r="G62" i="18"/>
  <c r="D65" i="18"/>
  <c r="D60" i="18"/>
  <c r="C70" i="14"/>
  <c r="CI82" i="9"/>
  <c r="H64" i="18"/>
  <c r="H59" i="18"/>
  <c r="B56" i="14"/>
  <c r="CJ58" i="9"/>
  <c r="CL58" i="9" s="1"/>
  <c r="AR96" i="7"/>
  <c r="E44" i="13"/>
  <c r="C44" i="18"/>
  <c r="D41" i="14"/>
  <c r="C55" i="14"/>
  <c r="H47" i="13"/>
  <c r="F56" i="14"/>
  <c r="D39" i="14"/>
  <c r="G30" i="13"/>
  <c r="AR88" i="7"/>
  <c r="AS88" i="7" s="1"/>
  <c r="CJ93" i="9"/>
  <c r="CI75" i="9"/>
  <c r="C70" i="13"/>
  <c r="C72" i="13"/>
  <c r="C59" i="13"/>
  <c r="G73" i="13"/>
  <c r="CJ41" i="9"/>
  <c r="B39" i="14"/>
  <c r="AR70" i="7"/>
  <c r="C2" i="13"/>
  <c r="G56" i="13"/>
  <c r="F56" i="13"/>
  <c r="C48" i="18"/>
  <c r="D56" i="18"/>
  <c r="D53" i="14"/>
  <c r="AR108" i="7"/>
  <c r="AR87" i="7"/>
  <c r="CI70" i="9"/>
  <c r="H51" i="13"/>
  <c r="H54" i="18"/>
  <c r="G52" i="18"/>
  <c r="H57" i="13"/>
  <c r="CI67" i="9"/>
  <c r="B71" i="13"/>
  <c r="F49" i="18"/>
  <c r="F63" i="18"/>
  <c r="F68" i="18"/>
  <c r="C71" i="14"/>
  <c r="H45" i="18"/>
  <c r="F65" i="14"/>
  <c r="F60" i="14"/>
  <c r="CI71" i="9"/>
  <c r="B47" i="14"/>
  <c r="CJ49" i="9"/>
  <c r="F55" i="18"/>
  <c r="G47" i="14"/>
  <c r="C31" i="18"/>
  <c r="C58" i="13"/>
  <c r="H50" i="18"/>
  <c r="D58" i="14"/>
  <c r="G31" i="18"/>
  <c r="CI102" i="9"/>
  <c r="B58" i="13"/>
  <c r="CI59" i="9"/>
  <c r="B33" i="13"/>
  <c r="CI34" i="9"/>
  <c r="F22" i="18"/>
  <c r="CI78" i="9"/>
  <c r="CK78" i="9" s="1"/>
  <c r="D48" i="13"/>
  <c r="F43" i="18"/>
  <c r="F54" i="18"/>
  <c r="E71" i="13"/>
  <c r="B38" i="18"/>
  <c r="AR40" i="7"/>
  <c r="G55" i="14"/>
  <c r="D33" i="18"/>
  <c r="CJ101" i="9"/>
  <c r="G43" i="18"/>
  <c r="C63" i="13"/>
  <c r="C68" i="13"/>
  <c r="H17" i="14"/>
  <c r="CI93" i="9"/>
  <c r="C72" i="14"/>
  <c r="C21" i="13"/>
  <c r="C53" i="18"/>
  <c r="E30" i="18"/>
  <c r="CI42" i="9"/>
  <c r="B41" i="13"/>
  <c r="H57" i="18"/>
  <c r="H70" i="14"/>
  <c r="G40" i="18"/>
  <c r="G54" i="14"/>
  <c r="F53" i="18"/>
  <c r="CI55" i="9"/>
  <c r="CK55" i="9" s="1"/>
  <c r="B54" i="13"/>
  <c r="D45" i="14"/>
  <c r="E45" i="14"/>
  <c r="D36" i="18"/>
  <c r="G25" i="13"/>
  <c r="E47" i="13"/>
  <c r="B22" i="14"/>
  <c r="CJ24" i="9"/>
  <c r="E35" i="13"/>
  <c r="E37" i="13"/>
  <c r="D54" i="13"/>
  <c r="D26" i="18"/>
  <c r="E52" i="13"/>
  <c r="D29" i="18"/>
  <c r="F61" i="18"/>
  <c r="F66" i="18"/>
  <c r="G16" i="13"/>
  <c r="E15" i="13"/>
  <c r="C46" i="14"/>
  <c r="C40" i="14"/>
  <c r="B57" i="14"/>
  <c r="CJ59" i="9"/>
  <c r="CL59" i="9" s="1"/>
  <c r="C34" i="14"/>
  <c r="C49" i="14"/>
  <c r="H42" i="18"/>
  <c r="AR86" i="7"/>
  <c r="D34" i="14"/>
  <c r="D22" i="14"/>
  <c r="AR69" i="7"/>
  <c r="AS69" i="7" s="1"/>
  <c r="B72" i="18"/>
  <c r="F38" i="14"/>
  <c r="G31" i="14"/>
  <c r="CJ73" i="9"/>
  <c r="AR52" i="7"/>
  <c r="B50" i="18"/>
  <c r="AR100" i="7"/>
  <c r="C53" i="14"/>
  <c r="D55" i="13"/>
  <c r="CJ50" i="9"/>
  <c r="B48" i="14"/>
  <c r="H48" i="14"/>
  <c r="G46" i="18"/>
  <c r="H36" i="18"/>
  <c r="AR37" i="7"/>
  <c r="B35" i="18"/>
  <c r="H69" i="18"/>
  <c r="H31" i="14"/>
  <c r="H44" i="13"/>
  <c r="H63" i="13"/>
  <c r="H68" i="13"/>
  <c r="F33" i="18"/>
  <c r="G27" i="13"/>
  <c r="C56" i="13"/>
  <c r="D28" i="18"/>
  <c r="H61" i="14"/>
  <c r="H66" i="14"/>
  <c r="G21" i="14"/>
  <c r="E57" i="18"/>
  <c r="H50" i="13"/>
  <c r="E51" i="18"/>
  <c r="D49" i="13"/>
  <c r="C39" i="13"/>
  <c r="AR45" i="7"/>
  <c r="B43" i="18"/>
  <c r="AR93" i="7"/>
  <c r="F20" i="13"/>
  <c r="CI101" i="9"/>
  <c r="CK101" i="9" s="1"/>
  <c r="E54" i="14"/>
  <c r="F41" i="18"/>
  <c r="H58" i="18"/>
  <c r="AR103" i="7"/>
  <c r="E33" i="18"/>
  <c r="D23" i="14"/>
  <c r="G36" i="18"/>
  <c r="B23" i="13"/>
  <c r="CI24" i="9"/>
  <c r="CK24" i="9" s="1"/>
  <c r="C65" i="13"/>
  <c r="C60" i="13"/>
  <c r="F73" i="13"/>
  <c r="CJ82" i="9"/>
  <c r="CL82" i="9" s="1"/>
  <c r="F29" i="13"/>
  <c r="E46" i="18"/>
  <c r="D44" i="14"/>
  <c r="E43" i="18"/>
  <c r="B40" i="13"/>
  <c r="CI41" i="9"/>
  <c r="C49" i="13"/>
  <c r="B52" i="14"/>
  <c r="CJ54" i="9"/>
  <c r="G49" i="13"/>
  <c r="H22" i="18"/>
  <c r="B38" i="14"/>
  <c r="CJ40" i="9"/>
  <c r="CL40" i="9" s="1"/>
  <c r="H28" i="13"/>
  <c r="E50" i="18"/>
  <c r="B28" i="14"/>
  <c r="CJ30" i="9"/>
  <c r="F58" i="18"/>
  <c r="F42" i="18"/>
  <c r="H54" i="13"/>
  <c r="D61" i="18"/>
  <c r="D66" i="18"/>
  <c r="G32" i="14"/>
  <c r="C29" i="14"/>
  <c r="CI76" i="9"/>
  <c r="CK76" i="9" s="1"/>
  <c r="C67" i="18"/>
  <c r="C62" i="18"/>
  <c r="G59" i="14"/>
  <c r="G64" i="14"/>
  <c r="H29" i="13"/>
  <c r="H21" i="14"/>
  <c r="CI21" i="9"/>
  <c r="B20" i="13"/>
  <c r="F71" i="13"/>
  <c r="F70" i="13"/>
  <c r="B17" i="13"/>
  <c r="CI18" i="9"/>
  <c r="G26" i="18"/>
  <c r="G69" i="13"/>
  <c r="G64" i="13"/>
  <c r="G21" i="13"/>
  <c r="C59" i="14"/>
  <c r="C64" i="14"/>
  <c r="F59" i="13"/>
  <c r="C64" i="13"/>
  <c r="C69" i="13"/>
  <c r="H60" i="18"/>
  <c r="H65" i="18"/>
  <c r="G27" i="14"/>
  <c r="D23" i="13"/>
  <c r="G60" i="18"/>
  <c r="G65" i="18"/>
  <c r="H61" i="18"/>
  <c r="H66" i="18"/>
  <c r="D38" i="14"/>
  <c r="H56" i="14"/>
  <c r="F54" i="13"/>
  <c r="B73" i="13"/>
  <c r="CI69" i="9"/>
  <c r="G34" i="14"/>
  <c r="C53" i="13"/>
  <c r="G43" i="13"/>
  <c r="F72" i="18"/>
  <c r="B70" i="18"/>
  <c r="AR67" i="7"/>
  <c r="CI97" i="9"/>
  <c r="G69" i="18"/>
  <c r="CJ67" i="9"/>
  <c r="B70" i="14"/>
  <c r="B54" i="14"/>
  <c r="CJ56" i="9"/>
  <c r="E42" i="13"/>
  <c r="D25" i="14"/>
  <c r="C61" i="18"/>
  <c r="C66" i="18"/>
  <c r="G72" i="13"/>
  <c r="H52" i="18"/>
  <c r="H72" i="18"/>
  <c r="H71" i="18"/>
  <c r="B33" i="14"/>
  <c r="CJ35" i="9"/>
  <c r="E73" i="13"/>
  <c r="B72" i="13"/>
  <c r="CI68" i="9"/>
  <c r="C27" i="14"/>
  <c r="E46" i="14"/>
  <c r="C56" i="18"/>
  <c r="CJ110" i="9"/>
  <c r="E52" i="14"/>
  <c r="E58" i="14"/>
  <c r="G30" i="14"/>
  <c r="B40" i="14"/>
  <c r="CJ42" i="9"/>
  <c r="CL42" i="9" s="1"/>
  <c r="F55" i="14"/>
  <c r="F49" i="13"/>
  <c r="AR49" i="7"/>
  <c r="B47" i="18"/>
  <c r="B48" i="18"/>
  <c r="AR50" i="7"/>
  <c r="AS50" i="7" s="1"/>
  <c r="D33" i="14"/>
  <c r="CI110" i="9"/>
  <c r="C70" i="18"/>
  <c r="E57" i="14"/>
  <c r="B63" i="18"/>
  <c r="AR65" i="7"/>
  <c r="B68" i="18"/>
  <c r="CJ94" i="9"/>
  <c r="F53" i="14"/>
  <c r="D21" i="18"/>
  <c r="F44" i="14"/>
  <c r="H51" i="14"/>
  <c r="B42" i="14"/>
  <c r="CJ44" i="9"/>
  <c r="H50" i="14"/>
  <c r="H43" i="14"/>
  <c r="E71" i="14"/>
  <c r="D72" i="13"/>
  <c r="B53" i="13"/>
  <c r="CI54" i="9"/>
  <c r="G61" i="18"/>
  <c r="G66" i="18"/>
  <c r="F21" i="13"/>
  <c r="H2" i="18"/>
  <c r="D73" i="13"/>
  <c r="H35" i="13"/>
  <c r="C45" i="13"/>
  <c r="D48" i="14"/>
  <c r="AR80" i="7"/>
  <c r="C19" i="13"/>
  <c r="F40" i="14"/>
  <c r="H41" i="13"/>
  <c r="H68" i="18"/>
  <c r="H63" i="18"/>
  <c r="E70" i="18"/>
  <c r="D58" i="13"/>
  <c r="C49" i="18"/>
  <c r="D53" i="13"/>
  <c r="D26" i="14"/>
  <c r="B34" i="13"/>
  <c r="CI35" i="9"/>
  <c r="D58" i="18"/>
  <c r="CJ77" i="9"/>
  <c r="F24" i="13"/>
  <c r="F38" i="18"/>
  <c r="CJ72" i="9"/>
  <c r="F62" i="14"/>
  <c r="F67" i="14"/>
  <c r="G70" i="18"/>
  <c r="H32" i="18"/>
  <c r="E17" i="18"/>
  <c r="E50" i="13"/>
  <c r="C26" i="18"/>
  <c r="F28" i="13"/>
  <c r="C41" i="18"/>
  <c r="D69" i="18"/>
  <c r="D22" i="18"/>
  <c r="C15" i="14"/>
  <c r="E31" i="13"/>
  <c r="CJ92" i="9"/>
  <c r="B34" i="18"/>
  <c r="AR36" i="7"/>
  <c r="CJ36" i="9"/>
  <c r="B34" i="14"/>
  <c r="E29" i="18"/>
  <c r="D41" i="18"/>
  <c r="E60" i="13"/>
  <c r="E65" i="13"/>
  <c r="D30" i="14"/>
  <c r="G39" i="14"/>
  <c r="H32" i="14"/>
  <c r="B31" i="14"/>
  <c r="CJ33" i="9"/>
  <c r="D66" i="13"/>
  <c r="D61" i="13"/>
  <c r="C73" i="13"/>
  <c r="H22" i="14"/>
  <c r="D20" i="18"/>
  <c r="F71" i="14"/>
  <c r="H18" i="13"/>
  <c r="H32" i="13"/>
  <c r="E11" i="13"/>
  <c r="F11" i="13"/>
  <c r="H71" i="14"/>
  <c r="E36" i="18"/>
  <c r="B56" i="13"/>
  <c r="CI57" i="9"/>
  <c r="C44" i="13"/>
  <c r="F55" i="13"/>
  <c r="H67" i="13"/>
  <c r="H62" i="13"/>
  <c r="E49" i="14"/>
  <c r="E70" i="14"/>
  <c r="H24" i="14"/>
  <c r="H34" i="13"/>
  <c r="H49" i="13"/>
  <c r="G34" i="13"/>
  <c r="C45" i="14"/>
  <c r="G50" i="18"/>
  <c r="F46" i="14"/>
  <c r="E53" i="18"/>
  <c r="F65" i="13"/>
  <c r="F60" i="13"/>
  <c r="F52" i="13"/>
  <c r="H29" i="14"/>
  <c r="E27" i="13"/>
  <c r="H30" i="13"/>
  <c r="F58" i="14"/>
  <c r="CI46" i="9"/>
  <c r="CK46" i="9" s="1"/>
  <c r="B45" i="13"/>
  <c r="D43" i="13"/>
  <c r="CJ89" i="9"/>
  <c r="F37" i="14"/>
  <c r="G28" i="18"/>
  <c r="B70" i="13"/>
  <c r="CI66" i="9"/>
  <c r="D52" i="13"/>
  <c r="F29" i="14"/>
  <c r="C57" i="14"/>
  <c r="G51" i="13"/>
  <c r="CJ27" i="9"/>
  <c r="B25" i="14"/>
  <c r="C30" i="18"/>
  <c r="G39" i="18"/>
  <c r="E55" i="14"/>
  <c r="AR94" i="7"/>
  <c r="CI89" i="9"/>
  <c r="E22" i="13"/>
  <c r="B63" i="13"/>
  <c r="CI64" i="9"/>
  <c r="CK64" i="9" s="1"/>
  <c r="B68" i="13"/>
  <c r="D67" i="18"/>
  <c r="D62" i="18"/>
  <c r="D52" i="14"/>
  <c r="H43" i="18"/>
  <c r="E42" i="14"/>
  <c r="C61" i="13"/>
  <c r="C66" i="13"/>
  <c r="E59" i="14"/>
  <c r="E64" i="14"/>
  <c r="C54" i="13"/>
  <c r="CI108" i="9"/>
  <c r="E66" i="14"/>
  <c r="E61" i="14"/>
  <c r="E44" i="14"/>
  <c r="B26" i="13"/>
  <c r="CI27" i="9"/>
  <c r="E34" i="14"/>
  <c r="CI107" i="9"/>
  <c r="E30" i="13"/>
  <c r="E28" i="18"/>
  <c r="H46" i="14"/>
  <c r="G39" i="13"/>
  <c r="C51" i="18"/>
  <c r="F47" i="14"/>
  <c r="E51" i="13"/>
  <c r="B41" i="14"/>
  <c r="CJ43" i="9"/>
  <c r="CL43" i="9" s="1"/>
  <c r="H67" i="18"/>
  <c r="H62" i="18"/>
  <c r="D64" i="14"/>
  <c r="D59" i="14"/>
  <c r="D31" i="13"/>
  <c r="E49" i="13"/>
  <c r="G72" i="18"/>
  <c r="C2" i="14"/>
  <c r="AR34" i="7"/>
  <c r="B32" i="18"/>
  <c r="E39" i="13"/>
  <c r="H34" i="18"/>
  <c r="AR59" i="7"/>
  <c r="AS59" i="7" s="1"/>
  <c r="B57" i="18"/>
  <c r="AR29" i="7"/>
  <c r="B27" i="18"/>
  <c r="CJ63" i="9"/>
  <c r="B61" i="14"/>
  <c r="B66" i="14"/>
  <c r="E20" i="14"/>
  <c r="G31" i="13"/>
  <c r="E27" i="18"/>
  <c r="C34" i="18"/>
  <c r="E56" i="13"/>
  <c r="D31" i="14"/>
  <c r="H69" i="14"/>
  <c r="C37" i="14"/>
  <c r="C34" i="13"/>
  <c r="D19" i="13"/>
  <c r="C20" i="14"/>
  <c r="F26" i="14"/>
  <c r="B25" i="18"/>
  <c r="AR27" i="7"/>
  <c r="H23" i="14"/>
  <c r="B30" i="13"/>
  <c r="CI31" i="9"/>
  <c r="CJ19" i="9"/>
  <c r="B17" i="14"/>
  <c r="C28" i="14"/>
  <c r="E19" i="18"/>
  <c r="C7" i="18"/>
  <c r="G49" i="18"/>
  <c r="C46" i="13"/>
  <c r="B43" i="13"/>
  <c r="CI44" i="9"/>
  <c r="CI79" i="9"/>
  <c r="C47" i="14"/>
  <c r="H36" i="13"/>
  <c r="G41" i="18"/>
  <c r="C65" i="14"/>
  <c r="C60" i="14"/>
  <c r="C36" i="13"/>
  <c r="G44" i="18"/>
  <c r="AR79" i="7"/>
  <c r="C36" i="14"/>
  <c r="CJ83" i="9"/>
  <c r="CL83" i="9" s="1"/>
  <c r="F27" i="14"/>
  <c r="G48" i="18"/>
  <c r="CJ68" i="9"/>
  <c r="CL68" i="9" s="1"/>
  <c r="B71" i="14"/>
  <c r="F26" i="18"/>
  <c r="C27" i="18"/>
  <c r="C41" i="13"/>
  <c r="G41" i="14"/>
  <c r="AR32" i="7"/>
  <c r="B30" i="18"/>
  <c r="E2" i="14"/>
  <c r="D35" i="14"/>
  <c r="AR77" i="7"/>
  <c r="CI99" i="9"/>
  <c r="G42" i="18"/>
  <c r="AR78" i="7"/>
  <c r="AS78" i="7" s="1"/>
  <c r="D68" i="13"/>
  <c r="D63" i="13"/>
  <c r="B2" i="14"/>
  <c r="CJ3" i="9"/>
  <c r="H42" i="14"/>
  <c r="CJ21" i="9"/>
  <c r="B19" i="14"/>
  <c r="D47" i="14"/>
  <c r="C22" i="13"/>
  <c r="AR102" i="7"/>
  <c r="AS102" i="7" s="1"/>
  <c r="F33" i="13"/>
  <c r="D48" i="18"/>
  <c r="CJ85" i="9"/>
  <c r="CI53" i="9"/>
  <c r="B52" i="13"/>
  <c r="B44" i="13"/>
  <c r="CI45" i="9"/>
  <c r="G17" i="13"/>
  <c r="E18" i="18"/>
  <c r="G58" i="13"/>
  <c r="G47" i="18"/>
  <c r="H37" i="18"/>
  <c r="D21" i="14"/>
  <c r="G71" i="18"/>
  <c r="F41" i="14"/>
  <c r="CI77" i="9"/>
  <c r="F56" i="18"/>
  <c r="CI109" i="9"/>
  <c r="H72" i="13"/>
  <c r="G65" i="14"/>
  <c r="G60" i="14"/>
  <c r="H18" i="14"/>
  <c r="C60" i="18"/>
  <c r="C65" i="18"/>
  <c r="C50" i="14"/>
  <c r="C58" i="18"/>
  <c r="E35" i="14"/>
  <c r="F2" i="18"/>
  <c r="H37" i="13"/>
  <c r="D45" i="18"/>
  <c r="C57" i="18"/>
  <c r="G54" i="13"/>
  <c r="G47" i="13"/>
  <c r="H19" i="14"/>
  <c r="D22" i="13"/>
  <c r="B55" i="14"/>
  <c r="CJ57" i="9"/>
  <c r="C42" i="13"/>
  <c r="C23" i="18"/>
  <c r="D59" i="13"/>
  <c r="CI100" i="9"/>
  <c r="G65" i="13"/>
  <c r="G60" i="13"/>
  <c r="CI106" i="9"/>
  <c r="G19" i="14"/>
  <c r="D32" i="18"/>
  <c r="F20" i="14"/>
  <c r="H53" i="18"/>
  <c r="E46" i="13"/>
  <c r="F2" i="14"/>
  <c r="CJ70" i="9"/>
  <c r="G2" i="14"/>
  <c r="G52" i="14"/>
  <c r="H40" i="18"/>
  <c r="H40" i="13"/>
  <c r="E56" i="14"/>
  <c r="F52" i="14"/>
  <c r="C42" i="18"/>
  <c r="G38" i="18"/>
  <c r="G26" i="14"/>
  <c r="H14" i="18"/>
  <c r="D50" i="14"/>
  <c r="F27" i="13"/>
  <c r="E72" i="18"/>
  <c r="AR99" i="7"/>
  <c r="AS99" i="7" s="1"/>
  <c r="H41" i="14"/>
  <c r="E45" i="13"/>
  <c r="B49" i="14"/>
  <c r="CJ51" i="9"/>
  <c r="CL51" i="9" s="1"/>
  <c r="C45" i="18"/>
  <c r="E15" i="18"/>
  <c r="CI14" i="9"/>
  <c r="B13" i="13"/>
  <c r="D2" i="18"/>
  <c r="D35" i="18"/>
  <c r="CI103" i="9"/>
  <c r="CK103" i="9" s="1"/>
  <c r="G20" i="13"/>
  <c r="C33" i="18"/>
  <c r="F47" i="18"/>
  <c r="CJ45" i="9"/>
  <c r="B43" i="14"/>
  <c r="D51" i="13"/>
  <c r="E65" i="18"/>
  <c r="E60" i="18"/>
  <c r="B32" i="13"/>
  <c r="CI33" i="9"/>
  <c r="H15" i="13"/>
  <c r="E64" i="18"/>
  <c r="E59" i="18"/>
  <c r="H64" i="13"/>
  <c r="H69" i="13"/>
  <c r="D27" i="13"/>
  <c r="H55" i="18"/>
  <c r="H56" i="18"/>
  <c r="D67" i="13"/>
  <c r="D62" i="13"/>
  <c r="D55" i="18"/>
  <c r="CI96" i="9"/>
  <c r="E33" i="13"/>
  <c r="G18" i="13"/>
  <c r="F23" i="14"/>
  <c r="G38" i="14"/>
  <c r="CJ48" i="9"/>
  <c r="CL48" i="9" s="1"/>
  <c r="B46" i="14"/>
  <c r="F66" i="14"/>
  <c r="F61" i="14"/>
  <c r="H52" i="14"/>
  <c r="F35" i="14"/>
  <c r="E31" i="14"/>
  <c r="D51" i="14"/>
  <c r="F29" i="18"/>
  <c r="E47" i="14"/>
  <c r="H31" i="13"/>
  <c r="D61" i="14"/>
  <c r="D66" i="14"/>
  <c r="D47" i="18"/>
  <c r="E38" i="14"/>
  <c r="B15" i="14"/>
  <c r="CJ17" i="9"/>
  <c r="C22" i="18"/>
  <c r="E43" i="14"/>
  <c r="E14" i="13"/>
  <c r="D19" i="14"/>
  <c r="AR42" i="7"/>
  <c r="B40" i="18"/>
  <c r="AR58" i="7"/>
  <c r="B56" i="18"/>
  <c r="C47" i="13"/>
  <c r="F50" i="18"/>
  <c r="AR92" i="7"/>
  <c r="AS92" i="7" s="1"/>
  <c r="E26" i="13"/>
  <c r="C24" i="13"/>
  <c r="CJ32" i="9"/>
  <c r="B30" i="14"/>
  <c r="F27" i="18"/>
  <c r="AR31" i="7"/>
  <c r="B29" i="18"/>
  <c r="H43" i="13"/>
  <c r="G34" i="18"/>
  <c r="D36" i="14"/>
  <c r="H16" i="13"/>
  <c r="E40" i="14"/>
  <c r="CJ88" i="9"/>
  <c r="G2" i="13"/>
  <c r="C50" i="18"/>
  <c r="F72" i="13"/>
  <c r="CI49" i="9"/>
  <c r="B48" i="13"/>
  <c r="D2" i="13"/>
  <c r="H41" i="18"/>
  <c r="H59" i="13"/>
  <c r="H35" i="14"/>
  <c r="CI63" i="9"/>
  <c r="B62" i="13"/>
  <c r="B67" i="13"/>
  <c r="C54" i="18"/>
  <c r="C46" i="18"/>
  <c r="D70" i="13"/>
  <c r="G40" i="13"/>
  <c r="AR101" i="7"/>
  <c r="AS101" i="7" s="1"/>
  <c r="E54" i="18"/>
  <c r="D72" i="14"/>
  <c r="CI88" i="9"/>
  <c r="CK88" i="9" s="1"/>
  <c r="E29" i="13"/>
  <c r="CJ71" i="9"/>
  <c r="AR35" i="7"/>
  <c r="AS35" i="7" s="1"/>
  <c r="B33" i="18"/>
  <c r="CI87" i="9"/>
  <c r="D51" i="18"/>
  <c r="H73" i="13"/>
  <c r="AR98" i="7"/>
  <c r="F23" i="13"/>
  <c r="CI105" i="9"/>
  <c r="F51" i="18"/>
  <c r="E28" i="14"/>
  <c r="G57" i="14"/>
  <c r="F34" i="14"/>
  <c r="B69" i="18"/>
  <c r="AR66" i="7"/>
  <c r="C38" i="13"/>
  <c r="F33" i="14"/>
  <c r="H38" i="14"/>
  <c r="CI92" i="9"/>
  <c r="E72" i="13"/>
  <c r="F40" i="13"/>
  <c r="CI98" i="9"/>
  <c r="H72" i="14"/>
  <c r="H20" i="13"/>
  <c r="E18" i="14"/>
  <c r="CJ74" i="9"/>
  <c r="G23" i="14"/>
  <c r="CJ108" i="9"/>
  <c r="AR24" i="7"/>
  <c r="B22" i="18"/>
  <c r="E52" i="18"/>
  <c r="F43" i="14"/>
  <c r="B31" i="18"/>
  <c r="AR33" i="7"/>
  <c r="D29" i="13"/>
  <c r="G54" i="18"/>
  <c r="G63" i="13"/>
  <c r="G68" i="13"/>
  <c r="E25" i="14"/>
  <c r="G23" i="18"/>
  <c r="H14" i="13"/>
  <c r="D28" i="14"/>
  <c r="CI65" i="9"/>
  <c r="CK65" i="9" s="1"/>
  <c r="B69" i="13"/>
  <c r="B64" i="13"/>
  <c r="E35" i="18"/>
  <c r="F31" i="18"/>
  <c r="G20" i="14"/>
  <c r="D47" i="13"/>
  <c r="G70" i="13"/>
  <c r="B41" i="18"/>
  <c r="AR43" i="7"/>
  <c r="F28" i="14"/>
  <c r="C24" i="14"/>
  <c r="H26" i="13"/>
  <c r="H15" i="14"/>
  <c r="E70" i="13"/>
  <c r="H29" i="18"/>
  <c r="B15" i="13"/>
  <c r="CI16" i="9"/>
  <c r="D42" i="18"/>
  <c r="E32" i="18"/>
  <c r="E25" i="18"/>
  <c r="E38" i="18"/>
  <c r="C58" i="14"/>
  <c r="CJ95" i="9"/>
  <c r="CL95" i="9" s="1"/>
  <c r="B22" i="13"/>
  <c r="CI23" i="9"/>
  <c r="H71" i="13"/>
  <c r="H42" i="13"/>
  <c r="F20" i="18"/>
  <c r="F12" i="13"/>
  <c r="D24" i="18"/>
  <c r="B18" i="13"/>
  <c r="CI19" i="9"/>
  <c r="CK19" i="9" s="1"/>
  <c r="H16" i="18"/>
  <c r="F26" i="13"/>
  <c r="D25" i="13"/>
  <c r="G13" i="13"/>
  <c r="F18" i="13"/>
  <c r="G7" i="14"/>
  <c r="H12" i="14"/>
  <c r="G8" i="14"/>
  <c r="H55" i="14"/>
  <c r="G25" i="14"/>
  <c r="D40" i="18"/>
  <c r="D41" i="13"/>
  <c r="F25" i="18"/>
  <c r="G35" i="13"/>
  <c r="C22" i="14"/>
  <c r="F31" i="14"/>
  <c r="E29" i="14"/>
  <c r="D27" i="18"/>
  <c r="F40" i="18"/>
  <c r="C68" i="14"/>
  <c r="C63" i="14"/>
  <c r="E37" i="18"/>
  <c r="AR3" i="7"/>
  <c r="AS3" i="7" s="1"/>
  <c r="B2" i="18"/>
  <c r="D21" i="13"/>
  <c r="AR20" i="7"/>
  <c r="B18" i="18"/>
  <c r="B29" i="13"/>
  <c r="CI30" i="9"/>
  <c r="C27" i="13"/>
  <c r="G28" i="14"/>
  <c r="AR84" i="7"/>
  <c r="D13" i="13"/>
  <c r="H22" i="13"/>
  <c r="C14" i="18"/>
  <c r="C17" i="14"/>
  <c r="AR68" i="7"/>
  <c r="B71" i="18"/>
  <c r="H10" i="13"/>
  <c r="G46" i="14"/>
  <c r="G7" i="18"/>
  <c r="G19" i="13"/>
  <c r="E2" i="13"/>
  <c r="C16" i="18"/>
  <c r="E20" i="18"/>
  <c r="F31" i="13"/>
  <c r="H16" i="14"/>
  <c r="C21" i="18"/>
  <c r="F13" i="18"/>
  <c r="B38" i="13"/>
  <c r="CI39" i="9"/>
  <c r="E41" i="18"/>
  <c r="G20" i="18"/>
  <c r="G49" i="14"/>
  <c r="D43" i="18"/>
  <c r="C50" i="13"/>
  <c r="D69" i="13"/>
  <c r="D64" i="13"/>
  <c r="E30" i="14"/>
  <c r="D40" i="13"/>
  <c r="E21" i="14"/>
  <c r="H53" i="13"/>
  <c r="D35" i="13"/>
  <c r="F21" i="18"/>
  <c r="D34" i="18"/>
  <c r="G36" i="14"/>
  <c r="E22" i="18"/>
  <c r="D18" i="14"/>
  <c r="D37" i="13"/>
  <c r="E23" i="18"/>
  <c r="F52" i="18"/>
  <c r="G22" i="13"/>
  <c r="CJ20" i="9"/>
  <c r="CL20" i="9" s="1"/>
  <c r="B18" i="14"/>
  <c r="E50" i="14"/>
  <c r="G67" i="13"/>
  <c r="G62" i="13"/>
  <c r="H46" i="13"/>
  <c r="CJ91" i="9"/>
  <c r="F48" i="14"/>
  <c r="F35" i="18"/>
  <c r="G18" i="14"/>
  <c r="F22" i="14"/>
  <c r="E22" i="14"/>
  <c r="F18" i="14"/>
  <c r="B29" i="14"/>
  <c r="CJ31" i="9"/>
  <c r="CL31" i="9" s="1"/>
  <c r="CJ104" i="9"/>
  <c r="CL104" i="9" s="1"/>
  <c r="G33" i="18"/>
  <c r="G36" i="13"/>
  <c r="H30" i="18"/>
  <c r="C18" i="13"/>
  <c r="E25" i="13"/>
  <c r="AR26" i="7"/>
  <c r="B24" i="18"/>
  <c r="F16" i="14"/>
  <c r="E20" i="13"/>
  <c r="AR15" i="7"/>
  <c r="B13" i="18"/>
  <c r="F25" i="14"/>
  <c r="G14" i="14"/>
  <c r="AR28" i="7"/>
  <c r="B26" i="18"/>
  <c r="D12" i="14"/>
  <c r="H47" i="14"/>
  <c r="CI36" i="9"/>
  <c r="B35" i="13"/>
  <c r="G15" i="14"/>
  <c r="G63" i="14"/>
  <c r="G68" i="14"/>
  <c r="F49" i="14"/>
  <c r="E15" i="14"/>
  <c r="C13" i="13"/>
  <c r="F6" i="13"/>
  <c r="H10" i="18"/>
  <c r="D6" i="13"/>
  <c r="C57" i="13"/>
  <c r="E38" i="13"/>
  <c r="CI22" i="9"/>
  <c r="B21" i="13"/>
  <c r="H58" i="14"/>
  <c r="H27" i="18"/>
  <c r="CJ84" i="9"/>
  <c r="CJ53" i="9"/>
  <c r="B51" i="14"/>
  <c r="C64" i="18"/>
  <c r="C59" i="18"/>
  <c r="F41" i="13"/>
  <c r="D71" i="14"/>
  <c r="F57" i="13"/>
  <c r="E53" i="13"/>
  <c r="CI72" i="9"/>
  <c r="F36" i="14"/>
  <c r="CJ109" i="9"/>
  <c r="CI74" i="9"/>
  <c r="CK74" i="9" s="1"/>
  <c r="H38" i="13"/>
  <c r="H48" i="18"/>
  <c r="D20" i="13"/>
  <c r="C33" i="14"/>
  <c r="C44" i="14"/>
  <c r="H38" i="18"/>
  <c r="D57" i="18"/>
  <c r="E12" i="14"/>
  <c r="F11" i="14"/>
  <c r="H39" i="14"/>
  <c r="CI38" i="9"/>
  <c r="CK38" i="9" s="1"/>
  <c r="B37" i="13"/>
  <c r="E42" i="18"/>
  <c r="H30" i="14"/>
  <c r="E28" i="13"/>
  <c r="G21" i="18"/>
  <c r="C7" i="13"/>
  <c r="G51" i="18"/>
  <c r="H58" i="13"/>
  <c r="F17" i="13"/>
  <c r="D38" i="13"/>
  <c r="G66" i="13"/>
  <c r="G61" i="13"/>
  <c r="C62" i="13"/>
  <c r="C67" i="13"/>
  <c r="F34" i="13"/>
  <c r="C56" i="14"/>
  <c r="G38" i="13"/>
  <c r="D26" i="13"/>
  <c r="H23" i="13"/>
  <c r="E19" i="13"/>
  <c r="G15" i="18"/>
  <c r="CJ96" i="9"/>
  <c r="E18" i="13"/>
  <c r="G35" i="18"/>
  <c r="F62" i="13"/>
  <c r="F67" i="13"/>
  <c r="D16" i="14"/>
  <c r="E17" i="14"/>
  <c r="AR11" i="7"/>
  <c r="AS11" i="7" s="1"/>
  <c r="B9" i="18"/>
  <c r="F19" i="13"/>
  <c r="C26" i="14"/>
  <c r="C26" i="13"/>
  <c r="F34" i="18"/>
  <c r="F13" i="14"/>
  <c r="H28" i="14"/>
  <c r="C14" i="13"/>
  <c r="E23" i="14"/>
  <c r="D20" i="14"/>
  <c r="F53" i="13"/>
  <c r="B20" i="18"/>
  <c r="AR22" i="7"/>
  <c r="G15" i="13"/>
  <c r="F8" i="14"/>
  <c r="G12" i="18"/>
  <c r="H12" i="13"/>
  <c r="C14" i="14"/>
  <c r="F18" i="18"/>
  <c r="E9" i="14"/>
  <c r="H7" i="18"/>
  <c r="G8" i="13"/>
  <c r="E16" i="14"/>
  <c r="B45" i="14"/>
  <c r="CJ47" i="9"/>
  <c r="E58" i="18"/>
  <c r="C30" i="14"/>
  <c r="H26" i="18"/>
  <c r="CJ29" i="9"/>
  <c r="B27" i="14"/>
  <c r="B24" i="14"/>
  <c r="CJ26" i="9"/>
  <c r="E31" i="18"/>
  <c r="CJ25" i="9"/>
  <c r="B23" i="14"/>
  <c r="H25" i="13"/>
  <c r="F32" i="18"/>
  <c r="C12" i="13"/>
  <c r="AR95" i="7"/>
  <c r="F51" i="13"/>
  <c r="C28" i="18"/>
  <c r="F39" i="13"/>
  <c r="E24" i="14"/>
  <c r="F28" i="18"/>
  <c r="G37" i="13"/>
  <c r="G14" i="13"/>
  <c r="F19" i="18"/>
  <c r="C25" i="18"/>
  <c r="F13" i="13"/>
  <c r="CJ23" i="9"/>
  <c r="CL23" i="9" s="1"/>
  <c r="B21" i="14"/>
  <c r="H26" i="14"/>
  <c r="H15" i="18"/>
  <c r="D30" i="13"/>
  <c r="D15" i="18"/>
  <c r="D28" i="13"/>
  <c r="F44" i="13"/>
  <c r="C40" i="13"/>
  <c r="G23" i="13"/>
  <c r="C23" i="13"/>
  <c r="D29" i="14"/>
  <c r="C43" i="18"/>
  <c r="H49" i="18"/>
  <c r="C11" i="14"/>
  <c r="CI29" i="9"/>
  <c r="CK29" i="9" s="1"/>
  <c r="B28" i="13"/>
  <c r="CI28" i="9"/>
  <c r="CK28" i="9" s="1"/>
  <c r="B27" i="13"/>
  <c r="B13" i="14"/>
  <c r="CJ15" i="9"/>
  <c r="D43" i="14"/>
  <c r="C31" i="13"/>
  <c r="E16" i="13"/>
  <c r="F17" i="18"/>
  <c r="E24" i="13"/>
  <c r="C25" i="13"/>
  <c r="H33" i="14"/>
  <c r="F30" i="14"/>
  <c r="H44" i="18"/>
  <c r="C35" i="14"/>
  <c r="C32" i="18"/>
  <c r="CI94" i="9"/>
  <c r="CK94" i="9" s="1"/>
  <c r="H56" i="13"/>
  <c r="F14" i="14"/>
  <c r="E27" i="14"/>
  <c r="G17" i="14"/>
  <c r="F12" i="14"/>
  <c r="F16" i="13"/>
  <c r="E13" i="14"/>
  <c r="H24" i="18"/>
  <c r="H17" i="18"/>
  <c r="D8" i="13"/>
  <c r="G22" i="18"/>
  <c r="CI9" i="9"/>
  <c r="B8" i="13"/>
  <c r="G19" i="18"/>
  <c r="F9" i="13"/>
  <c r="E8" i="14"/>
  <c r="E8" i="18"/>
  <c r="H9" i="18"/>
  <c r="F12" i="18"/>
  <c r="CJ16" i="9"/>
  <c r="CL16" i="9" s="1"/>
  <c r="B14" i="14"/>
  <c r="D18" i="13"/>
  <c r="E32" i="14"/>
  <c r="G44" i="14"/>
  <c r="E57" i="13"/>
  <c r="E2" i="18"/>
  <c r="D23" i="18"/>
  <c r="D24" i="14"/>
  <c r="E39" i="18"/>
  <c r="E47" i="18"/>
  <c r="E21" i="18"/>
  <c r="G72" i="14"/>
  <c r="CI26" i="9"/>
  <c r="B25" i="13"/>
  <c r="F70" i="18"/>
  <c r="CI84" i="9"/>
  <c r="G69" i="14"/>
  <c r="G44" i="13"/>
  <c r="F14" i="18"/>
  <c r="F22" i="13"/>
  <c r="F17" i="14"/>
  <c r="F24" i="18"/>
  <c r="E24" i="18"/>
  <c r="G25" i="18"/>
  <c r="E49" i="18"/>
  <c r="F14" i="13"/>
  <c r="F37" i="13"/>
  <c r="F24" i="14"/>
  <c r="CI15" i="9"/>
  <c r="B14" i="13"/>
  <c r="F42" i="13"/>
  <c r="B12" i="14"/>
  <c r="CJ14" i="9"/>
  <c r="B37" i="18"/>
  <c r="AR39" i="7"/>
  <c r="H20" i="18"/>
  <c r="E11" i="14"/>
  <c r="B15" i="18"/>
  <c r="AR17" i="7"/>
  <c r="CI91" i="9"/>
  <c r="G53" i="18"/>
  <c r="G11" i="14"/>
  <c r="E23" i="13"/>
  <c r="F21" i="14"/>
  <c r="G59" i="18"/>
  <c r="G64" i="18"/>
  <c r="C36" i="18"/>
  <c r="G29" i="18"/>
  <c r="E19" i="14"/>
  <c r="C19" i="18"/>
  <c r="D12" i="13"/>
  <c r="B20" i="14"/>
  <c r="CJ22" i="9"/>
  <c r="G30" i="18"/>
  <c r="E26" i="18"/>
  <c r="CJ8" i="9"/>
  <c r="G24" i="14"/>
  <c r="CJ18" i="9"/>
  <c r="CL18" i="9" s="1"/>
  <c r="B16" i="14"/>
  <c r="D45" i="13"/>
  <c r="G37" i="18"/>
  <c r="CI17" i="9"/>
  <c r="B16" i="13"/>
  <c r="CI32" i="9"/>
  <c r="B31" i="13"/>
  <c r="B24" i="13"/>
  <c r="CI25" i="9"/>
  <c r="C29" i="13"/>
  <c r="C10" i="13"/>
  <c r="C38" i="14"/>
  <c r="C35" i="18"/>
  <c r="E36" i="13"/>
  <c r="H19" i="13"/>
  <c r="AR16" i="7"/>
  <c r="AS16" i="7" s="1"/>
  <c r="B14" i="18"/>
  <c r="D19" i="18"/>
  <c r="G58" i="14"/>
  <c r="CI3" i="9"/>
  <c r="CK3" i="9" s="1"/>
  <c r="B2" i="13"/>
  <c r="E40" i="18"/>
  <c r="D37" i="18"/>
  <c r="G28" i="13"/>
  <c r="H25" i="18"/>
  <c r="CJ34" i="9"/>
  <c r="B32" i="14"/>
  <c r="D14" i="18"/>
  <c r="H7" i="13"/>
  <c r="D11" i="18"/>
  <c r="E7" i="14"/>
  <c r="E6" i="14"/>
  <c r="G43" i="14"/>
  <c r="F23" i="18"/>
  <c r="H70" i="13"/>
  <c r="G16" i="14"/>
  <c r="H21" i="18"/>
  <c r="G27" i="18"/>
  <c r="F19" i="14"/>
  <c r="D25" i="18"/>
  <c r="D17" i="14"/>
  <c r="B19" i="18"/>
  <c r="AR21" i="7"/>
  <c r="B9" i="14"/>
  <c r="CJ11" i="9"/>
  <c r="E21" i="13"/>
  <c r="H14" i="14"/>
  <c r="CJ66" i="9"/>
  <c r="CL66" i="9" s="1"/>
  <c r="B69" i="14"/>
  <c r="C18" i="18"/>
  <c r="B21" i="18"/>
  <c r="AR23" i="7"/>
  <c r="AS23" i="7" s="1"/>
  <c r="C20" i="13"/>
  <c r="D9" i="13"/>
  <c r="G8" i="18"/>
  <c r="CI12" i="9"/>
  <c r="B11" i="13"/>
  <c r="E9" i="13"/>
  <c r="G11" i="18"/>
  <c r="E6" i="13"/>
  <c r="C25" i="14"/>
  <c r="D14" i="13"/>
  <c r="H7" i="14"/>
  <c r="E16" i="18"/>
  <c r="D10" i="18"/>
  <c r="D13" i="18"/>
  <c r="D8" i="18"/>
  <c r="F15" i="18"/>
  <c r="H8" i="18"/>
  <c r="E7" i="18"/>
  <c r="C33" i="13"/>
  <c r="H20" i="14"/>
  <c r="B16" i="18"/>
  <c r="AR18" i="7"/>
  <c r="AS18" i="7" s="1"/>
  <c r="H27" i="13"/>
  <c r="C15" i="13"/>
  <c r="H21" i="13"/>
  <c r="C17" i="18"/>
  <c r="D52" i="18"/>
  <c r="D16" i="13"/>
  <c r="D17" i="18"/>
  <c r="AR106" i="7"/>
  <c r="AS106" i="7" s="1"/>
  <c r="E14" i="14"/>
  <c r="B17" i="18"/>
  <c r="AR19" i="7"/>
  <c r="B49" i="13"/>
  <c r="CI50" i="9"/>
  <c r="CK50" i="9" s="1"/>
  <c r="CJ86" i="9"/>
  <c r="CL86" i="9" s="1"/>
  <c r="F50" i="14"/>
  <c r="CJ60" i="9"/>
  <c r="B58" i="14"/>
  <c r="D39" i="18"/>
  <c r="H19" i="18"/>
  <c r="G52" i="13"/>
  <c r="H23" i="18"/>
  <c r="G29" i="13"/>
  <c r="C24" i="18"/>
  <c r="D15" i="13"/>
  <c r="F7" i="14"/>
  <c r="G6" i="14"/>
  <c r="E9" i="18"/>
  <c r="E12" i="13"/>
  <c r="B9" i="13"/>
  <c r="CI10" i="9"/>
  <c r="C21" i="14"/>
  <c r="B7" i="14"/>
  <c r="CJ9" i="9"/>
  <c r="G11" i="13"/>
  <c r="B6" i="13"/>
  <c r="CI7" i="9"/>
  <c r="CJ13" i="9"/>
  <c r="B11" i="14"/>
  <c r="AR10" i="7"/>
  <c r="B8" i="18"/>
  <c r="E10" i="13"/>
  <c r="C12" i="14"/>
  <c r="G10" i="14"/>
  <c r="D57" i="13"/>
  <c r="G13" i="14"/>
  <c r="H6" i="13"/>
  <c r="D16" i="18"/>
  <c r="G6" i="13"/>
  <c r="B10" i="18"/>
  <c r="AR12" i="7"/>
  <c r="AS12" i="7" s="1"/>
  <c r="F15" i="13"/>
  <c r="C6" i="13"/>
  <c r="C15" i="18"/>
  <c r="D8" i="14"/>
  <c r="B12" i="18"/>
  <c r="AR14" i="7"/>
  <c r="AS14" i="7" s="1"/>
  <c r="D11" i="13"/>
  <c r="H11" i="13"/>
  <c r="F9" i="14"/>
  <c r="H8" i="13"/>
  <c r="F8" i="13"/>
  <c r="C9" i="13"/>
  <c r="F9" i="18"/>
  <c r="G9" i="18"/>
  <c r="F11" i="18"/>
  <c r="G17" i="18"/>
  <c r="E7" i="13"/>
  <c r="D9" i="18"/>
  <c r="F10" i="14"/>
  <c r="F8" i="18"/>
  <c r="C8" i="18"/>
  <c r="H6" i="14"/>
  <c r="G10" i="13"/>
  <c r="B11" i="18"/>
  <c r="AR13" i="7"/>
  <c r="E13" i="18"/>
  <c r="D14" i="14"/>
  <c r="E8" i="13"/>
  <c r="C13" i="14"/>
  <c r="F15" i="14"/>
  <c r="D11" i="14"/>
  <c r="G10" i="18"/>
  <c r="C17" i="13"/>
  <c r="C2" i="18"/>
  <c r="E14" i="18"/>
  <c r="G9" i="13"/>
  <c r="D7" i="18"/>
  <c r="G33" i="13"/>
  <c r="C8" i="13"/>
  <c r="G18" i="18"/>
  <c r="F6" i="14"/>
  <c r="F16" i="18"/>
  <c r="D15" i="14"/>
  <c r="CJ12" i="9"/>
  <c r="CL12" i="9" s="1"/>
  <c r="B10" i="14"/>
  <c r="B12" i="13"/>
  <c r="CI13" i="9"/>
  <c r="CK13" i="9" s="1"/>
  <c r="F7" i="13"/>
  <c r="G14" i="18"/>
  <c r="C7" i="14"/>
  <c r="C16" i="13"/>
  <c r="H13" i="14"/>
  <c r="C10" i="18"/>
  <c r="G24" i="13"/>
  <c r="H13" i="13"/>
  <c r="D17" i="13"/>
  <c r="D9" i="14"/>
  <c r="CI8" i="9"/>
  <c r="CK8" i="9" s="1"/>
  <c r="B7" i="13"/>
  <c r="C10" i="14"/>
  <c r="E11" i="18"/>
  <c r="C11" i="13"/>
  <c r="H12" i="18"/>
  <c r="G12" i="14"/>
  <c r="E10" i="14"/>
  <c r="D10" i="13"/>
  <c r="H11" i="14"/>
  <c r="F10" i="13"/>
  <c r="H11" i="18"/>
  <c r="G9" i="14"/>
  <c r="H8" i="14"/>
  <c r="E13" i="13"/>
  <c r="C11" i="18"/>
  <c r="D10" i="14"/>
  <c r="G7" i="13"/>
  <c r="G12" i="13"/>
  <c r="F7" i="18"/>
  <c r="E10" i="18"/>
  <c r="H10" i="14"/>
  <c r="C13" i="18"/>
  <c r="F10" i="18"/>
  <c r="H9" i="14"/>
  <c r="H18" i="18"/>
  <c r="C8" i="14"/>
  <c r="H9" i="13"/>
  <c r="B8" i="14"/>
  <c r="CJ10" i="9"/>
  <c r="B6" i="14"/>
  <c r="CJ7" i="9"/>
  <c r="C16" i="14"/>
  <c r="C9" i="18"/>
  <c r="E12" i="18"/>
  <c r="D6" i="14"/>
  <c r="C12" i="18"/>
  <c r="B7" i="18"/>
  <c r="AR9" i="7"/>
  <c r="AS9" i="7" s="1"/>
  <c r="D12" i="18"/>
  <c r="CI11" i="9"/>
  <c r="B10" i="13"/>
  <c r="G13" i="18"/>
  <c r="C9" i="14"/>
  <c r="C6" i="14"/>
  <c r="D7" i="13"/>
  <c r="H13" i="18"/>
  <c r="CL9" i="9" l="1"/>
  <c r="AS21" i="7"/>
  <c r="CL14" i="9"/>
  <c r="CK15" i="9"/>
  <c r="AS28" i="7"/>
  <c r="AS15" i="7"/>
  <c r="AS26" i="7"/>
  <c r="AS20" i="7"/>
  <c r="CK93" i="9"/>
  <c r="CK39" i="9"/>
  <c r="AS33" i="7"/>
  <c r="CK33" i="9"/>
  <c r="CK110" i="9"/>
  <c r="CL73" i="9"/>
  <c r="AS96" i="7"/>
  <c r="AS54" i="7"/>
  <c r="AS47" i="7"/>
  <c r="CK10" i="9"/>
  <c r="I37" i="18"/>
  <c r="CL26" i="9"/>
  <c r="CL84" i="9"/>
  <c r="CK22" i="9"/>
  <c r="CL91" i="9"/>
  <c r="CK108" i="9"/>
  <c r="AS36" i="7"/>
  <c r="CL54" i="9"/>
  <c r="CK49" i="9"/>
  <c r="CL70" i="9"/>
  <c r="CL85" i="9"/>
  <c r="CL60" i="9"/>
  <c r="CL34" i="9"/>
  <c r="CL7" i="9"/>
  <c r="AS13" i="7"/>
  <c r="AS10" i="7"/>
  <c r="I6" i="13"/>
  <c r="AS19" i="7"/>
  <c r="I11" i="13"/>
  <c r="I69" i="14"/>
  <c r="CL11" i="9"/>
  <c r="I2" i="13"/>
  <c r="CK25" i="9"/>
  <c r="I16" i="13"/>
  <c r="I16" i="14"/>
  <c r="AS17" i="7"/>
  <c r="AS39" i="7"/>
  <c r="CL47" i="9"/>
  <c r="AS22" i="7"/>
  <c r="CL96" i="9"/>
  <c r="CK72" i="9"/>
  <c r="CL53" i="9"/>
  <c r="AS84" i="7"/>
  <c r="I29" i="13"/>
  <c r="CK92" i="9"/>
  <c r="AS66" i="7"/>
  <c r="AS98" i="7"/>
  <c r="I33" i="18"/>
  <c r="I56" i="18"/>
  <c r="CL17" i="9"/>
  <c r="CK45" i="9"/>
  <c r="AS77" i="7"/>
  <c r="AS32" i="7"/>
  <c r="CK44" i="9"/>
  <c r="AS27" i="7"/>
  <c r="CL63" i="9"/>
  <c r="AS34" i="7"/>
  <c r="CK27" i="9"/>
  <c r="CK89" i="9"/>
  <c r="I70" i="13"/>
  <c r="CK57" i="9"/>
  <c r="CL36" i="9"/>
  <c r="CL77" i="9"/>
  <c r="I53" i="13"/>
  <c r="I68" i="18"/>
  <c r="I48" i="18"/>
  <c r="I54" i="14"/>
  <c r="CK97" i="9"/>
  <c r="CK41" i="9"/>
  <c r="AS52" i="7"/>
  <c r="AS86" i="7"/>
  <c r="CK71" i="9"/>
  <c r="I39" i="14"/>
  <c r="CL107" i="9"/>
  <c r="AS61" i="7"/>
  <c r="CL98" i="9"/>
  <c r="AS89" i="7"/>
  <c r="CL62" i="9"/>
  <c r="CL69" i="9"/>
  <c r="CL79" i="9"/>
  <c r="AS105" i="7"/>
  <c r="CL99" i="9"/>
  <c r="CL75" i="9"/>
  <c r="I49" i="18"/>
  <c r="CL105" i="9"/>
  <c r="CL81" i="9"/>
  <c r="CL106" i="9"/>
  <c r="AS95" i="7"/>
  <c r="CL109" i="9"/>
  <c r="AS24" i="7"/>
  <c r="CL32" i="9"/>
  <c r="I32" i="13"/>
  <c r="CK100" i="9"/>
  <c r="AS29" i="7"/>
  <c r="CK35" i="9"/>
  <c r="AS80" i="7"/>
  <c r="AS49" i="7"/>
  <c r="CL67" i="9"/>
  <c r="CK21" i="9"/>
  <c r="CK102" i="9"/>
  <c r="AS68" i="7"/>
  <c r="CK30" i="9"/>
  <c r="CK87" i="9"/>
  <c r="CL56" i="9"/>
  <c r="AS45" i="7"/>
  <c r="AS70" i="7"/>
  <c r="CL61" i="9"/>
  <c r="I12" i="18"/>
  <c r="I14" i="18"/>
  <c r="I13" i="14"/>
  <c r="CL29" i="9"/>
  <c r="I9" i="18"/>
  <c r="I2" i="18"/>
  <c r="I22" i="13"/>
  <c r="I15" i="13"/>
  <c r="I41" i="18"/>
  <c r="CL19" i="9"/>
  <c r="I73" i="13"/>
  <c r="I72" i="18"/>
  <c r="I41" i="13"/>
  <c r="CK59" i="9"/>
  <c r="I47" i="13"/>
  <c r="I42" i="13"/>
  <c r="CL65" i="9"/>
  <c r="I62" i="14"/>
  <c r="I23" i="18"/>
  <c r="I42" i="18"/>
  <c r="I65" i="18"/>
  <c r="AS60" i="7"/>
  <c r="I44" i="14"/>
  <c r="CK80" i="9"/>
  <c r="I44" i="18"/>
  <c r="CK104" i="9"/>
  <c r="I55" i="13"/>
  <c r="I61" i="13"/>
  <c r="I16" i="18"/>
  <c r="I21" i="13"/>
  <c r="I68" i="13"/>
  <c r="I71" i="13"/>
  <c r="CL52" i="9"/>
  <c r="I6" i="14"/>
  <c r="I11" i="18"/>
  <c r="I11" i="14"/>
  <c r="I17" i="18"/>
  <c r="CK12" i="9"/>
  <c r="I9" i="14"/>
  <c r="I10" i="14"/>
  <c r="I67" i="13"/>
  <c r="CL88" i="9"/>
  <c r="CK17" i="9"/>
  <c r="I25" i="13"/>
  <c r="I27" i="13"/>
  <c r="I45" i="14"/>
  <c r="I20" i="18"/>
  <c r="I35" i="13"/>
  <c r="I26" i="18"/>
  <c r="I13" i="18"/>
  <c r="I24" i="18"/>
  <c r="I18" i="18"/>
  <c r="I18" i="13"/>
  <c r="I22" i="18"/>
  <c r="CL74" i="9"/>
  <c r="CK98" i="9"/>
  <c r="I69" i="18"/>
  <c r="I62" i="13"/>
  <c r="I30" i="14"/>
  <c r="AS58" i="7"/>
  <c r="I15" i="14"/>
  <c r="CK96" i="9"/>
  <c r="CK109" i="9"/>
  <c r="I44" i="13"/>
  <c r="CL3" i="9"/>
  <c r="I71" i="14"/>
  <c r="I43" i="13"/>
  <c r="CK31" i="9"/>
  <c r="I25" i="18"/>
  <c r="I27" i="18"/>
  <c r="I26" i="13"/>
  <c r="AS94" i="7"/>
  <c r="I25" i="14"/>
  <c r="I45" i="13"/>
  <c r="I56" i="13"/>
  <c r="CL72" i="9"/>
  <c r="CL44" i="9"/>
  <c r="AS65" i="7"/>
  <c r="I47" i="18"/>
  <c r="J47" i="18" s="1"/>
  <c r="CL35" i="9"/>
  <c r="I70" i="14"/>
  <c r="AS67" i="7"/>
  <c r="CK18" i="9"/>
  <c r="I20" i="13"/>
  <c r="CL30" i="9"/>
  <c r="I40" i="13"/>
  <c r="AS93" i="7"/>
  <c r="I35" i="18"/>
  <c r="I57" i="14"/>
  <c r="I54" i="13"/>
  <c r="CK42" i="9"/>
  <c r="I58" i="13"/>
  <c r="CK67" i="9"/>
  <c r="CL41" i="9"/>
  <c r="AS64" i="7"/>
  <c r="I64" i="14"/>
  <c r="CK95" i="9"/>
  <c r="CK43" i="9"/>
  <c r="CL87" i="9"/>
  <c r="CK47" i="9"/>
  <c r="I36" i="14"/>
  <c r="CK81" i="9"/>
  <c r="I68" i="14"/>
  <c r="J68" i="14" s="1"/>
  <c r="CL64" i="9"/>
  <c r="I50" i="13"/>
  <c r="CL102" i="9"/>
  <c r="AS90" i="7"/>
  <c r="CL100" i="9"/>
  <c r="CK61" i="9"/>
  <c r="AS81" i="7"/>
  <c r="AS25" i="7"/>
  <c r="I37" i="14"/>
  <c r="I72" i="14"/>
  <c r="AS85" i="7"/>
  <c r="AS46" i="7"/>
  <c r="I59" i="13"/>
  <c r="I36" i="13"/>
  <c r="AS63" i="7"/>
  <c r="CK56" i="9"/>
  <c r="CK62" i="9"/>
  <c r="CK86" i="9"/>
  <c r="I36" i="18"/>
  <c r="AS76" i="7"/>
  <c r="I15" i="18"/>
  <c r="I37" i="13"/>
  <c r="I10" i="13"/>
  <c r="I9" i="13"/>
  <c r="CL22" i="9"/>
  <c r="I14" i="14"/>
  <c r="I64" i="13"/>
  <c r="CK105" i="9"/>
  <c r="CL71" i="9"/>
  <c r="I40" i="18"/>
  <c r="I43" i="14"/>
  <c r="I13" i="13"/>
  <c r="CL57" i="9"/>
  <c r="I52" i="13"/>
  <c r="J52" i="13" s="1"/>
  <c r="I19" i="14"/>
  <c r="I2" i="14"/>
  <c r="I30" i="13"/>
  <c r="I66" i="14"/>
  <c r="I41" i="14"/>
  <c r="CK107" i="9"/>
  <c r="I63" i="13"/>
  <c r="CL27" i="9"/>
  <c r="CL33" i="9"/>
  <c r="I34" i="18"/>
  <c r="I42" i="14"/>
  <c r="I63" i="18"/>
  <c r="I40" i="14"/>
  <c r="CL110" i="9"/>
  <c r="CK68" i="9"/>
  <c r="I33" i="14"/>
  <c r="I70" i="18"/>
  <c r="I17" i="13"/>
  <c r="I28" i="14"/>
  <c r="I38" i="14"/>
  <c r="I52" i="14"/>
  <c r="I43" i="18"/>
  <c r="AS37" i="7"/>
  <c r="I48" i="14"/>
  <c r="AS100" i="7"/>
  <c r="CL24" i="9"/>
  <c r="AS40" i="7"/>
  <c r="CK34" i="9"/>
  <c r="CL49" i="9"/>
  <c r="CK70" i="9"/>
  <c r="CK75" i="9"/>
  <c r="CK82" i="9"/>
  <c r="I62" i="18"/>
  <c r="I59" i="14"/>
  <c r="AS30" i="7"/>
  <c r="I46" i="18"/>
  <c r="CL97" i="9"/>
  <c r="I64" i="18"/>
  <c r="I39" i="18"/>
  <c r="I46" i="13"/>
  <c r="CK58" i="9"/>
  <c r="AS91" i="7"/>
  <c r="I51" i="18"/>
  <c r="CL38" i="9"/>
  <c r="I63" i="14"/>
  <c r="I52" i="18"/>
  <c r="I19" i="13"/>
  <c r="CK51" i="9"/>
  <c r="I39" i="13"/>
  <c r="J39" i="13" s="1"/>
  <c r="CK90" i="9"/>
  <c r="I60" i="13"/>
  <c r="I65" i="14"/>
  <c r="J65" i="14" s="1"/>
  <c r="CK73" i="9"/>
  <c r="CL55" i="9"/>
  <c r="AS97" i="7"/>
  <c r="CL39" i="9"/>
  <c r="I60" i="18"/>
  <c r="I54" i="18"/>
  <c r="CK60" i="9"/>
  <c r="I61" i="18"/>
  <c r="CK85" i="9"/>
  <c r="CL37" i="9"/>
  <c r="CL28" i="9"/>
  <c r="I66" i="13"/>
  <c r="AS55" i="7"/>
  <c r="AS73" i="7"/>
  <c r="AS38" i="7"/>
  <c r="I55" i="18"/>
  <c r="I24" i="13"/>
  <c r="I14" i="13"/>
  <c r="I7" i="18"/>
  <c r="CL10" i="9"/>
  <c r="I7" i="13"/>
  <c r="I10" i="18"/>
  <c r="J10" i="18" s="1"/>
  <c r="CL13" i="9"/>
  <c r="I58" i="14"/>
  <c r="I21" i="18"/>
  <c r="I32" i="14"/>
  <c r="I31" i="13"/>
  <c r="CK26" i="9"/>
  <c r="I8" i="13"/>
  <c r="I21" i="14"/>
  <c r="I23" i="14"/>
  <c r="I24" i="14"/>
  <c r="CK36" i="9"/>
  <c r="I29" i="14"/>
  <c r="J29" i="14" s="1"/>
  <c r="I18" i="14"/>
  <c r="I38" i="13"/>
  <c r="I71" i="18"/>
  <c r="I31" i="18"/>
  <c r="CK63" i="9"/>
  <c r="I29" i="18"/>
  <c r="CK11" i="9"/>
  <c r="I8" i="14"/>
  <c r="I12" i="13"/>
  <c r="I8" i="18"/>
  <c r="CK7" i="9"/>
  <c r="I7" i="14"/>
  <c r="I49" i="13"/>
  <c r="I19" i="18"/>
  <c r="CK32" i="9"/>
  <c r="CL8" i="9"/>
  <c r="I20" i="14"/>
  <c r="CK91" i="9"/>
  <c r="I12" i="14"/>
  <c r="CK84" i="9"/>
  <c r="CK9" i="9"/>
  <c r="CL15" i="9"/>
  <c r="I28" i="13"/>
  <c r="CL25" i="9"/>
  <c r="I27" i="14"/>
  <c r="J27" i="14" s="1"/>
  <c r="I51" i="14"/>
  <c r="CK23" i="9"/>
  <c r="CK16" i="9"/>
  <c r="AS5" i="7"/>
  <c r="AS8" i="7"/>
  <c r="AS43" i="7"/>
  <c r="AS4" i="7"/>
  <c r="AS6" i="7"/>
  <c r="AS7" i="7"/>
  <c r="I69" i="13"/>
  <c r="CL108" i="9"/>
  <c r="I48" i="13"/>
  <c r="J48" i="13" s="1"/>
  <c r="AS31" i="7"/>
  <c r="AS42" i="7"/>
  <c r="I46" i="14"/>
  <c r="CL45" i="9"/>
  <c r="CK14" i="9"/>
  <c r="I49" i="14"/>
  <c r="CK106" i="9"/>
  <c r="I55" i="14"/>
  <c r="CK77" i="9"/>
  <c r="CK53" i="9"/>
  <c r="CL21" i="9"/>
  <c r="CK99" i="9"/>
  <c r="I30" i="18"/>
  <c r="AS79" i="7"/>
  <c r="CK79" i="9"/>
  <c r="I17" i="14"/>
  <c r="J17" i="14" s="1"/>
  <c r="I61" i="14"/>
  <c r="I57" i="18"/>
  <c r="J56" i="18" s="1"/>
  <c r="I32" i="18"/>
  <c r="CK66" i="9"/>
  <c r="CL89" i="9"/>
  <c r="I31" i="14"/>
  <c r="I34" i="14"/>
  <c r="CL92" i="9"/>
  <c r="I34" i="13"/>
  <c r="CK54" i="9"/>
  <c r="CL94" i="9"/>
  <c r="I72" i="13"/>
  <c r="CK69" i="9"/>
  <c r="I23" i="13"/>
  <c r="AS103" i="7"/>
  <c r="CL50" i="9"/>
  <c r="I50" i="18"/>
  <c r="I22" i="14"/>
  <c r="CL101" i="9"/>
  <c r="I38" i="18"/>
  <c r="J38" i="18" s="1"/>
  <c r="I33" i="13"/>
  <c r="I47" i="14"/>
  <c r="AS87" i="7"/>
  <c r="CL93" i="9"/>
  <c r="I56" i="14"/>
  <c r="J56" i="14" s="1"/>
  <c r="I67" i="18"/>
  <c r="J67" i="18" s="1"/>
  <c r="I45" i="18"/>
  <c r="I28" i="18"/>
  <c r="J28" i="18" s="1"/>
  <c r="AS48" i="7"/>
  <c r="CK48" i="9"/>
  <c r="I59" i="18"/>
  <c r="AS41" i="7"/>
  <c r="I51" i="13"/>
  <c r="J51" i="13" s="1"/>
  <c r="CL76" i="9"/>
  <c r="I57" i="13"/>
  <c r="I50" i="14"/>
  <c r="I67" i="14"/>
  <c r="CK20" i="9"/>
  <c r="CK40" i="9"/>
  <c r="I65" i="13"/>
  <c r="I60" i="14"/>
  <c r="J60" i="14" s="1"/>
  <c r="AS107" i="7"/>
  <c r="AS44" i="7"/>
  <c r="I53" i="14"/>
  <c r="J53" i="14" s="1"/>
  <c r="CL78" i="9"/>
  <c r="I58" i="18"/>
  <c r="CL103" i="9"/>
  <c r="CL46" i="9"/>
  <c r="AS83" i="7"/>
  <c r="AS51" i="7"/>
  <c r="I66" i="18"/>
  <c r="I35" i="14"/>
  <c r="I26" i="14"/>
  <c r="I53" i="18"/>
  <c r="AS74" i="7"/>
  <c r="AS72" i="7"/>
  <c r="AS57" i="7"/>
  <c r="CK83" i="9"/>
  <c r="J40" i="14" l="1"/>
  <c r="J69" i="13"/>
  <c r="J28" i="13"/>
  <c r="J53" i="13"/>
  <c r="J48" i="18"/>
  <c r="J55" i="18"/>
  <c r="J38" i="14"/>
  <c r="J68" i="18"/>
  <c r="J33" i="13"/>
  <c r="J31" i="13"/>
  <c r="J29" i="13"/>
  <c r="J70" i="13"/>
  <c r="J16" i="13"/>
  <c r="J11" i="18"/>
  <c r="AT35" i="7"/>
  <c r="J72" i="13"/>
  <c r="K72" i="13" s="1"/>
  <c r="J7" i="18"/>
  <c r="J51" i="18"/>
  <c r="J63" i="13"/>
  <c r="J15" i="18"/>
  <c r="J18" i="18"/>
  <c r="J25" i="13"/>
  <c r="J67" i="14"/>
  <c r="J61" i="14"/>
  <c r="J51" i="14"/>
  <c r="J19" i="18"/>
  <c r="J8" i="18"/>
  <c r="J38" i="13"/>
  <c r="J58" i="14"/>
  <c r="J46" i="13"/>
  <c r="J46" i="18"/>
  <c r="J48" i="14"/>
  <c r="J70" i="14"/>
  <c r="K70" i="14" s="1"/>
  <c r="J27" i="13"/>
  <c r="J67" i="13"/>
  <c r="J39" i="18"/>
  <c r="AT32" i="7"/>
  <c r="J20" i="13"/>
  <c r="J6" i="13"/>
  <c r="J66" i="18"/>
  <c r="J46" i="14"/>
  <c r="J21" i="14"/>
  <c r="J32" i="14"/>
  <c r="J2" i="14"/>
  <c r="J13" i="13"/>
  <c r="J42" i="13"/>
  <c r="J71" i="18"/>
  <c r="K71" i="18" s="1"/>
  <c r="J65" i="13"/>
  <c r="J8" i="13"/>
  <c r="J8" i="14"/>
  <c r="J2" i="13"/>
  <c r="J55" i="13"/>
  <c r="J53" i="18"/>
  <c r="J22" i="14"/>
  <c r="J24" i="13"/>
  <c r="J60" i="18"/>
  <c r="J63" i="14"/>
  <c r="J62" i="18"/>
  <c r="J52" i="14"/>
  <c r="J70" i="18"/>
  <c r="J41" i="14"/>
  <c r="J43" i="14"/>
  <c r="J45" i="13"/>
  <c r="J27" i="18"/>
  <c r="J62" i="13"/>
  <c r="J22" i="18"/>
  <c r="J59" i="13"/>
  <c r="J26" i="14"/>
  <c r="J50" i="18"/>
  <c r="J34" i="13"/>
  <c r="J30" i="18"/>
  <c r="AT31" i="7"/>
  <c r="AT8" i="7"/>
  <c r="J66" i="13"/>
  <c r="J33" i="14"/>
  <c r="J63" i="18"/>
  <c r="J14" i="14"/>
  <c r="J36" i="14"/>
  <c r="J57" i="14"/>
  <c r="J26" i="18"/>
  <c r="J44" i="18"/>
  <c r="J65" i="18"/>
  <c r="J41" i="13"/>
  <c r="J22" i="13"/>
  <c r="AT7" i="7"/>
  <c r="J36" i="13"/>
  <c r="AT3" i="7"/>
  <c r="J39" i="14"/>
  <c r="AT23" i="7"/>
  <c r="AT12" i="7"/>
  <c r="AT19" i="7"/>
  <c r="J62" i="14"/>
  <c r="CM74" i="9"/>
  <c r="CN74" i="9" s="1"/>
  <c r="CM44" i="9"/>
  <c r="CN44" i="9" s="1"/>
  <c r="CM63" i="9"/>
  <c r="CN63" i="9" s="1"/>
  <c r="CM87" i="9"/>
  <c r="CN87" i="9" s="1"/>
  <c r="CM9" i="9"/>
  <c r="CN9" i="9" s="1"/>
  <c r="CM84" i="9"/>
  <c r="CN84" i="9" s="1"/>
  <c r="CM61" i="9"/>
  <c r="CN61" i="9" s="1"/>
  <c r="CM50" i="9"/>
  <c r="CN50" i="9" s="1"/>
  <c r="CM53" i="9"/>
  <c r="CN53" i="9" s="1"/>
  <c r="CM91" i="9"/>
  <c r="CN91" i="9" s="1"/>
  <c r="CM66" i="9"/>
  <c r="CN66" i="9" s="1"/>
  <c r="CM22" i="9"/>
  <c r="CN22" i="9" s="1"/>
  <c r="AT10" i="7"/>
  <c r="J50" i="14"/>
  <c r="J55" i="14"/>
  <c r="J4" i="14"/>
  <c r="J3" i="14"/>
  <c r="K3" i="14" s="1"/>
  <c r="J5" i="14"/>
  <c r="J20" i="14"/>
  <c r="AT18" i="7"/>
  <c r="J31" i="18"/>
  <c r="J18" i="14"/>
  <c r="AT21" i="7"/>
  <c r="AT11" i="7"/>
  <c r="J61" i="18"/>
  <c r="AT29" i="7"/>
  <c r="J37" i="14"/>
  <c r="J64" i="14"/>
  <c r="J58" i="13"/>
  <c r="J25" i="18"/>
  <c r="J15" i="14"/>
  <c r="J35" i="13"/>
  <c r="J5" i="13"/>
  <c r="J4" i="13"/>
  <c r="J21" i="13"/>
  <c r="J3" i="13"/>
  <c r="K3" i="13" s="1"/>
  <c r="J61" i="13"/>
  <c r="CM92" i="9"/>
  <c r="CN92" i="9" s="1"/>
  <c r="CM26" i="9"/>
  <c r="CN26" i="9" s="1"/>
  <c r="J57" i="13"/>
  <c r="J45" i="18"/>
  <c r="J32" i="18"/>
  <c r="AT4" i="7"/>
  <c r="J29" i="18"/>
  <c r="J24" i="14"/>
  <c r="J21" i="18"/>
  <c r="J7" i="13"/>
  <c r="AT38" i="7"/>
  <c r="J19" i="13"/>
  <c r="AT30" i="7"/>
  <c r="AT37" i="7"/>
  <c r="J28" i="14"/>
  <c r="J42" i="14"/>
  <c r="J32" i="13"/>
  <c r="J64" i="13"/>
  <c r="AT25" i="7"/>
  <c r="J44" i="13"/>
  <c r="AT33" i="7"/>
  <c r="J24" i="18"/>
  <c r="J3" i="18"/>
  <c r="K3" i="18" s="1"/>
  <c r="J5" i="18"/>
  <c r="J4" i="18"/>
  <c r="J6" i="18"/>
  <c r="J20" i="18"/>
  <c r="AT22" i="7"/>
  <c r="J10" i="14"/>
  <c r="J17" i="18"/>
  <c r="J54" i="14"/>
  <c r="AT17" i="7"/>
  <c r="J41" i="18"/>
  <c r="J42" i="18"/>
  <c r="AT27" i="7"/>
  <c r="CM109" i="9"/>
  <c r="CN109" i="9" s="1"/>
  <c r="CM58" i="9"/>
  <c r="CN58" i="9" s="1"/>
  <c r="CM49" i="9"/>
  <c r="CN49" i="9" s="1"/>
  <c r="CM35" i="9"/>
  <c r="CN35" i="9" s="1"/>
  <c r="CM13" i="9"/>
  <c r="CN13" i="9" s="1"/>
  <c r="CM24" i="9"/>
  <c r="CN24" i="9" s="1"/>
  <c r="CM57" i="9"/>
  <c r="CN57" i="9" s="1"/>
  <c r="J58" i="18"/>
  <c r="J47" i="14"/>
  <c r="J23" i="13"/>
  <c r="J31" i="14"/>
  <c r="J57" i="18"/>
  <c r="J49" i="14"/>
  <c r="J12" i="14"/>
  <c r="J7" i="14"/>
  <c r="J12" i="13"/>
  <c r="AT26" i="7"/>
  <c r="J23" i="14"/>
  <c r="J37" i="18"/>
  <c r="J54" i="18"/>
  <c r="J52" i="18"/>
  <c r="J64" i="18"/>
  <c r="J59" i="14"/>
  <c r="J43" i="18"/>
  <c r="J17" i="13"/>
  <c r="J34" i="18"/>
  <c r="J30" i="13"/>
  <c r="J40" i="18"/>
  <c r="AT15" i="7"/>
  <c r="J10" i="13"/>
  <c r="J36" i="18"/>
  <c r="J54" i="13"/>
  <c r="J40" i="13"/>
  <c r="J56" i="13"/>
  <c r="J26" i="13"/>
  <c r="J43" i="13"/>
  <c r="J30" i="14"/>
  <c r="J18" i="13"/>
  <c r="J13" i="18"/>
  <c r="J45" i="14"/>
  <c r="AT16" i="7"/>
  <c r="AT34" i="7"/>
  <c r="J16" i="14"/>
  <c r="J9" i="14"/>
  <c r="J11" i="14"/>
  <c r="AT9" i="7"/>
  <c r="J68" i="13"/>
  <c r="J16" i="18"/>
  <c r="J49" i="18"/>
  <c r="J44" i="14"/>
  <c r="J23" i="18"/>
  <c r="J47" i="13"/>
  <c r="J15" i="13"/>
  <c r="CM45" i="9"/>
  <c r="CN45" i="9" s="1"/>
  <c r="CM80" i="9"/>
  <c r="CN80" i="9" s="1"/>
  <c r="CM75" i="9"/>
  <c r="CN75" i="9" s="1"/>
  <c r="CM16" i="9"/>
  <c r="CN16" i="9" s="1"/>
  <c r="CM97" i="9"/>
  <c r="CN97" i="9" s="1"/>
  <c r="CM42" i="9"/>
  <c r="CN42" i="9" s="1"/>
  <c r="CM69" i="9"/>
  <c r="CN69" i="9" s="1"/>
  <c r="CM34" i="9"/>
  <c r="CN34" i="9" s="1"/>
  <c r="CM23" i="9"/>
  <c r="CN23" i="9" s="1"/>
  <c r="CM85" i="9"/>
  <c r="CN85" i="9" s="1"/>
  <c r="CM47" i="9"/>
  <c r="CN47" i="9" s="1"/>
  <c r="CM102" i="9"/>
  <c r="CN102" i="9" s="1"/>
  <c r="CM28" i="9"/>
  <c r="CN28" i="9" s="1"/>
  <c r="CM110" i="9"/>
  <c r="CN110" i="9" s="1"/>
  <c r="CM48" i="9"/>
  <c r="CN48" i="9" s="1"/>
  <c r="CM54" i="9"/>
  <c r="CN54" i="9" s="1"/>
  <c r="CM73" i="9"/>
  <c r="CN73" i="9" s="1"/>
  <c r="CM17" i="9"/>
  <c r="CN17" i="9" s="1"/>
  <c r="CM65" i="9"/>
  <c r="CN65" i="9" s="1"/>
  <c r="CM31" i="9"/>
  <c r="CN31" i="9" s="1"/>
  <c r="CM29" i="9"/>
  <c r="CN29" i="9" s="1"/>
  <c r="CM94" i="9"/>
  <c r="CN94" i="9" s="1"/>
  <c r="CM8" i="9"/>
  <c r="CN8" i="9" s="1"/>
  <c r="CM89" i="9"/>
  <c r="CN89" i="9" s="1"/>
  <c r="CM78" i="9"/>
  <c r="CN78" i="9" s="1"/>
  <c r="CM77" i="9"/>
  <c r="CN77" i="9" s="1"/>
  <c r="CM4" i="9"/>
  <c r="CN4" i="9" s="1"/>
  <c r="CM3" i="9"/>
  <c r="CN3" i="9" s="1"/>
  <c r="J2" i="18"/>
  <c r="J13" i="14"/>
  <c r="J11" i="13"/>
  <c r="AT24" i="7"/>
  <c r="AT28" i="7"/>
  <c r="J37" i="13"/>
  <c r="CM56" i="9"/>
  <c r="CN56" i="9" s="1"/>
  <c r="CM46" i="9"/>
  <c r="CN46" i="9" s="1"/>
  <c r="CM98" i="9"/>
  <c r="CN98" i="9" s="1"/>
  <c r="CM25" i="9"/>
  <c r="CN25" i="9" s="1"/>
  <c r="CM86" i="9"/>
  <c r="CN86" i="9" s="1"/>
  <c r="CM14" i="9"/>
  <c r="CN14" i="9" s="1"/>
  <c r="CM72" i="9"/>
  <c r="CN72" i="9" s="1"/>
  <c r="J35" i="14"/>
  <c r="AT6" i="7"/>
  <c r="J19" i="14"/>
  <c r="J35" i="18"/>
  <c r="J25" i="14"/>
  <c r="J71" i="13"/>
  <c r="K71" i="13" s="1"/>
  <c r="J33" i="18"/>
  <c r="CM79" i="9"/>
  <c r="CN79" i="9" s="1"/>
  <c r="CM30" i="9"/>
  <c r="CN30" i="9" s="1"/>
  <c r="CM10" i="9"/>
  <c r="CN10" i="9" s="1"/>
  <c r="CM7" i="9"/>
  <c r="CN7" i="9" s="1"/>
  <c r="CM100" i="9"/>
  <c r="CN100" i="9" s="1"/>
  <c r="CM90" i="9"/>
  <c r="CN90" i="9" s="1"/>
  <c r="CM95" i="9"/>
  <c r="CN95" i="9" s="1"/>
  <c r="CM11" i="9"/>
  <c r="CN11" i="9" s="1"/>
  <c r="CM55" i="9"/>
  <c r="CN55" i="9" s="1"/>
  <c r="CM105" i="9"/>
  <c r="CN105" i="9" s="1"/>
  <c r="CM36" i="9"/>
  <c r="CN36" i="9" s="1"/>
  <c r="CM32" i="9"/>
  <c r="CN32" i="9" s="1"/>
  <c r="CM51" i="9"/>
  <c r="CN51" i="9" s="1"/>
  <c r="CM20" i="9"/>
  <c r="CN20" i="9" s="1"/>
  <c r="CM18" i="9"/>
  <c r="CN18" i="9" s="1"/>
  <c r="CM83" i="9"/>
  <c r="CN83" i="9" s="1"/>
  <c r="CM81" i="9"/>
  <c r="CN81" i="9" s="1"/>
  <c r="CM43" i="9"/>
  <c r="CN43" i="9" s="1"/>
  <c r="CM88" i="9"/>
  <c r="CN88" i="9" s="1"/>
  <c r="CM52" i="9"/>
  <c r="CN52" i="9" s="1"/>
  <c r="CM71" i="9"/>
  <c r="CN71" i="9" s="1"/>
  <c r="CM99" i="9"/>
  <c r="CN99" i="9" s="1"/>
  <c r="CM96" i="9"/>
  <c r="CN96" i="9" s="1"/>
  <c r="J9" i="18"/>
  <c r="J14" i="18"/>
  <c r="J12" i="18"/>
  <c r="J49" i="13"/>
  <c r="J50" i="13"/>
  <c r="CM107" i="9"/>
  <c r="CN107" i="9" s="1"/>
  <c r="CM19" i="9"/>
  <c r="CN19" i="9" s="1"/>
  <c r="CM40" i="9"/>
  <c r="CN40" i="9" s="1"/>
  <c r="CM5" i="9"/>
  <c r="CN5" i="9" s="1"/>
  <c r="CM6" i="9"/>
  <c r="CN6" i="9" s="1"/>
  <c r="CM76" i="9"/>
  <c r="CN76" i="9" s="1"/>
  <c r="CM64" i="9"/>
  <c r="CN64" i="9" s="1"/>
  <c r="AT5" i="7"/>
  <c r="CM21" i="9"/>
  <c r="CN21" i="9" s="1"/>
  <c r="CM41" i="9"/>
  <c r="CN41" i="9" s="1"/>
  <c r="J59" i="18"/>
  <c r="J34" i="14"/>
  <c r="AT14" i="7"/>
  <c r="AT20" i="7"/>
  <c r="J14" i="13"/>
  <c r="J60" i="13"/>
  <c r="J66" i="14"/>
  <c r="J9" i="13"/>
  <c r="AT36" i="7"/>
  <c r="J69" i="18"/>
  <c r="J6" i="14"/>
  <c r="CM33" i="9"/>
  <c r="CN33" i="9" s="1"/>
  <c r="CM82" i="9"/>
  <c r="CN82" i="9" s="1"/>
  <c r="CM68" i="9"/>
  <c r="CN68" i="9" s="1"/>
  <c r="CM60" i="9"/>
  <c r="CN60" i="9" s="1"/>
  <c r="CM104" i="9"/>
  <c r="CN104" i="9" s="1"/>
  <c r="CM39" i="9"/>
  <c r="CN39" i="9" s="1"/>
  <c r="CM103" i="9"/>
  <c r="CN103" i="9" s="1"/>
  <c r="CM106" i="9"/>
  <c r="CN106" i="9" s="1"/>
  <c r="CM59" i="9"/>
  <c r="CN59" i="9" s="1"/>
  <c r="CM38" i="9"/>
  <c r="CN38" i="9" s="1"/>
  <c r="CM15" i="9"/>
  <c r="CN15" i="9" s="1"/>
  <c r="CM27" i="9"/>
  <c r="CN27" i="9" s="1"/>
  <c r="CM101" i="9"/>
  <c r="CN101" i="9" s="1"/>
  <c r="CM37" i="9"/>
  <c r="CN37" i="9" s="1"/>
  <c r="CM67" i="9"/>
  <c r="CN67" i="9" s="1"/>
  <c r="CM70" i="9"/>
  <c r="CN70" i="9" s="1"/>
  <c r="CM12" i="9"/>
  <c r="CN12" i="9" s="1"/>
  <c r="CM93" i="9"/>
  <c r="CN93" i="9" s="1"/>
  <c r="CM108" i="9"/>
  <c r="CN108" i="9" s="1"/>
  <c r="CM62" i="9"/>
  <c r="CN62" i="9" s="1"/>
  <c r="J69" i="14"/>
  <c r="AT13" i="7"/>
  <c r="K58" i="14" l="1"/>
  <c r="K69" i="14"/>
  <c r="K2" i="14"/>
  <c r="K2" i="18"/>
  <c r="K44" i="14"/>
  <c r="K18" i="13"/>
  <c r="K52" i="13"/>
  <c r="K64" i="18"/>
  <c r="K24" i="13"/>
  <c r="K46" i="18"/>
  <c r="K29" i="13"/>
  <c r="K66" i="13"/>
  <c r="K29" i="14"/>
  <c r="K21" i="14"/>
  <c r="K65" i="18"/>
  <c r="K33" i="14"/>
  <c r="K67" i="13"/>
  <c r="K63" i="18"/>
  <c r="K37" i="13"/>
  <c r="K17" i="14"/>
  <c r="K34" i="18"/>
  <c r="K38" i="13"/>
  <c r="K13" i="13"/>
  <c r="K65" i="13"/>
  <c r="K22" i="18"/>
  <c r="K25" i="13"/>
  <c r="K47" i="18"/>
  <c r="K46" i="14"/>
  <c r="K20" i="18"/>
  <c r="K70" i="18"/>
  <c r="K52" i="14"/>
  <c r="K7" i="18"/>
  <c r="K51" i="14"/>
  <c r="K65" i="14"/>
  <c r="K8" i="18"/>
  <c r="K45" i="13"/>
  <c r="K41" i="13"/>
  <c r="K53" i="18"/>
  <c r="K69" i="13"/>
  <c r="K23" i="13"/>
  <c r="K41" i="18"/>
  <c r="K63" i="13"/>
  <c r="K33" i="13"/>
  <c r="K50" i="14"/>
  <c r="K31" i="13"/>
  <c r="K25" i="14"/>
  <c r="K22" i="14"/>
  <c r="K17" i="18"/>
  <c r="K45" i="18"/>
  <c r="K69" i="18"/>
  <c r="K60" i="13"/>
  <c r="K49" i="13"/>
  <c r="K57" i="14"/>
  <c r="K11" i="18"/>
  <c r="K58" i="13"/>
  <c r="K43" i="14"/>
  <c r="K4" i="14"/>
  <c r="K8" i="14"/>
  <c r="K12" i="18"/>
  <c r="K35" i="18"/>
  <c r="K48" i="14"/>
  <c r="K41" i="14"/>
  <c r="K26" i="14"/>
  <c r="K15" i="13"/>
  <c r="K49" i="18"/>
  <c r="K48" i="18"/>
  <c r="K11" i="14"/>
  <c r="K30" i="14"/>
  <c r="K40" i="13"/>
  <c r="K17" i="13"/>
  <c r="K52" i="18"/>
  <c r="K7" i="14"/>
  <c r="K49" i="14"/>
  <c r="K55" i="13"/>
  <c r="K10" i="14"/>
  <c r="K6" i="18"/>
  <c r="K24" i="18"/>
  <c r="K7" i="13"/>
  <c r="K29" i="18"/>
  <c r="K57" i="13"/>
  <c r="K21" i="13"/>
  <c r="K6" i="13"/>
  <c r="K15" i="14"/>
  <c r="K64" i="14"/>
  <c r="K20" i="14"/>
  <c r="K27" i="14"/>
  <c r="K53" i="14"/>
  <c r="K68" i="18"/>
  <c r="K26" i="18"/>
  <c r="K14" i="14"/>
  <c r="K63" i="14"/>
  <c r="K19" i="18"/>
  <c r="K60" i="14"/>
  <c r="K59" i="13"/>
  <c r="K28" i="18"/>
  <c r="K39" i="13"/>
  <c r="K11" i="13"/>
  <c r="K47" i="13"/>
  <c r="K16" i="18"/>
  <c r="K9" i="14"/>
  <c r="K45" i="14"/>
  <c r="K43" i="13"/>
  <c r="K54" i="13"/>
  <c r="K40" i="18"/>
  <c r="K43" i="18"/>
  <c r="K54" i="18"/>
  <c r="K23" i="14"/>
  <c r="K12" i="14"/>
  <c r="K57" i="18"/>
  <c r="K47" i="14"/>
  <c r="K42" i="13"/>
  <c r="K4" i="18"/>
  <c r="K64" i="13"/>
  <c r="K42" i="14"/>
  <c r="K51" i="18"/>
  <c r="K21" i="18"/>
  <c r="K66" i="18"/>
  <c r="K44" i="18"/>
  <c r="K4" i="13"/>
  <c r="K25" i="18"/>
  <c r="K37" i="14"/>
  <c r="K61" i="18"/>
  <c r="K18" i="14"/>
  <c r="K5" i="14"/>
  <c r="K48" i="13"/>
  <c r="K62" i="14"/>
  <c r="K2" i="13"/>
  <c r="K67" i="14"/>
  <c r="K68" i="14"/>
  <c r="K51" i="13"/>
  <c r="K56" i="13"/>
  <c r="K10" i="13"/>
  <c r="K12" i="13"/>
  <c r="K58" i="18"/>
  <c r="K56" i="18"/>
  <c r="K27" i="13"/>
  <c r="K27" i="18"/>
  <c r="K36" i="13"/>
  <c r="K62" i="18"/>
  <c r="K34" i="13"/>
  <c r="K6" i="14"/>
  <c r="K9" i="13"/>
  <c r="K14" i="13"/>
  <c r="K34" i="14"/>
  <c r="K46" i="13"/>
  <c r="K38" i="18"/>
  <c r="K66" i="14"/>
  <c r="K59" i="18"/>
  <c r="K10" i="18"/>
  <c r="K61" i="14"/>
  <c r="K14" i="18"/>
  <c r="K39" i="18"/>
  <c r="K16" i="13"/>
  <c r="K50" i="13"/>
  <c r="K60" i="18"/>
  <c r="K56" i="14"/>
  <c r="K9" i="18"/>
  <c r="K33" i="18"/>
  <c r="K18" i="18"/>
  <c r="K19" i="14"/>
  <c r="K8" i="13"/>
  <c r="K35" i="14"/>
  <c r="K50" i="18"/>
  <c r="K13" i="14"/>
  <c r="K23" i="18"/>
  <c r="K68" i="13"/>
  <c r="K16" i="14"/>
  <c r="K13" i="18"/>
  <c r="K26" i="13"/>
  <c r="K36" i="18"/>
  <c r="K30" i="13"/>
  <c r="K59" i="14"/>
  <c r="K37" i="18"/>
  <c r="K28" i="13"/>
  <c r="K31" i="14"/>
  <c r="K67" i="18"/>
  <c r="K42" i="18"/>
  <c r="K54" i="14"/>
  <c r="K53" i="13"/>
  <c r="K5" i="18"/>
  <c r="K44" i="13"/>
  <c r="K32" i="13"/>
  <c r="K28" i="14"/>
  <c r="K19" i="13"/>
  <c r="K24" i="14"/>
  <c r="K32" i="18"/>
  <c r="K61" i="13"/>
  <c r="K5" i="13"/>
  <c r="K35" i="13"/>
  <c r="K20" i="13"/>
  <c r="K15" i="18"/>
  <c r="K38" i="14"/>
  <c r="K55" i="18"/>
  <c r="K31" i="18"/>
  <c r="K55" i="14"/>
  <c r="K22" i="13"/>
  <c r="K39" i="14"/>
  <c r="K62" i="13"/>
  <c r="K36" i="14"/>
  <c r="K40" i="14"/>
  <c r="K32" i="14"/>
  <c r="K30" i="18"/>
  <c r="K70" i="13"/>
</calcChain>
</file>

<file path=xl/sharedStrings.xml><?xml version="1.0" encoding="utf-8"?>
<sst xmlns="http://schemas.openxmlformats.org/spreadsheetml/2006/main" count="10269" uniqueCount="309">
  <si>
    <t>VMAX</t>
  </si>
  <si>
    <t>Site</t>
  </si>
  <si>
    <t>FDC</t>
  </si>
  <si>
    <t>% full</t>
  </si>
  <si>
    <t>Total GB</t>
  </si>
  <si>
    <t>Used GB</t>
  </si>
  <si>
    <t>Thin Devices</t>
  </si>
  <si>
    <t># Devices</t>
  </si>
  <si>
    <t># Allocated</t>
  </si>
  <si>
    <t>Enabled Pool Devices</t>
  </si>
  <si>
    <t>subscription</t>
  </si>
  <si>
    <t>Virtual Capacity GB</t>
  </si>
  <si>
    <t>CGC</t>
  </si>
  <si>
    <t>RDC</t>
  </si>
  <si>
    <t>CGC Tier 4 VMAX 623</t>
  </si>
  <si>
    <t>RDC Tier 3 VMAX 552</t>
  </si>
  <si>
    <t>RDC Tier 4 VMAX 678</t>
  </si>
  <si>
    <t>on the sanmgt2 servers run the following commands</t>
  </si>
  <si>
    <t>The total Allocated GBs is the number to put in the used field on the table</t>
  </si>
  <si>
    <t>This gives the number of TDEVS available for allocation. Take away from the total number of devices to give the number of allocated thin devices.</t>
  </si>
  <si>
    <t>fdcsan-mgt2</t>
  </si>
  <si>
    <t>CGC Tier 3 VMAX 745</t>
  </si>
  <si>
    <t>FDC Tier 4 VMAX 879</t>
  </si>
  <si>
    <t>symcfg -sid 623 -pool 0623_450_20 show -thin -detail -gb | grep -v Enabled | grep -v Bound</t>
  </si>
  <si>
    <t>symcfg -sid 745 -pool 0745_300_10 show -thin -detail -gb | grep -v Enabled | grep -v Bound</t>
  </si>
  <si>
    <t>symcfg -sid 678 -pool 0678_450_20 show -thin -detail -gb | grep -v Enabled | grep -v Bound</t>
  </si>
  <si>
    <t>symcfg -sid 552 -pool 0552_300_10 show -thin -detail -gb | grep -v Enabled | grep -v Bound</t>
  </si>
  <si>
    <t>Port</t>
  </si>
  <si>
    <t>View</t>
  </si>
  <si>
    <t>Num</t>
  </si>
  <si>
    <t>Mapped</t>
  </si>
  <si>
    <t>Port Group Name</t>
  </si>
  <si>
    <t>Count</t>
  </si>
  <si>
    <t>Logins</t>
  </si>
  <si>
    <t>Devices</t>
  </si>
  <si>
    <t>Capacity (GB)</t>
  </si>
  <si>
    <t>--------------------------------</t>
  </si>
  <si>
    <t>-----</t>
  </si>
  <si>
    <t>------</t>
  </si>
  <si>
    <t>-------</t>
  </si>
  <si>
    <t>------------</t>
  </si>
  <si>
    <t>0879_7F1_10F0</t>
  </si>
  <si>
    <t>0879_8F1_9F0</t>
  </si>
  <si>
    <t>0879_8F0_9F1</t>
  </si>
  <si>
    <t>0879_8G1_9G0</t>
  </si>
  <si>
    <t>0879_8H0_9H1</t>
  </si>
  <si>
    <t>0879_8H1_9H0</t>
  </si>
  <si>
    <t>0879_8E1_9E0</t>
  </si>
  <si>
    <t>0879_8G0_9G1</t>
  </si>
  <si>
    <t>0879_7H1_10H0</t>
  </si>
  <si>
    <t>0879_7H0_10H1</t>
  </si>
  <si>
    <t>0879_7E0_10E1</t>
  </si>
  <si>
    <t>0879_7E1_10E0</t>
  </si>
  <si>
    <t>0879_7G1_10G0</t>
  </si>
  <si>
    <t>0879_8E0_9E1</t>
  </si>
  <si>
    <t>0879_7F0_10F1</t>
  </si>
  <si>
    <t>0879_7G0_10G1</t>
  </si>
  <si>
    <t>0678_7H0_10H1</t>
  </si>
  <si>
    <t>0678_8F1_9F0</t>
  </si>
  <si>
    <t>0678_7E1_10E0</t>
  </si>
  <si>
    <t>0678_8G1_9G0</t>
  </si>
  <si>
    <t>0678_8F0_9F1</t>
  </si>
  <si>
    <t>0678_8H1_9H0</t>
  </si>
  <si>
    <t>0678_8G0_9G1</t>
  </si>
  <si>
    <t>0678_7F0_10F1</t>
  </si>
  <si>
    <t>0678_8E1_9E0</t>
  </si>
  <si>
    <t>0678_7G1_10G0</t>
  </si>
  <si>
    <t>0678_7E0_10E1</t>
  </si>
  <si>
    <t>0678_8E0_9E1</t>
  </si>
  <si>
    <t>0678_7H1_10H0</t>
  </si>
  <si>
    <t>0678_7G0_10G1</t>
  </si>
  <si>
    <t>Limits</t>
  </si>
  <si>
    <t>These limits are somewhat arbitary. Once they have been reached the configuration must be considered. Eg. 32TB of storage is used for a VMWare farm made up of 11 servers. All servers can see all 32TB through several port groups. These port groups will all show greater than 32TB mapped capacity but this is acceptable if there are enough port groups to service the volume of storage.</t>
  </si>
  <si>
    <t>logins</t>
  </si>
  <si>
    <t>Capacity</t>
  </si>
  <si>
    <t>Available</t>
  </si>
  <si>
    <t>Totals</t>
  </si>
  <si>
    <t>GB Allocated</t>
  </si>
  <si>
    <t>export PATH=$PATH:/opt/emc/SYMCLI/V7.1.1/bin</t>
  </si>
  <si>
    <t>capacity threshold</t>
  </si>
  <si>
    <t>Pool-&gt;
Size -&gt;</t>
  </si>
  <si>
    <t>Used -&gt;
GB -&gt;</t>
  </si>
  <si>
    <t>. /export/home/san/.profile</t>
  </si>
  <si>
    <t>symcfg -sid 879 -pool 0879_450_20 show -thin -detail -gb | grep -v Enabled | grep -v Bound</t>
  </si>
  <si>
    <t>symcfg -sid 231 -pool 2231_450_20 show -thin -detail -gb | grep -v Enabled | grep -v Bound</t>
  </si>
  <si>
    <t>symcfg -sid 262 -pool 2262_450_20 show -thin -detail -gb | grep -v Enabled | grep -v Bound</t>
  </si>
  <si>
    <t>FDC Tier 3 VMAX 231</t>
  </si>
  <si>
    <t>edcsan-mgt1</t>
  </si>
  <si>
    <t>/var/opt/san/cm/cap</t>
  </si>
  <si>
    <t>symdev -sid 262 list -noport -tdev -bound | grep 34526 | grep TDEV | wc -l</t>
  </si>
  <si>
    <t>symdev -sid 231 list -noport  -tdev -bound| grep 34526 | grep TDEV | wc -l</t>
  </si>
  <si>
    <t>symdev -sid 879 list -noport  -tdev -bound| grep 34526 | grep TDEV | wc -l</t>
  </si>
  <si>
    <t>symdev -sid 552 list -noport  -tdev -bound| grep 34526 | grep TDEV | wc -l</t>
  </si>
  <si>
    <t>symdev -sid 678 list -noport  -tdev -bound| grep 34526 | grep TDEV | wc -l</t>
  </si>
  <si>
    <t>symdev -sid 745 list -noport  -tdev -bound| grep 34526 | grep TDEV | wc -l</t>
  </si>
  <si>
    <t>symdev -sid 623 list -noport  -tdev -bound| grep 34526 | grep TDEV | wc -l</t>
  </si>
  <si>
    <t>Row</t>
  </si>
  <si>
    <t>3286</t>
  </si>
  <si>
    <t>2804</t>
  </si>
  <si>
    <t>0623</t>
  </si>
  <si>
    <t>0745</t>
  </si>
  <si>
    <t>0552</t>
  </si>
  <si>
    <t>0678</t>
  </si>
  <si>
    <t>2230</t>
  </si>
  <si>
    <t>3073</t>
  </si>
  <si>
    <t>0879</t>
  </si>
  <si>
    <t>2231</t>
  </si>
  <si>
    <t>3004</t>
  </si>
  <si>
    <t>RDC VMAX 3286</t>
  </si>
  <si>
    <t>RDC VMAX 3073</t>
  </si>
  <si>
    <t>RDC VMAX 2230</t>
  </si>
  <si>
    <t>FDC Tier 4 VMAX 3004</t>
  </si>
  <si>
    <t>FDC Tier 4 VMAX 2804</t>
  </si>
  <si>
    <t>Max Column</t>
  </si>
  <si>
    <t>N</t>
  </si>
  <si>
    <t>Full formula</t>
  </si>
  <si>
    <t>INDIRECT("Table!A" &amp; $U3)</t>
  </si>
  <si>
    <t>IF(ISERROR(MATCH(B$1,INDIRECT("Table!A"&amp;$U3):INDIRECT("Table!" &amp; $X$3 &amp; $U3),0)),"",INDIRECT(CONCATENATE("Table!",ADDRESS($Q3,MATCH(B$1,INDIRECT("Table!A" &amp; $U3):INDIRECT("Table!" &amp; $X$3 &amp; $U3),0)))))</t>
  </si>
  <si>
    <t>INDIRECT(CONCATENATE("Table!",ADDRESS($Q3,MATCH(B$1,INDIRECT("Table!A" &amp; $U3):INDIRECT("Table!" &amp; $X$3 &amp; $U3),0))))</t>
  </si>
  <si>
    <t>CONCATENATE("Table!",ADDRESS($Q3,MATCH(B$1,INDIRECT("Table!A" &amp; $U3):INDIRECT("Table!" &amp; $X$3 &amp; $U3),0)))</t>
  </si>
  <si>
    <t>ADDRESS($Q3,MATCH(B$1,INDIRECT("Table!A" &amp; $U3):INDIRECT("Table!" &amp; $X$3 &amp; $U3),0))</t>
  </si>
  <si>
    <t>MATCH(B$1,INDIRECT("Table!A" &amp; $U3):INDIRECT("Table!" &amp; $X$3 &amp; $U3),0)</t>
  </si>
  <si>
    <t>INDIRECT("Table!" &amp; $X$3 &amp; $U3)</t>
  </si>
  <si>
    <t>ISERROR(MATCH(B$1,INDIRECT("Table!A"&amp;$U3):INDIRECT("Table!" &amp; $X$3 &amp; $U3),0))</t>
  </si>
  <si>
    <t>Check to see if it can find a match with the array (FALSDE = match found)</t>
  </si>
  <si>
    <t>Result to display if a match was found (blank if no match found)</t>
  </si>
  <si>
    <t>The cell relating to the matched array, the correct date and the specified field</t>
  </si>
  <si>
    <t>The range list number of the matched array</t>
  </si>
  <si>
    <t>Used to build the row range - start</t>
  </si>
  <si>
    <t>Used to build the row range - end</t>
  </si>
  <si>
    <t>Value</t>
  </si>
  <si>
    <t>Formula segment</t>
  </si>
  <si>
    <t>Column R</t>
  </si>
  <si>
    <t>Column Q</t>
  </si>
  <si>
    <t>Column S</t>
  </si>
  <si>
    <t>Column U</t>
  </si>
  <si>
    <t>Column V</t>
  </si>
  <si>
    <t>Column W</t>
  </si>
  <si>
    <t>Column X</t>
  </si>
  <si>
    <t>Cell R2 specifies the field to find</t>
  </si>
  <si>
    <t>Cell S2 specifies the relative position of the R2 field in the table</t>
  </si>
  <si>
    <t>Cell V2 specifies the field to find - i.e. 'VMAX'</t>
  </si>
  <si>
    <t>Cell W2 specifies the relative position of the V2 field in the table</t>
  </si>
  <si>
    <t>This lists the row in the Table Sheet for the field specified in cell R2 of this sheet. This will be different fo each date</t>
  </si>
  <si>
    <t>This lists the row in the Table Sheet for the field specified in cell V2 of this sheet. This is used to build up an array range. It finds the row with 'VMAX' in it.  This will be different fo each date</t>
  </si>
  <si>
    <t>Cell X3 shows the maximum column used when building up the array range</t>
  </si>
  <si>
    <t>If it finds a match, it will execute the search</t>
  </si>
  <si>
    <t>The search finds the specific Table depending on the date.</t>
  </si>
  <si>
    <t>It will also find the relevant field, depending on what is specified in cell R2. This will vary according to the sheet and charts</t>
  </si>
  <si>
    <t>The formula will initally try to match the array at the top of the column wilh the built up range of arrays. The range of arrays will vary between dates, since old dates may not include new arrays. It uses columns Q to X to build up the arrays range</t>
  </si>
  <si>
    <t>Formula breakdown</t>
  </si>
  <si>
    <t>Sample data</t>
  </si>
  <si>
    <t>Field search information</t>
  </si>
  <si>
    <t>General steps in formula</t>
  </si>
  <si>
    <t>symdev -sid 2230 list -noport  -tdev -bound| grep 34526 | grep TDEV | wc -l</t>
  </si>
  <si>
    <t>symdev -sid 3286 list -noport  -tdev -bound| grep 34526 | grep TDEV | wc -l</t>
  </si>
  <si>
    <t>symcfg -sid 3286 -pool 3286_450GB show -thin -detail -gb | grep -v Enabled | grep -v Bound</t>
  </si>
  <si>
    <t>symcfg -sid 2230 -pool 2230_450GB show -thin -detail -gb | grep -v Enabled | grep -v Bound</t>
  </si>
  <si>
    <t>symdev -sid 3004 list -noport  -tdev -bound| grep 34526 | grep TDEV | wc -l</t>
  </si>
  <si>
    <t>symdev -sid 2804 list -noport -tdev -bound | grep 34526 | grep TDEV | wc -l</t>
  </si>
  <si>
    <t>symcfg -sid 2804 -pool 2804_450GB show -thin -detail -gb | grep -v Enabled | grep -v Bound</t>
  </si>
  <si>
    <t>symcfg -sid 3004 -pool 3004_450GB show -thin -detail -gb | grep -v Enabled | grep -v Bound</t>
  </si>
  <si>
    <t>symcfg -sid 3073 -pool 3073_450GB show -thin -detail -gb | grep -v Enabled | grep -v Bound</t>
  </si>
  <si>
    <t>symdev -sid 3073 list -noport  -tdev -bound| grep 34526 | grep TDEV | wc -l</t>
  </si>
  <si>
    <t>cgcsan-mgt2 (/var/tmp/smstat)</t>
  </si>
  <si>
    <t>rdcsan-mgt2 (/export/home/san/capacity/smstat)</t>
  </si>
  <si>
    <t>CGC T4 V-MAX 0623</t>
  </si>
  <si>
    <t>CGC T3 V-MAX 0745</t>
  </si>
  <si>
    <t>RDC T3 V-MAX 0552</t>
  </si>
  <si>
    <t>RDC T4 V-MAX 0678</t>
  </si>
  <si>
    <t>RDC T3 V-MAX 3286</t>
  </si>
  <si>
    <t>RDC T4 V-MAX 3073</t>
  </si>
  <si>
    <t>RDC T3 V-MAX 2230</t>
  </si>
  <si>
    <t>FDC T4 V-MAX 0879</t>
  </si>
  <si>
    <t>FDC T4 V-MAX 3004</t>
  </si>
  <si>
    <t>FDC T3 V-MAX 2231</t>
  </si>
  <si>
    <t>3073 remaining</t>
  </si>
  <si>
    <t>GB</t>
  </si>
  <si>
    <t>3696</t>
  </si>
  <si>
    <t>3875</t>
  </si>
  <si>
    <t>RDC VMAX 3875</t>
  </si>
  <si>
    <t>FDC VMAX 3696</t>
  </si>
  <si>
    <t>2262</t>
  </si>
  <si>
    <t>ZDC</t>
  </si>
  <si>
    <t>0377</t>
  </si>
  <si>
    <t>ZDC T4 VMAX 0377</t>
  </si>
  <si>
    <t>ZDC T4 VMAV 0377</t>
  </si>
  <si>
    <t>FDC Tier 4 VMAX 3875</t>
  </si>
  <si>
    <t>RDC Tier 4 VMAX 3696</t>
  </si>
  <si>
    <t>FDC T3 V-MAX 2804</t>
  </si>
  <si>
    <t>EFD Pool Devices</t>
  </si>
  <si>
    <t>SATA Pool Devices</t>
  </si>
  <si>
    <t>"Virtual Capacity GB" Subscription</t>
  </si>
  <si>
    <t>"GB Allocated" subscription</t>
  </si>
  <si>
    <t>FC Pool Devices</t>
  </si>
  <si>
    <t>Total disk (GB)</t>
  </si>
  <si>
    <t>What's left (TB)</t>
  </si>
  <si>
    <t>2231 - Configured Devices
10027</t>
  </si>
  <si>
    <t>4652</t>
  </si>
  <si>
    <t>4330</t>
  </si>
  <si>
    <t>FDC T3 V-MAX 4652</t>
  </si>
  <si>
    <t>RDC T3 V-MAX 4330</t>
  </si>
  <si>
    <t>RDC VMAX 4330</t>
  </si>
  <si>
    <t>FDC VMAX 4652</t>
  </si>
  <si>
    <t>RDC Tier 4 VMAX 4330</t>
  </si>
  <si>
    <t>FDC Tier 4 VMAX 4652</t>
  </si>
  <si>
    <t>0347</t>
  </si>
  <si>
    <t>0349</t>
  </si>
  <si>
    <t>RDC T4 V-MAX 0347</t>
  </si>
  <si>
    <t>FDC T4 V-MAX 0349</t>
  </si>
  <si>
    <t>RDC VMAX 0347</t>
  </si>
  <si>
    <t>FDC VMAX 0349</t>
  </si>
  <si>
    <t>RDC Tier 4 VMAX 0347</t>
  </si>
  <si>
    <t>FDC Tier 4 VMAX 0349</t>
  </si>
  <si>
    <t>RDC T3 V-MAX 3696</t>
  </si>
  <si>
    <t>FDC T3 V-MAX 3875</t>
  </si>
  <si>
    <t>subscription vs Mapped</t>
  </si>
  <si>
    <t>subscription vs allocated</t>
  </si>
  <si>
    <t>GB Mapped(First Port)</t>
  </si>
  <si>
    <t>Total</t>
  </si>
  <si>
    <t>0677</t>
  </si>
  <si>
    <t>0667</t>
  </si>
  <si>
    <t>0671</t>
  </si>
  <si>
    <t>RDC T3 VMAX 0671</t>
  </si>
  <si>
    <t>FDC T3 VMAX 667</t>
  </si>
  <si>
    <t>SUM</t>
  </si>
  <si>
    <t>Pool Size</t>
  </si>
  <si>
    <t>Used</t>
  </si>
  <si>
    <t>Free</t>
  </si>
  <si>
    <t>% Utilization</t>
  </si>
  <si>
    <t>Diff</t>
  </si>
  <si>
    <t>CGC Tier 4  (TB Pool Size)</t>
  </si>
  <si>
    <t>CGC Tier 3  (TB Pool Size)</t>
  </si>
  <si>
    <t>RDC Tier 3 (TB Pool Size)</t>
  </si>
  <si>
    <t>RDC Tier 4 (TB Pool Size)</t>
  </si>
  <si>
    <t>FDC Tier 4  (TB Pool Size)</t>
  </si>
  <si>
    <t>FDC tier 3  (TB Pool Size)</t>
  </si>
  <si>
    <t>ZDC Tier 4  (TB Pool Size)</t>
  </si>
  <si>
    <t>CGC Tier 4  (TB Used)</t>
  </si>
  <si>
    <t>CGC Tier 3  (TB Used)</t>
  </si>
  <si>
    <t>RDC Tier 3 (TB Used)</t>
  </si>
  <si>
    <t>RDC Tier 4 (TB Used)</t>
  </si>
  <si>
    <t>FDC Tier 4  (TB Used)</t>
  </si>
  <si>
    <t>FDC tier 3  (TB Used)</t>
  </si>
  <si>
    <t>ZDC Tier 4  (TB Used)</t>
  </si>
  <si>
    <t>Date</t>
  </si>
  <si>
    <t>Allocated</t>
  </si>
  <si>
    <t>Alloc %</t>
  </si>
  <si>
    <t>Usable GBs</t>
  </si>
  <si>
    <t>Free GBs</t>
  </si>
  <si>
    <t>Used GBs</t>
  </si>
  <si>
    <t>Configured Devices</t>
  </si>
  <si>
    <t>Available Devices</t>
  </si>
  <si>
    <t>Mapped Storage Total</t>
  </si>
  <si>
    <t>ARRAY</t>
  </si>
  <si>
    <t>0689</t>
  </si>
  <si>
    <t>0710</t>
  </si>
  <si>
    <t>CGC Non-Rep</t>
  </si>
  <si>
    <t>CGC-Rep</t>
  </si>
  <si>
    <t>RDC Non-Rep</t>
  </si>
  <si>
    <t>RDC-Rep</t>
  </si>
  <si>
    <t>FDC Non-Rep</t>
  </si>
  <si>
    <t>FDC-Rep</t>
  </si>
  <si>
    <t>ZDC Non-Rep</t>
  </si>
  <si>
    <t>Total Rep</t>
  </si>
  <si>
    <t>Total Non-Rep</t>
  </si>
  <si>
    <t>0706</t>
  </si>
  <si>
    <t>0712</t>
  </si>
  <si>
    <t>0709</t>
  </si>
  <si>
    <t>0713</t>
  </si>
  <si>
    <t>CGC Tier 3  (TB Alloc)</t>
  </si>
  <si>
    <t>RDC Tier 3 (TB Alloc)</t>
  </si>
  <si>
    <t>RDC Tier 4 (TB Alloc)</t>
  </si>
  <si>
    <t>FDC Tier 4  (TB Alloc)</t>
  </si>
  <si>
    <t>FDC tier 3  (TB Alloc)</t>
  </si>
  <si>
    <t>ZDC Tier 4  (TB Alloc)</t>
  </si>
  <si>
    <t>CGC Tier 4  (TB Alloc)</t>
  </si>
  <si>
    <t>RDC T3 V-Max 0689</t>
  </si>
  <si>
    <t>RDC T3 V-Max 0706</t>
  </si>
  <si>
    <t>FDC T3 V-Max 0710</t>
  </si>
  <si>
    <t>FDC T3 V-Max 0712</t>
  </si>
  <si>
    <t>FDC T4 V-Max 0709</t>
  </si>
  <si>
    <t>FDC T3 V-Max 0713</t>
  </si>
  <si>
    <t>RDC T3 VMAX 0689</t>
  </si>
  <si>
    <t>FDC T3 VMAX 0710</t>
  </si>
  <si>
    <t>RDC T3 VMAX 0706</t>
  </si>
  <si>
    <t>FDC T3 VMAX 0712</t>
  </si>
  <si>
    <t>FDC T4 VMAX 0709</t>
  </si>
  <si>
    <t>FDC T4 V-Max 0713</t>
  </si>
  <si>
    <t>FDC T4 VMAX 0713</t>
  </si>
  <si>
    <t>0703</t>
  </si>
  <si>
    <t>0688</t>
  </si>
  <si>
    <t>0705</t>
  </si>
  <si>
    <t>0699</t>
  </si>
  <si>
    <t>0485</t>
  </si>
  <si>
    <t>0704</t>
  </si>
  <si>
    <t>RDC T4 V-Max 0704</t>
  </si>
  <si>
    <t>CGC T4 V-Max 0703</t>
  </si>
  <si>
    <t>RDC T3 V-Max 0688</t>
  </si>
  <si>
    <t>CGC T3 V-Max 0705</t>
  </si>
  <si>
    <t>RDC T4 V-Max 0699</t>
  </si>
  <si>
    <t>RDC T4 V-Max 0485</t>
  </si>
  <si>
    <t>AI</t>
  </si>
  <si>
    <t>7/45/2014</t>
  </si>
  <si>
    <t xml:space="preserve">Avg </t>
  </si>
  <si>
    <t>Avg</t>
  </si>
  <si>
    <t>Total Rep+Non-Rep</t>
  </si>
  <si>
    <t>1383</t>
  </si>
  <si>
    <t>ZDC T4 VMAX 1383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</si>
</sst>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409]d\-mmm\-yy;@"/>
    <numFmt numFmtId="165" formatCode="0.0"/>
    <numFmt numFmtId="166" formatCode="[$-F800]dddd\,\ mmmm\ dd\,\ yyyy"/>
    <numFmt numFmtId="167" formatCode="dd/mm/yy;@"/>
  </numFmts>
  <fonts count="37" x14ac:knownFonts="1">
    <font>
      <sz val="11"/>
      <color theme="1"/>
      <name val="Calibri"/>
      <family val="2"/>
      <scheme val="minor"/>
    </font>
    <font>
      <sz val="11"/>
      <color theme="1"/>
      <name val="Times New Roman"/>
      <family val="2"/>
    </font>
    <font>
      <sz val="8"/>
      <name val="Calibri"/>
      <family val="2"/>
    </font>
    <font>
      <b/>
      <sz val="11"/>
      <color theme="1"/>
      <name val="Calibri"/>
      <family val="2"/>
      <scheme val="minor"/>
    </font>
    <font>
      <sz val="11"/>
      <name val="Calibri"/>
      <family val="2"/>
      <scheme val="minor"/>
    </font>
    <font>
      <sz val="11"/>
      <color theme="1"/>
      <name val="Calibri"/>
      <family val="2"/>
      <scheme val="minor"/>
    </font>
    <font>
      <sz val="10"/>
      <name val="MS Sans Serif"/>
      <family val="2"/>
    </font>
    <font>
      <sz val="10"/>
      <name val="Arial"/>
      <family val="2"/>
      <charset val="238"/>
    </font>
    <font>
      <sz val="10"/>
      <name val="Arial"/>
      <family val="2"/>
    </font>
    <font>
      <sz val="10"/>
      <name val="Helv"/>
      <family val="2"/>
    </font>
    <font>
      <sz val="11"/>
      <color rgb="FFFF0000"/>
      <name val="Calibri"/>
      <family val="2"/>
      <scheme val="minor"/>
    </font>
    <font>
      <b/>
      <sz val="11"/>
      <color theme="7"/>
      <name val="Calibri"/>
      <family val="2"/>
      <scheme val="minor"/>
    </font>
    <font>
      <sz val="11"/>
      <color theme="7"/>
      <name val="Calibri"/>
      <family val="2"/>
      <scheme val="minor"/>
    </font>
    <font>
      <b/>
      <sz val="18"/>
      <color indexed="56"/>
      <name val="Cambri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9"/>
      <color theme="1"/>
      <name val="Calibri"/>
      <family val="2"/>
      <scheme val="minor"/>
    </font>
    <font>
      <sz val="11"/>
      <color theme="1" tint="0.34998626667073579"/>
      <name val="Calibri"/>
      <family val="2"/>
      <scheme val="minor"/>
    </font>
    <font>
      <sz val="11"/>
      <color indexed="8"/>
      <name val="Times New Roman"/>
      <family val="2"/>
    </font>
    <font>
      <b/>
      <sz val="11"/>
      <color theme="1"/>
      <name val="Times New Roman"/>
      <family val="2"/>
    </font>
    <font>
      <b/>
      <sz val="11"/>
      <name val="Calibri"/>
      <family val="2"/>
      <scheme val="minor"/>
    </font>
    <font>
      <b/>
      <sz val="11"/>
      <color rgb="FFFF0000"/>
      <name val="Calibri"/>
      <family val="2"/>
      <scheme val="minor"/>
    </font>
    <font>
      <sz val="11"/>
      <color rgb="FF000000"/>
      <name val="Calibri"/>
      <family val="2"/>
    </font>
  </fonts>
  <fills count="33">
    <fill>
      <patternFill patternType="none"/>
    </fill>
    <fill>
      <patternFill patternType="gray125"/>
    </fill>
    <fill>
      <patternFill patternType="solid">
        <fgColor indexed="44"/>
        <bgColor indexed="64"/>
      </patternFill>
    </fill>
    <fill>
      <patternFill patternType="solid">
        <fgColor indexed="11"/>
        <bgColor indexed="64"/>
      </patternFill>
    </fill>
    <fill>
      <patternFill patternType="solid">
        <fgColor rgb="FF00FF00"/>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00000"/>
        <bgColor indexed="64"/>
      </patternFill>
    </fill>
    <fill>
      <patternFill patternType="solid">
        <fgColor rgb="FF969696"/>
        <bgColor indexed="64"/>
      </patternFill>
    </fill>
    <fill>
      <patternFill patternType="solid">
        <fgColor rgb="FF00B0F0"/>
        <bgColor indexed="64"/>
      </patternFill>
    </fill>
    <fill>
      <patternFill patternType="solid">
        <fgColor theme="8" tint="0.39997558519241921"/>
        <bgColor indexed="64"/>
      </patternFill>
    </fill>
    <fill>
      <patternFill patternType="solid">
        <fgColor rgb="FF99CCFF"/>
        <bgColor indexed="64"/>
      </patternFill>
    </fill>
  </fills>
  <borders count="163">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medium">
        <color indexed="64"/>
      </bottom>
      <diagonal/>
    </border>
    <border>
      <left style="medium">
        <color indexed="64"/>
      </left>
      <right/>
      <top/>
      <bottom/>
      <diagonal/>
    </border>
    <border>
      <left style="thin">
        <color auto="1"/>
      </left>
      <right style="thin">
        <color auto="1"/>
      </right>
      <top style="thin">
        <color auto="1"/>
      </top>
      <bottom/>
      <diagonal/>
    </border>
    <border>
      <left style="thin">
        <color auto="1"/>
      </left>
      <right style="medium">
        <color indexed="64"/>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auto="1"/>
      </top>
      <bottom/>
      <diagonal/>
    </border>
    <border>
      <left/>
      <right style="thin">
        <color indexed="64"/>
      </right>
      <top style="thin">
        <color indexed="64"/>
      </top>
      <bottom style="medium">
        <color indexed="64"/>
      </bottom>
      <diagonal/>
    </border>
    <border>
      <left style="thin">
        <color auto="1"/>
      </left>
      <right style="medium">
        <color indexed="64"/>
      </right>
      <top style="thin">
        <color auto="1"/>
      </top>
      <bottom style="medium">
        <color auto="1"/>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auto="1"/>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medium">
        <color indexed="64"/>
      </right>
      <top style="thin">
        <color auto="1"/>
      </top>
      <bottom style="medium">
        <color auto="1"/>
      </bottom>
      <diagonal/>
    </border>
    <border>
      <left/>
      <right style="medium">
        <color indexed="64"/>
      </right>
      <top style="thin">
        <color auto="1"/>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style="thin">
        <color auto="1"/>
      </top>
      <bottom style="medium">
        <color auto="1"/>
      </bottom>
      <diagonal/>
    </border>
    <border>
      <left style="medium">
        <color indexed="64"/>
      </left>
      <right style="thin">
        <color indexed="64"/>
      </right>
      <top style="thin">
        <color indexed="64"/>
      </top>
      <bottom/>
      <diagonal/>
    </border>
    <border>
      <left style="thin">
        <color indexed="64"/>
      </left>
      <right style="medium">
        <color indexed="64"/>
      </right>
      <top style="thin">
        <color auto="1"/>
      </top>
      <bottom/>
      <diagonal/>
    </border>
    <border>
      <left style="thin">
        <color auto="1"/>
      </left>
      <right style="thin">
        <color auto="1"/>
      </right>
      <top style="thin">
        <color auto="1"/>
      </top>
      <bottom/>
      <diagonal/>
    </border>
    <border>
      <left style="thin">
        <color indexed="64"/>
      </left>
      <right/>
      <top style="thin">
        <color indexed="64"/>
      </top>
      <bottom/>
      <diagonal/>
    </border>
    <border>
      <left style="medium">
        <color indexed="64"/>
      </left>
      <right/>
      <top style="thin">
        <color auto="1"/>
      </top>
      <bottom/>
      <diagonal/>
    </border>
    <border>
      <left/>
      <right style="thin">
        <color indexed="64"/>
      </right>
      <top style="thin">
        <color indexed="64"/>
      </top>
      <bottom/>
      <diagonal/>
    </border>
    <border>
      <left/>
      <right style="medium">
        <color indexed="64"/>
      </right>
      <top style="thin">
        <color auto="1"/>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64"/>
      </left>
      <right style="medium">
        <color indexed="64"/>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auto="1"/>
      </top>
      <bottom/>
      <diagonal/>
    </border>
    <border>
      <left style="thin">
        <color indexed="64"/>
      </left>
      <right/>
      <top style="thin">
        <color indexed="64"/>
      </top>
      <bottom style="thin">
        <color indexed="64"/>
      </bottom>
      <diagonal/>
    </border>
    <border>
      <left style="thin">
        <color auto="1"/>
      </left>
      <right/>
      <top style="thin">
        <color auto="1"/>
      </top>
      <bottom style="medium">
        <color auto="1"/>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auto="1"/>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31891">
    <xf numFmtId="0" fontId="0" fillId="0" borderId="0"/>
    <xf numFmtId="0" fontId="6" fillId="0" borderId="0"/>
    <xf numFmtId="0" fontId="7" fillId="0" borderId="0"/>
    <xf numFmtId="0" fontId="5" fillId="0" borderId="0"/>
    <xf numFmtId="0" fontId="6" fillId="0" borderId="0"/>
    <xf numFmtId="0" fontId="8" fillId="0" borderId="0"/>
    <xf numFmtId="0" fontId="5" fillId="0" borderId="0"/>
    <xf numFmtId="0" fontId="9" fillId="0" borderId="0"/>
    <xf numFmtId="0" fontId="1" fillId="0" borderId="0"/>
    <xf numFmtId="0" fontId="8" fillId="0" borderId="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8" fillId="25" borderId="17"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0" fillId="8" borderId="0" applyNumberFormat="0" applyBorder="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1" fillId="0" borderId="18"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2" fillId="0" borderId="19"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5" fillId="0" borderId="21" applyNumberFormat="0" applyFill="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5" fillId="0" borderId="0"/>
    <xf numFmtId="0" fontId="8" fillId="0" borderId="0"/>
    <xf numFmtId="0" fontId="14" fillId="0" borderId="0"/>
    <xf numFmtId="0" fontId="5" fillId="0" borderId="0"/>
    <xf numFmtId="0" fontId="8" fillId="0" borderId="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5" fillId="0" borderId="0"/>
    <xf numFmtId="0" fontId="8" fillId="0" borderId="0"/>
    <xf numFmtId="0" fontId="1"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8" fillId="0" borderId="0"/>
    <xf numFmtId="0" fontId="5" fillId="0" borderId="0"/>
    <xf numFmtId="0" fontId="5" fillId="0" borderId="0"/>
    <xf numFmtId="0" fontId="8" fillId="0" borderId="0"/>
    <xf numFmtId="0" fontId="1" fillId="0" borderId="0"/>
    <xf numFmtId="0" fontId="5" fillId="0" borderId="0"/>
    <xf numFmtId="0" fontId="8"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5" fillId="0" borderId="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 fillId="0" borderId="0"/>
    <xf numFmtId="0" fontId="5" fillId="0" borderId="0"/>
    <xf numFmtId="0" fontId="8" fillId="0" borderId="0"/>
    <xf numFmtId="0" fontId="1" fillId="0" borderId="0"/>
    <xf numFmtId="0" fontId="5" fillId="0" borderId="0"/>
    <xf numFmtId="0" fontId="8" fillId="0" borderId="0"/>
    <xf numFmtId="0" fontId="5" fillId="0" borderId="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17" fillId="24"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24" fillId="11" borderId="16" applyNumberFormat="0" applyAlignment="0" applyProtection="0"/>
    <xf numFmtId="0" fontId="8" fillId="0" borderId="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14" fillId="27" borderId="22" applyNumberFormat="0" applyFon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7" fillId="24" borderId="23" applyNumberFormat="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28" fillId="0" borderId="24" applyNumberFormat="0" applyFill="0" applyAlignment="0" applyProtection="0"/>
    <xf numFmtId="0" fontId="1" fillId="0" borderId="0"/>
    <xf numFmtId="0" fontId="5" fillId="0" borderId="0"/>
    <xf numFmtId="0" fontId="8" fillId="0" borderId="0"/>
    <xf numFmtId="0" fontId="5" fillId="0" borderId="0"/>
    <xf numFmtId="0" fontId="5" fillId="0" borderId="0"/>
    <xf numFmtId="0" fontId="8" fillId="0" borderId="0"/>
    <xf numFmtId="0" fontId="5"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5" fillId="0" borderId="0"/>
    <xf numFmtId="0" fontId="8" fillId="0" borderId="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17" fillId="24"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24" fillId="11" borderId="29" applyNumberForma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14" fillId="27" borderId="30" applyNumberFormat="0" applyFon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7" fillId="24" borderId="31" applyNumberFormat="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28" fillId="0" borderId="32" applyNumberFormat="0" applyFill="0" applyAlignment="0" applyProtection="0"/>
    <xf numFmtId="0" fontId="17" fillId="24" borderId="105" applyNumberFormat="0" applyAlignment="0" applyProtection="0"/>
    <xf numFmtId="0" fontId="24" fillId="11" borderId="84" applyNumberFormat="0" applyAlignment="0" applyProtection="0"/>
    <xf numFmtId="0" fontId="27" fillId="24" borderId="80"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72" applyNumberFormat="0" applyFont="0" applyAlignment="0" applyProtection="0"/>
    <xf numFmtId="0" fontId="28" fillId="0" borderId="74" applyNumberFormat="0" applyFill="0" applyAlignment="0" applyProtection="0"/>
    <xf numFmtId="0" fontId="28" fillId="0" borderId="74" applyNumberFormat="0" applyFill="0" applyAlignment="0" applyProtection="0"/>
    <xf numFmtId="0" fontId="27" fillId="24" borderId="73" applyNumberFormat="0" applyAlignment="0" applyProtection="0"/>
    <xf numFmtId="0" fontId="27" fillId="24" borderId="90" applyNumberFormat="0" applyAlignment="0" applyProtection="0"/>
    <xf numFmtId="0" fontId="28" fillId="0" borderId="81" applyNumberFormat="0" applyFill="0" applyAlignment="0" applyProtection="0"/>
    <xf numFmtId="0" fontId="28" fillId="0" borderId="108" applyNumberFormat="0" applyFill="0" applyAlignment="0" applyProtection="0"/>
    <xf numFmtId="0" fontId="27" fillId="24" borderId="80" applyNumberFormat="0" applyAlignment="0" applyProtection="0"/>
    <xf numFmtId="0" fontId="27" fillId="24" borderId="90" applyNumberFormat="0" applyAlignment="0" applyProtection="0"/>
    <xf numFmtId="0" fontId="14" fillId="27" borderId="79" applyNumberFormat="0" applyFont="0" applyAlignment="0" applyProtection="0"/>
    <xf numFmtId="0" fontId="17" fillId="24" borderId="78" applyNumberFormat="0" applyAlignment="0" applyProtection="0"/>
    <xf numFmtId="0" fontId="28" fillId="0" borderId="81" applyNumberFormat="0" applyFill="0" applyAlignment="0" applyProtection="0"/>
    <xf numFmtId="0" fontId="27" fillId="24" borderId="90" applyNumberFormat="0" applyAlignment="0" applyProtection="0"/>
    <xf numFmtId="0" fontId="24" fillId="11" borderId="78" applyNumberFormat="0" applyAlignment="0" applyProtection="0"/>
    <xf numFmtId="0" fontId="27" fillId="24" borderId="80" applyNumberFormat="0" applyAlignment="0" applyProtection="0"/>
    <xf numFmtId="0" fontId="28" fillId="0" borderId="102" applyNumberFormat="0" applyFill="0" applyAlignment="0" applyProtection="0"/>
    <xf numFmtId="0" fontId="14" fillId="27" borderId="79"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7" fillId="24" borderId="78"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80" applyNumberFormat="0" applyAlignment="0" applyProtection="0"/>
    <xf numFmtId="0" fontId="24" fillId="11" borderId="88" applyNumberFormat="0" applyAlignment="0" applyProtection="0"/>
    <xf numFmtId="0" fontId="24" fillId="11" borderId="88" applyNumberFormat="0" applyAlignment="0" applyProtection="0"/>
    <xf numFmtId="0" fontId="28" fillId="0" borderId="91" applyNumberFormat="0" applyFill="0" applyAlignment="0" applyProtection="0"/>
    <xf numFmtId="0" fontId="27" fillId="24" borderId="80" applyNumberFormat="0" applyAlignment="0" applyProtection="0"/>
    <xf numFmtId="0" fontId="28" fillId="0" borderId="91" applyNumberFormat="0" applyFill="0" applyAlignment="0" applyProtection="0"/>
    <xf numFmtId="0" fontId="24" fillId="11" borderId="99" applyNumberFormat="0" applyAlignment="0" applyProtection="0"/>
    <xf numFmtId="0" fontId="14" fillId="27" borderId="79" applyNumberFormat="0" applyFont="0" applyAlignment="0" applyProtection="0"/>
    <xf numFmtId="0" fontId="27" fillId="24" borderId="80" applyNumberFormat="0" applyAlignment="0" applyProtection="0"/>
    <xf numFmtId="0" fontId="14" fillId="27" borderId="79" applyNumberFormat="0" applyFont="0" applyAlignment="0" applyProtection="0"/>
    <xf numFmtId="0" fontId="24" fillId="11" borderId="88" applyNumberFormat="0" applyAlignment="0" applyProtection="0"/>
    <xf numFmtId="0" fontId="24" fillId="11" borderId="88" applyNumberFormat="0" applyAlignment="0" applyProtection="0"/>
    <xf numFmtId="0" fontId="17" fillId="24" borderId="78" applyNumberFormat="0" applyAlignment="0" applyProtection="0"/>
    <xf numFmtId="0" fontId="28" fillId="0" borderId="91" applyNumberFormat="0" applyFill="0" applyAlignment="0" applyProtection="0"/>
    <xf numFmtId="0" fontId="28" fillId="0" borderId="81" applyNumberFormat="0" applyFill="0" applyAlignment="0" applyProtection="0"/>
    <xf numFmtId="0" fontId="28" fillId="0" borderId="91" applyNumberFormat="0" applyFill="0" applyAlignment="0" applyProtection="0"/>
    <xf numFmtId="0" fontId="24" fillId="11" borderId="78" applyNumberFormat="0" applyAlignment="0" applyProtection="0"/>
    <xf numFmtId="0" fontId="14" fillId="27" borderId="79" applyNumberFormat="0" applyFont="0" applyAlignment="0" applyProtection="0"/>
    <xf numFmtId="0" fontId="28" fillId="0" borderId="91" applyNumberFormat="0" applyFill="0" applyAlignment="0" applyProtection="0"/>
    <xf numFmtId="0" fontId="14" fillId="27" borderId="79"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7" fillId="24" borderId="78"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80" applyNumberFormat="0" applyAlignment="0" applyProtection="0"/>
    <xf numFmtId="0" fontId="24" fillId="11" borderId="78" applyNumberFormat="0" applyAlignment="0" applyProtection="0"/>
    <xf numFmtId="0" fontId="24" fillId="11" borderId="88" applyNumberFormat="0" applyAlignment="0" applyProtection="0"/>
    <xf numFmtId="0" fontId="24" fillId="11" borderId="78" applyNumberFormat="0" applyAlignment="0" applyProtection="0"/>
    <xf numFmtId="0" fontId="24" fillId="11" borderId="99" applyNumberFormat="0" applyAlignment="0" applyProtection="0"/>
    <xf numFmtId="0" fontId="27" fillId="24" borderId="80" applyNumberFormat="0" applyAlignment="0" applyProtection="0"/>
    <xf numFmtId="0" fontId="14" fillId="27" borderId="93" applyNumberFormat="0" applyFont="0" applyAlignment="0" applyProtection="0"/>
    <xf numFmtId="0" fontId="28" fillId="0" borderId="81" applyNumberFormat="0" applyFill="0" applyAlignment="0" applyProtection="0"/>
    <xf numFmtId="0" fontId="24" fillId="11" borderId="92" applyNumberFormat="0" applyAlignment="0" applyProtection="0"/>
    <xf numFmtId="0" fontId="24" fillId="11" borderId="92" applyNumberFormat="0" applyAlignment="0" applyProtection="0"/>
    <xf numFmtId="0" fontId="24" fillId="11" borderId="84" applyNumberFormat="0" applyAlignment="0" applyProtection="0"/>
    <xf numFmtId="0" fontId="27" fillId="24" borderId="86" applyNumberFormat="0" applyAlignment="0" applyProtection="0"/>
    <xf numFmtId="0" fontId="27" fillId="24" borderId="86" applyNumberFormat="0" applyAlignment="0" applyProtection="0"/>
    <xf numFmtId="0" fontId="14" fillId="27" borderId="85" applyNumberFormat="0" applyFon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7" fillId="24" borderId="80" applyNumberFormat="0" applyAlignment="0" applyProtection="0"/>
    <xf numFmtId="0" fontId="27" fillId="24" borderId="80"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80" applyNumberFormat="0" applyAlignment="0" applyProtection="0"/>
    <xf numFmtId="0" fontId="27" fillId="24" borderId="80" applyNumberFormat="0" applyAlignment="0" applyProtection="0"/>
    <xf numFmtId="0" fontId="24" fillId="11" borderId="78" applyNumberFormat="0" applyAlignment="0" applyProtection="0"/>
    <xf numFmtId="0" fontId="24" fillId="11" borderId="78" applyNumberFormat="0" applyAlignment="0" applyProtection="0"/>
    <xf numFmtId="0" fontId="28" fillId="0" borderId="91" applyNumberFormat="0" applyFill="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99"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4" fillId="11" borderId="99" applyNumberFormat="0" applyAlignment="0" applyProtection="0"/>
    <xf numFmtId="0" fontId="27" fillId="24" borderId="101" applyNumberFormat="0" applyAlignment="0" applyProtection="0"/>
    <xf numFmtId="0" fontId="24" fillId="11" borderId="105" applyNumberFormat="0" applyAlignment="0" applyProtection="0"/>
    <xf numFmtId="0" fontId="17" fillId="24" borderId="8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17" fillId="24" borderId="99" applyNumberFormat="0" applyAlignment="0" applyProtection="0"/>
    <xf numFmtId="0" fontId="17" fillId="24" borderId="105" applyNumberFormat="0" applyAlignment="0" applyProtection="0"/>
    <xf numFmtId="0" fontId="17" fillId="24" borderId="92"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8" fillId="0" borderId="95" applyNumberFormat="0" applyFill="0" applyAlignment="0" applyProtection="0"/>
    <xf numFmtId="0" fontId="27" fillId="24" borderId="94" applyNumberFormat="0" applyAlignment="0" applyProtection="0"/>
    <xf numFmtId="0" fontId="27" fillId="24" borderId="94"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4" fillId="11" borderId="92" applyNumberFormat="0" applyAlignment="0" applyProtection="0"/>
    <xf numFmtId="0" fontId="24" fillId="11"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9" applyNumberFormat="0" applyAlignment="0" applyProtection="0"/>
    <xf numFmtId="0" fontId="17" fillId="24" borderId="99" applyNumberFormat="0" applyAlignment="0" applyProtection="0"/>
    <xf numFmtId="0" fontId="14" fillId="27" borderId="100" applyNumberFormat="0" applyFont="0" applyAlignment="0" applyProtection="0"/>
    <xf numFmtId="0" fontId="17" fillId="24" borderId="99" applyNumberFormat="0" applyAlignment="0" applyProtection="0"/>
    <xf numFmtId="0" fontId="17" fillId="24" borderId="92"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7" fillId="24" borderId="92" applyNumberFormat="0" applyAlignment="0" applyProtection="0"/>
    <xf numFmtId="0" fontId="24" fillId="11" borderId="84" applyNumberFormat="0" applyAlignment="0" applyProtection="0"/>
    <xf numFmtId="0" fontId="28" fillId="0" borderId="74" applyNumberFormat="0" applyFill="0" applyAlignment="0" applyProtection="0"/>
    <xf numFmtId="0" fontId="17" fillId="24" borderId="84" applyNumberFormat="0" applyAlignment="0" applyProtection="0"/>
    <xf numFmtId="0" fontId="14" fillId="27" borderId="72" applyNumberFormat="0" applyFont="0" applyAlignment="0" applyProtection="0"/>
    <xf numFmtId="0" fontId="27" fillId="24" borderId="73" applyNumberFormat="0" applyAlignment="0" applyProtection="0"/>
    <xf numFmtId="0" fontId="28" fillId="0" borderId="74" applyNumberFormat="0" applyFill="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4" fillId="11" borderId="78" applyNumberFormat="0" applyAlignment="0" applyProtection="0"/>
    <xf numFmtId="0" fontId="28" fillId="0" borderId="74"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17" fillId="24" borderId="92" applyNumberFormat="0" applyAlignment="0" applyProtection="0"/>
    <xf numFmtId="0" fontId="14" fillId="27" borderId="72" applyNumberFormat="0" applyFont="0" applyAlignment="0" applyProtection="0"/>
    <xf numFmtId="0" fontId="24" fillId="11" borderId="84" applyNumberFormat="0" applyAlignment="0" applyProtection="0"/>
    <xf numFmtId="0" fontId="24" fillId="11" borderId="84" applyNumberFormat="0" applyAlignment="0" applyProtection="0"/>
    <xf numFmtId="0" fontId="14" fillId="27" borderId="72" applyNumberFormat="0" applyFont="0" applyAlignment="0" applyProtection="0"/>
    <xf numFmtId="0" fontId="28" fillId="0" borderId="74" applyNumberFormat="0" applyFill="0" applyAlignment="0" applyProtection="0"/>
    <xf numFmtId="0" fontId="24" fillId="11" borderId="99" applyNumberFormat="0" applyAlignment="0" applyProtection="0"/>
    <xf numFmtId="0" fontId="28" fillId="0" borderId="102"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7" fillId="24" borderId="92" applyNumberFormat="0" applyAlignment="0" applyProtection="0"/>
    <xf numFmtId="0" fontId="24" fillId="11" borderId="99" applyNumberFormat="0" applyAlignment="0" applyProtection="0"/>
    <xf numFmtId="0" fontId="17" fillId="24" borderId="99" applyNumberFormat="0" applyAlignment="0" applyProtection="0"/>
    <xf numFmtId="0" fontId="27" fillId="24" borderId="101"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4" fillId="27" borderId="72" applyNumberFormat="0" applyFont="0" applyAlignment="0" applyProtection="0"/>
    <xf numFmtId="0" fontId="28" fillId="0" borderId="74" applyNumberFormat="0" applyFill="0" applyAlignment="0" applyProtection="0"/>
    <xf numFmtId="0" fontId="27" fillId="24" borderId="73" applyNumberFormat="0" applyAlignment="0" applyProtection="0"/>
    <xf numFmtId="0" fontId="14" fillId="27" borderId="72" applyNumberFormat="0" applyFont="0" applyAlignment="0" applyProtection="0"/>
    <xf numFmtId="0" fontId="27" fillId="24" borderId="107" applyNumberFormat="0" applyAlignment="0" applyProtection="0"/>
    <xf numFmtId="0" fontId="28" fillId="0" borderId="87" applyNumberFormat="0" applyFill="0" applyAlignment="0" applyProtection="0"/>
    <xf numFmtId="0" fontId="28" fillId="0" borderId="74" applyNumberFormat="0" applyFill="0" applyAlignment="0" applyProtection="0"/>
    <xf numFmtId="0" fontId="24" fillId="11" borderId="71" applyNumberFormat="0" applyAlignment="0" applyProtection="0"/>
    <xf numFmtId="0" fontId="24" fillId="11" borderId="84"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4" fillId="11" borderId="84" applyNumberFormat="0" applyAlignment="0" applyProtection="0"/>
    <xf numFmtId="0" fontId="28" fillId="0" borderId="74" applyNumberFormat="0" applyFill="0" applyAlignment="0" applyProtection="0"/>
    <xf numFmtId="0" fontId="27" fillId="24" borderId="73" applyNumberFormat="0" applyAlignment="0" applyProtection="0"/>
    <xf numFmtId="0" fontId="27" fillId="24" borderId="86" applyNumberFormat="0" applyAlignment="0" applyProtection="0"/>
    <xf numFmtId="0" fontId="28" fillId="0" borderId="74" applyNumberFormat="0" applyFill="0" applyAlignment="0" applyProtection="0"/>
    <xf numFmtId="0" fontId="24" fillId="11" borderId="84" applyNumberFormat="0" applyAlignment="0" applyProtection="0"/>
    <xf numFmtId="0" fontId="28" fillId="0" borderId="74" applyNumberFormat="0" applyFill="0" applyAlignment="0" applyProtection="0"/>
    <xf numFmtId="0" fontId="17" fillId="24" borderId="105" applyNumberFormat="0" applyAlignment="0" applyProtection="0"/>
    <xf numFmtId="0" fontId="14" fillId="27" borderId="100" applyNumberFormat="0" applyFont="0" applyAlignment="0" applyProtection="0"/>
    <xf numFmtId="0" fontId="14" fillId="27" borderId="106" applyNumberFormat="0" applyFont="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4" fillId="27" borderId="100" applyNumberFormat="0" applyFont="0" applyAlignment="0" applyProtection="0"/>
    <xf numFmtId="0" fontId="28" fillId="0" borderId="102" applyNumberFormat="0" applyFill="0" applyAlignment="0" applyProtection="0"/>
    <xf numFmtId="0" fontId="24" fillId="11" borderId="99" applyNumberFormat="0" applyAlignment="0" applyProtection="0"/>
    <xf numFmtId="0" fontId="27" fillId="24" borderId="101"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27" fillId="24" borderId="94" applyNumberFormat="0" applyAlignment="0" applyProtection="0"/>
    <xf numFmtId="0" fontId="28" fillId="0" borderId="87"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4" fillId="11" borderId="88" applyNumberFormat="0" applyAlignment="0" applyProtection="0"/>
    <xf numFmtId="0" fontId="24" fillId="11" borderId="71" applyNumberFormat="0" applyAlignment="0" applyProtection="0"/>
    <xf numFmtId="0" fontId="27" fillId="24" borderId="73" applyNumberFormat="0" applyAlignment="0" applyProtection="0"/>
    <xf numFmtId="0" fontId="14" fillId="27" borderId="72" applyNumberFormat="0" applyFont="0" applyAlignment="0" applyProtection="0"/>
    <xf numFmtId="0" fontId="28" fillId="0" borderId="87" applyNumberFormat="0" applyFill="0" applyAlignment="0" applyProtection="0"/>
    <xf numFmtId="0" fontId="17" fillId="24" borderId="71" applyNumberFormat="0" applyAlignment="0" applyProtection="0"/>
    <xf numFmtId="0" fontId="14" fillId="27" borderId="89" applyNumberFormat="0" applyFont="0" applyAlignment="0" applyProtection="0"/>
    <xf numFmtId="0" fontId="27" fillId="24" borderId="86" applyNumberFormat="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27" fillId="24" borderId="86" applyNumberFormat="0" applyAlignment="0" applyProtection="0"/>
    <xf numFmtId="0" fontId="24" fillId="11" borderId="84" applyNumberFormat="0" applyAlignment="0" applyProtection="0"/>
    <xf numFmtId="0" fontId="14" fillId="27" borderId="100" applyNumberFormat="0" applyFont="0" applyAlignment="0" applyProtection="0"/>
    <xf numFmtId="0" fontId="27" fillId="24" borderId="107" applyNumberFormat="0" applyAlignment="0" applyProtection="0"/>
    <xf numFmtId="0" fontId="28" fillId="0" borderId="102"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14" fillId="27" borderId="100" applyNumberFormat="0" applyFont="0" applyAlignment="0" applyProtection="0"/>
    <xf numFmtId="0" fontId="28" fillId="0" borderId="102" applyNumberFormat="0" applyFill="0" applyAlignment="0" applyProtection="0"/>
    <xf numFmtId="0" fontId="24" fillId="11" borderId="99" applyNumberFormat="0" applyAlignment="0" applyProtection="0"/>
    <xf numFmtId="0" fontId="28" fillId="0" borderId="102" applyNumberFormat="0" applyFill="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4" fillId="11" borderId="84" applyNumberFormat="0" applyAlignment="0" applyProtection="0"/>
    <xf numFmtId="0" fontId="27" fillId="24" borderId="73" applyNumberFormat="0" applyAlignment="0" applyProtection="0"/>
    <xf numFmtId="0" fontId="27" fillId="24" borderId="86" applyNumberFormat="0" applyAlignment="0" applyProtection="0"/>
    <xf numFmtId="0" fontId="28" fillId="0" borderId="87"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7" fillId="24" borderId="107" applyNumberFormat="0" applyAlignment="0" applyProtection="0"/>
    <xf numFmtId="0" fontId="24" fillId="11" borderId="71" applyNumberFormat="0" applyAlignment="0" applyProtection="0"/>
    <xf numFmtId="0" fontId="27" fillId="24" borderId="73" applyNumberFormat="0" applyAlignment="0" applyProtection="0"/>
    <xf numFmtId="0" fontId="14" fillId="27" borderId="72" applyNumberFormat="0" applyFont="0" applyAlignment="0" applyProtection="0"/>
    <xf numFmtId="0" fontId="28" fillId="0" borderId="87" applyNumberFormat="0" applyFill="0" applyAlignment="0" applyProtection="0"/>
    <xf numFmtId="0" fontId="17" fillId="24" borderId="71" applyNumberFormat="0" applyAlignment="0" applyProtection="0"/>
    <xf numFmtId="0" fontId="27" fillId="24" borderId="90" applyNumberFormat="0" applyAlignment="0" applyProtection="0"/>
    <xf numFmtId="0" fontId="27" fillId="24" borderId="86" applyNumberFormat="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4" fillId="27" borderId="72" applyNumberFormat="0" applyFont="0" applyAlignment="0" applyProtection="0"/>
    <xf numFmtId="0" fontId="24" fillId="11" borderId="71" applyNumberFormat="0" applyAlignment="0" applyProtection="0"/>
    <xf numFmtId="0" fontId="27" fillId="24" borderId="94" applyNumberFormat="0" applyAlignment="0" applyProtection="0"/>
    <xf numFmtId="0" fontId="28" fillId="0" borderId="87" applyNumberFormat="0" applyFill="0" applyAlignment="0" applyProtection="0"/>
    <xf numFmtId="0" fontId="27" fillId="24" borderId="73" applyNumberFormat="0" applyAlignment="0" applyProtection="0"/>
    <xf numFmtId="0" fontId="27" fillId="24" borderId="73"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4" fillId="11" borderId="84" applyNumberFormat="0" applyAlignment="0" applyProtection="0"/>
    <xf numFmtId="0" fontId="27" fillId="24" borderId="86" applyNumberFormat="0" applyAlignment="0" applyProtection="0"/>
    <xf numFmtId="0" fontId="24" fillId="11" borderId="84" applyNumberFormat="0" applyAlignment="0" applyProtection="0"/>
    <xf numFmtId="0" fontId="17" fillId="24" borderId="99" applyNumberFormat="0" applyAlignment="0" applyProtection="0"/>
    <xf numFmtId="0" fontId="27" fillId="24" borderId="101" applyNumberFormat="0" applyAlignment="0" applyProtection="0"/>
    <xf numFmtId="0" fontId="27" fillId="24" borderId="107"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78" applyNumberFormat="0" applyAlignment="0" applyProtection="0"/>
    <xf numFmtId="0" fontId="24" fillId="11" borderId="92" applyNumberFormat="0" applyAlignment="0" applyProtection="0"/>
    <xf numFmtId="0" fontId="27" fillId="24" borderId="101" applyNumberFormat="0" applyAlignment="0" applyProtection="0"/>
    <xf numFmtId="0" fontId="14" fillId="27" borderId="100" applyNumberFormat="0" applyFont="0" applyAlignment="0" applyProtection="0"/>
    <xf numFmtId="0" fontId="17" fillId="24" borderId="99" applyNumberFormat="0" applyAlignment="0" applyProtection="0"/>
    <xf numFmtId="0" fontId="24" fillId="11" borderId="71"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7" fillId="24" borderId="73"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7" fillId="24" borderId="71" applyNumberFormat="0" applyAlignment="0" applyProtection="0"/>
    <xf numFmtId="0" fontId="27" fillId="24" borderId="107" applyNumberFormat="0" applyAlignment="0" applyProtection="0"/>
    <xf numFmtId="0" fontId="24" fillId="11" borderId="71" applyNumberFormat="0" applyAlignment="0" applyProtection="0"/>
    <xf numFmtId="0" fontId="27" fillId="24" borderId="73" applyNumberFormat="0" applyAlignment="0" applyProtection="0"/>
    <xf numFmtId="0" fontId="27" fillId="24" borderId="73" applyNumberFormat="0" applyAlignment="0" applyProtection="0"/>
    <xf numFmtId="0" fontId="28" fillId="0" borderId="87" applyNumberFormat="0" applyFill="0" applyAlignment="0" applyProtection="0"/>
    <xf numFmtId="0" fontId="17" fillId="24" borderId="71" applyNumberFormat="0" applyAlignment="0" applyProtection="0"/>
    <xf numFmtId="0" fontId="27" fillId="24" borderId="90" applyNumberFormat="0" applyAlignment="0" applyProtection="0"/>
    <xf numFmtId="0" fontId="28" fillId="0" borderId="87" applyNumberFormat="0" applyFill="0" applyAlignment="0" applyProtection="0"/>
    <xf numFmtId="0" fontId="17" fillId="24" borderId="71" applyNumberFormat="0" applyAlignment="0" applyProtection="0"/>
    <xf numFmtId="0" fontId="28" fillId="0" borderId="74" applyNumberFormat="0" applyFill="0" applyAlignment="0" applyProtection="0"/>
    <xf numFmtId="0" fontId="14" fillId="27" borderId="72" applyNumberFormat="0" applyFont="0" applyAlignment="0" applyProtection="0"/>
    <xf numFmtId="0" fontId="14" fillId="27" borderId="72" applyNumberFormat="0" applyFon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17" fillId="24"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24" fillId="11" borderId="64" applyNumberForma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14" fillId="27" borderId="61" applyNumberFormat="0" applyFon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7" fillId="24" borderId="62" applyNumberFormat="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63" applyNumberFormat="0" applyFill="0" applyAlignment="0" applyProtection="0"/>
    <xf numFmtId="0" fontId="28" fillId="0" borderId="91" applyNumberFormat="0" applyFill="0" applyAlignment="0" applyProtection="0"/>
    <xf numFmtId="0" fontId="24" fillId="11" borderId="92" applyNumberFormat="0" applyAlignment="0" applyProtection="0"/>
    <xf numFmtId="0" fontId="24" fillId="11" borderId="8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7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4" fillId="27" borderId="79" applyNumberFormat="0" applyFont="0" applyAlignment="0" applyProtection="0"/>
    <xf numFmtId="0" fontId="27" fillId="24" borderId="90" applyNumberFormat="0" applyAlignment="0" applyProtection="0"/>
    <xf numFmtId="0" fontId="17" fillId="24" borderId="88" applyNumberFormat="0" applyAlignment="0" applyProtection="0"/>
    <xf numFmtId="0" fontId="17" fillId="24" borderId="78" applyNumberFormat="0" applyAlignment="0" applyProtection="0"/>
    <xf numFmtId="0" fontId="28" fillId="0" borderId="81" applyNumberFormat="0" applyFill="0" applyAlignment="0" applyProtection="0"/>
    <xf numFmtId="0" fontId="17" fillId="24"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8" fillId="0" borderId="108" applyNumberFormat="0" applyFill="0" applyAlignment="0" applyProtection="0"/>
    <xf numFmtId="0" fontId="28" fillId="0" borderId="81" applyNumberFormat="0" applyFill="0" applyAlignment="0" applyProtection="0"/>
    <xf numFmtId="0" fontId="27" fillId="24" borderId="80" applyNumberFormat="0" applyAlignment="0" applyProtection="0"/>
    <xf numFmtId="0" fontId="28" fillId="0" borderId="81" applyNumberFormat="0" applyFill="0" applyAlignment="0" applyProtection="0"/>
    <xf numFmtId="0" fontId="24" fillId="11" borderId="88" applyNumberFormat="0" applyAlignment="0" applyProtection="0"/>
    <xf numFmtId="0" fontId="24" fillId="11" borderId="88" applyNumberFormat="0" applyAlignment="0" applyProtection="0"/>
    <xf numFmtId="0" fontId="17" fillId="24" borderId="78" applyNumberFormat="0" applyAlignment="0" applyProtection="0"/>
    <xf numFmtId="0" fontId="27" fillId="24" borderId="90"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4" fillId="11" borderId="88" applyNumberFormat="0" applyAlignment="0" applyProtection="0"/>
    <xf numFmtId="0" fontId="14" fillId="27" borderId="79" applyNumberFormat="0" applyFont="0" applyAlignment="0" applyProtection="0"/>
    <xf numFmtId="0" fontId="24" fillId="11" borderId="88" applyNumberFormat="0" applyAlignment="0" applyProtection="0"/>
    <xf numFmtId="0" fontId="24" fillId="11" borderId="88"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78"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4" fillId="27" borderId="79" applyNumberFormat="0" applyFont="0" applyAlignment="0" applyProtection="0"/>
    <xf numFmtId="0" fontId="27" fillId="24" borderId="101" applyNumberFormat="0" applyAlignment="0" applyProtection="0"/>
    <xf numFmtId="0" fontId="28" fillId="0" borderId="91" applyNumberFormat="0" applyFill="0" applyAlignment="0" applyProtection="0"/>
    <xf numFmtId="0" fontId="14" fillId="27" borderId="79" applyNumberFormat="0" applyFont="0" applyAlignment="0" applyProtection="0"/>
    <xf numFmtId="0" fontId="17" fillId="24" borderId="78" applyNumberFormat="0" applyAlignment="0" applyProtection="0"/>
    <xf numFmtId="0" fontId="28" fillId="0" borderId="81" applyNumberFormat="0" applyFill="0" applyAlignment="0" applyProtection="0"/>
    <xf numFmtId="0" fontId="17" fillId="24"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4" fillId="11" borderId="88" applyNumberFormat="0" applyAlignment="0" applyProtection="0"/>
    <xf numFmtId="0" fontId="28" fillId="0" borderId="81" applyNumberFormat="0" applyFill="0" applyAlignment="0" applyProtection="0"/>
    <xf numFmtId="0" fontId="27" fillId="24" borderId="80" applyNumberFormat="0" applyAlignment="0" applyProtection="0"/>
    <xf numFmtId="0" fontId="24" fillId="11" borderId="88" applyNumberFormat="0" applyAlignment="0" applyProtection="0"/>
    <xf numFmtId="0" fontId="28" fillId="0" borderId="81" applyNumberFormat="0" applyFill="0" applyAlignment="0" applyProtection="0"/>
    <xf numFmtId="0" fontId="27" fillId="24" borderId="90"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17" fillId="24"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24" fillId="11" borderId="66" applyNumberForma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14" fillId="27" borderId="67" applyNumberFormat="0" applyFon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7" fillId="24" borderId="68" applyNumberFormat="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69"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17" fillId="24" borderId="99" applyNumberFormat="0" applyAlignment="0" applyProtection="0"/>
    <xf numFmtId="0" fontId="14" fillId="27" borderId="85" applyNumberFormat="0" applyFont="0" applyAlignment="0" applyProtection="0"/>
    <xf numFmtId="0" fontId="24" fillId="11" borderId="84" applyNumberFormat="0" applyAlignment="0" applyProtection="0"/>
    <xf numFmtId="0" fontId="17" fillId="24" borderId="92"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27" fillId="24" borderId="86" applyNumberFormat="0" applyAlignment="0" applyProtection="0"/>
    <xf numFmtId="0" fontId="14" fillId="27" borderId="85" applyNumberFormat="0" applyFont="0" applyAlignment="0" applyProtection="0"/>
    <xf numFmtId="0" fontId="28" fillId="0" borderId="95" applyNumberFormat="0" applyFill="0" applyAlignment="0" applyProtection="0"/>
    <xf numFmtId="0" fontId="27" fillId="24" borderId="86" applyNumberFormat="0" applyAlignment="0" applyProtection="0"/>
    <xf numFmtId="0" fontId="28" fillId="0" borderId="95" applyNumberFormat="0" applyFill="0" applyAlignment="0" applyProtection="0"/>
    <xf numFmtId="0" fontId="24" fillId="11" borderId="92" applyNumberFormat="0" applyAlignment="0" applyProtection="0"/>
    <xf numFmtId="0" fontId="24" fillId="11" borderId="92" applyNumberFormat="0" applyAlignment="0" applyProtection="0"/>
    <xf numFmtId="0" fontId="27" fillId="24" borderId="86" applyNumberFormat="0" applyAlignment="0" applyProtection="0"/>
    <xf numFmtId="0" fontId="28" fillId="0" borderId="95"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7" fillId="24"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24" fillId="11" borderId="105" applyNumberFormat="0" applyAlignment="0" applyProtection="0"/>
    <xf numFmtId="0" fontId="27" fillId="24" borderId="86" applyNumberFormat="0" applyAlignment="0" applyProtection="0"/>
    <xf numFmtId="0" fontId="24" fillId="11"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17" fillId="24" borderId="105" applyNumberFormat="0" applyAlignment="0" applyProtection="0"/>
    <xf numFmtId="0" fontId="17" fillId="24" borderId="92" applyNumberFormat="0" applyAlignment="0" applyProtection="0"/>
    <xf numFmtId="0" fontId="27" fillId="24" borderId="94"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7" fillId="24" borderId="94" applyNumberFormat="0" applyAlignment="0" applyProtection="0"/>
    <xf numFmtId="0" fontId="14" fillId="27" borderId="85" applyNumberFormat="0" applyFont="0" applyAlignment="0" applyProtection="0"/>
    <xf numFmtId="0" fontId="14" fillId="27" borderId="106" applyNumberFormat="0" applyFont="0" applyAlignment="0" applyProtection="0"/>
    <xf numFmtId="0" fontId="17" fillId="24" borderId="92" applyNumberFormat="0" applyAlignment="0" applyProtection="0"/>
    <xf numFmtId="0" fontId="17" fillId="24"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17" fillId="24" borderId="92" applyNumberFormat="0" applyAlignment="0" applyProtection="0"/>
    <xf numFmtId="0" fontId="28" fillId="0" borderId="87" applyNumberFormat="0" applyFill="0" applyAlignment="0" applyProtection="0"/>
    <xf numFmtId="0" fontId="27" fillId="24" borderId="101" applyNumberFormat="0" applyAlignment="0" applyProtection="0"/>
    <xf numFmtId="0" fontId="17" fillId="24" borderId="84" applyNumberFormat="0" applyAlignment="0" applyProtection="0"/>
    <xf numFmtId="0" fontId="17" fillId="24" borderId="92"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100" applyNumberFormat="0" applyFont="0" applyAlignment="0" applyProtection="0"/>
    <xf numFmtId="0" fontId="14" fillId="27" borderId="85" applyNumberFormat="0" applyFont="0" applyAlignment="0" applyProtection="0"/>
    <xf numFmtId="0" fontId="14" fillId="27" borderId="93" applyNumberFormat="0" applyFon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84"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4" fillId="27" borderId="85" applyNumberFormat="0" applyFont="0" applyAlignment="0" applyProtection="0"/>
    <xf numFmtId="0" fontId="27" fillId="24" borderId="94" applyNumberFormat="0" applyAlignment="0" applyProtection="0"/>
    <xf numFmtId="0" fontId="14" fillId="27" borderId="85" applyNumberFormat="0" applyFont="0" applyAlignment="0" applyProtection="0"/>
    <xf numFmtId="0" fontId="17" fillId="24" borderId="84" applyNumberFormat="0" applyAlignment="0" applyProtection="0"/>
    <xf numFmtId="0" fontId="28" fillId="0" borderId="87" applyNumberFormat="0" applyFill="0" applyAlignment="0" applyProtection="0"/>
    <xf numFmtId="0" fontId="17" fillId="24"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8" fillId="0" borderId="87" applyNumberFormat="0" applyFill="0" applyAlignment="0" applyProtection="0"/>
    <xf numFmtId="0" fontId="27" fillId="24" borderId="86" applyNumberFormat="0" applyAlignment="0" applyProtection="0"/>
    <xf numFmtId="0" fontId="28" fillId="0" borderId="87" applyNumberFormat="0" applyFill="0" applyAlignment="0" applyProtection="0"/>
    <xf numFmtId="0" fontId="17" fillId="24" borderId="92"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17" fillId="24"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24" fillId="11" borderId="71" applyNumberForma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14" fillId="27" borderId="72" applyNumberFormat="0" applyFon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7" fillId="24" borderId="73" applyNumberFormat="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74"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4" fillId="11" borderId="92" applyNumberFormat="0" applyAlignment="0" applyProtection="0"/>
    <xf numFmtId="0" fontId="14" fillId="27" borderId="89" applyNumberFormat="0" applyFont="0" applyAlignment="0" applyProtection="0"/>
    <xf numFmtId="0" fontId="24" fillId="11" borderId="88" applyNumberFormat="0" applyAlignment="0" applyProtection="0"/>
    <xf numFmtId="0" fontId="28" fillId="0" borderId="91" applyNumberFormat="0" applyFill="0" applyAlignment="0" applyProtection="0"/>
    <xf numFmtId="0" fontId="24" fillId="11" borderId="92" applyNumberFormat="0" applyAlignment="0" applyProtection="0"/>
    <xf numFmtId="0" fontId="17" fillId="24" borderId="88"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14" fillId="27" borderId="89" applyNumberFormat="0" applyFont="0" applyAlignment="0" applyProtection="0"/>
    <xf numFmtId="0" fontId="27" fillId="24" borderId="90" applyNumberFormat="0" applyAlignment="0" applyProtection="0"/>
    <xf numFmtId="0" fontId="14" fillId="27" borderId="89" applyNumberFormat="0" applyFont="0" applyAlignment="0" applyProtection="0"/>
    <xf numFmtId="0" fontId="24" fillId="11" borderId="92" applyNumberFormat="0" applyAlignment="0" applyProtection="0"/>
    <xf numFmtId="0" fontId="27" fillId="24" borderId="90" applyNumberFormat="0" applyAlignment="0" applyProtection="0"/>
    <xf numFmtId="0" fontId="24" fillId="11" borderId="92"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7" fillId="24" borderId="90" applyNumberFormat="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7" fillId="24"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7" fillId="24" borderId="90" applyNumberFormat="0" applyAlignment="0" applyProtection="0"/>
    <xf numFmtId="0" fontId="24" fillId="11"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7" fillId="24" borderId="105" applyNumberFormat="0" applyAlignment="0" applyProtection="0"/>
    <xf numFmtId="0" fontId="27" fillId="24" borderId="90" applyNumberFormat="0" applyAlignment="0" applyProtection="0"/>
    <xf numFmtId="0" fontId="28" fillId="0" borderId="91" applyNumberFormat="0" applyFill="0" applyAlignment="0" applyProtection="0"/>
    <xf numFmtId="0" fontId="27" fillId="24" borderId="90" applyNumberFormat="0" applyAlignment="0" applyProtection="0"/>
    <xf numFmtId="0" fontId="24" fillId="11" borderId="92" applyNumberFormat="0" applyAlignment="0" applyProtection="0"/>
    <xf numFmtId="0" fontId="28" fillId="0" borderId="95" applyNumberFormat="0" applyFill="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7" fillId="24" borderId="94" applyNumberFormat="0" applyAlignment="0" applyProtection="0"/>
    <xf numFmtId="0" fontId="14" fillId="27" borderId="89" applyNumberFormat="0" applyFont="0" applyAlignment="0" applyProtection="0"/>
    <xf numFmtId="0" fontId="24" fillId="11" borderId="92" applyNumberFormat="0" applyAlignment="0" applyProtection="0"/>
    <xf numFmtId="0" fontId="14" fillId="27" borderId="93" applyNumberFormat="0" applyFont="0" applyAlignment="0" applyProtection="0"/>
    <xf numFmtId="0" fontId="17" fillId="24"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8" fillId="0" borderId="91" applyNumberFormat="0" applyFill="0" applyAlignment="0" applyProtection="0"/>
    <xf numFmtId="0" fontId="27" fillId="24" borderId="90" applyNumberFormat="0" applyAlignment="0" applyProtection="0"/>
    <xf numFmtId="0" fontId="24" fillId="11" borderId="92" applyNumberFormat="0" applyAlignment="0" applyProtection="0"/>
    <xf numFmtId="0" fontId="28" fillId="0" borderId="91" applyNumberFormat="0" applyFill="0" applyAlignment="0" applyProtection="0"/>
    <xf numFmtId="0" fontId="27" fillId="24" borderId="94"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92"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4" applyNumberFormat="0" applyAlignment="0" applyProtection="0"/>
    <xf numFmtId="0" fontId="14" fillId="27" borderId="89" applyNumberFormat="0" applyFont="0" applyAlignment="0" applyProtection="0"/>
    <xf numFmtId="0" fontId="28" fillId="0" borderId="108" applyNumberFormat="0" applyFill="0" applyAlignment="0" applyProtection="0"/>
    <xf numFmtId="0" fontId="28" fillId="0" borderId="95" applyNumberFormat="0" applyFill="0" applyAlignment="0" applyProtection="0"/>
    <xf numFmtId="0" fontId="27" fillId="24" borderId="94"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8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4" fillId="27" borderId="89" applyNumberFormat="0" applyFont="0" applyAlignment="0" applyProtection="0"/>
    <xf numFmtId="0" fontId="24" fillId="11" borderId="92" applyNumberFormat="0" applyAlignment="0" applyProtection="0"/>
    <xf numFmtId="0" fontId="14" fillId="27" borderId="89" applyNumberFormat="0" applyFont="0" applyAlignment="0" applyProtection="0"/>
    <xf numFmtId="0" fontId="17" fillId="24" borderId="88" applyNumberFormat="0" applyAlignment="0" applyProtection="0"/>
    <xf numFmtId="0" fontId="28" fillId="0" borderId="91" applyNumberFormat="0" applyFill="0" applyAlignment="0" applyProtection="0"/>
    <xf numFmtId="0" fontId="17" fillId="24"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8" fillId="0" borderId="95" applyNumberFormat="0" applyFill="0" applyAlignment="0" applyProtection="0"/>
    <xf numFmtId="0" fontId="28" fillId="0" borderId="91" applyNumberFormat="0" applyFill="0" applyAlignment="0" applyProtection="0"/>
    <xf numFmtId="0" fontId="27" fillId="24" borderId="90" applyNumberFormat="0" applyAlignment="0" applyProtection="0"/>
    <xf numFmtId="0" fontId="27" fillId="24" borderId="94" applyNumberFormat="0" applyAlignment="0" applyProtection="0"/>
    <xf numFmtId="0" fontId="28" fillId="0" borderId="91" applyNumberFormat="0" applyFill="0" applyAlignment="0" applyProtection="0"/>
    <xf numFmtId="0" fontId="28" fillId="0" borderId="108" applyNumberFormat="0" applyFill="0" applyAlignment="0" applyProtection="0"/>
    <xf numFmtId="0" fontId="24" fillId="11" borderId="92"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17" fillId="24"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24" fillId="11" borderId="78" applyNumberForma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14" fillId="27" borderId="79" applyNumberFormat="0" applyFon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7" fillId="24" borderId="80" applyNumberFormat="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1" applyNumberFormat="0" applyFill="0" applyAlignment="0" applyProtection="0"/>
    <xf numFmtId="0" fontId="28" fillId="0" borderId="87" applyNumberFormat="0" applyFill="0" applyAlignment="0" applyProtection="0"/>
    <xf numFmtId="0" fontId="17" fillId="24" borderId="99" applyNumberFormat="0" applyAlignment="0" applyProtection="0"/>
    <xf numFmtId="0" fontId="17" fillId="24" borderId="105" applyNumberFormat="0" applyAlignment="0" applyProtection="0"/>
    <xf numFmtId="0" fontId="28" fillId="0" borderId="102" applyNumberFormat="0" applyFill="0" applyAlignment="0" applyProtection="0"/>
    <xf numFmtId="0" fontId="24" fillId="11" borderId="105" applyNumberFormat="0" applyAlignment="0" applyProtection="0"/>
    <xf numFmtId="0" fontId="27" fillId="24" borderId="94" applyNumberFormat="0" applyAlignment="0" applyProtection="0"/>
    <xf numFmtId="0" fontId="28" fillId="0" borderId="102" applyNumberFormat="0" applyFill="0" applyAlignment="0" applyProtection="0"/>
    <xf numFmtId="0" fontId="17" fillId="24" borderId="99" applyNumberFormat="0" applyAlignment="0" applyProtection="0"/>
    <xf numFmtId="0" fontId="14" fillId="27" borderId="100" applyNumberFormat="0" applyFont="0" applyAlignment="0" applyProtection="0"/>
    <xf numFmtId="0" fontId="27" fillId="24" borderId="101" applyNumberFormat="0" applyAlignment="0" applyProtection="0"/>
    <xf numFmtId="0" fontId="17" fillId="24" borderId="99"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7" fillId="24" borderId="101" applyNumberFormat="0" applyAlignment="0" applyProtection="0"/>
    <xf numFmtId="0" fontId="27" fillId="24" borderId="94" applyNumberFormat="0" applyAlignment="0" applyProtection="0"/>
    <xf numFmtId="0" fontId="17" fillId="24" borderId="99" applyNumberFormat="0" applyAlignment="0" applyProtection="0"/>
    <xf numFmtId="0" fontId="28" fillId="0" borderId="102" applyNumberFormat="0" applyFill="0" applyAlignment="0" applyProtection="0"/>
    <xf numFmtId="0" fontId="17" fillId="24" borderId="105" applyNumberFormat="0" applyAlignment="0" applyProtection="0"/>
    <xf numFmtId="0" fontId="24" fillId="11" borderId="99" applyNumberFormat="0" applyAlignment="0" applyProtection="0"/>
    <xf numFmtId="0" fontId="28" fillId="0" borderId="102" applyNumberFormat="0" applyFill="0" applyAlignment="0" applyProtection="0"/>
    <xf numFmtId="0" fontId="24" fillId="11" borderId="99"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9" applyNumberFormat="0" applyAlignment="0" applyProtection="0"/>
    <xf numFmtId="0" fontId="24" fillId="11" borderId="92"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7" fillId="24" borderId="101" applyNumberFormat="0" applyAlignment="0" applyProtection="0"/>
    <xf numFmtId="0" fontId="17" fillId="24" borderId="105" applyNumberFormat="0" applyAlignment="0" applyProtection="0"/>
    <xf numFmtId="0" fontId="24" fillId="11" borderId="99" applyNumberFormat="0" applyAlignment="0" applyProtection="0"/>
    <xf numFmtId="0" fontId="14" fillId="27" borderId="100" applyNumberFormat="0" applyFont="0" applyAlignment="0" applyProtection="0"/>
    <xf numFmtId="0" fontId="24" fillId="11" borderId="92" applyNumberFormat="0" applyAlignment="0" applyProtection="0"/>
    <xf numFmtId="0" fontId="17" fillId="24" borderId="99" applyNumberFormat="0" applyAlignment="0" applyProtection="0"/>
    <xf numFmtId="0" fontId="28" fillId="0" borderId="102" applyNumberFormat="0" applyFill="0" applyAlignment="0" applyProtection="0"/>
    <xf numFmtId="0" fontId="14" fillId="27" borderId="93" applyNumberFormat="0" applyFont="0" applyAlignment="0" applyProtection="0"/>
    <xf numFmtId="0" fontId="24" fillId="11" borderId="99" applyNumberFormat="0" applyAlignment="0" applyProtection="0"/>
    <xf numFmtId="0" fontId="14" fillId="27" borderId="100" applyNumberFormat="0" applyFont="0" applyAlignment="0" applyProtection="0"/>
    <xf numFmtId="0" fontId="17" fillId="24" borderId="99" applyNumberFormat="0" applyAlignment="0" applyProtection="0"/>
    <xf numFmtId="0" fontId="14" fillId="27" borderId="100" applyNumberFormat="0" applyFont="0" applyAlignment="0" applyProtection="0"/>
    <xf numFmtId="0" fontId="27" fillId="24" borderId="101"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100"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102" applyNumberFormat="0" applyFill="0" applyAlignment="0" applyProtection="0"/>
    <xf numFmtId="0" fontId="24" fillId="11" borderId="92" applyNumberFormat="0" applyAlignment="0" applyProtection="0"/>
    <xf numFmtId="0" fontId="17" fillId="24" borderId="99" applyNumberFormat="0" applyAlignment="0" applyProtection="0"/>
    <xf numFmtId="0" fontId="28" fillId="0" borderId="95" applyNumberFormat="0" applyFill="0" applyAlignment="0" applyProtection="0"/>
    <xf numFmtId="0" fontId="17" fillId="24" borderId="99" applyNumberFormat="0" applyAlignment="0" applyProtection="0"/>
    <xf numFmtId="0" fontId="27" fillId="24" borderId="101" applyNumberFormat="0" applyAlignment="0" applyProtection="0"/>
    <xf numFmtId="0" fontId="17" fillId="24" borderId="105" applyNumberFormat="0" applyAlignment="0" applyProtection="0"/>
    <xf numFmtId="0" fontId="17" fillId="24" borderId="92" applyNumberFormat="0" applyAlignment="0" applyProtection="0"/>
    <xf numFmtId="0" fontId="24" fillId="11" borderId="99" applyNumberFormat="0" applyAlignment="0" applyProtection="0"/>
    <xf numFmtId="0" fontId="28" fillId="0" borderId="102"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17" fillId="24"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24" fillId="11" borderId="84" applyNumberForma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14" fillId="27" borderId="85" applyNumberFormat="0" applyFon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7" fillId="24" borderId="86" applyNumberFormat="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87" applyNumberFormat="0" applyFill="0" applyAlignment="0" applyProtection="0"/>
    <xf numFmtId="0" fontId="28" fillId="0" borderId="91"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95" applyNumberFormat="0" applyFill="0" applyAlignment="0" applyProtection="0"/>
    <xf numFmtId="0" fontId="24" fillId="11" borderId="92" applyNumberFormat="0" applyAlignment="0" applyProtection="0"/>
    <xf numFmtId="0" fontId="17" fillId="24" borderId="92" applyNumberFormat="0" applyAlignment="0" applyProtection="0"/>
    <xf numFmtId="0" fontId="27" fillId="24" borderId="107"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28" fillId="0" borderId="95" applyNumberFormat="0" applyFill="0" applyAlignment="0" applyProtection="0"/>
    <xf numFmtId="0" fontId="24" fillId="11" borderId="92" applyNumberFormat="0" applyAlignment="0" applyProtection="0"/>
    <xf numFmtId="0" fontId="14" fillId="27" borderId="106" applyNumberFormat="0" applyFont="0" applyAlignment="0" applyProtection="0"/>
    <xf numFmtId="0" fontId="24" fillId="11" borderId="92" applyNumberFormat="0" applyAlignment="0" applyProtection="0"/>
    <xf numFmtId="0" fontId="28" fillId="0" borderId="108" applyNumberFormat="0" applyFill="0" applyAlignment="0" applyProtection="0"/>
    <xf numFmtId="0" fontId="27" fillId="24" borderId="107"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24" fillId="11" borderId="92"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92"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27" fillId="24" borderId="107" applyNumberForma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105" applyNumberFormat="0" applyAlignment="0" applyProtection="0"/>
    <xf numFmtId="0" fontId="14" fillId="27" borderId="93" applyNumberFormat="0" applyFont="0" applyAlignment="0" applyProtection="0"/>
    <xf numFmtId="0" fontId="17" fillId="24" borderId="92" applyNumberFormat="0" applyAlignment="0" applyProtection="0"/>
    <xf numFmtId="0" fontId="24" fillId="11" borderId="92" applyNumberFormat="0" applyAlignment="0" applyProtection="0"/>
    <xf numFmtId="0" fontId="17" fillId="24" borderId="92" applyNumberFormat="0" applyAlignment="0" applyProtection="0"/>
    <xf numFmtId="0" fontId="24" fillId="11" borderId="105" applyNumberFormat="0" applyAlignment="0" applyProtection="0"/>
    <xf numFmtId="0" fontId="27" fillId="24" borderId="94" applyNumberFormat="0" applyAlignment="0" applyProtection="0"/>
    <xf numFmtId="0" fontId="17" fillId="24" borderId="92" applyNumberFormat="0" applyAlignment="0" applyProtection="0"/>
    <xf numFmtId="0" fontId="14" fillId="27" borderId="106" applyNumberFormat="0" applyFon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28" fillId="0" borderId="95" applyNumberFormat="0" applyFill="0" applyAlignment="0" applyProtection="0"/>
    <xf numFmtId="0" fontId="27" fillId="24" borderId="107" applyNumberFormat="0" applyAlignment="0" applyProtection="0"/>
    <xf numFmtId="0" fontId="28" fillId="0" borderId="95"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7" fillId="24" borderId="94"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7" fillId="24" borderId="107" applyNumberFormat="0" applyAlignment="0" applyProtection="0"/>
    <xf numFmtId="0" fontId="24" fillId="11" borderId="92" applyNumberFormat="0" applyAlignment="0" applyProtection="0"/>
    <xf numFmtId="0" fontId="14" fillId="27" borderId="106" applyNumberFormat="0" applyFont="0" applyAlignment="0" applyProtection="0"/>
    <xf numFmtId="0" fontId="28" fillId="0" borderId="95" applyNumberFormat="0" applyFill="0" applyAlignment="0" applyProtection="0"/>
    <xf numFmtId="0" fontId="14" fillId="27" borderId="93" applyNumberFormat="0" applyFont="0" applyAlignment="0" applyProtection="0"/>
    <xf numFmtId="0" fontId="17" fillId="24" borderId="92" applyNumberFormat="0" applyAlignment="0" applyProtection="0"/>
    <xf numFmtId="0" fontId="27" fillId="24" borderId="94" applyNumberFormat="0" applyAlignment="0" applyProtection="0"/>
    <xf numFmtId="0" fontId="28" fillId="0" borderId="95" applyNumberFormat="0" applyFill="0" applyAlignment="0" applyProtection="0"/>
    <xf numFmtId="0" fontId="27" fillId="24" borderId="94" applyNumberFormat="0" applyAlignment="0" applyProtection="0"/>
    <xf numFmtId="0" fontId="14" fillId="27" borderId="93" applyNumberFormat="0" applyFont="0" applyAlignment="0" applyProtection="0"/>
    <xf numFmtId="0" fontId="17" fillId="24" borderId="92" applyNumberFormat="0" applyAlignment="0" applyProtection="0"/>
    <xf numFmtId="0" fontId="28" fillId="0" borderId="108" applyNumberFormat="0" applyFill="0" applyAlignment="0" applyProtection="0"/>
    <xf numFmtId="0" fontId="24" fillId="11" borderId="92" applyNumberFormat="0" applyAlignment="0" applyProtection="0"/>
    <xf numFmtId="0" fontId="27" fillId="24" borderId="107" applyNumberFormat="0" applyAlignment="0" applyProtection="0"/>
    <xf numFmtId="0" fontId="24" fillId="11" borderId="92" applyNumberFormat="0" applyAlignment="0" applyProtection="0"/>
    <xf numFmtId="0" fontId="17" fillId="24" borderId="99" applyNumberFormat="0" applyAlignment="0" applyProtection="0"/>
    <xf numFmtId="0" fontId="24" fillId="11" borderId="99" applyNumberFormat="0" applyAlignment="0" applyProtection="0"/>
    <xf numFmtId="0" fontId="17" fillId="24" borderId="92" applyNumberFormat="0" applyAlignment="0" applyProtection="0"/>
    <xf numFmtId="0" fontId="14" fillId="27" borderId="93" applyNumberFormat="0" applyFon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17" fillId="24" borderId="105" applyNumberFormat="0" applyAlignment="0" applyProtection="0"/>
    <xf numFmtId="0" fontId="27" fillId="24" borderId="107" applyNumberForma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108" applyNumberFormat="0" applyFill="0" applyAlignment="0" applyProtection="0"/>
    <xf numFmtId="0" fontId="14" fillId="27" borderId="100" applyNumberFormat="0" applyFont="0" applyAlignment="0" applyProtection="0"/>
    <xf numFmtId="0" fontId="17" fillId="24" borderId="99" applyNumberFormat="0" applyAlignment="0" applyProtection="0"/>
    <xf numFmtId="0" fontId="27" fillId="24" borderId="101" applyNumberFormat="0" applyAlignment="0" applyProtection="0"/>
    <xf numFmtId="0" fontId="24" fillId="11" borderId="99" applyNumberFormat="0" applyAlignment="0" applyProtection="0"/>
    <xf numFmtId="0" fontId="24" fillId="11" borderId="92" applyNumberFormat="0" applyAlignment="0" applyProtection="0"/>
    <xf numFmtId="0" fontId="17" fillId="24" borderId="92" applyNumberFormat="0" applyAlignment="0" applyProtection="0"/>
    <xf numFmtId="0" fontId="27" fillId="24" borderId="94"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8" fillId="0" borderId="108" applyNumberFormat="0" applyFill="0" applyAlignment="0" applyProtection="0"/>
    <xf numFmtId="0" fontId="14" fillId="27" borderId="100" applyNumberFormat="0" applyFont="0" applyAlignment="0" applyProtection="0"/>
    <xf numFmtId="0" fontId="27" fillId="24" borderId="101" applyNumberFormat="0" applyAlignment="0" applyProtection="0"/>
    <xf numFmtId="0" fontId="24" fillId="11" borderId="92" applyNumberFormat="0" applyAlignment="0" applyProtection="0"/>
    <xf numFmtId="0" fontId="24" fillId="11" borderId="92" applyNumberFormat="0" applyAlignment="0" applyProtection="0"/>
    <xf numFmtId="0" fontId="27" fillId="24" borderId="94" applyNumberFormat="0" applyAlignment="0" applyProtection="0"/>
    <xf numFmtId="0" fontId="24" fillId="11" borderId="92" applyNumberFormat="0" applyAlignment="0" applyProtection="0"/>
    <xf numFmtId="0" fontId="24" fillId="11" borderId="105" applyNumberFormat="0" applyAlignment="0" applyProtection="0"/>
    <xf numFmtId="0" fontId="24" fillId="11" borderId="105" applyNumberFormat="0" applyAlignment="0" applyProtection="0"/>
    <xf numFmtId="0" fontId="27" fillId="24" borderId="107"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8" fillId="0" borderId="108" applyNumberFormat="0" applyFill="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105"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8" fillId="0" borderId="108"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24" fillId="11" borderId="105"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7" fillId="24" borderId="107" applyNumberFormat="0" applyAlignment="0" applyProtection="0"/>
    <xf numFmtId="0" fontId="24" fillId="11" borderId="99" applyNumberFormat="0" applyAlignment="0" applyProtection="0"/>
    <xf numFmtId="0" fontId="28" fillId="0" borderId="102" applyNumberFormat="0" applyFill="0" applyAlignment="0" applyProtection="0"/>
    <xf numFmtId="0" fontId="14" fillId="27" borderId="100" applyNumberFormat="0" applyFont="0" applyAlignment="0" applyProtection="0"/>
    <xf numFmtId="0" fontId="24" fillId="11" borderId="92" applyNumberFormat="0" applyAlignment="0" applyProtection="0"/>
    <xf numFmtId="0" fontId="28" fillId="0" borderId="95" applyNumberFormat="0" applyFill="0" applyAlignment="0" applyProtection="0"/>
    <xf numFmtId="0" fontId="24" fillId="11" borderId="105" applyNumberFormat="0" applyAlignment="0" applyProtection="0"/>
    <xf numFmtId="0" fontId="27" fillId="24" borderId="107" applyNumberFormat="0" applyAlignment="0" applyProtection="0"/>
    <xf numFmtId="0" fontId="14" fillId="27" borderId="93" applyNumberFormat="0" applyFont="0" applyAlignment="0" applyProtection="0"/>
    <xf numFmtId="0" fontId="27" fillId="24" borderId="94" applyNumberFormat="0" applyAlignment="0" applyProtection="0"/>
    <xf numFmtId="0" fontId="27" fillId="24" borderId="107"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27" fillId="24" borderId="107" applyNumberFormat="0" applyAlignment="0" applyProtection="0"/>
    <xf numFmtId="0" fontId="17" fillId="24" borderId="105" applyNumberFormat="0" applyAlignment="0" applyProtection="0"/>
    <xf numFmtId="0" fontId="14" fillId="27" borderId="106" applyNumberFormat="0" applyFon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14" fillId="27" borderId="106" applyNumberFormat="0" applyFont="0" applyAlignment="0" applyProtection="0"/>
    <xf numFmtId="0" fontId="24" fillId="11" borderId="99" applyNumberFormat="0" applyAlignment="0" applyProtection="0"/>
    <xf numFmtId="0" fontId="28" fillId="0" borderId="102" applyNumberFormat="0" applyFill="0" applyAlignment="0" applyProtection="0"/>
    <xf numFmtId="0" fontId="14" fillId="27" borderId="100" applyNumberFormat="0" applyFont="0" applyAlignment="0" applyProtection="0"/>
    <xf numFmtId="0" fontId="24" fillId="11" borderId="105" applyNumberFormat="0" applyAlignment="0" applyProtection="0"/>
    <xf numFmtId="0" fontId="14" fillId="27" borderId="93" applyNumberFormat="0" applyFont="0" applyAlignment="0" applyProtection="0"/>
    <xf numFmtId="0" fontId="24" fillId="11" borderId="105"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4" fillId="27" borderId="106" applyNumberFormat="0" applyFont="0" applyAlignment="0" applyProtection="0"/>
    <xf numFmtId="0" fontId="17" fillId="24" borderId="92" applyNumberFormat="0" applyAlignment="0" applyProtection="0"/>
    <xf numFmtId="0" fontId="17" fillId="24"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105" applyNumberFormat="0" applyAlignment="0" applyProtection="0"/>
    <xf numFmtId="0" fontId="27" fillId="24" borderId="107" applyNumberFormat="0" applyAlignment="0" applyProtection="0"/>
    <xf numFmtId="0" fontId="28" fillId="0" borderId="108"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17" fillId="24"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24" fillId="11" borderId="88" applyNumberForma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14" fillId="27" borderId="89" applyNumberFormat="0" applyFon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7" fillId="24" borderId="90" applyNumberFormat="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28" fillId="0" borderId="91"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17" fillId="24"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24" fillId="11" borderId="92" applyNumberForma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14" fillId="27" borderId="93" applyNumberFormat="0" applyFon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7" fillId="24" borderId="94" applyNumberFormat="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95"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17" fillId="24"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24" fillId="11" borderId="99" applyNumberForma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14" fillId="27" borderId="100" applyNumberFormat="0" applyFon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7" fillId="24" borderId="101" applyNumberFormat="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2"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17" fillId="24"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24" fillId="11" borderId="105" applyNumberForma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14" fillId="27" borderId="106" applyNumberFormat="0" applyFon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7" fillId="24" borderId="107" applyNumberFormat="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28" fillId="0" borderId="108" applyNumberFormat="0" applyFill="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17" fillId="24"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24" fillId="11" borderId="126" applyNumberForma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4" fillId="0" borderId="0"/>
    <xf numFmtId="0" fontId="14" fillId="0" borderId="0"/>
    <xf numFmtId="0" fontId="14" fillId="0" borderId="0"/>
    <xf numFmtId="0" fontId="14" fillId="0" borderId="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14" fillId="27" borderId="127" applyNumberFormat="0" applyFon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7" fillId="24" borderId="128" applyNumberFormat="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28" fillId="0" borderId="129" applyNumberFormat="0" applyFill="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6" fontId="5" fillId="0" borderId="0"/>
    <xf numFmtId="166" fontId="6" fillId="0" borderId="0"/>
    <xf numFmtId="166" fontId="7" fillId="0" borderId="0"/>
    <xf numFmtId="166" fontId="5" fillId="0" borderId="0"/>
    <xf numFmtId="166" fontId="6" fillId="0" borderId="0"/>
    <xf numFmtId="166" fontId="8" fillId="0" borderId="0"/>
    <xf numFmtId="166" fontId="5" fillId="0" borderId="0"/>
    <xf numFmtId="166" fontId="9" fillId="0" borderId="0"/>
    <xf numFmtId="166" fontId="1" fillId="0" borderId="0"/>
    <xf numFmtId="166" fontId="8" fillId="0" borderId="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6"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7"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8"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0"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1"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3"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14"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9"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2"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4" fillId="15"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6"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3"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4"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19"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0"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1"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22"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7"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18"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5" fillId="23"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6" fillId="7" borderId="0" applyNumberFormat="0" applyBorder="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8" fillId="25" borderId="17" applyNumberFormat="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19" fillId="0" borderId="0" applyNumberFormat="0" applyFill="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0" fillId="8" borderId="0" applyNumberFormat="0" applyBorder="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1" fillId="0" borderId="18"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2" fillId="0" borderId="19"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20" applyNumberFormat="0" applyFill="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3" fillId="0" borderId="0" applyNumberFormat="0" applyFill="0" applyBorder="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5" fillId="0" borderId="21" applyNumberFormat="0" applyFill="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26" fillId="26" borderId="0" applyNumberFormat="0" applyBorder="0" applyAlignment="0" applyProtection="0"/>
    <xf numFmtId="166" fontId="5" fillId="0" borderId="0"/>
    <xf numFmtId="166" fontId="8" fillId="0" borderId="0"/>
    <xf numFmtId="166" fontId="14" fillId="0" borderId="0"/>
    <xf numFmtId="166" fontId="5" fillId="0" borderId="0"/>
    <xf numFmtId="166" fontId="8" fillId="0" borderId="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13" fillId="0" borderId="0" applyNumberFormat="0" applyFill="0" applyBorder="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29" fillId="0" borderId="0" applyNumberFormat="0" applyFill="0" applyBorder="0" applyAlignment="0" applyProtection="0"/>
    <xf numFmtId="166" fontId="5" fillId="0" borderId="0"/>
    <xf numFmtId="166" fontId="8" fillId="0" borderId="0"/>
    <xf numFmtId="166" fontId="1" fillId="0" borderId="0"/>
    <xf numFmtId="166" fontId="5" fillId="0" borderId="0"/>
    <xf numFmtId="166" fontId="8" fillId="0" borderId="0"/>
    <xf numFmtId="166" fontId="5"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8" fillId="0" borderId="0"/>
    <xf numFmtId="166" fontId="5" fillId="0" borderId="0"/>
    <xf numFmtId="166" fontId="5" fillId="0" borderId="0"/>
    <xf numFmtId="166" fontId="8" fillId="0" borderId="0"/>
    <xf numFmtId="166" fontId="1" fillId="0" borderId="0"/>
    <xf numFmtId="166" fontId="5" fillId="0" borderId="0"/>
    <xf numFmtId="166" fontId="8"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5" fillId="0" borderId="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1" fillId="0" borderId="0"/>
    <xf numFmtId="166" fontId="5" fillId="0" borderId="0"/>
    <xf numFmtId="166" fontId="8" fillId="0" borderId="0"/>
    <xf numFmtId="166" fontId="1" fillId="0" borderId="0"/>
    <xf numFmtId="166" fontId="5" fillId="0" borderId="0"/>
    <xf numFmtId="166" fontId="8" fillId="0" borderId="0"/>
    <xf numFmtId="166" fontId="5"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8" fillId="0" borderId="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5" fillId="0" borderId="0"/>
    <xf numFmtId="166" fontId="8" fillId="0" borderId="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17" fillId="24"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24" fillId="11" borderId="126" applyNumberForma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14" fillId="27" borderId="127" applyNumberFormat="0" applyFon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7" fillId="24" borderId="128" applyNumberFormat="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28" fillId="0" borderId="129" applyNumberFormat="0" applyFill="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7" fillId="24" borderId="131"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27" fillId="24" borderId="131" applyNumberFormat="0" applyAlignment="0" applyProtection="0"/>
    <xf numFmtId="166" fontId="14" fillId="27" borderId="130" applyNumberFormat="0" applyFont="0" applyAlignment="0" applyProtection="0"/>
    <xf numFmtId="166" fontId="17" fillId="24"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17" fillId="24"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24" fillId="11"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24" fillId="11" borderId="133" applyNumberFormat="0" applyAlignment="0" applyProtection="0"/>
    <xf numFmtId="166" fontId="27" fillId="24" borderId="131" applyNumberForma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4" fillId="27" borderId="130" applyNumberFormat="0" applyFont="0" applyAlignment="0" applyProtection="0"/>
    <xf numFmtId="166" fontId="24" fillId="11" borderId="133" applyNumberFormat="0" applyAlignment="0" applyProtection="0"/>
    <xf numFmtId="166" fontId="28" fillId="0" borderId="132" applyNumberFormat="0" applyFill="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4" fillId="27" borderId="130" applyNumberFormat="0" applyFont="0" applyAlignment="0" applyProtection="0"/>
    <xf numFmtId="166" fontId="17" fillId="24" borderId="133" applyNumberFormat="0" applyAlignment="0" applyProtection="0"/>
    <xf numFmtId="166" fontId="17" fillId="24"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27" fillId="24" borderId="131" applyNumberFormat="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17" fillId="24"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24" fillId="11" borderId="133" applyNumberForma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14" fillId="27" borderId="130" applyNumberFormat="0" applyFon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7" fillId="24" borderId="131" applyNumberFormat="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166" fontId="28" fillId="0" borderId="132"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17" fillId="24"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24" fillId="11" borderId="134" applyNumberForma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14" fillId="27" borderId="135" applyNumberFormat="0" applyFon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28" fillId="0" borderId="137" applyNumberFormat="0" applyFill="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7" fillId="24" borderId="139" applyNumberFormat="0" applyAlignment="0" applyProtection="0"/>
    <xf numFmtId="0" fontId="24" fillId="11" borderId="141" applyNumberFormat="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27" fillId="24" borderId="139" applyNumberFormat="0" applyAlignment="0" applyProtection="0"/>
    <xf numFmtId="0" fontId="14" fillId="27" borderId="138" applyNumberFormat="0" applyFont="0" applyAlignment="0" applyProtection="0"/>
    <xf numFmtId="0" fontId="17" fillId="24"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17" fillId="24" borderId="141" applyNumberFormat="0" applyAlignment="0" applyProtection="0"/>
    <xf numFmtId="0" fontId="24" fillId="11"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17" fillId="24"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24" fillId="11"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24" fillId="11" borderId="141" applyNumberFormat="0" applyAlignment="0" applyProtection="0"/>
    <xf numFmtId="0" fontId="27" fillId="24" borderId="139" applyNumberForma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4" fillId="27" borderId="138" applyNumberFormat="0" applyFon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4" fillId="27" borderId="138" applyNumberFormat="0" applyFont="0" applyAlignment="0" applyProtection="0"/>
    <xf numFmtId="0" fontId="24" fillId="11" borderId="141" applyNumberFormat="0" applyAlignment="0" applyProtection="0"/>
    <xf numFmtId="0" fontId="28" fillId="0" borderId="140" applyNumberFormat="0" applyFill="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4" fillId="27" borderId="138" applyNumberFormat="0" applyFont="0" applyAlignment="0" applyProtection="0"/>
    <xf numFmtId="0" fontId="17" fillId="24" borderId="141" applyNumberFormat="0" applyAlignment="0" applyProtection="0"/>
    <xf numFmtId="0" fontId="17" fillId="24"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27" fillId="24" borderId="139" applyNumberFormat="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17" fillId="24"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24" fillId="11" borderId="141" applyNumberForma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14" fillId="27" borderId="138" applyNumberFormat="0" applyFon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7" fillId="24" borderId="139" applyNumberFormat="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0" fontId="28" fillId="0" borderId="140" applyNumberFormat="0" applyFill="0" applyAlignment="0" applyProtection="0"/>
    <xf numFmtId="9" fontId="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27" fillId="24" borderId="161"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4" fillId="27" borderId="160" applyNumberFormat="0" applyFont="0" applyAlignment="0" applyProtection="0"/>
    <xf numFmtId="166" fontId="24" fillId="11"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17" fillId="24"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7" fillId="24" borderId="161"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27" fillId="24" borderId="161" applyNumberFormat="0" applyAlignment="0" applyProtection="0"/>
    <xf numFmtId="166" fontId="14" fillId="27" borderId="160" applyNumberFormat="0" applyFont="0" applyAlignment="0" applyProtection="0"/>
    <xf numFmtId="166" fontId="17" fillId="24"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17" fillId="24"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24" fillId="11"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28" fillId="0" borderId="162" applyNumberFormat="0" applyFill="0" applyAlignment="0" applyProtection="0"/>
    <xf numFmtId="166" fontId="24" fillId="11" borderId="159" applyNumberFormat="0" applyAlignment="0" applyProtection="0"/>
    <xf numFmtId="166" fontId="27" fillId="24" borderId="161" applyNumberForma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4" fillId="27" borderId="160" applyNumberFormat="0" applyFont="0" applyAlignment="0" applyProtection="0"/>
    <xf numFmtId="166" fontId="24" fillId="11" borderId="159" applyNumberFormat="0" applyAlignment="0" applyProtection="0"/>
    <xf numFmtId="166" fontId="28" fillId="0" borderId="162" applyNumberFormat="0" applyFill="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4" fillId="27" borderId="160" applyNumberFormat="0" applyFont="0" applyAlignment="0" applyProtection="0"/>
    <xf numFmtId="166" fontId="17" fillId="24" borderId="159" applyNumberFormat="0" applyAlignment="0" applyProtection="0"/>
    <xf numFmtId="166" fontId="17" fillId="24"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27" fillId="24" borderId="161" applyNumberFormat="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17" fillId="24"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24" fillId="11" borderId="159" applyNumberForma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14" fillId="27" borderId="160" applyNumberFormat="0" applyFon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7" fillId="24" borderId="161" applyNumberFormat="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166"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7" fillId="24" borderId="161" applyNumberFormat="0" applyAlignment="0" applyProtection="0"/>
    <xf numFmtId="0" fontId="24" fillId="11" borderId="159" applyNumberFormat="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27" fillId="24" borderId="161" applyNumberFormat="0" applyAlignment="0" applyProtection="0"/>
    <xf numFmtId="0" fontId="14" fillId="27" borderId="160" applyNumberFormat="0" applyFont="0" applyAlignment="0" applyProtection="0"/>
    <xf numFmtId="0" fontId="17" fillId="24"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17" fillId="24" borderId="159" applyNumberFormat="0" applyAlignment="0" applyProtection="0"/>
    <xf numFmtId="0" fontId="24" fillId="11"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17" fillId="24"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24" fillId="11"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24" fillId="11" borderId="159" applyNumberFormat="0" applyAlignment="0" applyProtection="0"/>
    <xf numFmtId="0" fontId="27" fillId="24" borderId="161" applyNumberForma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4" fillId="27" borderId="160" applyNumberFormat="0" applyFon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4" fillId="27" borderId="160" applyNumberFormat="0" applyFont="0" applyAlignment="0" applyProtection="0"/>
    <xf numFmtId="0" fontId="24" fillId="11" borderId="159" applyNumberFormat="0" applyAlignment="0" applyProtection="0"/>
    <xf numFmtId="0" fontId="28" fillId="0" borderId="162" applyNumberFormat="0" applyFill="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4" fillId="27" borderId="160" applyNumberFormat="0" applyFont="0" applyAlignment="0" applyProtection="0"/>
    <xf numFmtId="0" fontId="17" fillId="24" borderId="159" applyNumberFormat="0" applyAlignment="0" applyProtection="0"/>
    <xf numFmtId="0" fontId="17" fillId="24"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27" fillId="24" borderId="161" applyNumberFormat="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17" fillId="24"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24" fillId="11" borderId="159" applyNumberForma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14" fillId="27" borderId="160" applyNumberFormat="0" applyFon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7" fillId="24" borderId="161" applyNumberFormat="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xf numFmtId="0" fontId="28" fillId="0" borderId="162" applyNumberFormat="0" applyFill="0" applyAlignment="0" applyProtection="0"/>
  </cellStyleXfs>
  <cellXfs count="1084">
    <xf numFmtId="0" fontId="0" fillId="0" borderId="0" xfId="0"/>
    <xf numFmtId="10" fontId="0" fillId="0" borderId="0" xfId="0" applyNumberFormat="1"/>
    <xf numFmtId="0" fontId="0" fillId="2" borderId="1" xfId="0" applyFill="1" applyBorder="1"/>
    <xf numFmtId="10" fontId="0" fillId="2" borderId="3" xfId="0" applyNumberFormat="1" applyFill="1" applyBorder="1"/>
    <xf numFmtId="164" fontId="0" fillId="0" borderId="0" xfId="0" applyNumberFormat="1"/>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0" fillId="0" borderId="0" xfId="0" applyAlignment="1">
      <alignment horizontal="center" vertical="top"/>
    </xf>
    <xf numFmtId="0" fontId="0" fillId="0" borderId="0" xfId="0" applyAlignment="1">
      <alignment horizontal="right"/>
    </xf>
    <xf numFmtId="1" fontId="0" fillId="0" borderId="0" xfId="0" applyNumberFormat="1"/>
    <xf numFmtId="0" fontId="4" fillId="0" borderId="0" xfId="0" applyFont="1" applyFill="1" applyAlignment="1">
      <alignment horizontal="left"/>
    </xf>
    <xf numFmtId="0" fontId="4" fillId="0" borderId="0" xfId="0" applyFont="1" applyAlignment="1">
      <alignment horizontal="left"/>
    </xf>
    <xf numFmtId="0" fontId="0" fillId="0" borderId="0" xfId="0" applyAlignment="1">
      <alignment horizontal="left"/>
    </xf>
    <xf numFmtId="49" fontId="0" fillId="0" borderId="0" xfId="0" applyNumberFormat="1"/>
    <xf numFmtId="0" fontId="0" fillId="0" borderId="0" xfId="0" applyAlignment="1">
      <alignment wrapText="1"/>
    </xf>
    <xf numFmtId="167" fontId="0" fillId="0" borderId="0" xfId="0" applyNumberFormat="1"/>
    <xf numFmtId="165" fontId="0" fillId="0" borderId="0" xfId="0" applyNumberFormat="1"/>
    <xf numFmtId="164" fontId="0" fillId="0" borderId="0" xfId="0" applyNumberFormat="1" applyAlignment="1">
      <alignment wrapText="1"/>
    </xf>
    <xf numFmtId="0" fontId="0" fillId="2" borderId="5" xfId="0" applyFill="1" applyBorder="1"/>
    <xf numFmtId="0" fontId="0" fillId="2" borderId="6" xfId="0" applyFill="1" applyBorder="1"/>
    <xf numFmtId="0" fontId="0" fillId="2" borderId="7" xfId="0" applyFill="1" applyBorder="1"/>
    <xf numFmtId="1"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0" fontId="0" fillId="0" borderId="0" xfId="0" applyAlignment="1">
      <alignment horizontal="center"/>
    </xf>
    <xf numFmtId="165" fontId="0" fillId="0" borderId="0" xfId="0" applyNumberFormat="1" applyAlignment="1">
      <alignment horizontal="center"/>
    </xf>
    <xf numFmtId="0" fontId="0" fillId="0" borderId="0" xfId="0" applyAlignment="1">
      <alignment horizontal="center"/>
    </xf>
    <xf numFmtId="0" fontId="0" fillId="0" borderId="0" xfId="0" quotePrefix="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wrapText="1"/>
    </xf>
    <xf numFmtId="0" fontId="0" fillId="5" borderId="0" xfId="0" applyFill="1"/>
    <xf numFmtId="0" fontId="0" fillId="0" borderId="0" xfId="0" applyAlignment="1">
      <alignment horizontal="center"/>
    </xf>
    <xf numFmtId="164" fontId="3" fillId="0" borderId="0" xfId="0" applyNumberFormat="1" applyFont="1"/>
    <xf numFmtId="0" fontId="3" fillId="0" borderId="0" xfId="0" applyFo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2" xfId="0" applyFont="1" applyFill="1" applyBorder="1"/>
    <xf numFmtId="0" fontId="10" fillId="0" borderId="0" xfId="0" applyFont="1"/>
    <xf numFmtId="0" fontId="10" fillId="2" borderId="6" xfId="0" applyFont="1" applyFill="1" applyBorder="1"/>
    <xf numFmtId="0" fontId="4" fillId="0" borderId="0" xfId="0" applyFont="1"/>
    <xf numFmtId="0" fontId="4" fillId="3" borderId="1" xfId="0" applyFont="1" applyFill="1" applyBorder="1" applyAlignment="1">
      <alignment horizontal="center" vertical="center"/>
    </xf>
    <xf numFmtId="10" fontId="4" fillId="3" borderId="4" xfId="0" applyNumberFormat="1"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4"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4" fillId="0" borderId="0" xfId="0" applyNumberFormat="1" applyFont="1" applyAlignment="1">
      <alignment horizontal="left"/>
    </xf>
    <xf numFmtId="0" fontId="0" fillId="0" borderId="0" xfId="0" applyAlignment="1">
      <alignment horizontal="center"/>
    </xf>
    <xf numFmtId="1" fontId="10" fillId="0" borderId="0" xfId="0" applyNumberFormat="1" applyFont="1"/>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12" fillId="3" borderId="4" xfId="0" quotePrefix="1" applyFont="1" applyFill="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49" fontId="4" fillId="0" borderId="0" xfId="0" applyNumberFormat="1" applyFont="1" applyAlignment="1"/>
    <xf numFmtId="0" fontId="4" fillId="0" borderId="0" xfId="0" applyFont="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0" fillId="2" borderId="25" xfId="0" applyNumberFormat="1" applyFill="1" applyBorder="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4" fillId="3" borderId="5" xfId="0" applyFont="1" applyFill="1" applyBorder="1" applyAlignment="1">
      <alignment horizontal="center" vertical="center"/>
    </xf>
    <xf numFmtId="0" fontId="12" fillId="3" borderId="7" xfId="0" quotePrefix="1" applyFont="1" applyFill="1" applyBorder="1" applyAlignment="1">
      <alignment horizontal="center" vertical="center"/>
    </xf>
    <xf numFmtId="1" fontId="11" fillId="3" borderId="5" xfId="0" applyNumberFormat="1" applyFont="1" applyFill="1" applyBorder="1" applyAlignment="1">
      <alignment horizontal="center" vertical="center"/>
    </xf>
    <xf numFmtId="165" fontId="12" fillId="3" borderId="6" xfId="0" applyNumberFormat="1" applyFont="1" applyFill="1" applyBorder="1" applyAlignment="1">
      <alignment horizontal="center" vertical="center"/>
    </xf>
    <xf numFmtId="10" fontId="4" fillId="3" borderId="25" xfId="0" applyNumberFormat="1" applyFont="1" applyFill="1" applyBorder="1" applyAlignment="1">
      <alignment horizontal="center" vertical="center"/>
    </xf>
    <xf numFmtId="1" fontId="4" fillId="3" borderId="6" xfId="0" applyNumberFormat="1" applyFont="1" applyFill="1" applyBorder="1" applyAlignment="1">
      <alignment horizontal="center" vertical="center"/>
    </xf>
    <xf numFmtId="0" fontId="12" fillId="3" borderId="6" xfId="0" applyFont="1" applyFill="1" applyBorder="1" applyAlignment="1">
      <alignment horizontal="center" vertical="center"/>
    </xf>
    <xf numFmtId="1" fontId="4" fillId="3" borderId="7" xfId="0" applyNumberFormat="1" applyFont="1" applyFill="1" applyBorder="1" applyAlignment="1">
      <alignment horizontal="center" vertical="center"/>
    </xf>
    <xf numFmtId="0" fontId="0" fillId="0" borderId="26" xfId="0" applyFill="1" applyBorder="1" applyAlignment="1">
      <alignment horizontal="center" vertical="center"/>
    </xf>
    <xf numFmtId="0" fontId="12" fillId="0" borderId="26" xfId="0" quotePrefix="1" applyFont="1" applyFill="1" applyBorder="1" applyAlignment="1">
      <alignment horizontal="center" vertical="center"/>
    </xf>
    <xf numFmtId="1" fontId="11" fillId="0" borderId="26" xfId="0" applyNumberFormat="1" applyFont="1" applyFill="1" applyBorder="1" applyAlignment="1">
      <alignment horizontal="center" vertical="center"/>
    </xf>
    <xf numFmtId="165" fontId="12" fillId="0" borderId="26" xfId="0" applyNumberFormat="1" applyFont="1" applyFill="1" applyBorder="1" applyAlignment="1">
      <alignment horizontal="center" vertical="center"/>
    </xf>
    <xf numFmtId="10" fontId="4" fillId="0" borderId="26" xfId="0" applyNumberFormat="1" applyFont="1" applyFill="1" applyBorder="1" applyAlignment="1">
      <alignment horizontal="center" vertical="center"/>
    </xf>
    <xf numFmtId="0" fontId="4" fillId="0" borderId="26" xfId="0" applyFont="1" applyFill="1" applyBorder="1" applyAlignment="1">
      <alignment horizontal="center" vertical="center"/>
    </xf>
    <xf numFmtId="1" fontId="4" fillId="0" borderId="26" xfId="0" applyNumberFormat="1" applyFont="1" applyFill="1" applyBorder="1" applyAlignment="1">
      <alignment horizontal="center" vertical="center"/>
    </xf>
    <xf numFmtId="0" fontId="12" fillId="0" borderId="26" xfId="0" applyFont="1" applyFill="1" applyBorder="1" applyAlignment="1">
      <alignment horizontal="center" vertical="center"/>
    </xf>
    <xf numFmtId="1" fontId="0" fillId="0" borderId="26" xfId="0" applyNumberForma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3" borderId="27"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10" fontId="4" fillId="4" borderId="27"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4" fillId="4" borderId="28" xfId="0" applyNumberFormat="1" applyFont="1" applyFill="1" applyBorder="1" applyAlignment="1">
      <alignment horizontal="center" vertical="center"/>
    </xf>
    <xf numFmtId="10" fontId="4" fillId="4" borderId="36" xfId="0" applyNumberFormat="1" applyFont="1" applyFill="1" applyBorder="1" applyAlignment="1">
      <alignment horizontal="center" vertical="center"/>
    </xf>
    <xf numFmtId="1" fontId="4" fillId="3" borderId="35" xfId="0" applyNumberFormat="1" applyFont="1" applyFill="1" applyBorder="1" applyAlignment="1">
      <alignment horizontal="center" vertical="center"/>
    </xf>
    <xf numFmtId="0" fontId="12" fillId="3" borderId="34" xfId="0" applyFont="1" applyFill="1" applyBorder="1" applyAlignment="1">
      <alignment horizontal="center" vertical="center"/>
    </xf>
    <xf numFmtId="1" fontId="4" fillId="3" borderId="34" xfId="0" applyNumberFormat="1" applyFont="1" applyFill="1" applyBorder="1" applyAlignment="1">
      <alignment horizontal="center" vertical="center"/>
    </xf>
    <xf numFmtId="165" fontId="12" fillId="3" borderId="34"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0" fontId="4" fillId="3" borderId="33" xfId="0" applyFont="1" applyFill="1" applyBorder="1" applyAlignment="1">
      <alignment horizontal="center" vertical="center"/>
    </xf>
    <xf numFmtId="0" fontId="0" fillId="0" borderId="0" xfId="0"/>
    <xf numFmtId="164" fontId="0" fillId="0" borderId="0" xfId="0" applyNumberFormat="1"/>
    <xf numFmtId="0" fontId="0" fillId="0" borderId="0" xfId="0" applyAlignment="1">
      <alignment horizontal="center"/>
    </xf>
    <xf numFmtId="1" fontId="0" fillId="0" borderId="0" xfId="0" applyNumberFormat="1"/>
    <xf numFmtId="165" fontId="0" fillId="0" borderId="0" xfId="0" applyNumberFormat="1"/>
    <xf numFmtId="1"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0" fontId="0" fillId="0" borderId="0" xfId="0" quotePrefix="1" applyAlignment="1">
      <alignment horizontal="center"/>
    </xf>
    <xf numFmtId="0" fontId="4" fillId="0" borderId="0" xfId="0" applyFont="1"/>
    <xf numFmtId="0" fontId="4" fillId="3" borderId="1" xfId="0" applyFont="1" applyFill="1" applyBorder="1" applyAlignment="1">
      <alignment horizontal="center" vertical="center"/>
    </xf>
    <xf numFmtId="10" fontId="4" fillId="3" borderId="3"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0" fontId="4" fillId="0" borderId="0" xfId="0" applyNumberFormat="1" applyFont="1" applyAlignment="1">
      <alignment horizontal="left"/>
    </xf>
    <xf numFmtId="10" fontId="4" fillId="4" borderId="3" xfId="0" applyNumberFormat="1" applyFont="1" applyFill="1" applyBorder="1" applyAlignment="1">
      <alignment horizontal="center" vertical="center"/>
    </xf>
    <xf numFmtId="1" fontId="11" fillId="3" borderId="1" xfId="0" applyNumberFormat="1" applyFont="1" applyFill="1" applyBorder="1" applyAlignment="1">
      <alignment horizontal="center" vertical="center"/>
    </xf>
    <xf numFmtId="165" fontId="12" fillId="3" borderId="2" xfId="0" applyNumberFormat="1" applyFont="1" applyFill="1" applyBorder="1" applyAlignment="1">
      <alignment horizontal="center" vertical="center"/>
    </xf>
    <xf numFmtId="0" fontId="12" fillId="3" borderId="2" xfId="0" applyFont="1" applyFill="1" applyBorder="1" applyAlignment="1">
      <alignment horizontal="center" vertical="center"/>
    </xf>
    <xf numFmtId="0" fontId="4" fillId="3" borderId="5" xfId="0" applyFont="1" applyFill="1" applyBorder="1" applyAlignment="1">
      <alignment horizontal="center" vertical="center"/>
    </xf>
    <xf numFmtId="10" fontId="4" fillId="3" borderId="25" xfId="0" applyNumberFormat="1" applyFont="1" applyFill="1" applyBorder="1" applyAlignment="1">
      <alignment horizontal="center" vertical="center"/>
    </xf>
    <xf numFmtId="0" fontId="12" fillId="3" borderId="6" xfId="0" applyFont="1" applyFill="1" applyBorder="1" applyAlignment="1">
      <alignment horizontal="center" vertical="center"/>
    </xf>
    <xf numFmtId="0" fontId="12" fillId="0" borderId="26" xfId="0" quotePrefix="1" applyFont="1" applyFill="1" applyBorder="1" applyAlignment="1">
      <alignment horizontal="center" vertical="center"/>
    </xf>
    <xf numFmtId="0" fontId="0" fillId="0" borderId="0" xfId="0" applyAlignment="1">
      <alignment horizontal="center"/>
    </xf>
    <xf numFmtId="0" fontId="12" fillId="3" borderId="35" xfId="0" quotePrefix="1" applyFont="1" applyFill="1" applyBorder="1" applyAlignment="1">
      <alignment horizontal="center" vertical="center"/>
    </xf>
    <xf numFmtId="10" fontId="4" fillId="3" borderId="37" xfId="0" applyNumberFormat="1" applyFont="1" applyFill="1" applyBorder="1" applyAlignment="1">
      <alignment horizontal="center" vertical="center"/>
    </xf>
    <xf numFmtId="0" fontId="10" fillId="2" borderId="41" xfId="0" applyFont="1" applyFill="1" applyBorder="1"/>
    <xf numFmtId="10" fontId="0" fillId="2" borderId="38" xfId="0" applyNumberFormat="1" applyFill="1" applyBorder="1"/>
    <xf numFmtId="0" fontId="0" fillId="2" borderId="41" xfId="0" applyFill="1" applyBorder="1"/>
    <xf numFmtId="0" fontId="0" fillId="2" borderId="42" xfId="0" applyFill="1" applyBorder="1"/>
    <xf numFmtId="0" fontId="4" fillId="3" borderId="43" xfId="0" applyFont="1" applyFill="1" applyBorder="1" applyAlignment="1">
      <alignment horizontal="center" vertical="center"/>
    </xf>
    <xf numFmtId="0" fontId="12" fillId="3" borderId="44" xfId="0" quotePrefix="1" applyFont="1" applyFill="1" applyBorder="1" applyAlignment="1">
      <alignment horizontal="center" vertical="center"/>
    </xf>
    <xf numFmtId="1" fontId="11" fillId="3" borderId="43" xfId="0" applyNumberFormat="1" applyFont="1" applyFill="1" applyBorder="1" applyAlignment="1">
      <alignment horizontal="center" vertical="center"/>
    </xf>
    <xf numFmtId="165" fontId="12" fillId="3" borderId="45" xfId="0" applyNumberFormat="1" applyFont="1" applyFill="1" applyBorder="1" applyAlignment="1">
      <alignment horizontal="center" vertical="center"/>
    </xf>
    <xf numFmtId="10" fontId="4" fillId="3" borderId="44" xfId="0" applyNumberFormat="1" applyFont="1" applyFill="1" applyBorder="1" applyAlignment="1">
      <alignment horizontal="center" vertical="center"/>
    </xf>
    <xf numFmtId="1" fontId="4" fillId="3" borderId="45" xfId="0" applyNumberFormat="1" applyFont="1" applyFill="1" applyBorder="1" applyAlignment="1">
      <alignment horizontal="center" vertical="center"/>
    </xf>
    <xf numFmtId="0" fontId="12" fillId="3" borderId="45" xfId="0" applyFont="1" applyFill="1" applyBorder="1" applyAlignment="1">
      <alignment horizontal="center" vertical="center"/>
    </xf>
    <xf numFmtId="1" fontId="4" fillId="3" borderId="44" xfId="0" applyNumberFormat="1" applyFont="1" applyFill="1" applyBorder="1" applyAlignment="1">
      <alignment horizontal="center" vertical="center"/>
    </xf>
    <xf numFmtId="10" fontId="4" fillId="3" borderId="46" xfId="0" applyNumberFormat="1" applyFont="1" applyFill="1" applyBorder="1" applyAlignment="1">
      <alignment horizontal="center" vertical="center"/>
    </xf>
    <xf numFmtId="0" fontId="12" fillId="3" borderId="27" xfId="0" quotePrefix="1" applyFont="1" applyFill="1" applyBorder="1" applyAlignment="1">
      <alignment horizontal="center" vertical="center"/>
    </xf>
    <xf numFmtId="165" fontId="12" fillId="3" borderId="47" xfId="0" applyNumberFormat="1" applyFont="1" applyFill="1" applyBorder="1" applyAlignment="1">
      <alignment horizontal="center" vertical="center"/>
    </xf>
    <xf numFmtId="1" fontId="4" fillId="3" borderId="47" xfId="0" applyNumberFormat="1" applyFont="1" applyFill="1" applyBorder="1" applyAlignment="1">
      <alignment horizontal="center" vertical="center"/>
    </xf>
    <xf numFmtId="0" fontId="12" fillId="3" borderId="47" xfId="0" applyFont="1" applyFill="1" applyBorder="1" applyAlignment="1">
      <alignment horizontal="center" vertical="center"/>
    </xf>
    <xf numFmtId="10" fontId="4" fillId="4" borderId="46" xfId="0" applyNumberFormat="1" applyFont="1" applyFill="1" applyBorder="1" applyAlignment="1">
      <alignment horizontal="center" vertical="center"/>
    </xf>
    <xf numFmtId="10" fontId="4" fillId="4" borderId="37" xfId="0" applyNumberFormat="1" applyFont="1" applyFill="1" applyBorder="1" applyAlignment="1">
      <alignment horizontal="center" vertical="center"/>
    </xf>
    <xf numFmtId="0" fontId="12" fillId="3" borderId="42" xfId="0" quotePrefix="1" applyFont="1" applyFill="1" applyBorder="1" applyAlignment="1">
      <alignment horizontal="center" vertical="center"/>
    </xf>
    <xf numFmtId="0" fontId="12" fillId="3" borderId="3" xfId="0" quotePrefix="1" applyFont="1" applyFill="1" applyBorder="1" applyAlignment="1">
      <alignment horizontal="center" vertical="center"/>
    </xf>
    <xf numFmtId="0" fontId="12" fillId="3" borderId="37" xfId="0" quotePrefix="1" applyFont="1" applyFill="1" applyBorder="1" applyAlignment="1">
      <alignment horizontal="center" vertical="center"/>
    </xf>
    <xf numFmtId="10" fontId="4" fillId="3" borderId="38" xfId="0" applyNumberFormat="1" applyFont="1" applyFill="1" applyBorder="1" applyAlignment="1">
      <alignment horizontal="center" vertical="center"/>
    </xf>
    <xf numFmtId="0" fontId="12" fillId="3" borderId="41" xfId="0" applyFont="1" applyFill="1" applyBorder="1" applyAlignment="1">
      <alignment horizontal="center" vertical="center"/>
    </xf>
    <xf numFmtId="0" fontId="12" fillId="3" borderId="48" xfId="0" quotePrefix="1" applyFont="1" applyFill="1" applyBorder="1" applyAlignment="1">
      <alignment horizontal="center" vertical="center"/>
    </xf>
    <xf numFmtId="1" fontId="11" fillId="3" borderId="9" xfId="0" applyNumberFormat="1" applyFont="1" applyFill="1" applyBorder="1" applyAlignment="1">
      <alignment horizontal="center" vertical="center"/>
    </xf>
    <xf numFmtId="165" fontId="12" fillId="3" borderId="49" xfId="0" applyNumberFormat="1" applyFont="1" applyFill="1" applyBorder="1" applyAlignment="1">
      <alignment horizontal="center" vertical="center"/>
    </xf>
    <xf numFmtId="10"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xf>
    <xf numFmtId="1" fontId="4" fillId="3" borderId="49" xfId="0" applyNumberFormat="1" applyFont="1" applyFill="1" applyBorder="1" applyAlignment="1">
      <alignment horizontal="center" vertical="center"/>
    </xf>
    <xf numFmtId="0" fontId="12" fillId="3" borderId="49" xfId="0" applyFont="1" applyFill="1" applyBorder="1" applyAlignment="1">
      <alignment horizontal="center" vertical="center"/>
    </xf>
    <xf numFmtId="1" fontId="0" fillId="3" borderId="48" xfId="0" applyNumberFormat="1" applyFill="1" applyBorder="1" applyAlignment="1">
      <alignment horizontal="center" vertical="center"/>
    </xf>
    <xf numFmtId="1" fontId="0" fillId="3" borderId="34" xfId="0" applyNumberFormat="1" applyFill="1" applyBorder="1" applyAlignment="1">
      <alignment horizontal="center" vertical="center"/>
    </xf>
    <xf numFmtId="0" fontId="4" fillId="0" borderId="0" xfId="0" applyFont="1" applyFill="1" applyBorder="1" applyAlignment="1">
      <alignment horizontal="center" vertical="center"/>
    </xf>
    <xf numFmtId="0" fontId="0" fillId="3" borderId="50" xfId="0" applyFill="1" applyBorder="1" applyAlignment="1">
      <alignment horizontal="center" vertical="center"/>
    </xf>
    <xf numFmtId="0" fontId="0" fillId="3" borderId="43" xfId="0" applyFill="1" applyBorder="1" applyAlignment="1">
      <alignment horizontal="center" vertical="center"/>
    </xf>
    <xf numFmtId="0" fontId="0" fillId="0" borderId="0" xfId="0" applyFill="1" applyBorder="1" applyAlignment="1">
      <alignment horizontal="center" vertical="center"/>
    </xf>
    <xf numFmtId="0" fontId="12" fillId="0" borderId="0" xfId="0" quotePrefix="1" applyFont="1" applyFill="1" applyBorder="1" applyAlignment="1">
      <alignment horizontal="center" vertical="center"/>
    </xf>
    <xf numFmtId="1" fontId="11" fillId="0" borderId="0" xfId="0" applyNumberFormat="1" applyFont="1" applyFill="1" applyBorder="1" applyAlignment="1">
      <alignment horizontal="center" vertical="center"/>
    </xf>
    <xf numFmtId="165" fontId="12" fillId="0" borderId="0" xfId="0" applyNumberFormat="1" applyFont="1" applyFill="1" applyBorder="1" applyAlignment="1">
      <alignment horizontal="center" vertical="center"/>
    </xf>
    <xf numFmtId="10" fontId="4" fillId="0" borderId="0" xfId="0"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12" fillId="0" borderId="0" xfId="0" applyFont="1" applyFill="1" applyBorder="1" applyAlignment="1">
      <alignment horizontal="center" vertical="center"/>
    </xf>
    <xf numFmtId="1" fontId="0" fillId="0" borderId="0" xfId="0" applyNumberFormat="1" applyFill="1" applyBorder="1" applyAlignment="1">
      <alignment horizontal="center" vertical="center"/>
    </xf>
    <xf numFmtId="0" fontId="0" fillId="0" borderId="0" xfId="0" applyAlignment="1">
      <alignment horizontal="center"/>
    </xf>
    <xf numFmtId="1" fontId="4" fillId="3" borderId="5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2" borderId="47" xfId="0" applyFont="1" applyFill="1" applyBorder="1"/>
    <xf numFmtId="10" fontId="4" fillId="3" borderId="52" xfId="0" applyNumberFormat="1" applyFont="1" applyFill="1" applyBorder="1" applyAlignment="1">
      <alignment horizontal="center" vertical="center"/>
    </xf>
    <xf numFmtId="10" fontId="0" fillId="2" borderId="42" xfId="0" applyNumberFormat="1" applyFill="1" applyBorder="1"/>
    <xf numFmtId="0" fontId="0" fillId="2" borderId="56" xfId="0" applyFill="1" applyBorder="1"/>
    <xf numFmtId="10" fontId="30" fillId="2" borderId="38" xfId="0" applyNumberFormat="1" applyFont="1" applyFill="1" applyBorder="1"/>
    <xf numFmtId="10" fontId="0" fillId="2" borderId="27" xfId="0" applyNumberFormat="1" applyFill="1" applyBorder="1"/>
    <xf numFmtId="10" fontId="4" fillId="3" borderId="53" xfId="0" applyNumberFormat="1" applyFont="1" applyFill="1" applyBorder="1" applyAlignment="1">
      <alignment horizontal="center" vertical="center"/>
    </xf>
    <xf numFmtId="0" fontId="4" fillId="0" borderId="47" xfId="0" applyFont="1" applyBorder="1" applyAlignment="1">
      <alignment horizontal="center"/>
    </xf>
    <xf numFmtId="1" fontId="4" fillId="0" borderId="47" xfId="0" applyNumberFormat="1" applyFont="1" applyBorder="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4" fillId="3" borderId="57" xfId="0" applyNumberFormat="1" applyFont="1" applyFill="1" applyBorder="1" applyAlignment="1">
      <alignment horizontal="center" vertical="center"/>
    </xf>
    <xf numFmtId="1" fontId="4" fillId="3" borderId="58" xfId="0" applyNumberFormat="1" applyFont="1" applyFill="1" applyBorder="1" applyAlignment="1">
      <alignment horizontal="center" vertical="center"/>
    </xf>
    <xf numFmtId="0" fontId="0" fillId="0" borderId="0" xfId="0" applyAlignment="1">
      <alignment horizontal="center"/>
    </xf>
    <xf numFmtId="0" fontId="4" fillId="5" borderId="1" xfId="0" applyFont="1" applyFill="1" applyBorder="1" applyAlignment="1">
      <alignment horizontal="center" vertical="center"/>
    </xf>
    <xf numFmtId="0" fontId="4" fillId="0" borderId="26" xfId="0" applyFont="1" applyBorder="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11" fillId="5" borderId="1"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10" fontId="4" fillId="28" borderId="3" xfId="0" applyNumberFormat="1" applyFont="1" applyFill="1" applyBorder="1" applyAlignment="1">
      <alignment horizontal="center" vertical="center"/>
    </xf>
    <xf numFmtId="10" fontId="4" fillId="28" borderId="46" xfId="0" applyNumberFormat="1" applyFont="1" applyFill="1" applyBorder="1" applyAlignment="1">
      <alignment horizontal="center" vertical="center"/>
    </xf>
    <xf numFmtId="0" fontId="0" fillId="0" borderId="0" xfId="0" applyAlignment="1">
      <alignment horizontal="center"/>
    </xf>
    <xf numFmtId="165" fontId="12" fillId="3" borderId="41"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1" fontId="4" fillId="3" borderId="42" xfId="0" applyNumberFormat="1" applyFont="1" applyFill="1" applyBorder="1" applyAlignment="1">
      <alignment horizontal="center" vertical="center"/>
    </xf>
    <xf numFmtId="10" fontId="4" fillId="4" borderId="38" xfId="0" applyNumberFormat="1" applyFont="1" applyFill="1" applyBorder="1" applyAlignment="1">
      <alignment horizontal="center" vertical="center"/>
    </xf>
    <xf numFmtId="0" fontId="12" fillId="3" borderId="38" xfId="0" quotePrefix="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12" fillId="3" borderId="53" xfId="0" quotePrefix="1" applyFont="1" applyFill="1" applyBorder="1" applyAlignment="1">
      <alignment horizontal="center" vertical="center"/>
    </xf>
    <xf numFmtId="1" fontId="11" fillId="3" borderId="50" xfId="0" applyNumberFormat="1" applyFont="1" applyFill="1" applyBorder="1" applyAlignment="1">
      <alignment horizontal="center" vertical="center"/>
    </xf>
    <xf numFmtId="165" fontId="12" fillId="3" borderId="60" xfId="0" applyNumberFormat="1" applyFont="1" applyFill="1" applyBorder="1" applyAlignment="1">
      <alignment horizontal="center" vertical="center"/>
    </xf>
    <xf numFmtId="10" fontId="4" fillId="3" borderId="48" xfId="0" applyNumberFormat="1" applyFont="1" applyFill="1" applyBorder="1" applyAlignment="1">
      <alignment horizontal="center" vertical="center"/>
    </xf>
    <xf numFmtId="0" fontId="12" fillId="3" borderId="51" xfId="0" quotePrefix="1" applyFont="1" applyFill="1" applyBorder="1" applyAlignment="1">
      <alignment horizontal="center" vertical="center"/>
    </xf>
    <xf numFmtId="1" fontId="11" fillId="3" borderId="10" xfId="0" applyNumberFormat="1" applyFont="1" applyFill="1" applyBorder="1" applyAlignment="1">
      <alignment horizontal="center" vertical="center"/>
    </xf>
    <xf numFmtId="165" fontId="12" fillId="3" borderId="57" xfId="0" applyNumberFormat="1" applyFont="1" applyFill="1" applyBorder="1" applyAlignment="1">
      <alignment horizontal="center" vertical="center"/>
    </xf>
    <xf numFmtId="10" fontId="4" fillId="3" borderId="36" xfId="0" applyNumberFormat="1" applyFont="1" applyFill="1" applyBorder="1" applyAlignment="1">
      <alignment horizontal="center" vertical="center"/>
    </xf>
    <xf numFmtId="10" fontId="4" fillId="3" borderId="51" xfId="0" applyNumberFormat="1" applyFont="1" applyFill="1" applyBorder="1" applyAlignment="1">
      <alignment horizontal="center" vertical="center"/>
    </xf>
    <xf numFmtId="10" fontId="4" fillId="3" borderId="35" xfId="0" applyNumberFormat="1" applyFont="1" applyFill="1" applyBorder="1" applyAlignment="1">
      <alignment horizontal="center" vertical="center"/>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31" fillId="2" borderId="5" xfId="0" applyFont="1" applyFill="1" applyBorder="1"/>
    <xf numFmtId="0" fontId="31" fillId="3" borderId="43"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1" xfId="0" applyFont="1" applyFill="1" applyBorder="1" applyAlignment="1">
      <alignment horizontal="center" vertical="center"/>
    </xf>
    <xf numFmtId="0" fontId="31" fillId="5" borderId="1"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31" fillId="0" borderId="26" xfId="0" applyFont="1" applyBorder="1" applyAlignment="1"/>
    <xf numFmtId="0" fontId="31" fillId="0" borderId="0" xfId="0" applyFont="1" applyAlignment="1"/>
    <xf numFmtId="0" fontId="31" fillId="0" borderId="0" xfId="0" applyFont="1" applyAlignment="1">
      <alignment horizontal="center"/>
    </xf>
    <xf numFmtId="0" fontId="31" fillId="2" borderId="13" xfId="0" applyFont="1" applyFill="1" applyBorder="1" applyAlignment="1">
      <alignment horizontal="center" vertical="center" wrapText="1"/>
    </xf>
    <xf numFmtId="0" fontId="31" fillId="0" borderId="0" xfId="0" applyFont="1"/>
    <xf numFmtId="1" fontId="31" fillId="3" borderId="9" xfId="0" applyNumberFormat="1" applyFont="1" applyFill="1" applyBorder="1" applyAlignment="1">
      <alignment horizontal="center" vertical="center"/>
    </xf>
    <xf numFmtId="1" fontId="31" fillId="3" borderId="43" xfId="0" applyNumberFormat="1" applyFont="1" applyFill="1" applyBorder="1" applyAlignment="1">
      <alignment horizontal="center" vertical="center"/>
    </xf>
    <xf numFmtId="1" fontId="31" fillId="3" borderId="33" xfId="0" applyNumberFormat="1" applyFont="1" applyFill="1" applyBorder="1" applyAlignment="1">
      <alignment horizontal="center" vertical="center"/>
    </xf>
    <xf numFmtId="1" fontId="31" fillId="3" borderId="10" xfId="0" applyNumberFormat="1" applyFont="1" applyFill="1" applyBorder="1" applyAlignment="1">
      <alignment horizontal="center" vertical="center"/>
    </xf>
    <xf numFmtId="1" fontId="31" fillId="3" borderId="50"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0" fillId="3" borderId="43" xfId="0" applyFont="1" applyFill="1" applyBorder="1" applyAlignment="1">
      <alignment horizontal="center" vertical="center"/>
    </xf>
    <xf numFmtId="0" fontId="10" fillId="3" borderId="50" xfId="0" applyFont="1" applyFill="1" applyBorder="1" applyAlignment="1">
      <alignment horizontal="center" vertical="center"/>
    </xf>
    <xf numFmtId="0" fontId="0" fillId="2" borderId="41" xfId="0" applyFill="1" applyBorder="1"/>
    <xf numFmtId="0" fontId="0" fillId="2" borderId="42" xfId="0" applyFill="1" applyBorder="1"/>
    <xf numFmtId="0" fontId="10" fillId="2" borderId="47" xfId="0" applyFont="1" applyFill="1" applyBorder="1"/>
    <xf numFmtId="0" fontId="10" fillId="2" borderId="41" xfId="0" applyFont="1" applyFill="1" applyBorder="1"/>
    <xf numFmtId="10" fontId="4" fillId="3" borderId="3" xfId="0" applyNumberFormat="1" applyFont="1" applyFill="1" applyBorder="1" applyAlignment="1">
      <alignment horizontal="center" vertical="center"/>
    </xf>
    <xf numFmtId="1" fontId="4" fillId="3" borderId="47" xfId="0" applyNumberFormat="1" applyFont="1" applyFill="1" applyBorder="1" applyAlignment="1">
      <alignment horizontal="center" vertical="center"/>
    </xf>
    <xf numFmtId="1" fontId="4" fillId="3" borderId="27" xfId="0" applyNumberFormat="1" applyFont="1" applyFill="1" applyBorder="1" applyAlignment="1">
      <alignment horizontal="center" vertical="center"/>
    </xf>
    <xf numFmtId="10" fontId="4" fillId="4" borderId="3" xfId="0" applyNumberFormat="1" applyFont="1" applyFill="1" applyBorder="1" applyAlignment="1">
      <alignment horizontal="center" vertical="center"/>
    </xf>
    <xf numFmtId="0" fontId="12" fillId="3" borderId="47" xfId="0" applyFont="1" applyFill="1" applyBorder="1" applyAlignment="1">
      <alignment horizontal="center" vertical="center"/>
    </xf>
    <xf numFmtId="0" fontId="12" fillId="3" borderId="27" xfId="0" quotePrefix="1" applyFont="1" applyFill="1" applyBorder="1" applyAlignment="1">
      <alignment horizontal="center" vertical="center"/>
    </xf>
    <xf numFmtId="10" fontId="0" fillId="2" borderId="38" xfId="0" applyNumberFormat="1" applyFill="1" applyBorder="1"/>
    <xf numFmtId="0" fontId="12" fillId="3" borderId="42" xfId="0" quotePrefix="1" applyFont="1" applyFill="1" applyBorder="1" applyAlignment="1">
      <alignment horizontal="center" vertical="center"/>
    </xf>
    <xf numFmtId="10" fontId="4" fillId="3" borderId="38" xfId="0" applyNumberFormat="1" applyFont="1" applyFill="1" applyBorder="1" applyAlignment="1">
      <alignment horizontal="center" vertical="center"/>
    </xf>
    <xf numFmtId="1" fontId="4" fillId="3" borderId="41" xfId="0" applyNumberFormat="1" applyFont="1" applyFill="1" applyBorder="1" applyAlignment="1">
      <alignment horizontal="center" vertical="center"/>
    </xf>
    <xf numFmtId="0" fontId="12" fillId="3" borderId="41" xfId="0" applyFont="1" applyFill="1" applyBorder="1" applyAlignment="1">
      <alignment horizontal="center" vertical="center"/>
    </xf>
    <xf numFmtId="1" fontId="4" fillId="3" borderId="42" xfId="0" applyNumberFormat="1" applyFont="1" applyFill="1" applyBorder="1" applyAlignment="1">
      <alignment horizontal="center" vertical="center"/>
    </xf>
    <xf numFmtId="10" fontId="4" fillId="4" borderId="36" xfId="0" applyNumberFormat="1" applyFont="1" applyFill="1" applyBorder="1" applyAlignment="1">
      <alignment horizontal="center" vertical="center"/>
    </xf>
    <xf numFmtId="0" fontId="12" fillId="3" borderId="34" xfId="0" applyFont="1" applyFill="1" applyBorder="1" applyAlignment="1">
      <alignment horizontal="center" vertical="center"/>
    </xf>
    <xf numFmtId="1" fontId="4" fillId="3" borderId="34" xfId="0" applyNumberFormat="1" applyFont="1" applyFill="1" applyBorder="1" applyAlignment="1">
      <alignment horizontal="center" vertical="center"/>
    </xf>
    <xf numFmtId="165" fontId="12" fillId="3" borderId="34" xfId="0" applyNumberFormat="1" applyFont="1" applyFill="1" applyBorder="1" applyAlignment="1">
      <alignment horizontal="center" vertical="center"/>
    </xf>
    <xf numFmtId="10" fontId="4" fillId="3" borderId="37" xfId="0" applyNumberFormat="1" applyFont="1" applyFill="1" applyBorder="1" applyAlignment="1">
      <alignment horizontal="center" vertical="center"/>
    </xf>
    <xf numFmtId="10" fontId="4" fillId="4" borderId="37" xfId="0" applyNumberFormat="1" applyFont="1" applyFill="1" applyBorder="1" applyAlignment="1">
      <alignment horizontal="center" vertical="center"/>
    </xf>
    <xf numFmtId="0" fontId="12" fillId="3" borderId="3" xfId="0" quotePrefix="1" applyFont="1" applyFill="1" applyBorder="1" applyAlignment="1">
      <alignment horizontal="center" vertical="center"/>
    </xf>
    <xf numFmtId="0" fontId="12" fillId="3" borderId="37" xfId="0" quotePrefix="1" applyFont="1" applyFill="1" applyBorder="1" applyAlignment="1">
      <alignment horizontal="center" vertical="center"/>
    </xf>
    <xf numFmtId="1" fontId="0" fillId="3" borderId="34" xfId="0" applyNumberFormat="1" applyFill="1" applyBorder="1" applyAlignment="1">
      <alignment horizontal="center" vertical="center"/>
    </xf>
    <xf numFmtId="10" fontId="4" fillId="28" borderId="3" xfId="0" applyNumberFormat="1" applyFont="1" applyFill="1" applyBorder="1" applyAlignment="1">
      <alignment horizontal="center" vertical="center"/>
    </xf>
    <xf numFmtId="10" fontId="4" fillId="4" borderId="38" xfId="0" applyNumberFormat="1" applyFont="1" applyFill="1" applyBorder="1" applyAlignment="1">
      <alignment horizontal="center" vertical="center"/>
    </xf>
    <xf numFmtId="0" fontId="12" fillId="3" borderId="38" xfId="0" quotePrefix="1" applyFont="1" applyFill="1" applyBorder="1" applyAlignment="1">
      <alignment horizontal="center" vertical="center"/>
    </xf>
    <xf numFmtId="10" fontId="4" fillId="3" borderId="36" xfId="0" applyNumberFormat="1" applyFont="1" applyFill="1" applyBorder="1" applyAlignment="1">
      <alignment horizontal="center" vertical="center"/>
    </xf>
    <xf numFmtId="0" fontId="0" fillId="0" borderId="0" xfId="0"/>
    <xf numFmtId="0" fontId="0" fillId="2" borderId="1" xfId="0" applyFill="1" applyBorder="1"/>
    <xf numFmtId="0" fontId="4" fillId="0" borderId="0" xfId="0" applyFont="1" applyFill="1" applyAlignment="1">
      <alignment horizontal="left"/>
    </xf>
    <xf numFmtId="0" fontId="4" fillId="0" borderId="0" xfId="0" applyFont="1" applyAlignment="1">
      <alignment horizontal="left"/>
    </xf>
    <xf numFmtId="0" fontId="0" fillId="0" borderId="0" xfId="0" applyAlignment="1">
      <alignment horizontal="left"/>
    </xf>
    <xf numFmtId="0" fontId="0" fillId="2" borderId="5" xfId="0" applyFill="1" applyBorder="1"/>
    <xf numFmtId="0" fontId="4" fillId="0" borderId="0" xfId="0" applyFont="1"/>
    <xf numFmtId="0" fontId="4" fillId="3" borderId="1" xfId="0" applyFont="1" applyFill="1" applyBorder="1" applyAlignment="1">
      <alignment horizontal="center" vertical="center"/>
    </xf>
    <xf numFmtId="0" fontId="4" fillId="0" borderId="0" xfId="0" applyNumberFormat="1" applyFont="1" applyAlignment="1">
      <alignment horizontal="left"/>
    </xf>
    <xf numFmtId="1" fontId="4" fillId="0" borderId="0" xfId="0" applyNumberFormat="1" applyFont="1" applyAlignment="1">
      <alignment horizontal="left"/>
    </xf>
    <xf numFmtId="1" fontId="11" fillId="3" borderId="1" xfId="0" applyNumberFormat="1" applyFont="1" applyFill="1" applyBorder="1" applyAlignment="1">
      <alignment horizontal="center" vertical="center"/>
    </xf>
    <xf numFmtId="0" fontId="4" fillId="0" borderId="0" xfId="0" applyFont="1" applyAlignment="1">
      <alignment horizontal="center"/>
    </xf>
    <xf numFmtId="0" fontId="4" fillId="0" borderId="0" xfId="0" applyFont="1" applyAlignment="1"/>
    <xf numFmtId="0" fontId="4" fillId="3" borderId="5" xfId="0" applyFont="1" applyFill="1" applyBorder="1" applyAlignment="1">
      <alignment horizontal="center" vertical="center"/>
    </xf>
    <xf numFmtId="1" fontId="11" fillId="3" borderId="5"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0" fontId="4" fillId="3" borderId="33" xfId="0" applyFont="1" applyFill="1" applyBorder="1" applyAlignment="1">
      <alignment horizontal="center" vertical="center"/>
    </xf>
    <xf numFmtId="0" fontId="4" fillId="3" borderId="43" xfId="0" applyFont="1" applyFill="1" applyBorder="1" applyAlignment="1">
      <alignment horizontal="center" vertical="center"/>
    </xf>
    <xf numFmtId="1" fontId="11" fillId="3" borderId="43" xfId="0" applyNumberFormat="1" applyFont="1" applyFill="1" applyBorder="1" applyAlignment="1">
      <alignment horizontal="center" vertical="center"/>
    </xf>
    <xf numFmtId="10" fontId="4" fillId="3" borderId="46" xfId="0" applyNumberFormat="1" applyFont="1" applyFill="1" applyBorder="1" applyAlignment="1">
      <alignment horizontal="center" vertical="center"/>
    </xf>
    <xf numFmtId="10" fontId="4" fillId="4" borderId="46" xfId="0" applyNumberFormat="1" applyFont="1" applyFill="1" applyBorder="1" applyAlignment="1">
      <alignment horizontal="center" vertical="center"/>
    </xf>
    <xf numFmtId="1" fontId="11" fillId="3" borderId="9" xfId="0" applyNumberFormat="1" applyFont="1" applyFill="1" applyBorder="1" applyAlignment="1">
      <alignment horizontal="center" vertical="center"/>
    </xf>
    <xf numFmtId="10" fontId="4" fillId="3" borderId="11" xfId="0" applyNumberFormat="1" applyFont="1" applyFill="1" applyBorder="1" applyAlignment="1">
      <alignment horizontal="center" vertical="center"/>
    </xf>
    <xf numFmtId="0" fontId="4" fillId="3" borderId="9" xfId="0" applyFont="1" applyFill="1" applyBorder="1" applyAlignment="1">
      <alignment horizontal="center" vertical="center"/>
    </xf>
    <xf numFmtId="10" fontId="4" fillId="28" borderId="46"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 fontId="11" fillId="3" borderId="50" xfId="0" applyNumberFormat="1" applyFont="1" applyFill="1" applyBorder="1" applyAlignment="1">
      <alignment horizontal="center" vertical="center"/>
    </xf>
    <xf numFmtId="1" fontId="11" fillId="3" borderId="10" xfId="0" applyNumberFormat="1" applyFont="1" applyFill="1" applyBorder="1" applyAlignment="1">
      <alignment horizontal="center" vertical="center"/>
    </xf>
    <xf numFmtId="0" fontId="31" fillId="2" borderId="5" xfId="0" applyFont="1" applyFill="1" applyBorder="1"/>
    <xf numFmtId="0" fontId="31" fillId="3" borderId="43" xfId="0" applyFont="1" applyFill="1" applyBorder="1" applyAlignment="1">
      <alignment horizontal="center" vertical="center"/>
    </xf>
    <xf numFmtId="0" fontId="31" fillId="3" borderId="33" xfId="0" applyFont="1" applyFill="1" applyBorder="1" applyAlignment="1">
      <alignment horizontal="center" vertical="center"/>
    </xf>
    <xf numFmtId="0" fontId="31" fillId="3" borderId="1"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9" xfId="0" applyFont="1" applyFill="1" applyBorder="1" applyAlignment="1">
      <alignment horizontal="center" vertical="center"/>
    </xf>
    <xf numFmtId="0" fontId="31" fillId="0" borderId="26" xfId="0" applyFont="1" applyBorder="1" applyAlignment="1"/>
    <xf numFmtId="0" fontId="31" fillId="0" borderId="0" xfId="0" applyFont="1" applyAlignment="1"/>
    <xf numFmtId="0" fontId="31" fillId="0" borderId="0" xfId="0" applyFont="1" applyAlignment="1">
      <alignment horizontal="center"/>
    </xf>
    <xf numFmtId="0" fontId="31" fillId="2" borderId="13" xfId="0" applyFont="1" applyFill="1" applyBorder="1" applyAlignment="1">
      <alignment horizontal="center" vertical="center" wrapText="1"/>
    </xf>
    <xf numFmtId="0" fontId="31" fillId="0" borderId="0" xfId="0" applyFont="1"/>
    <xf numFmtId="1" fontId="31" fillId="3" borderId="9" xfId="0" applyNumberFormat="1" applyFont="1" applyFill="1" applyBorder="1" applyAlignment="1">
      <alignment horizontal="center" vertical="center"/>
    </xf>
    <xf numFmtId="1" fontId="31" fillId="3" borderId="43" xfId="0" applyNumberFormat="1" applyFont="1" applyFill="1" applyBorder="1" applyAlignment="1">
      <alignment horizontal="center" vertical="center"/>
    </xf>
    <xf numFmtId="1" fontId="31" fillId="3" borderId="33" xfId="0" applyNumberFormat="1" applyFont="1" applyFill="1" applyBorder="1" applyAlignment="1">
      <alignment horizontal="center" vertical="center"/>
    </xf>
    <xf numFmtId="1" fontId="31" fillId="3" borderId="10" xfId="0" applyNumberFormat="1" applyFont="1" applyFill="1" applyBorder="1" applyAlignment="1">
      <alignment horizontal="center" vertical="center"/>
    </xf>
    <xf numFmtId="1" fontId="31" fillId="3" borderId="50" xfId="0" applyNumberFormat="1" applyFont="1" applyFill="1" applyBorder="1" applyAlignment="1">
      <alignment horizontal="center" vertical="center"/>
    </xf>
    <xf numFmtId="0" fontId="10" fillId="3" borderId="43" xfId="0" applyFont="1" applyFill="1" applyBorder="1" applyAlignment="1">
      <alignment horizontal="center" vertical="center"/>
    </xf>
    <xf numFmtId="0" fontId="10" fillId="3" borderId="50" xfId="0" applyFont="1" applyFill="1" applyBorder="1" applyAlignment="1">
      <alignment horizontal="center" vertical="center"/>
    </xf>
    <xf numFmtId="165" fontId="12" fillId="3" borderId="70" xfId="0" applyNumberFormat="1" applyFont="1" applyFill="1" applyBorder="1" applyAlignment="1">
      <alignment horizontal="center" vertical="center"/>
    </xf>
    <xf numFmtId="165" fontId="12" fillId="3" borderId="65" xfId="0" applyNumberFormat="1" applyFont="1" applyFill="1" applyBorder="1" applyAlignment="1">
      <alignment horizontal="center" vertical="center"/>
    </xf>
    <xf numFmtId="165" fontId="12" fillId="3" borderId="76" xfId="0" applyNumberFormat="1" applyFont="1" applyFill="1" applyBorder="1" applyAlignment="1">
      <alignment horizontal="center" vertical="center"/>
    </xf>
    <xf numFmtId="165" fontId="12" fillId="3" borderId="77" xfId="0" applyNumberFormat="1" applyFont="1" applyFill="1" applyBorder="1" applyAlignment="1">
      <alignment horizontal="center" vertical="center"/>
    </xf>
    <xf numFmtId="165" fontId="12" fillId="3" borderId="75" xfId="0" applyNumberFormat="1" applyFont="1" applyFill="1" applyBorder="1" applyAlignment="1">
      <alignment horizontal="center" vertical="center"/>
    </xf>
    <xf numFmtId="165" fontId="12" fillId="3" borderId="76" xfId="0" applyNumberFormat="1" applyFont="1" applyFill="1" applyBorder="1" applyAlignment="1">
      <alignment horizontal="center" vertical="center"/>
    </xf>
    <xf numFmtId="165" fontId="12" fillId="3" borderId="75" xfId="0" applyNumberFormat="1" applyFont="1" applyFill="1" applyBorder="1" applyAlignment="1">
      <alignment horizontal="center" vertical="center"/>
    </xf>
    <xf numFmtId="165" fontId="12" fillId="3" borderId="82" xfId="0" applyNumberFormat="1" applyFont="1" applyFill="1" applyBorder="1" applyAlignment="1">
      <alignment horizontal="center" vertical="center"/>
    </xf>
    <xf numFmtId="165" fontId="12" fillId="3" borderId="83" xfId="0" applyNumberFormat="1" applyFont="1" applyFill="1" applyBorder="1" applyAlignment="1">
      <alignment horizontal="center" vertical="center"/>
    </xf>
    <xf numFmtId="165" fontId="12" fillId="3" borderId="77" xfId="0" applyNumberFormat="1" applyFont="1" applyFill="1" applyBorder="1" applyAlignment="1">
      <alignment horizontal="center" vertical="center"/>
    </xf>
    <xf numFmtId="165" fontId="12" fillId="3" borderId="82" xfId="0" applyNumberFormat="1" applyFont="1" applyFill="1" applyBorder="1" applyAlignment="1">
      <alignment horizontal="center" vertical="center"/>
    </xf>
    <xf numFmtId="165" fontId="12" fillId="3" borderId="83" xfId="0" applyNumberFormat="1" applyFont="1" applyFill="1" applyBorder="1" applyAlignment="1">
      <alignment horizontal="center" vertical="center"/>
    </xf>
    <xf numFmtId="165" fontId="12" fillId="3" borderId="97" xfId="0" applyNumberFormat="1" applyFont="1" applyFill="1" applyBorder="1" applyAlignment="1">
      <alignment horizontal="center" vertical="center"/>
    </xf>
    <xf numFmtId="165" fontId="12" fillId="3" borderId="98" xfId="0" applyNumberFormat="1" applyFont="1" applyFill="1" applyBorder="1" applyAlignment="1">
      <alignment horizontal="center" vertical="center"/>
    </xf>
    <xf numFmtId="165" fontId="12" fillId="3" borderId="96" xfId="0" applyNumberFormat="1" applyFont="1" applyFill="1" applyBorder="1" applyAlignment="1">
      <alignment horizontal="center" vertical="center"/>
    </xf>
    <xf numFmtId="0" fontId="12" fillId="3" borderId="97" xfId="0" applyFont="1" applyFill="1" applyBorder="1" applyAlignment="1">
      <alignment horizontal="center" vertical="center"/>
    </xf>
    <xf numFmtId="0" fontId="12" fillId="3" borderId="96" xfId="0" applyFont="1" applyFill="1" applyBorder="1" applyAlignment="1">
      <alignment horizontal="center" vertical="center"/>
    </xf>
    <xf numFmtId="0" fontId="12" fillId="3" borderId="103" xfId="0" applyFont="1" applyFill="1" applyBorder="1" applyAlignment="1">
      <alignment horizontal="center" vertical="center"/>
    </xf>
    <xf numFmtId="0" fontId="12" fillId="3" borderId="104" xfId="0" applyFont="1" applyFill="1" applyBorder="1" applyAlignment="1">
      <alignment horizontal="center" vertical="center"/>
    </xf>
    <xf numFmtId="0" fontId="12" fillId="3" borderId="98" xfId="0" applyFont="1" applyFill="1" applyBorder="1" applyAlignment="1">
      <alignment horizontal="center" vertical="center"/>
    </xf>
    <xf numFmtId="0" fontId="0" fillId="0" borderId="0" xfId="0"/>
    <xf numFmtId="164" fontId="0" fillId="0" borderId="0" xfId="0" applyNumberFormat="1"/>
    <xf numFmtId="0" fontId="0" fillId="0" borderId="0" xfId="0" applyAlignment="1">
      <alignment horizontal="center"/>
    </xf>
    <xf numFmtId="1" fontId="0" fillId="0" borderId="0" xfId="0" applyNumberFormat="1"/>
    <xf numFmtId="1" fontId="0" fillId="0" borderId="0" xfId="0" applyNumberFormat="1" applyAlignment="1">
      <alignment horizontal="center"/>
    </xf>
    <xf numFmtId="10" fontId="0" fillId="0" borderId="0" xfId="0" applyNumberFormat="1" applyAlignment="1">
      <alignment horizontal="center"/>
    </xf>
    <xf numFmtId="165" fontId="0" fillId="0" borderId="0" xfId="0" applyNumberFormat="1" applyAlignment="1">
      <alignment horizontal="center"/>
    </xf>
    <xf numFmtId="0" fontId="12" fillId="3" borderId="97" xfId="0" applyFont="1" applyFill="1" applyBorder="1" applyAlignment="1">
      <alignment horizontal="center" vertical="center"/>
    </xf>
    <xf numFmtId="0" fontId="12" fillId="3" borderId="96" xfId="0" applyFont="1" applyFill="1" applyBorder="1" applyAlignment="1">
      <alignment horizontal="center" vertical="center"/>
    </xf>
    <xf numFmtId="0" fontId="12" fillId="3" borderId="103" xfId="0" applyFont="1" applyFill="1" applyBorder="1" applyAlignment="1">
      <alignment horizontal="center" vertical="center"/>
    </xf>
    <xf numFmtId="0" fontId="12" fillId="3" borderId="104" xfId="0" applyFont="1" applyFill="1" applyBorder="1" applyAlignment="1">
      <alignment horizontal="center" vertical="center"/>
    </xf>
    <xf numFmtId="0" fontId="12" fillId="3" borderId="98"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8"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2" fillId="3" borderId="110" xfId="0" quotePrefix="1" applyFont="1" applyFill="1" applyBorder="1" applyAlignment="1">
      <alignment horizontal="center" vertical="center"/>
    </xf>
    <xf numFmtId="0" fontId="12" fillId="3" borderId="111" xfId="0" quotePrefix="1" applyFont="1" applyFill="1" applyBorder="1" applyAlignment="1">
      <alignment horizontal="center" vertical="center"/>
    </xf>
    <xf numFmtId="0" fontId="12" fillId="3" borderId="112" xfId="0" quotePrefix="1" applyFont="1" applyFill="1" applyBorder="1" applyAlignment="1">
      <alignment horizontal="center" vertical="center"/>
    </xf>
    <xf numFmtId="0" fontId="12" fillId="3" borderId="113" xfId="0" quotePrefix="1" applyFont="1" applyFill="1" applyBorder="1" applyAlignment="1">
      <alignment horizontal="center" vertical="center"/>
    </xf>
    <xf numFmtId="0" fontId="12" fillId="3" borderId="114" xfId="0" quotePrefix="1" applyFont="1" applyFill="1" applyBorder="1" applyAlignment="1">
      <alignment horizontal="center" vertical="center"/>
    </xf>
    <xf numFmtId="0" fontId="12" fillId="3" borderId="115" xfId="0" quotePrefix="1" applyFont="1" applyFill="1" applyBorder="1" applyAlignment="1">
      <alignment horizontal="center" vertical="center"/>
    </xf>
    <xf numFmtId="0" fontId="12" fillId="3" borderId="116" xfId="0" quotePrefix="1" applyFont="1" applyFill="1" applyBorder="1" applyAlignment="1">
      <alignment horizontal="center" vertical="center"/>
    </xf>
    <xf numFmtId="0" fontId="10" fillId="2" borderId="117" xfId="0" applyFont="1" applyFill="1" applyBorder="1"/>
    <xf numFmtId="165" fontId="12" fillId="3" borderId="118" xfId="0" applyNumberFormat="1" applyFont="1" applyFill="1" applyBorder="1" applyAlignment="1">
      <alignment horizontal="center" vertical="center"/>
    </xf>
    <xf numFmtId="165" fontId="12" fillId="3" borderId="119" xfId="0" applyNumberFormat="1" applyFont="1" applyFill="1" applyBorder="1" applyAlignment="1">
      <alignment horizontal="center" vertical="center"/>
    </xf>
    <xf numFmtId="165" fontId="12" fillId="3" borderId="120" xfId="0" applyNumberFormat="1" applyFont="1" applyFill="1" applyBorder="1" applyAlignment="1">
      <alignment horizontal="center" vertical="center"/>
    </xf>
    <xf numFmtId="165" fontId="12" fillId="3" borderId="117" xfId="0" applyNumberFormat="1" applyFont="1" applyFill="1" applyBorder="1" applyAlignment="1">
      <alignment horizontal="center" vertical="center"/>
    </xf>
    <xf numFmtId="165" fontId="12" fillId="3" borderId="121" xfId="0" applyNumberFormat="1" applyFont="1" applyFill="1" applyBorder="1" applyAlignment="1">
      <alignment horizontal="center" vertical="center"/>
    </xf>
    <xf numFmtId="0" fontId="10" fillId="2" borderId="120" xfId="0" applyFont="1" applyFill="1" applyBorder="1"/>
    <xf numFmtId="165" fontId="12" fillId="3" borderId="122" xfId="0" applyNumberFormat="1" applyFont="1" applyFill="1" applyBorder="1" applyAlignment="1">
      <alignment horizontal="center" vertical="center"/>
    </xf>
    <xf numFmtId="165" fontId="12" fillId="3" borderId="123" xfId="0" applyNumberFormat="1" applyFont="1" applyFill="1" applyBorder="1" applyAlignment="1">
      <alignment horizontal="center" vertical="center"/>
    </xf>
    <xf numFmtId="10" fontId="4" fillId="3" borderId="109" xfId="0" applyNumberFormat="1" applyFont="1" applyFill="1" applyBorder="1" applyAlignment="1">
      <alignment horizontal="center" vertical="center"/>
    </xf>
    <xf numFmtId="10" fontId="0" fillId="2" borderId="112" xfId="0" applyNumberFormat="1" applyFill="1" applyBorder="1"/>
    <xf numFmtId="10" fontId="4" fillId="3" borderId="114" xfId="0" applyNumberFormat="1" applyFont="1" applyFill="1" applyBorder="1" applyAlignment="1">
      <alignment horizontal="center" vertical="center"/>
    </xf>
    <xf numFmtId="10" fontId="4" fillId="3" borderId="124" xfId="0" applyNumberFormat="1" applyFont="1" applyFill="1" applyBorder="1" applyAlignment="1">
      <alignment horizontal="center" vertical="center"/>
    </xf>
    <xf numFmtId="0" fontId="0" fillId="2" borderId="117" xfId="0" applyFill="1" applyBorder="1"/>
    <xf numFmtId="1" fontId="4" fillId="3" borderId="118" xfId="0" applyNumberFormat="1" applyFont="1" applyFill="1" applyBorder="1" applyAlignment="1">
      <alignment horizontal="center" vertical="center"/>
    </xf>
    <xf numFmtId="1" fontId="4" fillId="3" borderId="119" xfId="0" applyNumberFormat="1" applyFont="1" applyFill="1" applyBorder="1" applyAlignment="1">
      <alignment horizontal="center" vertical="center"/>
    </xf>
    <xf numFmtId="1" fontId="4" fillId="3" borderId="125" xfId="0" applyNumberFormat="1" applyFont="1" applyFill="1" applyBorder="1" applyAlignment="1">
      <alignment horizontal="center" vertical="center"/>
    </xf>
    <xf numFmtId="1" fontId="4" fillId="3" borderId="120" xfId="0" applyNumberFormat="1" applyFont="1" applyFill="1" applyBorder="1" applyAlignment="1">
      <alignment horizontal="center" vertical="center"/>
    </xf>
    <xf numFmtId="1" fontId="4" fillId="3" borderId="122" xfId="0" applyNumberFormat="1" applyFont="1" applyFill="1" applyBorder="1" applyAlignment="1">
      <alignment horizontal="center" vertical="center"/>
    </xf>
    <xf numFmtId="1" fontId="4" fillId="3" borderId="117" xfId="0" applyNumberFormat="1" applyFont="1" applyFill="1" applyBorder="1" applyAlignment="1">
      <alignment horizontal="center" vertical="center"/>
    </xf>
    <xf numFmtId="1" fontId="4" fillId="3" borderId="121" xfId="0" applyNumberFormat="1" applyFont="1" applyFill="1" applyBorder="1" applyAlignment="1">
      <alignment horizontal="center" vertical="center"/>
    </xf>
    <xf numFmtId="10" fontId="0" fillId="2" borderId="113" xfId="0" applyNumberFormat="1" applyFill="1" applyBorder="1"/>
    <xf numFmtId="10" fontId="4" fillId="3" borderId="110" xfId="0" applyNumberFormat="1" applyFont="1" applyFill="1" applyBorder="1" applyAlignment="1">
      <alignment horizontal="center" vertical="center"/>
    </xf>
    <xf numFmtId="10" fontId="4" fillId="3" borderId="111" xfId="0" applyNumberFormat="1" applyFont="1" applyFill="1" applyBorder="1" applyAlignment="1">
      <alignment horizontal="center" vertical="center"/>
    </xf>
    <xf numFmtId="10" fontId="4" fillId="3" borderId="115" xfId="0" applyNumberFormat="1" applyFont="1" applyFill="1" applyBorder="1" applyAlignment="1">
      <alignment horizontal="center" vertical="center"/>
    </xf>
    <xf numFmtId="10" fontId="4" fillId="3" borderId="116" xfId="0" applyNumberFormat="1" applyFont="1" applyFill="1" applyBorder="1" applyAlignment="1">
      <alignment horizontal="center" vertical="center"/>
    </xf>
    <xf numFmtId="0" fontId="12" fillId="3" borderId="118" xfId="0" applyFont="1" applyFill="1" applyBorder="1" applyAlignment="1">
      <alignment horizontal="center" vertical="center"/>
    </xf>
    <xf numFmtId="0" fontId="12" fillId="3" borderId="119" xfId="0" applyFont="1" applyFill="1" applyBorder="1" applyAlignment="1">
      <alignment horizontal="center" vertical="center"/>
    </xf>
    <xf numFmtId="0" fontId="12" fillId="3" borderId="120" xfId="0" applyFont="1" applyFill="1" applyBorder="1" applyAlignment="1">
      <alignment horizontal="center" vertical="center"/>
    </xf>
    <xf numFmtId="0" fontId="12" fillId="3" borderId="117" xfId="0" applyFont="1" applyFill="1" applyBorder="1" applyAlignment="1">
      <alignment horizontal="center" vertical="center"/>
    </xf>
    <xf numFmtId="0" fontId="12" fillId="3" borderId="121" xfId="0" applyFont="1" applyFill="1" applyBorder="1" applyAlignment="1">
      <alignment horizontal="center" vertical="center"/>
    </xf>
    <xf numFmtId="0" fontId="0" fillId="2" borderId="113" xfId="0" applyFill="1" applyBorder="1"/>
    <xf numFmtId="1" fontId="4" fillId="3" borderId="115" xfId="0" applyNumberFormat="1" applyFont="1" applyFill="1" applyBorder="1" applyAlignment="1">
      <alignment horizontal="center" vertical="center"/>
    </xf>
    <xf numFmtId="1" fontId="4" fillId="3" borderId="112" xfId="0" applyNumberFormat="1" applyFont="1" applyFill="1" applyBorder="1" applyAlignment="1">
      <alignment horizontal="center" vertical="center"/>
    </xf>
    <xf numFmtId="1" fontId="4" fillId="3" borderId="113" xfId="0" applyNumberFormat="1" applyFont="1" applyFill="1" applyBorder="1" applyAlignment="1">
      <alignment horizontal="center" vertical="center"/>
    </xf>
    <xf numFmtId="1" fontId="4" fillId="3" borderId="111" xfId="0" applyNumberFormat="1" applyFont="1" applyFill="1" applyBorder="1" applyAlignment="1">
      <alignment horizontal="center" vertical="center"/>
    </xf>
    <xf numFmtId="1" fontId="4" fillId="3" borderId="110" xfId="0" applyNumberFormat="1" applyFont="1" applyFill="1" applyBorder="1" applyAlignment="1">
      <alignment horizontal="center" vertical="center"/>
    </xf>
    <xf numFmtId="1" fontId="0" fillId="3" borderId="114" xfId="0" applyNumberFormat="1" applyFill="1" applyBorder="1" applyAlignment="1">
      <alignment horizontal="center" vertical="center"/>
    </xf>
    <xf numFmtId="1" fontId="0" fillId="3" borderId="119" xfId="0" applyNumberFormat="1" applyFill="1" applyBorder="1" applyAlignment="1">
      <alignment horizontal="center" vertical="center"/>
    </xf>
    <xf numFmtId="10" fontId="4" fillId="4" borderId="124"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3" borderId="43" xfId="0" applyFont="1" applyFill="1" applyBorder="1" applyAlignment="1">
      <alignment horizontal="center" vertical="center"/>
    </xf>
    <xf numFmtId="0" fontId="4" fillId="3" borderId="9"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10" fontId="4" fillId="28" borderId="109"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12" fillId="3" borderId="119" xfId="0" applyFont="1" applyFill="1" applyBorder="1" applyAlignment="1">
      <alignment horizontal="center" vertical="center"/>
    </xf>
    <xf numFmtId="1" fontId="4" fillId="3" borderId="119" xfId="0" applyNumberFormat="1" applyFont="1" applyFill="1" applyBorder="1" applyAlignment="1">
      <alignment horizontal="center" vertical="center"/>
    </xf>
    <xf numFmtId="1" fontId="11" fillId="3" borderId="33" xfId="0" applyNumberFormat="1" applyFont="1" applyFill="1" applyBorder="1" applyAlignment="1">
      <alignment horizontal="center" vertical="center"/>
    </xf>
    <xf numFmtId="10" fontId="4" fillId="3" borderId="37" xfId="0" applyNumberFormat="1" applyFont="1" applyFill="1" applyBorder="1" applyAlignment="1">
      <alignment horizontal="center" vertical="center"/>
    </xf>
    <xf numFmtId="10" fontId="4" fillId="4" borderId="46" xfId="0" applyNumberFormat="1" applyFont="1" applyFill="1" applyBorder="1" applyAlignment="1">
      <alignment horizontal="center" vertical="center"/>
    </xf>
    <xf numFmtId="1" fontId="0" fillId="3" borderId="119" xfId="0" applyNumberFormat="1" applyFill="1" applyBorder="1" applyAlignment="1">
      <alignment horizontal="center" vertical="center"/>
    </xf>
    <xf numFmtId="0" fontId="31" fillId="3" borderId="33" xfId="0" applyFont="1" applyFill="1" applyBorder="1" applyAlignment="1">
      <alignment horizontal="center" vertical="center"/>
    </xf>
    <xf numFmtId="0" fontId="10" fillId="3" borderId="50" xfId="0" applyFont="1" applyFill="1" applyBorder="1" applyAlignment="1">
      <alignment horizontal="center" vertical="center"/>
    </xf>
    <xf numFmtId="0" fontId="12" fillId="3" borderId="142" xfId="0" quotePrefix="1" applyFont="1" applyFill="1" applyBorder="1" applyAlignment="1">
      <alignment horizontal="center" vertical="center"/>
    </xf>
    <xf numFmtId="165" fontId="12" fillId="3" borderId="144" xfId="0" applyNumberFormat="1" applyFont="1" applyFill="1" applyBorder="1" applyAlignment="1">
      <alignment horizontal="center" vertical="center"/>
    </xf>
    <xf numFmtId="0" fontId="12" fillId="3" borderId="143"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3" fontId="0" fillId="0" borderId="0" xfId="0" applyNumberFormat="1"/>
    <xf numFmtId="3" fontId="0" fillId="0" borderId="0" xfId="0" applyNumberFormat="1" applyAlignment="1">
      <alignment wrapText="1"/>
    </xf>
    <xf numFmtId="0" fontId="0" fillId="0" borderId="0" xfId="0" applyAlignment="1">
      <alignment wrapText="1"/>
    </xf>
    <xf numFmtId="0" fontId="0" fillId="0" borderId="0" xfId="0" applyAlignment="1">
      <alignment horizontal="center"/>
    </xf>
    <xf numFmtId="164" fontId="0" fillId="0" borderId="120" xfId="0" applyNumberFormat="1" applyBorder="1"/>
    <xf numFmtId="1" fontId="0" fillId="0" borderId="120" xfId="0" applyNumberFormat="1" applyBorder="1"/>
    <xf numFmtId="0" fontId="0" fillId="0" borderId="120" xfId="0" applyBorder="1"/>
    <xf numFmtId="1" fontId="33" fillId="29" borderId="120" xfId="8" applyNumberFormat="1" applyFont="1" applyFill="1" applyBorder="1" applyAlignment="1">
      <alignment wrapText="1"/>
    </xf>
    <xf numFmtId="164" fontId="3" fillId="29" borderId="120" xfId="0" applyNumberFormat="1" applyFont="1" applyFill="1" applyBorder="1" applyAlignment="1">
      <alignment horizontal="center" vertical="center" wrapText="1"/>
    </xf>
    <xf numFmtId="1" fontId="33" fillId="29" borderId="120" xfId="8" applyNumberFormat="1" applyFont="1" applyFill="1" applyBorder="1" applyAlignment="1">
      <alignment horizontal="center" vertical="center" wrapText="1"/>
    </xf>
    <xf numFmtId="165" fontId="0" fillId="0" borderId="120" xfId="0" applyNumberFormat="1" applyBorder="1" applyAlignment="1">
      <alignment horizontal="center"/>
    </xf>
    <xf numFmtId="0" fontId="0" fillId="0" borderId="120" xfId="0" quotePrefix="1" applyBorder="1" applyAlignment="1">
      <alignment horizontal="center"/>
    </xf>
    <xf numFmtId="0" fontId="0" fillId="0" borderId="120" xfId="0" applyBorder="1" applyAlignment="1">
      <alignment horizontal="center"/>
    </xf>
    <xf numFmtId="3" fontId="0" fillId="0" borderId="120" xfId="0" applyNumberFormat="1" applyBorder="1"/>
    <xf numFmtId="49" fontId="0" fillId="0" borderId="120" xfId="0" applyNumberFormat="1" applyBorder="1" applyAlignment="1">
      <alignment horizontal="right" wrapText="1"/>
    </xf>
    <xf numFmtId="0" fontId="0" fillId="0" borderId="120" xfId="0" applyBorder="1" applyAlignment="1">
      <alignment horizontal="right" wrapText="1"/>
    </xf>
    <xf numFmtId="0" fontId="0" fillId="0" borderId="120" xfId="0" applyBorder="1" applyAlignment="1">
      <alignment wrapText="1"/>
    </xf>
    <xf numFmtId="49" fontId="0" fillId="0" borderId="120" xfId="0" applyNumberFormat="1" applyBorder="1"/>
    <xf numFmtId="1" fontId="0" fillId="0" borderId="120" xfId="0" applyNumberFormat="1" applyBorder="1" applyAlignment="1">
      <alignment horizontal="center"/>
    </xf>
    <xf numFmtId="9" fontId="0" fillId="0" borderId="120" xfId="18585" applyFont="1" applyBorder="1"/>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1" fontId="12" fillId="3" borderId="118" xfId="0" applyNumberFormat="1" applyFont="1" applyFill="1" applyBorder="1" applyAlignment="1">
      <alignment horizontal="center" vertical="center"/>
    </xf>
    <xf numFmtId="1" fontId="12" fillId="3" borderId="119" xfId="0" applyNumberFormat="1" applyFont="1" applyFill="1" applyBorder="1" applyAlignment="1">
      <alignment horizontal="center" vertical="center"/>
    </xf>
    <xf numFmtId="1" fontId="12" fillId="3" borderId="120" xfId="0" applyNumberFormat="1" applyFont="1" applyFill="1" applyBorder="1" applyAlignment="1">
      <alignment horizontal="center" vertical="center"/>
    </xf>
    <xf numFmtId="1" fontId="12" fillId="3" borderId="117"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0" borderId="0" xfId="0"/>
    <xf numFmtId="0" fontId="0" fillId="0" borderId="120" xfId="0" applyBorder="1"/>
    <xf numFmtId="0" fontId="35" fillId="3" borderId="50" xfId="0" applyFont="1" applyFill="1" applyBorder="1" applyAlignment="1">
      <alignment horizontal="center" vertical="center"/>
    </xf>
    <xf numFmtId="0" fontId="11" fillId="3" borderId="142" xfId="0" quotePrefix="1" applyFont="1" applyFill="1" applyBorder="1" applyAlignment="1">
      <alignment horizontal="center" vertical="center"/>
    </xf>
    <xf numFmtId="165" fontId="11" fillId="3" borderId="144" xfId="0" applyNumberFormat="1" applyFont="1" applyFill="1" applyBorder="1" applyAlignment="1">
      <alignment horizontal="center" vertical="center"/>
    </xf>
    <xf numFmtId="10" fontId="34" fillId="3" borderId="37" xfId="0" applyNumberFormat="1" applyFont="1" applyFill="1" applyBorder="1" applyAlignment="1">
      <alignment horizontal="center" vertical="center"/>
    </xf>
    <xf numFmtId="1" fontId="34" fillId="3" borderId="122" xfId="0" applyNumberFormat="1" applyFont="1" applyFill="1" applyBorder="1" applyAlignment="1">
      <alignment horizontal="center" vertical="center"/>
    </xf>
    <xf numFmtId="1" fontId="34" fillId="3" borderId="119" xfId="0" applyNumberFormat="1" applyFont="1" applyFill="1" applyBorder="1" applyAlignment="1">
      <alignment horizontal="center" vertical="center"/>
    </xf>
    <xf numFmtId="1" fontId="11" fillId="3" borderId="119" xfId="0" applyNumberFormat="1" applyFont="1" applyFill="1" applyBorder="1" applyAlignment="1">
      <alignment horizontal="center" vertical="center"/>
    </xf>
    <xf numFmtId="1" fontId="3" fillId="3" borderId="119" xfId="0" applyNumberFormat="1" applyFont="1" applyFill="1" applyBorder="1" applyAlignment="1">
      <alignment horizontal="center" vertical="center"/>
    </xf>
    <xf numFmtId="0" fontId="11" fillId="3" borderId="118" xfId="0" applyFont="1" applyFill="1" applyBorder="1" applyAlignment="1">
      <alignment horizontal="center" vertical="center"/>
    </xf>
    <xf numFmtId="10" fontId="34" fillId="4" borderId="46" xfId="0" applyNumberFormat="1"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3" borderId="9" xfId="0" applyFont="1" applyFill="1" applyBorder="1" applyAlignment="1">
      <alignment horizontal="center" vertical="center"/>
    </xf>
    <xf numFmtId="0" fontId="0" fillId="0" borderId="0" xfId="0" applyAlignment="1">
      <alignment horizontal="center"/>
    </xf>
    <xf numFmtId="0" fontId="12" fillId="3" borderId="145" xfId="0" quotePrefix="1" applyFont="1" applyFill="1" applyBorder="1" applyAlignment="1">
      <alignment horizontal="center" vertical="center"/>
    </xf>
    <xf numFmtId="1" fontId="11" fillId="3" borderId="39" xfId="0" applyNumberFormat="1" applyFont="1" applyFill="1" applyBorder="1" applyAlignment="1">
      <alignment horizontal="center" vertical="center"/>
    </xf>
    <xf numFmtId="165" fontId="12" fillId="3" borderId="146" xfId="0" applyNumberFormat="1" applyFont="1" applyFill="1" applyBorder="1" applyAlignment="1">
      <alignment horizontal="center" vertical="center"/>
    </xf>
    <xf numFmtId="10" fontId="4" fillId="3" borderId="147" xfId="0" applyNumberFormat="1" applyFont="1" applyFill="1" applyBorder="1" applyAlignment="1">
      <alignment horizontal="center" vertical="center"/>
    </xf>
    <xf numFmtId="1" fontId="31" fillId="3" borderId="39" xfId="0" applyNumberFormat="1" applyFont="1" applyFill="1" applyBorder="1" applyAlignment="1">
      <alignment horizontal="center" vertical="center"/>
    </xf>
    <xf numFmtId="10" fontId="4" fillId="3" borderId="145" xfId="0" applyNumberFormat="1" applyFont="1" applyFill="1" applyBorder="1" applyAlignment="1">
      <alignment horizontal="center" vertical="center"/>
    </xf>
    <xf numFmtId="0" fontId="0" fillId="0" borderId="0" xfId="0" applyBorder="1" applyAlignment="1">
      <alignment horizontal="center" vertical="center"/>
    </xf>
    <xf numFmtId="0" fontId="12" fillId="3" borderId="0" xfId="0" quotePrefix="1" applyFont="1" applyFill="1" applyBorder="1" applyAlignment="1">
      <alignment horizontal="center" vertical="center"/>
    </xf>
    <xf numFmtId="1" fontId="11" fillId="3" borderId="0" xfId="0" applyNumberFormat="1" applyFont="1" applyFill="1" applyBorder="1" applyAlignment="1">
      <alignment horizontal="center" vertical="center"/>
    </xf>
    <xf numFmtId="165" fontId="12" fillId="3" borderId="0" xfId="0" applyNumberFormat="1" applyFont="1" applyFill="1" applyBorder="1" applyAlignment="1">
      <alignment horizontal="center" vertical="center"/>
    </xf>
    <xf numFmtId="10" fontId="4" fillId="3" borderId="0" xfId="0" applyNumberFormat="1" applyFont="1" applyFill="1" applyBorder="1" applyAlignment="1">
      <alignment horizontal="center" vertical="center"/>
    </xf>
    <xf numFmtId="1" fontId="31" fillId="3" borderId="0" xfId="0" applyNumberFormat="1" applyFont="1" applyFill="1" applyBorder="1" applyAlignment="1">
      <alignment horizontal="center" vertical="center"/>
    </xf>
    <xf numFmtId="0" fontId="12" fillId="30" borderId="111" xfId="0" quotePrefix="1" applyFont="1" applyFill="1" applyBorder="1" applyAlignment="1">
      <alignment horizontal="center" vertical="center"/>
    </xf>
    <xf numFmtId="0" fontId="12" fillId="30" borderId="110" xfId="0" quotePrefix="1" applyFont="1" applyFill="1" applyBorder="1" applyAlignment="1">
      <alignment horizontal="center" vertical="center"/>
    </xf>
    <xf numFmtId="0" fontId="12" fillId="30" borderId="112" xfId="0" quotePrefix="1" applyFont="1" applyFill="1" applyBorder="1" applyAlignment="1">
      <alignment horizontal="center" vertical="center"/>
    </xf>
    <xf numFmtId="0" fontId="12" fillId="30" borderId="38" xfId="0" quotePrefix="1" applyFont="1" applyFill="1" applyBorder="1" applyAlignment="1">
      <alignment horizontal="center" vertical="center"/>
    </xf>
    <xf numFmtId="0" fontId="12" fillId="30" borderId="113" xfId="0" quotePrefix="1" applyFont="1" applyFill="1" applyBorder="1" applyAlignment="1">
      <alignment horizontal="center" vertical="center"/>
    </xf>
    <xf numFmtId="0" fontId="12" fillId="30" borderId="3" xfId="0" quotePrefix="1" applyFont="1" applyFill="1" applyBorder="1" applyAlignment="1">
      <alignment horizontal="center" vertical="center"/>
    </xf>
    <xf numFmtId="0" fontId="12" fillId="30" borderId="142" xfId="0" quotePrefix="1" applyFont="1" applyFill="1" applyBorder="1" applyAlignment="1">
      <alignment horizontal="center" vertical="center"/>
    </xf>
    <xf numFmtId="0" fontId="35" fillId="3" borderId="39" xfId="0" applyFont="1" applyFill="1" applyBorder="1" applyAlignment="1">
      <alignment horizontal="center" vertical="center"/>
    </xf>
    <xf numFmtId="0" fontId="11" fillId="3" borderId="149" xfId="0" quotePrefix="1" applyFont="1" applyFill="1" applyBorder="1" applyAlignment="1">
      <alignment horizontal="center" vertical="center"/>
    </xf>
    <xf numFmtId="165" fontId="11" fillId="3" borderId="150" xfId="0" applyNumberFormat="1" applyFont="1" applyFill="1" applyBorder="1" applyAlignment="1">
      <alignment horizontal="center" vertical="center"/>
    </xf>
    <xf numFmtId="10" fontId="34" fillId="3" borderId="151" xfId="0" applyNumberFormat="1" applyFont="1" applyFill="1" applyBorder="1" applyAlignment="1">
      <alignment horizontal="center" vertical="center"/>
    </xf>
    <xf numFmtId="1" fontId="34" fillId="3" borderId="146" xfId="0" applyNumberFormat="1" applyFont="1" applyFill="1" applyBorder="1" applyAlignment="1">
      <alignment horizontal="center" vertical="center"/>
    </xf>
    <xf numFmtId="1" fontId="34" fillId="3" borderId="150" xfId="0" applyNumberFormat="1" applyFont="1" applyFill="1" applyBorder="1" applyAlignment="1">
      <alignment horizontal="center" vertical="center"/>
    </xf>
    <xf numFmtId="1" fontId="11" fillId="3" borderId="150" xfId="0" applyNumberFormat="1" applyFont="1" applyFill="1" applyBorder="1" applyAlignment="1">
      <alignment horizontal="center" vertical="center"/>
    </xf>
    <xf numFmtId="1" fontId="3" fillId="3" borderId="150" xfId="0" applyNumberFormat="1" applyFont="1" applyFill="1" applyBorder="1" applyAlignment="1">
      <alignment horizontal="center" vertical="center"/>
    </xf>
    <xf numFmtId="0" fontId="11" fillId="3" borderId="152" xfId="0" applyFont="1" applyFill="1" applyBorder="1" applyAlignment="1">
      <alignment horizontal="center" vertical="center"/>
    </xf>
    <xf numFmtId="10" fontId="34" fillId="4" borderId="11" xfId="0" applyNumberFormat="1" applyFont="1" applyFill="1" applyBorder="1" applyAlignment="1">
      <alignment horizontal="center" vertical="center"/>
    </xf>
    <xf numFmtId="0" fontId="0" fillId="2" borderId="153" xfId="0" applyFill="1" applyBorder="1" applyAlignment="1">
      <alignment horizontal="center" vertical="center" wrapText="1"/>
    </xf>
    <xf numFmtId="0" fontId="0" fillId="2" borderId="154" xfId="0" applyFill="1" applyBorder="1" applyAlignment="1">
      <alignment horizontal="center" vertical="center" wrapText="1"/>
    </xf>
    <xf numFmtId="0" fontId="0" fillId="2" borderId="59" xfId="0" applyFill="1" applyBorder="1" applyAlignment="1">
      <alignment horizontal="center" vertical="center" wrapText="1"/>
    </xf>
    <xf numFmtId="0" fontId="31" fillId="2" borderId="153" xfId="0" applyFont="1" applyFill="1" applyBorder="1" applyAlignment="1">
      <alignment horizontal="center" vertical="center" wrapText="1"/>
    </xf>
    <xf numFmtId="0" fontId="4" fillId="31" borderId="148" xfId="0" applyFont="1" applyFill="1" applyBorder="1" applyAlignment="1">
      <alignment horizontal="center"/>
    </xf>
    <xf numFmtId="0" fontId="4" fillId="31" borderId="148" xfId="0" applyFont="1" applyFill="1" applyBorder="1" applyAlignment="1">
      <alignment horizontal="left"/>
    </xf>
    <xf numFmtId="1" fontId="11" fillId="31" borderId="148" xfId="0" applyNumberFormat="1" applyFont="1" applyFill="1" applyBorder="1" applyAlignment="1">
      <alignment horizontal="center" vertical="center"/>
    </xf>
    <xf numFmtId="165" fontId="12" fillId="31" borderId="148" xfId="0" applyNumberFormat="1" applyFont="1" applyFill="1" applyBorder="1" applyAlignment="1">
      <alignment horizontal="center" vertical="center"/>
    </xf>
    <xf numFmtId="10" fontId="4" fillId="31" borderId="148" xfId="0" applyNumberFormat="1" applyFont="1" applyFill="1" applyBorder="1" applyAlignment="1">
      <alignment horizontal="center" vertical="center"/>
    </xf>
    <xf numFmtId="1" fontId="4" fillId="31" borderId="148" xfId="0" applyNumberFormat="1" applyFont="1" applyFill="1" applyBorder="1" applyAlignment="1">
      <alignment horizontal="center" vertical="center"/>
    </xf>
    <xf numFmtId="1" fontId="12" fillId="31" borderId="148" xfId="0" applyNumberFormat="1" applyFont="1" applyFill="1" applyBorder="1" applyAlignment="1">
      <alignment horizontal="center" vertical="center"/>
    </xf>
    <xf numFmtId="1" fontId="0" fillId="31" borderId="148" xfId="0" applyNumberFormat="1" applyFill="1" applyBorder="1" applyAlignment="1">
      <alignment horizontal="center" vertical="center"/>
    </xf>
    <xf numFmtId="0" fontId="12" fillId="31" borderId="148" xfId="0" applyFont="1" applyFill="1" applyBorder="1" applyAlignment="1">
      <alignment horizontal="center" vertical="center"/>
    </xf>
    <xf numFmtId="0" fontId="35" fillId="32" borderId="54" xfId="0" applyFont="1" applyFill="1" applyBorder="1" applyAlignment="1">
      <alignment horizontal="center" vertical="center"/>
    </xf>
    <xf numFmtId="0" fontId="4" fillId="3" borderId="9" xfId="0" applyFont="1" applyFill="1" applyBorder="1" applyAlignment="1">
      <alignment horizontal="center" vertical="center"/>
    </xf>
    <xf numFmtId="0" fontId="0" fillId="0" borderId="0" xfId="0" applyAlignment="1">
      <alignment horizontal="center"/>
    </xf>
    <xf numFmtId="0" fontId="4" fillId="32" borderId="148" xfId="0" applyFont="1" applyFill="1" applyBorder="1" applyAlignment="1">
      <alignment horizontal="center"/>
    </xf>
    <xf numFmtId="1" fontId="11" fillId="32" borderId="148" xfId="0" applyNumberFormat="1" applyFont="1" applyFill="1" applyBorder="1" applyAlignment="1">
      <alignment horizontal="center" vertical="center"/>
    </xf>
    <xf numFmtId="165" fontId="12" fillId="32" borderId="148" xfId="0" applyNumberFormat="1" applyFont="1" applyFill="1" applyBorder="1" applyAlignment="1">
      <alignment horizontal="center" vertical="center"/>
    </xf>
    <xf numFmtId="10" fontId="4" fillId="32" borderId="148" xfId="0" applyNumberFormat="1" applyFont="1" applyFill="1" applyBorder="1" applyAlignment="1">
      <alignment horizontal="center" vertical="center"/>
    </xf>
    <xf numFmtId="1" fontId="4" fillId="32" borderId="148" xfId="0" applyNumberFormat="1" applyFont="1" applyFill="1" applyBorder="1" applyAlignment="1">
      <alignment horizontal="center" vertical="center"/>
    </xf>
    <xf numFmtId="1" fontId="12" fillId="32" borderId="148" xfId="0" applyNumberFormat="1" applyFont="1" applyFill="1" applyBorder="1" applyAlignment="1">
      <alignment horizontal="center" vertical="center"/>
    </xf>
    <xf numFmtId="1" fontId="0" fillId="32" borderId="148" xfId="0" applyNumberFormat="1" applyFill="1" applyBorder="1" applyAlignment="1">
      <alignment horizontal="center" vertical="center"/>
    </xf>
    <xf numFmtId="0" fontId="12" fillId="32" borderId="148" xfId="0" applyFont="1" applyFill="1" applyBorder="1" applyAlignment="1">
      <alignment horizontal="center" vertical="center"/>
    </xf>
    <xf numFmtId="0" fontId="11" fillId="32" borderId="148" xfId="0" quotePrefix="1" applyFont="1" applyFill="1" applyBorder="1" applyAlignment="1">
      <alignment horizontal="center" vertical="center"/>
    </xf>
    <xf numFmtId="0" fontId="0" fillId="32" borderId="148" xfId="0" applyFill="1" applyBorder="1"/>
    <xf numFmtId="0" fontId="10" fillId="32" borderId="148" xfId="0" applyFont="1" applyFill="1" applyBorder="1"/>
    <xf numFmtId="10" fontId="0" fillId="32" borderId="148" xfId="0" applyNumberFormat="1" applyFill="1" applyBorder="1"/>
    <xf numFmtId="0" fontId="31" fillId="32" borderId="148" xfId="0" applyFont="1" applyFill="1" applyBorder="1"/>
    <xf numFmtId="0" fontId="4" fillId="3" borderId="97" xfId="0" applyFont="1" applyFill="1" applyBorder="1" applyAlignment="1">
      <alignment horizontal="center" vertical="center"/>
    </xf>
    <xf numFmtId="0" fontId="0" fillId="3" borderId="97" xfId="0" applyFont="1" applyFill="1" applyBorder="1" applyAlignment="1">
      <alignment horizontal="center" vertical="center"/>
    </xf>
    <xf numFmtId="0" fontId="10" fillId="3" borderId="97" xfId="0" applyFont="1" applyFill="1" applyBorder="1" applyAlignment="1">
      <alignment horizontal="center" vertical="center"/>
    </xf>
    <xf numFmtId="0" fontId="35" fillId="3" borderId="97" xfId="0" applyFont="1" applyFill="1" applyBorder="1" applyAlignment="1">
      <alignment horizontal="center" vertical="center"/>
    </xf>
    <xf numFmtId="0" fontId="35" fillId="32" borderId="97" xfId="0" applyFont="1" applyFill="1" applyBorder="1" applyAlignment="1">
      <alignment horizontal="center" vertical="center"/>
    </xf>
    <xf numFmtId="0" fontId="4" fillId="31" borderId="97" xfId="0" applyFont="1" applyFill="1" applyBorder="1" applyAlignment="1">
      <alignment horizontal="center"/>
    </xf>
    <xf numFmtId="0" fontId="12" fillId="3" borderId="97" xfId="0" quotePrefix="1" applyFont="1" applyFill="1" applyBorder="1" applyAlignment="1">
      <alignment horizontal="center" vertical="center"/>
    </xf>
    <xf numFmtId="0" fontId="12" fillId="30" borderId="97" xfId="0" quotePrefix="1" applyFont="1" applyFill="1" applyBorder="1" applyAlignment="1">
      <alignment horizontal="center" vertical="center"/>
    </xf>
    <xf numFmtId="0" fontId="11" fillId="3" borderId="97" xfId="0" quotePrefix="1" applyFont="1" applyFill="1" applyBorder="1" applyAlignment="1">
      <alignment horizontal="center" vertical="center"/>
    </xf>
    <xf numFmtId="0" fontId="11" fillId="32" borderId="97" xfId="0" quotePrefix="1" applyFont="1" applyFill="1" applyBorder="1" applyAlignment="1">
      <alignment horizontal="center" vertical="center"/>
    </xf>
    <xf numFmtId="0" fontId="4" fillId="32" borderId="97" xfId="0" applyFont="1" applyFill="1" applyBorder="1" applyAlignment="1">
      <alignment horizontal="center"/>
    </xf>
    <xf numFmtId="0" fontId="0" fillId="2" borderId="97" xfId="0" applyFill="1" applyBorder="1"/>
    <xf numFmtId="1" fontId="11" fillId="3" borderId="97" xfId="0" applyNumberFormat="1" applyFont="1" applyFill="1" applyBorder="1" applyAlignment="1">
      <alignment horizontal="center" vertical="center"/>
    </xf>
    <xf numFmtId="0" fontId="0" fillId="32" borderId="97" xfId="0" applyFill="1" applyBorder="1"/>
    <xf numFmtId="1" fontId="11" fillId="32" borderId="97" xfId="0" applyNumberFormat="1" applyFont="1" applyFill="1" applyBorder="1" applyAlignment="1">
      <alignment horizontal="center" vertical="center"/>
    </xf>
    <xf numFmtId="0" fontId="0" fillId="2" borderId="97" xfId="0" applyFill="1" applyBorder="1" applyAlignment="1">
      <alignment horizontal="center" vertical="center" wrapText="1"/>
    </xf>
    <xf numFmtId="0" fontId="10" fillId="2" borderId="97" xfId="0" applyFont="1" applyFill="1" applyBorder="1"/>
    <xf numFmtId="165" fontId="11" fillId="3" borderId="97" xfId="0" applyNumberFormat="1" applyFont="1" applyFill="1" applyBorder="1" applyAlignment="1">
      <alignment horizontal="center" vertical="center"/>
    </xf>
    <xf numFmtId="0" fontId="10" fillId="32" borderId="97" xfId="0" applyFont="1" applyFill="1" applyBorder="1"/>
    <xf numFmtId="165" fontId="12" fillId="32" borderId="97" xfId="0" applyNumberFormat="1" applyFont="1" applyFill="1" applyBorder="1" applyAlignment="1">
      <alignment horizontal="center" vertical="center"/>
    </xf>
    <xf numFmtId="10" fontId="0" fillId="2" borderId="97" xfId="0" applyNumberFormat="1" applyFill="1" applyBorder="1"/>
    <xf numFmtId="10" fontId="4" fillId="3" borderId="97" xfId="0" applyNumberFormat="1" applyFont="1" applyFill="1" applyBorder="1" applyAlignment="1">
      <alignment horizontal="center" vertical="center"/>
    </xf>
    <xf numFmtId="10" fontId="4" fillId="28" borderId="97" xfId="0" applyNumberFormat="1" applyFont="1" applyFill="1" applyBorder="1" applyAlignment="1">
      <alignment horizontal="center" vertical="center"/>
    </xf>
    <xf numFmtId="10" fontId="34" fillId="3" borderId="97" xfId="0" applyNumberFormat="1" applyFont="1" applyFill="1" applyBorder="1" applyAlignment="1">
      <alignment horizontal="center" vertical="center"/>
    </xf>
    <xf numFmtId="10" fontId="0" fillId="32" borderId="97" xfId="0" applyNumberFormat="1" applyFill="1" applyBorder="1"/>
    <xf numFmtId="10" fontId="4" fillId="32" borderId="97" xfId="0" applyNumberFormat="1" applyFont="1" applyFill="1" applyBorder="1" applyAlignment="1">
      <alignment horizontal="center" vertical="center"/>
    </xf>
    <xf numFmtId="0" fontId="31" fillId="2" borderId="97" xfId="0" applyFont="1" applyFill="1" applyBorder="1"/>
    <xf numFmtId="0" fontId="31" fillId="3" borderId="97" xfId="0" applyFont="1" applyFill="1" applyBorder="1" applyAlignment="1">
      <alignment horizontal="center" vertical="center"/>
    </xf>
    <xf numFmtId="0" fontId="31" fillId="32" borderId="97" xfId="0" applyFont="1" applyFill="1" applyBorder="1"/>
    <xf numFmtId="1" fontId="31" fillId="3" borderId="97" xfId="0" applyNumberFormat="1" applyFont="1" applyFill="1" applyBorder="1" applyAlignment="1">
      <alignment horizontal="center" vertical="center"/>
    </xf>
    <xf numFmtId="1" fontId="4" fillId="3" borderId="97" xfId="0" applyNumberFormat="1" applyFont="1" applyFill="1" applyBorder="1" applyAlignment="1">
      <alignment horizontal="center" vertical="center"/>
    </xf>
    <xf numFmtId="1" fontId="34" fillId="3" borderId="97" xfId="0" applyNumberFormat="1" applyFont="1" applyFill="1" applyBorder="1" applyAlignment="1">
      <alignment horizontal="center" vertical="center"/>
    </xf>
    <xf numFmtId="1" fontId="4" fillId="32" borderId="97" xfId="0" applyNumberFormat="1" applyFont="1" applyFill="1" applyBorder="1" applyAlignment="1">
      <alignment horizontal="center" vertical="center"/>
    </xf>
    <xf numFmtId="1" fontId="12" fillId="3" borderId="97" xfId="0" applyNumberFormat="1" applyFont="1" applyFill="1" applyBorder="1" applyAlignment="1">
      <alignment horizontal="center" vertical="center"/>
    </xf>
    <xf numFmtId="1" fontId="12" fillId="32" borderId="97" xfId="0" applyNumberFormat="1" applyFont="1" applyFill="1" applyBorder="1" applyAlignment="1">
      <alignment horizontal="center" vertical="center"/>
    </xf>
    <xf numFmtId="1" fontId="0" fillId="3" borderId="97" xfId="0" applyNumberFormat="1" applyFill="1" applyBorder="1" applyAlignment="1">
      <alignment horizontal="center" vertical="center"/>
    </xf>
    <xf numFmtId="1" fontId="3" fillId="3" borderId="97" xfId="0" applyNumberFormat="1" applyFont="1" applyFill="1" applyBorder="1" applyAlignment="1">
      <alignment horizontal="center" vertical="center"/>
    </xf>
    <xf numFmtId="1" fontId="0" fillId="32" borderId="97" xfId="0" applyNumberFormat="1" applyFill="1" applyBorder="1" applyAlignment="1">
      <alignment horizontal="center" vertical="center"/>
    </xf>
    <xf numFmtId="10" fontId="4" fillId="4" borderId="97" xfId="0" applyNumberFormat="1" applyFont="1" applyFill="1" applyBorder="1" applyAlignment="1">
      <alignment horizontal="center" vertical="center"/>
    </xf>
    <xf numFmtId="0" fontId="11" fillId="3" borderId="97" xfId="0" applyFont="1" applyFill="1" applyBorder="1" applyAlignment="1">
      <alignment horizontal="center" vertical="center"/>
    </xf>
    <xf numFmtId="0" fontId="12" fillId="32" borderId="97" xfId="0" applyFont="1" applyFill="1" applyBorder="1" applyAlignment="1">
      <alignment horizontal="center" vertical="center"/>
    </xf>
    <xf numFmtId="10" fontId="34" fillId="4" borderId="97" xfId="0" applyNumberFormat="1" applyFont="1" applyFill="1" applyBorder="1" applyAlignment="1">
      <alignment horizontal="center" vertical="center"/>
    </xf>
    <xf numFmtId="1" fontId="11" fillId="32" borderId="96" xfId="0" applyNumberFormat="1" applyFont="1" applyFill="1" applyBorder="1" applyAlignment="1">
      <alignment horizontal="center" vertical="center"/>
    </xf>
    <xf numFmtId="10" fontId="4" fillId="32" borderId="96" xfId="0" applyNumberFormat="1" applyFont="1" applyFill="1" applyBorder="1" applyAlignment="1">
      <alignment horizontal="center" vertical="center"/>
    </xf>
    <xf numFmtId="0" fontId="0" fillId="2" borderId="57" xfId="0" applyFill="1" applyBorder="1"/>
    <xf numFmtId="0" fontId="10" fillId="2" borderId="57" xfId="0" applyFont="1" applyFill="1" applyBorder="1"/>
    <xf numFmtId="10" fontId="0" fillId="2" borderId="57" xfId="0" applyNumberFormat="1" applyFill="1" applyBorder="1"/>
    <xf numFmtId="0" fontId="0" fillId="2" borderId="27" xfId="0" applyFill="1" applyBorder="1" applyAlignment="1">
      <alignment horizontal="center" vertical="center" wrapText="1"/>
    </xf>
    <xf numFmtId="0" fontId="0" fillId="2" borderId="156" xfId="0" applyFill="1" applyBorder="1" applyAlignment="1">
      <alignment horizontal="center" vertical="center" wrapText="1"/>
    </xf>
    <xf numFmtId="0" fontId="0" fillId="2" borderId="155" xfId="0" applyFill="1" applyBorder="1" applyAlignment="1">
      <alignment horizontal="center" vertical="center" wrapText="1"/>
    </xf>
    <xf numFmtId="1" fontId="4" fillId="32" borderId="96" xfId="0" applyNumberFormat="1" applyFont="1" applyFill="1" applyBorder="1" applyAlignment="1">
      <alignment horizontal="center" vertical="center"/>
    </xf>
    <xf numFmtId="0" fontId="31" fillId="2" borderId="57" xfId="0" applyFont="1" applyFill="1" applyBorder="1"/>
    <xf numFmtId="0" fontId="31" fillId="2" borderId="27" xfId="0" applyFont="1" applyFill="1" applyBorder="1" applyAlignment="1">
      <alignment horizontal="center" vertical="center" wrapText="1"/>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10" fillId="3" borderId="148" xfId="0" applyFont="1" applyFill="1" applyBorder="1" applyAlignment="1">
      <alignment horizontal="center" vertical="center"/>
    </xf>
    <xf numFmtId="0" fontId="12" fillId="4" borderId="148" xfId="0" quotePrefix="1" applyFont="1" applyFill="1" applyBorder="1" applyAlignment="1">
      <alignment horizontal="center" vertical="center"/>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0" fillId="0" borderId="0" xfId="0" applyAlignment="1">
      <alignment horizontal="center"/>
    </xf>
    <xf numFmtId="1" fontId="11" fillId="3" borderId="148" xfId="0" applyNumberFormat="1" applyFont="1" applyFill="1" applyBorder="1" applyAlignment="1">
      <alignment horizontal="center" vertical="center"/>
    </xf>
    <xf numFmtId="0" fontId="0" fillId="0" borderId="0" xfId="0" applyAlignment="1">
      <alignment horizontal="center"/>
    </xf>
    <xf numFmtId="0" fontId="0" fillId="2" borderId="150" xfId="0" applyFill="1" applyBorder="1" applyAlignment="1"/>
    <xf numFmtId="0" fontId="34" fillId="32" borderId="97" xfId="0" applyFont="1" applyFill="1" applyBorder="1" applyAlignment="1">
      <alignment horizontal="center"/>
    </xf>
    <xf numFmtId="165" fontId="0" fillId="0" borderId="148" xfId="0" applyNumberFormat="1" applyBorder="1"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0" fillId="0" borderId="0" xfId="0" applyAlignment="1">
      <alignment horizontal="center"/>
    </xf>
    <xf numFmtId="0" fontId="4" fillId="3" borderId="9" xfId="0" applyFont="1" applyFill="1" applyBorder="1" applyAlignment="1">
      <alignment horizontal="center" vertical="center"/>
    </xf>
    <xf numFmtId="165" fontId="12" fillId="3" borderId="148" xfId="0" applyNumberFormat="1" applyFont="1" applyFill="1" applyBorder="1" applyAlignment="1">
      <alignment horizontal="center" vertical="center"/>
    </xf>
    <xf numFmtId="10" fontId="4" fillId="3" borderId="148" xfId="0" applyNumberFormat="1" applyFont="1" applyFill="1" applyBorder="1" applyAlignment="1">
      <alignment horizontal="center" vertical="center"/>
    </xf>
    <xf numFmtId="1" fontId="4" fillId="3" borderId="148" xfId="0" applyNumberFormat="1" applyFont="1" applyFill="1" applyBorder="1" applyAlignment="1">
      <alignment horizontal="center" vertical="center"/>
    </xf>
    <xf numFmtId="1" fontId="12" fillId="3" borderId="148" xfId="0" applyNumberFormat="1" applyFont="1" applyFill="1" applyBorder="1" applyAlignment="1">
      <alignment horizontal="center" vertical="center"/>
    </xf>
    <xf numFmtId="1" fontId="0" fillId="3" borderId="148" xfId="0" applyNumberFormat="1" applyFill="1" applyBorder="1" applyAlignment="1">
      <alignment horizontal="center" vertical="center"/>
    </xf>
    <xf numFmtId="0" fontId="12" fillId="3" borderId="148" xfId="0" applyFont="1" applyFill="1" applyBorder="1" applyAlignment="1">
      <alignment horizontal="center" vertical="center"/>
    </xf>
    <xf numFmtId="10" fontId="4" fillId="4" borderId="148" xfId="0" applyNumberFormat="1" applyFont="1" applyFill="1" applyBorder="1" applyAlignment="1">
      <alignment horizontal="center" vertical="center"/>
    </xf>
    <xf numFmtId="0" fontId="35" fillId="3" borderId="148" xfId="0" applyFont="1" applyFill="1" applyBorder="1" applyAlignment="1">
      <alignment horizontal="center" vertical="center"/>
    </xf>
    <xf numFmtId="0" fontId="11" fillId="3" borderId="148" xfId="0" quotePrefix="1" applyFont="1" applyFill="1" applyBorder="1" applyAlignment="1">
      <alignment horizontal="center" vertical="center"/>
    </xf>
    <xf numFmtId="165" fontId="11" fillId="3" borderId="148" xfId="0" applyNumberFormat="1" applyFont="1" applyFill="1" applyBorder="1" applyAlignment="1">
      <alignment horizontal="center" vertical="center"/>
    </xf>
    <xf numFmtId="10" fontId="34" fillId="3" borderId="148" xfId="0" applyNumberFormat="1" applyFont="1" applyFill="1" applyBorder="1" applyAlignment="1">
      <alignment horizontal="center" vertical="center"/>
    </xf>
    <xf numFmtId="1" fontId="34" fillId="3" borderId="148" xfId="0" applyNumberFormat="1" applyFont="1" applyFill="1" applyBorder="1" applyAlignment="1">
      <alignment horizontal="center" vertical="center"/>
    </xf>
    <xf numFmtId="1" fontId="3" fillId="3" borderId="148" xfId="0" applyNumberFormat="1" applyFont="1" applyFill="1" applyBorder="1" applyAlignment="1">
      <alignment horizontal="center" vertical="center"/>
    </xf>
    <xf numFmtId="0" fontId="11" fillId="3" borderId="148" xfId="0" applyFont="1" applyFill="1" applyBorder="1" applyAlignment="1">
      <alignment horizontal="center" vertical="center"/>
    </xf>
    <xf numFmtId="10" fontId="34" fillId="4" borderId="148" xfId="0" applyNumberFormat="1" applyFont="1" applyFill="1" applyBorder="1" applyAlignment="1">
      <alignment horizontal="center" vertical="center"/>
    </xf>
    <xf numFmtId="0" fontId="35" fillId="32" borderId="148" xfId="0" applyFont="1" applyFill="1" applyBorder="1" applyAlignment="1">
      <alignment horizontal="center" vertical="center"/>
    </xf>
    <xf numFmtId="0" fontId="0" fillId="0" borderId="39" xfId="0" applyBorder="1" applyAlignment="1">
      <alignment horizontal="center"/>
    </xf>
    <xf numFmtId="0" fontId="0" fillId="0" borderId="157" xfId="0" applyBorder="1" applyAlignment="1">
      <alignment horizontal="center"/>
    </xf>
    <xf numFmtId="0" fontId="0" fillId="2" borderId="39" xfId="0" applyFill="1" applyBorder="1"/>
    <xf numFmtId="0" fontId="10" fillId="2" borderId="146" xfId="0" applyFont="1" applyFill="1" applyBorder="1"/>
    <xf numFmtId="10" fontId="0" fillId="2" borderId="157" xfId="0" applyNumberFormat="1" applyFill="1" applyBorder="1"/>
    <xf numFmtId="0" fontId="31" fillId="2" borderId="39" xfId="0" applyFont="1" applyFill="1" applyBorder="1"/>
    <xf numFmtId="10" fontId="0" fillId="2" borderId="147" xfId="0" applyNumberFormat="1" applyFill="1" applyBorder="1"/>
    <xf numFmtId="165" fontId="12" fillId="3" borderId="152" xfId="0" applyNumberFormat="1" applyFont="1" applyFill="1" applyBorder="1" applyAlignment="1">
      <alignment horizontal="center" vertical="center"/>
    </xf>
    <xf numFmtId="0" fontId="4" fillId="3" borderId="10" xfId="0" applyFont="1" applyFill="1" applyBorder="1" applyAlignment="1">
      <alignment horizontal="center" vertical="center"/>
    </xf>
    <xf numFmtId="0" fontId="12" fillId="3" borderId="158" xfId="0" quotePrefix="1" applyFont="1" applyFill="1" applyBorder="1" applyAlignment="1">
      <alignment horizontal="center" vertical="center"/>
    </xf>
    <xf numFmtId="10" fontId="4" fillId="3" borderId="158" xfId="0" applyNumberFormat="1" applyFont="1" applyFill="1" applyBorder="1" applyAlignment="1">
      <alignment horizontal="center" vertical="center"/>
    </xf>
    <xf numFmtId="0" fontId="12" fillId="3" borderId="122" xfId="0" applyFont="1" applyFill="1" applyBorder="1" applyAlignment="1">
      <alignment horizontal="center" vertical="center"/>
    </xf>
    <xf numFmtId="1" fontId="4" fillId="3" borderId="158" xfId="0" applyNumberFormat="1" applyFont="1" applyFill="1" applyBorder="1" applyAlignment="1">
      <alignment horizontal="center" vertical="center"/>
    </xf>
    <xf numFmtId="1" fontId="4" fillId="0" borderId="148" xfId="0" applyNumberFormat="1" applyFont="1" applyBorder="1" applyAlignment="1">
      <alignment horizontal="center"/>
    </xf>
    <xf numFmtId="0" fontId="0" fillId="0" borderId="145" xfId="0" applyBorder="1" applyAlignment="1">
      <alignment horizontal="center"/>
    </xf>
    <xf numFmtId="10" fontId="0" fillId="2" borderId="145" xfId="0" applyNumberFormat="1" applyFill="1" applyBorder="1"/>
    <xf numFmtId="0" fontId="10" fillId="3" borderId="0" xfId="0" applyFont="1" applyFill="1" applyBorder="1" applyAlignment="1">
      <alignment horizontal="center" vertical="center"/>
    </xf>
    <xf numFmtId="0" fontId="12" fillId="30" borderId="148" xfId="0" quotePrefix="1" applyFont="1" applyFill="1" applyBorder="1" applyAlignment="1">
      <alignment horizontal="center" vertical="center"/>
    </xf>
    <xf numFmtId="0" fontId="0" fillId="0" borderId="0" xfId="0"/>
    <xf numFmtId="0" fontId="0" fillId="0" borderId="0" xfId="0" applyAlignment="1">
      <alignment vertical="center"/>
    </xf>
    <xf numFmtId="0" fontId="0" fillId="0" borderId="148" xfId="0" applyBorder="1"/>
    <xf numFmtId="0" fontId="0" fillId="0" borderId="0" xfId="0" applyBorder="1"/>
    <xf numFmtId="0" fontId="0" fillId="0" borderId="148" xfId="0" applyBorder="1" applyAlignment="1">
      <alignment vertical="center"/>
    </xf>
    <xf numFmtId="0" fontId="0" fillId="5" borderId="148" xfId="0" applyFill="1" applyBorder="1"/>
    <xf numFmtId="0" fontId="0" fillId="0" borderId="0" xfId="0" applyFill="1"/>
    <xf numFmtId="0" fontId="0" fillId="0" borderId="112" xfId="0" applyFill="1" applyBorder="1"/>
    <xf numFmtId="0" fontId="0" fillId="5" borderId="112" xfId="0" applyFill="1" applyBorder="1"/>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36" fillId="0" borderId="148" xfId="0" applyFont="1" applyBorder="1" applyAlignment="1">
      <alignment horizontal="right" vertical="center"/>
    </xf>
    <xf numFmtId="0" fontId="36" fillId="0" borderId="148" xfId="0" applyFont="1" applyBorder="1" applyAlignment="1">
      <alignment horizontal="right" vertical="center" wrapText="1"/>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10" fontId="0" fillId="3" borderId="97" xfId="0" applyNumberFormat="1" applyFont="1" applyFill="1" applyBorder="1" applyAlignment="1">
      <alignment horizontal="center" vertical="center"/>
    </xf>
    <xf numFmtId="10" fontId="0" fillId="28" borderId="97" xfId="0" applyNumberFormat="1" applyFont="1" applyFill="1" applyBorder="1" applyAlignment="1">
      <alignment horizontal="center" vertical="center"/>
    </xf>
    <xf numFmtId="1" fontId="0" fillId="3" borderId="97" xfId="0" applyNumberFormat="1" applyFont="1" applyFill="1" applyBorder="1" applyAlignment="1">
      <alignment horizontal="center" vertical="center"/>
    </xf>
    <xf numFmtId="1" fontId="0" fillId="0" borderId="97" xfId="0" applyNumberFormat="1" applyFont="1" applyFill="1" applyBorder="1" applyAlignment="1">
      <alignment horizontal="center" vertic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164" fontId="3" fillId="29" borderId="148" xfId="0" applyNumberFormat="1" applyFont="1" applyFill="1" applyBorder="1" applyAlignment="1">
      <alignment horizontal="center" vertical="center" wrapText="1"/>
    </xf>
    <xf numFmtId="1" fontId="33" fillId="29" borderId="148" xfId="8" applyNumberFormat="1" applyFont="1" applyFill="1" applyBorder="1" applyAlignment="1">
      <alignment wrapText="1"/>
    </xf>
    <xf numFmtId="1" fontId="33" fillId="29" borderId="148" xfId="8" applyNumberFormat="1" applyFont="1" applyFill="1" applyBorder="1" applyAlignment="1">
      <alignment horizontal="center" vertical="center" wrapText="1"/>
    </xf>
    <xf numFmtId="164" fontId="0" fillId="0" borderId="148" xfId="0" applyNumberFormat="1" applyBorder="1"/>
    <xf numFmtId="1" fontId="0" fillId="0" borderId="148" xfId="0" applyNumberFormat="1" applyBorder="1"/>
    <xf numFmtId="0" fontId="34" fillId="32" borderId="112" xfId="0" applyFont="1" applyFill="1" applyBorder="1" applyAlignment="1">
      <alignment horizontal="center"/>
    </xf>
    <xf numFmtId="1" fontId="0" fillId="3" borderId="112" xfId="0" applyNumberFormat="1" applyFill="1" applyBorder="1" applyAlignment="1">
      <alignment horizontal="center" vertical="center"/>
    </xf>
    <xf numFmtId="1" fontId="0" fillId="3" borderId="156" xfId="0" applyNumberFormat="1" applyFill="1" applyBorder="1" applyAlignment="1">
      <alignment horizontal="center" vertical="center"/>
    </xf>
    <xf numFmtId="10" fontId="4" fillId="3" borderId="156" xfId="0" applyNumberFormat="1" applyFont="1" applyFill="1" applyBorder="1" applyAlignment="1">
      <alignment horizontal="center" vertical="center"/>
    </xf>
    <xf numFmtId="1" fontId="4" fillId="3" borderId="156" xfId="0" applyNumberFormat="1" applyFont="1" applyFill="1" applyBorder="1" applyAlignment="1">
      <alignment horizontal="center" vertical="center"/>
    </xf>
    <xf numFmtId="1" fontId="4" fillId="3" borderId="155" xfId="0" applyNumberFormat="1" applyFont="1" applyFill="1" applyBorder="1" applyAlignment="1">
      <alignment horizontal="center" vertic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0" fontId="4" fillId="3" borderId="97" xfId="0" applyFont="1" applyFill="1" applyBorder="1" applyAlignment="1">
      <alignment horizontal="center" vertical="center"/>
    </xf>
    <xf numFmtId="0" fontId="0" fillId="0" borderId="0" xfId="0" applyAlignment="1">
      <alignment horizontal="center"/>
    </xf>
    <xf numFmtId="0" fontId="0" fillId="2" borderId="97" xfId="0" applyFill="1" applyBorder="1" applyAlignment="1">
      <alignment horizontal="center" vertical="center" wrapText="1"/>
    </xf>
    <xf numFmtId="166" fontId="0" fillId="0" borderId="0" xfId="0" applyNumberFormat="1" applyBorder="1" applyAlignment="1">
      <alignment horizontal="center"/>
    </xf>
    <xf numFmtId="0" fontId="0" fillId="2" borderId="97" xfId="0" applyFill="1" applyBorder="1" applyAlignment="1">
      <alignment horizontal="center"/>
    </xf>
    <xf numFmtId="0" fontId="0" fillId="0" borderId="97" xfId="0" applyBorder="1" applyAlignment="1">
      <alignment horizontal="center"/>
    </xf>
    <xf numFmtId="0" fontId="4" fillId="3" borderId="97" xfId="0" applyFont="1" applyFill="1" applyBorder="1" applyAlignment="1">
      <alignment horizontal="center" vertical="center"/>
    </xf>
    <xf numFmtId="0" fontId="0" fillId="0" borderId="97" xfId="0" applyBorder="1" applyAlignment="1">
      <alignment horizontal="center" vertical="center"/>
    </xf>
    <xf numFmtId="0" fontId="0" fillId="2" borderId="27" xfId="0" applyFill="1" applyBorder="1" applyAlignment="1">
      <alignment horizontal="center"/>
    </xf>
    <xf numFmtId="0" fontId="0" fillId="2" borderId="97" xfId="0" applyFill="1" applyBorder="1" applyAlignment="1">
      <alignment horizontal="center" wrapText="1"/>
    </xf>
    <xf numFmtId="166" fontId="0" fillId="0" borderId="8" xfId="0" applyNumberFormat="1" applyBorder="1" applyAlignment="1">
      <alignment horizontal="center"/>
    </xf>
    <xf numFmtId="0" fontId="0" fillId="2" borderId="9" xfId="0" applyFill="1" applyBorder="1" applyAlignment="1">
      <alignment horizontal="center"/>
    </xf>
    <xf numFmtId="0" fontId="0" fillId="2" borderId="50" xfId="0" applyFill="1" applyBorder="1" applyAlignment="1">
      <alignment horizontal="center"/>
    </xf>
    <xf numFmtId="0" fontId="0" fillId="0" borderId="50" xfId="0" applyBorder="1" applyAlignment="1">
      <alignment horizontal="center"/>
    </xf>
    <xf numFmtId="0" fontId="4" fillId="3" borderId="9" xfId="0" applyFont="1" applyFill="1" applyBorder="1" applyAlignment="1">
      <alignment horizontal="center" vertical="center"/>
    </xf>
    <xf numFmtId="0" fontId="0" fillId="0" borderId="50" xfId="0" applyBorder="1" applyAlignment="1">
      <alignment horizontal="center" vertical="center"/>
    </xf>
    <xf numFmtId="0" fontId="0" fillId="2" borderId="11" xfId="0" applyFill="1" applyBorder="1" applyAlignment="1">
      <alignment horizontal="center"/>
    </xf>
    <xf numFmtId="0" fontId="0" fillId="2" borderId="109" xfId="0" applyFill="1" applyBorder="1" applyAlignment="1">
      <alignment horizontal="center"/>
    </xf>
    <xf numFmtId="0" fontId="0" fillId="0" borderId="109" xfId="0" applyBorder="1" applyAlignment="1">
      <alignment horizontal="center"/>
    </xf>
    <xf numFmtId="0" fontId="0" fillId="2" borderId="13" xfId="0" applyFill="1" applyBorder="1" applyAlignment="1">
      <alignment horizontal="center" wrapText="1"/>
    </xf>
    <xf numFmtId="0" fontId="0" fillId="2" borderId="14" xfId="0" applyFill="1" applyBorder="1" applyAlignment="1">
      <alignment horizontal="center" wrapText="1"/>
    </xf>
    <xf numFmtId="0" fontId="0" fillId="2" borderId="15" xfId="0" applyFill="1" applyBorder="1" applyAlignment="1">
      <alignment horizont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4" fillId="0" borderId="8" xfId="0" applyFont="1" applyBorder="1" applyAlignment="1"/>
    <xf numFmtId="0" fontId="4" fillId="0" borderId="59" xfId="0" applyFont="1" applyBorder="1" applyAlignment="1"/>
    <xf numFmtId="0" fontId="4" fillId="3" borderId="39" xfId="0" applyFont="1" applyFill="1" applyBorder="1" applyAlignment="1">
      <alignment horizontal="center" vertical="center"/>
    </xf>
    <xf numFmtId="0" fontId="0" fillId="2" borderId="52" xfId="0" applyFill="1" applyBorder="1" applyAlignment="1">
      <alignment horizontal="center"/>
    </xf>
    <xf numFmtId="0" fontId="0" fillId="0" borderId="52" xfId="0" applyBorder="1" applyAlignment="1">
      <alignment horizontal="center"/>
    </xf>
    <xf numFmtId="0" fontId="4" fillId="0" borderId="54" xfId="0" applyFont="1" applyBorder="1" applyAlignment="1"/>
    <xf numFmtId="0" fontId="0" fillId="0" borderId="55" xfId="0" applyBorder="1" applyAlignment="1"/>
    <xf numFmtId="0" fontId="0" fillId="2" borderId="39" xfId="0" applyFill="1" applyBorder="1" applyAlignment="1">
      <alignment horizontal="center"/>
    </xf>
    <xf numFmtId="0" fontId="0" fillId="2" borderId="10" xfId="0" applyFill="1" applyBorder="1" applyAlignment="1">
      <alignment horizontal="center"/>
    </xf>
    <xf numFmtId="0" fontId="0" fillId="2" borderId="40" xfId="0" applyFill="1" applyBorder="1" applyAlignment="1">
      <alignment horizontal="center"/>
    </xf>
    <xf numFmtId="0" fontId="0" fillId="2" borderId="36" xfId="0" applyFill="1" applyBorder="1" applyAlignment="1">
      <alignment horizontal="center"/>
    </xf>
    <xf numFmtId="0" fontId="0" fillId="2" borderId="43"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12" xfId="0" applyFill="1" applyBorder="1" applyAlignment="1">
      <alignment horizontal="center"/>
    </xf>
    <xf numFmtId="0" fontId="0" fillId="2" borderId="147" xfId="0" applyFill="1" applyBorder="1" applyAlignment="1">
      <alignment horizontal="center"/>
    </xf>
    <xf numFmtId="164" fontId="0" fillId="0" borderId="0" xfId="0" applyNumberFormat="1" applyAlignment="1">
      <alignment horizontal="left" wrapText="1"/>
    </xf>
    <xf numFmtId="0" fontId="0" fillId="0" borderId="0" xfId="0" applyAlignment="1">
      <alignment horizontal="left" wrapText="1"/>
    </xf>
    <xf numFmtId="0" fontId="0" fillId="0" borderId="0" xfId="0" applyAlignment="1">
      <alignment wrapText="1"/>
    </xf>
    <xf numFmtId="0" fontId="0" fillId="0" borderId="0" xfId="0" applyAlignment="1">
      <alignment horizontal="center"/>
    </xf>
  </cellXfs>
  <cellStyles count="31891">
    <cellStyle name="%" xfId="9"/>
    <cellStyle name="% 2" xfId="9337"/>
    <cellStyle name="0,0_x000d__x000a_NA_x000d__x000a_" xfId="2"/>
    <cellStyle name="0,0_x000d__x000a_NA_x000d__x000a_ 2" xfId="9330"/>
    <cellStyle name="20% - Accent1 10" xfId="10"/>
    <cellStyle name="20% - Accent1 10 2" xfId="9338"/>
    <cellStyle name="20% - Accent1 2" xfId="11"/>
    <cellStyle name="20% - Accent1 2 2" xfId="9339"/>
    <cellStyle name="20% - Accent1 3" xfId="12"/>
    <cellStyle name="20% - Accent1 3 2" xfId="9340"/>
    <cellStyle name="20% - Accent1 4" xfId="13"/>
    <cellStyle name="20% - Accent1 4 2" xfId="9341"/>
    <cellStyle name="20% - Accent1 5" xfId="14"/>
    <cellStyle name="20% - Accent1 5 2" xfId="9342"/>
    <cellStyle name="20% - Accent1 6" xfId="15"/>
    <cellStyle name="20% - Accent1 6 2" xfId="9343"/>
    <cellStyle name="20% - Accent1 7" xfId="16"/>
    <cellStyle name="20% - Accent1 7 2" xfId="9344"/>
    <cellStyle name="20% - Accent1 8" xfId="17"/>
    <cellStyle name="20% - Accent1 8 2" xfId="9345"/>
    <cellStyle name="20% - Accent1 9" xfId="18"/>
    <cellStyle name="20% - Accent1 9 2" xfId="9346"/>
    <cellStyle name="20% - Accent2 10" xfId="19"/>
    <cellStyle name="20% - Accent2 10 2" xfId="9347"/>
    <cellStyle name="20% - Accent2 2" xfId="20"/>
    <cellStyle name="20% - Accent2 2 2" xfId="9348"/>
    <cellStyle name="20% - Accent2 3" xfId="21"/>
    <cellStyle name="20% - Accent2 3 2" xfId="9349"/>
    <cellStyle name="20% - Accent2 4" xfId="22"/>
    <cellStyle name="20% - Accent2 4 2" xfId="9350"/>
    <cellStyle name="20% - Accent2 5" xfId="23"/>
    <cellStyle name="20% - Accent2 5 2" xfId="9351"/>
    <cellStyle name="20% - Accent2 6" xfId="24"/>
    <cellStyle name="20% - Accent2 6 2" xfId="9352"/>
    <cellStyle name="20% - Accent2 7" xfId="25"/>
    <cellStyle name="20% - Accent2 7 2" xfId="9353"/>
    <cellStyle name="20% - Accent2 8" xfId="26"/>
    <cellStyle name="20% - Accent2 8 2" xfId="9354"/>
    <cellStyle name="20% - Accent2 9" xfId="27"/>
    <cellStyle name="20% - Accent2 9 2" xfId="9355"/>
    <cellStyle name="20% - Accent3 10" xfId="28"/>
    <cellStyle name="20% - Accent3 10 2" xfId="9356"/>
    <cellStyle name="20% - Accent3 2" xfId="29"/>
    <cellStyle name="20% - Accent3 2 2" xfId="9357"/>
    <cellStyle name="20% - Accent3 3" xfId="30"/>
    <cellStyle name="20% - Accent3 3 2" xfId="9358"/>
    <cellStyle name="20% - Accent3 4" xfId="31"/>
    <cellStyle name="20% - Accent3 4 2" xfId="9359"/>
    <cellStyle name="20% - Accent3 5" xfId="32"/>
    <cellStyle name="20% - Accent3 5 2" xfId="9360"/>
    <cellStyle name="20% - Accent3 6" xfId="33"/>
    <cellStyle name="20% - Accent3 6 2" xfId="9361"/>
    <cellStyle name="20% - Accent3 7" xfId="34"/>
    <cellStyle name="20% - Accent3 7 2" xfId="9362"/>
    <cellStyle name="20% - Accent3 8" xfId="35"/>
    <cellStyle name="20% - Accent3 8 2" xfId="9363"/>
    <cellStyle name="20% - Accent3 9" xfId="36"/>
    <cellStyle name="20% - Accent3 9 2" xfId="9364"/>
    <cellStyle name="20% - Accent4 10" xfId="37"/>
    <cellStyle name="20% - Accent4 10 2" xfId="9365"/>
    <cellStyle name="20% - Accent4 2" xfId="38"/>
    <cellStyle name="20% - Accent4 2 2" xfId="9366"/>
    <cellStyle name="20% - Accent4 3" xfId="39"/>
    <cellStyle name="20% - Accent4 3 2" xfId="9367"/>
    <cellStyle name="20% - Accent4 4" xfId="40"/>
    <cellStyle name="20% - Accent4 4 2" xfId="9368"/>
    <cellStyle name="20% - Accent4 5" xfId="41"/>
    <cellStyle name="20% - Accent4 5 2" xfId="9369"/>
    <cellStyle name="20% - Accent4 6" xfId="42"/>
    <cellStyle name="20% - Accent4 6 2" xfId="9370"/>
    <cellStyle name="20% - Accent4 7" xfId="43"/>
    <cellStyle name="20% - Accent4 7 2" xfId="9371"/>
    <cellStyle name="20% - Accent4 8" xfId="44"/>
    <cellStyle name="20% - Accent4 8 2" xfId="9372"/>
    <cellStyle name="20% - Accent4 9" xfId="45"/>
    <cellStyle name="20% - Accent4 9 2" xfId="9373"/>
    <cellStyle name="20% - Accent5 10" xfId="46"/>
    <cellStyle name="20% - Accent5 10 2" xfId="9374"/>
    <cellStyle name="20% - Accent5 2" xfId="47"/>
    <cellStyle name="20% - Accent5 2 2" xfId="9375"/>
    <cellStyle name="20% - Accent5 3" xfId="48"/>
    <cellStyle name="20% - Accent5 3 2" xfId="9376"/>
    <cellStyle name="20% - Accent5 4" xfId="49"/>
    <cellStyle name="20% - Accent5 4 2" xfId="9377"/>
    <cellStyle name="20% - Accent5 5" xfId="50"/>
    <cellStyle name="20% - Accent5 5 2" xfId="9378"/>
    <cellStyle name="20% - Accent5 6" xfId="51"/>
    <cellStyle name="20% - Accent5 6 2" xfId="9379"/>
    <cellStyle name="20% - Accent5 7" xfId="52"/>
    <cellStyle name="20% - Accent5 7 2" xfId="9380"/>
    <cellStyle name="20% - Accent5 8" xfId="53"/>
    <cellStyle name="20% - Accent5 8 2" xfId="9381"/>
    <cellStyle name="20% - Accent5 9" xfId="54"/>
    <cellStyle name="20% - Accent5 9 2" xfId="9382"/>
    <cellStyle name="20% - Accent6 10" xfId="55"/>
    <cellStyle name="20% - Accent6 10 2" xfId="9383"/>
    <cellStyle name="20% - Accent6 2" xfId="56"/>
    <cellStyle name="20% - Accent6 2 2" xfId="9384"/>
    <cellStyle name="20% - Accent6 3" xfId="57"/>
    <cellStyle name="20% - Accent6 3 2" xfId="9385"/>
    <cellStyle name="20% - Accent6 4" xfId="58"/>
    <cellStyle name="20% - Accent6 4 2" xfId="9386"/>
    <cellStyle name="20% - Accent6 5" xfId="59"/>
    <cellStyle name="20% - Accent6 5 2" xfId="9387"/>
    <cellStyle name="20% - Accent6 6" xfId="60"/>
    <cellStyle name="20% - Accent6 6 2" xfId="9388"/>
    <cellStyle name="20% - Accent6 7" xfId="61"/>
    <cellStyle name="20% - Accent6 7 2" xfId="9389"/>
    <cellStyle name="20% - Accent6 8" xfId="62"/>
    <cellStyle name="20% - Accent6 8 2" xfId="9390"/>
    <cellStyle name="20% - Accent6 9" xfId="63"/>
    <cellStyle name="20% - Accent6 9 2" xfId="9391"/>
    <cellStyle name="40% - Accent1 10" xfId="64"/>
    <cellStyle name="40% - Accent1 10 2" xfId="9392"/>
    <cellStyle name="40% - Accent1 2" xfId="65"/>
    <cellStyle name="40% - Accent1 2 2" xfId="9393"/>
    <cellStyle name="40% - Accent1 3" xfId="66"/>
    <cellStyle name="40% - Accent1 3 2" xfId="9394"/>
    <cellStyle name="40% - Accent1 4" xfId="67"/>
    <cellStyle name="40% - Accent1 4 2" xfId="9395"/>
    <cellStyle name="40% - Accent1 5" xfId="68"/>
    <cellStyle name="40% - Accent1 5 2" xfId="9396"/>
    <cellStyle name="40% - Accent1 6" xfId="69"/>
    <cellStyle name="40% - Accent1 6 2" xfId="9397"/>
    <cellStyle name="40% - Accent1 7" xfId="70"/>
    <cellStyle name="40% - Accent1 7 2" xfId="9398"/>
    <cellStyle name="40% - Accent1 8" xfId="71"/>
    <cellStyle name="40% - Accent1 8 2" xfId="9399"/>
    <cellStyle name="40% - Accent1 9" xfId="72"/>
    <cellStyle name="40% - Accent1 9 2" xfId="9400"/>
    <cellStyle name="40% - Accent2 10" xfId="73"/>
    <cellStyle name="40% - Accent2 10 2" xfId="9401"/>
    <cellStyle name="40% - Accent2 2" xfId="74"/>
    <cellStyle name="40% - Accent2 2 2" xfId="9402"/>
    <cellStyle name="40% - Accent2 3" xfId="75"/>
    <cellStyle name="40% - Accent2 3 2" xfId="9403"/>
    <cellStyle name="40% - Accent2 4" xfId="76"/>
    <cellStyle name="40% - Accent2 4 2" xfId="9404"/>
    <cellStyle name="40% - Accent2 5" xfId="77"/>
    <cellStyle name="40% - Accent2 5 2" xfId="9405"/>
    <cellStyle name="40% - Accent2 6" xfId="78"/>
    <cellStyle name="40% - Accent2 6 2" xfId="9406"/>
    <cellStyle name="40% - Accent2 7" xfId="79"/>
    <cellStyle name="40% - Accent2 7 2" xfId="9407"/>
    <cellStyle name="40% - Accent2 8" xfId="80"/>
    <cellStyle name="40% - Accent2 8 2" xfId="9408"/>
    <cellStyle name="40% - Accent2 9" xfId="81"/>
    <cellStyle name="40% - Accent2 9 2" xfId="9409"/>
    <cellStyle name="40% - Accent3 10" xfId="82"/>
    <cellStyle name="40% - Accent3 10 2" xfId="9410"/>
    <cellStyle name="40% - Accent3 2" xfId="83"/>
    <cellStyle name="40% - Accent3 2 2" xfId="9411"/>
    <cellStyle name="40% - Accent3 3" xfId="84"/>
    <cellStyle name="40% - Accent3 3 2" xfId="9412"/>
    <cellStyle name="40% - Accent3 4" xfId="85"/>
    <cellStyle name="40% - Accent3 4 2" xfId="9413"/>
    <cellStyle name="40% - Accent3 5" xfId="86"/>
    <cellStyle name="40% - Accent3 5 2" xfId="9414"/>
    <cellStyle name="40% - Accent3 6" xfId="87"/>
    <cellStyle name="40% - Accent3 6 2" xfId="9415"/>
    <cellStyle name="40% - Accent3 7" xfId="88"/>
    <cellStyle name="40% - Accent3 7 2" xfId="9416"/>
    <cellStyle name="40% - Accent3 8" xfId="89"/>
    <cellStyle name="40% - Accent3 8 2" xfId="9417"/>
    <cellStyle name="40% - Accent3 9" xfId="90"/>
    <cellStyle name="40% - Accent3 9 2" xfId="9418"/>
    <cellStyle name="40% - Accent4 10" xfId="91"/>
    <cellStyle name="40% - Accent4 10 2" xfId="9419"/>
    <cellStyle name="40% - Accent4 2" xfId="92"/>
    <cellStyle name="40% - Accent4 2 2" xfId="9420"/>
    <cellStyle name="40% - Accent4 3" xfId="93"/>
    <cellStyle name="40% - Accent4 3 2" xfId="9421"/>
    <cellStyle name="40% - Accent4 4" xfId="94"/>
    <cellStyle name="40% - Accent4 4 2" xfId="9422"/>
    <cellStyle name="40% - Accent4 5" xfId="95"/>
    <cellStyle name="40% - Accent4 5 2" xfId="9423"/>
    <cellStyle name="40% - Accent4 6" xfId="96"/>
    <cellStyle name="40% - Accent4 6 2" xfId="9424"/>
    <cellStyle name="40% - Accent4 7" xfId="97"/>
    <cellStyle name="40% - Accent4 7 2" xfId="9425"/>
    <cellStyle name="40% - Accent4 8" xfId="98"/>
    <cellStyle name="40% - Accent4 8 2" xfId="9426"/>
    <cellStyle name="40% - Accent4 9" xfId="99"/>
    <cellStyle name="40% - Accent4 9 2" xfId="9427"/>
    <cellStyle name="40% - Accent5 10" xfId="100"/>
    <cellStyle name="40% - Accent5 10 2" xfId="9428"/>
    <cellStyle name="40% - Accent5 2" xfId="101"/>
    <cellStyle name="40% - Accent5 2 2" xfId="9429"/>
    <cellStyle name="40% - Accent5 3" xfId="102"/>
    <cellStyle name="40% - Accent5 3 2" xfId="9430"/>
    <cellStyle name="40% - Accent5 4" xfId="103"/>
    <cellStyle name="40% - Accent5 4 2" xfId="9431"/>
    <cellStyle name="40% - Accent5 5" xfId="104"/>
    <cellStyle name="40% - Accent5 5 2" xfId="9432"/>
    <cellStyle name="40% - Accent5 6" xfId="105"/>
    <cellStyle name="40% - Accent5 6 2" xfId="9433"/>
    <cellStyle name="40% - Accent5 7" xfId="106"/>
    <cellStyle name="40% - Accent5 7 2" xfId="9434"/>
    <cellStyle name="40% - Accent5 8" xfId="107"/>
    <cellStyle name="40% - Accent5 8 2" xfId="9435"/>
    <cellStyle name="40% - Accent5 9" xfId="108"/>
    <cellStyle name="40% - Accent5 9 2" xfId="9436"/>
    <cellStyle name="40% - Accent6 10" xfId="109"/>
    <cellStyle name="40% - Accent6 10 2" xfId="9437"/>
    <cellStyle name="40% - Accent6 2" xfId="110"/>
    <cellStyle name="40% - Accent6 2 2" xfId="9438"/>
    <cellStyle name="40% - Accent6 3" xfId="111"/>
    <cellStyle name="40% - Accent6 3 2" xfId="9439"/>
    <cellStyle name="40% - Accent6 4" xfId="112"/>
    <cellStyle name="40% - Accent6 4 2" xfId="9440"/>
    <cellStyle name="40% - Accent6 5" xfId="113"/>
    <cellStyle name="40% - Accent6 5 2" xfId="9441"/>
    <cellStyle name="40% - Accent6 6" xfId="114"/>
    <cellStyle name="40% - Accent6 6 2" xfId="9442"/>
    <cellStyle name="40% - Accent6 7" xfId="115"/>
    <cellStyle name="40% - Accent6 7 2" xfId="9443"/>
    <cellStyle name="40% - Accent6 8" xfId="116"/>
    <cellStyle name="40% - Accent6 8 2" xfId="9444"/>
    <cellStyle name="40% - Accent6 9" xfId="117"/>
    <cellStyle name="40% - Accent6 9 2" xfId="9445"/>
    <cellStyle name="60% - Accent1 10" xfId="118"/>
    <cellStyle name="60% - Accent1 10 2" xfId="9446"/>
    <cellStyle name="60% - Accent1 2" xfId="119"/>
    <cellStyle name="60% - Accent1 2 2" xfId="9447"/>
    <cellStyle name="60% - Accent1 3" xfId="120"/>
    <cellStyle name="60% - Accent1 3 2" xfId="9448"/>
    <cellStyle name="60% - Accent1 4" xfId="121"/>
    <cellStyle name="60% - Accent1 4 2" xfId="9449"/>
    <cellStyle name="60% - Accent1 5" xfId="122"/>
    <cellStyle name="60% - Accent1 5 2" xfId="9450"/>
    <cellStyle name="60% - Accent1 6" xfId="123"/>
    <cellStyle name="60% - Accent1 6 2" xfId="9451"/>
    <cellStyle name="60% - Accent1 7" xfId="124"/>
    <cellStyle name="60% - Accent1 7 2" xfId="9452"/>
    <cellStyle name="60% - Accent1 8" xfId="125"/>
    <cellStyle name="60% - Accent1 8 2" xfId="9453"/>
    <cellStyle name="60% - Accent1 9" xfId="126"/>
    <cellStyle name="60% - Accent1 9 2" xfId="9454"/>
    <cellStyle name="60% - Accent2 10" xfId="127"/>
    <cellStyle name="60% - Accent2 10 2" xfId="9455"/>
    <cellStyle name="60% - Accent2 2" xfId="128"/>
    <cellStyle name="60% - Accent2 2 2" xfId="9456"/>
    <cellStyle name="60% - Accent2 3" xfId="129"/>
    <cellStyle name="60% - Accent2 3 2" xfId="9457"/>
    <cellStyle name="60% - Accent2 4" xfId="130"/>
    <cellStyle name="60% - Accent2 4 2" xfId="9458"/>
    <cellStyle name="60% - Accent2 5" xfId="131"/>
    <cellStyle name="60% - Accent2 5 2" xfId="9459"/>
    <cellStyle name="60% - Accent2 6" xfId="132"/>
    <cellStyle name="60% - Accent2 6 2" xfId="9460"/>
    <cellStyle name="60% - Accent2 7" xfId="133"/>
    <cellStyle name="60% - Accent2 7 2" xfId="9461"/>
    <cellStyle name="60% - Accent2 8" xfId="134"/>
    <cellStyle name="60% - Accent2 8 2" xfId="9462"/>
    <cellStyle name="60% - Accent2 9" xfId="135"/>
    <cellStyle name="60% - Accent2 9 2" xfId="9463"/>
    <cellStyle name="60% - Accent3 10" xfId="136"/>
    <cellStyle name="60% - Accent3 10 2" xfId="9464"/>
    <cellStyle name="60% - Accent3 2" xfId="137"/>
    <cellStyle name="60% - Accent3 2 2" xfId="9465"/>
    <cellStyle name="60% - Accent3 3" xfId="138"/>
    <cellStyle name="60% - Accent3 3 2" xfId="9466"/>
    <cellStyle name="60% - Accent3 4" xfId="139"/>
    <cellStyle name="60% - Accent3 4 2" xfId="9467"/>
    <cellStyle name="60% - Accent3 5" xfId="140"/>
    <cellStyle name="60% - Accent3 5 2" xfId="9468"/>
    <cellStyle name="60% - Accent3 6" xfId="141"/>
    <cellStyle name="60% - Accent3 6 2" xfId="9469"/>
    <cellStyle name="60% - Accent3 7" xfId="142"/>
    <cellStyle name="60% - Accent3 7 2" xfId="9470"/>
    <cellStyle name="60% - Accent3 8" xfId="143"/>
    <cellStyle name="60% - Accent3 8 2" xfId="9471"/>
    <cellStyle name="60% - Accent3 9" xfId="144"/>
    <cellStyle name="60% - Accent3 9 2" xfId="9472"/>
    <cellStyle name="60% - Accent4 10" xfId="145"/>
    <cellStyle name="60% - Accent4 10 2" xfId="9473"/>
    <cellStyle name="60% - Accent4 2" xfId="146"/>
    <cellStyle name="60% - Accent4 2 2" xfId="9474"/>
    <cellStyle name="60% - Accent4 3" xfId="147"/>
    <cellStyle name="60% - Accent4 3 2" xfId="9475"/>
    <cellStyle name="60% - Accent4 4" xfId="148"/>
    <cellStyle name="60% - Accent4 4 2" xfId="9476"/>
    <cellStyle name="60% - Accent4 5" xfId="149"/>
    <cellStyle name="60% - Accent4 5 2" xfId="9477"/>
    <cellStyle name="60% - Accent4 6" xfId="150"/>
    <cellStyle name="60% - Accent4 6 2" xfId="9478"/>
    <cellStyle name="60% - Accent4 7" xfId="151"/>
    <cellStyle name="60% - Accent4 7 2" xfId="9479"/>
    <cellStyle name="60% - Accent4 8" xfId="152"/>
    <cellStyle name="60% - Accent4 8 2" xfId="9480"/>
    <cellStyle name="60% - Accent4 9" xfId="153"/>
    <cellStyle name="60% - Accent4 9 2" xfId="9481"/>
    <cellStyle name="60% - Accent5 10" xfId="154"/>
    <cellStyle name="60% - Accent5 10 2" xfId="9482"/>
    <cellStyle name="60% - Accent5 2" xfId="155"/>
    <cellStyle name="60% - Accent5 2 2" xfId="9483"/>
    <cellStyle name="60% - Accent5 3" xfId="156"/>
    <cellStyle name="60% - Accent5 3 2" xfId="9484"/>
    <cellStyle name="60% - Accent5 4" xfId="157"/>
    <cellStyle name="60% - Accent5 4 2" xfId="9485"/>
    <cellStyle name="60% - Accent5 5" xfId="158"/>
    <cellStyle name="60% - Accent5 5 2" xfId="9486"/>
    <cellStyle name="60% - Accent5 6" xfId="159"/>
    <cellStyle name="60% - Accent5 6 2" xfId="9487"/>
    <cellStyle name="60% - Accent5 7" xfId="160"/>
    <cellStyle name="60% - Accent5 7 2" xfId="9488"/>
    <cellStyle name="60% - Accent5 8" xfId="161"/>
    <cellStyle name="60% - Accent5 8 2" xfId="9489"/>
    <cellStyle name="60% - Accent5 9" xfId="162"/>
    <cellStyle name="60% - Accent5 9 2" xfId="9490"/>
    <cellStyle name="60% - Accent6 10" xfId="163"/>
    <cellStyle name="60% - Accent6 10 2" xfId="9491"/>
    <cellStyle name="60% - Accent6 2" xfId="164"/>
    <cellStyle name="60% - Accent6 2 2" xfId="9492"/>
    <cellStyle name="60% - Accent6 3" xfId="165"/>
    <cellStyle name="60% - Accent6 3 2" xfId="9493"/>
    <cellStyle name="60% - Accent6 4" xfId="166"/>
    <cellStyle name="60% - Accent6 4 2" xfId="9494"/>
    <cellStyle name="60% - Accent6 5" xfId="167"/>
    <cellStyle name="60% - Accent6 5 2" xfId="9495"/>
    <cellStyle name="60% - Accent6 6" xfId="168"/>
    <cellStyle name="60% - Accent6 6 2" xfId="9496"/>
    <cellStyle name="60% - Accent6 7" xfId="169"/>
    <cellStyle name="60% - Accent6 7 2" xfId="9497"/>
    <cellStyle name="60% - Accent6 8" xfId="170"/>
    <cellStyle name="60% - Accent6 8 2" xfId="9498"/>
    <cellStyle name="60% - Accent6 9" xfId="171"/>
    <cellStyle name="60% - Accent6 9 2" xfId="9499"/>
    <cellStyle name="Accent1 10" xfId="172"/>
    <cellStyle name="Accent1 10 2" xfId="9500"/>
    <cellStyle name="Accent1 2" xfId="173"/>
    <cellStyle name="Accent1 2 2" xfId="9501"/>
    <cellStyle name="Accent1 3" xfId="174"/>
    <cellStyle name="Accent1 3 2" xfId="9502"/>
    <cellStyle name="Accent1 4" xfId="175"/>
    <cellStyle name="Accent1 4 2" xfId="9503"/>
    <cellStyle name="Accent1 5" xfId="176"/>
    <cellStyle name="Accent1 5 2" xfId="9504"/>
    <cellStyle name="Accent1 6" xfId="177"/>
    <cellStyle name="Accent1 6 2" xfId="9505"/>
    <cellStyle name="Accent1 7" xfId="178"/>
    <cellStyle name="Accent1 7 2" xfId="9506"/>
    <cellStyle name="Accent1 8" xfId="179"/>
    <cellStyle name="Accent1 8 2" xfId="9507"/>
    <cellStyle name="Accent1 9" xfId="180"/>
    <cellStyle name="Accent1 9 2" xfId="9508"/>
    <cellStyle name="Accent2 10" xfId="181"/>
    <cellStyle name="Accent2 10 2" xfId="9509"/>
    <cellStyle name="Accent2 2" xfId="182"/>
    <cellStyle name="Accent2 2 2" xfId="9510"/>
    <cellStyle name="Accent2 3" xfId="183"/>
    <cellStyle name="Accent2 3 2" xfId="9511"/>
    <cellStyle name="Accent2 4" xfId="184"/>
    <cellStyle name="Accent2 4 2" xfId="9512"/>
    <cellStyle name="Accent2 5" xfId="185"/>
    <cellStyle name="Accent2 5 2" xfId="9513"/>
    <cellStyle name="Accent2 6" xfId="186"/>
    <cellStyle name="Accent2 6 2" xfId="9514"/>
    <cellStyle name="Accent2 7" xfId="187"/>
    <cellStyle name="Accent2 7 2" xfId="9515"/>
    <cellStyle name="Accent2 8" xfId="188"/>
    <cellStyle name="Accent2 8 2" xfId="9516"/>
    <cellStyle name="Accent2 9" xfId="189"/>
    <cellStyle name="Accent2 9 2" xfId="9517"/>
    <cellStyle name="Accent3 10" xfId="190"/>
    <cellStyle name="Accent3 10 2" xfId="9518"/>
    <cellStyle name="Accent3 2" xfId="191"/>
    <cellStyle name="Accent3 2 2" xfId="9519"/>
    <cellStyle name="Accent3 3" xfId="192"/>
    <cellStyle name="Accent3 3 2" xfId="9520"/>
    <cellStyle name="Accent3 4" xfId="193"/>
    <cellStyle name="Accent3 4 2" xfId="9521"/>
    <cellStyle name="Accent3 5" xfId="194"/>
    <cellStyle name="Accent3 5 2" xfId="9522"/>
    <cellStyle name="Accent3 6" xfId="195"/>
    <cellStyle name="Accent3 6 2" xfId="9523"/>
    <cellStyle name="Accent3 7" xfId="196"/>
    <cellStyle name="Accent3 7 2" xfId="9524"/>
    <cellStyle name="Accent3 8" xfId="197"/>
    <cellStyle name="Accent3 8 2" xfId="9525"/>
    <cellStyle name="Accent3 9" xfId="198"/>
    <cellStyle name="Accent3 9 2" xfId="9526"/>
    <cellStyle name="Accent4 10" xfId="199"/>
    <cellStyle name="Accent4 10 2" xfId="9527"/>
    <cellStyle name="Accent4 2" xfId="200"/>
    <cellStyle name="Accent4 2 2" xfId="9528"/>
    <cellStyle name="Accent4 3" xfId="201"/>
    <cellStyle name="Accent4 3 2" xfId="9529"/>
    <cellStyle name="Accent4 4" xfId="202"/>
    <cellStyle name="Accent4 4 2" xfId="9530"/>
    <cellStyle name="Accent4 5" xfId="203"/>
    <cellStyle name="Accent4 5 2" xfId="9531"/>
    <cellStyle name="Accent4 6" xfId="204"/>
    <cellStyle name="Accent4 6 2" xfId="9532"/>
    <cellStyle name="Accent4 7" xfId="205"/>
    <cellStyle name="Accent4 7 2" xfId="9533"/>
    <cellStyle name="Accent4 8" xfId="206"/>
    <cellStyle name="Accent4 8 2" xfId="9534"/>
    <cellStyle name="Accent4 9" xfId="207"/>
    <cellStyle name="Accent4 9 2" xfId="9535"/>
    <cellStyle name="Accent5 10" xfId="208"/>
    <cellStyle name="Accent5 10 2" xfId="9536"/>
    <cellStyle name="Accent5 2" xfId="209"/>
    <cellStyle name="Accent5 2 2" xfId="9537"/>
    <cellStyle name="Accent5 3" xfId="210"/>
    <cellStyle name="Accent5 3 2" xfId="9538"/>
    <cellStyle name="Accent5 4" xfId="211"/>
    <cellStyle name="Accent5 4 2" xfId="9539"/>
    <cellStyle name="Accent5 5" xfId="212"/>
    <cellStyle name="Accent5 5 2" xfId="9540"/>
    <cellStyle name="Accent5 6" xfId="213"/>
    <cellStyle name="Accent5 6 2" xfId="9541"/>
    <cellStyle name="Accent5 7" xfId="214"/>
    <cellStyle name="Accent5 7 2" xfId="9542"/>
    <cellStyle name="Accent5 8" xfId="215"/>
    <cellStyle name="Accent5 8 2" xfId="9543"/>
    <cellStyle name="Accent5 9" xfId="216"/>
    <cellStyle name="Accent5 9 2" xfId="9544"/>
    <cellStyle name="Accent6 10" xfId="217"/>
    <cellStyle name="Accent6 10 2" xfId="9545"/>
    <cellStyle name="Accent6 2" xfId="218"/>
    <cellStyle name="Accent6 2 2" xfId="9546"/>
    <cellStyle name="Accent6 3" xfId="219"/>
    <cellStyle name="Accent6 3 2" xfId="9547"/>
    <cellStyle name="Accent6 4" xfId="220"/>
    <cellStyle name="Accent6 4 2" xfId="9548"/>
    <cellStyle name="Accent6 5" xfId="221"/>
    <cellStyle name="Accent6 5 2" xfId="9549"/>
    <cellStyle name="Accent6 6" xfId="222"/>
    <cellStyle name="Accent6 6 2" xfId="9550"/>
    <cellStyle name="Accent6 7" xfId="223"/>
    <cellStyle name="Accent6 7 2" xfId="9551"/>
    <cellStyle name="Accent6 8" xfId="224"/>
    <cellStyle name="Accent6 8 2" xfId="9552"/>
    <cellStyle name="Accent6 9" xfId="225"/>
    <cellStyle name="Accent6 9 2" xfId="9553"/>
    <cellStyle name="Bad 10" xfId="226"/>
    <cellStyle name="Bad 10 2" xfId="9554"/>
    <cellStyle name="Bad 2" xfId="227"/>
    <cellStyle name="Bad 2 2" xfId="9555"/>
    <cellStyle name="Bad 3" xfId="228"/>
    <cellStyle name="Bad 3 2" xfId="9556"/>
    <cellStyle name="Bad 4" xfId="229"/>
    <cellStyle name="Bad 4 2" xfId="9557"/>
    <cellStyle name="Bad 5" xfId="230"/>
    <cellStyle name="Bad 5 2" xfId="9558"/>
    <cellStyle name="Bad 6" xfId="231"/>
    <cellStyle name="Bad 6 2" xfId="9559"/>
    <cellStyle name="Bad 7" xfId="232"/>
    <cellStyle name="Bad 7 2" xfId="9560"/>
    <cellStyle name="Bad 8" xfId="233"/>
    <cellStyle name="Bad 8 2" xfId="9561"/>
    <cellStyle name="Bad 9" xfId="234"/>
    <cellStyle name="Bad 9 2" xfId="9562"/>
    <cellStyle name="Calculation 10" xfId="235"/>
    <cellStyle name="Calculation 10 10" xfId="1135"/>
    <cellStyle name="Calculation 10 10 2" xfId="10463"/>
    <cellStyle name="Calculation 10 10 2 2" xfId="23769"/>
    <cellStyle name="Calculation 10 10 3" xfId="14873"/>
    <cellStyle name="Calculation 10 10 3 2" xfId="28179"/>
    <cellStyle name="Calculation 10 10 4" xfId="19359"/>
    <cellStyle name="Calculation 10 10_Table" xfId="4848"/>
    <cellStyle name="Calculation 10 11" xfId="1398"/>
    <cellStyle name="Calculation 10 11 2" xfId="10726"/>
    <cellStyle name="Calculation 10 11 2 2" xfId="24032"/>
    <cellStyle name="Calculation 10 11 3" xfId="15136"/>
    <cellStyle name="Calculation 10 11 3 2" xfId="28442"/>
    <cellStyle name="Calculation 10 11 4" xfId="19622"/>
    <cellStyle name="Calculation 10 11_Table" xfId="4849"/>
    <cellStyle name="Calculation 10 12" xfId="1157"/>
    <cellStyle name="Calculation 10 12 2" xfId="10485"/>
    <cellStyle name="Calculation 10 12 2 2" xfId="23791"/>
    <cellStyle name="Calculation 10 12 3" xfId="14895"/>
    <cellStyle name="Calculation 10 12 3 2" xfId="28201"/>
    <cellStyle name="Calculation 10 12 4" xfId="19381"/>
    <cellStyle name="Calculation 10 12_Table" xfId="4850"/>
    <cellStyle name="Calculation 10 13" xfId="2959"/>
    <cellStyle name="Calculation 10 13 2" xfId="12287"/>
    <cellStyle name="Calculation 10 13 2 2" xfId="25593"/>
    <cellStyle name="Calculation 10 13 3" xfId="16697"/>
    <cellStyle name="Calculation 10 13 3 2" xfId="30003"/>
    <cellStyle name="Calculation 10 13 4" xfId="21183"/>
    <cellStyle name="Calculation 10 13_Table" xfId="4851"/>
    <cellStyle name="Calculation 10 14" xfId="887"/>
    <cellStyle name="Calculation 10 14 2" xfId="10215"/>
    <cellStyle name="Calculation 10 14 2 2" xfId="23521"/>
    <cellStyle name="Calculation 10 14 3" xfId="14625"/>
    <cellStyle name="Calculation 10 14 3 2" xfId="27931"/>
    <cellStyle name="Calculation 10 14 4" xfId="19111"/>
    <cellStyle name="Calculation 10 14_Table" xfId="4852"/>
    <cellStyle name="Calculation 10 15" xfId="9563"/>
    <cellStyle name="Calculation 10 15 2" xfId="23071"/>
    <cellStyle name="Calculation 10 16" xfId="14175"/>
    <cellStyle name="Calculation 10 16 2" xfId="27481"/>
    <cellStyle name="Calculation 10 17" xfId="18661"/>
    <cellStyle name="Calculation 10 2" xfId="392"/>
    <cellStyle name="Calculation 10 2 10" xfId="3533"/>
    <cellStyle name="Calculation 10 2 10 2" xfId="12861"/>
    <cellStyle name="Calculation 10 2 10 2 2" xfId="26167"/>
    <cellStyle name="Calculation 10 2 10 3" xfId="17271"/>
    <cellStyle name="Calculation 10 2 10 3 2" xfId="30577"/>
    <cellStyle name="Calculation 10 2 10 4" xfId="21757"/>
    <cellStyle name="Calculation 10 2 10_Table" xfId="4854"/>
    <cellStyle name="Calculation 10 2 11" xfId="9720"/>
    <cellStyle name="Calculation 10 2 11 2" xfId="23116"/>
    <cellStyle name="Calculation 10 2 12" xfId="14220"/>
    <cellStyle name="Calculation 10 2 12 2" xfId="27526"/>
    <cellStyle name="Calculation 10 2 13" xfId="18706"/>
    <cellStyle name="Calculation 10 2 2" xfId="707"/>
    <cellStyle name="Calculation 10 2 2 10" xfId="4667"/>
    <cellStyle name="Calculation 10 2 2 10 2" xfId="13995"/>
    <cellStyle name="Calculation 10 2 2 10 2 2" xfId="27301"/>
    <cellStyle name="Calculation 10 2 2 10 3" xfId="18405"/>
    <cellStyle name="Calculation 10 2 2 10 3 2" xfId="31711"/>
    <cellStyle name="Calculation 10 2 2 10 4" xfId="22891"/>
    <cellStyle name="Calculation 10 2 2 10_Table" xfId="4856"/>
    <cellStyle name="Calculation 10 2 2 11" xfId="10035"/>
    <cellStyle name="Calculation 10 2 2 11 2" xfId="23341"/>
    <cellStyle name="Calculation 10 2 2 12" xfId="14445"/>
    <cellStyle name="Calculation 10 2 2 12 2" xfId="27751"/>
    <cellStyle name="Calculation 10 2 2 13" xfId="18931"/>
    <cellStyle name="Calculation 10 2 2 2" xfId="1493"/>
    <cellStyle name="Calculation 10 2 2 2 2" xfId="10821"/>
    <cellStyle name="Calculation 10 2 2 2 2 2" xfId="24127"/>
    <cellStyle name="Calculation 10 2 2 2 3" xfId="15231"/>
    <cellStyle name="Calculation 10 2 2 2 3 2" xfId="28537"/>
    <cellStyle name="Calculation 10 2 2 2 4" xfId="19717"/>
    <cellStyle name="Calculation 10 2 2 2_Table" xfId="4857"/>
    <cellStyle name="Calculation 10 2 2 3" xfId="1853"/>
    <cellStyle name="Calculation 10 2 2 3 2" xfId="11181"/>
    <cellStyle name="Calculation 10 2 2 3 2 2" xfId="24487"/>
    <cellStyle name="Calculation 10 2 2 3 3" xfId="15591"/>
    <cellStyle name="Calculation 10 2 2 3 3 2" xfId="28897"/>
    <cellStyle name="Calculation 10 2 2 3 4" xfId="20077"/>
    <cellStyle name="Calculation 10 2 2 3_Table" xfId="4858"/>
    <cellStyle name="Calculation 10 2 2 4" xfId="2283"/>
    <cellStyle name="Calculation 10 2 2 4 2" xfId="11611"/>
    <cellStyle name="Calculation 10 2 2 4 2 2" xfId="24917"/>
    <cellStyle name="Calculation 10 2 2 4 3" xfId="16021"/>
    <cellStyle name="Calculation 10 2 2 4 3 2" xfId="29327"/>
    <cellStyle name="Calculation 10 2 2 4 4" xfId="20507"/>
    <cellStyle name="Calculation 10 2 2 4_Table" xfId="4859"/>
    <cellStyle name="Calculation 10 2 2 5" xfId="2721"/>
    <cellStyle name="Calculation 10 2 2 5 2" xfId="12049"/>
    <cellStyle name="Calculation 10 2 2 5 2 2" xfId="25355"/>
    <cellStyle name="Calculation 10 2 2 5 3" xfId="16459"/>
    <cellStyle name="Calculation 10 2 2 5 3 2" xfId="29765"/>
    <cellStyle name="Calculation 10 2 2 5 4" xfId="20945"/>
    <cellStyle name="Calculation 10 2 2 5_Table" xfId="4860"/>
    <cellStyle name="Calculation 10 2 2 6" xfId="3128"/>
    <cellStyle name="Calculation 10 2 2 6 2" xfId="12456"/>
    <cellStyle name="Calculation 10 2 2 6 2 2" xfId="25762"/>
    <cellStyle name="Calculation 10 2 2 6 3" xfId="16866"/>
    <cellStyle name="Calculation 10 2 2 6 3 2" xfId="30172"/>
    <cellStyle name="Calculation 10 2 2 6 4" xfId="21352"/>
    <cellStyle name="Calculation 10 2 2 6_Table" xfId="4861"/>
    <cellStyle name="Calculation 10 2 2 7" xfId="3720"/>
    <cellStyle name="Calculation 10 2 2 7 2" xfId="13048"/>
    <cellStyle name="Calculation 10 2 2 7 2 2" xfId="26354"/>
    <cellStyle name="Calculation 10 2 2 7 3" xfId="17458"/>
    <cellStyle name="Calculation 10 2 2 7 3 2" xfId="30764"/>
    <cellStyle name="Calculation 10 2 2 7 4" xfId="21944"/>
    <cellStyle name="Calculation 10 2 2 7_Table" xfId="4862"/>
    <cellStyle name="Calculation 10 2 2 8" xfId="3945"/>
    <cellStyle name="Calculation 10 2 2 8 2" xfId="13273"/>
    <cellStyle name="Calculation 10 2 2 8 2 2" xfId="26579"/>
    <cellStyle name="Calculation 10 2 2 8 3" xfId="17683"/>
    <cellStyle name="Calculation 10 2 2 8 3 2" xfId="30989"/>
    <cellStyle name="Calculation 10 2 2 8 4" xfId="22169"/>
    <cellStyle name="Calculation 10 2 2 8_Table" xfId="4863"/>
    <cellStyle name="Calculation 10 2 2 9" xfId="4306"/>
    <cellStyle name="Calculation 10 2 2 9 2" xfId="13634"/>
    <cellStyle name="Calculation 10 2 2 9 2 2" xfId="26940"/>
    <cellStyle name="Calculation 10 2 2 9 3" xfId="18044"/>
    <cellStyle name="Calculation 10 2 2 9 3 2" xfId="31350"/>
    <cellStyle name="Calculation 10 2 2 9 4" xfId="22530"/>
    <cellStyle name="Calculation 10 2 2 9_Table" xfId="4864"/>
    <cellStyle name="Calculation 10 2 2_Table" xfId="4855"/>
    <cellStyle name="Calculation 10 2 3" xfId="1020"/>
    <cellStyle name="Calculation 10 2 3 2" xfId="10348"/>
    <cellStyle name="Calculation 10 2 3 2 2" xfId="23654"/>
    <cellStyle name="Calculation 10 2 3 3" xfId="14758"/>
    <cellStyle name="Calculation 10 2 3 3 2" xfId="28064"/>
    <cellStyle name="Calculation 10 2 3 4" xfId="19244"/>
    <cellStyle name="Calculation 10 2 3_Table" xfId="4865"/>
    <cellStyle name="Calculation 10 2 4" xfId="1322"/>
    <cellStyle name="Calculation 10 2 4 2" xfId="10650"/>
    <cellStyle name="Calculation 10 2 4 2 2" xfId="23956"/>
    <cellStyle name="Calculation 10 2 4 3" xfId="15060"/>
    <cellStyle name="Calculation 10 2 4 3 2" xfId="28366"/>
    <cellStyle name="Calculation 10 2 4 4" xfId="19546"/>
    <cellStyle name="Calculation 10 2 4_Table" xfId="4866"/>
    <cellStyle name="Calculation 10 2 5" xfId="1725"/>
    <cellStyle name="Calculation 10 2 5 2" xfId="11053"/>
    <cellStyle name="Calculation 10 2 5 2 2" xfId="24359"/>
    <cellStyle name="Calculation 10 2 5 3" xfId="15463"/>
    <cellStyle name="Calculation 10 2 5 3 2" xfId="28769"/>
    <cellStyle name="Calculation 10 2 5 4" xfId="19949"/>
    <cellStyle name="Calculation 10 2 5_Table" xfId="4867"/>
    <cellStyle name="Calculation 10 2 6" xfId="2160"/>
    <cellStyle name="Calculation 10 2 6 2" xfId="11488"/>
    <cellStyle name="Calculation 10 2 6 2 2" xfId="24794"/>
    <cellStyle name="Calculation 10 2 6 3" xfId="15898"/>
    <cellStyle name="Calculation 10 2 6 3 2" xfId="29204"/>
    <cellStyle name="Calculation 10 2 6 4" xfId="20384"/>
    <cellStyle name="Calculation 10 2 6_Table" xfId="4868"/>
    <cellStyle name="Calculation 10 2 7" xfId="2592"/>
    <cellStyle name="Calculation 10 2 7 2" xfId="11920"/>
    <cellStyle name="Calculation 10 2 7 2 2" xfId="25226"/>
    <cellStyle name="Calculation 10 2 7 3" xfId="16330"/>
    <cellStyle name="Calculation 10 2 7 3 2" xfId="29636"/>
    <cellStyle name="Calculation 10 2 7 4" xfId="20816"/>
    <cellStyle name="Calculation 10 2 7_Table" xfId="4869"/>
    <cellStyle name="Calculation 10 2 8" xfId="1220"/>
    <cellStyle name="Calculation 10 2 8 2" xfId="10548"/>
    <cellStyle name="Calculation 10 2 8 2 2" xfId="23854"/>
    <cellStyle name="Calculation 10 2 8 3" xfId="14958"/>
    <cellStyle name="Calculation 10 2 8 3 2" xfId="28264"/>
    <cellStyle name="Calculation 10 2 8 4" xfId="19444"/>
    <cellStyle name="Calculation 10 2 8_Table" xfId="4870"/>
    <cellStyle name="Calculation 10 2 9" xfId="3547"/>
    <cellStyle name="Calculation 10 2 9 2" xfId="12875"/>
    <cellStyle name="Calculation 10 2 9 2 2" xfId="26181"/>
    <cellStyle name="Calculation 10 2 9 3" xfId="17285"/>
    <cellStyle name="Calculation 10 2 9 3 2" xfId="30591"/>
    <cellStyle name="Calculation 10 2 9 4" xfId="21771"/>
    <cellStyle name="Calculation 10 2 9_Table" xfId="4871"/>
    <cellStyle name="Calculation 10 2_Table" xfId="4853"/>
    <cellStyle name="Calculation 10 3" xfId="460"/>
    <cellStyle name="Calculation 10 3 10" xfId="4487"/>
    <cellStyle name="Calculation 10 3 10 2" xfId="13815"/>
    <cellStyle name="Calculation 10 3 10 2 2" xfId="27121"/>
    <cellStyle name="Calculation 10 3 10 3" xfId="18225"/>
    <cellStyle name="Calculation 10 3 10 3 2" xfId="31531"/>
    <cellStyle name="Calculation 10 3 10 4" xfId="22711"/>
    <cellStyle name="Calculation 10 3 10_Table" xfId="4873"/>
    <cellStyle name="Calculation 10 3 11" xfId="9788"/>
    <cellStyle name="Calculation 10 3 11 2" xfId="23161"/>
    <cellStyle name="Calculation 10 3 12" xfId="14265"/>
    <cellStyle name="Calculation 10 3 12 2" xfId="27571"/>
    <cellStyle name="Calculation 10 3 13" xfId="18751"/>
    <cellStyle name="Calculation 10 3 2" xfId="752"/>
    <cellStyle name="Calculation 10 3 2 10" xfId="4712"/>
    <cellStyle name="Calculation 10 3 2 10 2" xfId="14040"/>
    <cellStyle name="Calculation 10 3 2 10 2 2" xfId="27346"/>
    <cellStyle name="Calculation 10 3 2 10 3" xfId="18450"/>
    <cellStyle name="Calculation 10 3 2 10 3 2" xfId="31756"/>
    <cellStyle name="Calculation 10 3 2 10 4" xfId="22936"/>
    <cellStyle name="Calculation 10 3 2 10_Table" xfId="4875"/>
    <cellStyle name="Calculation 10 3 2 11" xfId="10080"/>
    <cellStyle name="Calculation 10 3 2 11 2" xfId="23386"/>
    <cellStyle name="Calculation 10 3 2 12" xfId="14490"/>
    <cellStyle name="Calculation 10 3 2 12 2" xfId="27796"/>
    <cellStyle name="Calculation 10 3 2 13" xfId="18976"/>
    <cellStyle name="Calculation 10 3 2 2" xfId="1538"/>
    <cellStyle name="Calculation 10 3 2 2 2" xfId="10866"/>
    <cellStyle name="Calculation 10 3 2 2 2 2" xfId="24172"/>
    <cellStyle name="Calculation 10 3 2 2 3" xfId="15276"/>
    <cellStyle name="Calculation 10 3 2 2 3 2" xfId="28582"/>
    <cellStyle name="Calculation 10 3 2 2 4" xfId="19762"/>
    <cellStyle name="Calculation 10 3 2 2_Table" xfId="4876"/>
    <cellStyle name="Calculation 10 3 2 3" xfId="1898"/>
    <cellStyle name="Calculation 10 3 2 3 2" xfId="11226"/>
    <cellStyle name="Calculation 10 3 2 3 2 2" xfId="24532"/>
    <cellStyle name="Calculation 10 3 2 3 3" xfId="15636"/>
    <cellStyle name="Calculation 10 3 2 3 3 2" xfId="28942"/>
    <cellStyle name="Calculation 10 3 2 3 4" xfId="20122"/>
    <cellStyle name="Calculation 10 3 2 3_Table" xfId="4877"/>
    <cellStyle name="Calculation 10 3 2 4" xfId="2328"/>
    <cellStyle name="Calculation 10 3 2 4 2" xfId="11656"/>
    <cellStyle name="Calculation 10 3 2 4 2 2" xfId="24962"/>
    <cellStyle name="Calculation 10 3 2 4 3" xfId="16066"/>
    <cellStyle name="Calculation 10 3 2 4 3 2" xfId="29372"/>
    <cellStyle name="Calculation 10 3 2 4 4" xfId="20552"/>
    <cellStyle name="Calculation 10 3 2 4_Table" xfId="4878"/>
    <cellStyle name="Calculation 10 3 2 5" xfId="2766"/>
    <cellStyle name="Calculation 10 3 2 5 2" xfId="12094"/>
    <cellStyle name="Calculation 10 3 2 5 2 2" xfId="25400"/>
    <cellStyle name="Calculation 10 3 2 5 3" xfId="16504"/>
    <cellStyle name="Calculation 10 3 2 5 3 2" xfId="29810"/>
    <cellStyle name="Calculation 10 3 2 5 4" xfId="20990"/>
    <cellStyle name="Calculation 10 3 2 5_Table" xfId="4879"/>
    <cellStyle name="Calculation 10 3 2 6" xfId="3173"/>
    <cellStyle name="Calculation 10 3 2 6 2" xfId="12501"/>
    <cellStyle name="Calculation 10 3 2 6 2 2" xfId="25807"/>
    <cellStyle name="Calculation 10 3 2 6 3" xfId="16911"/>
    <cellStyle name="Calculation 10 3 2 6 3 2" xfId="30217"/>
    <cellStyle name="Calculation 10 3 2 6 4" xfId="21397"/>
    <cellStyle name="Calculation 10 3 2 6_Table" xfId="4880"/>
    <cellStyle name="Calculation 10 3 2 7" xfId="3765"/>
    <cellStyle name="Calculation 10 3 2 7 2" xfId="13093"/>
    <cellStyle name="Calculation 10 3 2 7 2 2" xfId="26399"/>
    <cellStyle name="Calculation 10 3 2 7 3" xfId="17503"/>
    <cellStyle name="Calculation 10 3 2 7 3 2" xfId="30809"/>
    <cellStyle name="Calculation 10 3 2 7 4" xfId="21989"/>
    <cellStyle name="Calculation 10 3 2 7_Table" xfId="4881"/>
    <cellStyle name="Calculation 10 3 2 8" xfId="3990"/>
    <cellStyle name="Calculation 10 3 2 8 2" xfId="13318"/>
    <cellStyle name="Calculation 10 3 2 8 2 2" xfId="26624"/>
    <cellStyle name="Calculation 10 3 2 8 3" xfId="17728"/>
    <cellStyle name="Calculation 10 3 2 8 3 2" xfId="31034"/>
    <cellStyle name="Calculation 10 3 2 8 4" xfId="22214"/>
    <cellStyle name="Calculation 10 3 2 8_Table" xfId="4882"/>
    <cellStyle name="Calculation 10 3 2 9" xfId="4351"/>
    <cellStyle name="Calculation 10 3 2 9 2" xfId="13679"/>
    <cellStyle name="Calculation 10 3 2 9 2 2" xfId="26985"/>
    <cellStyle name="Calculation 10 3 2 9 3" xfId="18089"/>
    <cellStyle name="Calculation 10 3 2 9 3 2" xfId="31395"/>
    <cellStyle name="Calculation 10 3 2 9 4" xfId="22575"/>
    <cellStyle name="Calculation 10 3 2 9_Table" xfId="4883"/>
    <cellStyle name="Calculation 10 3 2_Table" xfId="4874"/>
    <cellStyle name="Calculation 10 3 3" xfId="954"/>
    <cellStyle name="Calculation 10 3 3 2" xfId="10282"/>
    <cellStyle name="Calculation 10 3 3 2 2" xfId="23588"/>
    <cellStyle name="Calculation 10 3 3 3" xfId="14692"/>
    <cellStyle name="Calculation 10 3 3 3 2" xfId="27998"/>
    <cellStyle name="Calculation 10 3 3 4" xfId="19178"/>
    <cellStyle name="Calculation 10 3 3_Table" xfId="4884"/>
    <cellStyle name="Calculation 10 3 4" xfId="2051"/>
    <cellStyle name="Calculation 10 3 4 2" xfId="11379"/>
    <cellStyle name="Calculation 10 3 4 2 2" xfId="24685"/>
    <cellStyle name="Calculation 10 3 4 3" xfId="15789"/>
    <cellStyle name="Calculation 10 3 4 3 2" xfId="29095"/>
    <cellStyle name="Calculation 10 3 4 4" xfId="20275"/>
    <cellStyle name="Calculation 10 3 4_Table" xfId="4885"/>
    <cellStyle name="Calculation 10 3 5" xfId="2483"/>
    <cellStyle name="Calculation 10 3 5 2" xfId="11811"/>
    <cellStyle name="Calculation 10 3 5 2 2" xfId="25117"/>
    <cellStyle name="Calculation 10 3 5 3" xfId="16221"/>
    <cellStyle name="Calculation 10 3 5 3 2" xfId="29527"/>
    <cellStyle name="Calculation 10 3 5 4" xfId="20707"/>
    <cellStyle name="Calculation 10 3 5_Table" xfId="4886"/>
    <cellStyle name="Calculation 10 3 6" xfId="2912"/>
    <cellStyle name="Calculation 10 3 6 2" xfId="12240"/>
    <cellStyle name="Calculation 10 3 6 2 2" xfId="25546"/>
    <cellStyle name="Calculation 10 3 6 3" xfId="16650"/>
    <cellStyle name="Calculation 10 3 6 3 2" xfId="29956"/>
    <cellStyle name="Calculation 10 3 6 4" xfId="21136"/>
    <cellStyle name="Calculation 10 3 6_Table" xfId="4887"/>
    <cellStyle name="Calculation 10 3 7" xfId="3324"/>
    <cellStyle name="Calculation 10 3 7 2" xfId="12652"/>
    <cellStyle name="Calculation 10 3 7 2 2" xfId="25958"/>
    <cellStyle name="Calculation 10 3 7 3" xfId="17062"/>
    <cellStyle name="Calculation 10 3 7 3 2" xfId="30368"/>
    <cellStyle name="Calculation 10 3 7 4" xfId="21548"/>
    <cellStyle name="Calculation 10 3 7_Table" xfId="4888"/>
    <cellStyle name="Calculation 10 3 8" xfId="3439"/>
    <cellStyle name="Calculation 10 3 8 2" xfId="12767"/>
    <cellStyle name="Calculation 10 3 8 2 2" xfId="26073"/>
    <cellStyle name="Calculation 10 3 8 3" xfId="17177"/>
    <cellStyle name="Calculation 10 3 8 3 2" xfId="30483"/>
    <cellStyle name="Calculation 10 3 8 4" xfId="21663"/>
    <cellStyle name="Calculation 10 3 8_Table" xfId="4889"/>
    <cellStyle name="Calculation 10 3 9" xfId="4126"/>
    <cellStyle name="Calculation 10 3 9 2" xfId="13454"/>
    <cellStyle name="Calculation 10 3 9 2 2" xfId="26760"/>
    <cellStyle name="Calculation 10 3 9 3" xfId="17864"/>
    <cellStyle name="Calculation 10 3 9 3 2" xfId="31170"/>
    <cellStyle name="Calculation 10 3 9 4" xfId="22350"/>
    <cellStyle name="Calculation 10 3 9_Table" xfId="4890"/>
    <cellStyle name="Calculation 10 3_Table" xfId="4872"/>
    <cellStyle name="Calculation 10 4" xfId="524"/>
    <cellStyle name="Calculation 10 4 10" xfId="4532"/>
    <cellStyle name="Calculation 10 4 10 2" xfId="13860"/>
    <cellStyle name="Calculation 10 4 10 2 2" xfId="27166"/>
    <cellStyle name="Calculation 10 4 10 3" xfId="18270"/>
    <cellStyle name="Calculation 10 4 10 3 2" xfId="31576"/>
    <cellStyle name="Calculation 10 4 10 4" xfId="22756"/>
    <cellStyle name="Calculation 10 4 10_Table" xfId="4892"/>
    <cellStyle name="Calculation 10 4 11" xfId="9852"/>
    <cellStyle name="Calculation 10 4 11 2" xfId="23206"/>
    <cellStyle name="Calculation 10 4 12" xfId="14310"/>
    <cellStyle name="Calculation 10 4 12 2" xfId="27616"/>
    <cellStyle name="Calculation 10 4 13" xfId="18796"/>
    <cellStyle name="Calculation 10 4 2" xfId="797"/>
    <cellStyle name="Calculation 10 4 2 10" xfId="4757"/>
    <cellStyle name="Calculation 10 4 2 10 2" xfId="14085"/>
    <cellStyle name="Calculation 10 4 2 10 2 2" xfId="27391"/>
    <cellStyle name="Calculation 10 4 2 10 3" xfId="18495"/>
    <cellStyle name="Calculation 10 4 2 10 3 2" xfId="31801"/>
    <cellStyle name="Calculation 10 4 2 10 4" xfId="22981"/>
    <cellStyle name="Calculation 10 4 2 10_Table" xfId="4894"/>
    <cellStyle name="Calculation 10 4 2 11" xfId="10125"/>
    <cellStyle name="Calculation 10 4 2 11 2" xfId="23431"/>
    <cellStyle name="Calculation 10 4 2 12" xfId="14535"/>
    <cellStyle name="Calculation 10 4 2 12 2" xfId="27841"/>
    <cellStyle name="Calculation 10 4 2 13" xfId="19021"/>
    <cellStyle name="Calculation 10 4 2 2" xfId="1583"/>
    <cellStyle name="Calculation 10 4 2 2 2" xfId="10911"/>
    <cellStyle name="Calculation 10 4 2 2 2 2" xfId="24217"/>
    <cellStyle name="Calculation 10 4 2 2 3" xfId="15321"/>
    <cellStyle name="Calculation 10 4 2 2 3 2" xfId="28627"/>
    <cellStyle name="Calculation 10 4 2 2 4" xfId="19807"/>
    <cellStyle name="Calculation 10 4 2 2_Table" xfId="4895"/>
    <cellStyle name="Calculation 10 4 2 3" xfId="1943"/>
    <cellStyle name="Calculation 10 4 2 3 2" xfId="11271"/>
    <cellStyle name="Calculation 10 4 2 3 2 2" xfId="24577"/>
    <cellStyle name="Calculation 10 4 2 3 3" xfId="15681"/>
    <cellStyle name="Calculation 10 4 2 3 3 2" xfId="28987"/>
    <cellStyle name="Calculation 10 4 2 3 4" xfId="20167"/>
    <cellStyle name="Calculation 10 4 2 3_Table" xfId="4896"/>
    <cellStyle name="Calculation 10 4 2 4" xfId="2373"/>
    <cellStyle name="Calculation 10 4 2 4 2" xfId="11701"/>
    <cellStyle name="Calculation 10 4 2 4 2 2" xfId="25007"/>
    <cellStyle name="Calculation 10 4 2 4 3" xfId="16111"/>
    <cellStyle name="Calculation 10 4 2 4 3 2" xfId="29417"/>
    <cellStyle name="Calculation 10 4 2 4 4" xfId="20597"/>
    <cellStyle name="Calculation 10 4 2 4_Table" xfId="4897"/>
    <cellStyle name="Calculation 10 4 2 5" xfId="2811"/>
    <cellStyle name="Calculation 10 4 2 5 2" xfId="12139"/>
    <cellStyle name="Calculation 10 4 2 5 2 2" xfId="25445"/>
    <cellStyle name="Calculation 10 4 2 5 3" xfId="16549"/>
    <cellStyle name="Calculation 10 4 2 5 3 2" xfId="29855"/>
    <cellStyle name="Calculation 10 4 2 5 4" xfId="21035"/>
    <cellStyle name="Calculation 10 4 2 5_Table" xfId="4898"/>
    <cellStyle name="Calculation 10 4 2 6" xfId="3218"/>
    <cellStyle name="Calculation 10 4 2 6 2" xfId="12546"/>
    <cellStyle name="Calculation 10 4 2 6 2 2" xfId="25852"/>
    <cellStyle name="Calculation 10 4 2 6 3" xfId="16956"/>
    <cellStyle name="Calculation 10 4 2 6 3 2" xfId="30262"/>
    <cellStyle name="Calculation 10 4 2 6 4" xfId="21442"/>
    <cellStyle name="Calculation 10 4 2 6_Table" xfId="4899"/>
    <cellStyle name="Calculation 10 4 2 7" xfId="3810"/>
    <cellStyle name="Calculation 10 4 2 7 2" xfId="13138"/>
    <cellStyle name="Calculation 10 4 2 7 2 2" xfId="26444"/>
    <cellStyle name="Calculation 10 4 2 7 3" xfId="17548"/>
    <cellStyle name="Calculation 10 4 2 7 3 2" xfId="30854"/>
    <cellStyle name="Calculation 10 4 2 7 4" xfId="22034"/>
    <cellStyle name="Calculation 10 4 2 7_Table" xfId="4900"/>
    <cellStyle name="Calculation 10 4 2 8" xfId="4035"/>
    <cellStyle name="Calculation 10 4 2 8 2" xfId="13363"/>
    <cellStyle name="Calculation 10 4 2 8 2 2" xfId="26669"/>
    <cellStyle name="Calculation 10 4 2 8 3" xfId="17773"/>
    <cellStyle name="Calculation 10 4 2 8 3 2" xfId="31079"/>
    <cellStyle name="Calculation 10 4 2 8 4" xfId="22259"/>
    <cellStyle name="Calculation 10 4 2 8_Table" xfId="4901"/>
    <cellStyle name="Calculation 10 4 2 9" xfId="4396"/>
    <cellStyle name="Calculation 10 4 2 9 2" xfId="13724"/>
    <cellStyle name="Calculation 10 4 2 9 2 2" xfId="27030"/>
    <cellStyle name="Calculation 10 4 2 9 3" xfId="18134"/>
    <cellStyle name="Calculation 10 4 2 9 3 2" xfId="31440"/>
    <cellStyle name="Calculation 10 4 2 9 4" xfId="22620"/>
    <cellStyle name="Calculation 10 4 2 9_Table" xfId="4902"/>
    <cellStyle name="Calculation 10 4 2_Table" xfId="4893"/>
    <cellStyle name="Calculation 10 4 3" xfId="1676"/>
    <cellStyle name="Calculation 10 4 3 2" xfId="11004"/>
    <cellStyle name="Calculation 10 4 3 2 2" xfId="24310"/>
    <cellStyle name="Calculation 10 4 3 3" xfId="15414"/>
    <cellStyle name="Calculation 10 4 3 3 2" xfId="28720"/>
    <cellStyle name="Calculation 10 4 3 4" xfId="19900"/>
    <cellStyle name="Calculation 10 4 3_Table" xfId="4903"/>
    <cellStyle name="Calculation 10 4 4" xfId="2110"/>
    <cellStyle name="Calculation 10 4 4 2" xfId="11438"/>
    <cellStyle name="Calculation 10 4 4 2 2" xfId="24744"/>
    <cellStyle name="Calculation 10 4 4 3" xfId="15848"/>
    <cellStyle name="Calculation 10 4 4 3 2" xfId="29154"/>
    <cellStyle name="Calculation 10 4 4 4" xfId="20334"/>
    <cellStyle name="Calculation 10 4 4_Table" xfId="4904"/>
    <cellStyle name="Calculation 10 4 5" xfId="2542"/>
    <cellStyle name="Calculation 10 4 5 2" xfId="11870"/>
    <cellStyle name="Calculation 10 4 5 2 2" xfId="25176"/>
    <cellStyle name="Calculation 10 4 5 3" xfId="16280"/>
    <cellStyle name="Calculation 10 4 5 3 2" xfId="29586"/>
    <cellStyle name="Calculation 10 4 5 4" xfId="20766"/>
    <cellStyle name="Calculation 10 4 5_Table" xfId="4905"/>
    <cellStyle name="Calculation 10 4 6" xfId="2969"/>
    <cellStyle name="Calculation 10 4 6 2" xfId="12297"/>
    <cellStyle name="Calculation 10 4 6 2 2" xfId="25603"/>
    <cellStyle name="Calculation 10 4 6 3" xfId="16707"/>
    <cellStyle name="Calculation 10 4 6 3 2" xfId="30013"/>
    <cellStyle name="Calculation 10 4 6 4" xfId="21193"/>
    <cellStyle name="Calculation 10 4 6_Table" xfId="4906"/>
    <cellStyle name="Calculation 10 4 7" xfId="3382"/>
    <cellStyle name="Calculation 10 4 7 2" xfId="12710"/>
    <cellStyle name="Calculation 10 4 7 2 2" xfId="26016"/>
    <cellStyle name="Calculation 10 4 7 3" xfId="17120"/>
    <cellStyle name="Calculation 10 4 7 3 2" xfId="30426"/>
    <cellStyle name="Calculation 10 4 7 4" xfId="21606"/>
    <cellStyle name="Calculation 10 4 7_Table" xfId="4907"/>
    <cellStyle name="Calculation 10 4 8" xfId="3653"/>
    <cellStyle name="Calculation 10 4 8 2" xfId="12981"/>
    <cellStyle name="Calculation 10 4 8 2 2" xfId="26287"/>
    <cellStyle name="Calculation 10 4 8 3" xfId="17391"/>
    <cellStyle name="Calculation 10 4 8 3 2" xfId="30697"/>
    <cellStyle name="Calculation 10 4 8 4" xfId="21877"/>
    <cellStyle name="Calculation 10 4 8_Table" xfId="4908"/>
    <cellStyle name="Calculation 10 4 9" xfId="4171"/>
    <cellStyle name="Calculation 10 4 9 2" xfId="13499"/>
    <cellStyle name="Calculation 10 4 9 2 2" xfId="26805"/>
    <cellStyle name="Calculation 10 4 9 3" xfId="17909"/>
    <cellStyle name="Calculation 10 4 9 3 2" xfId="31215"/>
    <cellStyle name="Calculation 10 4 9 4" xfId="22395"/>
    <cellStyle name="Calculation 10 4 9_Table" xfId="4909"/>
    <cellStyle name="Calculation 10 4_Table" xfId="4891"/>
    <cellStyle name="Calculation 10 5" xfId="599"/>
    <cellStyle name="Calculation 10 5 10" xfId="4577"/>
    <cellStyle name="Calculation 10 5 10 2" xfId="13905"/>
    <cellStyle name="Calculation 10 5 10 2 2" xfId="27211"/>
    <cellStyle name="Calculation 10 5 10 3" xfId="18315"/>
    <cellStyle name="Calculation 10 5 10 3 2" xfId="31621"/>
    <cellStyle name="Calculation 10 5 10 4" xfId="22801"/>
    <cellStyle name="Calculation 10 5 10_Table" xfId="4911"/>
    <cellStyle name="Calculation 10 5 11" xfId="9927"/>
    <cellStyle name="Calculation 10 5 11 2" xfId="23251"/>
    <cellStyle name="Calculation 10 5 12" xfId="14355"/>
    <cellStyle name="Calculation 10 5 12 2" xfId="27661"/>
    <cellStyle name="Calculation 10 5 13" xfId="18841"/>
    <cellStyle name="Calculation 10 5 2" xfId="842"/>
    <cellStyle name="Calculation 10 5 2 10" xfId="4802"/>
    <cellStyle name="Calculation 10 5 2 10 2" xfId="14130"/>
    <cellStyle name="Calculation 10 5 2 10 2 2" xfId="27436"/>
    <cellStyle name="Calculation 10 5 2 10 3" xfId="18540"/>
    <cellStyle name="Calculation 10 5 2 10 3 2" xfId="31846"/>
    <cellStyle name="Calculation 10 5 2 10 4" xfId="23026"/>
    <cellStyle name="Calculation 10 5 2 10_Table" xfId="4913"/>
    <cellStyle name="Calculation 10 5 2 11" xfId="10170"/>
    <cellStyle name="Calculation 10 5 2 11 2" xfId="23476"/>
    <cellStyle name="Calculation 10 5 2 12" xfId="14580"/>
    <cellStyle name="Calculation 10 5 2 12 2" xfId="27886"/>
    <cellStyle name="Calculation 10 5 2 13" xfId="19066"/>
    <cellStyle name="Calculation 10 5 2 2" xfId="1628"/>
    <cellStyle name="Calculation 10 5 2 2 2" xfId="10956"/>
    <cellStyle name="Calculation 10 5 2 2 2 2" xfId="24262"/>
    <cellStyle name="Calculation 10 5 2 2 3" xfId="15366"/>
    <cellStyle name="Calculation 10 5 2 2 3 2" xfId="28672"/>
    <cellStyle name="Calculation 10 5 2 2 4" xfId="19852"/>
    <cellStyle name="Calculation 10 5 2 2_Table" xfId="4914"/>
    <cellStyle name="Calculation 10 5 2 3" xfId="1988"/>
    <cellStyle name="Calculation 10 5 2 3 2" xfId="11316"/>
    <cellStyle name="Calculation 10 5 2 3 2 2" xfId="24622"/>
    <cellStyle name="Calculation 10 5 2 3 3" xfId="15726"/>
    <cellStyle name="Calculation 10 5 2 3 3 2" xfId="29032"/>
    <cellStyle name="Calculation 10 5 2 3 4" xfId="20212"/>
    <cellStyle name="Calculation 10 5 2 3_Table" xfId="4915"/>
    <cellStyle name="Calculation 10 5 2 4" xfId="2418"/>
    <cellStyle name="Calculation 10 5 2 4 2" xfId="11746"/>
    <cellStyle name="Calculation 10 5 2 4 2 2" xfId="25052"/>
    <cellStyle name="Calculation 10 5 2 4 3" xfId="16156"/>
    <cellStyle name="Calculation 10 5 2 4 3 2" xfId="29462"/>
    <cellStyle name="Calculation 10 5 2 4 4" xfId="20642"/>
    <cellStyle name="Calculation 10 5 2 4_Table" xfId="4916"/>
    <cellStyle name="Calculation 10 5 2 5" xfId="2856"/>
    <cellStyle name="Calculation 10 5 2 5 2" xfId="12184"/>
    <cellStyle name="Calculation 10 5 2 5 2 2" xfId="25490"/>
    <cellStyle name="Calculation 10 5 2 5 3" xfId="16594"/>
    <cellStyle name="Calculation 10 5 2 5 3 2" xfId="29900"/>
    <cellStyle name="Calculation 10 5 2 5 4" xfId="21080"/>
    <cellStyle name="Calculation 10 5 2 5_Table" xfId="4917"/>
    <cellStyle name="Calculation 10 5 2 6" xfId="3263"/>
    <cellStyle name="Calculation 10 5 2 6 2" xfId="12591"/>
    <cellStyle name="Calculation 10 5 2 6 2 2" xfId="25897"/>
    <cellStyle name="Calculation 10 5 2 6 3" xfId="17001"/>
    <cellStyle name="Calculation 10 5 2 6 3 2" xfId="30307"/>
    <cellStyle name="Calculation 10 5 2 6 4" xfId="21487"/>
    <cellStyle name="Calculation 10 5 2 6_Table" xfId="4918"/>
    <cellStyle name="Calculation 10 5 2 7" xfId="3855"/>
    <cellStyle name="Calculation 10 5 2 7 2" xfId="13183"/>
    <cellStyle name="Calculation 10 5 2 7 2 2" xfId="26489"/>
    <cellStyle name="Calculation 10 5 2 7 3" xfId="17593"/>
    <cellStyle name="Calculation 10 5 2 7 3 2" xfId="30899"/>
    <cellStyle name="Calculation 10 5 2 7 4" xfId="22079"/>
    <cellStyle name="Calculation 10 5 2 7_Table" xfId="4919"/>
    <cellStyle name="Calculation 10 5 2 8" xfId="4080"/>
    <cellStyle name="Calculation 10 5 2 8 2" xfId="13408"/>
    <cellStyle name="Calculation 10 5 2 8 2 2" xfId="26714"/>
    <cellStyle name="Calculation 10 5 2 8 3" xfId="17818"/>
    <cellStyle name="Calculation 10 5 2 8 3 2" xfId="31124"/>
    <cellStyle name="Calculation 10 5 2 8 4" xfId="22304"/>
    <cellStyle name="Calculation 10 5 2 8_Table" xfId="4920"/>
    <cellStyle name="Calculation 10 5 2 9" xfId="4441"/>
    <cellStyle name="Calculation 10 5 2 9 2" xfId="13769"/>
    <cellStyle name="Calculation 10 5 2 9 2 2" xfId="27075"/>
    <cellStyle name="Calculation 10 5 2 9 3" xfId="18179"/>
    <cellStyle name="Calculation 10 5 2 9 3 2" xfId="31485"/>
    <cellStyle name="Calculation 10 5 2 9 4" xfId="22665"/>
    <cellStyle name="Calculation 10 5 2 9_Table" xfId="4921"/>
    <cellStyle name="Calculation 10 5 2_Table" xfId="4912"/>
    <cellStyle name="Calculation 10 5 3" xfId="1746"/>
    <cellStyle name="Calculation 10 5 3 2" xfId="11074"/>
    <cellStyle name="Calculation 10 5 3 2 2" xfId="24380"/>
    <cellStyle name="Calculation 10 5 3 3" xfId="15484"/>
    <cellStyle name="Calculation 10 5 3 3 2" xfId="28790"/>
    <cellStyle name="Calculation 10 5 3 4" xfId="19970"/>
    <cellStyle name="Calculation 10 5 3_Table" xfId="4922"/>
    <cellStyle name="Calculation 10 5 4" xfId="2179"/>
    <cellStyle name="Calculation 10 5 4 2" xfId="11507"/>
    <cellStyle name="Calculation 10 5 4 2 2" xfId="24813"/>
    <cellStyle name="Calculation 10 5 4 3" xfId="15917"/>
    <cellStyle name="Calculation 10 5 4 3 2" xfId="29223"/>
    <cellStyle name="Calculation 10 5 4 4" xfId="20403"/>
    <cellStyle name="Calculation 10 5 4_Table" xfId="4923"/>
    <cellStyle name="Calculation 10 5 5" xfId="2614"/>
    <cellStyle name="Calculation 10 5 5 2" xfId="11942"/>
    <cellStyle name="Calculation 10 5 5 2 2" xfId="25248"/>
    <cellStyle name="Calculation 10 5 5 3" xfId="16352"/>
    <cellStyle name="Calculation 10 5 5 3 2" xfId="29658"/>
    <cellStyle name="Calculation 10 5 5 4" xfId="20838"/>
    <cellStyle name="Calculation 10 5 5_Table" xfId="4924"/>
    <cellStyle name="Calculation 10 5 6" xfId="3027"/>
    <cellStyle name="Calculation 10 5 6 2" xfId="12355"/>
    <cellStyle name="Calculation 10 5 6 2 2" xfId="25661"/>
    <cellStyle name="Calculation 10 5 6 3" xfId="16765"/>
    <cellStyle name="Calculation 10 5 6 3 2" xfId="30071"/>
    <cellStyle name="Calculation 10 5 6 4" xfId="21251"/>
    <cellStyle name="Calculation 10 5 6_Table" xfId="4925"/>
    <cellStyle name="Calculation 10 5 7" xfId="3453"/>
    <cellStyle name="Calculation 10 5 7 2" xfId="12781"/>
    <cellStyle name="Calculation 10 5 7 2 2" xfId="26087"/>
    <cellStyle name="Calculation 10 5 7 3" xfId="17191"/>
    <cellStyle name="Calculation 10 5 7 3 2" xfId="30497"/>
    <cellStyle name="Calculation 10 5 7 4" xfId="21677"/>
    <cellStyle name="Calculation 10 5 7_Table" xfId="4926"/>
    <cellStyle name="Calculation 10 5 8" xfId="3664"/>
    <cellStyle name="Calculation 10 5 8 2" xfId="12992"/>
    <cellStyle name="Calculation 10 5 8 2 2" xfId="26298"/>
    <cellStyle name="Calculation 10 5 8 3" xfId="17402"/>
    <cellStyle name="Calculation 10 5 8 3 2" xfId="30708"/>
    <cellStyle name="Calculation 10 5 8 4" xfId="21888"/>
    <cellStyle name="Calculation 10 5 8_Table" xfId="4927"/>
    <cellStyle name="Calculation 10 5 9" xfId="4216"/>
    <cellStyle name="Calculation 10 5 9 2" xfId="13544"/>
    <cellStyle name="Calculation 10 5 9 2 2" xfId="26850"/>
    <cellStyle name="Calculation 10 5 9 3" xfId="17954"/>
    <cellStyle name="Calculation 10 5 9 3 2" xfId="31260"/>
    <cellStyle name="Calculation 10 5 9 4" xfId="22440"/>
    <cellStyle name="Calculation 10 5 9_Table" xfId="4928"/>
    <cellStyle name="Calculation 10 5_Table" xfId="4910"/>
    <cellStyle name="Calculation 10 6" xfId="662"/>
    <cellStyle name="Calculation 10 6 10" xfId="4622"/>
    <cellStyle name="Calculation 10 6 10 2" xfId="13950"/>
    <cellStyle name="Calculation 10 6 10 2 2" xfId="27256"/>
    <cellStyle name="Calculation 10 6 10 3" xfId="18360"/>
    <cellStyle name="Calculation 10 6 10 3 2" xfId="31666"/>
    <cellStyle name="Calculation 10 6 10 4" xfId="22846"/>
    <cellStyle name="Calculation 10 6 10_Table" xfId="4930"/>
    <cellStyle name="Calculation 10 6 11" xfId="9990"/>
    <cellStyle name="Calculation 10 6 11 2" xfId="23296"/>
    <cellStyle name="Calculation 10 6 12" xfId="14400"/>
    <cellStyle name="Calculation 10 6 12 2" xfId="27706"/>
    <cellStyle name="Calculation 10 6 13" xfId="18886"/>
    <cellStyle name="Calculation 10 6 2" xfId="1448"/>
    <cellStyle name="Calculation 10 6 2 2" xfId="10776"/>
    <cellStyle name="Calculation 10 6 2 2 2" xfId="24082"/>
    <cellStyle name="Calculation 10 6 2 3" xfId="15186"/>
    <cellStyle name="Calculation 10 6 2 3 2" xfId="28492"/>
    <cellStyle name="Calculation 10 6 2 4" xfId="19672"/>
    <cellStyle name="Calculation 10 6 2_Table" xfId="4931"/>
    <cellStyle name="Calculation 10 6 3" xfId="1808"/>
    <cellStyle name="Calculation 10 6 3 2" xfId="11136"/>
    <cellStyle name="Calculation 10 6 3 2 2" xfId="24442"/>
    <cellStyle name="Calculation 10 6 3 3" xfId="15546"/>
    <cellStyle name="Calculation 10 6 3 3 2" xfId="28852"/>
    <cellStyle name="Calculation 10 6 3 4" xfId="20032"/>
    <cellStyle name="Calculation 10 6 3_Table" xfId="4932"/>
    <cellStyle name="Calculation 10 6 4" xfId="2238"/>
    <cellStyle name="Calculation 10 6 4 2" xfId="11566"/>
    <cellStyle name="Calculation 10 6 4 2 2" xfId="24872"/>
    <cellStyle name="Calculation 10 6 4 3" xfId="15976"/>
    <cellStyle name="Calculation 10 6 4 3 2" xfId="29282"/>
    <cellStyle name="Calculation 10 6 4 4" xfId="20462"/>
    <cellStyle name="Calculation 10 6 4_Table" xfId="4933"/>
    <cellStyle name="Calculation 10 6 5" xfId="2676"/>
    <cellStyle name="Calculation 10 6 5 2" xfId="12004"/>
    <cellStyle name="Calculation 10 6 5 2 2" xfId="25310"/>
    <cellStyle name="Calculation 10 6 5 3" xfId="16414"/>
    <cellStyle name="Calculation 10 6 5 3 2" xfId="29720"/>
    <cellStyle name="Calculation 10 6 5 4" xfId="20900"/>
    <cellStyle name="Calculation 10 6 5_Table" xfId="4934"/>
    <cellStyle name="Calculation 10 6 6" xfId="3083"/>
    <cellStyle name="Calculation 10 6 6 2" xfId="12411"/>
    <cellStyle name="Calculation 10 6 6 2 2" xfId="25717"/>
    <cellStyle name="Calculation 10 6 6 3" xfId="16821"/>
    <cellStyle name="Calculation 10 6 6 3 2" xfId="30127"/>
    <cellStyle name="Calculation 10 6 6 4" xfId="21307"/>
    <cellStyle name="Calculation 10 6 6_Table" xfId="4935"/>
    <cellStyle name="Calculation 10 6 7" xfId="3675"/>
    <cellStyle name="Calculation 10 6 7 2" xfId="13003"/>
    <cellStyle name="Calculation 10 6 7 2 2" xfId="26309"/>
    <cellStyle name="Calculation 10 6 7 3" xfId="17413"/>
    <cellStyle name="Calculation 10 6 7 3 2" xfId="30719"/>
    <cellStyle name="Calculation 10 6 7 4" xfId="21899"/>
    <cellStyle name="Calculation 10 6 7_Table" xfId="4936"/>
    <cellStyle name="Calculation 10 6 8" xfId="3900"/>
    <cellStyle name="Calculation 10 6 8 2" xfId="13228"/>
    <cellStyle name="Calculation 10 6 8 2 2" xfId="26534"/>
    <cellStyle name="Calculation 10 6 8 3" xfId="17638"/>
    <cellStyle name="Calculation 10 6 8 3 2" xfId="30944"/>
    <cellStyle name="Calculation 10 6 8 4" xfId="22124"/>
    <cellStyle name="Calculation 10 6 8_Table" xfId="4937"/>
    <cellStyle name="Calculation 10 6 9" xfId="4261"/>
    <cellStyle name="Calculation 10 6 9 2" xfId="13589"/>
    <cellStyle name="Calculation 10 6 9 2 2" xfId="26895"/>
    <cellStyle name="Calculation 10 6 9 3" xfId="17999"/>
    <cellStyle name="Calculation 10 6 9 3 2" xfId="31305"/>
    <cellStyle name="Calculation 10 6 9 4" xfId="22485"/>
    <cellStyle name="Calculation 10 6 9_Table" xfId="4938"/>
    <cellStyle name="Calculation 10 6_Table" xfId="4929"/>
    <cellStyle name="Calculation 10 7" xfId="1117"/>
    <cellStyle name="Calculation 10 7 2" xfId="10445"/>
    <cellStyle name="Calculation 10 7 2 2" xfId="23751"/>
    <cellStyle name="Calculation 10 7 3" xfId="14855"/>
    <cellStyle name="Calculation 10 7 3 2" xfId="28161"/>
    <cellStyle name="Calculation 10 7 4" xfId="19341"/>
    <cellStyle name="Calculation 10 7_Table" xfId="4939"/>
    <cellStyle name="Calculation 10 8" xfId="1126"/>
    <cellStyle name="Calculation 10 8 2" xfId="10454"/>
    <cellStyle name="Calculation 10 8 2 2" xfId="23760"/>
    <cellStyle name="Calculation 10 8 3" xfId="14864"/>
    <cellStyle name="Calculation 10 8 3 2" xfId="28170"/>
    <cellStyle name="Calculation 10 8 4" xfId="19350"/>
    <cellStyle name="Calculation 10 8_Table" xfId="4940"/>
    <cellStyle name="Calculation 10 9" xfId="1108"/>
    <cellStyle name="Calculation 10 9 2" xfId="10436"/>
    <cellStyle name="Calculation 10 9 2 2" xfId="23742"/>
    <cellStyle name="Calculation 10 9 3" xfId="14846"/>
    <cellStyle name="Calculation 10 9 3 2" xfId="28152"/>
    <cellStyle name="Calculation 10 9 4" xfId="19332"/>
    <cellStyle name="Calculation 10 9_Table" xfId="4941"/>
    <cellStyle name="Calculation 10_Table" xfId="4847"/>
    <cellStyle name="Calculation 2" xfId="236"/>
    <cellStyle name="Calculation 2 10" xfId="1136"/>
    <cellStyle name="Calculation 2 10 2" xfId="10464"/>
    <cellStyle name="Calculation 2 10 2 2" xfId="23770"/>
    <cellStyle name="Calculation 2 10 3" xfId="14874"/>
    <cellStyle name="Calculation 2 10 3 2" xfId="28180"/>
    <cellStyle name="Calculation 2 10 4" xfId="19360"/>
    <cellStyle name="Calculation 2 10_Table" xfId="4943"/>
    <cellStyle name="Calculation 2 11" xfId="1331"/>
    <cellStyle name="Calculation 2 11 2" xfId="10659"/>
    <cellStyle name="Calculation 2 11 2 2" xfId="23965"/>
    <cellStyle name="Calculation 2 11 3" xfId="15069"/>
    <cellStyle name="Calculation 2 11 3 2" xfId="28375"/>
    <cellStyle name="Calculation 2 11 4" xfId="19555"/>
    <cellStyle name="Calculation 2 11_Table" xfId="4944"/>
    <cellStyle name="Calculation 2 12" xfId="1123"/>
    <cellStyle name="Calculation 2 12 2" xfId="10451"/>
    <cellStyle name="Calculation 2 12 2 2" xfId="23757"/>
    <cellStyle name="Calculation 2 12 3" xfId="14861"/>
    <cellStyle name="Calculation 2 12 3 2" xfId="28167"/>
    <cellStyle name="Calculation 2 12 4" xfId="19347"/>
    <cellStyle name="Calculation 2 12_Table" xfId="4945"/>
    <cellStyle name="Calculation 2 13" xfId="2035"/>
    <cellStyle name="Calculation 2 13 2" xfId="11363"/>
    <cellStyle name="Calculation 2 13 2 2" xfId="24669"/>
    <cellStyle name="Calculation 2 13 3" xfId="15773"/>
    <cellStyle name="Calculation 2 13 3 2" xfId="29079"/>
    <cellStyle name="Calculation 2 13 4" xfId="20259"/>
    <cellStyle name="Calculation 2 13_Table" xfId="4946"/>
    <cellStyle name="Calculation 2 14" xfId="2107"/>
    <cellStyle name="Calculation 2 14 2" xfId="11435"/>
    <cellStyle name="Calculation 2 14 2 2" xfId="24741"/>
    <cellStyle name="Calculation 2 14 3" xfId="15845"/>
    <cellStyle name="Calculation 2 14 3 2" xfId="29151"/>
    <cellStyle name="Calculation 2 14 4" xfId="20331"/>
    <cellStyle name="Calculation 2 14_Table" xfId="4947"/>
    <cellStyle name="Calculation 2 15" xfId="9564"/>
    <cellStyle name="Calculation 2 15 2" xfId="23072"/>
    <cellStyle name="Calculation 2 16" xfId="14176"/>
    <cellStyle name="Calculation 2 16 2" xfId="27482"/>
    <cellStyle name="Calculation 2 17" xfId="18662"/>
    <cellStyle name="Calculation 2 2" xfId="393"/>
    <cellStyle name="Calculation 2 2 10" xfId="3672"/>
    <cellStyle name="Calculation 2 2 10 2" xfId="13000"/>
    <cellStyle name="Calculation 2 2 10 2 2" xfId="26306"/>
    <cellStyle name="Calculation 2 2 10 3" xfId="17410"/>
    <cellStyle name="Calculation 2 2 10 3 2" xfId="30716"/>
    <cellStyle name="Calculation 2 2 10 4" xfId="21896"/>
    <cellStyle name="Calculation 2 2 10_Table" xfId="4949"/>
    <cellStyle name="Calculation 2 2 11" xfId="9721"/>
    <cellStyle name="Calculation 2 2 11 2" xfId="23117"/>
    <cellStyle name="Calculation 2 2 12" xfId="14221"/>
    <cellStyle name="Calculation 2 2 12 2" xfId="27527"/>
    <cellStyle name="Calculation 2 2 13" xfId="18707"/>
    <cellStyle name="Calculation 2 2 2" xfId="708"/>
    <cellStyle name="Calculation 2 2 2 10" xfId="4668"/>
    <cellStyle name="Calculation 2 2 2 10 2" xfId="13996"/>
    <cellStyle name="Calculation 2 2 2 10 2 2" xfId="27302"/>
    <cellStyle name="Calculation 2 2 2 10 3" xfId="18406"/>
    <cellStyle name="Calculation 2 2 2 10 3 2" xfId="31712"/>
    <cellStyle name="Calculation 2 2 2 10 4" xfId="22892"/>
    <cellStyle name="Calculation 2 2 2 10_Table" xfId="4951"/>
    <cellStyle name="Calculation 2 2 2 11" xfId="10036"/>
    <cellStyle name="Calculation 2 2 2 11 2" xfId="23342"/>
    <cellStyle name="Calculation 2 2 2 12" xfId="14446"/>
    <cellStyle name="Calculation 2 2 2 12 2" xfId="27752"/>
    <cellStyle name="Calculation 2 2 2 13" xfId="18932"/>
    <cellStyle name="Calculation 2 2 2 2" xfId="1494"/>
    <cellStyle name="Calculation 2 2 2 2 2" xfId="10822"/>
    <cellStyle name="Calculation 2 2 2 2 2 2" xfId="24128"/>
    <cellStyle name="Calculation 2 2 2 2 3" xfId="15232"/>
    <cellStyle name="Calculation 2 2 2 2 3 2" xfId="28538"/>
    <cellStyle name="Calculation 2 2 2 2 4" xfId="19718"/>
    <cellStyle name="Calculation 2 2 2 2_Table" xfId="4952"/>
    <cellStyle name="Calculation 2 2 2 3" xfId="1854"/>
    <cellStyle name="Calculation 2 2 2 3 2" xfId="11182"/>
    <cellStyle name="Calculation 2 2 2 3 2 2" xfId="24488"/>
    <cellStyle name="Calculation 2 2 2 3 3" xfId="15592"/>
    <cellStyle name="Calculation 2 2 2 3 3 2" xfId="28898"/>
    <cellStyle name="Calculation 2 2 2 3 4" xfId="20078"/>
    <cellStyle name="Calculation 2 2 2 3_Table" xfId="4953"/>
    <cellStyle name="Calculation 2 2 2 4" xfId="2284"/>
    <cellStyle name="Calculation 2 2 2 4 2" xfId="11612"/>
    <cellStyle name="Calculation 2 2 2 4 2 2" xfId="24918"/>
    <cellStyle name="Calculation 2 2 2 4 3" xfId="16022"/>
    <cellStyle name="Calculation 2 2 2 4 3 2" xfId="29328"/>
    <cellStyle name="Calculation 2 2 2 4 4" xfId="20508"/>
    <cellStyle name="Calculation 2 2 2 4_Table" xfId="4954"/>
    <cellStyle name="Calculation 2 2 2 5" xfId="2722"/>
    <cellStyle name="Calculation 2 2 2 5 2" xfId="12050"/>
    <cellStyle name="Calculation 2 2 2 5 2 2" xfId="25356"/>
    <cellStyle name="Calculation 2 2 2 5 3" xfId="16460"/>
    <cellStyle name="Calculation 2 2 2 5 3 2" xfId="29766"/>
    <cellStyle name="Calculation 2 2 2 5 4" xfId="20946"/>
    <cellStyle name="Calculation 2 2 2 5_Table" xfId="4955"/>
    <cellStyle name="Calculation 2 2 2 6" xfId="3129"/>
    <cellStyle name="Calculation 2 2 2 6 2" xfId="12457"/>
    <cellStyle name="Calculation 2 2 2 6 2 2" xfId="25763"/>
    <cellStyle name="Calculation 2 2 2 6 3" xfId="16867"/>
    <cellStyle name="Calculation 2 2 2 6 3 2" xfId="30173"/>
    <cellStyle name="Calculation 2 2 2 6 4" xfId="21353"/>
    <cellStyle name="Calculation 2 2 2 6_Table" xfId="4956"/>
    <cellStyle name="Calculation 2 2 2 7" xfId="3721"/>
    <cellStyle name="Calculation 2 2 2 7 2" xfId="13049"/>
    <cellStyle name="Calculation 2 2 2 7 2 2" xfId="26355"/>
    <cellStyle name="Calculation 2 2 2 7 3" xfId="17459"/>
    <cellStyle name="Calculation 2 2 2 7 3 2" xfId="30765"/>
    <cellStyle name="Calculation 2 2 2 7 4" xfId="21945"/>
    <cellStyle name="Calculation 2 2 2 7_Table" xfId="4957"/>
    <cellStyle name="Calculation 2 2 2 8" xfId="3946"/>
    <cellStyle name="Calculation 2 2 2 8 2" xfId="13274"/>
    <cellStyle name="Calculation 2 2 2 8 2 2" xfId="26580"/>
    <cellStyle name="Calculation 2 2 2 8 3" xfId="17684"/>
    <cellStyle name="Calculation 2 2 2 8 3 2" xfId="30990"/>
    <cellStyle name="Calculation 2 2 2 8 4" xfId="22170"/>
    <cellStyle name="Calculation 2 2 2 8_Table" xfId="4958"/>
    <cellStyle name="Calculation 2 2 2 9" xfId="4307"/>
    <cellStyle name="Calculation 2 2 2 9 2" xfId="13635"/>
    <cellStyle name="Calculation 2 2 2 9 2 2" xfId="26941"/>
    <cellStyle name="Calculation 2 2 2 9 3" xfId="18045"/>
    <cellStyle name="Calculation 2 2 2 9 3 2" xfId="31351"/>
    <cellStyle name="Calculation 2 2 2 9 4" xfId="22531"/>
    <cellStyle name="Calculation 2 2 2 9_Table" xfId="4959"/>
    <cellStyle name="Calculation 2 2 2_Table" xfId="4950"/>
    <cellStyle name="Calculation 2 2 3" xfId="1019"/>
    <cellStyle name="Calculation 2 2 3 2" xfId="10347"/>
    <cellStyle name="Calculation 2 2 3 2 2" xfId="23653"/>
    <cellStyle name="Calculation 2 2 3 3" xfId="14757"/>
    <cellStyle name="Calculation 2 2 3 3 2" xfId="28063"/>
    <cellStyle name="Calculation 2 2 3 4" xfId="19243"/>
    <cellStyle name="Calculation 2 2 3_Table" xfId="4960"/>
    <cellStyle name="Calculation 2 2 4" xfId="1379"/>
    <cellStyle name="Calculation 2 2 4 2" xfId="10707"/>
    <cellStyle name="Calculation 2 2 4 2 2" xfId="24013"/>
    <cellStyle name="Calculation 2 2 4 3" xfId="15117"/>
    <cellStyle name="Calculation 2 2 4 3 2" xfId="28423"/>
    <cellStyle name="Calculation 2 2 4 4" xfId="19603"/>
    <cellStyle name="Calculation 2 2 4_Table" xfId="4961"/>
    <cellStyle name="Calculation 2 2 5" xfId="1796"/>
    <cellStyle name="Calculation 2 2 5 2" xfId="11124"/>
    <cellStyle name="Calculation 2 2 5 2 2" xfId="24430"/>
    <cellStyle name="Calculation 2 2 5 3" xfId="15534"/>
    <cellStyle name="Calculation 2 2 5 3 2" xfId="28840"/>
    <cellStyle name="Calculation 2 2 5 4" xfId="20020"/>
    <cellStyle name="Calculation 2 2 5_Table" xfId="4962"/>
    <cellStyle name="Calculation 2 2 6" xfId="2228"/>
    <cellStyle name="Calculation 2 2 6 2" xfId="11556"/>
    <cellStyle name="Calculation 2 2 6 2 2" xfId="24862"/>
    <cellStyle name="Calculation 2 2 6 3" xfId="15966"/>
    <cellStyle name="Calculation 2 2 6 3 2" xfId="29272"/>
    <cellStyle name="Calculation 2 2 6 4" xfId="20452"/>
    <cellStyle name="Calculation 2 2 6_Table" xfId="4963"/>
    <cellStyle name="Calculation 2 2 7" xfId="2663"/>
    <cellStyle name="Calculation 2 2 7 2" xfId="11991"/>
    <cellStyle name="Calculation 2 2 7 2 2" xfId="25297"/>
    <cellStyle name="Calculation 2 2 7 3" xfId="16401"/>
    <cellStyle name="Calculation 2 2 7 3 2" xfId="29707"/>
    <cellStyle name="Calculation 2 2 7 4" xfId="20887"/>
    <cellStyle name="Calculation 2 2 7_Table" xfId="4964"/>
    <cellStyle name="Calculation 2 2 8" xfId="3516"/>
    <cellStyle name="Calculation 2 2 8 2" xfId="12844"/>
    <cellStyle name="Calculation 2 2 8 2 2" xfId="26150"/>
    <cellStyle name="Calculation 2 2 8 3" xfId="17254"/>
    <cellStyle name="Calculation 2 2 8 3 2" xfId="30560"/>
    <cellStyle name="Calculation 2 2 8 4" xfId="21740"/>
    <cellStyle name="Calculation 2 2 8_Table" xfId="4965"/>
    <cellStyle name="Calculation 2 2 9" xfId="1154"/>
    <cellStyle name="Calculation 2 2 9 2" xfId="10482"/>
    <cellStyle name="Calculation 2 2 9 2 2" xfId="23788"/>
    <cellStyle name="Calculation 2 2 9 3" xfId="14892"/>
    <cellStyle name="Calculation 2 2 9 3 2" xfId="28198"/>
    <cellStyle name="Calculation 2 2 9 4" xfId="19378"/>
    <cellStyle name="Calculation 2 2 9_Table" xfId="4966"/>
    <cellStyle name="Calculation 2 2_Table" xfId="4948"/>
    <cellStyle name="Calculation 2 3" xfId="461"/>
    <cellStyle name="Calculation 2 3 10" xfId="4488"/>
    <cellStyle name="Calculation 2 3 10 2" xfId="13816"/>
    <cellStyle name="Calculation 2 3 10 2 2" xfId="27122"/>
    <cellStyle name="Calculation 2 3 10 3" xfId="18226"/>
    <cellStyle name="Calculation 2 3 10 3 2" xfId="31532"/>
    <cellStyle name="Calculation 2 3 10 4" xfId="22712"/>
    <cellStyle name="Calculation 2 3 10_Table" xfId="4968"/>
    <cellStyle name="Calculation 2 3 11" xfId="9789"/>
    <cellStyle name="Calculation 2 3 11 2" xfId="23162"/>
    <cellStyle name="Calculation 2 3 12" xfId="14266"/>
    <cellStyle name="Calculation 2 3 12 2" xfId="27572"/>
    <cellStyle name="Calculation 2 3 13" xfId="18752"/>
    <cellStyle name="Calculation 2 3 2" xfId="753"/>
    <cellStyle name="Calculation 2 3 2 10" xfId="4713"/>
    <cellStyle name="Calculation 2 3 2 10 2" xfId="14041"/>
    <cellStyle name="Calculation 2 3 2 10 2 2" xfId="27347"/>
    <cellStyle name="Calculation 2 3 2 10 3" xfId="18451"/>
    <cellStyle name="Calculation 2 3 2 10 3 2" xfId="31757"/>
    <cellStyle name="Calculation 2 3 2 10 4" xfId="22937"/>
    <cellStyle name="Calculation 2 3 2 10_Table" xfId="4970"/>
    <cellStyle name="Calculation 2 3 2 11" xfId="10081"/>
    <cellStyle name="Calculation 2 3 2 11 2" xfId="23387"/>
    <cellStyle name="Calculation 2 3 2 12" xfId="14491"/>
    <cellStyle name="Calculation 2 3 2 12 2" xfId="27797"/>
    <cellStyle name="Calculation 2 3 2 13" xfId="18977"/>
    <cellStyle name="Calculation 2 3 2 2" xfId="1539"/>
    <cellStyle name="Calculation 2 3 2 2 2" xfId="10867"/>
    <cellStyle name="Calculation 2 3 2 2 2 2" xfId="24173"/>
    <cellStyle name="Calculation 2 3 2 2 3" xfId="15277"/>
    <cellStyle name="Calculation 2 3 2 2 3 2" xfId="28583"/>
    <cellStyle name="Calculation 2 3 2 2 4" xfId="19763"/>
    <cellStyle name="Calculation 2 3 2 2_Table" xfId="4971"/>
    <cellStyle name="Calculation 2 3 2 3" xfId="1899"/>
    <cellStyle name="Calculation 2 3 2 3 2" xfId="11227"/>
    <cellStyle name="Calculation 2 3 2 3 2 2" xfId="24533"/>
    <cellStyle name="Calculation 2 3 2 3 3" xfId="15637"/>
    <cellStyle name="Calculation 2 3 2 3 3 2" xfId="28943"/>
    <cellStyle name="Calculation 2 3 2 3 4" xfId="20123"/>
    <cellStyle name="Calculation 2 3 2 3_Table" xfId="4972"/>
    <cellStyle name="Calculation 2 3 2 4" xfId="2329"/>
    <cellStyle name="Calculation 2 3 2 4 2" xfId="11657"/>
    <cellStyle name="Calculation 2 3 2 4 2 2" xfId="24963"/>
    <cellStyle name="Calculation 2 3 2 4 3" xfId="16067"/>
    <cellStyle name="Calculation 2 3 2 4 3 2" xfId="29373"/>
    <cellStyle name="Calculation 2 3 2 4 4" xfId="20553"/>
    <cellStyle name="Calculation 2 3 2 4_Table" xfId="4973"/>
    <cellStyle name="Calculation 2 3 2 5" xfId="2767"/>
    <cellStyle name="Calculation 2 3 2 5 2" xfId="12095"/>
    <cellStyle name="Calculation 2 3 2 5 2 2" xfId="25401"/>
    <cellStyle name="Calculation 2 3 2 5 3" xfId="16505"/>
    <cellStyle name="Calculation 2 3 2 5 3 2" xfId="29811"/>
    <cellStyle name="Calculation 2 3 2 5 4" xfId="20991"/>
    <cellStyle name="Calculation 2 3 2 5_Table" xfId="4974"/>
    <cellStyle name="Calculation 2 3 2 6" xfId="3174"/>
    <cellStyle name="Calculation 2 3 2 6 2" xfId="12502"/>
    <cellStyle name="Calculation 2 3 2 6 2 2" xfId="25808"/>
    <cellStyle name="Calculation 2 3 2 6 3" xfId="16912"/>
    <cellStyle name="Calculation 2 3 2 6 3 2" xfId="30218"/>
    <cellStyle name="Calculation 2 3 2 6 4" xfId="21398"/>
    <cellStyle name="Calculation 2 3 2 6_Table" xfId="4975"/>
    <cellStyle name="Calculation 2 3 2 7" xfId="3766"/>
    <cellStyle name="Calculation 2 3 2 7 2" xfId="13094"/>
    <cellStyle name="Calculation 2 3 2 7 2 2" xfId="26400"/>
    <cellStyle name="Calculation 2 3 2 7 3" xfId="17504"/>
    <cellStyle name="Calculation 2 3 2 7 3 2" xfId="30810"/>
    <cellStyle name="Calculation 2 3 2 7 4" xfId="21990"/>
    <cellStyle name="Calculation 2 3 2 7_Table" xfId="4976"/>
    <cellStyle name="Calculation 2 3 2 8" xfId="3991"/>
    <cellStyle name="Calculation 2 3 2 8 2" xfId="13319"/>
    <cellStyle name="Calculation 2 3 2 8 2 2" xfId="26625"/>
    <cellStyle name="Calculation 2 3 2 8 3" xfId="17729"/>
    <cellStyle name="Calculation 2 3 2 8 3 2" xfId="31035"/>
    <cellStyle name="Calculation 2 3 2 8 4" xfId="22215"/>
    <cellStyle name="Calculation 2 3 2 8_Table" xfId="4977"/>
    <cellStyle name="Calculation 2 3 2 9" xfId="4352"/>
    <cellStyle name="Calculation 2 3 2 9 2" xfId="13680"/>
    <cellStyle name="Calculation 2 3 2 9 2 2" xfId="26986"/>
    <cellStyle name="Calculation 2 3 2 9 3" xfId="18090"/>
    <cellStyle name="Calculation 2 3 2 9 3 2" xfId="31396"/>
    <cellStyle name="Calculation 2 3 2 9 4" xfId="22576"/>
    <cellStyle name="Calculation 2 3 2 9_Table" xfId="4978"/>
    <cellStyle name="Calculation 2 3 2_Table" xfId="4969"/>
    <cellStyle name="Calculation 2 3 3" xfId="953"/>
    <cellStyle name="Calculation 2 3 3 2" xfId="10281"/>
    <cellStyle name="Calculation 2 3 3 2 2" xfId="23587"/>
    <cellStyle name="Calculation 2 3 3 3" xfId="14691"/>
    <cellStyle name="Calculation 2 3 3 3 2" xfId="27997"/>
    <cellStyle name="Calculation 2 3 3 4" xfId="19177"/>
    <cellStyle name="Calculation 2 3 3_Table" xfId="4979"/>
    <cellStyle name="Calculation 2 3 4" xfId="2052"/>
    <cellStyle name="Calculation 2 3 4 2" xfId="11380"/>
    <cellStyle name="Calculation 2 3 4 2 2" xfId="24686"/>
    <cellStyle name="Calculation 2 3 4 3" xfId="15790"/>
    <cellStyle name="Calculation 2 3 4 3 2" xfId="29096"/>
    <cellStyle name="Calculation 2 3 4 4" xfId="20276"/>
    <cellStyle name="Calculation 2 3 4_Table" xfId="4980"/>
    <cellStyle name="Calculation 2 3 5" xfId="2484"/>
    <cellStyle name="Calculation 2 3 5 2" xfId="11812"/>
    <cellStyle name="Calculation 2 3 5 2 2" xfId="25118"/>
    <cellStyle name="Calculation 2 3 5 3" xfId="16222"/>
    <cellStyle name="Calculation 2 3 5 3 2" xfId="29528"/>
    <cellStyle name="Calculation 2 3 5 4" xfId="20708"/>
    <cellStyle name="Calculation 2 3 5_Table" xfId="4981"/>
    <cellStyle name="Calculation 2 3 6" xfId="2913"/>
    <cellStyle name="Calculation 2 3 6 2" xfId="12241"/>
    <cellStyle name="Calculation 2 3 6 2 2" xfId="25547"/>
    <cellStyle name="Calculation 2 3 6 3" xfId="16651"/>
    <cellStyle name="Calculation 2 3 6 3 2" xfId="29957"/>
    <cellStyle name="Calculation 2 3 6 4" xfId="21137"/>
    <cellStyle name="Calculation 2 3 6_Table" xfId="4982"/>
    <cellStyle name="Calculation 2 3 7" xfId="3325"/>
    <cellStyle name="Calculation 2 3 7 2" xfId="12653"/>
    <cellStyle name="Calculation 2 3 7 2 2" xfId="25959"/>
    <cellStyle name="Calculation 2 3 7 3" xfId="17063"/>
    <cellStyle name="Calculation 2 3 7 3 2" xfId="30369"/>
    <cellStyle name="Calculation 2 3 7 4" xfId="21549"/>
    <cellStyle name="Calculation 2 3 7_Table" xfId="4983"/>
    <cellStyle name="Calculation 2 3 8" xfId="3509"/>
    <cellStyle name="Calculation 2 3 8 2" xfId="12837"/>
    <cellStyle name="Calculation 2 3 8 2 2" xfId="26143"/>
    <cellStyle name="Calculation 2 3 8 3" xfId="17247"/>
    <cellStyle name="Calculation 2 3 8 3 2" xfId="30553"/>
    <cellStyle name="Calculation 2 3 8 4" xfId="21733"/>
    <cellStyle name="Calculation 2 3 8_Table" xfId="4984"/>
    <cellStyle name="Calculation 2 3 9" xfId="4127"/>
    <cellStyle name="Calculation 2 3 9 2" xfId="13455"/>
    <cellStyle name="Calculation 2 3 9 2 2" xfId="26761"/>
    <cellStyle name="Calculation 2 3 9 3" xfId="17865"/>
    <cellStyle name="Calculation 2 3 9 3 2" xfId="31171"/>
    <cellStyle name="Calculation 2 3 9 4" xfId="22351"/>
    <cellStyle name="Calculation 2 3 9_Table" xfId="4985"/>
    <cellStyle name="Calculation 2 3_Table" xfId="4967"/>
    <cellStyle name="Calculation 2 4" xfId="525"/>
    <cellStyle name="Calculation 2 4 10" xfId="4533"/>
    <cellStyle name="Calculation 2 4 10 2" xfId="13861"/>
    <cellStyle name="Calculation 2 4 10 2 2" xfId="27167"/>
    <cellStyle name="Calculation 2 4 10 3" xfId="18271"/>
    <cellStyle name="Calculation 2 4 10 3 2" xfId="31577"/>
    <cellStyle name="Calculation 2 4 10 4" xfId="22757"/>
    <cellStyle name="Calculation 2 4 10_Table" xfId="4987"/>
    <cellStyle name="Calculation 2 4 11" xfId="9853"/>
    <cellStyle name="Calculation 2 4 11 2" xfId="23207"/>
    <cellStyle name="Calculation 2 4 12" xfId="14311"/>
    <cellStyle name="Calculation 2 4 12 2" xfId="27617"/>
    <cellStyle name="Calculation 2 4 13" xfId="18797"/>
    <cellStyle name="Calculation 2 4 2" xfId="798"/>
    <cellStyle name="Calculation 2 4 2 10" xfId="4758"/>
    <cellStyle name="Calculation 2 4 2 10 2" xfId="14086"/>
    <cellStyle name="Calculation 2 4 2 10 2 2" xfId="27392"/>
    <cellStyle name="Calculation 2 4 2 10 3" xfId="18496"/>
    <cellStyle name="Calculation 2 4 2 10 3 2" xfId="31802"/>
    <cellStyle name="Calculation 2 4 2 10 4" xfId="22982"/>
    <cellStyle name="Calculation 2 4 2 10_Table" xfId="4989"/>
    <cellStyle name="Calculation 2 4 2 11" xfId="10126"/>
    <cellStyle name="Calculation 2 4 2 11 2" xfId="23432"/>
    <cellStyle name="Calculation 2 4 2 12" xfId="14536"/>
    <cellStyle name="Calculation 2 4 2 12 2" xfId="27842"/>
    <cellStyle name="Calculation 2 4 2 13" xfId="19022"/>
    <cellStyle name="Calculation 2 4 2 2" xfId="1584"/>
    <cellStyle name="Calculation 2 4 2 2 2" xfId="10912"/>
    <cellStyle name="Calculation 2 4 2 2 2 2" xfId="24218"/>
    <cellStyle name="Calculation 2 4 2 2 3" xfId="15322"/>
    <cellStyle name="Calculation 2 4 2 2 3 2" xfId="28628"/>
    <cellStyle name="Calculation 2 4 2 2 4" xfId="19808"/>
    <cellStyle name="Calculation 2 4 2 2_Table" xfId="4990"/>
    <cellStyle name="Calculation 2 4 2 3" xfId="1944"/>
    <cellStyle name="Calculation 2 4 2 3 2" xfId="11272"/>
    <cellStyle name="Calculation 2 4 2 3 2 2" xfId="24578"/>
    <cellStyle name="Calculation 2 4 2 3 3" xfId="15682"/>
    <cellStyle name="Calculation 2 4 2 3 3 2" xfId="28988"/>
    <cellStyle name="Calculation 2 4 2 3 4" xfId="20168"/>
    <cellStyle name="Calculation 2 4 2 3_Table" xfId="4991"/>
    <cellStyle name="Calculation 2 4 2 4" xfId="2374"/>
    <cellStyle name="Calculation 2 4 2 4 2" xfId="11702"/>
    <cellStyle name="Calculation 2 4 2 4 2 2" xfId="25008"/>
    <cellStyle name="Calculation 2 4 2 4 3" xfId="16112"/>
    <cellStyle name="Calculation 2 4 2 4 3 2" xfId="29418"/>
    <cellStyle name="Calculation 2 4 2 4 4" xfId="20598"/>
    <cellStyle name="Calculation 2 4 2 4_Table" xfId="4992"/>
    <cellStyle name="Calculation 2 4 2 5" xfId="2812"/>
    <cellStyle name="Calculation 2 4 2 5 2" xfId="12140"/>
    <cellStyle name="Calculation 2 4 2 5 2 2" xfId="25446"/>
    <cellStyle name="Calculation 2 4 2 5 3" xfId="16550"/>
    <cellStyle name="Calculation 2 4 2 5 3 2" xfId="29856"/>
    <cellStyle name="Calculation 2 4 2 5 4" xfId="21036"/>
    <cellStyle name="Calculation 2 4 2 5_Table" xfId="4993"/>
    <cellStyle name="Calculation 2 4 2 6" xfId="3219"/>
    <cellStyle name="Calculation 2 4 2 6 2" xfId="12547"/>
    <cellStyle name="Calculation 2 4 2 6 2 2" xfId="25853"/>
    <cellStyle name="Calculation 2 4 2 6 3" xfId="16957"/>
    <cellStyle name="Calculation 2 4 2 6 3 2" xfId="30263"/>
    <cellStyle name="Calculation 2 4 2 6 4" xfId="21443"/>
    <cellStyle name="Calculation 2 4 2 6_Table" xfId="4994"/>
    <cellStyle name="Calculation 2 4 2 7" xfId="3811"/>
    <cellStyle name="Calculation 2 4 2 7 2" xfId="13139"/>
    <cellStyle name="Calculation 2 4 2 7 2 2" xfId="26445"/>
    <cellStyle name="Calculation 2 4 2 7 3" xfId="17549"/>
    <cellStyle name="Calculation 2 4 2 7 3 2" xfId="30855"/>
    <cellStyle name="Calculation 2 4 2 7 4" xfId="22035"/>
    <cellStyle name="Calculation 2 4 2 7_Table" xfId="4995"/>
    <cellStyle name="Calculation 2 4 2 8" xfId="4036"/>
    <cellStyle name="Calculation 2 4 2 8 2" xfId="13364"/>
    <cellStyle name="Calculation 2 4 2 8 2 2" xfId="26670"/>
    <cellStyle name="Calculation 2 4 2 8 3" xfId="17774"/>
    <cellStyle name="Calculation 2 4 2 8 3 2" xfId="31080"/>
    <cellStyle name="Calculation 2 4 2 8 4" xfId="22260"/>
    <cellStyle name="Calculation 2 4 2 8_Table" xfId="4996"/>
    <cellStyle name="Calculation 2 4 2 9" xfId="4397"/>
    <cellStyle name="Calculation 2 4 2 9 2" xfId="13725"/>
    <cellStyle name="Calculation 2 4 2 9 2 2" xfId="27031"/>
    <cellStyle name="Calculation 2 4 2 9 3" xfId="18135"/>
    <cellStyle name="Calculation 2 4 2 9 3 2" xfId="31441"/>
    <cellStyle name="Calculation 2 4 2 9 4" xfId="22621"/>
    <cellStyle name="Calculation 2 4 2 9_Table" xfId="4997"/>
    <cellStyle name="Calculation 2 4 2_Table" xfId="4988"/>
    <cellStyle name="Calculation 2 4 3" xfId="1677"/>
    <cellStyle name="Calculation 2 4 3 2" xfId="11005"/>
    <cellStyle name="Calculation 2 4 3 2 2" xfId="24311"/>
    <cellStyle name="Calculation 2 4 3 3" xfId="15415"/>
    <cellStyle name="Calculation 2 4 3 3 2" xfId="28721"/>
    <cellStyle name="Calculation 2 4 3 4" xfId="19901"/>
    <cellStyle name="Calculation 2 4 3_Table" xfId="4998"/>
    <cellStyle name="Calculation 2 4 4" xfId="2111"/>
    <cellStyle name="Calculation 2 4 4 2" xfId="11439"/>
    <cellStyle name="Calculation 2 4 4 2 2" xfId="24745"/>
    <cellStyle name="Calculation 2 4 4 3" xfId="15849"/>
    <cellStyle name="Calculation 2 4 4 3 2" xfId="29155"/>
    <cellStyle name="Calculation 2 4 4 4" xfId="20335"/>
    <cellStyle name="Calculation 2 4 4_Table" xfId="4999"/>
    <cellStyle name="Calculation 2 4 5" xfId="2543"/>
    <cellStyle name="Calculation 2 4 5 2" xfId="11871"/>
    <cellStyle name="Calculation 2 4 5 2 2" xfId="25177"/>
    <cellStyle name="Calculation 2 4 5 3" xfId="16281"/>
    <cellStyle name="Calculation 2 4 5 3 2" xfId="29587"/>
    <cellStyle name="Calculation 2 4 5 4" xfId="20767"/>
    <cellStyle name="Calculation 2 4 5_Table" xfId="5000"/>
    <cellStyle name="Calculation 2 4 6" xfId="2970"/>
    <cellStyle name="Calculation 2 4 6 2" xfId="12298"/>
    <cellStyle name="Calculation 2 4 6 2 2" xfId="25604"/>
    <cellStyle name="Calculation 2 4 6 3" xfId="16708"/>
    <cellStyle name="Calculation 2 4 6 3 2" xfId="30014"/>
    <cellStyle name="Calculation 2 4 6 4" xfId="21194"/>
    <cellStyle name="Calculation 2 4 6_Table" xfId="5001"/>
    <cellStyle name="Calculation 2 4 7" xfId="3383"/>
    <cellStyle name="Calculation 2 4 7 2" xfId="12711"/>
    <cellStyle name="Calculation 2 4 7 2 2" xfId="26017"/>
    <cellStyle name="Calculation 2 4 7 3" xfId="17121"/>
    <cellStyle name="Calculation 2 4 7 3 2" xfId="30427"/>
    <cellStyle name="Calculation 2 4 7 4" xfId="21607"/>
    <cellStyle name="Calculation 2 4 7_Table" xfId="5002"/>
    <cellStyle name="Calculation 2 4 8" xfId="3524"/>
    <cellStyle name="Calculation 2 4 8 2" xfId="12852"/>
    <cellStyle name="Calculation 2 4 8 2 2" xfId="26158"/>
    <cellStyle name="Calculation 2 4 8 3" xfId="17262"/>
    <cellStyle name="Calculation 2 4 8 3 2" xfId="30568"/>
    <cellStyle name="Calculation 2 4 8 4" xfId="21748"/>
    <cellStyle name="Calculation 2 4 8_Table" xfId="5003"/>
    <cellStyle name="Calculation 2 4 9" xfId="4172"/>
    <cellStyle name="Calculation 2 4 9 2" xfId="13500"/>
    <cellStyle name="Calculation 2 4 9 2 2" xfId="26806"/>
    <cellStyle name="Calculation 2 4 9 3" xfId="17910"/>
    <cellStyle name="Calculation 2 4 9 3 2" xfId="31216"/>
    <cellStyle name="Calculation 2 4 9 4" xfId="22396"/>
    <cellStyle name="Calculation 2 4 9_Table" xfId="5004"/>
    <cellStyle name="Calculation 2 4_Table" xfId="4986"/>
    <cellStyle name="Calculation 2 5" xfId="600"/>
    <cellStyle name="Calculation 2 5 10" xfId="4578"/>
    <cellStyle name="Calculation 2 5 10 2" xfId="13906"/>
    <cellStyle name="Calculation 2 5 10 2 2" xfId="27212"/>
    <cellStyle name="Calculation 2 5 10 3" xfId="18316"/>
    <cellStyle name="Calculation 2 5 10 3 2" xfId="31622"/>
    <cellStyle name="Calculation 2 5 10 4" xfId="22802"/>
    <cellStyle name="Calculation 2 5 10_Table" xfId="5006"/>
    <cellStyle name="Calculation 2 5 11" xfId="9928"/>
    <cellStyle name="Calculation 2 5 11 2" xfId="23252"/>
    <cellStyle name="Calculation 2 5 12" xfId="14356"/>
    <cellStyle name="Calculation 2 5 12 2" xfId="27662"/>
    <cellStyle name="Calculation 2 5 13" xfId="18842"/>
    <cellStyle name="Calculation 2 5 2" xfId="843"/>
    <cellStyle name="Calculation 2 5 2 10" xfId="4803"/>
    <cellStyle name="Calculation 2 5 2 10 2" xfId="14131"/>
    <cellStyle name="Calculation 2 5 2 10 2 2" xfId="27437"/>
    <cellStyle name="Calculation 2 5 2 10 3" xfId="18541"/>
    <cellStyle name="Calculation 2 5 2 10 3 2" xfId="31847"/>
    <cellStyle name="Calculation 2 5 2 10 4" xfId="23027"/>
    <cellStyle name="Calculation 2 5 2 10_Table" xfId="5008"/>
    <cellStyle name="Calculation 2 5 2 11" xfId="10171"/>
    <cellStyle name="Calculation 2 5 2 11 2" xfId="23477"/>
    <cellStyle name="Calculation 2 5 2 12" xfId="14581"/>
    <cellStyle name="Calculation 2 5 2 12 2" xfId="27887"/>
    <cellStyle name="Calculation 2 5 2 13" xfId="19067"/>
    <cellStyle name="Calculation 2 5 2 2" xfId="1629"/>
    <cellStyle name="Calculation 2 5 2 2 2" xfId="10957"/>
    <cellStyle name="Calculation 2 5 2 2 2 2" xfId="24263"/>
    <cellStyle name="Calculation 2 5 2 2 3" xfId="15367"/>
    <cellStyle name="Calculation 2 5 2 2 3 2" xfId="28673"/>
    <cellStyle name="Calculation 2 5 2 2 4" xfId="19853"/>
    <cellStyle name="Calculation 2 5 2 2_Table" xfId="5009"/>
    <cellStyle name="Calculation 2 5 2 3" xfId="1989"/>
    <cellStyle name="Calculation 2 5 2 3 2" xfId="11317"/>
    <cellStyle name="Calculation 2 5 2 3 2 2" xfId="24623"/>
    <cellStyle name="Calculation 2 5 2 3 3" xfId="15727"/>
    <cellStyle name="Calculation 2 5 2 3 3 2" xfId="29033"/>
    <cellStyle name="Calculation 2 5 2 3 4" xfId="20213"/>
    <cellStyle name="Calculation 2 5 2 3_Table" xfId="5010"/>
    <cellStyle name="Calculation 2 5 2 4" xfId="2419"/>
    <cellStyle name="Calculation 2 5 2 4 2" xfId="11747"/>
    <cellStyle name="Calculation 2 5 2 4 2 2" xfId="25053"/>
    <cellStyle name="Calculation 2 5 2 4 3" xfId="16157"/>
    <cellStyle name="Calculation 2 5 2 4 3 2" xfId="29463"/>
    <cellStyle name="Calculation 2 5 2 4 4" xfId="20643"/>
    <cellStyle name="Calculation 2 5 2 4_Table" xfId="5011"/>
    <cellStyle name="Calculation 2 5 2 5" xfId="2857"/>
    <cellStyle name="Calculation 2 5 2 5 2" xfId="12185"/>
    <cellStyle name="Calculation 2 5 2 5 2 2" xfId="25491"/>
    <cellStyle name="Calculation 2 5 2 5 3" xfId="16595"/>
    <cellStyle name="Calculation 2 5 2 5 3 2" xfId="29901"/>
    <cellStyle name="Calculation 2 5 2 5 4" xfId="21081"/>
    <cellStyle name="Calculation 2 5 2 5_Table" xfId="5012"/>
    <cellStyle name="Calculation 2 5 2 6" xfId="3264"/>
    <cellStyle name="Calculation 2 5 2 6 2" xfId="12592"/>
    <cellStyle name="Calculation 2 5 2 6 2 2" xfId="25898"/>
    <cellStyle name="Calculation 2 5 2 6 3" xfId="17002"/>
    <cellStyle name="Calculation 2 5 2 6 3 2" xfId="30308"/>
    <cellStyle name="Calculation 2 5 2 6 4" xfId="21488"/>
    <cellStyle name="Calculation 2 5 2 6_Table" xfId="5013"/>
    <cellStyle name="Calculation 2 5 2 7" xfId="3856"/>
    <cellStyle name="Calculation 2 5 2 7 2" xfId="13184"/>
    <cellStyle name="Calculation 2 5 2 7 2 2" xfId="26490"/>
    <cellStyle name="Calculation 2 5 2 7 3" xfId="17594"/>
    <cellStyle name="Calculation 2 5 2 7 3 2" xfId="30900"/>
    <cellStyle name="Calculation 2 5 2 7 4" xfId="22080"/>
    <cellStyle name="Calculation 2 5 2 7_Table" xfId="5014"/>
    <cellStyle name="Calculation 2 5 2 8" xfId="4081"/>
    <cellStyle name="Calculation 2 5 2 8 2" xfId="13409"/>
    <cellStyle name="Calculation 2 5 2 8 2 2" xfId="26715"/>
    <cellStyle name="Calculation 2 5 2 8 3" xfId="17819"/>
    <cellStyle name="Calculation 2 5 2 8 3 2" xfId="31125"/>
    <cellStyle name="Calculation 2 5 2 8 4" xfId="22305"/>
    <cellStyle name="Calculation 2 5 2 8_Table" xfId="5015"/>
    <cellStyle name="Calculation 2 5 2 9" xfId="4442"/>
    <cellStyle name="Calculation 2 5 2 9 2" xfId="13770"/>
    <cellStyle name="Calculation 2 5 2 9 2 2" xfId="27076"/>
    <cellStyle name="Calculation 2 5 2 9 3" xfId="18180"/>
    <cellStyle name="Calculation 2 5 2 9 3 2" xfId="31486"/>
    <cellStyle name="Calculation 2 5 2 9 4" xfId="22666"/>
    <cellStyle name="Calculation 2 5 2 9_Table" xfId="5016"/>
    <cellStyle name="Calculation 2 5 2_Table" xfId="5007"/>
    <cellStyle name="Calculation 2 5 3" xfId="1747"/>
    <cellStyle name="Calculation 2 5 3 2" xfId="11075"/>
    <cellStyle name="Calculation 2 5 3 2 2" xfId="24381"/>
    <cellStyle name="Calculation 2 5 3 3" xfId="15485"/>
    <cellStyle name="Calculation 2 5 3 3 2" xfId="28791"/>
    <cellStyle name="Calculation 2 5 3 4" xfId="19971"/>
    <cellStyle name="Calculation 2 5 3_Table" xfId="5017"/>
    <cellStyle name="Calculation 2 5 4" xfId="2180"/>
    <cellStyle name="Calculation 2 5 4 2" xfId="11508"/>
    <cellStyle name="Calculation 2 5 4 2 2" xfId="24814"/>
    <cellStyle name="Calculation 2 5 4 3" xfId="15918"/>
    <cellStyle name="Calculation 2 5 4 3 2" xfId="29224"/>
    <cellStyle name="Calculation 2 5 4 4" xfId="20404"/>
    <cellStyle name="Calculation 2 5 4_Table" xfId="5018"/>
    <cellStyle name="Calculation 2 5 5" xfId="2615"/>
    <cellStyle name="Calculation 2 5 5 2" xfId="11943"/>
    <cellStyle name="Calculation 2 5 5 2 2" xfId="25249"/>
    <cellStyle name="Calculation 2 5 5 3" xfId="16353"/>
    <cellStyle name="Calculation 2 5 5 3 2" xfId="29659"/>
    <cellStyle name="Calculation 2 5 5 4" xfId="20839"/>
    <cellStyle name="Calculation 2 5 5_Table" xfId="5019"/>
    <cellStyle name="Calculation 2 5 6" xfId="3028"/>
    <cellStyle name="Calculation 2 5 6 2" xfId="12356"/>
    <cellStyle name="Calculation 2 5 6 2 2" xfId="25662"/>
    <cellStyle name="Calculation 2 5 6 3" xfId="16766"/>
    <cellStyle name="Calculation 2 5 6 3 2" xfId="30072"/>
    <cellStyle name="Calculation 2 5 6 4" xfId="21252"/>
    <cellStyle name="Calculation 2 5 6_Table" xfId="5020"/>
    <cellStyle name="Calculation 2 5 7" xfId="3454"/>
    <cellStyle name="Calculation 2 5 7 2" xfId="12782"/>
    <cellStyle name="Calculation 2 5 7 2 2" xfId="26088"/>
    <cellStyle name="Calculation 2 5 7 3" xfId="17192"/>
    <cellStyle name="Calculation 2 5 7 3 2" xfId="30498"/>
    <cellStyle name="Calculation 2 5 7 4" xfId="21678"/>
    <cellStyle name="Calculation 2 5 7_Table" xfId="5021"/>
    <cellStyle name="Calculation 2 5 8" xfId="3537"/>
    <cellStyle name="Calculation 2 5 8 2" xfId="12865"/>
    <cellStyle name="Calculation 2 5 8 2 2" xfId="26171"/>
    <cellStyle name="Calculation 2 5 8 3" xfId="17275"/>
    <cellStyle name="Calculation 2 5 8 3 2" xfId="30581"/>
    <cellStyle name="Calculation 2 5 8 4" xfId="21761"/>
    <cellStyle name="Calculation 2 5 8_Table" xfId="5022"/>
    <cellStyle name="Calculation 2 5 9" xfId="4217"/>
    <cellStyle name="Calculation 2 5 9 2" xfId="13545"/>
    <cellStyle name="Calculation 2 5 9 2 2" xfId="26851"/>
    <cellStyle name="Calculation 2 5 9 3" xfId="17955"/>
    <cellStyle name="Calculation 2 5 9 3 2" xfId="31261"/>
    <cellStyle name="Calculation 2 5 9 4" xfId="22441"/>
    <cellStyle name="Calculation 2 5 9_Table" xfId="5023"/>
    <cellStyle name="Calculation 2 5_Table" xfId="5005"/>
    <cellStyle name="Calculation 2 6" xfId="663"/>
    <cellStyle name="Calculation 2 6 10" xfId="4623"/>
    <cellStyle name="Calculation 2 6 10 2" xfId="13951"/>
    <cellStyle name="Calculation 2 6 10 2 2" xfId="27257"/>
    <cellStyle name="Calculation 2 6 10 3" xfId="18361"/>
    <cellStyle name="Calculation 2 6 10 3 2" xfId="31667"/>
    <cellStyle name="Calculation 2 6 10 4" xfId="22847"/>
    <cellStyle name="Calculation 2 6 10_Table" xfId="5025"/>
    <cellStyle name="Calculation 2 6 11" xfId="9991"/>
    <cellStyle name="Calculation 2 6 11 2" xfId="23297"/>
    <cellStyle name="Calculation 2 6 12" xfId="14401"/>
    <cellStyle name="Calculation 2 6 12 2" xfId="27707"/>
    <cellStyle name="Calculation 2 6 13" xfId="18887"/>
    <cellStyle name="Calculation 2 6 2" xfId="1449"/>
    <cellStyle name="Calculation 2 6 2 2" xfId="10777"/>
    <cellStyle name="Calculation 2 6 2 2 2" xfId="24083"/>
    <cellStyle name="Calculation 2 6 2 3" xfId="15187"/>
    <cellStyle name="Calculation 2 6 2 3 2" xfId="28493"/>
    <cellStyle name="Calculation 2 6 2 4" xfId="19673"/>
    <cellStyle name="Calculation 2 6 2_Table" xfId="5026"/>
    <cellStyle name="Calculation 2 6 3" xfId="1809"/>
    <cellStyle name="Calculation 2 6 3 2" xfId="11137"/>
    <cellStyle name="Calculation 2 6 3 2 2" xfId="24443"/>
    <cellStyle name="Calculation 2 6 3 3" xfId="15547"/>
    <cellStyle name="Calculation 2 6 3 3 2" xfId="28853"/>
    <cellStyle name="Calculation 2 6 3 4" xfId="20033"/>
    <cellStyle name="Calculation 2 6 3_Table" xfId="5027"/>
    <cellStyle name="Calculation 2 6 4" xfId="2239"/>
    <cellStyle name="Calculation 2 6 4 2" xfId="11567"/>
    <cellStyle name="Calculation 2 6 4 2 2" xfId="24873"/>
    <cellStyle name="Calculation 2 6 4 3" xfId="15977"/>
    <cellStyle name="Calculation 2 6 4 3 2" xfId="29283"/>
    <cellStyle name="Calculation 2 6 4 4" xfId="20463"/>
    <cellStyle name="Calculation 2 6 4_Table" xfId="5028"/>
    <cellStyle name="Calculation 2 6 5" xfId="2677"/>
    <cellStyle name="Calculation 2 6 5 2" xfId="12005"/>
    <cellStyle name="Calculation 2 6 5 2 2" xfId="25311"/>
    <cellStyle name="Calculation 2 6 5 3" xfId="16415"/>
    <cellStyle name="Calculation 2 6 5 3 2" xfId="29721"/>
    <cellStyle name="Calculation 2 6 5 4" xfId="20901"/>
    <cellStyle name="Calculation 2 6 5_Table" xfId="5029"/>
    <cellStyle name="Calculation 2 6 6" xfId="3084"/>
    <cellStyle name="Calculation 2 6 6 2" xfId="12412"/>
    <cellStyle name="Calculation 2 6 6 2 2" xfId="25718"/>
    <cellStyle name="Calculation 2 6 6 3" xfId="16822"/>
    <cellStyle name="Calculation 2 6 6 3 2" xfId="30128"/>
    <cellStyle name="Calculation 2 6 6 4" xfId="21308"/>
    <cellStyle name="Calculation 2 6 6_Table" xfId="5030"/>
    <cellStyle name="Calculation 2 6 7" xfId="3676"/>
    <cellStyle name="Calculation 2 6 7 2" xfId="13004"/>
    <cellStyle name="Calculation 2 6 7 2 2" xfId="26310"/>
    <cellStyle name="Calculation 2 6 7 3" xfId="17414"/>
    <cellStyle name="Calculation 2 6 7 3 2" xfId="30720"/>
    <cellStyle name="Calculation 2 6 7 4" xfId="21900"/>
    <cellStyle name="Calculation 2 6 7_Table" xfId="5031"/>
    <cellStyle name="Calculation 2 6 8" xfId="3901"/>
    <cellStyle name="Calculation 2 6 8 2" xfId="13229"/>
    <cellStyle name="Calculation 2 6 8 2 2" xfId="26535"/>
    <cellStyle name="Calculation 2 6 8 3" xfId="17639"/>
    <cellStyle name="Calculation 2 6 8 3 2" xfId="30945"/>
    <cellStyle name="Calculation 2 6 8 4" xfId="22125"/>
    <cellStyle name="Calculation 2 6 8_Table" xfId="5032"/>
    <cellStyle name="Calculation 2 6 9" xfId="4262"/>
    <cellStyle name="Calculation 2 6 9 2" xfId="13590"/>
    <cellStyle name="Calculation 2 6 9 2 2" xfId="26896"/>
    <cellStyle name="Calculation 2 6 9 3" xfId="18000"/>
    <cellStyle name="Calculation 2 6 9 3 2" xfId="31306"/>
    <cellStyle name="Calculation 2 6 9 4" xfId="22486"/>
    <cellStyle name="Calculation 2 6 9_Table" xfId="5033"/>
    <cellStyle name="Calculation 2 6_Table" xfId="5024"/>
    <cellStyle name="Calculation 2 7" xfId="1116"/>
    <cellStyle name="Calculation 2 7 2" xfId="10444"/>
    <cellStyle name="Calculation 2 7 2 2" xfId="23750"/>
    <cellStyle name="Calculation 2 7 3" xfId="14854"/>
    <cellStyle name="Calculation 2 7 3 2" xfId="28160"/>
    <cellStyle name="Calculation 2 7 4" xfId="19340"/>
    <cellStyle name="Calculation 2 7_Table" xfId="5034"/>
    <cellStyle name="Calculation 2 8" xfId="1127"/>
    <cellStyle name="Calculation 2 8 2" xfId="10455"/>
    <cellStyle name="Calculation 2 8 2 2" xfId="23761"/>
    <cellStyle name="Calculation 2 8 3" xfId="14865"/>
    <cellStyle name="Calculation 2 8 3 2" xfId="28171"/>
    <cellStyle name="Calculation 2 8 4" xfId="19351"/>
    <cellStyle name="Calculation 2 8_Table" xfId="5035"/>
    <cellStyle name="Calculation 2 9" xfId="1107"/>
    <cellStyle name="Calculation 2 9 2" xfId="10435"/>
    <cellStyle name="Calculation 2 9 2 2" xfId="23741"/>
    <cellStyle name="Calculation 2 9 3" xfId="14845"/>
    <cellStyle name="Calculation 2 9 3 2" xfId="28151"/>
    <cellStyle name="Calculation 2 9 4" xfId="19331"/>
    <cellStyle name="Calculation 2 9_Table" xfId="5036"/>
    <cellStyle name="Calculation 2_Table" xfId="4942"/>
    <cellStyle name="Calculation 3" xfId="237"/>
    <cellStyle name="Calculation 3 10" xfId="1137"/>
    <cellStyle name="Calculation 3 10 2" xfId="10465"/>
    <cellStyle name="Calculation 3 10 2 2" xfId="23771"/>
    <cellStyle name="Calculation 3 10 3" xfId="14875"/>
    <cellStyle name="Calculation 3 10 3 2" xfId="28181"/>
    <cellStyle name="Calculation 3 10 4" xfId="19361"/>
    <cellStyle name="Calculation 3 10_Table" xfId="5038"/>
    <cellStyle name="Calculation 3 11" xfId="1275"/>
    <cellStyle name="Calculation 3 11 2" xfId="10603"/>
    <cellStyle name="Calculation 3 11 2 2" xfId="23909"/>
    <cellStyle name="Calculation 3 11 3" xfId="15013"/>
    <cellStyle name="Calculation 3 11 3 2" xfId="28319"/>
    <cellStyle name="Calculation 3 11 4" xfId="19499"/>
    <cellStyle name="Calculation 3 11_Table" xfId="5039"/>
    <cellStyle name="Calculation 3 12" xfId="2159"/>
    <cellStyle name="Calculation 3 12 2" xfId="11487"/>
    <cellStyle name="Calculation 3 12 2 2" xfId="24793"/>
    <cellStyle name="Calculation 3 12 3" xfId="15897"/>
    <cellStyle name="Calculation 3 12 3 2" xfId="29203"/>
    <cellStyle name="Calculation 3 12 4" xfId="20383"/>
    <cellStyle name="Calculation 3 12_Table" xfId="5040"/>
    <cellStyle name="Calculation 3 13" xfId="1403"/>
    <cellStyle name="Calculation 3 13 2" xfId="10731"/>
    <cellStyle name="Calculation 3 13 2 2" xfId="24037"/>
    <cellStyle name="Calculation 3 13 3" xfId="15141"/>
    <cellStyle name="Calculation 3 13 3 2" xfId="28447"/>
    <cellStyle name="Calculation 3 13 4" xfId="19627"/>
    <cellStyle name="Calculation 3 13_Table" xfId="5041"/>
    <cellStyle name="Calculation 3 14" xfId="2903"/>
    <cellStyle name="Calculation 3 14 2" xfId="12231"/>
    <cellStyle name="Calculation 3 14 2 2" xfId="25537"/>
    <cellStyle name="Calculation 3 14 3" xfId="16641"/>
    <cellStyle name="Calculation 3 14 3 2" xfId="29947"/>
    <cellStyle name="Calculation 3 14 4" xfId="21127"/>
    <cellStyle name="Calculation 3 14_Table" xfId="5042"/>
    <cellStyle name="Calculation 3 15" xfId="9565"/>
    <cellStyle name="Calculation 3 15 2" xfId="23073"/>
    <cellStyle name="Calculation 3 16" xfId="14177"/>
    <cellStyle name="Calculation 3 16 2" xfId="27483"/>
    <cellStyle name="Calculation 3 17" xfId="18663"/>
    <cellStyle name="Calculation 3 2" xfId="394"/>
    <cellStyle name="Calculation 3 2 10" xfId="3015"/>
    <cellStyle name="Calculation 3 2 10 2" xfId="12343"/>
    <cellStyle name="Calculation 3 2 10 2 2" xfId="25649"/>
    <cellStyle name="Calculation 3 2 10 3" xfId="16753"/>
    <cellStyle name="Calculation 3 2 10 3 2" xfId="30059"/>
    <cellStyle name="Calculation 3 2 10 4" xfId="21239"/>
    <cellStyle name="Calculation 3 2 10_Table" xfId="5044"/>
    <cellStyle name="Calculation 3 2 11" xfId="9722"/>
    <cellStyle name="Calculation 3 2 11 2" xfId="23118"/>
    <cellStyle name="Calculation 3 2 12" xfId="14222"/>
    <cellStyle name="Calculation 3 2 12 2" xfId="27528"/>
    <cellStyle name="Calculation 3 2 13" xfId="18708"/>
    <cellStyle name="Calculation 3 2 2" xfId="709"/>
    <cellStyle name="Calculation 3 2 2 10" xfId="4669"/>
    <cellStyle name="Calculation 3 2 2 10 2" xfId="13997"/>
    <cellStyle name="Calculation 3 2 2 10 2 2" xfId="27303"/>
    <cellStyle name="Calculation 3 2 2 10 3" xfId="18407"/>
    <cellStyle name="Calculation 3 2 2 10 3 2" xfId="31713"/>
    <cellStyle name="Calculation 3 2 2 10 4" xfId="22893"/>
    <cellStyle name="Calculation 3 2 2 10_Table" xfId="5046"/>
    <cellStyle name="Calculation 3 2 2 11" xfId="10037"/>
    <cellStyle name="Calculation 3 2 2 11 2" xfId="23343"/>
    <cellStyle name="Calculation 3 2 2 12" xfId="14447"/>
    <cellStyle name="Calculation 3 2 2 12 2" xfId="27753"/>
    <cellStyle name="Calculation 3 2 2 13" xfId="18933"/>
    <cellStyle name="Calculation 3 2 2 2" xfId="1495"/>
    <cellStyle name="Calculation 3 2 2 2 2" xfId="10823"/>
    <cellStyle name="Calculation 3 2 2 2 2 2" xfId="24129"/>
    <cellStyle name="Calculation 3 2 2 2 3" xfId="15233"/>
    <cellStyle name="Calculation 3 2 2 2 3 2" xfId="28539"/>
    <cellStyle name="Calculation 3 2 2 2 4" xfId="19719"/>
    <cellStyle name="Calculation 3 2 2 2_Table" xfId="5047"/>
    <cellStyle name="Calculation 3 2 2 3" xfId="1855"/>
    <cellStyle name="Calculation 3 2 2 3 2" xfId="11183"/>
    <cellStyle name="Calculation 3 2 2 3 2 2" xfId="24489"/>
    <cellStyle name="Calculation 3 2 2 3 3" xfId="15593"/>
    <cellStyle name="Calculation 3 2 2 3 3 2" xfId="28899"/>
    <cellStyle name="Calculation 3 2 2 3 4" xfId="20079"/>
    <cellStyle name="Calculation 3 2 2 3_Table" xfId="5048"/>
    <cellStyle name="Calculation 3 2 2 4" xfId="2285"/>
    <cellStyle name="Calculation 3 2 2 4 2" xfId="11613"/>
    <cellStyle name="Calculation 3 2 2 4 2 2" xfId="24919"/>
    <cellStyle name="Calculation 3 2 2 4 3" xfId="16023"/>
    <cellStyle name="Calculation 3 2 2 4 3 2" xfId="29329"/>
    <cellStyle name="Calculation 3 2 2 4 4" xfId="20509"/>
    <cellStyle name="Calculation 3 2 2 4_Table" xfId="5049"/>
    <cellStyle name="Calculation 3 2 2 5" xfId="2723"/>
    <cellStyle name="Calculation 3 2 2 5 2" xfId="12051"/>
    <cellStyle name="Calculation 3 2 2 5 2 2" xfId="25357"/>
    <cellStyle name="Calculation 3 2 2 5 3" xfId="16461"/>
    <cellStyle name="Calculation 3 2 2 5 3 2" xfId="29767"/>
    <cellStyle name="Calculation 3 2 2 5 4" xfId="20947"/>
    <cellStyle name="Calculation 3 2 2 5_Table" xfId="5050"/>
    <cellStyle name="Calculation 3 2 2 6" xfId="3130"/>
    <cellStyle name="Calculation 3 2 2 6 2" xfId="12458"/>
    <cellStyle name="Calculation 3 2 2 6 2 2" xfId="25764"/>
    <cellStyle name="Calculation 3 2 2 6 3" xfId="16868"/>
    <cellStyle name="Calculation 3 2 2 6 3 2" xfId="30174"/>
    <cellStyle name="Calculation 3 2 2 6 4" xfId="21354"/>
    <cellStyle name="Calculation 3 2 2 6_Table" xfId="5051"/>
    <cellStyle name="Calculation 3 2 2 7" xfId="3722"/>
    <cellStyle name="Calculation 3 2 2 7 2" xfId="13050"/>
    <cellStyle name="Calculation 3 2 2 7 2 2" xfId="26356"/>
    <cellStyle name="Calculation 3 2 2 7 3" xfId="17460"/>
    <cellStyle name="Calculation 3 2 2 7 3 2" xfId="30766"/>
    <cellStyle name="Calculation 3 2 2 7 4" xfId="21946"/>
    <cellStyle name="Calculation 3 2 2 7_Table" xfId="5052"/>
    <cellStyle name="Calculation 3 2 2 8" xfId="3947"/>
    <cellStyle name="Calculation 3 2 2 8 2" xfId="13275"/>
    <cellStyle name="Calculation 3 2 2 8 2 2" xfId="26581"/>
    <cellStyle name="Calculation 3 2 2 8 3" xfId="17685"/>
    <cellStyle name="Calculation 3 2 2 8 3 2" xfId="30991"/>
    <cellStyle name="Calculation 3 2 2 8 4" xfId="22171"/>
    <cellStyle name="Calculation 3 2 2 8_Table" xfId="5053"/>
    <cellStyle name="Calculation 3 2 2 9" xfId="4308"/>
    <cellStyle name="Calculation 3 2 2 9 2" xfId="13636"/>
    <cellStyle name="Calculation 3 2 2 9 2 2" xfId="26942"/>
    <cellStyle name="Calculation 3 2 2 9 3" xfId="18046"/>
    <cellStyle name="Calculation 3 2 2 9 3 2" xfId="31352"/>
    <cellStyle name="Calculation 3 2 2 9 4" xfId="22532"/>
    <cellStyle name="Calculation 3 2 2 9_Table" xfId="5054"/>
    <cellStyle name="Calculation 3 2 2_Table" xfId="5045"/>
    <cellStyle name="Calculation 3 2 3" xfId="1018"/>
    <cellStyle name="Calculation 3 2 3 2" xfId="10346"/>
    <cellStyle name="Calculation 3 2 3 2 2" xfId="23652"/>
    <cellStyle name="Calculation 3 2 3 3" xfId="14756"/>
    <cellStyle name="Calculation 3 2 3 3 2" xfId="28062"/>
    <cellStyle name="Calculation 3 2 3 4" xfId="19242"/>
    <cellStyle name="Calculation 3 2 3_Table" xfId="5055"/>
    <cellStyle name="Calculation 3 2 4" xfId="1444"/>
    <cellStyle name="Calculation 3 2 4 2" xfId="10772"/>
    <cellStyle name="Calculation 3 2 4 2 2" xfId="24078"/>
    <cellStyle name="Calculation 3 2 4 3" xfId="15182"/>
    <cellStyle name="Calculation 3 2 4 3 2" xfId="28488"/>
    <cellStyle name="Calculation 3 2 4 4" xfId="19668"/>
    <cellStyle name="Calculation 3 2 4_Table" xfId="5056"/>
    <cellStyle name="Calculation 3 2 5" xfId="1002"/>
    <cellStyle name="Calculation 3 2 5 2" xfId="10330"/>
    <cellStyle name="Calculation 3 2 5 2 2" xfId="23636"/>
    <cellStyle name="Calculation 3 2 5 3" xfId="14740"/>
    <cellStyle name="Calculation 3 2 5 3 2" xfId="28046"/>
    <cellStyle name="Calculation 3 2 5 4" xfId="19226"/>
    <cellStyle name="Calculation 3 2 5_Table" xfId="5057"/>
    <cellStyle name="Calculation 3 2 6" xfId="1170"/>
    <cellStyle name="Calculation 3 2 6 2" xfId="10498"/>
    <cellStyle name="Calculation 3 2 6 2 2" xfId="23804"/>
    <cellStyle name="Calculation 3 2 6 3" xfId="14908"/>
    <cellStyle name="Calculation 3 2 6 3 2" xfId="28214"/>
    <cellStyle name="Calculation 3 2 6 4" xfId="19394"/>
    <cellStyle name="Calculation 3 2 6_Table" xfId="5058"/>
    <cellStyle name="Calculation 3 2 7" xfId="1724"/>
    <cellStyle name="Calculation 3 2 7 2" xfId="11052"/>
    <cellStyle name="Calculation 3 2 7 2 2" xfId="24358"/>
    <cellStyle name="Calculation 3 2 7 3" xfId="15462"/>
    <cellStyle name="Calculation 3 2 7 3 2" xfId="28768"/>
    <cellStyle name="Calculation 3 2 7 4" xfId="19948"/>
    <cellStyle name="Calculation 3 2 7_Table" xfId="5059"/>
    <cellStyle name="Calculation 3 2 8" xfId="3449"/>
    <cellStyle name="Calculation 3 2 8 2" xfId="12777"/>
    <cellStyle name="Calculation 3 2 8 2 2" xfId="26083"/>
    <cellStyle name="Calculation 3 2 8 3" xfId="17187"/>
    <cellStyle name="Calculation 3 2 8 3 2" xfId="30493"/>
    <cellStyle name="Calculation 3 2 8 4" xfId="21673"/>
    <cellStyle name="Calculation 3 2 8_Table" xfId="5060"/>
    <cellStyle name="Calculation 3 2 9" xfId="3024"/>
    <cellStyle name="Calculation 3 2 9 2" xfId="12352"/>
    <cellStyle name="Calculation 3 2 9 2 2" xfId="25658"/>
    <cellStyle name="Calculation 3 2 9 3" xfId="16762"/>
    <cellStyle name="Calculation 3 2 9 3 2" xfId="30068"/>
    <cellStyle name="Calculation 3 2 9 4" xfId="21248"/>
    <cellStyle name="Calculation 3 2 9_Table" xfId="5061"/>
    <cellStyle name="Calculation 3 2_Table" xfId="5043"/>
    <cellStyle name="Calculation 3 3" xfId="462"/>
    <cellStyle name="Calculation 3 3 10" xfId="4489"/>
    <cellStyle name="Calculation 3 3 10 2" xfId="13817"/>
    <cellStyle name="Calculation 3 3 10 2 2" xfId="27123"/>
    <cellStyle name="Calculation 3 3 10 3" xfId="18227"/>
    <cellStyle name="Calculation 3 3 10 3 2" xfId="31533"/>
    <cellStyle name="Calculation 3 3 10 4" xfId="22713"/>
    <cellStyle name="Calculation 3 3 10_Table" xfId="5063"/>
    <cellStyle name="Calculation 3 3 11" xfId="9790"/>
    <cellStyle name="Calculation 3 3 11 2" xfId="23163"/>
    <cellStyle name="Calculation 3 3 12" xfId="14267"/>
    <cellStyle name="Calculation 3 3 12 2" xfId="27573"/>
    <cellStyle name="Calculation 3 3 13" xfId="18753"/>
    <cellStyle name="Calculation 3 3 2" xfId="754"/>
    <cellStyle name="Calculation 3 3 2 10" xfId="4714"/>
    <cellStyle name="Calculation 3 3 2 10 2" xfId="14042"/>
    <cellStyle name="Calculation 3 3 2 10 2 2" xfId="27348"/>
    <cellStyle name="Calculation 3 3 2 10 3" xfId="18452"/>
    <cellStyle name="Calculation 3 3 2 10 3 2" xfId="31758"/>
    <cellStyle name="Calculation 3 3 2 10 4" xfId="22938"/>
    <cellStyle name="Calculation 3 3 2 10_Table" xfId="5065"/>
    <cellStyle name="Calculation 3 3 2 11" xfId="10082"/>
    <cellStyle name="Calculation 3 3 2 11 2" xfId="23388"/>
    <cellStyle name="Calculation 3 3 2 12" xfId="14492"/>
    <cellStyle name="Calculation 3 3 2 12 2" xfId="27798"/>
    <cellStyle name="Calculation 3 3 2 13" xfId="18978"/>
    <cellStyle name="Calculation 3 3 2 2" xfId="1540"/>
    <cellStyle name="Calculation 3 3 2 2 2" xfId="10868"/>
    <cellStyle name="Calculation 3 3 2 2 2 2" xfId="24174"/>
    <cellStyle name="Calculation 3 3 2 2 3" xfId="15278"/>
    <cellStyle name="Calculation 3 3 2 2 3 2" xfId="28584"/>
    <cellStyle name="Calculation 3 3 2 2 4" xfId="19764"/>
    <cellStyle name="Calculation 3 3 2 2_Table" xfId="5066"/>
    <cellStyle name="Calculation 3 3 2 3" xfId="1900"/>
    <cellStyle name="Calculation 3 3 2 3 2" xfId="11228"/>
    <cellStyle name="Calculation 3 3 2 3 2 2" xfId="24534"/>
    <cellStyle name="Calculation 3 3 2 3 3" xfId="15638"/>
    <cellStyle name="Calculation 3 3 2 3 3 2" xfId="28944"/>
    <cellStyle name="Calculation 3 3 2 3 4" xfId="20124"/>
    <cellStyle name="Calculation 3 3 2 3_Table" xfId="5067"/>
    <cellStyle name="Calculation 3 3 2 4" xfId="2330"/>
    <cellStyle name="Calculation 3 3 2 4 2" xfId="11658"/>
    <cellStyle name="Calculation 3 3 2 4 2 2" xfId="24964"/>
    <cellStyle name="Calculation 3 3 2 4 3" xfId="16068"/>
    <cellStyle name="Calculation 3 3 2 4 3 2" xfId="29374"/>
    <cellStyle name="Calculation 3 3 2 4 4" xfId="20554"/>
    <cellStyle name="Calculation 3 3 2 4_Table" xfId="5068"/>
    <cellStyle name="Calculation 3 3 2 5" xfId="2768"/>
    <cellStyle name="Calculation 3 3 2 5 2" xfId="12096"/>
    <cellStyle name="Calculation 3 3 2 5 2 2" xfId="25402"/>
    <cellStyle name="Calculation 3 3 2 5 3" xfId="16506"/>
    <cellStyle name="Calculation 3 3 2 5 3 2" xfId="29812"/>
    <cellStyle name="Calculation 3 3 2 5 4" xfId="20992"/>
    <cellStyle name="Calculation 3 3 2 5_Table" xfId="5069"/>
    <cellStyle name="Calculation 3 3 2 6" xfId="3175"/>
    <cellStyle name="Calculation 3 3 2 6 2" xfId="12503"/>
    <cellStyle name="Calculation 3 3 2 6 2 2" xfId="25809"/>
    <cellStyle name="Calculation 3 3 2 6 3" xfId="16913"/>
    <cellStyle name="Calculation 3 3 2 6 3 2" xfId="30219"/>
    <cellStyle name="Calculation 3 3 2 6 4" xfId="21399"/>
    <cellStyle name="Calculation 3 3 2 6_Table" xfId="5070"/>
    <cellStyle name="Calculation 3 3 2 7" xfId="3767"/>
    <cellStyle name="Calculation 3 3 2 7 2" xfId="13095"/>
    <cellStyle name="Calculation 3 3 2 7 2 2" xfId="26401"/>
    <cellStyle name="Calculation 3 3 2 7 3" xfId="17505"/>
    <cellStyle name="Calculation 3 3 2 7 3 2" xfId="30811"/>
    <cellStyle name="Calculation 3 3 2 7 4" xfId="21991"/>
    <cellStyle name="Calculation 3 3 2 7_Table" xfId="5071"/>
    <cellStyle name="Calculation 3 3 2 8" xfId="3992"/>
    <cellStyle name="Calculation 3 3 2 8 2" xfId="13320"/>
    <cellStyle name="Calculation 3 3 2 8 2 2" xfId="26626"/>
    <cellStyle name="Calculation 3 3 2 8 3" xfId="17730"/>
    <cellStyle name="Calculation 3 3 2 8 3 2" xfId="31036"/>
    <cellStyle name="Calculation 3 3 2 8 4" xfId="22216"/>
    <cellStyle name="Calculation 3 3 2 8_Table" xfId="5072"/>
    <cellStyle name="Calculation 3 3 2 9" xfId="4353"/>
    <cellStyle name="Calculation 3 3 2 9 2" xfId="13681"/>
    <cellStyle name="Calculation 3 3 2 9 2 2" xfId="26987"/>
    <cellStyle name="Calculation 3 3 2 9 3" xfId="18091"/>
    <cellStyle name="Calculation 3 3 2 9 3 2" xfId="31397"/>
    <cellStyle name="Calculation 3 3 2 9 4" xfId="22577"/>
    <cellStyle name="Calculation 3 3 2 9_Table" xfId="5073"/>
    <cellStyle name="Calculation 3 3 2_Table" xfId="5064"/>
    <cellStyle name="Calculation 3 3 3" xfId="952"/>
    <cellStyle name="Calculation 3 3 3 2" xfId="10280"/>
    <cellStyle name="Calculation 3 3 3 2 2" xfId="23586"/>
    <cellStyle name="Calculation 3 3 3 3" xfId="14690"/>
    <cellStyle name="Calculation 3 3 3 3 2" xfId="27996"/>
    <cellStyle name="Calculation 3 3 3 4" xfId="19176"/>
    <cellStyle name="Calculation 3 3 3_Table" xfId="5074"/>
    <cellStyle name="Calculation 3 3 4" xfId="2053"/>
    <cellStyle name="Calculation 3 3 4 2" xfId="11381"/>
    <cellStyle name="Calculation 3 3 4 2 2" xfId="24687"/>
    <cellStyle name="Calculation 3 3 4 3" xfId="15791"/>
    <cellStyle name="Calculation 3 3 4 3 2" xfId="29097"/>
    <cellStyle name="Calculation 3 3 4 4" xfId="20277"/>
    <cellStyle name="Calculation 3 3 4_Table" xfId="5075"/>
    <cellStyle name="Calculation 3 3 5" xfId="2485"/>
    <cellStyle name="Calculation 3 3 5 2" xfId="11813"/>
    <cellStyle name="Calculation 3 3 5 2 2" xfId="25119"/>
    <cellStyle name="Calculation 3 3 5 3" xfId="16223"/>
    <cellStyle name="Calculation 3 3 5 3 2" xfId="29529"/>
    <cellStyle name="Calculation 3 3 5 4" xfId="20709"/>
    <cellStyle name="Calculation 3 3 5_Table" xfId="5076"/>
    <cellStyle name="Calculation 3 3 6" xfId="2914"/>
    <cellStyle name="Calculation 3 3 6 2" xfId="12242"/>
    <cellStyle name="Calculation 3 3 6 2 2" xfId="25548"/>
    <cellStyle name="Calculation 3 3 6 3" xfId="16652"/>
    <cellStyle name="Calculation 3 3 6 3 2" xfId="29958"/>
    <cellStyle name="Calculation 3 3 6 4" xfId="21138"/>
    <cellStyle name="Calculation 3 3 6_Table" xfId="5077"/>
    <cellStyle name="Calculation 3 3 7" xfId="3326"/>
    <cellStyle name="Calculation 3 3 7 2" xfId="12654"/>
    <cellStyle name="Calculation 3 3 7 2 2" xfId="25960"/>
    <cellStyle name="Calculation 3 3 7 3" xfId="17064"/>
    <cellStyle name="Calculation 3 3 7 3 2" xfId="30370"/>
    <cellStyle name="Calculation 3 3 7 4" xfId="21550"/>
    <cellStyle name="Calculation 3 3 7_Table" xfId="5078"/>
    <cellStyle name="Calculation 3 3 8" xfId="3374"/>
    <cellStyle name="Calculation 3 3 8 2" xfId="12702"/>
    <cellStyle name="Calculation 3 3 8 2 2" xfId="26008"/>
    <cellStyle name="Calculation 3 3 8 3" xfId="17112"/>
    <cellStyle name="Calculation 3 3 8 3 2" xfId="30418"/>
    <cellStyle name="Calculation 3 3 8 4" xfId="21598"/>
    <cellStyle name="Calculation 3 3 8_Table" xfId="5079"/>
    <cellStyle name="Calculation 3 3 9" xfId="4128"/>
    <cellStyle name="Calculation 3 3 9 2" xfId="13456"/>
    <cellStyle name="Calculation 3 3 9 2 2" xfId="26762"/>
    <cellStyle name="Calculation 3 3 9 3" xfId="17866"/>
    <cellStyle name="Calculation 3 3 9 3 2" xfId="31172"/>
    <cellStyle name="Calculation 3 3 9 4" xfId="22352"/>
    <cellStyle name="Calculation 3 3 9_Table" xfId="5080"/>
    <cellStyle name="Calculation 3 3_Table" xfId="5062"/>
    <cellStyle name="Calculation 3 4" xfId="526"/>
    <cellStyle name="Calculation 3 4 10" xfId="4534"/>
    <cellStyle name="Calculation 3 4 10 2" xfId="13862"/>
    <cellStyle name="Calculation 3 4 10 2 2" xfId="27168"/>
    <cellStyle name="Calculation 3 4 10 3" xfId="18272"/>
    <cellStyle name="Calculation 3 4 10 3 2" xfId="31578"/>
    <cellStyle name="Calculation 3 4 10 4" xfId="22758"/>
    <cellStyle name="Calculation 3 4 10_Table" xfId="5082"/>
    <cellStyle name="Calculation 3 4 11" xfId="9854"/>
    <cellStyle name="Calculation 3 4 11 2" xfId="23208"/>
    <cellStyle name="Calculation 3 4 12" xfId="14312"/>
    <cellStyle name="Calculation 3 4 12 2" xfId="27618"/>
    <cellStyle name="Calculation 3 4 13" xfId="18798"/>
    <cellStyle name="Calculation 3 4 2" xfId="799"/>
    <cellStyle name="Calculation 3 4 2 10" xfId="4759"/>
    <cellStyle name="Calculation 3 4 2 10 2" xfId="14087"/>
    <cellStyle name="Calculation 3 4 2 10 2 2" xfId="27393"/>
    <cellStyle name="Calculation 3 4 2 10 3" xfId="18497"/>
    <cellStyle name="Calculation 3 4 2 10 3 2" xfId="31803"/>
    <cellStyle name="Calculation 3 4 2 10 4" xfId="22983"/>
    <cellStyle name="Calculation 3 4 2 10_Table" xfId="5084"/>
    <cellStyle name="Calculation 3 4 2 11" xfId="10127"/>
    <cellStyle name="Calculation 3 4 2 11 2" xfId="23433"/>
    <cellStyle name="Calculation 3 4 2 12" xfId="14537"/>
    <cellStyle name="Calculation 3 4 2 12 2" xfId="27843"/>
    <cellStyle name="Calculation 3 4 2 13" xfId="19023"/>
    <cellStyle name="Calculation 3 4 2 2" xfId="1585"/>
    <cellStyle name="Calculation 3 4 2 2 2" xfId="10913"/>
    <cellStyle name="Calculation 3 4 2 2 2 2" xfId="24219"/>
    <cellStyle name="Calculation 3 4 2 2 3" xfId="15323"/>
    <cellStyle name="Calculation 3 4 2 2 3 2" xfId="28629"/>
    <cellStyle name="Calculation 3 4 2 2 4" xfId="19809"/>
    <cellStyle name="Calculation 3 4 2 2_Table" xfId="5085"/>
    <cellStyle name="Calculation 3 4 2 3" xfId="1945"/>
    <cellStyle name="Calculation 3 4 2 3 2" xfId="11273"/>
    <cellStyle name="Calculation 3 4 2 3 2 2" xfId="24579"/>
    <cellStyle name="Calculation 3 4 2 3 3" xfId="15683"/>
    <cellStyle name="Calculation 3 4 2 3 3 2" xfId="28989"/>
    <cellStyle name="Calculation 3 4 2 3 4" xfId="20169"/>
    <cellStyle name="Calculation 3 4 2 3_Table" xfId="5086"/>
    <cellStyle name="Calculation 3 4 2 4" xfId="2375"/>
    <cellStyle name="Calculation 3 4 2 4 2" xfId="11703"/>
    <cellStyle name="Calculation 3 4 2 4 2 2" xfId="25009"/>
    <cellStyle name="Calculation 3 4 2 4 3" xfId="16113"/>
    <cellStyle name="Calculation 3 4 2 4 3 2" xfId="29419"/>
    <cellStyle name="Calculation 3 4 2 4 4" xfId="20599"/>
    <cellStyle name="Calculation 3 4 2 4_Table" xfId="5087"/>
    <cellStyle name="Calculation 3 4 2 5" xfId="2813"/>
    <cellStyle name="Calculation 3 4 2 5 2" xfId="12141"/>
    <cellStyle name="Calculation 3 4 2 5 2 2" xfId="25447"/>
    <cellStyle name="Calculation 3 4 2 5 3" xfId="16551"/>
    <cellStyle name="Calculation 3 4 2 5 3 2" xfId="29857"/>
    <cellStyle name="Calculation 3 4 2 5 4" xfId="21037"/>
    <cellStyle name="Calculation 3 4 2 5_Table" xfId="5088"/>
    <cellStyle name="Calculation 3 4 2 6" xfId="3220"/>
    <cellStyle name="Calculation 3 4 2 6 2" xfId="12548"/>
    <cellStyle name="Calculation 3 4 2 6 2 2" xfId="25854"/>
    <cellStyle name="Calculation 3 4 2 6 3" xfId="16958"/>
    <cellStyle name="Calculation 3 4 2 6 3 2" xfId="30264"/>
    <cellStyle name="Calculation 3 4 2 6 4" xfId="21444"/>
    <cellStyle name="Calculation 3 4 2 6_Table" xfId="5089"/>
    <cellStyle name="Calculation 3 4 2 7" xfId="3812"/>
    <cellStyle name="Calculation 3 4 2 7 2" xfId="13140"/>
    <cellStyle name="Calculation 3 4 2 7 2 2" xfId="26446"/>
    <cellStyle name="Calculation 3 4 2 7 3" xfId="17550"/>
    <cellStyle name="Calculation 3 4 2 7 3 2" xfId="30856"/>
    <cellStyle name="Calculation 3 4 2 7 4" xfId="22036"/>
    <cellStyle name="Calculation 3 4 2 7_Table" xfId="5090"/>
    <cellStyle name="Calculation 3 4 2 8" xfId="4037"/>
    <cellStyle name="Calculation 3 4 2 8 2" xfId="13365"/>
    <cellStyle name="Calculation 3 4 2 8 2 2" xfId="26671"/>
    <cellStyle name="Calculation 3 4 2 8 3" xfId="17775"/>
    <cellStyle name="Calculation 3 4 2 8 3 2" xfId="31081"/>
    <cellStyle name="Calculation 3 4 2 8 4" xfId="22261"/>
    <cellStyle name="Calculation 3 4 2 8_Table" xfId="5091"/>
    <cellStyle name="Calculation 3 4 2 9" xfId="4398"/>
    <cellStyle name="Calculation 3 4 2 9 2" xfId="13726"/>
    <cellStyle name="Calculation 3 4 2 9 2 2" xfId="27032"/>
    <cellStyle name="Calculation 3 4 2 9 3" xfId="18136"/>
    <cellStyle name="Calculation 3 4 2 9 3 2" xfId="31442"/>
    <cellStyle name="Calculation 3 4 2 9 4" xfId="22622"/>
    <cellStyle name="Calculation 3 4 2 9_Table" xfId="5092"/>
    <cellStyle name="Calculation 3 4 2_Table" xfId="5083"/>
    <cellStyle name="Calculation 3 4 3" xfId="1678"/>
    <cellStyle name="Calculation 3 4 3 2" xfId="11006"/>
    <cellStyle name="Calculation 3 4 3 2 2" xfId="24312"/>
    <cellStyle name="Calculation 3 4 3 3" xfId="15416"/>
    <cellStyle name="Calculation 3 4 3 3 2" xfId="28722"/>
    <cellStyle name="Calculation 3 4 3 4" xfId="19902"/>
    <cellStyle name="Calculation 3 4 3_Table" xfId="5093"/>
    <cellStyle name="Calculation 3 4 4" xfId="2112"/>
    <cellStyle name="Calculation 3 4 4 2" xfId="11440"/>
    <cellStyle name="Calculation 3 4 4 2 2" xfId="24746"/>
    <cellStyle name="Calculation 3 4 4 3" xfId="15850"/>
    <cellStyle name="Calculation 3 4 4 3 2" xfId="29156"/>
    <cellStyle name="Calculation 3 4 4 4" xfId="20336"/>
    <cellStyle name="Calculation 3 4 4_Table" xfId="5094"/>
    <cellStyle name="Calculation 3 4 5" xfId="2544"/>
    <cellStyle name="Calculation 3 4 5 2" xfId="11872"/>
    <cellStyle name="Calculation 3 4 5 2 2" xfId="25178"/>
    <cellStyle name="Calculation 3 4 5 3" xfId="16282"/>
    <cellStyle name="Calculation 3 4 5 3 2" xfId="29588"/>
    <cellStyle name="Calculation 3 4 5 4" xfId="20768"/>
    <cellStyle name="Calculation 3 4 5_Table" xfId="5095"/>
    <cellStyle name="Calculation 3 4 6" xfId="2971"/>
    <cellStyle name="Calculation 3 4 6 2" xfId="12299"/>
    <cellStyle name="Calculation 3 4 6 2 2" xfId="25605"/>
    <cellStyle name="Calculation 3 4 6 3" xfId="16709"/>
    <cellStyle name="Calculation 3 4 6 3 2" xfId="30015"/>
    <cellStyle name="Calculation 3 4 6 4" xfId="21195"/>
    <cellStyle name="Calculation 3 4 6_Table" xfId="5096"/>
    <cellStyle name="Calculation 3 4 7" xfId="3384"/>
    <cellStyle name="Calculation 3 4 7 2" xfId="12712"/>
    <cellStyle name="Calculation 3 4 7 2 2" xfId="26018"/>
    <cellStyle name="Calculation 3 4 7 3" xfId="17122"/>
    <cellStyle name="Calculation 3 4 7 3 2" xfId="30428"/>
    <cellStyle name="Calculation 3 4 7 4" xfId="21608"/>
    <cellStyle name="Calculation 3 4 7_Table" xfId="5097"/>
    <cellStyle name="Calculation 3 4 8" xfId="3558"/>
    <cellStyle name="Calculation 3 4 8 2" xfId="12886"/>
    <cellStyle name="Calculation 3 4 8 2 2" xfId="26192"/>
    <cellStyle name="Calculation 3 4 8 3" xfId="17296"/>
    <cellStyle name="Calculation 3 4 8 3 2" xfId="30602"/>
    <cellStyle name="Calculation 3 4 8 4" xfId="21782"/>
    <cellStyle name="Calculation 3 4 8_Table" xfId="5098"/>
    <cellStyle name="Calculation 3 4 9" xfId="4173"/>
    <cellStyle name="Calculation 3 4 9 2" xfId="13501"/>
    <cellStyle name="Calculation 3 4 9 2 2" xfId="26807"/>
    <cellStyle name="Calculation 3 4 9 3" xfId="17911"/>
    <cellStyle name="Calculation 3 4 9 3 2" xfId="31217"/>
    <cellStyle name="Calculation 3 4 9 4" xfId="22397"/>
    <cellStyle name="Calculation 3 4 9_Table" xfId="5099"/>
    <cellStyle name="Calculation 3 4_Table" xfId="5081"/>
    <cellStyle name="Calculation 3 5" xfId="601"/>
    <cellStyle name="Calculation 3 5 10" xfId="4579"/>
    <cellStyle name="Calculation 3 5 10 2" xfId="13907"/>
    <cellStyle name="Calculation 3 5 10 2 2" xfId="27213"/>
    <cellStyle name="Calculation 3 5 10 3" xfId="18317"/>
    <cellStyle name="Calculation 3 5 10 3 2" xfId="31623"/>
    <cellStyle name="Calculation 3 5 10 4" xfId="22803"/>
    <cellStyle name="Calculation 3 5 10_Table" xfId="5101"/>
    <cellStyle name="Calculation 3 5 11" xfId="9929"/>
    <cellStyle name="Calculation 3 5 11 2" xfId="23253"/>
    <cellStyle name="Calculation 3 5 12" xfId="14357"/>
    <cellStyle name="Calculation 3 5 12 2" xfId="27663"/>
    <cellStyle name="Calculation 3 5 13" xfId="18843"/>
    <cellStyle name="Calculation 3 5 2" xfId="844"/>
    <cellStyle name="Calculation 3 5 2 10" xfId="4804"/>
    <cellStyle name="Calculation 3 5 2 10 2" xfId="14132"/>
    <cellStyle name="Calculation 3 5 2 10 2 2" xfId="27438"/>
    <cellStyle name="Calculation 3 5 2 10 3" xfId="18542"/>
    <cellStyle name="Calculation 3 5 2 10 3 2" xfId="31848"/>
    <cellStyle name="Calculation 3 5 2 10 4" xfId="23028"/>
    <cellStyle name="Calculation 3 5 2 10_Table" xfId="5103"/>
    <cellStyle name="Calculation 3 5 2 11" xfId="10172"/>
    <cellStyle name="Calculation 3 5 2 11 2" xfId="23478"/>
    <cellStyle name="Calculation 3 5 2 12" xfId="14582"/>
    <cellStyle name="Calculation 3 5 2 12 2" xfId="27888"/>
    <cellStyle name="Calculation 3 5 2 13" xfId="19068"/>
    <cellStyle name="Calculation 3 5 2 2" xfId="1630"/>
    <cellStyle name="Calculation 3 5 2 2 2" xfId="10958"/>
    <cellStyle name="Calculation 3 5 2 2 2 2" xfId="24264"/>
    <cellStyle name="Calculation 3 5 2 2 3" xfId="15368"/>
    <cellStyle name="Calculation 3 5 2 2 3 2" xfId="28674"/>
    <cellStyle name="Calculation 3 5 2 2 4" xfId="19854"/>
    <cellStyle name="Calculation 3 5 2 2_Table" xfId="5104"/>
    <cellStyle name="Calculation 3 5 2 3" xfId="1990"/>
    <cellStyle name="Calculation 3 5 2 3 2" xfId="11318"/>
    <cellStyle name="Calculation 3 5 2 3 2 2" xfId="24624"/>
    <cellStyle name="Calculation 3 5 2 3 3" xfId="15728"/>
    <cellStyle name="Calculation 3 5 2 3 3 2" xfId="29034"/>
    <cellStyle name="Calculation 3 5 2 3 4" xfId="20214"/>
    <cellStyle name="Calculation 3 5 2 3_Table" xfId="5105"/>
    <cellStyle name="Calculation 3 5 2 4" xfId="2420"/>
    <cellStyle name="Calculation 3 5 2 4 2" xfId="11748"/>
    <cellStyle name="Calculation 3 5 2 4 2 2" xfId="25054"/>
    <cellStyle name="Calculation 3 5 2 4 3" xfId="16158"/>
    <cellStyle name="Calculation 3 5 2 4 3 2" xfId="29464"/>
    <cellStyle name="Calculation 3 5 2 4 4" xfId="20644"/>
    <cellStyle name="Calculation 3 5 2 4_Table" xfId="5106"/>
    <cellStyle name="Calculation 3 5 2 5" xfId="2858"/>
    <cellStyle name="Calculation 3 5 2 5 2" xfId="12186"/>
    <cellStyle name="Calculation 3 5 2 5 2 2" xfId="25492"/>
    <cellStyle name="Calculation 3 5 2 5 3" xfId="16596"/>
    <cellStyle name="Calculation 3 5 2 5 3 2" xfId="29902"/>
    <cellStyle name="Calculation 3 5 2 5 4" xfId="21082"/>
    <cellStyle name="Calculation 3 5 2 5_Table" xfId="5107"/>
    <cellStyle name="Calculation 3 5 2 6" xfId="3265"/>
    <cellStyle name="Calculation 3 5 2 6 2" xfId="12593"/>
    <cellStyle name="Calculation 3 5 2 6 2 2" xfId="25899"/>
    <cellStyle name="Calculation 3 5 2 6 3" xfId="17003"/>
    <cellStyle name="Calculation 3 5 2 6 3 2" xfId="30309"/>
    <cellStyle name="Calculation 3 5 2 6 4" xfId="21489"/>
    <cellStyle name="Calculation 3 5 2 6_Table" xfId="5108"/>
    <cellStyle name="Calculation 3 5 2 7" xfId="3857"/>
    <cellStyle name="Calculation 3 5 2 7 2" xfId="13185"/>
    <cellStyle name="Calculation 3 5 2 7 2 2" xfId="26491"/>
    <cellStyle name="Calculation 3 5 2 7 3" xfId="17595"/>
    <cellStyle name="Calculation 3 5 2 7 3 2" xfId="30901"/>
    <cellStyle name="Calculation 3 5 2 7 4" xfId="22081"/>
    <cellStyle name="Calculation 3 5 2 7_Table" xfId="5109"/>
    <cellStyle name="Calculation 3 5 2 8" xfId="4082"/>
    <cellStyle name="Calculation 3 5 2 8 2" xfId="13410"/>
    <cellStyle name="Calculation 3 5 2 8 2 2" xfId="26716"/>
    <cellStyle name="Calculation 3 5 2 8 3" xfId="17820"/>
    <cellStyle name="Calculation 3 5 2 8 3 2" xfId="31126"/>
    <cellStyle name="Calculation 3 5 2 8 4" xfId="22306"/>
    <cellStyle name="Calculation 3 5 2 8_Table" xfId="5110"/>
    <cellStyle name="Calculation 3 5 2 9" xfId="4443"/>
    <cellStyle name="Calculation 3 5 2 9 2" xfId="13771"/>
    <cellStyle name="Calculation 3 5 2 9 2 2" xfId="27077"/>
    <cellStyle name="Calculation 3 5 2 9 3" xfId="18181"/>
    <cellStyle name="Calculation 3 5 2 9 3 2" xfId="31487"/>
    <cellStyle name="Calculation 3 5 2 9 4" xfId="22667"/>
    <cellStyle name="Calculation 3 5 2 9_Table" xfId="5111"/>
    <cellStyle name="Calculation 3 5 2_Table" xfId="5102"/>
    <cellStyle name="Calculation 3 5 3" xfId="1748"/>
    <cellStyle name="Calculation 3 5 3 2" xfId="11076"/>
    <cellStyle name="Calculation 3 5 3 2 2" xfId="24382"/>
    <cellStyle name="Calculation 3 5 3 3" xfId="15486"/>
    <cellStyle name="Calculation 3 5 3 3 2" xfId="28792"/>
    <cellStyle name="Calculation 3 5 3 4" xfId="19972"/>
    <cellStyle name="Calculation 3 5 3_Table" xfId="5112"/>
    <cellStyle name="Calculation 3 5 4" xfId="2181"/>
    <cellStyle name="Calculation 3 5 4 2" xfId="11509"/>
    <cellStyle name="Calculation 3 5 4 2 2" xfId="24815"/>
    <cellStyle name="Calculation 3 5 4 3" xfId="15919"/>
    <cellStyle name="Calculation 3 5 4 3 2" xfId="29225"/>
    <cellStyle name="Calculation 3 5 4 4" xfId="20405"/>
    <cellStyle name="Calculation 3 5 4_Table" xfId="5113"/>
    <cellStyle name="Calculation 3 5 5" xfId="2616"/>
    <cellStyle name="Calculation 3 5 5 2" xfId="11944"/>
    <cellStyle name="Calculation 3 5 5 2 2" xfId="25250"/>
    <cellStyle name="Calculation 3 5 5 3" xfId="16354"/>
    <cellStyle name="Calculation 3 5 5 3 2" xfId="29660"/>
    <cellStyle name="Calculation 3 5 5 4" xfId="20840"/>
    <cellStyle name="Calculation 3 5 5_Table" xfId="5114"/>
    <cellStyle name="Calculation 3 5 6" xfId="3029"/>
    <cellStyle name="Calculation 3 5 6 2" xfId="12357"/>
    <cellStyle name="Calculation 3 5 6 2 2" xfId="25663"/>
    <cellStyle name="Calculation 3 5 6 3" xfId="16767"/>
    <cellStyle name="Calculation 3 5 6 3 2" xfId="30073"/>
    <cellStyle name="Calculation 3 5 6 4" xfId="21253"/>
    <cellStyle name="Calculation 3 5 6_Table" xfId="5115"/>
    <cellStyle name="Calculation 3 5 7" xfId="3455"/>
    <cellStyle name="Calculation 3 5 7 2" xfId="12783"/>
    <cellStyle name="Calculation 3 5 7 2 2" xfId="26089"/>
    <cellStyle name="Calculation 3 5 7 3" xfId="17193"/>
    <cellStyle name="Calculation 3 5 7 3 2" xfId="30499"/>
    <cellStyle name="Calculation 3 5 7 4" xfId="21679"/>
    <cellStyle name="Calculation 3 5 7_Table" xfId="5116"/>
    <cellStyle name="Calculation 3 5 8" xfId="3570"/>
    <cellStyle name="Calculation 3 5 8 2" xfId="12898"/>
    <cellStyle name="Calculation 3 5 8 2 2" xfId="26204"/>
    <cellStyle name="Calculation 3 5 8 3" xfId="17308"/>
    <cellStyle name="Calculation 3 5 8 3 2" xfId="30614"/>
    <cellStyle name="Calculation 3 5 8 4" xfId="21794"/>
    <cellStyle name="Calculation 3 5 8_Table" xfId="5117"/>
    <cellStyle name="Calculation 3 5 9" xfId="4218"/>
    <cellStyle name="Calculation 3 5 9 2" xfId="13546"/>
    <cellStyle name="Calculation 3 5 9 2 2" xfId="26852"/>
    <cellStyle name="Calculation 3 5 9 3" xfId="17956"/>
    <cellStyle name="Calculation 3 5 9 3 2" xfId="31262"/>
    <cellStyle name="Calculation 3 5 9 4" xfId="22442"/>
    <cellStyle name="Calculation 3 5 9_Table" xfId="5118"/>
    <cellStyle name="Calculation 3 5_Table" xfId="5100"/>
    <cellStyle name="Calculation 3 6" xfId="664"/>
    <cellStyle name="Calculation 3 6 10" xfId="4624"/>
    <cellStyle name="Calculation 3 6 10 2" xfId="13952"/>
    <cellStyle name="Calculation 3 6 10 2 2" xfId="27258"/>
    <cellStyle name="Calculation 3 6 10 3" xfId="18362"/>
    <cellStyle name="Calculation 3 6 10 3 2" xfId="31668"/>
    <cellStyle name="Calculation 3 6 10 4" xfId="22848"/>
    <cellStyle name="Calculation 3 6 10_Table" xfId="5120"/>
    <cellStyle name="Calculation 3 6 11" xfId="9992"/>
    <cellStyle name="Calculation 3 6 11 2" xfId="23298"/>
    <cellStyle name="Calculation 3 6 12" xfId="14402"/>
    <cellStyle name="Calculation 3 6 12 2" xfId="27708"/>
    <cellStyle name="Calculation 3 6 13" xfId="18888"/>
    <cellStyle name="Calculation 3 6 2" xfId="1450"/>
    <cellStyle name="Calculation 3 6 2 2" xfId="10778"/>
    <cellStyle name="Calculation 3 6 2 2 2" xfId="24084"/>
    <cellStyle name="Calculation 3 6 2 3" xfId="15188"/>
    <cellStyle name="Calculation 3 6 2 3 2" xfId="28494"/>
    <cellStyle name="Calculation 3 6 2 4" xfId="19674"/>
    <cellStyle name="Calculation 3 6 2_Table" xfId="5121"/>
    <cellStyle name="Calculation 3 6 3" xfId="1810"/>
    <cellStyle name="Calculation 3 6 3 2" xfId="11138"/>
    <cellStyle name="Calculation 3 6 3 2 2" xfId="24444"/>
    <cellStyle name="Calculation 3 6 3 3" xfId="15548"/>
    <cellStyle name="Calculation 3 6 3 3 2" xfId="28854"/>
    <cellStyle name="Calculation 3 6 3 4" xfId="20034"/>
    <cellStyle name="Calculation 3 6 3_Table" xfId="5122"/>
    <cellStyle name="Calculation 3 6 4" xfId="2240"/>
    <cellStyle name="Calculation 3 6 4 2" xfId="11568"/>
    <cellStyle name="Calculation 3 6 4 2 2" xfId="24874"/>
    <cellStyle name="Calculation 3 6 4 3" xfId="15978"/>
    <cellStyle name="Calculation 3 6 4 3 2" xfId="29284"/>
    <cellStyle name="Calculation 3 6 4 4" xfId="20464"/>
    <cellStyle name="Calculation 3 6 4_Table" xfId="5123"/>
    <cellStyle name="Calculation 3 6 5" xfId="2678"/>
    <cellStyle name="Calculation 3 6 5 2" xfId="12006"/>
    <cellStyle name="Calculation 3 6 5 2 2" xfId="25312"/>
    <cellStyle name="Calculation 3 6 5 3" xfId="16416"/>
    <cellStyle name="Calculation 3 6 5 3 2" xfId="29722"/>
    <cellStyle name="Calculation 3 6 5 4" xfId="20902"/>
    <cellStyle name="Calculation 3 6 5_Table" xfId="5124"/>
    <cellStyle name="Calculation 3 6 6" xfId="3085"/>
    <cellStyle name="Calculation 3 6 6 2" xfId="12413"/>
    <cellStyle name="Calculation 3 6 6 2 2" xfId="25719"/>
    <cellStyle name="Calculation 3 6 6 3" xfId="16823"/>
    <cellStyle name="Calculation 3 6 6 3 2" xfId="30129"/>
    <cellStyle name="Calculation 3 6 6 4" xfId="21309"/>
    <cellStyle name="Calculation 3 6 6_Table" xfId="5125"/>
    <cellStyle name="Calculation 3 6 7" xfId="3677"/>
    <cellStyle name="Calculation 3 6 7 2" xfId="13005"/>
    <cellStyle name="Calculation 3 6 7 2 2" xfId="26311"/>
    <cellStyle name="Calculation 3 6 7 3" xfId="17415"/>
    <cellStyle name="Calculation 3 6 7 3 2" xfId="30721"/>
    <cellStyle name="Calculation 3 6 7 4" xfId="21901"/>
    <cellStyle name="Calculation 3 6 7_Table" xfId="5126"/>
    <cellStyle name="Calculation 3 6 8" xfId="3902"/>
    <cellStyle name="Calculation 3 6 8 2" xfId="13230"/>
    <cellStyle name="Calculation 3 6 8 2 2" xfId="26536"/>
    <cellStyle name="Calculation 3 6 8 3" xfId="17640"/>
    <cellStyle name="Calculation 3 6 8 3 2" xfId="30946"/>
    <cellStyle name="Calculation 3 6 8 4" xfId="22126"/>
    <cellStyle name="Calculation 3 6 8_Table" xfId="5127"/>
    <cellStyle name="Calculation 3 6 9" xfId="4263"/>
    <cellStyle name="Calculation 3 6 9 2" xfId="13591"/>
    <cellStyle name="Calculation 3 6 9 2 2" xfId="26897"/>
    <cellStyle name="Calculation 3 6 9 3" xfId="18001"/>
    <cellStyle name="Calculation 3 6 9 3 2" xfId="31307"/>
    <cellStyle name="Calculation 3 6 9 4" xfId="22487"/>
    <cellStyle name="Calculation 3 6 9_Table" xfId="5128"/>
    <cellStyle name="Calculation 3 6_Table" xfId="5119"/>
    <cellStyle name="Calculation 3 7" xfId="1115"/>
    <cellStyle name="Calculation 3 7 2" xfId="10443"/>
    <cellStyle name="Calculation 3 7 2 2" xfId="23749"/>
    <cellStyle name="Calculation 3 7 3" xfId="14853"/>
    <cellStyle name="Calculation 3 7 3 2" xfId="28159"/>
    <cellStyle name="Calculation 3 7 4" xfId="19339"/>
    <cellStyle name="Calculation 3 7_Table" xfId="5129"/>
    <cellStyle name="Calculation 3 8" xfId="1128"/>
    <cellStyle name="Calculation 3 8 2" xfId="10456"/>
    <cellStyle name="Calculation 3 8 2 2" xfId="23762"/>
    <cellStyle name="Calculation 3 8 3" xfId="14866"/>
    <cellStyle name="Calculation 3 8 3 2" xfId="28172"/>
    <cellStyle name="Calculation 3 8 4" xfId="19352"/>
    <cellStyle name="Calculation 3 8_Table" xfId="5130"/>
    <cellStyle name="Calculation 3 9" xfId="1106"/>
    <cellStyle name="Calculation 3 9 2" xfId="10434"/>
    <cellStyle name="Calculation 3 9 2 2" xfId="23740"/>
    <cellStyle name="Calculation 3 9 3" xfId="14844"/>
    <cellStyle name="Calculation 3 9 3 2" xfId="28150"/>
    <cellStyle name="Calculation 3 9 4" xfId="19330"/>
    <cellStyle name="Calculation 3 9_Table" xfId="5131"/>
    <cellStyle name="Calculation 3_Table" xfId="5037"/>
    <cellStyle name="Calculation 4" xfId="238"/>
    <cellStyle name="Calculation 4 10" xfId="1138"/>
    <cellStyle name="Calculation 4 10 2" xfId="10466"/>
    <cellStyle name="Calculation 4 10 2 2" xfId="23772"/>
    <cellStyle name="Calculation 4 10 3" xfId="14876"/>
    <cellStyle name="Calculation 4 10 3 2" xfId="28182"/>
    <cellStyle name="Calculation 4 10 4" xfId="19362"/>
    <cellStyle name="Calculation 4 10_Table" xfId="5133"/>
    <cellStyle name="Calculation 4 11" xfId="1218"/>
    <cellStyle name="Calculation 4 11 2" xfId="10546"/>
    <cellStyle name="Calculation 4 11 2 2" xfId="23852"/>
    <cellStyle name="Calculation 4 11 3" xfId="14956"/>
    <cellStyle name="Calculation 4 11 3 2" xfId="28262"/>
    <cellStyle name="Calculation 4 11 4" xfId="19442"/>
    <cellStyle name="Calculation 4 11_Table" xfId="5134"/>
    <cellStyle name="Calculation 4 12" xfId="2965"/>
    <cellStyle name="Calculation 4 12 2" xfId="12293"/>
    <cellStyle name="Calculation 4 12 2 2" xfId="25599"/>
    <cellStyle name="Calculation 4 12 3" xfId="16703"/>
    <cellStyle name="Calculation 4 12 3 2" xfId="30009"/>
    <cellStyle name="Calculation 4 12 4" xfId="21189"/>
    <cellStyle name="Calculation 4 12_Table" xfId="5135"/>
    <cellStyle name="Calculation 4 13" xfId="2967"/>
    <cellStyle name="Calculation 4 13 2" xfId="12295"/>
    <cellStyle name="Calculation 4 13 2 2" xfId="25601"/>
    <cellStyle name="Calculation 4 13 3" xfId="16705"/>
    <cellStyle name="Calculation 4 13 3 2" xfId="30011"/>
    <cellStyle name="Calculation 4 13 4" xfId="21191"/>
    <cellStyle name="Calculation 4 13_Table" xfId="5136"/>
    <cellStyle name="Calculation 4 14" xfId="1271"/>
    <cellStyle name="Calculation 4 14 2" xfId="10599"/>
    <cellStyle name="Calculation 4 14 2 2" xfId="23905"/>
    <cellStyle name="Calculation 4 14 3" xfId="15009"/>
    <cellStyle name="Calculation 4 14 3 2" xfId="28315"/>
    <cellStyle name="Calculation 4 14 4" xfId="19495"/>
    <cellStyle name="Calculation 4 14_Table" xfId="5137"/>
    <cellStyle name="Calculation 4 15" xfId="9566"/>
    <cellStyle name="Calculation 4 15 2" xfId="23074"/>
    <cellStyle name="Calculation 4 16" xfId="14178"/>
    <cellStyle name="Calculation 4 16 2" xfId="27484"/>
    <cellStyle name="Calculation 4 17" xfId="18664"/>
    <cellStyle name="Calculation 4 2" xfId="395"/>
    <cellStyle name="Calculation 4 2 10" xfId="3437"/>
    <cellStyle name="Calculation 4 2 10 2" xfId="12765"/>
    <cellStyle name="Calculation 4 2 10 2 2" xfId="26071"/>
    <cellStyle name="Calculation 4 2 10 3" xfId="17175"/>
    <cellStyle name="Calculation 4 2 10 3 2" xfId="30481"/>
    <cellStyle name="Calculation 4 2 10 4" xfId="21661"/>
    <cellStyle name="Calculation 4 2 10_Table" xfId="5139"/>
    <cellStyle name="Calculation 4 2 11" xfId="9723"/>
    <cellStyle name="Calculation 4 2 11 2" xfId="23119"/>
    <cellStyle name="Calculation 4 2 12" xfId="14223"/>
    <cellStyle name="Calculation 4 2 12 2" xfId="27529"/>
    <cellStyle name="Calculation 4 2 13" xfId="18709"/>
    <cellStyle name="Calculation 4 2 2" xfId="710"/>
    <cellStyle name="Calculation 4 2 2 10" xfId="4670"/>
    <cellStyle name="Calculation 4 2 2 10 2" xfId="13998"/>
    <cellStyle name="Calculation 4 2 2 10 2 2" xfId="27304"/>
    <cellStyle name="Calculation 4 2 2 10 3" xfId="18408"/>
    <cellStyle name="Calculation 4 2 2 10 3 2" xfId="31714"/>
    <cellStyle name="Calculation 4 2 2 10 4" xfId="22894"/>
    <cellStyle name="Calculation 4 2 2 10_Table" xfId="5141"/>
    <cellStyle name="Calculation 4 2 2 11" xfId="10038"/>
    <cellStyle name="Calculation 4 2 2 11 2" xfId="23344"/>
    <cellStyle name="Calculation 4 2 2 12" xfId="14448"/>
    <cellStyle name="Calculation 4 2 2 12 2" xfId="27754"/>
    <cellStyle name="Calculation 4 2 2 13" xfId="18934"/>
    <cellStyle name="Calculation 4 2 2 2" xfId="1496"/>
    <cellStyle name="Calculation 4 2 2 2 2" xfId="10824"/>
    <cellStyle name="Calculation 4 2 2 2 2 2" xfId="24130"/>
    <cellStyle name="Calculation 4 2 2 2 3" xfId="15234"/>
    <cellStyle name="Calculation 4 2 2 2 3 2" xfId="28540"/>
    <cellStyle name="Calculation 4 2 2 2 4" xfId="19720"/>
    <cellStyle name="Calculation 4 2 2 2_Table" xfId="5142"/>
    <cellStyle name="Calculation 4 2 2 3" xfId="1856"/>
    <cellStyle name="Calculation 4 2 2 3 2" xfId="11184"/>
    <cellStyle name="Calculation 4 2 2 3 2 2" xfId="24490"/>
    <cellStyle name="Calculation 4 2 2 3 3" xfId="15594"/>
    <cellStyle name="Calculation 4 2 2 3 3 2" xfId="28900"/>
    <cellStyle name="Calculation 4 2 2 3 4" xfId="20080"/>
    <cellStyle name="Calculation 4 2 2 3_Table" xfId="5143"/>
    <cellStyle name="Calculation 4 2 2 4" xfId="2286"/>
    <cellStyle name="Calculation 4 2 2 4 2" xfId="11614"/>
    <cellStyle name="Calculation 4 2 2 4 2 2" xfId="24920"/>
    <cellStyle name="Calculation 4 2 2 4 3" xfId="16024"/>
    <cellStyle name="Calculation 4 2 2 4 3 2" xfId="29330"/>
    <cellStyle name="Calculation 4 2 2 4 4" xfId="20510"/>
    <cellStyle name="Calculation 4 2 2 4_Table" xfId="5144"/>
    <cellStyle name="Calculation 4 2 2 5" xfId="2724"/>
    <cellStyle name="Calculation 4 2 2 5 2" xfId="12052"/>
    <cellStyle name="Calculation 4 2 2 5 2 2" xfId="25358"/>
    <cellStyle name="Calculation 4 2 2 5 3" xfId="16462"/>
    <cellStyle name="Calculation 4 2 2 5 3 2" xfId="29768"/>
    <cellStyle name="Calculation 4 2 2 5 4" xfId="20948"/>
    <cellStyle name="Calculation 4 2 2 5_Table" xfId="5145"/>
    <cellStyle name="Calculation 4 2 2 6" xfId="3131"/>
    <cellStyle name="Calculation 4 2 2 6 2" xfId="12459"/>
    <cellStyle name="Calculation 4 2 2 6 2 2" xfId="25765"/>
    <cellStyle name="Calculation 4 2 2 6 3" xfId="16869"/>
    <cellStyle name="Calculation 4 2 2 6 3 2" xfId="30175"/>
    <cellStyle name="Calculation 4 2 2 6 4" xfId="21355"/>
    <cellStyle name="Calculation 4 2 2 6_Table" xfId="5146"/>
    <cellStyle name="Calculation 4 2 2 7" xfId="3723"/>
    <cellStyle name="Calculation 4 2 2 7 2" xfId="13051"/>
    <cellStyle name="Calculation 4 2 2 7 2 2" xfId="26357"/>
    <cellStyle name="Calculation 4 2 2 7 3" xfId="17461"/>
    <cellStyle name="Calculation 4 2 2 7 3 2" xfId="30767"/>
    <cellStyle name="Calculation 4 2 2 7 4" xfId="21947"/>
    <cellStyle name="Calculation 4 2 2 7_Table" xfId="5147"/>
    <cellStyle name="Calculation 4 2 2 8" xfId="3948"/>
    <cellStyle name="Calculation 4 2 2 8 2" xfId="13276"/>
    <cellStyle name="Calculation 4 2 2 8 2 2" xfId="26582"/>
    <cellStyle name="Calculation 4 2 2 8 3" xfId="17686"/>
    <cellStyle name="Calculation 4 2 2 8 3 2" xfId="30992"/>
    <cellStyle name="Calculation 4 2 2 8 4" xfId="22172"/>
    <cellStyle name="Calculation 4 2 2 8_Table" xfId="5148"/>
    <cellStyle name="Calculation 4 2 2 9" xfId="4309"/>
    <cellStyle name="Calculation 4 2 2 9 2" xfId="13637"/>
    <cellStyle name="Calculation 4 2 2 9 2 2" xfId="26943"/>
    <cellStyle name="Calculation 4 2 2 9 3" xfId="18047"/>
    <cellStyle name="Calculation 4 2 2 9 3 2" xfId="31353"/>
    <cellStyle name="Calculation 4 2 2 9 4" xfId="22533"/>
    <cellStyle name="Calculation 4 2 2 9_Table" xfId="5149"/>
    <cellStyle name="Calculation 4 2 2_Table" xfId="5140"/>
    <cellStyle name="Calculation 4 2 3" xfId="1017"/>
    <cellStyle name="Calculation 4 2 3 2" xfId="10345"/>
    <cellStyle name="Calculation 4 2 3 2 2" xfId="23651"/>
    <cellStyle name="Calculation 4 2 3 3" xfId="14755"/>
    <cellStyle name="Calculation 4 2 3 3 2" xfId="28061"/>
    <cellStyle name="Calculation 4 2 3 4" xfId="19241"/>
    <cellStyle name="Calculation 4 2 3_Table" xfId="5150"/>
    <cellStyle name="Calculation 4 2 4" xfId="1319"/>
    <cellStyle name="Calculation 4 2 4 2" xfId="10647"/>
    <cellStyle name="Calculation 4 2 4 2 2" xfId="23953"/>
    <cellStyle name="Calculation 4 2 4 3" xfId="15057"/>
    <cellStyle name="Calculation 4 2 4 3 2" xfId="28363"/>
    <cellStyle name="Calculation 4 2 4 4" xfId="19543"/>
    <cellStyle name="Calculation 4 2 4_Table" xfId="5151"/>
    <cellStyle name="Calculation 4 2 5" xfId="967"/>
    <cellStyle name="Calculation 4 2 5 2" xfId="10295"/>
    <cellStyle name="Calculation 4 2 5 2 2" xfId="23601"/>
    <cellStyle name="Calculation 4 2 5 3" xfId="14705"/>
    <cellStyle name="Calculation 4 2 5 3 2" xfId="28011"/>
    <cellStyle name="Calculation 4 2 5 4" xfId="19191"/>
    <cellStyle name="Calculation 4 2 5_Table" xfId="5152"/>
    <cellStyle name="Calculation 4 2 6" xfId="2040"/>
    <cellStyle name="Calculation 4 2 6 2" xfId="11368"/>
    <cellStyle name="Calculation 4 2 6 2 2" xfId="24674"/>
    <cellStyle name="Calculation 4 2 6 3" xfId="15778"/>
    <cellStyle name="Calculation 4 2 6 3 2" xfId="29084"/>
    <cellStyle name="Calculation 4 2 6 4" xfId="20264"/>
    <cellStyle name="Calculation 4 2 6_Table" xfId="5153"/>
    <cellStyle name="Calculation 4 2 7" xfId="2470"/>
    <cellStyle name="Calculation 4 2 7 2" xfId="11798"/>
    <cellStyle name="Calculation 4 2 7 2 2" xfId="25104"/>
    <cellStyle name="Calculation 4 2 7 3" xfId="16208"/>
    <cellStyle name="Calculation 4 2 7 3 2" xfId="29514"/>
    <cellStyle name="Calculation 4 2 7 4" xfId="20694"/>
    <cellStyle name="Calculation 4 2 7_Table" xfId="5154"/>
    <cellStyle name="Calculation 4 2 8" xfId="2168"/>
    <cellStyle name="Calculation 4 2 8 2" xfId="11496"/>
    <cellStyle name="Calculation 4 2 8 2 2" xfId="24802"/>
    <cellStyle name="Calculation 4 2 8 3" xfId="15906"/>
    <cellStyle name="Calculation 4 2 8 3 2" xfId="29212"/>
    <cellStyle name="Calculation 4 2 8 4" xfId="20392"/>
    <cellStyle name="Calculation 4 2 8_Table" xfId="5155"/>
    <cellStyle name="Calculation 4 2 9" xfId="3075"/>
    <cellStyle name="Calculation 4 2 9 2" xfId="12403"/>
    <cellStyle name="Calculation 4 2 9 2 2" xfId="25709"/>
    <cellStyle name="Calculation 4 2 9 3" xfId="16813"/>
    <cellStyle name="Calculation 4 2 9 3 2" xfId="30119"/>
    <cellStyle name="Calculation 4 2 9 4" xfId="21299"/>
    <cellStyle name="Calculation 4 2 9_Table" xfId="5156"/>
    <cellStyle name="Calculation 4 2_Table" xfId="5138"/>
    <cellStyle name="Calculation 4 3" xfId="463"/>
    <cellStyle name="Calculation 4 3 10" xfId="4490"/>
    <cellStyle name="Calculation 4 3 10 2" xfId="13818"/>
    <cellStyle name="Calculation 4 3 10 2 2" xfId="27124"/>
    <cellStyle name="Calculation 4 3 10 3" xfId="18228"/>
    <cellStyle name="Calculation 4 3 10 3 2" xfId="31534"/>
    <cellStyle name="Calculation 4 3 10 4" xfId="22714"/>
    <cellStyle name="Calculation 4 3 10_Table" xfId="5158"/>
    <cellStyle name="Calculation 4 3 11" xfId="9791"/>
    <cellStyle name="Calculation 4 3 11 2" xfId="23164"/>
    <cellStyle name="Calculation 4 3 12" xfId="14268"/>
    <cellStyle name="Calculation 4 3 12 2" xfId="27574"/>
    <cellStyle name="Calculation 4 3 13" xfId="18754"/>
    <cellStyle name="Calculation 4 3 2" xfId="755"/>
    <cellStyle name="Calculation 4 3 2 10" xfId="4715"/>
    <cellStyle name="Calculation 4 3 2 10 2" xfId="14043"/>
    <cellStyle name="Calculation 4 3 2 10 2 2" xfId="27349"/>
    <cellStyle name="Calculation 4 3 2 10 3" xfId="18453"/>
    <cellStyle name="Calculation 4 3 2 10 3 2" xfId="31759"/>
    <cellStyle name="Calculation 4 3 2 10 4" xfId="22939"/>
    <cellStyle name="Calculation 4 3 2 10_Table" xfId="5160"/>
    <cellStyle name="Calculation 4 3 2 11" xfId="10083"/>
    <cellStyle name="Calculation 4 3 2 11 2" xfId="23389"/>
    <cellStyle name="Calculation 4 3 2 12" xfId="14493"/>
    <cellStyle name="Calculation 4 3 2 12 2" xfId="27799"/>
    <cellStyle name="Calculation 4 3 2 13" xfId="18979"/>
    <cellStyle name="Calculation 4 3 2 2" xfId="1541"/>
    <cellStyle name="Calculation 4 3 2 2 2" xfId="10869"/>
    <cellStyle name="Calculation 4 3 2 2 2 2" xfId="24175"/>
    <cellStyle name="Calculation 4 3 2 2 3" xfId="15279"/>
    <cellStyle name="Calculation 4 3 2 2 3 2" xfId="28585"/>
    <cellStyle name="Calculation 4 3 2 2 4" xfId="19765"/>
    <cellStyle name="Calculation 4 3 2 2_Table" xfId="5161"/>
    <cellStyle name="Calculation 4 3 2 3" xfId="1901"/>
    <cellStyle name="Calculation 4 3 2 3 2" xfId="11229"/>
    <cellStyle name="Calculation 4 3 2 3 2 2" xfId="24535"/>
    <cellStyle name="Calculation 4 3 2 3 3" xfId="15639"/>
    <cellStyle name="Calculation 4 3 2 3 3 2" xfId="28945"/>
    <cellStyle name="Calculation 4 3 2 3 4" xfId="20125"/>
    <cellStyle name="Calculation 4 3 2 3_Table" xfId="5162"/>
    <cellStyle name="Calculation 4 3 2 4" xfId="2331"/>
    <cellStyle name="Calculation 4 3 2 4 2" xfId="11659"/>
    <cellStyle name="Calculation 4 3 2 4 2 2" xfId="24965"/>
    <cellStyle name="Calculation 4 3 2 4 3" xfId="16069"/>
    <cellStyle name="Calculation 4 3 2 4 3 2" xfId="29375"/>
    <cellStyle name="Calculation 4 3 2 4 4" xfId="20555"/>
    <cellStyle name="Calculation 4 3 2 4_Table" xfId="5163"/>
    <cellStyle name="Calculation 4 3 2 5" xfId="2769"/>
    <cellStyle name="Calculation 4 3 2 5 2" xfId="12097"/>
    <cellStyle name="Calculation 4 3 2 5 2 2" xfId="25403"/>
    <cellStyle name="Calculation 4 3 2 5 3" xfId="16507"/>
    <cellStyle name="Calculation 4 3 2 5 3 2" xfId="29813"/>
    <cellStyle name="Calculation 4 3 2 5 4" xfId="20993"/>
    <cellStyle name="Calculation 4 3 2 5_Table" xfId="5164"/>
    <cellStyle name="Calculation 4 3 2 6" xfId="3176"/>
    <cellStyle name="Calculation 4 3 2 6 2" xfId="12504"/>
    <cellStyle name="Calculation 4 3 2 6 2 2" xfId="25810"/>
    <cellStyle name="Calculation 4 3 2 6 3" xfId="16914"/>
    <cellStyle name="Calculation 4 3 2 6 3 2" xfId="30220"/>
    <cellStyle name="Calculation 4 3 2 6 4" xfId="21400"/>
    <cellStyle name="Calculation 4 3 2 6_Table" xfId="5165"/>
    <cellStyle name="Calculation 4 3 2 7" xfId="3768"/>
    <cellStyle name="Calculation 4 3 2 7 2" xfId="13096"/>
    <cellStyle name="Calculation 4 3 2 7 2 2" xfId="26402"/>
    <cellStyle name="Calculation 4 3 2 7 3" xfId="17506"/>
    <cellStyle name="Calculation 4 3 2 7 3 2" xfId="30812"/>
    <cellStyle name="Calculation 4 3 2 7 4" xfId="21992"/>
    <cellStyle name="Calculation 4 3 2 7_Table" xfId="5166"/>
    <cellStyle name="Calculation 4 3 2 8" xfId="3993"/>
    <cellStyle name="Calculation 4 3 2 8 2" xfId="13321"/>
    <cellStyle name="Calculation 4 3 2 8 2 2" xfId="26627"/>
    <cellStyle name="Calculation 4 3 2 8 3" xfId="17731"/>
    <cellStyle name="Calculation 4 3 2 8 3 2" xfId="31037"/>
    <cellStyle name="Calculation 4 3 2 8 4" xfId="22217"/>
    <cellStyle name="Calculation 4 3 2 8_Table" xfId="5167"/>
    <cellStyle name="Calculation 4 3 2 9" xfId="4354"/>
    <cellStyle name="Calculation 4 3 2 9 2" xfId="13682"/>
    <cellStyle name="Calculation 4 3 2 9 2 2" xfId="26988"/>
    <cellStyle name="Calculation 4 3 2 9 3" xfId="18092"/>
    <cellStyle name="Calculation 4 3 2 9 3 2" xfId="31398"/>
    <cellStyle name="Calculation 4 3 2 9 4" xfId="22578"/>
    <cellStyle name="Calculation 4 3 2 9_Table" xfId="5168"/>
    <cellStyle name="Calculation 4 3 2_Table" xfId="5159"/>
    <cellStyle name="Calculation 4 3 3" xfId="951"/>
    <cellStyle name="Calculation 4 3 3 2" xfId="10279"/>
    <cellStyle name="Calculation 4 3 3 2 2" xfId="23585"/>
    <cellStyle name="Calculation 4 3 3 3" xfId="14689"/>
    <cellStyle name="Calculation 4 3 3 3 2" xfId="27995"/>
    <cellStyle name="Calculation 4 3 3 4" xfId="19175"/>
    <cellStyle name="Calculation 4 3 3_Table" xfId="5169"/>
    <cellStyle name="Calculation 4 3 4" xfId="2054"/>
    <cellStyle name="Calculation 4 3 4 2" xfId="11382"/>
    <cellStyle name="Calculation 4 3 4 2 2" xfId="24688"/>
    <cellStyle name="Calculation 4 3 4 3" xfId="15792"/>
    <cellStyle name="Calculation 4 3 4 3 2" xfId="29098"/>
    <cellStyle name="Calculation 4 3 4 4" xfId="20278"/>
    <cellStyle name="Calculation 4 3 4_Table" xfId="5170"/>
    <cellStyle name="Calculation 4 3 5" xfId="2486"/>
    <cellStyle name="Calculation 4 3 5 2" xfId="11814"/>
    <cellStyle name="Calculation 4 3 5 2 2" xfId="25120"/>
    <cellStyle name="Calculation 4 3 5 3" xfId="16224"/>
    <cellStyle name="Calculation 4 3 5 3 2" xfId="29530"/>
    <cellStyle name="Calculation 4 3 5 4" xfId="20710"/>
    <cellStyle name="Calculation 4 3 5_Table" xfId="5171"/>
    <cellStyle name="Calculation 4 3 6" xfId="2915"/>
    <cellStyle name="Calculation 4 3 6 2" xfId="12243"/>
    <cellStyle name="Calculation 4 3 6 2 2" xfId="25549"/>
    <cellStyle name="Calculation 4 3 6 3" xfId="16653"/>
    <cellStyle name="Calculation 4 3 6 3 2" xfId="29959"/>
    <cellStyle name="Calculation 4 3 6 4" xfId="21139"/>
    <cellStyle name="Calculation 4 3 6_Table" xfId="5172"/>
    <cellStyle name="Calculation 4 3 7" xfId="3327"/>
    <cellStyle name="Calculation 4 3 7 2" xfId="12655"/>
    <cellStyle name="Calculation 4 3 7 2 2" xfId="25961"/>
    <cellStyle name="Calculation 4 3 7 3" xfId="17065"/>
    <cellStyle name="Calculation 4 3 7 3 2" xfId="30371"/>
    <cellStyle name="Calculation 4 3 7 4" xfId="21551"/>
    <cellStyle name="Calculation 4 3 7_Table" xfId="5173"/>
    <cellStyle name="Calculation 4 3 8" xfId="3433"/>
    <cellStyle name="Calculation 4 3 8 2" xfId="12761"/>
    <cellStyle name="Calculation 4 3 8 2 2" xfId="26067"/>
    <cellStyle name="Calculation 4 3 8 3" xfId="17171"/>
    <cellStyle name="Calculation 4 3 8 3 2" xfId="30477"/>
    <cellStyle name="Calculation 4 3 8 4" xfId="21657"/>
    <cellStyle name="Calculation 4 3 8_Table" xfId="5174"/>
    <cellStyle name="Calculation 4 3 9" xfId="4129"/>
    <cellStyle name="Calculation 4 3 9 2" xfId="13457"/>
    <cellStyle name="Calculation 4 3 9 2 2" xfId="26763"/>
    <cellStyle name="Calculation 4 3 9 3" xfId="17867"/>
    <cellStyle name="Calculation 4 3 9 3 2" xfId="31173"/>
    <cellStyle name="Calculation 4 3 9 4" xfId="22353"/>
    <cellStyle name="Calculation 4 3 9_Table" xfId="5175"/>
    <cellStyle name="Calculation 4 3_Table" xfId="5157"/>
    <cellStyle name="Calculation 4 4" xfId="527"/>
    <cellStyle name="Calculation 4 4 10" xfId="4535"/>
    <cellStyle name="Calculation 4 4 10 2" xfId="13863"/>
    <cellStyle name="Calculation 4 4 10 2 2" xfId="27169"/>
    <cellStyle name="Calculation 4 4 10 3" xfId="18273"/>
    <cellStyle name="Calculation 4 4 10 3 2" xfId="31579"/>
    <cellStyle name="Calculation 4 4 10 4" xfId="22759"/>
    <cellStyle name="Calculation 4 4 10_Table" xfId="5177"/>
    <cellStyle name="Calculation 4 4 11" xfId="9855"/>
    <cellStyle name="Calculation 4 4 11 2" xfId="23209"/>
    <cellStyle name="Calculation 4 4 12" xfId="14313"/>
    <cellStyle name="Calculation 4 4 12 2" xfId="27619"/>
    <cellStyle name="Calculation 4 4 13" xfId="18799"/>
    <cellStyle name="Calculation 4 4 2" xfId="800"/>
    <cellStyle name="Calculation 4 4 2 10" xfId="4760"/>
    <cellStyle name="Calculation 4 4 2 10 2" xfId="14088"/>
    <cellStyle name="Calculation 4 4 2 10 2 2" xfId="27394"/>
    <cellStyle name="Calculation 4 4 2 10 3" xfId="18498"/>
    <cellStyle name="Calculation 4 4 2 10 3 2" xfId="31804"/>
    <cellStyle name="Calculation 4 4 2 10 4" xfId="22984"/>
    <cellStyle name="Calculation 4 4 2 10_Table" xfId="5179"/>
    <cellStyle name="Calculation 4 4 2 11" xfId="10128"/>
    <cellStyle name="Calculation 4 4 2 11 2" xfId="23434"/>
    <cellStyle name="Calculation 4 4 2 12" xfId="14538"/>
    <cellStyle name="Calculation 4 4 2 12 2" xfId="27844"/>
    <cellStyle name="Calculation 4 4 2 13" xfId="19024"/>
    <cellStyle name="Calculation 4 4 2 2" xfId="1586"/>
    <cellStyle name="Calculation 4 4 2 2 2" xfId="10914"/>
    <cellStyle name="Calculation 4 4 2 2 2 2" xfId="24220"/>
    <cellStyle name="Calculation 4 4 2 2 3" xfId="15324"/>
    <cellStyle name="Calculation 4 4 2 2 3 2" xfId="28630"/>
    <cellStyle name="Calculation 4 4 2 2 4" xfId="19810"/>
    <cellStyle name="Calculation 4 4 2 2_Table" xfId="5180"/>
    <cellStyle name="Calculation 4 4 2 3" xfId="1946"/>
    <cellStyle name="Calculation 4 4 2 3 2" xfId="11274"/>
    <cellStyle name="Calculation 4 4 2 3 2 2" xfId="24580"/>
    <cellStyle name="Calculation 4 4 2 3 3" xfId="15684"/>
    <cellStyle name="Calculation 4 4 2 3 3 2" xfId="28990"/>
    <cellStyle name="Calculation 4 4 2 3 4" xfId="20170"/>
    <cellStyle name="Calculation 4 4 2 3_Table" xfId="5181"/>
    <cellStyle name="Calculation 4 4 2 4" xfId="2376"/>
    <cellStyle name="Calculation 4 4 2 4 2" xfId="11704"/>
    <cellStyle name="Calculation 4 4 2 4 2 2" xfId="25010"/>
    <cellStyle name="Calculation 4 4 2 4 3" xfId="16114"/>
    <cellStyle name="Calculation 4 4 2 4 3 2" xfId="29420"/>
    <cellStyle name="Calculation 4 4 2 4 4" xfId="20600"/>
    <cellStyle name="Calculation 4 4 2 4_Table" xfId="5182"/>
    <cellStyle name="Calculation 4 4 2 5" xfId="2814"/>
    <cellStyle name="Calculation 4 4 2 5 2" xfId="12142"/>
    <cellStyle name="Calculation 4 4 2 5 2 2" xfId="25448"/>
    <cellStyle name="Calculation 4 4 2 5 3" xfId="16552"/>
    <cellStyle name="Calculation 4 4 2 5 3 2" xfId="29858"/>
    <cellStyle name="Calculation 4 4 2 5 4" xfId="21038"/>
    <cellStyle name="Calculation 4 4 2 5_Table" xfId="5183"/>
    <cellStyle name="Calculation 4 4 2 6" xfId="3221"/>
    <cellStyle name="Calculation 4 4 2 6 2" xfId="12549"/>
    <cellStyle name="Calculation 4 4 2 6 2 2" xfId="25855"/>
    <cellStyle name="Calculation 4 4 2 6 3" xfId="16959"/>
    <cellStyle name="Calculation 4 4 2 6 3 2" xfId="30265"/>
    <cellStyle name="Calculation 4 4 2 6 4" xfId="21445"/>
    <cellStyle name="Calculation 4 4 2 6_Table" xfId="5184"/>
    <cellStyle name="Calculation 4 4 2 7" xfId="3813"/>
    <cellStyle name="Calculation 4 4 2 7 2" xfId="13141"/>
    <cellStyle name="Calculation 4 4 2 7 2 2" xfId="26447"/>
    <cellStyle name="Calculation 4 4 2 7 3" xfId="17551"/>
    <cellStyle name="Calculation 4 4 2 7 3 2" xfId="30857"/>
    <cellStyle name="Calculation 4 4 2 7 4" xfId="22037"/>
    <cellStyle name="Calculation 4 4 2 7_Table" xfId="5185"/>
    <cellStyle name="Calculation 4 4 2 8" xfId="4038"/>
    <cellStyle name="Calculation 4 4 2 8 2" xfId="13366"/>
    <cellStyle name="Calculation 4 4 2 8 2 2" xfId="26672"/>
    <cellStyle name="Calculation 4 4 2 8 3" xfId="17776"/>
    <cellStyle name="Calculation 4 4 2 8 3 2" xfId="31082"/>
    <cellStyle name="Calculation 4 4 2 8 4" xfId="22262"/>
    <cellStyle name="Calculation 4 4 2 8_Table" xfId="5186"/>
    <cellStyle name="Calculation 4 4 2 9" xfId="4399"/>
    <cellStyle name="Calculation 4 4 2 9 2" xfId="13727"/>
    <cellStyle name="Calculation 4 4 2 9 2 2" xfId="27033"/>
    <cellStyle name="Calculation 4 4 2 9 3" xfId="18137"/>
    <cellStyle name="Calculation 4 4 2 9 3 2" xfId="31443"/>
    <cellStyle name="Calculation 4 4 2 9 4" xfId="22623"/>
    <cellStyle name="Calculation 4 4 2 9_Table" xfId="5187"/>
    <cellStyle name="Calculation 4 4 2_Table" xfId="5178"/>
    <cellStyle name="Calculation 4 4 3" xfId="1679"/>
    <cellStyle name="Calculation 4 4 3 2" xfId="11007"/>
    <cellStyle name="Calculation 4 4 3 2 2" xfId="24313"/>
    <cellStyle name="Calculation 4 4 3 3" xfId="15417"/>
    <cellStyle name="Calculation 4 4 3 3 2" xfId="28723"/>
    <cellStyle name="Calculation 4 4 3 4" xfId="19903"/>
    <cellStyle name="Calculation 4 4 3_Table" xfId="5188"/>
    <cellStyle name="Calculation 4 4 4" xfId="2113"/>
    <cellStyle name="Calculation 4 4 4 2" xfId="11441"/>
    <cellStyle name="Calculation 4 4 4 2 2" xfId="24747"/>
    <cellStyle name="Calculation 4 4 4 3" xfId="15851"/>
    <cellStyle name="Calculation 4 4 4 3 2" xfId="29157"/>
    <cellStyle name="Calculation 4 4 4 4" xfId="20337"/>
    <cellStyle name="Calculation 4 4 4_Table" xfId="5189"/>
    <cellStyle name="Calculation 4 4 5" xfId="2545"/>
    <cellStyle name="Calculation 4 4 5 2" xfId="11873"/>
    <cellStyle name="Calculation 4 4 5 2 2" xfId="25179"/>
    <cellStyle name="Calculation 4 4 5 3" xfId="16283"/>
    <cellStyle name="Calculation 4 4 5 3 2" xfId="29589"/>
    <cellStyle name="Calculation 4 4 5 4" xfId="20769"/>
    <cellStyle name="Calculation 4 4 5_Table" xfId="5190"/>
    <cellStyle name="Calculation 4 4 6" xfId="2972"/>
    <cellStyle name="Calculation 4 4 6 2" xfId="12300"/>
    <cellStyle name="Calculation 4 4 6 2 2" xfId="25606"/>
    <cellStyle name="Calculation 4 4 6 3" xfId="16710"/>
    <cellStyle name="Calculation 4 4 6 3 2" xfId="30016"/>
    <cellStyle name="Calculation 4 4 6 4" xfId="21196"/>
    <cellStyle name="Calculation 4 4 6_Table" xfId="5191"/>
    <cellStyle name="Calculation 4 4 7" xfId="3385"/>
    <cellStyle name="Calculation 4 4 7 2" xfId="12713"/>
    <cellStyle name="Calculation 4 4 7 2 2" xfId="26019"/>
    <cellStyle name="Calculation 4 4 7 3" xfId="17123"/>
    <cellStyle name="Calculation 4 4 7 3 2" xfId="30429"/>
    <cellStyle name="Calculation 4 4 7 4" xfId="21609"/>
    <cellStyle name="Calculation 4 4 7_Table" xfId="5192"/>
    <cellStyle name="Calculation 4 4 8" xfId="3591"/>
    <cellStyle name="Calculation 4 4 8 2" xfId="12919"/>
    <cellStyle name="Calculation 4 4 8 2 2" xfId="26225"/>
    <cellStyle name="Calculation 4 4 8 3" xfId="17329"/>
    <cellStyle name="Calculation 4 4 8 3 2" xfId="30635"/>
    <cellStyle name="Calculation 4 4 8 4" xfId="21815"/>
    <cellStyle name="Calculation 4 4 8_Table" xfId="5193"/>
    <cellStyle name="Calculation 4 4 9" xfId="4174"/>
    <cellStyle name="Calculation 4 4 9 2" xfId="13502"/>
    <cellStyle name="Calculation 4 4 9 2 2" xfId="26808"/>
    <cellStyle name="Calculation 4 4 9 3" xfId="17912"/>
    <cellStyle name="Calculation 4 4 9 3 2" xfId="31218"/>
    <cellStyle name="Calculation 4 4 9 4" xfId="22398"/>
    <cellStyle name="Calculation 4 4 9_Table" xfId="5194"/>
    <cellStyle name="Calculation 4 4_Table" xfId="5176"/>
    <cellStyle name="Calculation 4 5" xfId="602"/>
    <cellStyle name="Calculation 4 5 10" xfId="4580"/>
    <cellStyle name="Calculation 4 5 10 2" xfId="13908"/>
    <cellStyle name="Calculation 4 5 10 2 2" xfId="27214"/>
    <cellStyle name="Calculation 4 5 10 3" xfId="18318"/>
    <cellStyle name="Calculation 4 5 10 3 2" xfId="31624"/>
    <cellStyle name="Calculation 4 5 10 4" xfId="22804"/>
    <cellStyle name="Calculation 4 5 10_Table" xfId="5196"/>
    <cellStyle name="Calculation 4 5 11" xfId="9930"/>
    <cellStyle name="Calculation 4 5 11 2" xfId="23254"/>
    <cellStyle name="Calculation 4 5 12" xfId="14358"/>
    <cellStyle name="Calculation 4 5 12 2" xfId="27664"/>
    <cellStyle name="Calculation 4 5 13" xfId="18844"/>
    <cellStyle name="Calculation 4 5 2" xfId="845"/>
    <cellStyle name="Calculation 4 5 2 10" xfId="4805"/>
    <cellStyle name="Calculation 4 5 2 10 2" xfId="14133"/>
    <cellStyle name="Calculation 4 5 2 10 2 2" xfId="27439"/>
    <cellStyle name="Calculation 4 5 2 10 3" xfId="18543"/>
    <cellStyle name="Calculation 4 5 2 10 3 2" xfId="31849"/>
    <cellStyle name="Calculation 4 5 2 10 4" xfId="23029"/>
    <cellStyle name="Calculation 4 5 2 10_Table" xfId="5198"/>
    <cellStyle name="Calculation 4 5 2 11" xfId="10173"/>
    <cellStyle name="Calculation 4 5 2 11 2" xfId="23479"/>
    <cellStyle name="Calculation 4 5 2 12" xfId="14583"/>
    <cellStyle name="Calculation 4 5 2 12 2" xfId="27889"/>
    <cellStyle name="Calculation 4 5 2 13" xfId="19069"/>
    <cellStyle name="Calculation 4 5 2 2" xfId="1631"/>
    <cellStyle name="Calculation 4 5 2 2 2" xfId="10959"/>
    <cellStyle name="Calculation 4 5 2 2 2 2" xfId="24265"/>
    <cellStyle name="Calculation 4 5 2 2 3" xfId="15369"/>
    <cellStyle name="Calculation 4 5 2 2 3 2" xfId="28675"/>
    <cellStyle name="Calculation 4 5 2 2 4" xfId="19855"/>
    <cellStyle name="Calculation 4 5 2 2_Table" xfId="5199"/>
    <cellStyle name="Calculation 4 5 2 3" xfId="1991"/>
    <cellStyle name="Calculation 4 5 2 3 2" xfId="11319"/>
    <cellStyle name="Calculation 4 5 2 3 2 2" xfId="24625"/>
    <cellStyle name="Calculation 4 5 2 3 3" xfId="15729"/>
    <cellStyle name="Calculation 4 5 2 3 3 2" xfId="29035"/>
    <cellStyle name="Calculation 4 5 2 3 4" xfId="20215"/>
    <cellStyle name="Calculation 4 5 2 3_Table" xfId="5200"/>
    <cellStyle name="Calculation 4 5 2 4" xfId="2421"/>
    <cellStyle name="Calculation 4 5 2 4 2" xfId="11749"/>
    <cellStyle name="Calculation 4 5 2 4 2 2" xfId="25055"/>
    <cellStyle name="Calculation 4 5 2 4 3" xfId="16159"/>
    <cellStyle name="Calculation 4 5 2 4 3 2" xfId="29465"/>
    <cellStyle name="Calculation 4 5 2 4 4" xfId="20645"/>
    <cellStyle name="Calculation 4 5 2 4_Table" xfId="5201"/>
    <cellStyle name="Calculation 4 5 2 5" xfId="2859"/>
    <cellStyle name="Calculation 4 5 2 5 2" xfId="12187"/>
    <cellStyle name="Calculation 4 5 2 5 2 2" xfId="25493"/>
    <cellStyle name="Calculation 4 5 2 5 3" xfId="16597"/>
    <cellStyle name="Calculation 4 5 2 5 3 2" xfId="29903"/>
    <cellStyle name="Calculation 4 5 2 5 4" xfId="21083"/>
    <cellStyle name="Calculation 4 5 2 5_Table" xfId="5202"/>
    <cellStyle name="Calculation 4 5 2 6" xfId="3266"/>
    <cellStyle name="Calculation 4 5 2 6 2" xfId="12594"/>
    <cellStyle name="Calculation 4 5 2 6 2 2" xfId="25900"/>
    <cellStyle name="Calculation 4 5 2 6 3" xfId="17004"/>
    <cellStyle name="Calculation 4 5 2 6 3 2" xfId="30310"/>
    <cellStyle name="Calculation 4 5 2 6 4" xfId="21490"/>
    <cellStyle name="Calculation 4 5 2 6_Table" xfId="5203"/>
    <cellStyle name="Calculation 4 5 2 7" xfId="3858"/>
    <cellStyle name="Calculation 4 5 2 7 2" xfId="13186"/>
    <cellStyle name="Calculation 4 5 2 7 2 2" xfId="26492"/>
    <cellStyle name="Calculation 4 5 2 7 3" xfId="17596"/>
    <cellStyle name="Calculation 4 5 2 7 3 2" xfId="30902"/>
    <cellStyle name="Calculation 4 5 2 7 4" xfId="22082"/>
    <cellStyle name="Calculation 4 5 2 7_Table" xfId="5204"/>
    <cellStyle name="Calculation 4 5 2 8" xfId="4083"/>
    <cellStyle name="Calculation 4 5 2 8 2" xfId="13411"/>
    <cellStyle name="Calculation 4 5 2 8 2 2" xfId="26717"/>
    <cellStyle name="Calculation 4 5 2 8 3" xfId="17821"/>
    <cellStyle name="Calculation 4 5 2 8 3 2" xfId="31127"/>
    <cellStyle name="Calculation 4 5 2 8 4" xfId="22307"/>
    <cellStyle name="Calculation 4 5 2 8_Table" xfId="5205"/>
    <cellStyle name="Calculation 4 5 2 9" xfId="4444"/>
    <cellStyle name="Calculation 4 5 2 9 2" xfId="13772"/>
    <cellStyle name="Calculation 4 5 2 9 2 2" xfId="27078"/>
    <cellStyle name="Calculation 4 5 2 9 3" xfId="18182"/>
    <cellStyle name="Calculation 4 5 2 9 3 2" xfId="31488"/>
    <cellStyle name="Calculation 4 5 2 9 4" xfId="22668"/>
    <cellStyle name="Calculation 4 5 2 9_Table" xfId="5206"/>
    <cellStyle name="Calculation 4 5 2_Table" xfId="5197"/>
    <cellStyle name="Calculation 4 5 3" xfId="1749"/>
    <cellStyle name="Calculation 4 5 3 2" xfId="11077"/>
    <cellStyle name="Calculation 4 5 3 2 2" xfId="24383"/>
    <cellStyle name="Calculation 4 5 3 3" xfId="15487"/>
    <cellStyle name="Calculation 4 5 3 3 2" xfId="28793"/>
    <cellStyle name="Calculation 4 5 3 4" xfId="19973"/>
    <cellStyle name="Calculation 4 5 3_Table" xfId="5207"/>
    <cellStyle name="Calculation 4 5 4" xfId="2182"/>
    <cellStyle name="Calculation 4 5 4 2" xfId="11510"/>
    <cellStyle name="Calculation 4 5 4 2 2" xfId="24816"/>
    <cellStyle name="Calculation 4 5 4 3" xfId="15920"/>
    <cellStyle name="Calculation 4 5 4 3 2" xfId="29226"/>
    <cellStyle name="Calculation 4 5 4 4" xfId="20406"/>
    <cellStyle name="Calculation 4 5 4_Table" xfId="5208"/>
    <cellStyle name="Calculation 4 5 5" xfId="2617"/>
    <cellStyle name="Calculation 4 5 5 2" xfId="11945"/>
    <cellStyle name="Calculation 4 5 5 2 2" xfId="25251"/>
    <cellStyle name="Calculation 4 5 5 3" xfId="16355"/>
    <cellStyle name="Calculation 4 5 5 3 2" xfId="29661"/>
    <cellStyle name="Calculation 4 5 5 4" xfId="20841"/>
    <cellStyle name="Calculation 4 5 5_Table" xfId="5209"/>
    <cellStyle name="Calculation 4 5 6" xfId="3030"/>
    <cellStyle name="Calculation 4 5 6 2" xfId="12358"/>
    <cellStyle name="Calculation 4 5 6 2 2" xfId="25664"/>
    <cellStyle name="Calculation 4 5 6 3" xfId="16768"/>
    <cellStyle name="Calculation 4 5 6 3 2" xfId="30074"/>
    <cellStyle name="Calculation 4 5 6 4" xfId="21254"/>
    <cellStyle name="Calculation 4 5 6_Table" xfId="5210"/>
    <cellStyle name="Calculation 4 5 7" xfId="3456"/>
    <cellStyle name="Calculation 4 5 7 2" xfId="12784"/>
    <cellStyle name="Calculation 4 5 7 2 2" xfId="26090"/>
    <cellStyle name="Calculation 4 5 7 3" xfId="17194"/>
    <cellStyle name="Calculation 4 5 7 3 2" xfId="30500"/>
    <cellStyle name="Calculation 4 5 7 4" xfId="21680"/>
    <cellStyle name="Calculation 4 5 7_Table" xfId="5211"/>
    <cellStyle name="Calculation 4 5 8" xfId="3603"/>
    <cellStyle name="Calculation 4 5 8 2" xfId="12931"/>
    <cellStyle name="Calculation 4 5 8 2 2" xfId="26237"/>
    <cellStyle name="Calculation 4 5 8 3" xfId="17341"/>
    <cellStyle name="Calculation 4 5 8 3 2" xfId="30647"/>
    <cellStyle name="Calculation 4 5 8 4" xfId="21827"/>
    <cellStyle name="Calculation 4 5 8_Table" xfId="5212"/>
    <cellStyle name="Calculation 4 5 9" xfId="4219"/>
    <cellStyle name="Calculation 4 5 9 2" xfId="13547"/>
    <cellStyle name="Calculation 4 5 9 2 2" xfId="26853"/>
    <cellStyle name="Calculation 4 5 9 3" xfId="17957"/>
    <cellStyle name="Calculation 4 5 9 3 2" xfId="31263"/>
    <cellStyle name="Calculation 4 5 9 4" xfId="22443"/>
    <cellStyle name="Calculation 4 5 9_Table" xfId="5213"/>
    <cellStyle name="Calculation 4 5_Table" xfId="5195"/>
    <cellStyle name="Calculation 4 6" xfId="665"/>
    <cellStyle name="Calculation 4 6 10" xfId="4625"/>
    <cellStyle name="Calculation 4 6 10 2" xfId="13953"/>
    <cellStyle name="Calculation 4 6 10 2 2" xfId="27259"/>
    <cellStyle name="Calculation 4 6 10 3" xfId="18363"/>
    <cellStyle name="Calculation 4 6 10 3 2" xfId="31669"/>
    <cellStyle name="Calculation 4 6 10 4" xfId="22849"/>
    <cellStyle name="Calculation 4 6 10_Table" xfId="5215"/>
    <cellStyle name="Calculation 4 6 11" xfId="9993"/>
    <cellStyle name="Calculation 4 6 11 2" xfId="23299"/>
    <cellStyle name="Calculation 4 6 12" xfId="14403"/>
    <cellStyle name="Calculation 4 6 12 2" xfId="27709"/>
    <cellStyle name="Calculation 4 6 13" xfId="18889"/>
    <cellStyle name="Calculation 4 6 2" xfId="1451"/>
    <cellStyle name="Calculation 4 6 2 2" xfId="10779"/>
    <cellStyle name="Calculation 4 6 2 2 2" xfId="24085"/>
    <cellStyle name="Calculation 4 6 2 3" xfId="15189"/>
    <cellStyle name="Calculation 4 6 2 3 2" xfId="28495"/>
    <cellStyle name="Calculation 4 6 2 4" xfId="19675"/>
    <cellStyle name="Calculation 4 6 2_Table" xfId="5216"/>
    <cellStyle name="Calculation 4 6 3" xfId="1811"/>
    <cellStyle name="Calculation 4 6 3 2" xfId="11139"/>
    <cellStyle name="Calculation 4 6 3 2 2" xfId="24445"/>
    <cellStyle name="Calculation 4 6 3 3" xfId="15549"/>
    <cellStyle name="Calculation 4 6 3 3 2" xfId="28855"/>
    <cellStyle name="Calculation 4 6 3 4" xfId="20035"/>
    <cellStyle name="Calculation 4 6 3_Table" xfId="5217"/>
    <cellStyle name="Calculation 4 6 4" xfId="2241"/>
    <cellStyle name="Calculation 4 6 4 2" xfId="11569"/>
    <cellStyle name="Calculation 4 6 4 2 2" xfId="24875"/>
    <cellStyle name="Calculation 4 6 4 3" xfId="15979"/>
    <cellStyle name="Calculation 4 6 4 3 2" xfId="29285"/>
    <cellStyle name="Calculation 4 6 4 4" xfId="20465"/>
    <cellStyle name="Calculation 4 6 4_Table" xfId="5218"/>
    <cellStyle name="Calculation 4 6 5" xfId="2679"/>
    <cellStyle name="Calculation 4 6 5 2" xfId="12007"/>
    <cellStyle name="Calculation 4 6 5 2 2" xfId="25313"/>
    <cellStyle name="Calculation 4 6 5 3" xfId="16417"/>
    <cellStyle name="Calculation 4 6 5 3 2" xfId="29723"/>
    <cellStyle name="Calculation 4 6 5 4" xfId="20903"/>
    <cellStyle name="Calculation 4 6 5_Table" xfId="5219"/>
    <cellStyle name="Calculation 4 6 6" xfId="3086"/>
    <cellStyle name="Calculation 4 6 6 2" xfId="12414"/>
    <cellStyle name="Calculation 4 6 6 2 2" xfId="25720"/>
    <cellStyle name="Calculation 4 6 6 3" xfId="16824"/>
    <cellStyle name="Calculation 4 6 6 3 2" xfId="30130"/>
    <cellStyle name="Calculation 4 6 6 4" xfId="21310"/>
    <cellStyle name="Calculation 4 6 6_Table" xfId="5220"/>
    <cellStyle name="Calculation 4 6 7" xfId="3678"/>
    <cellStyle name="Calculation 4 6 7 2" xfId="13006"/>
    <cellStyle name="Calculation 4 6 7 2 2" xfId="26312"/>
    <cellStyle name="Calculation 4 6 7 3" xfId="17416"/>
    <cellStyle name="Calculation 4 6 7 3 2" xfId="30722"/>
    <cellStyle name="Calculation 4 6 7 4" xfId="21902"/>
    <cellStyle name="Calculation 4 6 7_Table" xfId="5221"/>
    <cellStyle name="Calculation 4 6 8" xfId="3903"/>
    <cellStyle name="Calculation 4 6 8 2" xfId="13231"/>
    <cellStyle name="Calculation 4 6 8 2 2" xfId="26537"/>
    <cellStyle name="Calculation 4 6 8 3" xfId="17641"/>
    <cellStyle name="Calculation 4 6 8 3 2" xfId="30947"/>
    <cellStyle name="Calculation 4 6 8 4" xfId="22127"/>
    <cellStyle name="Calculation 4 6 8_Table" xfId="5222"/>
    <cellStyle name="Calculation 4 6 9" xfId="4264"/>
    <cellStyle name="Calculation 4 6 9 2" xfId="13592"/>
    <cellStyle name="Calculation 4 6 9 2 2" xfId="26898"/>
    <cellStyle name="Calculation 4 6 9 3" xfId="18002"/>
    <cellStyle name="Calculation 4 6 9 3 2" xfId="31308"/>
    <cellStyle name="Calculation 4 6 9 4" xfId="22488"/>
    <cellStyle name="Calculation 4 6 9_Table" xfId="5223"/>
    <cellStyle name="Calculation 4 6_Table" xfId="5214"/>
    <cellStyle name="Calculation 4 7" xfId="1114"/>
    <cellStyle name="Calculation 4 7 2" xfId="10442"/>
    <cellStyle name="Calculation 4 7 2 2" xfId="23748"/>
    <cellStyle name="Calculation 4 7 3" xfId="14852"/>
    <cellStyle name="Calculation 4 7 3 2" xfId="28158"/>
    <cellStyle name="Calculation 4 7 4" xfId="19338"/>
    <cellStyle name="Calculation 4 7_Table" xfId="5224"/>
    <cellStyle name="Calculation 4 8" xfId="1129"/>
    <cellStyle name="Calculation 4 8 2" xfId="10457"/>
    <cellStyle name="Calculation 4 8 2 2" xfId="23763"/>
    <cellStyle name="Calculation 4 8 3" xfId="14867"/>
    <cellStyle name="Calculation 4 8 3 2" xfId="28173"/>
    <cellStyle name="Calculation 4 8 4" xfId="19353"/>
    <cellStyle name="Calculation 4 8_Table" xfId="5225"/>
    <cellStyle name="Calculation 4 9" xfId="1105"/>
    <cellStyle name="Calculation 4 9 2" xfId="10433"/>
    <cellStyle name="Calculation 4 9 2 2" xfId="23739"/>
    <cellStyle name="Calculation 4 9 3" xfId="14843"/>
    <cellStyle name="Calculation 4 9 3 2" xfId="28149"/>
    <cellStyle name="Calculation 4 9 4" xfId="19329"/>
    <cellStyle name="Calculation 4 9_Table" xfId="5226"/>
    <cellStyle name="Calculation 4_Table" xfId="5132"/>
    <cellStyle name="Calculation 5" xfId="239"/>
    <cellStyle name="Calculation 5 10" xfId="1139"/>
    <cellStyle name="Calculation 5 10 2" xfId="10467"/>
    <cellStyle name="Calculation 5 10 2 2" xfId="23773"/>
    <cellStyle name="Calculation 5 10 3" xfId="14877"/>
    <cellStyle name="Calculation 5 10 3 2" xfId="28183"/>
    <cellStyle name="Calculation 5 10 4" xfId="19363"/>
    <cellStyle name="Calculation 5 10_Table" xfId="5228"/>
    <cellStyle name="Calculation 5 11" xfId="1103"/>
    <cellStyle name="Calculation 5 11 2" xfId="10431"/>
    <cellStyle name="Calculation 5 11 2 2" xfId="23737"/>
    <cellStyle name="Calculation 5 11 3" xfId="14841"/>
    <cellStyle name="Calculation 5 11 3 2" xfId="28147"/>
    <cellStyle name="Calculation 5 11 4" xfId="19327"/>
    <cellStyle name="Calculation 5 11_Table" xfId="5229"/>
    <cellStyle name="Calculation 5 12" xfId="3080"/>
    <cellStyle name="Calculation 5 12 2" xfId="12408"/>
    <cellStyle name="Calculation 5 12 2 2" xfId="25714"/>
    <cellStyle name="Calculation 5 12 3" xfId="16818"/>
    <cellStyle name="Calculation 5 12 3 2" xfId="30124"/>
    <cellStyle name="Calculation 5 12 4" xfId="21304"/>
    <cellStyle name="Calculation 5 12_Table" xfId="5230"/>
    <cellStyle name="Calculation 5 13" xfId="2911"/>
    <cellStyle name="Calculation 5 13 2" xfId="12239"/>
    <cellStyle name="Calculation 5 13 2 2" xfId="25545"/>
    <cellStyle name="Calculation 5 13 3" xfId="16649"/>
    <cellStyle name="Calculation 5 13 3 2" xfId="29955"/>
    <cellStyle name="Calculation 5 13 4" xfId="21135"/>
    <cellStyle name="Calculation 5 13_Table" xfId="5231"/>
    <cellStyle name="Calculation 5 14" xfId="2961"/>
    <cellStyle name="Calculation 5 14 2" xfId="12289"/>
    <cellStyle name="Calculation 5 14 2 2" xfId="25595"/>
    <cellStyle name="Calculation 5 14 3" xfId="16699"/>
    <cellStyle name="Calculation 5 14 3 2" xfId="30005"/>
    <cellStyle name="Calculation 5 14 4" xfId="21185"/>
    <cellStyle name="Calculation 5 14_Table" xfId="5232"/>
    <cellStyle name="Calculation 5 15" xfId="9567"/>
    <cellStyle name="Calculation 5 15 2" xfId="23075"/>
    <cellStyle name="Calculation 5 16" xfId="14179"/>
    <cellStyle name="Calculation 5 16 2" xfId="27485"/>
    <cellStyle name="Calculation 5 17" xfId="18665"/>
    <cellStyle name="Calculation 5 2" xfId="396"/>
    <cellStyle name="Calculation 5 2 10" xfId="2535"/>
    <cellStyle name="Calculation 5 2 10 2" xfId="11863"/>
    <cellStyle name="Calculation 5 2 10 2 2" xfId="25169"/>
    <cellStyle name="Calculation 5 2 10 3" xfId="16273"/>
    <cellStyle name="Calculation 5 2 10 3 2" xfId="29579"/>
    <cellStyle name="Calculation 5 2 10 4" xfId="20759"/>
    <cellStyle name="Calculation 5 2 10_Table" xfId="5234"/>
    <cellStyle name="Calculation 5 2 11" xfId="9724"/>
    <cellStyle name="Calculation 5 2 11 2" xfId="23120"/>
    <cellStyle name="Calculation 5 2 12" xfId="14224"/>
    <cellStyle name="Calculation 5 2 12 2" xfId="27530"/>
    <cellStyle name="Calculation 5 2 13" xfId="18710"/>
    <cellStyle name="Calculation 5 2 2" xfId="711"/>
    <cellStyle name="Calculation 5 2 2 10" xfId="4671"/>
    <cellStyle name="Calculation 5 2 2 10 2" xfId="13999"/>
    <cellStyle name="Calculation 5 2 2 10 2 2" xfId="27305"/>
    <cellStyle name="Calculation 5 2 2 10 3" xfId="18409"/>
    <cellStyle name="Calculation 5 2 2 10 3 2" xfId="31715"/>
    <cellStyle name="Calculation 5 2 2 10 4" xfId="22895"/>
    <cellStyle name="Calculation 5 2 2 10_Table" xfId="5236"/>
    <cellStyle name="Calculation 5 2 2 11" xfId="10039"/>
    <cellStyle name="Calculation 5 2 2 11 2" xfId="23345"/>
    <cellStyle name="Calculation 5 2 2 12" xfId="14449"/>
    <cellStyle name="Calculation 5 2 2 12 2" xfId="27755"/>
    <cellStyle name="Calculation 5 2 2 13" xfId="18935"/>
    <cellStyle name="Calculation 5 2 2 2" xfId="1497"/>
    <cellStyle name="Calculation 5 2 2 2 2" xfId="10825"/>
    <cellStyle name="Calculation 5 2 2 2 2 2" xfId="24131"/>
    <cellStyle name="Calculation 5 2 2 2 3" xfId="15235"/>
    <cellStyle name="Calculation 5 2 2 2 3 2" xfId="28541"/>
    <cellStyle name="Calculation 5 2 2 2 4" xfId="19721"/>
    <cellStyle name="Calculation 5 2 2 2_Table" xfId="5237"/>
    <cellStyle name="Calculation 5 2 2 3" xfId="1857"/>
    <cellStyle name="Calculation 5 2 2 3 2" xfId="11185"/>
    <cellStyle name="Calculation 5 2 2 3 2 2" xfId="24491"/>
    <cellStyle name="Calculation 5 2 2 3 3" xfId="15595"/>
    <cellStyle name="Calculation 5 2 2 3 3 2" xfId="28901"/>
    <cellStyle name="Calculation 5 2 2 3 4" xfId="20081"/>
    <cellStyle name="Calculation 5 2 2 3_Table" xfId="5238"/>
    <cellStyle name="Calculation 5 2 2 4" xfId="2287"/>
    <cellStyle name="Calculation 5 2 2 4 2" xfId="11615"/>
    <cellStyle name="Calculation 5 2 2 4 2 2" xfId="24921"/>
    <cellStyle name="Calculation 5 2 2 4 3" xfId="16025"/>
    <cellStyle name="Calculation 5 2 2 4 3 2" xfId="29331"/>
    <cellStyle name="Calculation 5 2 2 4 4" xfId="20511"/>
    <cellStyle name="Calculation 5 2 2 4_Table" xfId="5239"/>
    <cellStyle name="Calculation 5 2 2 5" xfId="2725"/>
    <cellStyle name="Calculation 5 2 2 5 2" xfId="12053"/>
    <cellStyle name="Calculation 5 2 2 5 2 2" xfId="25359"/>
    <cellStyle name="Calculation 5 2 2 5 3" xfId="16463"/>
    <cellStyle name="Calculation 5 2 2 5 3 2" xfId="29769"/>
    <cellStyle name="Calculation 5 2 2 5 4" xfId="20949"/>
    <cellStyle name="Calculation 5 2 2 5_Table" xfId="5240"/>
    <cellStyle name="Calculation 5 2 2 6" xfId="3132"/>
    <cellStyle name="Calculation 5 2 2 6 2" xfId="12460"/>
    <cellStyle name="Calculation 5 2 2 6 2 2" xfId="25766"/>
    <cellStyle name="Calculation 5 2 2 6 3" xfId="16870"/>
    <cellStyle name="Calculation 5 2 2 6 3 2" xfId="30176"/>
    <cellStyle name="Calculation 5 2 2 6 4" xfId="21356"/>
    <cellStyle name="Calculation 5 2 2 6_Table" xfId="5241"/>
    <cellStyle name="Calculation 5 2 2 7" xfId="3724"/>
    <cellStyle name="Calculation 5 2 2 7 2" xfId="13052"/>
    <cellStyle name="Calculation 5 2 2 7 2 2" xfId="26358"/>
    <cellStyle name="Calculation 5 2 2 7 3" xfId="17462"/>
    <cellStyle name="Calculation 5 2 2 7 3 2" xfId="30768"/>
    <cellStyle name="Calculation 5 2 2 7 4" xfId="21948"/>
    <cellStyle name="Calculation 5 2 2 7_Table" xfId="5242"/>
    <cellStyle name="Calculation 5 2 2 8" xfId="3949"/>
    <cellStyle name="Calculation 5 2 2 8 2" xfId="13277"/>
    <cellStyle name="Calculation 5 2 2 8 2 2" xfId="26583"/>
    <cellStyle name="Calculation 5 2 2 8 3" xfId="17687"/>
    <cellStyle name="Calculation 5 2 2 8 3 2" xfId="30993"/>
    <cellStyle name="Calculation 5 2 2 8 4" xfId="22173"/>
    <cellStyle name="Calculation 5 2 2 8_Table" xfId="5243"/>
    <cellStyle name="Calculation 5 2 2 9" xfId="4310"/>
    <cellStyle name="Calculation 5 2 2 9 2" xfId="13638"/>
    <cellStyle name="Calculation 5 2 2 9 2 2" xfId="26944"/>
    <cellStyle name="Calculation 5 2 2 9 3" xfId="18048"/>
    <cellStyle name="Calculation 5 2 2 9 3 2" xfId="31354"/>
    <cellStyle name="Calculation 5 2 2 9 4" xfId="22534"/>
    <cellStyle name="Calculation 5 2 2 9_Table" xfId="5244"/>
    <cellStyle name="Calculation 5 2 2_Table" xfId="5235"/>
    <cellStyle name="Calculation 5 2 3" xfId="1016"/>
    <cellStyle name="Calculation 5 2 3 2" xfId="10344"/>
    <cellStyle name="Calculation 5 2 3 2 2" xfId="23650"/>
    <cellStyle name="Calculation 5 2 3 3" xfId="14754"/>
    <cellStyle name="Calculation 5 2 3 3 2" xfId="28060"/>
    <cellStyle name="Calculation 5 2 3 4" xfId="19240"/>
    <cellStyle name="Calculation 5 2 3_Table" xfId="5245"/>
    <cellStyle name="Calculation 5 2 4" xfId="1376"/>
    <cellStyle name="Calculation 5 2 4 2" xfId="10704"/>
    <cellStyle name="Calculation 5 2 4 2 2" xfId="24010"/>
    <cellStyle name="Calculation 5 2 4 3" xfId="15114"/>
    <cellStyle name="Calculation 5 2 4 3 2" xfId="28420"/>
    <cellStyle name="Calculation 5 2 4 4" xfId="19600"/>
    <cellStyle name="Calculation 5 2 4_Table" xfId="5246"/>
    <cellStyle name="Calculation 5 2 5" xfId="902"/>
    <cellStyle name="Calculation 5 2 5 2" xfId="10230"/>
    <cellStyle name="Calculation 5 2 5 2 2" xfId="23536"/>
    <cellStyle name="Calculation 5 2 5 3" xfId="14640"/>
    <cellStyle name="Calculation 5 2 5 3 2" xfId="27946"/>
    <cellStyle name="Calculation 5 2 5 4" xfId="19126"/>
    <cellStyle name="Calculation 5 2 5_Table" xfId="5247"/>
    <cellStyle name="Calculation 5 2 6" xfId="2102"/>
    <cellStyle name="Calculation 5 2 6 2" xfId="11430"/>
    <cellStyle name="Calculation 5 2 6 2 2" xfId="24736"/>
    <cellStyle name="Calculation 5 2 6 3" xfId="15840"/>
    <cellStyle name="Calculation 5 2 6 3 2" xfId="29146"/>
    <cellStyle name="Calculation 5 2 6 4" xfId="20326"/>
    <cellStyle name="Calculation 5 2 6_Table" xfId="5248"/>
    <cellStyle name="Calculation 5 2 7" xfId="2533"/>
    <cellStyle name="Calculation 5 2 7 2" xfId="11861"/>
    <cellStyle name="Calculation 5 2 7 2 2" xfId="25167"/>
    <cellStyle name="Calculation 5 2 7 3" xfId="16271"/>
    <cellStyle name="Calculation 5 2 7 3 2" xfId="29577"/>
    <cellStyle name="Calculation 5 2 7 4" xfId="20757"/>
    <cellStyle name="Calculation 5 2 7_Table" xfId="5249"/>
    <cellStyle name="Calculation 5 2 8" xfId="1209"/>
    <cellStyle name="Calculation 5 2 8 2" xfId="10537"/>
    <cellStyle name="Calculation 5 2 8 2 2" xfId="23843"/>
    <cellStyle name="Calculation 5 2 8 3" xfId="14947"/>
    <cellStyle name="Calculation 5 2 8 3 2" xfId="28253"/>
    <cellStyle name="Calculation 5 2 8 4" xfId="19433"/>
    <cellStyle name="Calculation 5 2 8_Table" xfId="5250"/>
    <cellStyle name="Calculation 5 2 9" xfId="1394"/>
    <cellStyle name="Calculation 5 2 9 2" xfId="10722"/>
    <cellStyle name="Calculation 5 2 9 2 2" xfId="24028"/>
    <cellStyle name="Calculation 5 2 9 3" xfId="15132"/>
    <cellStyle name="Calculation 5 2 9 3 2" xfId="28438"/>
    <cellStyle name="Calculation 5 2 9 4" xfId="19618"/>
    <cellStyle name="Calculation 5 2 9_Table" xfId="5251"/>
    <cellStyle name="Calculation 5 2_Table" xfId="5233"/>
    <cellStyle name="Calculation 5 3" xfId="464"/>
    <cellStyle name="Calculation 5 3 10" xfId="4491"/>
    <cellStyle name="Calculation 5 3 10 2" xfId="13819"/>
    <cellStyle name="Calculation 5 3 10 2 2" xfId="27125"/>
    <cellStyle name="Calculation 5 3 10 3" xfId="18229"/>
    <cellStyle name="Calculation 5 3 10 3 2" xfId="31535"/>
    <cellStyle name="Calculation 5 3 10 4" xfId="22715"/>
    <cellStyle name="Calculation 5 3 10_Table" xfId="5253"/>
    <cellStyle name="Calculation 5 3 11" xfId="9792"/>
    <cellStyle name="Calculation 5 3 11 2" xfId="23165"/>
    <cellStyle name="Calculation 5 3 12" xfId="14269"/>
    <cellStyle name="Calculation 5 3 12 2" xfId="27575"/>
    <cellStyle name="Calculation 5 3 13" xfId="18755"/>
    <cellStyle name="Calculation 5 3 2" xfId="756"/>
    <cellStyle name="Calculation 5 3 2 10" xfId="4716"/>
    <cellStyle name="Calculation 5 3 2 10 2" xfId="14044"/>
    <cellStyle name="Calculation 5 3 2 10 2 2" xfId="27350"/>
    <cellStyle name="Calculation 5 3 2 10 3" xfId="18454"/>
    <cellStyle name="Calculation 5 3 2 10 3 2" xfId="31760"/>
    <cellStyle name="Calculation 5 3 2 10 4" xfId="22940"/>
    <cellStyle name="Calculation 5 3 2 10_Table" xfId="5255"/>
    <cellStyle name="Calculation 5 3 2 11" xfId="10084"/>
    <cellStyle name="Calculation 5 3 2 11 2" xfId="23390"/>
    <cellStyle name="Calculation 5 3 2 12" xfId="14494"/>
    <cellStyle name="Calculation 5 3 2 12 2" xfId="27800"/>
    <cellStyle name="Calculation 5 3 2 13" xfId="18980"/>
    <cellStyle name="Calculation 5 3 2 2" xfId="1542"/>
    <cellStyle name="Calculation 5 3 2 2 2" xfId="10870"/>
    <cellStyle name="Calculation 5 3 2 2 2 2" xfId="24176"/>
    <cellStyle name="Calculation 5 3 2 2 3" xfId="15280"/>
    <cellStyle name="Calculation 5 3 2 2 3 2" xfId="28586"/>
    <cellStyle name="Calculation 5 3 2 2 4" xfId="19766"/>
    <cellStyle name="Calculation 5 3 2 2_Table" xfId="5256"/>
    <cellStyle name="Calculation 5 3 2 3" xfId="1902"/>
    <cellStyle name="Calculation 5 3 2 3 2" xfId="11230"/>
    <cellStyle name="Calculation 5 3 2 3 2 2" xfId="24536"/>
    <cellStyle name="Calculation 5 3 2 3 3" xfId="15640"/>
    <cellStyle name="Calculation 5 3 2 3 3 2" xfId="28946"/>
    <cellStyle name="Calculation 5 3 2 3 4" xfId="20126"/>
    <cellStyle name="Calculation 5 3 2 3_Table" xfId="5257"/>
    <cellStyle name="Calculation 5 3 2 4" xfId="2332"/>
    <cellStyle name="Calculation 5 3 2 4 2" xfId="11660"/>
    <cellStyle name="Calculation 5 3 2 4 2 2" xfId="24966"/>
    <cellStyle name="Calculation 5 3 2 4 3" xfId="16070"/>
    <cellStyle name="Calculation 5 3 2 4 3 2" xfId="29376"/>
    <cellStyle name="Calculation 5 3 2 4 4" xfId="20556"/>
    <cellStyle name="Calculation 5 3 2 4_Table" xfId="5258"/>
    <cellStyle name="Calculation 5 3 2 5" xfId="2770"/>
    <cellStyle name="Calculation 5 3 2 5 2" xfId="12098"/>
    <cellStyle name="Calculation 5 3 2 5 2 2" xfId="25404"/>
    <cellStyle name="Calculation 5 3 2 5 3" xfId="16508"/>
    <cellStyle name="Calculation 5 3 2 5 3 2" xfId="29814"/>
    <cellStyle name="Calculation 5 3 2 5 4" xfId="20994"/>
    <cellStyle name="Calculation 5 3 2 5_Table" xfId="5259"/>
    <cellStyle name="Calculation 5 3 2 6" xfId="3177"/>
    <cellStyle name="Calculation 5 3 2 6 2" xfId="12505"/>
    <cellStyle name="Calculation 5 3 2 6 2 2" xfId="25811"/>
    <cellStyle name="Calculation 5 3 2 6 3" xfId="16915"/>
    <cellStyle name="Calculation 5 3 2 6 3 2" xfId="30221"/>
    <cellStyle name="Calculation 5 3 2 6 4" xfId="21401"/>
    <cellStyle name="Calculation 5 3 2 6_Table" xfId="5260"/>
    <cellStyle name="Calculation 5 3 2 7" xfId="3769"/>
    <cellStyle name="Calculation 5 3 2 7 2" xfId="13097"/>
    <cellStyle name="Calculation 5 3 2 7 2 2" xfId="26403"/>
    <cellStyle name="Calculation 5 3 2 7 3" xfId="17507"/>
    <cellStyle name="Calculation 5 3 2 7 3 2" xfId="30813"/>
    <cellStyle name="Calculation 5 3 2 7 4" xfId="21993"/>
    <cellStyle name="Calculation 5 3 2 7_Table" xfId="5261"/>
    <cellStyle name="Calculation 5 3 2 8" xfId="3994"/>
    <cellStyle name="Calculation 5 3 2 8 2" xfId="13322"/>
    <cellStyle name="Calculation 5 3 2 8 2 2" xfId="26628"/>
    <cellStyle name="Calculation 5 3 2 8 3" xfId="17732"/>
    <cellStyle name="Calculation 5 3 2 8 3 2" xfId="31038"/>
    <cellStyle name="Calculation 5 3 2 8 4" xfId="22218"/>
    <cellStyle name="Calculation 5 3 2 8_Table" xfId="5262"/>
    <cellStyle name="Calculation 5 3 2 9" xfId="4355"/>
    <cellStyle name="Calculation 5 3 2 9 2" xfId="13683"/>
    <cellStyle name="Calculation 5 3 2 9 2 2" xfId="26989"/>
    <cellStyle name="Calculation 5 3 2 9 3" xfId="18093"/>
    <cellStyle name="Calculation 5 3 2 9 3 2" xfId="31399"/>
    <cellStyle name="Calculation 5 3 2 9 4" xfId="22579"/>
    <cellStyle name="Calculation 5 3 2 9_Table" xfId="5263"/>
    <cellStyle name="Calculation 5 3 2_Table" xfId="5254"/>
    <cellStyle name="Calculation 5 3 3" xfId="950"/>
    <cellStyle name="Calculation 5 3 3 2" xfId="10278"/>
    <cellStyle name="Calculation 5 3 3 2 2" xfId="23584"/>
    <cellStyle name="Calculation 5 3 3 3" xfId="14688"/>
    <cellStyle name="Calculation 5 3 3 3 2" xfId="27994"/>
    <cellStyle name="Calculation 5 3 3 4" xfId="19174"/>
    <cellStyle name="Calculation 5 3 3_Table" xfId="5264"/>
    <cellStyle name="Calculation 5 3 4" xfId="2055"/>
    <cellStyle name="Calculation 5 3 4 2" xfId="11383"/>
    <cellStyle name="Calculation 5 3 4 2 2" xfId="24689"/>
    <cellStyle name="Calculation 5 3 4 3" xfId="15793"/>
    <cellStyle name="Calculation 5 3 4 3 2" xfId="29099"/>
    <cellStyle name="Calculation 5 3 4 4" xfId="20279"/>
    <cellStyle name="Calculation 5 3 4_Table" xfId="5265"/>
    <cellStyle name="Calculation 5 3 5" xfId="2487"/>
    <cellStyle name="Calculation 5 3 5 2" xfId="11815"/>
    <cellStyle name="Calculation 5 3 5 2 2" xfId="25121"/>
    <cellStyle name="Calculation 5 3 5 3" xfId="16225"/>
    <cellStyle name="Calculation 5 3 5 3 2" xfId="29531"/>
    <cellStyle name="Calculation 5 3 5 4" xfId="20711"/>
    <cellStyle name="Calculation 5 3 5_Table" xfId="5266"/>
    <cellStyle name="Calculation 5 3 6" xfId="2916"/>
    <cellStyle name="Calculation 5 3 6 2" xfId="12244"/>
    <cellStyle name="Calculation 5 3 6 2 2" xfId="25550"/>
    <cellStyle name="Calculation 5 3 6 3" xfId="16654"/>
    <cellStyle name="Calculation 5 3 6 3 2" xfId="29960"/>
    <cellStyle name="Calculation 5 3 6 4" xfId="21140"/>
    <cellStyle name="Calculation 5 3 6_Table" xfId="5267"/>
    <cellStyle name="Calculation 5 3 7" xfId="3328"/>
    <cellStyle name="Calculation 5 3 7 2" xfId="12656"/>
    <cellStyle name="Calculation 5 3 7 2 2" xfId="25962"/>
    <cellStyle name="Calculation 5 3 7 3" xfId="17066"/>
    <cellStyle name="Calculation 5 3 7 3 2" xfId="30372"/>
    <cellStyle name="Calculation 5 3 7 4" xfId="21552"/>
    <cellStyle name="Calculation 5 3 7_Table" xfId="5268"/>
    <cellStyle name="Calculation 5 3 8" xfId="3504"/>
    <cellStyle name="Calculation 5 3 8 2" xfId="12832"/>
    <cellStyle name="Calculation 5 3 8 2 2" xfId="26138"/>
    <cellStyle name="Calculation 5 3 8 3" xfId="17242"/>
    <cellStyle name="Calculation 5 3 8 3 2" xfId="30548"/>
    <cellStyle name="Calculation 5 3 8 4" xfId="21728"/>
    <cellStyle name="Calculation 5 3 8_Table" xfId="5269"/>
    <cellStyle name="Calculation 5 3 9" xfId="4130"/>
    <cellStyle name="Calculation 5 3 9 2" xfId="13458"/>
    <cellStyle name="Calculation 5 3 9 2 2" xfId="26764"/>
    <cellStyle name="Calculation 5 3 9 3" xfId="17868"/>
    <cellStyle name="Calculation 5 3 9 3 2" xfId="31174"/>
    <cellStyle name="Calculation 5 3 9 4" xfId="22354"/>
    <cellStyle name="Calculation 5 3 9_Table" xfId="5270"/>
    <cellStyle name="Calculation 5 3_Table" xfId="5252"/>
    <cellStyle name="Calculation 5 4" xfId="528"/>
    <cellStyle name="Calculation 5 4 10" xfId="4536"/>
    <cellStyle name="Calculation 5 4 10 2" xfId="13864"/>
    <cellStyle name="Calculation 5 4 10 2 2" xfId="27170"/>
    <cellStyle name="Calculation 5 4 10 3" xfId="18274"/>
    <cellStyle name="Calculation 5 4 10 3 2" xfId="31580"/>
    <cellStyle name="Calculation 5 4 10 4" xfId="22760"/>
    <cellStyle name="Calculation 5 4 10_Table" xfId="5272"/>
    <cellStyle name="Calculation 5 4 11" xfId="9856"/>
    <cellStyle name="Calculation 5 4 11 2" xfId="23210"/>
    <cellStyle name="Calculation 5 4 12" xfId="14314"/>
    <cellStyle name="Calculation 5 4 12 2" xfId="27620"/>
    <cellStyle name="Calculation 5 4 13" xfId="18800"/>
    <cellStyle name="Calculation 5 4 2" xfId="801"/>
    <cellStyle name="Calculation 5 4 2 10" xfId="4761"/>
    <cellStyle name="Calculation 5 4 2 10 2" xfId="14089"/>
    <cellStyle name="Calculation 5 4 2 10 2 2" xfId="27395"/>
    <cellStyle name="Calculation 5 4 2 10 3" xfId="18499"/>
    <cellStyle name="Calculation 5 4 2 10 3 2" xfId="31805"/>
    <cellStyle name="Calculation 5 4 2 10 4" xfId="22985"/>
    <cellStyle name="Calculation 5 4 2 10_Table" xfId="5274"/>
    <cellStyle name="Calculation 5 4 2 11" xfId="10129"/>
    <cellStyle name="Calculation 5 4 2 11 2" xfId="23435"/>
    <cellStyle name="Calculation 5 4 2 12" xfId="14539"/>
    <cellStyle name="Calculation 5 4 2 12 2" xfId="27845"/>
    <cellStyle name="Calculation 5 4 2 13" xfId="19025"/>
    <cellStyle name="Calculation 5 4 2 2" xfId="1587"/>
    <cellStyle name="Calculation 5 4 2 2 2" xfId="10915"/>
    <cellStyle name="Calculation 5 4 2 2 2 2" xfId="24221"/>
    <cellStyle name="Calculation 5 4 2 2 3" xfId="15325"/>
    <cellStyle name="Calculation 5 4 2 2 3 2" xfId="28631"/>
    <cellStyle name="Calculation 5 4 2 2 4" xfId="19811"/>
    <cellStyle name="Calculation 5 4 2 2_Table" xfId="5275"/>
    <cellStyle name="Calculation 5 4 2 3" xfId="1947"/>
    <cellStyle name="Calculation 5 4 2 3 2" xfId="11275"/>
    <cellStyle name="Calculation 5 4 2 3 2 2" xfId="24581"/>
    <cellStyle name="Calculation 5 4 2 3 3" xfId="15685"/>
    <cellStyle name="Calculation 5 4 2 3 3 2" xfId="28991"/>
    <cellStyle name="Calculation 5 4 2 3 4" xfId="20171"/>
    <cellStyle name="Calculation 5 4 2 3_Table" xfId="5276"/>
    <cellStyle name="Calculation 5 4 2 4" xfId="2377"/>
    <cellStyle name="Calculation 5 4 2 4 2" xfId="11705"/>
    <cellStyle name="Calculation 5 4 2 4 2 2" xfId="25011"/>
    <cellStyle name="Calculation 5 4 2 4 3" xfId="16115"/>
    <cellStyle name="Calculation 5 4 2 4 3 2" xfId="29421"/>
    <cellStyle name="Calculation 5 4 2 4 4" xfId="20601"/>
    <cellStyle name="Calculation 5 4 2 4_Table" xfId="5277"/>
    <cellStyle name="Calculation 5 4 2 5" xfId="2815"/>
    <cellStyle name="Calculation 5 4 2 5 2" xfId="12143"/>
    <cellStyle name="Calculation 5 4 2 5 2 2" xfId="25449"/>
    <cellStyle name="Calculation 5 4 2 5 3" xfId="16553"/>
    <cellStyle name="Calculation 5 4 2 5 3 2" xfId="29859"/>
    <cellStyle name="Calculation 5 4 2 5 4" xfId="21039"/>
    <cellStyle name="Calculation 5 4 2 5_Table" xfId="5278"/>
    <cellStyle name="Calculation 5 4 2 6" xfId="3222"/>
    <cellStyle name="Calculation 5 4 2 6 2" xfId="12550"/>
    <cellStyle name="Calculation 5 4 2 6 2 2" xfId="25856"/>
    <cellStyle name="Calculation 5 4 2 6 3" xfId="16960"/>
    <cellStyle name="Calculation 5 4 2 6 3 2" xfId="30266"/>
    <cellStyle name="Calculation 5 4 2 6 4" xfId="21446"/>
    <cellStyle name="Calculation 5 4 2 6_Table" xfId="5279"/>
    <cellStyle name="Calculation 5 4 2 7" xfId="3814"/>
    <cellStyle name="Calculation 5 4 2 7 2" xfId="13142"/>
    <cellStyle name="Calculation 5 4 2 7 2 2" xfId="26448"/>
    <cellStyle name="Calculation 5 4 2 7 3" xfId="17552"/>
    <cellStyle name="Calculation 5 4 2 7 3 2" xfId="30858"/>
    <cellStyle name="Calculation 5 4 2 7 4" xfId="22038"/>
    <cellStyle name="Calculation 5 4 2 7_Table" xfId="5280"/>
    <cellStyle name="Calculation 5 4 2 8" xfId="4039"/>
    <cellStyle name="Calculation 5 4 2 8 2" xfId="13367"/>
    <cellStyle name="Calculation 5 4 2 8 2 2" xfId="26673"/>
    <cellStyle name="Calculation 5 4 2 8 3" xfId="17777"/>
    <cellStyle name="Calculation 5 4 2 8 3 2" xfId="31083"/>
    <cellStyle name="Calculation 5 4 2 8 4" xfId="22263"/>
    <cellStyle name="Calculation 5 4 2 8_Table" xfId="5281"/>
    <cellStyle name="Calculation 5 4 2 9" xfId="4400"/>
    <cellStyle name="Calculation 5 4 2 9 2" xfId="13728"/>
    <cellStyle name="Calculation 5 4 2 9 2 2" xfId="27034"/>
    <cellStyle name="Calculation 5 4 2 9 3" xfId="18138"/>
    <cellStyle name="Calculation 5 4 2 9 3 2" xfId="31444"/>
    <cellStyle name="Calculation 5 4 2 9 4" xfId="22624"/>
    <cellStyle name="Calculation 5 4 2 9_Table" xfId="5282"/>
    <cellStyle name="Calculation 5 4 2_Table" xfId="5273"/>
    <cellStyle name="Calculation 5 4 3" xfId="1680"/>
    <cellStyle name="Calculation 5 4 3 2" xfId="11008"/>
    <cellStyle name="Calculation 5 4 3 2 2" xfId="24314"/>
    <cellStyle name="Calculation 5 4 3 3" xfId="15418"/>
    <cellStyle name="Calculation 5 4 3 3 2" xfId="28724"/>
    <cellStyle name="Calculation 5 4 3 4" xfId="19904"/>
    <cellStyle name="Calculation 5 4 3_Table" xfId="5283"/>
    <cellStyle name="Calculation 5 4 4" xfId="2114"/>
    <cellStyle name="Calculation 5 4 4 2" xfId="11442"/>
    <cellStyle name="Calculation 5 4 4 2 2" xfId="24748"/>
    <cellStyle name="Calculation 5 4 4 3" xfId="15852"/>
    <cellStyle name="Calculation 5 4 4 3 2" xfId="29158"/>
    <cellStyle name="Calculation 5 4 4 4" xfId="20338"/>
    <cellStyle name="Calculation 5 4 4_Table" xfId="5284"/>
    <cellStyle name="Calculation 5 4 5" xfId="2546"/>
    <cellStyle name="Calculation 5 4 5 2" xfId="11874"/>
    <cellStyle name="Calculation 5 4 5 2 2" xfId="25180"/>
    <cellStyle name="Calculation 5 4 5 3" xfId="16284"/>
    <cellStyle name="Calculation 5 4 5 3 2" xfId="29590"/>
    <cellStyle name="Calculation 5 4 5 4" xfId="20770"/>
    <cellStyle name="Calculation 5 4 5_Table" xfId="5285"/>
    <cellStyle name="Calculation 5 4 6" xfId="2973"/>
    <cellStyle name="Calculation 5 4 6 2" xfId="12301"/>
    <cellStyle name="Calculation 5 4 6 2 2" xfId="25607"/>
    <cellStyle name="Calculation 5 4 6 3" xfId="16711"/>
    <cellStyle name="Calculation 5 4 6 3 2" xfId="30017"/>
    <cellStyle name="Calculation 5 4 6 4" xfId="21197"/>
    <cellStyle name="Calculation 5 4 6_Table" xfId="5286"/>
    <cellStyle name="Calculation 5 4 7" xfId="3386"/>
    <cellStyle name="Calculation 5 4 7 2" xfId="12714"/>
    <cellStyle name="Calculation 5 4 7 2 2" xfId="26020"/>
    <cellStyle name="Calculation 5 4 7 3" xfId="17124"/>
    <cellStyle name="Calculation 5 4 7 3 2" xfId="30430"/>
    <cellStyle name="Calculation 5 4 7 4" xfId="21610"/>
    <cellStyle name="Calculation 5 4 7_Table" xfId="5287"/>
    <cellStyle name="Calculation 5 4 8" xfId="3622"/>
    <cellStyle name="Calculation 5 4 8 2" xfId="12950"/>
    <cellStyle name="Calculation 5 4 8 2 2" xfId="26256"/>
    <cellStyle name="Calculation 5 4 8 3" xfId="17360"/>
    <cellStyle name="Calculation 5 4 8 3 2" xfId="30666"/>
    <cellStyle name="Calculation 5 4 8 4" xfId="21846"/>
    <cellStyle name="Calculation 5 4 8_Table" xfId="5288"/>
    <cellStyle name="Calculation 5 4 9" xfId="4175"/>
    <cellStyle name="Calculation 5 4 9 2" xfId="13503"/>
    <cellStyle name="Calculation 5 4 9 2 2" xfId="26809"/>
    <cellStyle name="Calculation 5 4 9 3" xfId="17913"/>
    <cellStyle name="Calculation 5 4 9 3 2" xfId="31219"/>
    <cellStyle name="Calculation 5 4 9 4" xfId="22399"/>
    <cellStyle name="Calculation 5 4 9_Table" xfId="5289"/>
    <cellStyle name="Calculation 5 4_Table" xfId="5271"/>
    <cellStyle name="Calculation 5 5" xfId="603"/>
    <cellStyle name="Calculation 5 5 10" xfId="4581"/>
    <cellStyle name="Calculation 5 5 10 2" xfId="13909"/>
    <cellStyle name="Calculation 5 5 10 2 2" xfId="27215"/>
    <cellStyle name="Calculation 5 5 10 3" xfId="18319"/>
    <cellStyle name="Calculation 5 5 10 3 2" xfId="31625"/>
    <cellStyle name="Calculation 5 5 10 4" xfId="22805"/>
    <cellStyle name="Calculation 5 5 10_Table" xfId="5291"/>
    <cellStyle name="Calculation 5 5 11" xfId="9931"/>
    <cellStyle name="Calculation 5 5 11 2" xfId="23255"/>
    <cellStyle name="Calculation 5 5 12" xfId="14359"/>
    <cellStyle name="Calculation 5 5 12 2" xfId="27665"/>
    <cellStyle name="Calculation 5 5 13" xfId="18845"/>
    <cellStyle name="Calculation 5 5 2" xfId="846"/>
    <cellStyle name="Calculation 5 5 2 10" xfId="4806"/>
    <cellStyle name="Calculation 5 5 2 10 2" xfId="14134"/>
    <cellStyle name="Calculation 5 5 2 10 2 2" xfId="27440"/>
    <cellStyle name="Calculation 5 5 2 10 3" xfId="18544"/>
    <cellStyle name="Calculation 5 5 2 10 3 2" xfId="31850"/>
    <cellStyle name="Calculation 5 5 2 10 4" xfId="23030"/>
    <cellStyle name="Calculation 5 5 2 10_Table" xfId="5293"/>
    <cellStyle name="Calculation 5 5 2 11" xfId="10174"/>
    <cellStyle name="Calculation 5 5 2 11 2" xfId="23480"/>
    <cellStyle name="Calculation 5 5 2 12" xfId="14584"/>
    <cellStyle name="Calculation 5 5 2 12 2" xfId="27890"/>
    <cellStyle name="Calculation 5 5 2 13" xfId="19070"/>
    <cellStyle name="Calculation 5 5 2 2" xfId="1632"/>
    <cellStyle name="Calculation 5 5 2 2 2" xfId="10960"/>
    <cellStyle name="Calculation 5 5 2 2 2 2" xfId="24266"/>
    <cellStyle name="Calculation 5 5 2 2 3" xfId="15370"/>
    <cellStyle name="Calculation 5 5 2 2 3 2" xfId="28676"/>
    <cellStyle name="Calculation 5 5 2 2 4" xfId="19856"/>
    <cellStyle name="Calculation 5 5 2 2_Table" xfId="5294"/>
    <cellStyle name="Calculation 5 5 2 3" xfId="1992"/>
    <cellStyle name="Calculation 5 5 2 3 2" xfId="11320"/>
    <cellStyle name="Calculation 5 5 2 3 2 2" xfId="24626"/>
    <cellStyle name="Calculation 5 5 2 3 3" xfId="15730"/>
    <cellStyle name="Calculation 5 5 2 3 3 2" xfId="29036"/>
    <cellStyle name="Calculation 5 5 2 3 4" xfId="20216"/>
    <cellStyle name="Calculation 5 5 2 3_Table" xfId="5295"/>
    <cellStyle name="Calculation 5 5 2 4" xfId="2422"/>
    <cellStyle name="Calculation 5 5 2 4 2" xfId="11750"/>
    <cellStyle name="Calculation 5 5 2 4 2 2" xfId="25056"/>
    <cellStyle name="Calculation 5 5 2 4 3" xfId="16160"/>
    <cellStyle name="Calculation 5 5 2 4 3 2" xfId="29466"/>
    <cellStyle name="Calculation 5 5 2 4 4" xfId="20646"/>
    <cellStyle name="Calculation 5 5 2 4_Table" xfId="5296"/>
    <cellStyle name="Calculation 5 5 2 5" xfId="2860"/>
    <cellStyle name="Calculation 5 5 2 5 2" xfId="12188"/>
    <cellStyle name="Calculation 5 5 2 5 2 2" xfId="25494"/>
    <cellStyle name="Calculation 5 5 2 5 3" xfId="16598"/>
    <cellStyle name="Calculation 5 5 2 5 3 2" xfId="29904"/>
    <cellStyle name="Calculation 5 5 2 5 4" xfId="21084"/>
    <cellStyle name="Calculation 5 5 2 5_Table" xfId="5297"/>
    <cellStyle name="Calculation 5 5 2 6" xfId="3267"/>
    <cellStyle name="Calculation 5 5 2 6 2" xfId="12595"/>
    <cellStyle name="Calculation 5 5 2 6 2 2" xfId="25901"/>
    <cellStyle name="Calculation 5 5 2 6 3" xfId="17005"/>
    <cellStyle name="Calculation 5 5 2 6 3 2" xfId="30311"/>
    <cellStyle name="Calculation 5 5 2 6 4" xfId="21491"/>
    <cellStyle name="Calculation 5 5 2 6_Table" xfId="5298"/>
    <cellStyle name="Calculation 5 5 2 7" xfId="3859"/>
    <cellStyle name="Calculation 5 5 2 7 2" xfId="13187"/>
    <cellStyle name="Calculation 5 5 2 7 2 2" xfId="26493"/>
    <cellStyle name="Calculation 5 5 2 7 3" xfId="17597"/>
    <cellStyle name="Calculation 5 5 2 7 3 2" xfId="30903"/>
    <cellStyle name="Calculation 5 5 2 7 4" xfId="22083"/>
    <cellStyle name="Calculation 5 5 2 7_Table" xfId="5299"/>
    <cellStyle name="Calculation 5 5 2 8" xfId="4084"/>
    <cellStyle name="Calculation 5 5 2 8 2" xfId="13412"/>
    <cellStyle name="Calculation 5 5 2 8 2 2" xfId="26718"/>
    <cellStyle name="Calculation 5 5 2 8 3" xfId="17822"/>
    <cellStyle name="Calculation 5 5 2 8 3 2" xfId="31128"/>
    <cellStyle name="Calculation 5 5 2 8 4" xfId="22308"/>
    <cellStyle name="Calculation 5 5 2 8_Table" xfId="5300"/>
    <cellStyle name="Calculation 5 5 2 9" xfId="4445"/>
    <cellStyle name="Calculation 5 5 2 9 2" xfId="13773"/>
    <cellStyle name="Calculation 5 5 2 9 2 2" xfId="27079"/>
    <cellStyle name="Calculation 5 5 2 9 3" xfId="18183"/>
    <cellStyle name="Calculation 5 5 2 9 3 2" xfId="31489"/>
    <cellStyle name="Calculation 5 5 2 9 4" xfId="22669"/>
    <cellStyle name="Calculation 5 5 2 9_Table" xfId="5301"/>
    <cellStyle name="Calculation 5 5 2_Table" xfId="5292"/>
    <cellStyle name="Calculation 5 5 3" xfId="1750"/>
    <cellStyle name="Calculation 5 5 3 2" xfId="11078"/>
    <cellStyle name="Calculation 5 5 3 2 2" xfId="24384"/>
    <cellStyle name="Calculation 5 5 3 3" xfId="15488"/>
    <cellStyle name="Calculation 5 5 3 3 2" xfId="28794"/>
    <cellStyle name="Calculation 5 5 3 4" xfId="19974"/>
    <cellStyle name="Calculation 5 5 3_Table" xfId="5302"/>
    <cellStyle name="Calculation 5 5 4" xfId="2183"/>
    <cellStyle name="Calculation 5 5 4 2" xfId="11511"/>
    <cellStyle name="Calculation 5 5 4 2 2" xfId="24817"/>
    <cellStyle name="Calculation 5 5 4 3" xfId="15921"/>
    <cellStyle name="Calculation 5 5 4 3 2" xfId="29227"/>
    <cellStyle name="Calculation 5 5 4 4" xfId="20407"/>
    <cellStyle name="Calculation 5 5 4_Table" xfId="5303"/>
    <cellStyle name="Calculation 5 5 5" xfId="2618"/>
    <cellStyle name="Calculation 5 5 5 2" xfId="11946"/>
    <cellStyle name="Calculation 5 5 5 2 2" xfId="25252"/>
    <cellStyle name="Calculation 5 5 5 3" xfId="16356"/>
    <cellStyle name="Calculation 5 5 5 3 2" xfId="29662"/>
    <cellStyle name="Calculation 5 5 5 4" xfId="20842"/>
    <cellStyle name="Calculation 5 5 5_Table" xfId="5304"/>
    <cellStyle name="Calculation 5 5 6" xfId="3031"/>
    <cellStyle name="Calculation 5 5 6 2" xfId="12359"/>
    <cellStyle name="Calculation 5 5 6 2 2" xfId="25665"/>
    <cellStyle name="Calculation 5 5 6 3" xfId="16769"/>
    <cellStyle name="Calculation 5 5 6 3 2" xfId="30075"/>
    <cellStyle name="Calculation 5 5 6 4" xfId="21255"/>
    <cellStyle name="Calculation 5 5 6_Table" xfId="5305"/>
    <cellStyle name="Calculation 5 5 7" xfId="3457"/>
    <cellStyle name="Calculation 5 5 7 2" xfId="12785"/>
    <cellStyle name="Calculation 5 5 7 2 2" xfId="26091"/>
    <cellStyle name="Calculation 5 5 7 3" xfId="17195"/>
    <cellStyle name="Calculation 5 5 7 3 2" xfId="30501"/>
    <cellStyle name="Calculation 5 5 7 4" xfId="21681"/>
    <cellStyle name="Calculation 5 5 7_Table" xfId="5306"/>
    <cellStyle name="Calculation 5 5 8" xfId="3635"/>
    <cellStyle name="Calculation 5 5 8 2" xfId="12963"/>
    <cellStyle name="Calculation 5 5 8 2 2" xfId="26269"/>
    <cellStyle name="Calculation 5 5 8 3" xfId="17373"/>
    <cellStyle name="Calculation 5 5 8 3 2" xfId="30679"/>
    <cellStyle name="Calculation 5 5 8 4" xfId="21859"/>
    <cellStyle name="Calculation 5 5 8_Table" xfId="5307"/>
    <cellStyle name="Calculation 5 5 9" xfId="4220"/>
    <cellStyle name="Calculation 5 5 9 2" xfId="13548"/>
    <cellStyle name="Calculation 5 5 9 2 2" xfId="26854"/>
    <cellStyle name="Calculation 5 5 9 3" xfId="17958"/>
    <cellStyle name="Calculation 5 5 9 3 2" xfId="31264"/>
    <cellStyle name="Calculation 5 5 9 4" xfId="22444"/>
    <cellStyle name="Calculation 5 5 9_Table" xfId="5308"/>
    <cellStyle name="Calculation 5 5_Table" xfId="5290"/>
    <cellStyle name="Calculation 5 6" xfId="666"/>
    <cellStyle name="Calculation 5 6 10" xfId="4626"/>
    <cellStyle name="Calculation 5 6 10 2" xfId="13954"/>
    <cellStyle name="Calculation 5 6 10 2 2" xfId="27260"/>
    <cellStyle name="Calculation 5 6 10 3" xfId="18364"/>
    <cellStyle name="Calculation 5 6 10 3 2" xfId="31670"/>
    <cellStyle name="Calculation 5 6 10 4" xfId="22850"/>
    <cellStyle name="Calculation 5 6 10_Table" xfId="5310"/>
    <cellStyle name="Calculation 5 6 11" xfId="9994"/>
    <cellStyle name="Calculation 5 6 11 2" xfId="23300"/>
    <cellStyle name="Calculation 5 6 12" xfId="14404"/>
    <cellStyle name="Calculation 5 6 12 2" xfId="27710"/>
    <cellStyle name="Calculation 5 6 13" xfId="18890"/>
    <cellStyle name="Calculation 5 6 2" xfId="1452"/>
    <cellStyle name="Calculation 5 6 2 2" xfId="10780"/>
    <cellStyle name="Calculation 5 6 2 2 2" xfId="24086"/>
    <cellStyle name="Calculation 5 6 2 3" xfId="15190"/>
    <cellStyle name="Calculation 5 6 2 3 2" xfId="28496"/>
    <cellStyle name="Calculation 5 6 2 4" xfId="19676"/>
    <cellStyle name="Calculation 5 6 2_Table" xfId="5311"/>
    <cellStyle name="Calculation 5 6 3" xfId="1812"/>
    <cellStyle name="Calculation 5 6 3 2" xfId="11140"/>
    <cellStyle name="Calculation 5 6 3 2 2" xfId="24446"/>
    <cellStyle name="Calculation 5 6 3 3" xfId="15550"/>
    <cellStyle name="Calculation 5 6 3 3 2" xfId="28856"/>
    <cellStyle name="Calculation 5 6 3 4" xfId="20036"/>
    <cellStyle name="Calculation 5 6 3_Table" xfId="5312"/>
    <cellStyle name="Calculation 5 6 4" xfId="2242"/>
    <cellStyle name="Calculation 5 6 4 2" xfId="11570"/>
    <cellStyle name="Calculation 5 6 4 2 2" xfId="24876"/>
    <cellStyle name="Calculation 5 6 4 3" xfId="15980"/>
    <cellStyle name="Calculation 5 6 4 3 2" xfId="29286"/>
    <cellStyle name="Calculation 5 6 4 4" xfId="20466"/>
    <cellStyle name="Calculation 5 6 4_Table" xfId="5313"/>
    <cellStyle name="Calculation 5 6 5" xfId="2680"/>
    <cellStyle name="Calculation 5 6 5 2" xfId="12008"/>
    <cellStyle name="Calculation 5 6 5 2 2" xfId="25314"/>
    <cellStyle name="Calculation 5 6 5 3" xfId="16418"/>
    <cellStyle name="Calculation 5 6 5 3 2" xfId="29724"/>
    <cellStyle name="Calculation 5 6 5 4" xfId="20904"/>
    <cellStyle name="Calculation 5 6 5_Table" xfId="5314"/>
    <cellStyle name="Calculation 5 6 6" xfId="3087"/>
    <cellStyle name="Calculation 5 6 6 2" xfId="12415"/>
    <cellStyle name="Calculation 5 6 6 2 2" xfId="25721"/>
    <cellStyle name="Calculation 5 6 6 3" xfId="16825"/>
    <cellStyle name="Calculation 5 6 6 3 2" xfId="30131"/>
    <cellStyle name="Calculation 5 6 6 4" xfId="21311"/>
    <cellStyle name="Calculation 5 6 6_Table" xfId="5315"/>
    <cellStyle name="Calculation 5 6 7" xfId="3679"/>
    <cellStyle name="Calculation 5 6 7 2" xfId="13007"/>
    <cellStyle name="Calculation 5 6 7 2 2" xfId="26313"/>
    <cellStyle name="Calculation 5 6 7 3" xfId="17417"/>
    <cellStyle name="Calculation 5 6 7 3 2" xfId="30723"/>
    <cellStyle name="Calculation 5 6 7 4" xfId="21903"/>
    <cellStyle name="Calculation 5 6 7_Table" xfId="5316"/>
    <cellStyle name="Calculation 5 6 8" xfId="3904"/>
    <cellStyle name="Calculation 5 6 8 2" xfId="13232"/>
    <cellStyle name="Calculation 5 6 8 2 2" xfId="26538"/>
    <cellStyle name="Calculation 5 6 8 3" xfId="17642"/>
    <cellStyle name="Calculation 5 6 8 3 2" xfId="30948"/>
    <cellStyle name="Calculation 5 6 8 4" xfId="22128"/>
    <cellStyle name="Calculation 5 6 8_Table" xfId="5317"/>
    <cellStyle name="Calculation 5 6 9" xfId="4265"/>
    <cellStyle name="Calculation 5 6 9 2" xfId="13593"/>
    <cellStyle name="Calculation 5 6 9 2 2" xfId="26899"/>
    <cellStyle name="Calculation 5 6 9 3" xfId="18003"/>
    <cellStyle name="Calculation 5 6 9 3 2" xfId="31309"/>
    <cellStyle name="Calculation 5 6 9 4" xfId="22489"/>
    <cellStyle name="Calculation 5 6 9_Table" xfId="5318"/>
    <cellStyle name="Calculation 5 6_Table" xfId="5309"/>
    <cellStyle name="Calculation 5 7" xfId="1113"/>
    <cellStyle name="Calculation 5 7 2" xfId="10441"/>
    <cellStyle name="Calculation 5 7 2 2" xfId="23747"/>
    <cellStyle name="Calculation 5 7 3" xfId="14851"/>
    <cellStyle name="Calculation 5 7 3 2" xfId="28157"/>
    <cellStyle name="Calculation 5 7 4" xfId="19337"/>
    <cellStyle name="Calculation 5 7_Table" xfId="5319"/>
    <cellStyle name="Calculation 5 8" xfId="1130"/>
    <cellStyle name="Calculation 5 8 2" xfId="10458"/>
    <cellStyle name="Calculation 5 8 2 2" xfId="23764"/>
    <cellStyle name="Calculation 5 8 3" xfId="14868"/>
    <cellStyle name="Calculation 5 8 3 2" xfId="28174"/>
    <cellStyle name="Calculation 5 8 4" xfId="19354"/>
    <cellStyle name="Calculation 5 8_Table" xfId="5320"/>
    <cellStyle name="Calculation 5 9" xfId="1399"/>
    <cellStyle name="Calculation 5 9 2" xfId="10727"/>
    <cellStyle name="Calculation 5 9 2 2" xfId="24033"/>
    <cellStyle name="Calculation 5 9 3" xfId="15137"/>
    <cellStyle name="Calculation 5 9 3 2" xfId="28443"/>
    <cellStyle name="Calculation 5 9 4" xfId="19623"/>
    <cellStyle name="Calculation 5 9_Table" xfId="5321"/>
    <cellStyle name="Calculation 5_Table" xfId="5227"/>
    <cellStyle name="Calculation 6" xfId="240"/>
    <cellStyle name="Calculation 6 10" xfId="1140"/>
    <cellStyle name="Calculation 6 10 2" xfId="10468"/>
    <cellStyle name="Calculation 6 10 2 2" xfId="23774"/>
    <cellStyle name="Calculation 6 10 3" xfId="14878"/>
    <cellStyle name="Calculation 6 10 3 2" xfId="28184"/>
    <cellStyle name="Calculation 6 10 4" xfId="19364"/>
    <cellStyle name="Calculation 6 10_Table" xfId="5323"/>
    <cellStyle name="Calculation 6 11" xfId="1397"/>
    <cellStyle name="Calculation 6 11 2" xfId="10725"/>
    <cellStyle name="Calculation 6 11 2 2" xfId="24031"/>
    <cellStyle name="Calculation 6 11 3" xfId="15135"/>
    <cellStyle name="Calculation 6 11 3 2" xfId="28441"/>
    <cellStyle name="Calculation 6 11 4" xfId="19621"/>
    <cellStyle name="Calculation 6 11_Table" xfId="5324"/>
    <cellStyle name="Calculation 6 12" xfId="1167"/>
    <cellStyle name="Calculation 6 12 2" xfId="10495"/>
    <cellStyle name="Calculation 6 12 2 2" xfId="23801"/>
    <cellStyle name="Calculation 6 12 3" xfId="14905"/>
    <cellStyle name="Calculation 6 12 3 2" xfId="28211"/>
    <cellStyle name="Calculation 6 12 4" xfId="19391"/>
    <cellStyle name="Calculation 6 12_Table" xfId="5325"/>
    <cellStyle name="Calculation 6 13" xfId="1121"/>
    <cellStyle name="Calculation 6 13 2" xfId="10449"/>
    <cellStyle name="Calculation 6 13 2 2" xfId="23755"/>
    <cellStyle name="Calculation 6 13 3" xfId="14859"/>
    <cellStyle name="Calculation 6 13 3 2" xfId="28165"/>
    <cellStyle name="Calculation 6 13 4" xfId="19345"/>
    <cellStyle name="Calculation 6 13_Table" xfId="5326"/>
    <cellStyle name="Calculation 6 14" xfId="3079"/>
    <cellStyle name="Calculation 6 14 2" xfId="12407"/>
    <cellStyle name="Calculation 6 14 2 2" xfId="25713"/>
    <cellStyle name="Calculation 6 14 3" xfId="16817"/>
    <cellStyle name="Calculation 6 14 3 2" xfId="30123"/>
    <cellStyle name="Calculation 6 14 4" xfId="21303"/>
    <cellStyle name="Calculation 6 14_Table" xfId="5327"/>
    <cellStyle name="Calculation 6 15" xfId="9568"/>
    <cellStyle name="Calculation 6 15 2" xfId="23076"/>
    <cellStyle name="Calculation 6 16" xfId="14180"/>
    <cellStyle name="Calculation 6 16 2" xfId="27486"/>
    <cellStyle name="Calculation 6 17" xfId="18666"/>
    <cellStyle name="Calculation 6 2" xfId="397"/>
    <cellStyle name="Calculation 6 2 10" xfId="3600"/>
    <cellStyle name="Calculation 6 2 10 2" xfId="12928"/>
    <cellStyle name="Calculation 6 2 10 2 2" xfId="26234"/>
    <cellStyle name="Calculation 6 2 10 3" xfId="17338"/>
    <cellStyle name="Calculation 6 2 10 3 2" xfId="30644"/>
    <cellStyle name="Calculation 6 2 10 4" xfId="21824"/>
    <cellStyle name="Calculation 6 2 10_Table" xfId="5329"/>
    <cellStyle name="Calculation 6 2 11" xfId="9725"/>
    <cellStyle name="Calculation 6 2 11 2" xfId="23121"/>
    <cellStyle name="Calculation 6 2 12" xfId="14225"/>
    <cellStyle name="Calculation 6 2 12 2" xfId="27531"/>
    <cellStyle name="Calculation 6 2 13" xfId="18711"/>
    <cellStyle name="Calculation 6 2 2" xfId="712"/>
    <cellStyle name="Calculation 6 2 2 10" xfId="4672"/>
    <cellStyle name="Calculation 6 2 2 10 2" xfId="14000"/>
    <cellStyle name="Calculation 6 2 2 10 2 2" xfId="27306"/>
    <cellStyle name="Calculation 6 2 2 10 3" xfId="18410"/>
    <cellStyle name="Calculation 6 2 2 10 3 2" xfId="31716"/>
    <cellStyle name="Calculation 6 2 2 10 4" xfId="22896"/>
    <cellStyle name="Calculation 6 2 2 10_Table" xfId="5331"/>
    <cellStyle name="Calculation 6 2 2 11" xfId="10040"/>
    <cellStyle name="Calculation 6 2 2 11 2" xfId="23346"/>
    <cellStyle name="Calculation 6 2 2 12" xfId="14450"/>
    <cellStyle name="Calculation 6 2 2 12 2" xfId="27756"/>
    <cellStyle name="Calculation 6 2 2 13" xfId="18936"/>
    <cellStyle name="Calculation 6 2 2 2" xfId="1498"/>
    <cellStyle name="Calculation 6 2 2 2 2" xfId="10826"/>
    <cellStyle name="Calculation 6 2 2 2 2 2" xfId="24132"/>
    <cellStyle name="Calculation 6 2 2 2 3" xfId="15236"/>
    <cellStyle name="Calculation 6 2 2 2 3 2" xfId="28542"/>
    <cellStyle name="Calculation 6 2 2 2 4" xfId="19722"/>
    <cellStyle name="Calculation 6 2 2 2_Table" xfId="5332"/>
    <cellStyle name="Calculation 6 2 2 3" xfId="1858"/>
    <cellStyle name="Calculation 6 2 2 3 2" xfId="11186"/>
    <cellStyle name="Calculation 6 2 2 3 2 2" xfId="24492"/>
    <cellStyle name="Calculation 6 2 2 3 3" xfId="15596"/>
    <cellStyle name="Calculation 6 2 2 3 3 2" xfId="28902"/>
    <cellStyle name="Calculation 6 2 2 3 4" xfId="20082"/>
    <cellStyle name="Calculation 6 2 2 3_Table" xfId="5333"/>
    <cellStyle name="Calculation 6 2 2 4" xfId="2288"/>
    <cellStyle name="Calculation 6 2 2 4 2" xfId="11616"/>
    <cellStyle name="Calculation 6 2 2 4 2 2" xfId="24922"/>
    <cellStyle name="Calculation 6 2 2 4 3" xfId="16026"/>
    <cellStyle name="Calculation 6 2 2 4 3 2" xfId="29332"/>
    <cellStyle name="Calculation 6 2 2 4 4" xfId="20512"/>
    <cellStyle name="Calculation 6 2 2 4_Table" xfId="5334"/>
    <cellStyle name="Calculation 6 2 2 5" xfId="2726"/>
    <cellStyle name="Calculation 6 2 2 5 2" xfId="12054"/>
    <cellStyle name="Calculation 6 2 2 5 2 2" xfId="25360"/>
    <cellStyle name="Calculation 6 2 2 5 3" xfId="16464"/>
    <cellStyle name="Calculation 6 2 2 5 3 2" xfId="29770"/>
    <cellStyle name="Calculation 6 2 2 5 4" xfId="20950"/>
    <cellStyle name="Calculation 6 2 2 5_Table" xfId="5335"/>
    <cellStyle name="Calculation 6 2 2 6" xfId="3133"/>
    <cellStyle name="Calculation 6 2 2 6 2" xfId="12461"/>
    <cellStyle name="Calculation 6 2 2 6 2 2" xfId="25767"/>
    <cellStyle name="Calculation 6 2 2 6 3" xfId="16871"/>
    <cellStyle name="Calculation 6 2 2 6 3 2" xfId="30177"/>
    <cellStyle name="Calculation 6 2 2 6 4" xfId="21357"/>
    <cellStyle name="Calculation 6 2 2 6_Table" xfId="5336"/>
    <cellStyle name="Calculation 6 2 2 7" xfId="3725"/>
    <cellStyle name="Calculation 6 2 2 7 2" xfId="13053"/>
    <cellStyle name="Calculation 6 2 2 7 2 2" xfId="26359"/>
    <cellStyle name="Calculation 6 2 2 7 3" xfId="17463"/>
    <cellStyle name="Calculation 6 2 2 7 3 2" xfId="30769"/>
    <cellStyle name="Calculation 6 2 2 7 4" xfId="21949"/>
    <cellStyle name="Calculation 6 2 2 7_Table" xfId="5337"/>
    <cellStyle name="Calculation 6 2 2 8" xfId="3950"/>
    <cellStyle name="Calculation 6 2 2 8 2" xfId="13278"/>
    <cellStyle name="Calculation 6 2 2 8 2 2" xfId="26584"/>
    <cellStyle name="Calculation 6 2 2 8 3" xfId="17688"/>
    <cellStyle name="Calculation 6 2 2 8 3 2" xfId="30994"/>
    <cellStyle name="Calculation 6 2 2 8 4" xfId="22174"/>
    <cellStyle name="Calculation 6 2 2 8_Table" xfId="5338"/>
    <cellStyle name="Calculation 6 2 2 9" xfId="4311"/>
    <cellStyle name="Calculation 6 2 2 9 2" xfId="13639"/>
    <cellStyle name="Calculation 6 2 2 9 2 2" xfId="26945"/>
    <cellStyle name="Calculation 6 2 2 9 3" xfId="18049"/>
    <cellStyle name="Calculation 6 2 2 9 3 2" xfId="31355"/>
    <cellStyle name="Calculation 6 2 2 9 4" xfId="22535"/>
    <cellStyle name="Calculation 6 2 2 9_Table" xfId="5339"/>
    <cellStyle name="Calculation 6 2 2_Table" xfId="5330"/>
    <cellStyle name="Calculation 6 2 3" xfId="1015"/>
    <cellStyle name="Calculation 6 2 3 2" xfId="10343"/>
    <cellStyle name="Calculation 6 2 3 2 2" xfId="23649"/>
    <cellStyle name="Calculation 6 2 3 3" xfId="14753"/>
    <cellStyle name="Calculation 6 2 3 3 2" xfId="28059"/>
    <cellStyle name="Calculation 6 2 3 4" xfId="19239"/>
    <cellStyle name="Calculation 6 2 3_Table" xfId="5340"/>
    <cellStyle name="Calculation 6 2 4" xfId="1441"/>
    <cellStyle name="Calculation 6 2 4 2" xfId="10769"/>
    <cellStyle name="Calculation 6 2 4 2 2" xfId="24075"/>
    <cellStyle name="Calculation 6 2 4 3" xfId="15179"/>
    <cellStyle name="Calculation 6 2 4 3 2" xfId="28485"/>
    <cellStyle name="Calculation 6 2 4 4" xfId="19665"/>
    <cellStyle name="Calculation 6 2 4_Table" xfId="5341"/>
    <cellStyle name="Calculation 6 2 5" xfId="1727"/>
    <cellStyle name="Calculation 6 2 5 2" xfId="11055"/>
    <cellStyle name="Calculation 6 2 5 2 2" xfId="24361"/>
    <cellStyle name="Calculation 6 2 5 3" xfId="15465"/>
    <cellStyle name="Calculation 6 2 5 3 2" xfId="28771"/>
    <cellStyle name="Calculation 6 2 5 4" xfId="19951"/>
    <cellStyle name="Calculation 6 2 5_Table" xfId="5342"/>
    <cellStyle name="Calculation 6 2 6" xfId="2162"/>
    <cellStyle name="Calculation 6 2 6 2" xfId="11490"/>
    <cellStyle name="Calculation 6 2 6 2 2" xfId="24796"/>
    <cellStyle name="Calculation 6 2 6 3" xfId="15900"/>
    <cellStyle name="Calculation 6 2 6 3 2" xfId="29206"/>
    <cellStyle name="Calculation 6 2 6 4" xfId="20386"/>
    <cellStyle name="Calculation 6 2 6_Table" xfId="5343"/>
    <cellStyle name="Calculation 6 2 7" xfId="2594"/>
    <cellStyle name="Calculation 6 2 7 2" xfId="11922"/>
    <cellStyle name="Calculation 6 2 7 2 2" xfId="25228"/>
    <cellStyle name="Calculation 6 2 7 3" xfId="16332"/>
    <cellStyle name="Calculation 6 2 7 3 2" xfId="29638"/>
    <cellStyle name="Calculation 6 2 7 4" xfId="20818"/>
    <cellStyle name="Calculation 6 2 7_Table" xfId="5344"/>
    <cellStyle name="Calculation 6 2 8" xfId="1151"/>
    <cellStyle name="Calculation 6 2 8 2" xfId="10479"/>
    <cellStyle name="Calculation 6 2 8 2 2" xfId="23785"/>
    <cellStyle name="Calculation 6 2 8 3" xfId="14889"/>
    <cellStyle name="Calculation 6 2 8 3 2" xfId="28195"/>
    <cellStyle name="Calculation 6 2 8 4" xfId="19375"/>
    <cellStyle name="Calculation 6 2 8_Table" xfId="5345"/>
    <cellStyle name="Calculation 6 2 9" xfId="3514"/>
    <cellStyle name="Calculation 6 2 9 2" xfId="12842"/>
    <cellStyle name="Calculation 6 2 9 2 2" xfId="26148"/>
    <cellStyle name="Calculation 6 2 9 3" xfId="17252"/>
    <cellStyle name="Calculation 6 2 9 3 2" xfId="30558"/>
    <cellStyle name="Calculation 6 2 9 4" xfId="21738"/>
    <cellStyle name="Calculation 6 2 9_Table" xfId="5346"/>
    <cellStyle name="Calculation 6 2_Table" xfId="5328"/>
    <cellStyle name="Calculation 6 3" xfId="465"/>
    <cellStyle name="Calculation 6 3 10" xfId="4492"/>
    <cellStyle name="Calculation 6 3 10 2" xfId="13820"/>
    <cellStyle name="Calculation 6 3 10 2 2" xfId="27126"/>
    <cellStyle name="Calculation 6 3 10 3" xfId="18230"/>
    <cellStyle name="Calculation 6 3 10 3 2" xfId="31536"/>
    <cellStyle name="Calculation 6 3 10 4" xfId="22716"/>
    <cellStyle name="Calculation 6 3 10_Table" xfId="5348"/>
    <cellStyle name="Calculation 6 3 11" xfId="9793"/>
    <cellStyle name="Calculation 6 3 11 2" xfId="23166"/>
    <cellStyle name="Calculation 6 3 12" xfId="14270"/>
    <cellStyle name="Calculation 6 3 12 2" xfId="27576"/>
    <cellStyle name="Calculation 6 3 13" xfId="18756"/>
    <cellStyle name="Calculation 6 3 2" xfId="757"/>
    <cellStyle name="Calculation 6 3 2 10" xfId="4717"/>
    <cellStyle name="Calculation 6 3 2 10 2" xfId="14045"/>
    <cellStyle name="Calculation 6 3 2 10 2 2" xfId="27351"/>
    <cellStyle name="Calculation 6 3 2 10 3" xfId="18455"/>
    <cellStyle name="Calculation 6 3 2 10 3 2" xfId="31761"/>
    <cellStyle name="Calculation 6 3 2 10 4" xfId="22941"/>
    <cellStyle name="Calculation 6 3 2 10_Table" xfId="5350"/>
    <cellStyle name="Calculation 6 3 2 11" xfId="10085"/>
    <cellStyle name="Calculation 6 3 2 11 2" xfId="23391"/>
    <cellStyle name="Calculation 6 3 2 12" xfId="14495"/>
    <cellStyle name="Calculation 6 3 2 12 2" xfId="27801"/>
    <cellStyle name="Calculation 6 3 2 13" xfId="18981"/>
    <cellStyle name="Calculation 6 3 2 2" xfId="1543"/>
    <cellStyle name="Calculation 6 3 2 2 2" xfId="10871"/>
    <cellStyle name="Calculation 6 3 2 2 2 2" xfId="24177"/>
    <cellStyle name="Calculation 6 3 2 2 3" xfId="15281"/>
    <cellStyle name="Calculation 6 3 2 2 3 2" xfId="28587"/>
    <cellStyle name="Calculation 6 3 2 2 4" xfId="19767"/>
    <cellStyle name="Calculation 6 3 2 2_Table" xfId="5351"/>
    <cellStyle name="Calculation 6 3 2 3" xfId="1903"/>
    <cellStyle name="Calculation 6 3 2 3 2" xfId="11231"/>
    <cellStyle name="Calculation 6 3 2 3 2 2" xfId="24537"/>
    <cellStyle name="Calculation 6 3 2 3 3" xfId="15641"/>
    <cellStyle name="Calculation 6 3 2 3 3 2" xfId="28947"/>
    <cellStyle name="Calculation 6 3 2 3 4" xfId="20127"/>
    <cellStyle name="Calculation 6 3 2 3_Table" xfId="5352"/>
    <cellStyle name="Calculation 6 3 2 4" xfId="2333"/>
    <cellStyle name="Calculation 6 3 2 4 2" xfId="11661"/>
    <cellStyle name="Calculation 6 3 2 4 2 2" xfId="24967"/>
    <cellStyle name="Calculation 6 3 2 4 3" xfId="16071"/>
    <cellStyle name="Calculation 6 3 2 4 3 2" xfId="29377"/>
    <cellStyle name="Calculation 6 3 2 4 4" xfId="20557"/>
    <cellStyle name="Calculation 6 3 2 4_Table" xfId="5353"/>
    <cellStyle name="Calculation 6 3 2 5" xfId="2771"/>
    <cellStyle name="Calculation 6 3 2 5 2" xfId="12099"/>
    <cellStyle name="Calculation 6 3 2 5 2 2" xfId="25405"/>
    <cellStyle name="Calculation 6 3 2 5 3" xfId="16509"/>
    <cellStyle name="Calculation 6 3 2 5 3 2" xfId="29815"/>
    <cellStyle name="Calculation 6 3 2 5 4" xfId="20995"/>
    <cellStyle name="Calculation 6 3 2 5_Table" xfId="5354"/>
    <cellStyle name="Calculation 6 3 2 6" xfId="3178"/>
    <cellStyle name="Calculation 6 3 2 6 2" xfId="12506"/>
    <cellStyle name="Calculation 6 3 2 6 2 2" xfId="25812"/>
    <cellStyle name="Calculation 6 3 2 6 3" xfId="16916"/>
    <cellStyle name="Calculation 6 3 2 6 3 2" xfId="30222"/>
    <cellStyle name="Calculation 6 3 2 6 4" xfId="21402"/>
    <cellStyle name="Calculation 6 3 2 6_Table" xfId="5355"/>
    <cellStyle name="Calculation 6 3 2 7" xfId="3770"/>
    <cellStyle name="Calculation 6 3 2 7 2" xfId="13098"/>
    <cellStyle name="Calculation 6 3 2 7 2 2" xfId="26404"/>
    <cellStyle name="Calculation 6 3 2 7 3" xfId="17508"/>
    <cellStyle name="Calculation 6 3 2 7 3 2" xfId="30814"/>
    <cellStyle name="Calculation 6 3 2 7 4" xfId="21994"/>
    <cellStyle name="Calculation 6 3 2 7_Table" xfId="5356"/>
    <cellStyle name="Calculation 6 3 2 8" xfId="3995"/>
    <cellStyle name="Calculation 6 3 2 8 2" xfId="13323"/>
    <cellStyle name="Calculation 6 3 2 8 2 2" xfId="26629"/>
    <cellStyle name="Calculation 6 3 2 8 3" xfId="17733"/>
    <cellStyle name="Calculation 6 3 2 8 3 2" xfId="31039"/>
    <cellStyle name="Calculation 6 3 2 8 4" xfId="22219"/>
    <cellStyle name="Calculation 6 3 2 8_Table" xfId="5357"/>
    <cellStyle name="Calculation 6 3 2 9" xfId="4356"/>
    <cellStyle name="Calculation 6 3 2 9 2" xfId="13684"/>
    <cellStyle name="Calculation 6 3 2 9 2 2" xfId="26990"/>
    <cellStyle name="Calculation 6 3 2 9 3" xfId="18094"/>
    <cellStyle name="Calculation 6 3 2 9 3 2" xfId="31400"/>
    <cellStyle name="Calculation 6 3 2 9 4" xfId="22580"/>
    <cellStyle name="Calculation 6 3 2 9_Table" xfId="5358"/>
    <cellStyle name="Calculation 6 3 2_Table" xfId="5349"/>
    <cellStyle name="Calculation 6 3 3" xfId="949"/>
    <cellStyle name="Calculation 6 3 3 2" xfId="10277"/>
    <cellStyle name="Calculation 6 3 3 2 2" xfId="23583"/>
    <cellStyle name="Calculation 6 3 3 3" xfId="14687"/>
    <cellStyle name="Calculation 6 3 3 3 2" xfId="27993"/>
    <cellStyle name="Calculation 6 3 3 4" xfId="19173"/>
    <cellStyle name="Calculation 6 3 3_Table" xfId="5359"/>
    <cellStyle name="Calculation 6 3 4" xfId="2056"/>
    <cellStyle name="Calculation 6 3 4 2" xfId="11384"/>
    <cellStyle name="Calculation 6 3 4 2 2" xfId="24690"/>
    <cellStyle name="Calculation 6 3 4 3" xfId="15794"/>
    <cellStyle name="Calculation 6 3 4 3 2" xfId="29100"/>
    <cellStyle name="Calculation 6 3 4 4" xfId="20280"/>
    <cellStyle name="Calculation 6 3 4_Table" xfId="5360"/>
    <cellStyle name="Calculation 6 3 5" xfId="2488"/>
    <cellStyle name="Calculation 6 3 5 2" xfId="11816"/>
    <cellStyle name="Calculation 6 3 5 2 2" xfId="25122"/>
    <cellStyle name="Calculation 6 3 5 3" xfId="16226"/>
    <cellStyle name="Calculation 6 3 5 3 2" xfId="29532"/>
    <cellStyle name="Calculation 6 3 5 4" xfId="20712"/>
    <cellStyle name="Calculation 6 3 5_Table" xfId="5361"/>
    <cellStyle name="Calculation 6 3 6" xfId="2917"/>
    <cellStyle name="Calculation 6 3 6 2" xfId="12245"/>
    <cellStyle name="Calculation 6 3 6 2 2" xfId="25551"/>
    <cellStyle name="Calculation 6 3 6 3" xfId="16655"/>
    <cellStyle name="Calculation 6 3 6 3 2" xfId="29961"/>
    <cellStyle name="Calculation 6 3 6 4" xfId="21141"/>
    <cellStyle name="Calculation 6 3 6_Table" xfId="5362"/>
    <cellStyle name="Calculation 6 3 7" xfId="3329"/>
    <cellStyle name="Calculation 6 3 7 2" xfId="12657"/>
    <cellStyle name="Calculation 6 3 7 2 2" xfId="25963"/>
    <cellStyle name="Calculation 6 3 7 3" xfId="17067"/>
    <cellStyle name="Calculation 6 3 7 3 2" xfId="30373"/>
    <cellStyle name="Calculation 6 3 7 4" xfId="21553"/>
    <cellStyle name="Calculation 6 3 7_Table" xfId="5363"/>
    <cellStyle name="Calculation 6 3 8" xfId="3313"/>
    <cellStyle name="Calculation 6 3 8 2" xfId="12641"/>
    <cellStyle name="Calculation 6 3 8 2 2" xfId="25947"/>
    <cellStyle name="Calculation 6 3 8 3" xfId="17051"/>
    <cellStyle name="Calculation 6 3 8 3 2" xfId="30357"/>
    <cellStyle name="Calculation 6 3 8 4" xfId="21537"/>
    <cellStyle name="Calculation 6 3 8_Table" xfId="5364"/>
    <cellStyle name="Calculation 6 3 9" xfId="4131"/>
    <cellStyle name="Calculation 6 3 9 2" xfId="13459"/>
    <cellStyle name="Calculation 6 3 9 2 2" xfId="26765"/>
    <cellStyle name="Calculation 6 3 9 3" xfId="17869"/>
    <cellStyle name="Calculation 6 3 9 3 2" xfId="31175"/>
    <cellStyle name="Calculation 6 3 9 4" xfId="22355"/>
    <cellStyle name="Calculation 6 3 9_Table" xfId="5365"/>
    <cellStyle name="Calculation 6 3_Table" xfId="5347"/>
    <cellStyle name="Calculation 6 4" xfId="529"/>
    <cellStyle name="Calculation 6 4 10" xfId="4537"/>
    <cellStyle name="Calculation 6 4 10 2" xfId="13865"/>
    <cellStyle name="Calculation 6 4 10 2 2" xfId="27171"/>
    <cellStyle name="Calculation 6 4 10 3" xfId="18275"/>
    <cellStyle name="Calculation 6 4 10 3 2" xfId="31581"/>
    <cellStyle name="Calculation 6 4 10 4" xfId="22761"/>
    <cellStyle name="Calculation 6 4 10_Table" xfId="5367"/>
    <cellStyle name="Calculation 6 4 11" xfId="9857"/>
    <cellStyle name="Calculation 6 4 11 2" xfId="23211"/>
    <cellStyle name="Calculation 6 4 12" xfId="14315"/>
    <cellStyle name="Calculation 6 4 12 2" xfId="27621"/>
    <cellStyle name="Calculation 6 4 13" xfId="18801"/>
    <cellStyle name="Calculation 6 4 2" xfId="802"/>
    <cellStyle name="Calculation 6 4 2 10" xfId="4762"/>
    <cellStyle name="Calculation 6 4 2 10 2" xfId="14090"/>
    <cellStyle name="Calculation 6 4 2 10 2 2" xfId="27396"/>
    <cellStyle name="Calculation 6 4 2 10 3" xfId="18500"/>
    <cellStyle name="Calculation 6 4 2 10 3 2" xfId="31806"/>
    <cellStyle name="Calculation 6 4 2 10 4" xfId="22986"/>
    <cellStyle name="Calculation 6 4 2 10_Table" xfId="5369"/>
    <cellStyle name="Calculation 6 4 2 11" xfId="10130"/>
    <cellStyle name="Calculation 6 4 2 11 2" xfId="23436"/>
    <cellStyle name="Calculation 6 4 2 12" xfId="14540"/>
    <cellStyle name="Calculation 6 4 2 12 2" xfId="27846"/>
    <cellStyle name="Calculation 6 4 2 13" xfId="19026"/>
    <cellStyle name="Calculation 6 4 2 2" xfId="1588"/>
    <cellStyle name="Calculation 6 4 2 2 2" xfId="10916"/>
    <cellStyle name="Calculation 6 4 2 2 2 2" xfId="24222"/>
    <cellStyle name="Calculation 6 4 2 2 3" xfId="15326"/>
    <cellStyle name="Calculation 6 4 2 2 3 2" xfId="28632"/>
    <cellStyle name="Calculation 6 4 2 2 4" xfId="19812"/>
    <cellStyle name="Calculation 6 4 2 2_Table" xfId="5370"/>
    <cellStyle name="Calculation 6 4 2 3" xfId="1948"/>
    <cellStyle name="Calculation 6 4 2 3 2" xfId="11276"/>
    <cellStyle name="Calculation 6 4 2 3 2 2" xfId="24582"/>
    <cellStyle name="Calculation 6 4 2 3 3" xfId="15686"/>
    <cellStyle name="Calculation 6 4 2 3 3 2" xfId="28992"/>
    <cellStyle name="Calculation 6 4 2 3 4" xfId="20172"/>
    <cellStyle name="Calculation 6 4 2 3_Table" xfId="5371"/>
    <cellStyle name="Calculation 6 4 2 4" xfId="2378"/>
    <cellStyle name="Calculation 6 4 2 4 2" xfId="11706"/>
    <cellStyle name="Calculation 6 4 2 4 2 2" xfId="25012"/>
    <cellStyle name="Calculation 6 4 2 4 3" xfId="16116"/>
    <cellStyle name="Calculation 6 4 2 4 3 2" xfId="29422"/>
    <cellStyle name="Calculation 6 4 2 4 4" xfId="20602"/>
    <cellStyle name="Calculation 6 4 2 4_Table" xfId="5372"/>
    <cellStyle name="Calculation 6 4 2 5" xfId="2816"/>
    <cellStyle name="Calculation 6 4 2 5 2" xfId="12144"/>
    <cellStyle name="Calculation 6 4 2 5 2 2" xfId="25450"/>
    <cellStyle name="Calculation 6 4 2 5 3" xfId="16554"/>
    <cellStyle name="Calculation 6 4 2 5 3 2" xfId="29860"/>
    <cellStyle name="Calculation 6 4 2 5 4" xfId="21040"/>
    <cellStyle name="Calculation 6 4 2 5_Table" xfId="5373"/>
    <cellStyle name="Calculation 6 4 2 6" xfId="3223"/>
    <cellStyle name="Calculation 6 4 2 6 2" xfId="12551"/>
    <cellStyle name="Calculation 6 4 2 6 2 2" xfId="25857"/>
    <cellStyle name="Calculation 6 4 2 6 3" xfId="16961"/>
    <cellStyle name="Calculation 6 4 2 6 3 2" xfId="30267"/>
    <cellStyle name="Calculation 6 4 2 6 4" xfId="21447"/>
    <cellStyle name="Calculation 6 4 2 6_Table" xfId="5374"/>
    <cellStyle name="Calculation 6 4 2 7" xfId="3815"/>
    <cellStyle name="Calculation 6 4 2 7 2" xfId="13143"/>
    <cellStyle name="Calculation 6 4 2 7 2 2" xfId="26449"/>
    <cellStyle name="Calculation 6 4 2 7 3" xfId="17553"/>
    <cellStyle name="Calculation 6 4 2 7 3 2" xfId="30859"/>
    <cellStyle name="Calculation 6 4 2 7 4" xfId="22039"/>
    <cellStyle name="Calculation 6 4 2 7_Table" xfId="5375"/>
    <cellStyle name="Calculation 6 4 2 8" xfId="4040"/>
    <cellStyle name="Calculation 6 4 2 8 2" xfId="13368"/>
    <cellStyle name="Calculation 6 4 2 8 2 2" xfId="26674"/>
    <cellStyle name="Calculation 6 4 2 8 3" xfId="17778"/>
    <cellStyle name="Calculation 6 4 2 8 3 2" xfId="31084"/>
    <cellStyle name="Calculation 6 4 2 8 4" xfId="22264"/>
    <cellStyle name="Calculation 6 4 2 8_Table" xfId="5376"/>
    <cellStyle name="Calculation 6 4 2 9" xfId="4401"/>
    <cellStyle name="Calculation 6 4 2 9 2" xfId="13729"/>
    <cellStyle name="Calculation 6 4 2 9 2 2" xfId="27035"/>
    <cellStyle name="Calculation 6 4 2 9 3" xfId="18139"/>
    <cellStyle name="Calculation 6 4 2 9 3 2" xfId="31445"/>
    <cellStyle name="Calculation 6 4 2 9 4" xfId="22625"/>
    <cellStyle name="Calculation 6 4 2 9_Table" xfId="5377"/>
    <cellStyle name="Calculation 6 4 2_Table" xfId="5368"/>
    <cellStyle name="Calculation 6 4 3" xfId="1681"/>
    <cellStyle name="Calculation 6 4 3 2" xfId="11009"/>
    <cellStyle name="Calculation 6 4 3 2 2" xfId="24315"/>
    <cellStyle name="Calculation 6 4 3 3" xfId="15419"/>
    <cellStyle name="Calculation 6 4 3 3 2" xfId="28725"/>
    <cellStyle name="Calculation 6 4 3 4" xfId="19905"/>
    <cellStyle name="Calculation 6 4 3_Table" xfId="5378"/>
    <cellStyle name="Calculation 6 4 4" xfId="2115"/>
    <cellStyle name="Calculation 6 4 4 2" xfId="11443"/>
    <cellStyle name="Calculation 6 4 4 2 2" xfId="24749"/>
    <cellStyle name="Calculation 6 4 4 3" xfId="15853"/>
    <cellStyle name="Calculation 6 4 4 3 2" xfId="29159"/>
    <cellStyle name="Calculation 6 4 4 4" xfId="20339"/>
    <cellStyle name="Calculation 6 4 4_Table" xfId="5379"/>
    <cellStyle name="Calculation 6 4 5" xfId="2547"/>
    <cellStyle name="Calculation 6 4 5 2" xfId="11875"/>
    <cellStyle name="Calculation 6 4 5 2 2" xfId="25181"/>
    <cellStyle name="Calculation 6 4 5 3" xfId="16285"/>
    <cellStyle name="Calculation 6 4 5 3 2" xfId="29591"/>
    <cellStyle name="Calculation 6 4 5 4" xfId="20771"/>
    <cellStyle name="Calculation 6 4 5_Table" xfId="5380"/>
    <cellStyle name="Calculation 6 4 6" xfId="2974"/>
    <cellStyle name="Calculation 6 4 6 2" xfId="12302"/>
    <cellStyle name="Calculation 6 4 6 2 2" xfId="25608"/>
    <cellStyle name="Calculation 6 4 6 3" xfId="16712"/>
    <cellStyle name="Calculation 6 4 6 3 2" xfId="30018"/>
    <cellStyle name="Calculation 6 4 6 4" xfId="21198"/>
    <cellStyle name="Calculation 6 4 6_Table" xfId="5381"/>
    <cellStyle name="Calculation 6 4 7" xfId="3387"/>
    <cellStyle name="Calculation 6 4 7 2" xfId="12715"/>
    <cellStyle name="Calculation 6 4 7 2 2" xfId="26021"/>
    <cellStyle name="Calculation 6 4 7 3" xfId="17125"/>
    <cellStyle name="Calculation 6 4 7 3 2" xfId="30431"/>
    <cellStyle name="Calculation 6 4 7 4" xfId="21611"/>
    <cellStyle name="Calculation 6 4 7_Table" xfId="5382"/>
    <cellStyle name="Calculation 6 4 8" xfId="3654"/>
    <cellStyle name="Calculation 6 4 8 2" xfId="12982"/>
    <cellStyle name="Calculation 6 4 8 2 2" xfId="26288"/>
    <cellStyle name="Calculation 6 4 8 3" xfId="17392"/>
    <cellStyle name="Calculation 6 4 8 3 2" xfId="30698"/>
    <cellStyle name="Calculation 6 4 8 4" xfId="21878"/>
    <cellStyle name="Calculation 6 4 8_Table" xfId="5383"/>
    <cellStyle name="Calculation 6 4 9" xfId="4176"/>
    <cellStyle name="Calculation 6 4 9 2" xfId="13504"/>
    <cellStyle name="Calculation 6 4 9 2 2" xfId="26810"/>
    <cellStyle name="Calculation 6 4 9 3" xfId="17914"/>
    <cellStyle name="Calculation 6 4 9 3 2" xfId="31220"/>
    <cellStyle name="Calculation 6 4 9 4" xfId="22400"/>
    <cellStyle name="Calculation 6 4 9_Table" xfId="5384"/>
    <cellStyle name="Calculation 6 4_Table" xfId="5366"/>
    <cellStyle name="Calculation 6 5" xfId="604"/>
    <cellStyle name="Calculation 6 5 10" xfId="4582"/>
    <cellStyle name="Calculation 6 5 10 2" xfId="13910"/>
    <cellStyle name="Calculation 6 5 10 2 2" xfId="27216"/>
    <cellStyle name="Calculation 6 5 10 3" xfId="18320"/>
    <cellStyle name="Calculation 6 5 10 3 2" xfId="31626"/>
    <cellStyle name="Calculation 6 5 10 4" xfId="22806"/>
    <cellStyle name="Calculation 6 5 10_Table" xfId="5386"/>
    <cellStyle name="Calculation 6 5 11" xfId="9932"/>
    <cellStyle name="Calculation 6 5 11 2" xfId="23256"/>
    <cellStyle name="Calculation 6 5 12" xfId="14360"/>
    <cellStyle name="Calculation 6 5 12 2" xfId="27666"/>
    <cellStyle name="Calculation 6 5 13" xfId="18846"/>
    <cellStyle name="Calculation 6 5 2" xfId="847"/>
    <cellStyle name="Calculation 6 5 2 10" xfId="4807"/>
    <cellStyle name="Calculation 6 5 2 10 2" xfId="14135"/>
    <cellStyle name="Calculation 6 5 2 10 2 2" xfId="27441"/>
    <cellStyle name="Calculation 6 5 2 10 3" xfId="18545"/>
    <cellStyle name="Calculation 6 5 2 10 3 2" xfId="31851"/>
    <cellStyle name="Calculation 6 5 2 10 4" xfId="23031"/>
    <cellStyle name="Calculation 6 5 2 10_Table" xfId="5388"/>
    <cellStyle name="Calculation 6 5 2 11" xfId="10175"/>
    <cellStyle name="Calculation 6 5 2 11 2" xfId="23481"/>
    <cellStyle name="Calculation 6 5 2 12" xfId="14585"/>
    <cellStyle name="Calculation 6 5 2 12 2" xfId="27891"/>
    <cellStyle name="Calculation 6 5 2 13" xfId="19071"/>
    <cellStyle name="Calculation 6 5 2 2" xfId="1633"/>
    <cellStyle name="Calculation 6 5 2 2 2" xfId="10961"/>
    <cellStyle name="Calculation 6 5 2 2 2 2" xfId="24267"/>
    <cellStyle name="Calculation 6 5 2 2 3" xfId="15371"/>
    <cellStyle name="Calculation 6 5 2 2 3 2" xfId="28677"/>
    <cellStyle name="Calculation 6 5 2 2 4" xfId="19857"/>
    <cellStyle name="Calculation 6 5 2 2_Table" xfId="5389"/>
    <cellStyle name="Calculation 6 5 2 3" xfId="1993"/>
    <cellStyle name="Calculation 6 5 2 3 2" xfId="11321"/>
    <cellStyle name="Calculation 6 5 2 3 2 2" xfId="24627"/>
    <cellStyle name="Calculation 6 5 2 3 3" xfId="15731"/>
    <cellStyle name="Calculation 6 5 2 3 3 2" xfId="29037"/>
    <cellStyle name="Calculation 6 5 2 3 4" xfId="20217"/>
    <cellStyle name="Calculation 6 5 2 3_Table" xfId="5390"/>
    <cellStyle name="Calculation 6 5 2 4" xfId="2423"/>
    <cellStyle name="Calculation 6 5 2 4 2" xfId="11751"/>
    <cellStyle name="Calculation 6 5 2 4 2 2" xfId="25057"/>
    <cellStyle name="Calculation 6 5 2 4 3" xfId="16161"/>
    <cellStyle name="Calculation 6 5 2 4 3 2" xfId="29467"/>
    <cellStyle name="Calculation 6 5 2 4 4" xfId="20647"/>
    <cellStyle name="Calculation 6 5 2 4_Table" xfId="5391"/>
    <cellStyle name="Calculation 6 5 2 5" xfId="2861"/>
    <cellStyle name="Calculation 6 5 2 5 2" xfId="12189"/>
    <cellStyle name="Calculation 6 5 2 5 2 2" xfId="25495"/>
    <cellStyle name="Calculation 6 5 2 5 3" xfId="16599"/>
    <cellStyle name="Calculation 6 5 2 5 3 2" xfId="29905"/>
    <cellStyle name="Calculation 6 5 2 5 4" xfId="21085"/>
    <cellStyle name="Calculation 6 5 2 5_Table" xfId="5392"/>
    <cellStyle name="Calculation 6 5 2 6" xfId="3268"/>
    <cellStyle name="Calculation 6 5 2 6 2" xfId="12596"/>
    <cellStyle name="Calculation 6 5 2 6 2 2" xfId="25902"/>
    <cellStyle name="Calculation 6 5 2 6 3" xfId="17006"/>
    <cellStyle name="Calculation 6 5 2 6 3 2" xfId="30312"/>
    <cellStyle name="Calculation 6 5 2 6 4" xfId="21492"/>
    <cellStyle name="Calculation 6 5 2 6_Table" xfId="5393"/>
    <cellStyle name="Calculation 6 5 2 7" xfId="3860"/>
    <cellStyle name="Calculation 6 5 2 7 2" xfId="13188"/>
    <cellStyle name="Calculation 6 5 2 7 2 2" xfId="26494"/>
    <cellStyle name="Calculation 6 5 2 7 3" xfId="17598"/>
    <cellStyle name="Calculation 6 5 2 7 3 2" xfId="30904"/>
    <cellStyle name="Calculation 6 5 2 7 4" xfId="22084"/>
    <cellStyle name="Calculation 6 5 2 7_Table" xfId="5394"/>
    <cellStyle name="Calculation 6 5 2 8" xfId="4085"/>
    <cellStyle name="Calculation 6 5 2 8 2" xfId="13413"/>
    <cellStyle name="Calculation 6 5 2 8 2 2" xfId="26719"/>
    <cellStyle name="Calculation 6 5 2 8 3" xfId="17823"/>
    <cellStyle name="Calculation 6 5 2 8 3 2" xfId="31129"/>
    <cellStyle name="Calculation 6 5 2 8 4" xfId="22309"/>
    <cellStyle name="Calculation 6 5 2 8_Table" xfId="5395"/>
    <cellStyle name="Calculation 6 5 2 9" xfId="4446"/>
    <cellStyle name="Calculation 6 5 2 9 2" xfId="13774"/>
    <cellStyle name="Calculation 6 5 2 9 2 2" xfId="27080"/>
    <cellStyle name="Calculation 6 5 2 9 3" xfId="18184"/>
    <cellStyle name="Calculation 6 5 2 9 3 2" xfId="31490"/>
    <cellStyle name="Calculation 6 5 2 9 4" xfId="22670"/>
    <cellStyle name="Calculation 6 5 2 9_Table" xfId="5396"/>
    <cellStyle name="Calculation 6 5 2_Table" xfId="5387"/>
    <cellStyle name="Calculation 6 5 3" xfId="1751"/>
    <cellStyle name="Calculation 6 5 3 2" xfId="11079"/>
    <cellStyle name="Calculation 6 5 3 2 2" xfId="24385"/>
    <cellStyle name="Calculation 6 5 3 3" xfId="15489"/>
    <cellStyle name="Calculation 6 5 3 3 2" xfId="28795"/>
    <cellStyle name="Calculation 6 5 3 4" xfId="19975"/>
    <cellStyle name="Calculation 6 5 3_Table" xfId="5397"/>
    <cellStyle name="Calculation 6 5 4" xfId="2184"/>
    <cellStyle name="Calculation 6 5 4 2" xfId="11512"/>
    <cellStyle name="Calculation 6 5 4 2 2" xfId="24818"/>
    <cellStyle name="Calculation 6 5 4 3" xfId="15922"/>
    <cellStyle name="Calculation 6 5 4 3 2" xfId="29228"/>
    <cellStyle name="Calculation 6 5 4 4" xfId="20408"/>
    <cellStyle name="Calculation 6 5 4_Table" xfId="5398"/>
    <cellStyle name="Calculation 6 5 5" xfId="2619"/>
    <cellStyle name="Calculation 6 5 5 2" xfId="11947"/>
    <cellStyle name="Calculation 6 5 5 2 2" xfId="25253"/>
    <cellStyle name="Calculation 6 5 5 3" xfId="16357"/>
    <cellStyle name="Calculation 6 5 5 3 2" xfId="29663"/>
    <cellStyle name="Calculation 6 5 5 4" xfId="20843"/>
    <cellStyle name="Calculation 6 5 5_Table" xfId="5399"/>
    <cellStyle name="Calculation 6 5 6" xfId="3032"/>
    <cellStyle name="Calculation 6 5 6 2" xfId="12360"/>
    <cellStyle name="Calculation 6 5 6 2 2" xfId="25666"/>
    <cellStyle name="Calculation 6 5 6 3" xfId="16770"/>
    <cellStyle name="Calculation 6 5 6 3 2" xfId="30076"/>
    <cellStyle name="Calculation 6 5 6 4" xfId="21256"/>
    <cellStyle name="Calculation 6 5 6_Table" xfId="5400"/>
    <cellStyle name="Calculation 6 5 7" xfId="3458"/>
    <cellStyle name="Calculation 6 5 7 2" xfId="12786"/>
    <cellStyle name="Calculation 6 5 7 2 2" xfId="26092"/>
    <cellStyle name="Calculation 6 5 7 3" xfId="17196"/>
    <cellStyle name="Calculation 6 5 7 3 2" xfId="30502"/>
    <cellStyle name="Calculation 6 5 7 4" xfId="21682"/>
    <cellStyle name="Calculation 6 5 7_Table" xfId="5401"/>
    <cellStyle name="Calculation 6 5 8" xfId="3665"/>
    <cellStyle name="Calculation 6 5 8 2" xfId="12993"/>
    <cellStyle name="Calculation 6 5 8 2 2" xfId="26299"/>
    <cellStyle name="Calculation 6 5 8 3" xfId="17403"/>
    <cellStyle name="Calculation 6 5 8 3 2" xfId="30709"/>
    <cellStyle name="Calculation 6 5 8 4" xfId="21889"/>
    <cellStyle name="Calculation 6 5 8_Table" xfId="5402"/>
    <cellStyle name="Calculation 6 5 9" xfId="4221"/>
    <cellStyle name="Calculation 6 5 9 2" xfId="13549"/>
    <cellStyle name="Calculation 6 5 9 2 2" xfId="26855"/>
    <cellStyle name="Calculation 6 5 9 3" xfId="17959"/>
    <cellStyle name="Calculation 6 5 9 3 2" xfId="31265"/>
    <cellStyle name="Calculation 6 5 9 4" xfId="22445"/>
    <cellStyle name="Calculation 6 5 9_Table" xfId="5403"/>
    <cellStyle name="Calculation 6 5_Table" xfId="5385"/>
    <cellStyle name="Calculation 6 6" xfId="667"/>
    <cellStyle name="Calculation 6 6 10" xfId="4627"/>
    <cellStyle name="Calculation 6 6 10 2" xfId="13955"/>
    <cellStyle name="Calculation 6 6 10 2 2" xfId="27261"/>
    <cellStyle name="Calculation 6 6 10 3" xfId="18365"/>
    <cellStyle name="Calculation 6 6 10 3 2" xfId="31671"/>
    <cellStyle name="Calculation 6 6 10 4" xfId="22851"/>
    <cellStyle name="Calculation 6 6 10_Table" xfId="5405"/>
    <cellStyle name="Calculation 6 6 11" xfId="9995"/>
    <cellStyle name="Calculation 6 6 11 2" xfId="23301"/>
    <cellStyle name="Calculation 6 6 12" xfId="14405"/>
    <cellStyle name="Calculation 6 6 12 2" xfId="27711"/>
    <cellStyle name="Calculation 6 6 13" xfId="18891"/>
    <cellStyle name="Calculation 6 6 2" xfId="1453"/>
    <cellStyle name="Calculation 6 6 2 2" xfId="10781"/>
    <cellStyle name="Calculation 6 6 2 2 2" xfId="24087"/>
    <cellStyle name="Calculation 6 6 2 3" xfId="15191"/>
    <cellStyle name="Calculation 6 6 2 3 2" xfId="28497"/>
    <cellStyle name="Calculation 6 6 2 4" xfId="19677"/>
    <cellStyle name="Calculation 6 6 2_Table" xfId="5406"/>
    <cellStyle name="Calculation 6 6 3" xfId="1813"/>
    <cellStyle name="Calculation 6 6 3 2" xfId="11141"/>
    <cellStyle name="Calculation 6 6 3 2 2" xfId="24447"/>
    <cellStyle name="Calculation 6 6 3 3" xfId="15551"/>
    <cellStyle name="Calculation 6 6 3 3 2" xfId="28857"/>
    <cellStyle name="Calculation 6 6 3 4" xfId="20037"/>
    <cellStyle name="Calculation 6 6 3_Table" xfId="5407"/>
    <cellStyle name="Calculation 6 6 4" xfId="2243"/>
    <cellStyle name="Calculation 6 6 4 2" xfId="11571"/>
    <cellStyle name="Calculation 6 6 4 2 2" xfId="24877"/>
    <cellStyle name="Calculation 6 6 4 3" xfId="15981"/>
    <cellStyle name="Calculation 6 6 4 3 2" xfId="29287"/>
    <cellStyle name="Calculation 6 6 4 4" xfId="20467"/>
    <cellStyle name="Calculation 6 6 4_Table" xfId="5408"/>
    <cellStyle name="Calculation 6 6 5" xfId="2681"/>
    <cellStyle name="Calculation 6 6 5 2" xfId="12009"/>
    <cellStyle name="Calculation 6 6 5 2 2" xfId="25315"/>
    <cellStyle name="Calculation 6 6 5 3" xfId="16419"/>
    <cellStyle name="Calculation 6 6 5 3 2" xfId="29725"/>
    <cellStyle name="Calculation 6 6 5 4" xfId="20905"/>
    <cellStyle name="Calculation 6 6 5_Table" xfId="5409"/>
    <cellStyle name="Calculation 6 6 6" xfId="3088"/>
    <cellStyle name="Calculation 6 6 6 2" xfId="12416"/>
    <cellStyle name="Calculation 6 6 6 2 2" xfId="25722"/>
    <cellStyle name="Calculation 6 6 6 3" xfId="16826"/>
    <cellStyle name="Calculation 6 6 6 3 2" xfId="30132"/>
    <cellStyle name="Calculation 6 6 6 4" xfId="21312"/>
    <cellStyle name="Calculation 6 6 6_Table" xfId="5410"/>
    <cellStyle name="Calculation 6 6 7" xfId="3680"/>
    <cellStyle name="Calculation 6 6 7 2" xfId="13008"/>
    <cellStyle name="Calculation 6 6 7 2 2" xfId="26314"/>
    <cellStyle name="Calculation 6 6 7 3" xfId="17418"/>
    <cellStyle name="Calculation 6 6 7 3 2" xfId="30724"/>
    <cellStyle name="Calculation 6 6 7 4" xfId="21904"/>
    <cellStyle name="Calculation 6 6 7_Table" xfId="5411"/>
    <cellStyle name="Calculation 6 6 8" xfId="3905"/>
    <cellStyle name="Calculation 6 6 8 2" xfId="13233"/>
    <cellStyle name="Calculation 6 6 8 2 2" xfId="26539"/>
    <cellStyle name="Calculation 6 6 8 3" xfId="17643"/>
    <cellStyle name="Calculation 6 6 8 3 2" xfId="30949"/>
    <cellStyle name="Calculation 6 6 8 4" xfId="22129"/>
    <cellStyle name="Calculation 6 6 8_Table" xfId="5412"/>
    <cellStyle name="Calculation 6 6 9" xfId="4266"/>
    <cellStyle name="Calculation 6 6 9 2" xfId="13594"/>
    <cellStyle name="Calculation 6 6 9 2 2" xfId="26900"/>
    <cellStyle name="Calculation 6 6 9 3" xfId="18004"/>
    <cellStyle name="Calculation 6 6 9 3 2" xfId="31310"/>
    <cellStyle name="Calculation 6 6 9 4" xfId="22490"/>
    <cellStyle name="Calculation 6 6 9_Table" xfId="5413"/>
    <cellStyle name="Calculation 6 6_Table" xfId="5404"/>
    <cellStyle name="Calculation 6 7" xfId="1112"/>
    <cellStyle name="Calculation 6 7 2" xfId="10440"/>
    <cellStyle name="Calculation 6 7 2 2" xfId="23746"/>
    <cellStyle name="Calculation 6 7 3" xfId="14850"/>
    <cellStyle name="Calculation 6 7 3 2" xfId="28156"/>
    <cellStyle name="Calculation 6 7 4" xfId="19336"/>
    <cellStyle name="Calculation 6 7_Table" xfId="5414"/>
    <cellStyle name="Calculation 6 8" xfId="1131"/>
    <cellStyle name="Calculation 6 8 2" xfId="10459"/>
    <cellStyle name="Calculation 6 8 2 2" xfId="23765"/>
    <cellStyle name="Calculation 6 8 3" xfId="14869"/>
    <cellStyle name="Calculation 6 8 3 2" xfId="28175"/>
    <cellStyle name="Calculation 6 8 4" xfId="19355"/>
    <cellStyle name="Calculation 6 8_Table" xfId="5415"/>
    <cellStyle name="Calculation 6 9" xfId="1332"/>
    <cellStyle name="Calculation 6 9 2" xfId="10660"/>
    <cellStyle name="Calculation 6 9 2 2" xfId="23966"/>
    <cellStyle name="Calculation 6 9 3" xfId="15070"/>
    <cellStyle name="Calculation 6 9 3 2" xfId="28376"/>
    <cellStyle name="Calculation 6 9 4" xfId="19556"/>
    <cellStyle name="Calculation 6 9_Table" xfId="5416"/>
    <cellStyle name="Calculation 6_Table" xfId="5322"/>
    <cellStyle name="Calculation 7" xfId="241"/>
    <cellStyle name="Calculation 7 10" xfId="1141"/>
    <cellStyle name="Calculation 7 10 2" xfId="10469"/>
    <cellStyle name="Calculation 7 10 2 2" xfId="23775"/>
    <cellStyle name="Calculation 7 10 3" xfId="14879"/>
    <cellStyle name="Calculation 7 10 3 2" xfId="28185"/>
    <cellStyle name="Calculation 7 10 4" xfId="19365"/>
    <cellStyle name="Calculation 7 10_Table" xfId="5418"/>
    <cellStyle name="Calculation 7 11" xfId="1330"/>
    <cellStyle name="Calculation 7 11 2" xfId="10658"/>
    <cellStyle name="Calculation 7 11 2 2" xfId="23964"/>
    <cellStyle name="Calculation 7 11 3" xfId="15068"/>
    <cellStyle name="Calculation 7 11 3 2" xfId="28374"/>
    <cellStyle name="Calculation 7 11 4" xfId="19554"/>
    <cellStyle name="Calculation 7 11_Table" xfId="5419"/>
    <cellStyle name="Calculation 7 12" xfId="2038"/>
    <cellStyle name="Calculation 7 12 2" xfId="11366"/>
    <cellStyle name="Calculation 7 12 2 2" xfId="24672"/>
    <cellStyle name="Calculation 7 12 3" xfId="15776"/>
    <cellStyle name="Calculation 7 12 3 2" xfId="29082"/>
    <cellStyle name="Calculation 7 12 4" xfId="20262"/>
    <cellStyle name="Calculation 7 12_Table" xfId="5420"/>
    <cellStyle name="Calculation 7 13" xfId="1156"/>
    <cellStyle name="Calculation 7 13 2" xfId="10484"/>
    <cellStyle name="Calculation 7 13 2 2" xfId="23790"/>
    <cellStyle name="Calculation 7 13 3" xfId="14894"/>
    <cellStyle name="Calculation 7 13 3 2" xfId="28200"/>
    <cellStyle name="Calculation 7 13 4" xfId="19380"/>
    <cellStyle name="Calculation 7 13_Table" xfId="5421"/>
    <cellStyle name="Calculation 7 14" xfId="1125"/>
    <cellStyle name="Calculation 7 14 2" xfId="10453"/>
    <cellStyle name="Calculation 7 14 2 2" xfId="23759"/>
    <cellStyle name="Calculation 7 14 3" xfId="14863"/>
    <cellStyle name="Calculation 7 14 3 2" xfId="28169"/>
    <cellStyle name="Calculation 7 14 4" xfId="19349"/>
    <cellStyle name="Calculation 7 14_Table" xfId="5422"/>
    <cellStyle name="Calculation 7 15" xfId="9569"/>
    <cellStyle name="Calculation 7 15 2" xfId="23077"/>
    <cellStyle name="Calculation 7 16" xfId="14181"/>
    <cellStyle name="Calculation 7 16 2" xfId="27487"/>
    <cellStyle name="Calculation 7 17" xfId="18667"/>
    <cellStyle name="Calculation 7 2" xfId="398"/>
    <cellStyle name="Calculation 7 2 10" xfId="3577"/>
    <cellStyle name="Calculation 7 2 10 2" xfId="12905"/>
    <cellStyle name="Calculation 7 2 10 2 2" xfId="26211"/>
    <cellStyle name="Calculation 7 2 10 3" xfId="17315"/>
    <cellStyle name="Calculation 7 2 10 3 2" xfId="30621"/>
    <cellStyle name="Calculation 7 2 10 4" xfId="21801"/>
    <cellStyle name="Calculation 7 2 10_Table" xfId="5424"/>
    <cellStyle name="Calculation 7 2 11" xfId="9726"/>
    <cellStyle name="Calculation 7 2 11 2" xfId="23122"/>
    <cellStyle name="Calculation 7 2 12" xfId="14226"/>
    <cellStyle name="Calculation 7 2 12 2" xfId="27532"/>
    <cellStyle name="Calculation 7 2 13" xfId="18712"/>
    <cellStyle name="Calculation 7 2 2" xfId="713"/>
    <cellStyle name="Calculation 7 2 2 10" xfId="4673"/>
    <cellStyle name="Calculation 7 2 2 10 2" xfId="14001"/>
    <cellStyle name="Calculation 7 2 2 10 2 2" xfId="27307"/>
    <cellStyle name="Calculation 7 2 2 10 3" xfId="18411"/>
    <cellStyle name="Calculation 7 2 2 10 3 2" xfId="31717"/>
    <cellStyle name="Calculation 7 2 2 10 4" xfId="22897"/>
    <cellStyle name="Calculation 7 2 2 10_Table" xfId="5426"/>
    <cellStyle name="Calculation 7 2 2 11" xfId="10041"/>
    <cellStyle name="Calculation 7 2 2 11 2" xfId="23347"/>
    <cellStyle name="Calculation 7 2 2 12" xfId="14451"/>
    <cellStyle name="Calculation 7 2 2 12 2" xfId="27757"/>
    <cellStyle name="Calculation 7 2 2 13" xfId="18937"/>
    <cellStyle name="Calculation 7 2 2 2" xfId="1499"/>
    <cellStyle name="Calculation 7 2 2 2 2" xfId="10827"/>
    <cellStyle name="Calculation 7 2 2 2 2 2" xfId="24133"/>
    <cellStyle name="Calculation 7 2 2 2 3" xfId="15237"/>
    <cellStyle name="Calculation 7 2 2 2 3 2" xfId="28543"/>
    <cellStyle name="Calculation 7 2 2 2 4" xfId="19723"/>
    <cellStyle name="Calculation 7 2 2 2_Table" xfId="5427"/>
    <cellStyle name="Calculation 7 2 2 3" xfId="1859"/>
    <cellStyle name="Calculation 7 2 2 3 2" xfId="11187"/>
    <cellStyle name="Calculation 7 2 2 3 2 2" xfId="24493"/>
    <cellStyle name="Calculation 7 2 2 3 3" xfId="15597"/>
    <cellStyle name="Calculation 7 2 2 3 3 2" xfId="28903"/>
    <cellStyle name="Calculation 7 2 2 3 4" xfId="20083"/>
    <cellStyle name="Calculation 7 2 2 3_Table" xfId="5428"/>
    <cellStyle name="Calculation 7 2 2 4" xfId="2289"/>
    <cellStyle name="Calculation 7 2 2 4 2" xfId="11617"/>
    <cellStyle name="Calculation 7 2 2 4 2 2" xfId="24923"/>
    <cellStyle name="Calculation 7 2 2 4 3" xfId="16027"/>
    <cellStyle name="Calculation 7 2 2 4 3 2" xfId="29333"/>
    <cellStyle name="Calculation 7 2 2 4 4" xfId="20513"/>
    <cellStyle name="Calculation 7 2 2 4_Table" xfId="5429"/>
    <cellStyle name="Calculation 7 2 2 5" xfId="2727"/>
    <cellStyle name="Calculation 7 2 2 5 2" xfId="12055"/>
    <cellStyle name="Calculation 7 2 2 5 2 2" xfId="25361"/>
    <cellStyle name="Calculation 7 2 2 5 3" xfId="16465"/>
    <cellStyle name="Calculation 7 2 2 5 3 2" xfId="29771"/>
    <cellStyle name="Calculation 7 2 2 5 4" xfId="20951"/>
    <cellStyle name="Calculation 7 2 2 5_Table" xfId="5430"/>
    <cellStyle name="Calculation 7 2 2 6" xfId="3134"/>
    <cellStyle name="Calculation 7 2 2 6 2" xfId="12462"/>
    <cellStyle name="Calculation 7 2 2 6 2 2" xfId="25768"/>
    <cellStyle name="Calculation 7 2 2 6 3" xfId="16872"/>
    <cellStyle name="Calculation 7 2 2 6 3 2" xfId="30178"/>
    <cellStyle name="Calculation 7 2 2 6 4" xfId="21358"/>
    <cellStyle name="Calculation 7 2 2 6_Table" xfId="5431"/>
    <cellStyle name="Calculation 7 2 2 7" xfId="3726"/>
    <cellStyle name="Calculation 7 2 2 7 2" xfId="13054"/>
    <cellStyle name="Calculation 7 2 2 7 2 2" xfId="26360"/>
    <cellStyle name="Calculation 7 2 2 7 3" xfId="17464"/>
    <cellStyle name="Calculation 7 2 2 7 3 2" xfId="30770"/>
    <cellStyle name="Calculation 7 2 2 7 4" xfId="21950"/>
    <cellStyle name="Calculation 7 2 2 7_Table" xfId="5432"/>
    <cellStyle name="Calculation 7 2 2 8" xfId="3951"/>
    <cellStyle name="Calculation 7 2 2 8 2" xfId="13279"/>
    <cellStyle name="Calculation 7 2 2 8 2 2" xfId="26585"/>
    <cellStyle name="Calculation 7 2 2 8 3" xfId="17689"/>
    <cellStyle name="Calculation 7 2 2 8 3 2" xfId="30995"/>
    <cellStyle name="Calculation 7 2 2 8 4" xfId="22175"/>
    <cellStyle name="Calculation 7 2 2 8_Table" xfId="5433"/>
    <cellStyle name="Calculation 7 2 2 9" xfId="4312"/>
    <cellStyle name="Calculation 7 2 2 9 2" xfId="13640"/>
    <cellStyle name="Calculation 7 2 2 9 2 2" xfId="26946"/>
    <cellStyle name="Calculation 7 2 2 9 3" xfId="18050"/>
    <cellStyle name="Calculation 7 2 2 9 3 2" xfId="31356"/>
    <cellStyle name="Calculation 7 2 2 9 4" xfId="22536"/>
    <cellStyle name="Calculation 7 2 2 9_Table" xfId="5434"/>
    <cellStyle name="Calculation 7 2 2_Table" xfId="5425"/>
    <cellStyle name="Calculation 7 2 3" xfId="1014"/>
    <cellStyle name="Calculation 7 2 3 2" xfId="10342"/>
    <cellStyle name="Calculation 7 2 3 2 2" xfId="23648"/>
    <cellStyle name="Calculation 7 2 3 3" xfId="14752"/>
    <cellStyle name="Calculation 7 2 3 3 2" xfId="28058"/>
    <cellStyle name="Calculation 7 2 3 4" xfId="19238"/>
    <cellStyle name="Calculation 7 2 3_Table" xfId="5435"/>
    <cellStyle name="Calculation 7 2 4" xfId="1313"/>
    <cellStyle name="Calculation 7 2 4 2" xfId="10641"/>
    <cellStyle name="Calculation 7 2 4 2 2" xfId="23947"/>
    <cellStyle name="Calculation 7 2 4 3" xfId="15051"/>
    <cellStyle name="Calculation 7 2 4 3 2" xfId="28357"/>
    <cellStyle name="Calculation 7 2 4 4" xfId="19537"/>
    <cellStyle name="Calculation 7 2 4_Table" xfId="5436"/>
    <cellStyle name="Calculation 7 2 5" xfId="1798"/>
    <cellStyle name="Calculation 7 2 5 2" xfId="11126"/>
    <cellStyle name="Calculation 7 2 5 2 2" xfId="24432"/>
    <cellStyle name="Calculation 7 2 5 3" xfId="15536"/>
    <cellStyle name="Calculation 7 2 5 3 2" xfId="28842"/>
    <cellStyle name="Calculation 7 2 5 4" xfId="20022"/>
    <cellStyle name="Calculation 7 2 5_Table" xfId="5437"/>
    <cellStyle name="Calculation 7 2 6" xfId="2230"/>
    <cellStyle name="Calculation 7 2 6 2" xfId="11558"/>
    <cellStyle name="Calculation 7 2 6 2 2" xfId="24864"/>
    <cellStyle name="Calculation 7 2 6 3" xfId="15968"/>
    <cellStyle name="Calculation 7 2 6 3 2" xfId="29274"/>
    <cellStyle name="Calculation 7 2 6 4" xfId="20454"/>
    <cellStyle name="Calculation 7 2 6_Table" xfId="5438"/>
    <cellStyle name="Calculation 7 2 7" xfId="2665"/>
    <cellStyle name="Calculation 7 2 7 2" xfId="11993"/>
    <cellStyle name="Calculation 7 2 7 2 2" xfId="25299"/>
    <cellStyle name="Calculation 7 2 7 3" xfId="16403"/>
    <cellStyle name="Calculation 7 2 7 3 2" xfId="29709"/>
    <cellStyle name="Calculation 7 2 7 4" xfId="20889"/>
    <cellStyle name="Calculation 7 2 7_Table" xfId="5439"/>
    <cellStyle name="Calculation 7 2 8" xfId="3551"/>
    <cellStyle name="Calculation 7 2 8 2" xfId="12879"/>
    <cellStyle name="Calculation 7 2 8 2 2" xfId="26185"/>
    <cellStyle name="Calculation 7 2 8 3" xfId="17289"/>
    <cellStyle name="Calculation 7 2 8 3 2" xfId="30595"/>
    <cellStyle name="Calculation 7 2 8 4" xfId="21775"/>
    <cellStyle name="Calculation 7 2 8_Table" xfId="5440"/>
    <cellStyle name="Calculation 7 2 9" xfId="1222"/>
    <cellStyle name="Calculation 7 2 9 2" xfId="10550"/>
    <cellStyle name="Calculation 7 2 9 2 2" xfId="23856"/>
    <cellStyle name="Calculation 7 2 9 3" xfId="14960"/>
    <cellStyle name="Calculation 7 2 9 3 2" xfId="28266"/>
    <cellStyle name="Calculation 7 2 9 4" xfId="19446"/>
    <cellStyle name="Calculation 7 2 9_Table" xfId="5441"/>
    <cellStyle name="Calculation 7 2_Table" xfId="5423"/>
    <cellStyle name="Calculation 7 3" xfId="466"/>
    <cellStyle name="Calculation 7 3 10" xfId="4493"/>
    <cellStyle name="Calculation 7 3 10 2" xfId="13821"/>
    <cellStyle name="Calculation 7 3 10 2 2" xfId="27127"/>
    <cellStyle name="Calculation 7 3 10 3" xfId="18231"/>
    <cellStyle name="Calculation 7 3 10 3 2" xfId="31537"/>
    <cellStyle name="Calculation 7 3 10 4" xfId="22717"/>
    <cellStyle name="Calculation 7 3 10_Table" xfId="5443"/>
    <cellStyle name="Calculation 7 3 11" xfId="9794"/>
    <cellStyle name="Calculation 7 3 11 2" xfId="23167"/>
    <cellStyle name="Calculation 7 3 12" xfId="14271"/>
    <cellStyle name="Calculation 7 3 12 2" xfId="27577"/>
    <cellStyle name="Calculation 7 3 13" xfId="18757"/>
    <cellStyle name="Calculation 7 3 2" xfId="758"/>
    <cellStyle name="Calculation 7 3 2 10" xfId="4718"/>
    <cellStyle name="Calculation 7 3 2 10 2" xfId="14046"/>
    <cellStyle name="Calculation 7 3 2 10 2 2" xfId="27352"/>
    <cellStyle name="Calculation 7 3 2 10 3" xfId="18456"/>
    <cellStyle name="Calculation 7 3 2 10 3 2" xfId="31762"/>
    <cellStyle name="Calculation 7 3 2 10 4" xfId="22942"/>
    <cellStyle name="Calculation 7 3 2 10_Table" xfId="5445"/>
    <cellStyle name="Calculation 7 3 2 11" xfId="10086"/>
    <cellStyle name="Calculation 7 3 2 11 2" xfId="23392"/>
    <cellStyle name="Calculation 7 3 2 12" xfId="14496"/>
    <cellStyle name="Calculation 7 3 2 12 2" xfId="27802"/>
    <cellStyle name="Calculation 7 3 2 13" xfId="18982"/>
    <cellStyle name="Calculation 7 3 2 2" xfId="1544"/>
    <cellStyle name="Calculation 7 3 2 2 2" xfId="10872"/>
    <cellStyle name="Calculation 7 3 2 2 2 2" xfId="24178"/>
    <cellStyle name="Calculation 7 3 2 2 3" xfId="15282"/>
    <cellStyle name="Calculation 7 3 2 2 3 2" xfId="28588"/>
    <cellStyle name="Calculation 7 3 2 2 4" xfId="19768"/>
    <cellStyle name="Calculation 7 3 2 2_Table" xfId="5446"/>
    <cellStyle name="Calculation 7 3 2 3" xfId="1904"/>
    <cellStyle name="Calculation 7 3 2 3 2" xfId="11232"/>
    <cellStyle name="Calculation 7 3 2 3 2 2" xfId="24538"/>
    <cellStyle name="Calculation 7 3 2 3 3" xfId="15642"/>
    <cellStyle name="Calculation 7 3 2 3 3 2" xfId="28948"/>
    <cellStyle name="Calculation 7 3 2 3 4" xfId="20128"/>
    <cellStyle name="Calculation 7 3 2 3_Table" xfId="5447"/>
    <cellStyle name="Calculation 7 3 2 4" xfId="2334"/>
    <cellStyle name="Calculation 7 3 2 4 2" xfId="11662"/>
    <cellStyle name="Calculation 7 3 2 4 2 2" xfId="24968"/>
    <cellStyle name="Calculation 7 3 2 4 3" xfId="16072"/>
    <cellStyle name="Calculation 7 3 2 4 3 2" xfId="29378"/>
    <cellStyle name="Calculation 7 3 2 4 4" xfId="20558"/>
    <cellStyle name="Calculation 7 3 2 4_Table" xfId="5448"/>
    <cellStyle name="Calculation 7 3 2 5" xfId="2772"/>
    <cellStyle name="Calculation 7 3 2 5 2" xfId="12100"/>
    <cellStyle name="Calculation 7 3 2 5 2 2" xfId="25406"/>
    <cellStyle name="Calculation 7 3 2 5 3" xfId="16510"/>
    <cellStyle name="Calculation 7 3 2 5 3 2" xfId="29816"/>
    <cellStyle name="Calculation 7 3 2 5 4" xfId="20996"/>
    <cellStyle name="Calculation 7 3 2 5_Table" xfId="5449"/>
    <cellStyle name="Calculation 7 3 2 6" xfId="3179"/>
    <cellStyle name="Calculation 7 3 2 6 2" xfId="12507"/>
    <cellStyle name="Calculation 7 3 2 6 2 2" xfId="25813"/>
    <cellStyle name="Calculation 7 3 2 6 3" xfId="16917"/>
    <cellStyle name="Calculation 7 3 2 6 3 2" xfId="30223"/>
    <cellStyle name="Calculation 7 3 2 6 4" xfId="21403"/>
    <cellStyle name="Calculation 7 3 2 6_Table" xfId="5450"/>
    <cellStyle name="Calculation 7 3 2 7" xfId="3771"/>
    <cellStyle name="Calculation 7 3 2 7 2" xfId="13099"/>
    <cellStyle name="Calculation 7 3 2 7 2 2" xfId="26405"/>
    <cellStyle name="Calculation 7 3 2 7 3" xfId="17509"/>
    <cellStyle name="Calculation 7 3 2 7 3 2" xfId="30815"/>
    <cellStyle name="Calculation 7 3 2 7 4" xfId="21995"/>
    <cellStyle name="Calculation 7 3 2 7_Table" xfId="5451"/>
    <cellStyle name="Calculation 7 3 2 8" xfId="3996"/>
    <cellStyle name="Calculation 7 3 2 8 2" xfId="13324"/>
    <cellStyle name="Calculation 7 3 2 8 2 2" xfId="26630"/>
    <cellStyle name="Calculation 7 3 2 8 3" xfId="17734"/>
    <cellStyle name="Calculation 7 3 2 8 3 2" xfId="31040"/>
    <cellStyle name="Calculation 7 3 2 8 4" xfId="22220"/>
    <cellStyle name="Calculation 7 3 2 8_Table" xfId="5452"/>
    <cellStyle name="Calculation 7 3 2 9" xfId="4357"/>
    <cellStyle name="Calculation 7 3 2 9 2" xfId="13685"/>
    <cellStyle name="Calculation 7 3 2 9 2 2" xfId="26991"/>
    <cellStyle name="Calculation 7 3 2 9 3" xfId="18095"/>
    <cellStyle name="Calculation 7 3 2 9 3 2" xfId="31401"/>
    <cellStyle name="Calculation 7 3 2 9 4" xfId="22581"/>
    <cellStyle name="Calculation 7 3 2 9_Table" xfId="5453"/>
    <cellStyle name="Calculation 7 3 2_Table" xfId="5444"/>
    <cellStyle name="Calculation 7 3 3" xfId="948"/>
    <cellStyle name="Calculation 7 3 3 2" xfId="10276"/>
    <cellStyle name="Calculation 7 3 3 2 2" xfId="23582"/>
    <cellStyle name="Calculation 7 3 3 3" xfId="14686"/>
    <cellStyle name="Calculation 7 3 3 3 2" xfId="27992"/>
    <cellStyle name="Calculation 7 3 3 4" xfId="19172"/>
    <cellStyle name="Calculation 7 3 3_Table" xfId="5454"/>
    <cellStyle name="Calculation 7 3 4" xfId="2057"/>
    <cellStyle name="Calculation 7 3 4 2" xfId="11385"/>
    <cellStyle name="Calculation 7 3 4 2 2" xfId="24691"/>
    <cellStyle name="Calculation 7 3 4 3" xfId="15795"/>
    <cellStyle name="Calculation 7 3 4 3 2" xfId="29101"/>
    <cellStyle name="Calculation 7 3 4 4" xfId="20281"/>
    <cellStyle name="Calculation 7 3 4_Table" xfId="5455"/>
    <cellStyle name="Calculation 7 3 5" xfId="2489"/>
    <cellStyle name="Calculation 7 3 5 2" xfId="11817"/>
    <cellStyle name="Calculation 7 3 5 2 2" xfId="25123"/>
    <cellStyle name="Calculation 7 3 5 3" xfId="16227"/>
    <cellStyle name="Calculation 7 3 5 3 2" xfId="29533"/>
    <cellStyle name="Calculation 7 3 5 4" xfId="20713"/>
    <cellStyle name="Calculation 7 3 5_Table" xfId="5456"/>
    <cellStyle name="Calculation 7 3 6" xfId="2918"/>
    <cellStyle name="Calculation 7 3 6 2" xfId="12246"/>
    <cellStyle name="Calculation 7 3 6 2 2" xfId="25552"/>
    <cellStyle name="Calculation 7 3 6 3" xfId="16656"/>
    <cellStyle name="Calculation 7 3 6 3 2" xfId="29962"/>
    <cellStyle name="Calculation 7 3 6 4" xfId="21142"/>
    <cellStyle name="Calculation 7 3 6_Table" xfId="5457"/>
    <cellStyle name="Calculation 7 3 7" xfId="3330"/>
    <cellStyle name="Calculation 7 3 7 2" xfId="12658"/>
    <cellStyle name="Calculation 7 3 7 2 2" xfId="25964"/>
    <cellStyle name="Calculation 7 3 7 3" xfId="17068"/>
    <cellStyle name="Calculation 7 3 7 3 2" xfId="30374"/>
    <cellStyle name="Calculation 7 3 7 4" xfId="21554"/>
    <cellStyle name="Calculation 7 3 7_Table" xfId="5458"/>
    <cellStyle name="Calculation 7 3 8" xfId="3371"/>
    <cellStyle name="Calculation 7 3 8 2" xfId="12699"/>
    <cellStyle name="Calculation 7 3 8 2 2" xfId="26005"/>
    <cellStyle name="Calculation 7 3 8 3" xfId="17109"/>
    <cellStyle name="Calculation 7 3 8 3 2" xfId="30415"/>
    <cellStyle name="Calculation 7 3 8 4" xfId="21595"/>
    <cellStyle name="Calculation 7 3 8_Table" xfId="5459"/>
    <cellStyle name="Calculation 7 3 9" xfId="4132"/>
    <cellStyle name="Calculation 7 3 9 2" xfId="13460"/>
    <cellStyle name="Calculation 7 3 9 2 2" xfId="26766"/>
    <cellStyle name="Calculation 7 3 9 3" xfId="17870"/>
    <cellStyle name="Calculation 7 3 9 3 2" xfId="31176"/>
    <cellStyle name="Calculation 7 3 9 4" xfId="22356"/>
    <cellStyle name="Calculation 7 3 9_Table" xfId="5460"/>
    <cellStyle name="Calculation 7 3_Table" xfId="5442"/>
    <cellStyle name="Calculation 7 4" xfId="530"/>
    <cellStyle name="Calculation 7 4 10" xfId="4538"/>
    <cellStyle name="Calculation 7 4 10 2" xfId="13866"/>
    <cellStyle name="Calculation 7 4 10 2 2" xfId="27172"/>
    <cellStyle name="Calculation 7 4 10 3" xfId="18276"/>
    <cellStyle name="Calculation 7 4 10 3 2" xfId="31582"/>
    <cellStyle name="Calculation 7 4 10 4" xfId="22762"/>
    <cellStyle name="Calculation 7 4 10_Table" xfId="5462"/>
    <cellStyle name="Calculation 7 4 11" xfId="9858"/>
    <cellStyle name="Calculation 7 4 11 2" xfId="23212"/>
    <cellStyle name="Calculation 7 4 12" xfId="14316"/>
    <cellStyle name="Calculation 7 4 12 2" xfId="27622"/>
    <cellStyle name="Calculation 7 4 13" xfId="18802"/>
    <cellStyle name="Calculation 7 4 2" xfId="803"/>
    <cellStyle name="Calculation 7 4 2 10" xfId="4763"/>
    <cellStyle name="Calculation 7 4 2 10 2" xfId="14091"/>
    <cellStyle name="Calculation 7 4 2 10 2 2" xfId="27397"/>
    <cellStyle name="Calculation 7 4 2 10 3" xfId="18501"/>
    <cellStyle name="Calculation 7 4 2 10 3 2" xfId="31807"/>
    <cellStyle name="Calculation 7 4 2 10 4" xfId="22987"/>
    <cellStyle name="Calculation 7 4 2 10_Table" xfId="5464"/>
    <cellStyle name="Calculation 7 4 2 11" xfId="10131"/>
    <cellStyle name="Calculation 7 4 2 11 2" xfId="23437"/>
    <cellStyle name="Calculation 7 4 2 12" xfId="14541"/>
    <cellStyle name="Calculation 7 4 2 12 2" xfId="27847"/>
    <cellStyle name="Calculation 7 4 2 13" xfId="19027"/>
    <cellStyle name="Calculation 7 4 2 2" xfId="1589"/>
    <cellStyle name="Calculation 7 4 2 2 2" xfId="10917"/>
    <cellStyle name="Calculation 7 4 2 2 2 2" xfId="24223"/>
    <cellStyle name="Calculation 7 4 2 2 3" xfId="15327"/>
    <cellStyle name="Calculation 7 4 2 2 3 2" xfId="28633"/>
    <cellStyle name="Calculation 7 4 2 2 4" xfId="19813"/>
    <cellStyle name="Calculation 7 4 2 2_Table" xfId="5465"/>
    <cellStyle name="Calculation 7 4 2 3" xfId="1949"/>
    <cellStyle name="Calculation 7 4 2 3 2" xfId="11277"/>
    <cellStyle name="Calculation 7 4 2 3 2 2" xfId="24583"/>
    <cellStyle name="Calculation 7 4 2 3 3" xfId="15687"/>
    <cellStyle name="Calculation 7 4 2 3 3 2" xfId="28993"/>
    <cellStyle name="Calculation 7 4 2 3 4" xfId="20173"/>
    <cellStyle name="Calculation 7 4 2 3_Table" xfId="5466"/>
    <cellStyle name="Calculation 7 4 2 4" xfId="2379"/>
    <cellStyle name="Calculation 7 4 2 4 2" xfId="11707"/>
    <cellStyle name="Calculation 7 4 2 4 2 2" xfId="25013"/>
    <cellStyle name="Calculation 7 4 2 4 3" xfId="16117"/>
    <cellStyle name="Calculation 7 4 2 4 3 2" xfId="29423"/>
    <cellStyle name="Calculation 7 4 2 4 4" xfId="20603"/>
    <cellStyle name="Calculation 7 4 2 4_Table" xfId="5467"/>
    <cellStyle name="Calculation 7 4 2 5" xfId="2817"/>
    <cellStyle name="Calculation 7 4 2 5 2" xfId="12145"/>
    <cellStyle name="Calculation 7 4 2 5 2 2" xfId="25451"/>
    <cellStyle name="Calculation 7 4 2 5 3" xfId="16555"/>
    <cellStyle name="Calculation 7 4 2 5 3 2" xfId="29861"/>
    <cellStyle name="Calculation 7 4 2 5 4" xfId="21041"/>
    <cellStyle name="Calculation 7 4 2 5_Table" xfId="5468"/>
    <cellStyle name="Calculation 7 4 2 6" xfId="3224"/>
    <cellStyle name="Calculation 7 4 2 6 2" xfId="12552"/>
    <cellStyle name="Calculation 7 4 2 6 2 2" xfId="25858"/>
    <cellStyle name="Calculation 7 4 2 6 3" xfId="16962"/>
    <cellStyle name="Calculation 7 4 2 6 3 2" xfId="30268"/>
    <cellStyle name="Calculation 7 4 2 6 4" xfId="21448"/>
    <cellStyle name="Calculation 7 4 2 6_Table" xfId="5469"/>
    <cellStyle name="Calculation 7 4 2 7" xfId="3816"/>
    <cellStyle name="Calculation 7 4 2 7 2" xfId="13144"/>
    <cellStyle name="Calculation 7 4 2 7 2 2" xfId="26450"/>
    <cellStyle name="Calculation 7 4 2 7 3" xfId="17554"/>
    <cellStyle name="Calculation 7 4 2 7 3 2" xfId="30860"/>
    <cellStyle name="Calculation 7 4 2 7 4" xfId="22040"/>
    <cellStyle name="Calculation 7 4 2 7_Table" xfId="5470"/>
    <cellStyle name="Calculation 7 4 2 8" xfId="4041"/>
    <cellStyle name="Calculation 7 4 2 8 2" xfId="13369"/>
    <cellStyle name="Calculation 7 4 2 8 2 2" xfId="26675"/>
    <cellStyle name="Calculation 7 4 2 8 3" xfId="17779"/>
    <cellStyle name="Calculation 7 4 2 8 3 2" xfId="31085"/>
    <cellStyle name="Calculation 7 4 2 8 4" xfId="22265"/>
    <cellStyle name="Calculation 7 4 2 8_Table" xfId="5471"/>
    <cellStyle name="Calculation 7 4 2 9" xfId="4402"/>
    <cellStyle name="Calculation 7 4 2 9 2" xfId="13730"/>
    <cellStyle name="Calculation 7 4 2 9 2 2" xfId="27036"/>
    <cellStyle name="Calculation 7 4 2 9 3" xfId="18140"/>
    <cellStyle name="Calculation 7 4 2 9 3 2" xfId="31446"/>
    <cellStyle name="Calculation 7 4 2 9 4" xfId="22626"/>
    <cellStyle name="Calculation 7 4 2 9_Table" xfId="5472"/>
    <cellStyle name="Calculation 7 4 2_Table" xfId="5463"/>
    <cellStyle name="Calculation 7 4 3" xfId="1682"/>
    <cellStyle name="Calculation 7 4 3 2" xfId="11010"/>
    <cellStyle name="Calculation 7 4 3 2 2" xfId="24316"/>
    <cellStyle name="Calculation 7 4 3 3" xfId="15420"/>
    <cellStyle name="Calculation 7 4 3 3 2" xfId="28726"/>
    <cellStyle name="Calculation 7 4 3 4" xfId="19906"/>
    <cellStyle name="Calculation 7 4 3_Table" xfId="5473"/>
    <cellStyle name="Calculation 7 4 4" xfId="2116"/>
    <cellStyle name="Calculation 7 4 4 2" xfId="11444"/>
    <cellStyle name="Calculation 7 4 4 2 2" xfId="24750"/>
    <cellStyle name="Calculation 7 4 4 3" xfId="15854"/>
    <cellStyle name="Calculation 7 4 4 3 2" xfId="29160"/>
    <cellStyle name="Calculation 7 4 4 4" xfId="20340"/>
    <cellStyle name="Calculation 7 4 4_Table" xfId="5474"/>
    <cellStyle name="Calculation 7 4 5" xfId="2548"/>
    <cellStyle name="Calculation 7 4 5 2" xfId="11876"/>
    <cellStyle name="Calculation 7 4 5 2 2" xfId="25182"/>
    <cellStyle name="Calculation 7 4 5 3" xfId="16286"/>
    <cellStyle name="Calculation 7 4 5 3 2" xfId="29592"/>
    <cellStyle name="Calculation 7 4 5 4" xfId="20772"/>
    <cellStyle name="Calculation 7 4 5_Table" xfId="5475"/>
    <cellStyle name="Calculation 7 4 6" xfId="2975"/>
    <cellStyle name="Calculation 7 4 6 2" xfId="12303"/>
    <cellStyle name="Calculation 7 4 6 2 2" xfId="25609"/>
    <cellStyle name="Calculation 7 4 6 3" xfId="16713"/>
    <cellStyle name="Calculation 7 4 6 3 2" xfId="30019"/>
    <cellStyle name="Calculation 7 4 6 4" xfId="21199"/>
    <cellStyle name="Calculation 7 4 6_Table" xfId="5476"/>
    <cellStyle name="Calculation 7 4 7" xfId="3388"/>
    <cellStyle name="Calculation 7 4 7 2" xfId="12716"/>
    <cellStyle name="Calculation 7 4 7 2 2" xfId="26022"/>
    <cellStyle name="Calculation 7 4 7 3" xfId="17126"/>
    <cellStyle name="Calculation 7 4 7 3 2" xfId="30432"/>
    <cellStyle name="Calculation 7 4 7 4" xfId="21612"/>
    <cellStyle name="Calculation 7 4 7_Table" xfId="5477"/>
    <cellStyle name="Calculation 7 4 8" xfId="3525"/>
    <cellStyle name="Calculation 7 4 8 2" xfId="12853"/>
    <cellStyle name="Calculation 7 4 8 2 2" xfId="26159"/>
    <cellStyle name="Calculation 7 4 8 3" xfId="17263"/>
    <cellStyle name="Calculation 7 4 8 3 2" xfId="30569"/>
    <cellStyle name="Calculation 7 4 8 4" xfId="21749"/>
    <cellStyle name="Calculation 7 4 8_Table" xfId="5478"/>
    <cellStyle name="Calculation 7 4 9" xfId="4177"/>
    <cellStyle name="Calculation 7 4 9 2" xfId="13505"/>
    <cellStyle name="Calculation 7 4 9 2 2" xfId="26811"/>
    <cellStyle name="Calculation 7 4 9 3" xfId="17915"/>
    <cellStyle name="Calculation 7 4 9 3 2" xfId="31221"/>
    <cellStyle name="Calculation 7 4 9 4" xfId="22401"/>
    <cellStyle name="Calculation 7 4 9_Table" xfId="5479"/>
    <cellStyle name="Calculation 7 4_Table" xfId="5461"/>
    <cellStyle name="Calculation 7 5" xfId="605"/>
    <cellStyle name="Calculation 7 5 10" xfId="4583"/>
    <cellStyle name="Calculation 7 5 10 2" xfId="13911"/>
    <cellStyle name="Calculation 7 5 10 2 2" xfId="27217"/>
    <cellStyle name="Calculation 7 5 10 3" xfId="18321"/>
    <cellStyle name="Calculation 7 5 10 3 2" xfId="31627"/>
    <cellStyle name="Calculation 7 5 10 4" xfId="22807"/>
    <cellStyle name="Calculation 7 5 10_Table" xfId="5481"/>
    <cellStyle name="Calculation 7 5 11" xfId="9933"/>
    <cellStyle name="Calculation 7 5 11 2" xfId="23257"/>
    <cellStyle name="Calculation 7 5 12" xfId="14361"/>
    <cellStyle name="Calculation 7 5 12 2" xfId="27667"/>
    <cellStyle name="Calculation 7 5 13" xfId="18847"/>
    <cellStyle name="Calculation 7 5 2" xfId="848"/>
    <cellStyle name="Calculation 7 5 2 10" xfId="4808"/>
    <cellStyle name="Calculation 7 5 2 10 2" xfId="14136"/>
    <cellStyle name="Calculation 7 5 2 10 2 2" xfId="27442"/>
    <cellStyle name="Calculation 7 5 2 10 3" xfId="18546"/>
    <cellStyle name="Calculation 7 5 2 10 3 2" xfId="31852"/>
    <cellStyle name="Calculation 7 5 2 10 4" xfId="23032"/>
    <cellStyle name="Calculation 7 5 2 10_Table" xfId="5483"/>
    <cellStyle name="Calculation 7 5 2 11" xfId="10176"/>
    <cellStyle name="Calculation 7 5 2 11 2" xfId="23482"/>
    <cellStyle name="Calculation 7 5 2 12" xfId="14586"/>
    <cellStyle name="Calculation 7 5 2 12 2" xfId="27892"/>
    <cellStyle name="Calculation 7 5 2 13" xfId="19072"/>
    <cellStyle name="Calculation 7 5 2 2" xfId="1634"/>
    <cellStyle name="Calculation 7 5 2 2 2" xfId="10962"/>
    <cellStyle name="Calculation 7 5 2 2 2 2" xfId="24268"/>
    <cellStyle name="Calculation 7 5 2 2 3" xfId="15372"/>
    <cellStyle name="Calculation 7 5 2 2 3 2" xfId="28678"/>
    <cellStyle name="Calculation 7 5 2 2 4" xfId="19858"/>
    <cellStyle name="Calculation 7 5 2 2_Table" xfId="5484"/>
    <cellStyle name="Calculation 7 5 2 3" xfId="1994"/>
    <cellStyle name="Calculation 7 5 2 3 2" xfId="11322"/>
    <cellStyle name="Calculation 7 5 2 3 2 2" xfId="24628"/>
    <cellStyle name="Calculation 7 5 2 3 3" xfId="15732"/>
    <cellStyle name="Calculation 7 5 2 3 3 2" xfId="29038"/>
    <cellStyle name="Calculation 7 5 2 3 4" xfId="20218"/>
    <cellStyle name="Calculation 7 5 2 3_Table" xfId="5485"/>
    <cellStyle name="Calculation 7 5 2 4" xfId="2424"/>
    <cellStyle name="Calculation 7 5 2 4 2" xfId="11752"/>
    <cellStyle name="Calculation 7 5 2 4 2 2" xfId="25058"/>
    <cellStyle name="Calculation 7 5 2 4 3" xfId="16162"/>
    <cellStyle name="Calculation 7 5 2 4 3 2" xfId="29468"/>
    <cellStyle name="Calculation 7 5 2 4 4" xfId="20648"/>
    <cellStyle name="Calculation 7 5 2 4_Table" xfId="5486"/>
    <cellStyle name="Calculation 7 5 2 5" xfId="2862"/>
    <cellStyle name="Calculation 7 5 2 5 2" xfId="12190"/>
    <cellStyle name="Calculation 7 5 2 5 2 2" xfId="25496"/>
    <cellStyle name="Calculation 7 5 2 5 3" xfId="16600"/>
    <cellStyle name="Calculation 7 5 2 5 3 2" xfId="29906"/>
    <cellStyle name="Calculation 7 5 2 5 4" xfId="21086"/>
    <cellStyle name="Calculation 7 5 2 5_Table" xfId="5487"/>
    <cellStyle name="Calculation 7 5 2 6" xfId="3269"/>
    <cellStyle name="Calculation 7 5 2 6 2" xfId="12597"/>
    <cellStyle name="Calculation 7 5 2 6 2 2" xfId="25903"/>
    <cellStyle name="Calculation 7 5 2 6 3" xfId="17007"/>
    <cellStyle name="Calculation 7 5 2 6 3 2" xfId="30313"/>
    <cellStyle name="Calculation 7 5 2 6 4" xfId="21493"/>
    <cellStyle name="Calculation 7 5 2 6_Table" xfId="5488"/>
    <cellStyle name="Calculation 7 5 2 7" xfId="3861"/>
    <cellStyle name="Calculation 7 5 2 7 2" xfId="13189"/>
    <cellStyle name="Calculation 7 5 2 7 2 2" xfId="26495"/>
    <cellStyle name="Calculation 7 5 2 7 3" xfId="17599"/>
    <cellStyle name="Calculation 7 5 2 7 3 2" xfId="30905"/>
    <cellStyle name="Calculation 7 5 2 7 4" xfId="22085"/>
    <cellStyle name="Calculation 7 5 2 7_Table" xfId="5489"/>
    <cellStyle name="Calculation 7 5 2 8" xfId="4086"/>
    <cellStyle name="Calculation 7 5 2 8 2" xfId="13414"/>
    <cellStyle name="Calculation 7 5 2 8 2 2" xfId="26720"/>
    <cellStyle name="Calculation 7 5 2 8 3" xfId="17824"/>
    <cellStyle name="Calculation 7 5 2 8 3 2" xfId="31130"/>
    <cellStyle name="Calculation 7 5 2 8 4" xfId="22310"/>
    <cellStyle name="Calculation 7 5 2 8_Table" xfId="5490"/>
    <cellStyle name="Calculation 7 5 2 9" xfId="4447"/>
    <cellStyle name="Calculation 7 5 2 9 2" xfId="13775"/>
    <cellStyle name="Calculation 7 5 2 9 2 2" xfId="27081"/>
    <cellStyle name="Calculation 7 5 2 9 3" xfId="18185"/>
    <cellStyle name="Calculation 7 5 2 9 3 2" xfId="31491"/>
    <cellStyle name="Calculation 7 5 2 9 4" xfId="22671"/>
    <cellStyle name="Calculation 7 5 2 9_Table" xfId="5491"/>
    <cellStyle name="Calculation 7 5 2_Table" xfId="5482"/>
    <cellStyle name="Calculation 7 5 3" xfId="1752"/>
    <cellStyle name="Calculation 7 5 3 2" xfId="11080"/>
    <cellStyle name="Calculation 7 5 3 2 2" xfId="24386"/>
    <cellStyle name="Calculation 7 5 3 3" xfId="15490"/>
    <cellStyle name="Calculation 7 5 3 3 2" xfId="28796"/>
    <cellStyle name="Calculation 7 5 3 4" xfId="19976"/>
    <cellStyle name="Calculation 7 5 3_Table" xfId="5492"/>
    <cellStyle name="Calculation 7 5 4" xfId="2185"/>
    <cellStyle name="Calculation 7 5 4 2" xfId="11513"/>
    <cellStyle name="Calculation 7 5 4 2 2" xfId="24819"/>
    <cellStyle name="Calculation 7 5 4 3" xfId="15923"/>
    <cellStyle name="Calculation 7 5 4 3 2" xfId="29229"/>
    <cellStyle name="Calculation 7 5 4 4" xfId="20409"/>
    <cellStyle name="Calculation 7 5 4_Table" xfId="5493"/>
    <cellStyle name="Calculation 7 5 5" xfId="2620"/>
    <cellStyle name="Calculation 7 5 5 2" xfId="11948"/>
    <cellStyle name="Calculation 7 5 5 2 2" xfId="25254"/>
    <cellStyle name="Calculation 7 5 5 3" xfId="16358"/>
    <cellStyle name="Calculation 7 5 5 3 2" xfId="29664"/>
    <cellStyle name="Calculation 7 5 5 4" xfId="20844"/>
    <cellStyle name="Calculation 7 5 5_Table" xfId="5494"/>
    <cellStyle name="Calculation 7 5 6" xfId="3033"/>
    <cellStyle name="Calculation 7 5 6 2" xfId="12361"/>
    <cellStyle name="Calculation 7 5 6 2 2" xfId="25667"/>
    <cellStyle name="Calculation 7 5 6 3" xfId="16771"/>
    <cellStyle name="Calculation 7 5 6 3 2" xfId="30077"/>
    <cellStyle name="Calculation 7 5 6 4" xfId="21257"/>
    <cellStyle name="Calculation 7 5 6_Table" xfId="5495"/>
    <cellStyle name="Calculation 7 5 7" xfId="3459"/>
    <cellStyle name="Calculation 7 5 7 2" xfId="12787"/>
    <cellStyle name="Calculation 7 5 7 2 2" xfId="26093"/>
    <cellStyle name="Calculation 7 5 7 3" xfId="17197"/>
    <cellStyle name="Calculation 7 5 7 3 2" xfId="30503"/>
    <cellStyle name="Calculation 7 5 7 4" xfId="21683"/>
    <cellStyle name="Calculation 7 5 7_Table" xfId="5496"/>
    <cellStyle name="Calculation 7 5 8" xfId="3538"/>
    <cellStyle name="Calculation 7 5 8 2" xfId="12866"/>
    <cellStyle name="Calculation 7 5 8 2 2" xfId="26172"/>
    <cellStyle name="Calculation 7 5 8 3" xfId="17276"/>
    <cellStyle name="Calculation 7 5 8 3 2" xfId="30582"/>
    <cellStyle name="Calculation 7 5 8 4" xfId="21762"/>
    <cellStyle name="Calculation 7 5 8_Table" xfId="5497"/>
    <cellStyle name="Calculation 7 5 9" xfId="4222"/>
    <cellStyle name="Calculation 7 5 9 2" xfId="13550"/>
    <cellStyle name="Calculation 7 5 9 2 2" xfId="26856"/>
    <cellStyle name="Calculation 7 5 9 3" xfId="17960"/>
    <cellStyle name="Calculation 7 5 9 3 2" xfId="31266"/>
    <cellStyle name="Calculation 7 5 9 4" xfId="22446"/>
    <cellStyle name="Calculation 7 5 9_Table" xfId="5498"/>
    <cellStyle name="Calculation 7 5_Table" xfId="5480"/>
    <cellStyle name="Calculation 7 6" xfId="668"/>
    <cellStyle name="Calculation 7 6 10" xfId="4628"/>
    <cellStyle name="Calculation 7 6 10 2" xfId="13956"/>
    <cellStyle name="Calculation 7 6 10 2 2" xfId="27262"/>
    <cellStyle name="Calculation 7 6 10 3" xfId="18366"/>
    <cellStyle name="Calculation 7 6 10 3 2" xfId="31672"/>
    <cellStyle name="Calculation 7 6 10 4" xfId="22852"/>
    <cellStyle name="Calculation 7 6 10_Table" xfId="5500"/>
    <cellStyle name="Calculation 7 6 11" xfId="9996"/>
    <cellStyle name="Calculation 7 6 11 2" xfId="23302"/>
    <cellStyle name="Calculation 7 6 12" xfId="14406"/>
    <cellStyle name="Calculation 7 6 12 2" xfId="27712"/>
    <cellStyle name="Calculation 7 6 13" xfId="18892"/>
    <cellStyle name="Calculation 7 6 2" xfId="1454"/>
    <cellStyle name="Calculation 7 6 2 2" xfId="10782"/>
    <cellStyle name="Calculation 7 6 2 2 2" xfId="24088"/>
    <cellStyle name="Calculation 7 6 2 3" xfId="15192"/>
    <cellStyle name="Calculation 7 6 2 3 2" xfId="28498"/>
    <cellStyle name="Calculation 7 6 2 4" xfId="19678"/>
    <cellStyle name="Calculation 7 6 2_Table" xfId="5501"/>
    <cellStyle name="Calculation 7 6 3" xfId="1814"/>
    <cellStyle name="Calculation 7 6 3 2" xfId="11142"/>
    <cellStyle name="Calculation 7 6 3 2 2" xfId="24448"/>
    <cellStyle name="Calculation 7 6 3 3" xfId="15552"/>
    <cellStyle name="Calculation 7 6 3 3 2" xfId="28858"/>
    <cellStyle name="Calculation 7 6 3 4" xfId="20038"/>
    <cellStyle name="Calculation 7 6 3_Table" xfId="5502"/>
    <cellStyle name="Calculation 7 6 4" xfId="2244"/>
    <cellStyle name="Calculation 7 6 4 2" xfId="11572"/>
    <cellStyle name="Calculation 7 6 4 2 2" xfId="24878"/>
    <cellStyle name="Calculation 7 6 4 3" xfId="15982"/>
    <cellStyle name="Calculation 7 6 4 3 2" xfId="29288"/>
    <cellStyle name="Calculation 7 6 4 4" xfId="20468"/>
    <cellStyle name="Calculation 7 6 4_Table" xfId="5503"/>
    <cellStyle name="Calculation 7 6 5" xfId="2682"/>
    <cellStyle name="Calculation 7 6 5 2" xfId="12010"/>
    <cellStyle name="Calculation 7 6 5 2 2" xfId="25316"/>
    <cellStyle name="Calculation 7 6 5 3" xfId="16420"/>
    <cellStyle name="Calculation 7 6 5 3 2" xfId="29726"/>
    <cellStyle name="Calculation 7 6 5 4" xfId="20906"/>
    <cellStyle name="Calculation 7 6 5_Table" xfId="5504"/>
    <cellStyle name="Calculation 7 6 6" xfId="3089"/>
    <cellStyle name="Calculation 7 6 6 2" xfId="12417"/>
    <cellStyle name="Calculation 7 6 6 2 2" xfId="25723"/>
    <cellStyle name="Calculation 7 6 6 3" xfId="16827"/>
    <cellStyle name="Calculation 7 6 6 3 2" xfId="30133"/>
    <cellStyle name="Calculation 7 6 6 4" xfId="21313"/>
    <cellStyle name="Calculation 7 6 6_Table" xfId="5505"/>
    <cellStyle name="Calculation 7 6 7" xfId="3681"/>
    <cellStyle name="Calculation 7 6 7 2" xfId="13009"/>
    <cellStyle name="Calculation 7 6 7 2 2" xfId="26315"/>
    <cellStyle name="Calculation 7 6 7 3" xfId="17419"/>
    <cellStyle name="Calculation 7 6 7 3 2" xfId="30725"/>
    <cellStyle name="Calculation 7 6 7 4" xfId="21905"/>
    <cellStyle name="Calculation 7 6 7_Table" xfId="5506"/>
    <cellStyle name="Calculation 7 6 8" xfId="3906"/>
    <cellStyle name="Calculation 7 6 8 2" xfId="13234"/>
    <cellStyle name="Calculation 7 6 8 2 2" xfId="26540"/>
    <cellStyle name="Calculation 7 6 8 3" xfId="17644"/>
    <cellStyle name="Calculation 7 6 8 3 2" xfId="30950"/>
    <cellStyle name="Calculation 7 6 8 4" xfId="22130"/>
    <cellStyle name="Calculation 7 6 8_Table" xfId="5507"/>
    <cellStyle name="Calculation 7 6 9" xfId="4267"/>
    <cellStyle name="Calculation 7 6 9 2" xfId="13595"/>
    <cellStyle name="Calculation 7 6 9 2 2" xfId="26901"/>
    <cellStyle name="Calculation 7 6 9 3" xfId="18005"/>
    <cellStyle name="Calculation 7 6 9 3 2" xfId="31311"/>
    <cellStyle name="Calculation 7 6 9 4" xfId="22491"/>
    <cellStyle name="Calculation 7 6 9_Table" xfId="5508"/>
    <cellStyle name="Calculation 7 6_Table" xfId="5499"/>
    <cellStyle name="Calculation 7 7" xfId="1111"/>
    <cellStyle name="Calculation 7 7 2" xfId="10439"/>
    <cellStyle name="Calculation 7 7 2 2" xfId="23745"/>
    <cellStyle name="Calculation 7 7 3" xfId="14849"/>
    <cellStyle name="Calculation 7 7 3 2" xfId="28155"/>
    <cellStyle name="Calculation 7 7 4" xfId="19335"/>
    <cellStyle name="Calculation 7 7_Table" xfId="5509"/>
    <cellStyle name="Calculation 7 8" xfId="1132"/>
    <cellStyle name="Calculation 7 8 2" xfId="10460"/>
    <cellStyle name="Calculation 7 8 2 2" xfId="23766"/>
    <cellStyle name="Calculation 7 8 3" xfId="14870"/>
    <cellStyle name="Calculation 7 8 3 2" xfId="28176"/>
    <cellStyle name="Calculation 7 8 4" xfId="19356"/>
    <cellStyle name="Calculation 7 8_Table" xfId="5510"/>
    <cellStyle name="Calculation 7 9" xfId="1276"/>
    <cellStyle name="Calculation 7 9 2" xfId="10604"/>
    <cellStyle name="Calculation 7 9 2 2" xfId="23910"/>
    <cellStyle name="Calculation 7 9 3" xfId="15014"/>
    <cellStyle name="Calculation 7 9 3 2" xfId="28320"/>
    <cellStyle name="Calculation 7 9 4" xfId="19500"/>
    <cellStyle name="Calculation 7 9_Table" xfId="5511"/>
    <cellStyle name="Calculation 7_Table" xfId="5417"/>
    <cellStyle name="Calculation 8" xfId="242"/>
    <cellStyle name="Calculation 8 10" xfId="1142"/>
    <cellStyle name="Calculation 8 10 2" xfId="10470"/>
    <cellStyle name="Calculation 8 10 2 2" xfId="23776"/>
    <cellStyle name="Calculation 8 10 3" xfId="14880"/>
    <cellStyle name="Calculation 8 10 3 2" xfId="28186"/>
    <cellStyle name="Calculation 8 10 4" xfId="19366"/>
    <cellStyle name="Calculation 8 10_Table" xfId="5513"/>
    <cellStyle name="Calculation 8 11" xfId="1274"/>
    <cellStyle name="Calculation 8 11 2" xfId="10602"/>
    <cellStyle name="Calculation 8 11 2 2" xfId="23908"/>
    <cellStyle name="Calculation 8 11 3" xfId="15012"/>
    <cellStyle name="Calculation 8 11 3 2" xfId="28318"/>
    <cellStyle name="Calculation 8 11 4" xfId="19498"/>
    <cellStyle name="Calculation 8 11_Table" xfId="5514"/>
    <cellStyle name="Calculation 8 12" xfId="2108"/>
    <cellStyle name="Calculation 8 12 2" xfId="11436"/>
    <cellStyle name="Calculation 8 12 2 2" xfId="24742"/>
    <cellStyle name="Calculation 8 12 3" xfId="15846"/>
    <cellStyle name="Calculation 8 12 3 2" xfId="29152"/>
    <cellStyle name="Calculation 8 12 4" xfId="20332"/>
    <cellStyle name="Calculation 8 12_Table" xfId="5515"/>
    <cellStyle name="Calculation 8 13" xfId="2908"/>
    <cellStyle name="Calculation 8 13 2" xfId="12236"/>
    <cellStyle name="Calculation 8 13 2 2" xfId="25542"/>
    <cellStyle name="Calculation 8 13 3" xfId="16646"/>
    <cellStyle name="Calculation 8 13 3 2" xfId="29952"/>
    <cellStyle name="Calculation 8 13 4" xfId="21132"/>
    <cellStyle name="Calculation 8 13_Table" xfId="5516"/>
    <cellStyle name="Calculation 8 14" xfId="1124"/>
    <cellStyle name="Calculation 8 14 2" xfId="10452"/>
    <cellStyle name="Calculation 8 14 2 2" xfId="23758"/>
    <cellStyle name="Calculation 8 14 3" xfId="14862"/>
    <cellStyle name="Calculation 8 14 3 2" xfId="28168"/>
    <cellStyle name="Calculation 8 14 4" xfId="19348"/>
    <cellStyle name="Calculation 8 14_Table" xfId="5517"/>
    <cellStyle name="Calculation 8 15" xfId="9570"/>
    <cellStyle name="Calculation 8 15 2" xfId="23078"/>
    <cellStyle name="Calculation 8 16" xfId="14182"/>
    <cellStyle name="Calculation 8 16 2" xfId="27488"/>
    <cellStyle name="Calculation 8 17" xfId="18668"/>
    <cellStyle name="Calculation 8 2" xfId="399"/>
    <cellStyle name="Calculation 8 2 10" xfId="3378"/>
    <cellStyle name="Calculation 8 2 10 2" xfId="12706"/>
    <cellStyle name="Calculation 8 2 10 2 2" xfId="26012"/>
    <cellStyle name="Calculation 8 2 10 3" xfId="17116"/>
    <cellStyle name="Calculation 8 2 10 3 2" xfId="30422"/>
    <cellStyle name="Calculation 8 2 10 4" xfId="21602"/>
    <cellStyle name="Calculation 8 2 10_Table" xfId="5519"/>
    <cellStyle name="Calculation 8 2 11" xfId="9727"/>
    <cellStyle name="Calculation 8 2 11 2" xfId="23123"/>
    <cellStyle name="Calculation 8 2 12" xfId="14227"/>
    <cellStyle name="Calculation 8 2 12 2" xfId="27533"/>
    <cellStyle name="Calculation 8 2 13" xfId="18713"/>
    <cellStyle name="Calculation 8 2 2" xfId="714"/>
    <cellStyle name="Calculation 8 2 2 10" xfId="4674"/>
    <cellStyle name="Calculation 8 2 2 10 2" xfId="14002"/>
    <cellStyle name="Calculation 8 2 2 10 2 2" xfId="27308"/>
    <cellStyle name="Calculation 8 2 2 10 3" xfId="18412"/>
    <cellStyle name="Calculation 8 2 2 10 3 2" xfId="31718"/>
    <cellStyle name="Calculation 8 2 2 10 4" xfId="22898"/>
    <cellStyle name="Calculation 8 2 2 10_Table" xfId="5521"/>
    <cellStyle name="Calculation 8 2 2 11" xfId="10042"/>
    <cellStyle name="Calculation 8 2 2 11 2" xfId="23348"/>
    <cellStyle name="Calculation 8 2 2 12" xfId="14452"/>
    <cellStyle name="Calculation 8 2 2 12 2" xfId="27758"/>
    <cellStyle name="Calculation 8 2 2 13" xfId="18938"/>
    <cellStyle name="Calculation 8 2 2 2" xfId="1500"/>
    <cellStyle name="Calculation 8 2 2 2 2" xfId="10828"/>
    <cellStyle name="Calculation 8 2 2 2 2 2" xfId="24134"/>
    <cellStyle name="Calculation 8 2 2 2 3" xfId="15238"/>
    <cellStyle name="Calculation 8 2 2 2 3 2" xfId="28544"/>
    <cellStyle name="Calculation 8 2 2 2 4" xfId="19724"/>
    <cellStyle name="Calculation 8 2 2 2_Table" xfId="5522"/>
    <cellStyle name="Calculation 8 2 2 3" xfId="1860"/>
    <cellStyle name="Calculation 8 2 2 3 2" xfId="11188"/>
    <cellStyle name="Calculation 8 2 2 3 2 2" xfId="24494"/>
    <cellStyle name="Calculation 8 2 2 3 3" xfId="15598"/>
    <cellStyle name="Calculation 8 2 2 3 3 2" xfId="28904"/>
    <cellStyle name="Calculation 8 2 2 3 4" xfId="20084"/>
    <cellStyle name="Calculation 8 2 2 3_Table" xfId="5523"/>
    <cellStyle name="Calculation 8 2 2 4" xfId="2290"/>
    <cellStyle name="Calculation 8 2 2 4 2" xfId="11618"/>
    <cellStyle name="Calculation 8 2 2 4 2 2" xfId="24924"/>
    <cellStyle name="Calculation 8 2 2 4 3" xfId="16028"/>
    <cellStyle name="Calculation 8 2 2 4 3 2" xfId="29334"/>
    <cellStyle name="Calculation 8 2 2 4 4" xfId="20514"/>
    <cellStyle name="Calculation 8 2 2 4_Table" xfId="5524"/>
    <cellStyle name="Calculation 8 2 2 5" xfId="2728"/>
    <cellStyle name="Calculation 8 2 2 5 2" xfId="12056"/>
    <cellStyle name="Calculation 8 2 2 5 2 2" xfId="25362"/>
    <cellStyle name="Calculation 8 2 2 5 3" xfId="16466"/>
    <cellStyle name="Calculation 8 2 2 5 3 2" xfId="29772"/>
    <cellStyle name="Calculation 8 2 2 5 4" xfId="20952"/>
    <cellStyle name="Calculation 8 2 2 5_Table" xfId="5525"/>
    <cellStyle name="Calculation 8 2 2 6" xfId="3135"/>
    <cellStyle name="Calculation 8 2 2 6 2" xfId="12463"/>
    <cellStyle name="Calculation 8 2 2 6 2 2" xfId="25769"/>
    <cellStyle name="Calculation 8 2 2 6 3" xfId="16873"/>
    <cellStyle name="Calculation 8 2 2 6 3 2" xfId="30179"/>
    <cellStyle name="Calculation 8 2 2 6 4" xfId="21359"/>
    <cellStyle name="Calculation 8 2 2 6_Table" xfId="5526"/>
    <cellStyle name="Calculation 8 2 2 7" xfId="3727"/>
    <cellStyle name="Calculation 8 2 2 7 2" xfId="13055"/>
    <cellStyle name="Calculation 8 2 2 7 2 2" xfId="26361"/>
    <cellStyle name="Calculation 8 2 2 7 3" xfId="17465"/>
    <cellStyle name="Calculation 8 2 2 7 3 2" xfId="30771"/>
    <cellStyle name="Calculation 8 2 2 7 4" xfId="21951"/>
    <cellStyle name="Calculation 8 2 2 7_Table" xfId="5527"/>
    <cellStyle name="Calculation 8 2 2 8" xfId="3952"/>
    <cellStyle name="Calculation 8 2 2 8 2" xfId="13280"/>
    <cellStyle name="Calculation 8 2 2 8 2 2" xfId="26586"/>
    <cellStyle name="Calculation 8 2 2 8 3" xfId="17690"/>
    <cellStyle name="Calculation 8 2 2 8 3 2" xfId="30996"/>
    <cellStyle name="Calculation 8 2 2 8 4" xfId="22176"/>
    <cellStyle name="Calculation 8 2 2 8_Table" xfId="5528"/>
    <cellStyle name="Calculation 8 2 2 9" xfId="4313"/>
    <cellStyle name="Calculation 8 2 2 9 2" xfId="13641"/>
    <cellStyle name="Calculation 8 2 2 9 2 2" xfId="26947"/>
    <cellStyle name="Calculation 8 2 2 9 3" xfId="18051"/>
    <cellStyle name="Calculation 8 2 2 9 3 2" xfId="31357"/>
    <cellStyle name="Calculation 8 2 2 9 4" xfId="22537"/>
    <cellStyle name="Calculation 8 2 2 9_Table" xfId="5529"/>
    <cellStyle name="Calculation 8 2 2_Table" xfId="5520"/>
    <cellStyle name="Calculation 8 2 3" xfId="1013"/>
    <cellStyle name="Calculation 8 2 3 2" xfId="10341"/>
    <cellStyle name="Calculation 8 2 3 2 2" xfId="23647"/>
    <cellStyle name="Calculation 8 2 3 3" xfId="14751"/>
    <cellStyle name="Calculation 8 2 3 3 2" xfId="28057"/>
    <cellStyle name="Calculation 8 2 3 4" xfId="19237"/>
    <cellStyle name="Calculation 8 2 3_Table" xfId="5530"/>
    <cellStyle name="Calculation 8 2 4" xfId="1370"/>
    <cellStyle name="Calculation 8 2 4 2" xfId="10698"/>
    <cellStyle name="Calculation 8 2 4 2 2" xfId="24004"/>
    <cellStyle name="Calculation 8 2 4 3" xfId="15108"/>
    <cellStyle name="Calculation 8 2 4 3 2" xfId="28414"/>
    <cellStyle name="Calculation 8 2 4 4" xfId="19594"/>
    <cellStyle name="Calculation 8 2 4_Table" xfId="5531"/>
    <cellStyle name="Calculation 8 2 5" xfId="936"/>
    <cellStyle name="Calculation 8 2 5 2" xfId="10264"/>
    <cellStyle name="Calculation 8 2 5 2 2" xfId="23570"/>
    <cellStyle name="Calculation 8 2 5 3" xfId="14674"/>
    <cellStyle name="Calculation 8 2 5 3 2" xfId="27980"/>
    <cellStyle name="Calculation 8 2 5 4" xfId="19160"/>
    <cellStyle name="Calculation 8 2 5_Table" xfId="5532"/>
    <cellStyle name="Calculation 8 2 6" xfId="2069"/>
    <cellStyle name="Calculation 8 2 6 2" xfId="11397"/>
    <cellStyle name="Calculation 8 2 6 2 2" xfId="24703"/>
    <cellStyle name="Calculation 8 2 6 3" xfId="15807"/>
    <cellStyle name="Calculation 8 2 6 3 2" xfId="29113"/>
    <cellStyle name="Calculation 8 2 6 4" xfId="20293"/>
    <cellStyle name="Calculation 8 2 6_Table" xfId="5533"/>
    <cellStyle name="Calculation 8 2 7" xfId="2501"/>
    <cellStyle name="Calculation 8 2 7 2" xfId="11829"/>
    <cellStyle name="Calculation 8 2 7 2 2" xfId="25135"/>
    <cellStyle name="Calculation 8 2 7 3" xfId="16239"/>
    <cellStyle name="Calculation 8 2 7 3 2" xfId="29545"/>
    <cellStyle name="Calculation 8 2 7 4" xfId="20725"/>
    <cellStyle name="Calculation 8 2 7_Table" xfId="5534"/>
    <cellStyle name="Calculation 8 2 8" xfId="3441"/>
    <cellStyle name="Calculation 8 2 8 2" xfId="12769"/>
    <cellStyle name="Calculation 8 2 8 2 2" xfId="26075"/>
    <cellStyle name="Calculation 8 2 8 3" xfId="17179"/>
    <cellStyle name="Calculation 8 2 8 3 2" xfId="30485"/>
    <cellStyle name="Calculation 8 2 8 4" xfId="21665"/>
    <cellStyle name="Calculation 8 2 8_Table" xfId="5535"/>
    <cellStyle name="Calculation 8 2 9" xfId="3019"/>
    <cellStyle name="Calculation 8 2 9 2" xfId="12347"/>
    <cellStyle name="Calculation 8 2 9 2 2" xfId="25653"/>
    <cellStyle name="Calculation 8 2 9 3" xfId="16757"/>
    <cellStyle name="Calculation 8 2 9 3 2" xfId="30063"/>
    <cellStyle name="Calculation 8 2 9 4" xfId="21243"/>
    <cellStyle name="Calculation 8 2 9_Table" xfId="5536"/>
    <cellStyle name="Calculation 8 2_Table" xfId="5518"/>
    <cellStyle name="Calculation 8 3" xfId="467"/>
    <cellStyle name="Calculation 8 3 10" xfId="4494"/>
    <cellStyle name="Calculation 8 3 10 2" xfId="13822"/>
    <cellStyle name="Calculation 8 3 10 2 2" xfId="27128"/>
    <cellStyle name="Calculation 8 3 10 3" xfId="18232"/>
    <cellStyle name="Calculation 8 3 10 3 2" xfId="31538"/>
    <cellStyle name="Calculation 8 3 10 4" xfId="22718"/>
    <cellStyle name="Calculation 8 3 10_Table" xfId="5538"/>
    <cellStyle name="Calculation 8 3 11" xfId="9795"/>
    <cellStyle name="Calculation 8 3 11 2" xfId="23168"/>
    <cellStyle name="Calculation 8 3 12" xfId="14272"/>
    <cellStyle name="Calculation 8 3 12 2" xfId="27578"/>
    <cellStyle name="Calculation 8 3 13" xfId="18758"/>
    <cellStyle name="Calculation 8 3 2" xfId="759"/>
    <cellStyle name="Calculation 8 3 2 10" xfId="4719"/>
    <cellStyle name="Calculation 8 3 2 10 2" xfId="14047"/>
    <cellStyle name="Calculation 8 3 2 10 2 2" xfId="27353"/>
    <cellStyle name="Calculation 8 3 2 10 3" xfId="18457"/>
    <cellStyle name="Calculation 8 3 2 10 3 2" xfId="31763"/>
    <cellStyle name="Calculation 8 3 2 10 4" xfId="22943"/>
    <cellStyle name="Calculation 8 3 2 10_Table" xfId="5540"/>
    <cellStyle name="Calculation 8 3 2 11" xfId="10087"/>
    <cellStyle name="Calculation 8 3 2 11 2" xfId="23393"/>
    <cellStyle name="Calculation 8 3 2 12" xfId="14497"/>
    <cellStyle name="Calculation 8 3 2 12 2" xfId="27803"/>
    <cellStyle name="Calculation 8 3 2 13" xfId="18983"/>
    <cellStyle name="Calculation 8 3 2 2" xfId="1545"/>
    <cellStyle name="Calculation 8 3 2 2 2" xfId="10873"/>
    <cellStyle name="Calculation 8 3 2 2 2 2" xfId="24179"/>
    <cellStyle name="Calculation 8 3 2 2 3" xfId="15283"/>
    <cellStyle name="Calculation 8 3 2 2 3 2" xfId="28589"/>
    <cellStyle name="Calculation 8 3 2 2 4" xfId="19769"/>
    <cellStyle name="Calculation 8 3 2 2_Table" xfId="5541"/>
    <cellStyle name="Calculation 8 3 2 3" xfId="1905"/>
    <cellStyle name="Calculation 8 3 2 3 2" xfId="11233"/>
    <cellStyle name="Calculation 8 3 2 3 2 2" xfId="24539"/>
    <cellStyle name="Calculation 8 3 2 3 3" xfId="15643"/>
    <cellStyle name="Calculation 8 3 2 3 3 2" xfId="28949"/>
    <cellStyle name="Calculation 8 3 2 3 4" xfId="20129"/>
    <cellStyle name="Calculation 8 3 2 3_Table" xfId="5542"/>
    <cellStyle name="Calculation 8 3 2 4" xfId="2335"/>
    <cellStyle name="Calculation 8 3 2 4 2" xfId="11663"/>
    <cellStyle name="Calculation 8 3 2 4 2 2" xfId="24969"/>
    <cellStyle name="Calculation 8 3 2 4 3" xfId="16073"/>
    <cellStyle name="Calculation 8 3 2 4 3 2" xfId="29379"/>
    <cellStyle name="Calculation 8 3 2 4 4" xfId="20559"/>
    <cellStyle name="Calculation 8 3 2 4_Table" xfId="5543"/>
    <cellStyle name="Calculation 8 3 2 5" xfId="2773"/>
    <cellStyle name="Calculation 8 3 2 5 2" xfId="12101"/>
    <cellStyle name="Calculation 8 3 2 5 2 2" xfId="25407"/>
    <cellStyle name="Calculation 8 3 2 5 3" xfId="16511"/>
    <cellStyle name="Calculation 8 3 2 5 3 2" xfId="29817"/>
    <cellStyle name="Calculation 8 3 2 5 4" xfId="20997"/>
    <cellStyle name="Calculation 8 3 2 5_Table" xfId="5544"/>
    <cellStyle name="Calculation 8 3 2 6" xfId="3180"/>
    <cellStyle name="Calculation 8 3 2 6 2" xfId="12508"/>
    <cellStyle name="Calculation 8 3 2 6 2 2" xfId="25814"/>
    <cellStyle name="Calculation 8 3 2 6 3" xfId="16918"/>
    <cellStyle name="Calculation 8 3 2 6 3 2" xfId="30224"/>
    <cellStyle name="Calculation 8 3 2 6 4" xfId="21404"/>
    <cellStyle name="Calculation 8 3 2 6_Table" xfId="5545"/>
    <cellStyle name="Calculation 8 3 2 7" xfId="3772"/>
    <cellStyle name="Calculation 8 3 2 7 2" xfId="13100"/>
    <cellStyle name="Calculation 8 3 2 7 2 2" xfId="26406"/>
    <cellStyle name="Calculation 8 3 2 7 3" xfId="17510"/>
    <cellStyle name="Calculation 8 3 2 7 3 2" xfId="30816"/>
    <cellStyle name="Calculation 8 3 2 7 4" xfId="21996"/>
    <cellStyle name="Calculation 8 3 2 7_Table" xfId="5546"/>
    <cellStyle name="Calculation 8 3 2 8" xfId="3997"/>
    <cellStyle name="Calculation 8 3 2 8 2" xfId="13325"/>
    <cellStyle name="Calculation 8 3 2 8 2 2" xfId="26631"/>
    <cellStyle name="Calculation 8 3 2 8 3" xfId="17735"/>
    <cellStyle name="Calculation 8 3 2 8 3 2" xfId="31041"/>
    <cellStyle name="Calculation 8 3 2 8 4" xfId="22221"/>
    <cellStyle name="Calculation 8 3 2 8_Table" xfId="5547"/>
    <cellStyle name="Calculation 8 3 2 9" xfId="4358"/>
    <cellStyle name="Calculation 8 3 2 9 2" xfId="13686"/>
    <cellStyle name="Calculation 8 3 2 9 2 2" xfId="26992"/>
    <cellStyle name="Calculation 8 3 2 9 3" xfId="18096"/>
    <cellStyle name="Calculation 8 3 2 9 3 2" xfId="31402"/>
    <cellStyle name="Calculation 8 3 2 9 4" xfId="22582"/>
    <cellStyle name="Calculation 8 3 2 9_Table" xfId="5548"/>
    <cellStyle name="Calculation 8 3 2_Table" xfId="5539"/>
    <cellStyle name="Calculation 8 3 3" xfId="947"/>
    <cellStyle name="Calculation 8 3 3 2" xfId="10275"/>
    <cellStyle name="Calculation 8 3 3 2 2" xfId="23581"/>
    <cellStyle name="Calculation 8 3 3 3" xfId="14685"/>
    <cellStyle name="Calculation 8 3 3 3 2" xfId="27991"/>
    <cellStyle name="Calculation 8 3 3 4" xfId="19171"/>
    <cellStyle name="Calculation 8 3 3_Table" xfId="5549"/>
    <cellStyle name="Calculation 8 3 4" xfId="2058"/>
    <cellStyle name="Calculation 8 3 4 2" xfId="11386"/>
    <cellStyle name="Calculation 8 3 4 2 2" xfId="24692"/>
    <cellStyle name="Calculation 8 3 4 3" xfId="15796"/>
    <cellStyle name="Calculation 8 3 4 3 2" xfId="29102"/>
    <cellStyle name="Calculation 8 3 4 4" xfId="20282"/>
    <cellStyle name="Calculation 8 3 4_Table" xfId="5550"/>
    <cellStyle name="Calculation 8 3 5" xfId="2490"/>
    <cellStyle name="Calculation 8 3 5 2" xfId="11818"/>
    <cellStyle name="Calculation 8 3 5 2 2" xfId="25124"/>
    <cellStyle name="Calculation 8 3 5 3" xfId="16228"/>
    <cellStyle name="Calculation 8 3 5 3 2" xfId="29534"/>
    <cellStyle name="Calculation 8 3 5 4" xfId="20714"/>
    <cellStyle name="Calculation 8 3 5_Table" xfId="5551"/>
    <cellStyle name="Calculation 8 3 6" xfId="2919"/>
    <cellStyle name="Calculation 8 3 6 2" xfId="12247"/>
    <cellStyle name="Calculation 8 3 6 2 2" xfId="25553"/>
    <cellStyle name="Calculation 8 3 6 3" xfId="16657"/>
    <cellStyle name="Calculation 8 3 6 3 2" xfId="29963"/>
    <cellStyle name="Calculation 8 3 6 4" xfId="21143"/>
    <cellStyle name="Calculation 8 3 6_Table" xfId="5552"/>
    <cellStyle name="Calculation 8 3 7" xfId="3331"/>
    <cellStyle name="Calculation 8 3 7 2" xfId="12659"/>
    <cellStyle name="Calculation 8 3 7 2 2" xfId="25965"/>
    <cellStyle name="Calculation 8 3 7 3" xfId="17069"/>
    <cellStyle name="Calculation 8 3 7 3 2" xfId="30375"/>
    <cellStyle name="Calculation 8 3 7 4" xfId="21555"/>
    <cellStyle name="Calculation 8 3 7_Table" xfId="5553"/>
    <cellStyle name="Calculation 8 3 8" xfId="3444"/>
    <cellStyle name="Calculation 8 3 8 2" xfId="12772"/>
    <cellStyle name="Calculation 8 3 8 2 2" xfId="26078"/>
    <cellStyle name="Calculation 8 3 8 3" xfId="17182"/>
    <cellStyle name="Calculation 8 3 8 3 2" xfId="30488"/>
    <cellStyle name="Calculation 8 3 8 4" xfId="21668"/>
    <cellStyle name="Calculation 8 3 8_Table" xfId="5554"/>
    <cellStyle name="Calculation 8 3 9" xfId="4133"/>
    <cellStyle name="Calculation 8 3 9 2" xfId="13461"/>
    <cellStyle name="Calculation 8 3 9 2 2" xfId="26767"/>
    <cellStyle name="Calculation 8 3 9 3" xfId="17871"/>
    <cellStyle name="Calculation 8 3 9 3 2" xfId="31177"/>
    <cellStyle name="Calculation 8 3 9 4" xfId="22357"/>
    <cellStyle name="Calculation 8 3 9_Table" xfId="5555"/>
    <cellStyle name="Calculation 8 3_Table" xfId="5537"/>
    <cellStyle name="Calculation 8 4" xfId="531"/>
    <cellStyle name="Calculation 8 4 10" xfId="4539"/>
    <cellStyle name="Calculation 8 4 10 2" xfId="13867"/>
    <cellStyle name="Calculation 8 4 10 2 2" xfId="27173"/>
    <cellStyle name="Calculation 8 4 10 3" xfId="18277"/>
    <cellStyle name="Calculation 8 4 10 3 2" xfId="31583"/>
    <cellStyle name="Calculation 8 4 10 4" xfId="22763"/>
    <cellStyle name="Calculation 8 4 10_Table" xfId="5557"/>
    <cellStyle name="Calculation 8 4 11" xfId="9859"/>
    <cellStyle name="Calculation 8 4 11 2" xfId="23213"/>
    <cellStyle name="Calculation 8 4 12" xfId="14317"/>
    <cellStyle name="Calculation 8 4 12 2" xfId="27623"/>
    <cellStyle name="Calculation 8 4 13" xfId="18803"/>
    <cellStyle name="Calculation 8 4 2" xfId="804"/>
    <cellStyle name="Calculation 8 4 2 10" xfId="4764"/>
    <cellStyle name="Calculation 8 4 2 10 2" xfId="14092"/>
    <cellStyle name="Calculation 8 4 2 10 2 2" xfId="27398"/>
    <cellStyle name="Calculation 8 4 2 10 3" xfId="18502"/>
    <cellStyle name="Calculation 8 4 2 10 3 2" xfId="31808"/>
    <cellStyle name="Calculation 8 4 2 10 4" xfId="22988"/>
    <cellStyle name="Calculation 8 4 2 10_Table" xfId="5559"/>
    <cellStyle name="Calculation 8 4 2 11" xfId="10132"/>
    <cellStyle name="Calculation 8 4 2 11 2" xfId="23438"/>
    <cellStyle name="Calculation 8 4 2 12" xfId="14542"/>
    <cellStyle name="Calculation 8 4 2 12 2" xfId="27848"/>
    <cellStyle name="Calculation 8 4 2 13" xfId="19028"/>
    <cellStyle name="Calculation 8 4 2 2" xfId="1590"/>
    <cellStyle name="Calculation 8 4 2 2 2" xfId="10918"/>
    <cellStyle name="Calculation 8 4 2 2 2 2" xfId="24224"/>
    <cellStyle name="Calculation 8 4 2 2 3" xfId="15328"/>
    <cellStyle name="Calculation 8 4 2 2 3 2" xfId="28634"/>
    <cellStyle name="Calculation 8 4 2 2 4" xfId="19814"/>
    <cellStyle name="Calculation 8 4 2 2_Table" xfId="5560"/>
    <cellStyle name="Calculation 8 4 2 3" xfId="1950"/>
    <cellStyle name="Calculation 8 4 2 3 2" xfId="11278"/>
    <cellStyle name="Calculation 8 4 2 3 2 2" xfId="24584"/>
    <cellStyle name="Calculation 8 4 2 3 3" xfId="15688"/>
    <cellStyle name="Calculation 8 4 2 3 3 2" xfId="28994"/>
    <cellStyle name="Calculation 8 4 2 3 4" xfId="20174"/>
    <cellStyle name="Calculation 8 4 2 3_Table" xfId="5561"/>
    <cellStyle name="Calculation 8 4 2 4" xfId="2380"/>
    <cellStyle name="Calculation 8 4 2 4 2" xfId="11708"/>
    <cellStyle name="Calculation 8 4 2 4 2 2" xfId="25014"/>
    <cellStyle name="Calculation 8 4 2 4 3" xfId="16118"/>
    <cellStyle name="Calculation 8 4 2 4 3 2" xfId="29424"/>
    <cellStyle name="Calculation 8 4 2 4 4" xfId="20604"/>
    <cellStyle name="Calculation 8 4 2 4_Table" xfId="5562"/>
    <cellStyle name="Calculation 8 4 2 5" xfId="2818"/>
    <cellStyle name="Calculation 8 4 2 5 2" xfId="12146"/>
    <cellStyle name="Calculation 8 4 2 5 2 2" xfId="25452"/>
    <cellStyle name="Calculation 8 4 2 5 3" xfId="16556"/>
    <cellStyle name="Calculation 8 4 2 5 3 2" xfId="29862"/>
    <cellStyle name="Calculation 8 4 2 5 4" xfId="21042"/>
    <cellStyle name="Calculation 8 4 2 5_Table" xfId="5563"/>
    <cellStyle name="Calculation 8 4 2 6" xfId="3225"/>
    <cellStyle name="Calculation 8 4 2 6 2" xfId="12553"/>
    <cellStyle name="Calculation 8 4 2 6 2 2" xfId="25859"/>
    <cellStyle name="Calculation 8 4 2 6 3" xfId="16963"/>
    <cellStyle name="Calculation 8 4 2 6 3 2" xfId="30269"/>
    <cellStyle name="Calculation 8 4 2 6 4" xfId="21449"/>
    <cellStyle name="Calculation 8 4 2 6_Table" xfId="5564"/>
    <cellStyle name="Calculation 8 4 2 7" xfId="3817"/>
    <cellStyle name="Calculation 8 4 2 7 2" xfId="13145"/>
    <cellStyle name="Calculation 8 4 2 7 2 2" xfId="26451"/>
    <cellStyle name="Calculation 8 4 2 7 3" xfId="17555"/>
    <cellStyle name="Calculation 8 4 2 7 3 2" xfId="30861"/>
    <cellStyle name="Calculation 8 4 2 7 4" xfId="22041"/>
    <cellStyle name="Calculation 8 4 2 7_Table" xfId="5565"/>
    <cellStyle name="Calculation 8 4 2 8" xfId="4042"/>
    <cellStyle name="Calculation 8 4 2 8 2" xfId="13370"/>
    <cellStyle name="Calculation 8 4 2 8 2 2" xfId="26676"/>
    <cellStyle name="Calculation 8 4 2 8 3" xfId="17780"/>
    <cellStyle name="Calculation 8 4 2 8 3 2" xfId="31086"/>
    <cellStyle name="Calculation 8 4 2 8 4" xfId="22266"/>
    <cellStyle name="Calculation 8 4 2 8_Table" xfId="5566"/>
    <cellStyle name="Calculation 8 4 2 9" xfId="4403"/>
    <cellStyle name="Calculation 8 4 2 9 2" xfId="13731"/>
    <cellStyle name="Calculation 8 4 2 9 2 2" xfId="27037"/>
    <cellStyle name="Calculation 8 4 2 9 3" xfId="18141"/>
    <cellStyle name="Calculation 8 4 2 9 3 2" xfId="31447"/>
    <cellStyle name="Calculation 8 4 2 9 4" xfId="22627"/>
    <cellStyle name="Calculation 8 4 2 9_Table" xfId="5567"/>
    <cellStyle name="Calculation 8 4 2_Table" xfId="5558"/>
    <cellStyle name="Calculation 8 4 3" xfId="1683"/>
    <cellStyle name="Calculation 8 4 3 2" xfId="11011"/>
    <cellStyle name="Calculation 8 4 3 2 2" xfId="24317"/>
    <cellStyle name="Calculation 8 4 3 3" xfId="15421"/>
    <cellStyle name="Calculation 8 4 3 3 2" xfId="28727"/>
    <cellStyle name="Calculation 8 4 3 4" xfId="19907"/>
    <cellStyle name="Calculation 8 4 3_Table" xfId="5568"/>
    <cellStyle name="Calculation 8 4 4" xfId="2117"/>
    <cellStyle name="Calculation 8 4 4 2" xfId="11445"/>
    <cellStyle name="Calculation 8 4 4 2 2" xfId="24751"/>
    <cellStyle name="Calculation 8 4 4 3" xfId="15855"/>
    <cellStyle name="Calculation 8 4 4 3 2" xfId="29161"/>
    <cellStyle name="Calculation 8 4 4 4" xfId="20341"/>
    <cellStyle name="Calculation 8 4 4_Table" xfId="5569"/>
    <cellStyle name="Calculation 8 4 5" xfId="2549"/>
    <cellStyle name="Calculation 8 4 5 2" xfId="11877"/>
    <cellStyle name="Calculation 8 4 5 2 2" xfId="25183"/>
    <cellStyle name="Calculation 8 4 5 3" xfId="16287"/>
    <cellStyle name="Calculation 8 4 5 3 2" xfId="29593"/>
    <cellStyle name="Calculation 8 4 5 4" xfId="20773"/>
    <cellStyle name="Calculation 8 4 5_Table" xfId="5570"/>
    <cellStyle name="Calculation 8 4 6" xfId="2976"/>
    <cellStyle name="Calculation 8 4 6 2" xfId="12304"/>
    <cellStyle name="Calculation 8 4 6 2 2" xfId="25610"/>
    <cellStyle name="Calculation 8 4 6 3" xfId="16714"/>
    <cellStyle name="Calculation 8 4 6 3 2" xfId="30020"/>
    <cellStyle name="Calculation 8 4 6 4" xfId="21200"/>
    <cellStyle name="Calculation 8 4 6_Table" xfId="5571"/>
    <cellStyle name="Calculation 8 4 7" xfId="3389"/>
    <cellStyle name="Calculation 8 4 7 2" xfId="12717"/>
    <cellStyle name="Calculation 8 4 7 2 2" xfId="26023"/>
    <cellStyle name="Calculation 8 4 7 3" xfId="17127"/>
    <cellStyle name="Calculation 8 4 7 3 2" xfId="30433"/>
    <cellStyle name="Calculation 8 4 7 4" xfId="21613"/>
    <cellStyle name="Calculation 8 4 7_Table" xfId="5572"/>
    <cellStyle name="Calculation 8 4 8" xfId="3559"/>
    <cellStyle name="Calculation 8 4 8 2" xfId="12887"/>
    <cellStyle name="Calculation 8 4 8 2 2" xfId="26193"/>
    <cellStyle name="Calculation 8 4 8 3" xfId="17297"/>
    <cellStyle name="Calculation 8 4 8 3 2" xfId="30603"/>
    <cellStyle name="Calculation 8 4 8 4" xfId="21783"/>
    <cellStyle name="Calculation 8 4 8_Table" xfId="5573"/>
    <cellStyle name="Calculation 8 4 9" xfId="4178"/>
    <cellStyle name="Calculation 8 4 9 2" xfId="13506"/>
    <cellStyle name="Calculation 8 4 9 2 2" xfId="26812"/>
    <cellStyle name="Calculation 8 4 9 3" xfId="17916"/>
    <cellStyle name="Calculation 8 4 9 3 2" xfId="31222"/>
    <cellStyle name="Calculation 8 4 9 4" xfId="22402"/>
    <cellStyle name="Calculation 8 4 9_Table" xfId="5574"/>
    <cellStyle name="Calculation 8 4_Table" xfId="5556"/>
    <cellStyle name="Calculation 8 5" xfId="606"/>
    <cellStyle name="Calculation 8 5 10" xfId="4584"/>
    <cellStyle name="Calculation 8 5 10 2" xfId="13912"/>
    <cellStyle name="Calculation 8 5 10 2 2" xfId="27218"/>
    <cellStyle name="Calculation 8 5 10 3" xfId="18322"/>
    <cellStyle name="Calculation 8 5 10 3 2" xfId="31628"/>
    <cellStyle name="Calculation 8 5 10 4" xfId="22808"/>
    <cellStyle name="Calculation 8 5 10_Table" xfId="5576"/>
    <cellStyle name="Calculation 8 5 11" xfId="9934"/>
    <cellStyle name="Calculation 8 5 11 2" xfId="23258"/>
    <cellStyle name="Calculation 8 5 12" xfId="14362"/>
    <cellStyle name="Calculation 8 5 12 2" xfId="27668"/>
    <cellStyle name="Calculation 8 5 13" xfId="18848"/>
    <cellStyle name="Calculation 8 5 2" xfId="849"/>
    <cellStyle name="Calculation 8 5 2 10" xfId="4809"/>
    <cellStyle name="Calculation 8 5 2 10 2" xfId="14137"/>
    <cellStyle name="Calculation 8 5 2 10 2 2" xfId="27443"/>
    <cellStyle name="Calculation 8 5 2 10 3" xfId="18547"/>
    <cellStyle name="Calculation 8 5 2 10 3 2" xfId="31853"/>
    <cellStyle name="Calculation 8 5 2 10 4" xfId="23033"/>
    <cellStyle name="Calculation 8 5 2 10_Table" xfId="5578"/>
    <cellStyle name="Calculation 8 5 2 11" xfId="10177"/>
    <cellStyle name="Calculation 8 5 2 11 2" xfId="23483"/>
    <cellStyle name="Calculation 8 5 2 12" xfId="14587"/>
    <cellStyle name="Calculation 8 5 2 12 2" xfId="27893"/>
    <cellStyle name="Calculation 8 5 2 13" xfId="19073"/>
    <cellStyle name="Calculation 8 5 2 2" xfId="1635"/>
    <cellStyle name="Calculation 8 5 2 2 2" xfId="10963"/>
    <cellStyle name="Calculation 8 5 2 2 2 2" xfId="24269"/>
    <cellStyle name="Calculation 8 5 2 2 3" xfId="15373"/>
    <cellStyle name="Calculation 8 5 2 2 3 2" xfId="28679"/>
    <cellStyle name="Calculation 8 5 2 2 4" xfId="19859"/>
    <cellStyle name="Calculation 8 5 2 2_Table" xfId="5579"/>
    <cellStyle name="Calculation 8 5 2 3" xfId="1995"/>
    <cellStyle name="Calculation 8 5 2 3 2" xfId="11323"/>
    <cellStyle name="Calculation 8 5 2 3 2 2" xfId="24629"/>
    <cellStyle name="Calculation 8 5 2 3 3" xfId="15733"/>
    <cellStyle name="Calculation 8 5 2 3 3 2" xfId="29039"/>
    <cellStyle name="Calculation 8 5 2 3 4" xfId="20219"/>
    <cellStyle name="Calculation 8 5 2 3_Table" xfId="5580"/>
    <cellStyle name="Calculation 8 5 2 4" xfId="2425"/>
    <cellStyle name="Calculation 8 5 2 4 2" xfId="11753"/>
    <cellStyle name="Calculation 8 5 2 4 2 2" xfId="25059"/>
    <cellStyle name="Calculation 8 5 2 4 3" xfId="16163"/>
    <cellStyle name="Calculation 8 5 2 4 3 2" xfId="29469"/>
    <cellStyle name="Calculation 8 5 2 4 4" xfId="20649"/>
    <cellStyle name="Calculation 8 5 2 4_Table" xfId="5581"/>
    <cellStyle name="Calculation 8 5 2 5" xfId="2863"/>
    <cellStyle name="Calculation 8 5 2 5 2" xfId="12191"/>
    <cellStyle name="Calculation 8 5 2 5 2 2" xfId="25497"/>
    <cellStyle name="Calculation 8 5 2 5 3" xfId="16601"/>
    <cellStyle name="Calculation 8 5 2 5 3 2" xfId="29907"/>
    <cellStyle name="Calculation 8 5 2 5 4" xfId="21087"/>
    <cellStyle name="Calculation 8 5 2 5_Table" xfId="5582"/>
    <cellStyle name="Calculation 8 5 2 6" xfId="3270"/>
    <cellStyle name="Calculation 8 5 2 6 2" xfId="12598"/>
    <cellStyle name="Calculation 8 5 2 6 2 2" xfId="25904"/>
    <cellStyle name="Calculation 8 5 2 6 3" xfId="17008"/>
    <cellStyle name="Calculation 8 5 2 6 3 2" xfId="30314"/>
    <cellStyle name="Calculation 8 5 2 6 4" xfId="21494"/>
    <cellStyle name="Calculation 8 5 2 6_Table" xfId="5583"/>
    <cellStyle name="Calculation 8 5 2 7" xfId="3862"/>
    <cellStyle name="Calculation 8 5 2 7 2" xfId="13190"/>
    <cellStyle name="Calculation 8 5 2 7 2 2" xfId="26496"/>
    <cellStyle name="Calculation 8 5 2 7 3" xfId="17600"/>
    <cellStyle name="Calculation 8 5 2 7 3 2" xfId="30906"/>
    <cellStyle name="Calculation 8 5 2 7 4" xfId="22086"/>
    <cellStyle name="Calculation 8 5 2 7_Table" xfId="5584"/>
    <cellStyle name="Calculation 8 5 2 8" xfId="4087"/>
    <cellStyle name="Calculation 8 5 2 8 2" xfId="13415"/>
    <cellStyle name="Calculation 8 5 2 8 2 2" xfId="26721"/>
    <cellStyle name="Calculation 8 5 2 8 3" xfId="17825"/>
    <cellStyle name="Calculation 8 5 2 8 3 2" xfId="31131"/>
    <cellStyle name="Calculation 8 5 2 8 4" xfId="22311"/>
    <cellStyle name="Calculation 8 5 2 8_Table" xfId="5585"/>
    <cellStyle name="Calculation 8 5 2 9" xfId="4448"/>
    <cellStyle name="Calculation 8 5 2 9 2" xfId="13776"/>
    <cellStyle name="Calculation 8 5 2 9 2 2" xfId="27082"/>
    <cellStyle name="Calculation 8 5 2 9 3" xfId="18186"/>
    <cellStyle name="Calculation 8 5 2 9 3 2" xfId="31492"/>
    <cellStyle name="Calculation 8 5 2 9 4" xfId="22672"/>
    <cellStyle name="Calculation 8 5 2 9_Table" xfId="5586"/>
    <cellStyle name="Calculation 8 5 2_Table" xfId="5577"/>
    <cellStyle name="Calculation 8 5 3" xfId="1753"/>
    <cellStyle name="Calculation 8 5 3 2" xfId="11081"/>
    <cellStyle name="Calculation 8 5 3 2 2" xfId="24387"/>
    <cellStyle name="Calculation 8 5 3 3" xfId="15491"/>
    <cellStyle name="Calculation 8 5 3 3 2" xfId="28797"/>
    <cellStyle name="Calculation 8 5 3 4" xfId="19977"/>
    <cellStyle name="Calculation 8 5 3_Table" xfId="5587"/>
    <cellStyle name="Calculation 8 5 4" xfId="2186"/>
    <cellStyle name="Calculation 8 5 4 2" xfId="11514"/>
    <cellStyle name="Calculation 8 5 4 2 2" xfId="24820"/>
    <cellStyle name="Calculation 8 5 4 3" xfId="15924"/>
    <cellStyle name="Calculation 8 5 4 3 2" xfId="29230"/>
    <cellStyle name="Calculation 8 5 4 4" xfId="20410"/>
    <cellStyle name="Calculation 8 5 4_Table" xfId="5588"/>
    <cellStyle name="Calculation 8 5 5" xfId="2621"/>
    <cellStyle name="Calculation 8 5 5 2" xfId="11949"/>
    <cellStyle name="Calculation 8 5 5 2 2" xfId="25255"/>
    <cellStyle name="Calculation 8 5 5 3" xfId="16359"/>
    <cellStyle name="Calculation 8 5 5 3 2" xfId="29665"/>
    <cellStyle name="Calculation 8 5 5 4" xfId="20845"/>
    <cellStyle name="Calculation 8 5 5_Table" xfId="5589"/>
    <cellStyle name="Calculation 8 5 6" xfId="3034"/>
    <cellStyle name="Calculation 8 5 6 2" xfId="12362"/>
    <cellStyle name="Calculation 8 5 6 2 2" xfId="25668"/>
    <cellStyle name="Calculation 8 5 6 3" xfId="16772"/>
    <cellStyle name="Calculation 8 5 6 3 2" xfId="30078"/>
    <cellStyle name="Calculation 8 5 6 4" xfId="21258"/>
    <cellStyle name="Calculation 8 5 6_Table" xfId="5590"/>
    <cellStyle name="Calculation 8 5 7" xfId="3460"/>
    <cellStyle name="Calculation 8 5 7 2" xfId="12788"/>
    <cellStyle name="Calculation 8 5 7 2 2" xfId="26094"/>
    <cellStyle name="Calculation 8 5 7 3" xfId="17198"/>
    <cellStyle name="Calculation 8 5 7 3 2" xfId="30504"/>
    <cellStyle name="Calculation 8 5 7 4" xfId="21684"/>
    <cellStyle name="Calculation 8 5 7_Table" xfId="5591"/>
    <cellStyle name="Calculation 8 5 8" xfId="2172"/>
    <cellStyle name="Calculation 8 5 8 2" xfId="11500"/>
    <cellStyle name="Calculation 8 5 8 2 2" xfId="24806"/>
    <cellStyle name="Calculation 8 5 8 3" xfId="15910"/>
    <cellStyle name="Calculation 8 5 8 3 2" xfId="29216"/>
    <cellStyle name="Calculation 8 5 8 4" xfId="20396"/>
    <cellStyle name="Calculation 8 5 8_Table" xfId="5592"/>
    <cellStyle name="Calculation 8 5 9" xfId="4223"/>
    <cellStyle name="Calculation 8 5 9 2" xfId="13551"/>
    <cellStyle name="Calculation 8 5 9 2 2" xfId="26857"/>
    <cellStyle name="Calculation 8 5 9 3" xfId="17961"/>
    <cellStyle name="Calculation 8 5 9 3 2" xfId="31267"/>
    <cellStyle name="Calculation 8 5 9 4" xfId="22447"/>
    <cellStyle name="Calculation 8 5 9_Table" xfId="5593"/>
    <cellStyle name="Calculation 8 5_Table" xfId="5575"/>
    <cellStyle name="Calculation 8 6" xfId="669"/>
    <cellStyle name="Calculation 8 6 10" xfId="4629"/>
    <cellStyle name="Calculation 8 6 10 2" xfId="13957"/>
    <cellStyle name="Calculation 8 6 10 2 2" xfId="27263"/>
    <cellStyle name="Calculation 8 6 10 3" xfId="18367"/>
    <cellStyle name="Calculation 8 6 10 3 2" xfId="31673"/>
    <cellStyle name="Calculation 8 6 10 4" xfId="22853"/>
    <cellStyle name="Calculation 8 6 10_Table" xfId="5595"/>
    <cellStyle name="Calculation 8 6 11" xfId="9997"/>
    <cellStyle name="Calculation 8 6 11 2" xfId="23303"/>
    <cellStyle name="Calculation 8 6 12" xfId="14407"/>
    <cellStyle name="Calculation 8 6 12 2" xfId="27713"/>
    <cellStyle name="Calculation 8 6 13" xfId="18893"/>
    <cellStyle name="Calculation 8 6 2" xfId="1455"/>
    <cellStyle name="Calculation 8 6 2 2" xfId="10783"/>
    <cellStyle name="Calculation 8 6 2 2 2" xfId="24089"/>
    <cellStyle name="Calculation 8 6 2 3" xfId="15193"/>
    <cellStyle name="Calculation 8 6 2 3 2" xfId="28499"/>
    <cellStyle name="Calculation 8 6 2 4" xfId="19679"/>
    <cellStyle name="Calculation 8 6 2_Table" xfId="5596"/>
    <cellStyle name="Calculation 8 6 3" xfId="1815"/>
    <cellStyle name="Calculation 8 6 3 2" xfId="11143"/>
    <cellStyle name="Calculation 8 6 3 2 2" xfId="24449"/>
    <cellStyle name="Calculation 8 6 3 3" xfId="15553"/>
    <cellStyle name="Calculation 8 6 3 3 2" xfId="28859"/>
    <cellStyle name="Calculation 8 6 3 4" xfId="20039"/>
    <cellStyle name="Calculation 8 6 3_Table" xfId="5597"/>
    <cellStyle name="Calculation 8 6 4" xfId="2245"/>
    <cellStyle name="Calculation 8 6 4 2" xfId="11573"/>
    <cellStyle name="Calculation 8 6 4 2 2" xfId="24879"/>
    <cellStyle name="Calculation 8 6 4 3" xfId="15983"/>
    <cellStyle name="Calculation 8 6 4 3 2" xfId="29289"/>
    <cellStyle name="Calculation 8 6 4 4" xfId="20469"/>
    <cellStyle name="Calculation 8 6 4_Table" xfId="5598"/>
    <cellStyle name="Calculation 8 6 5" xfId="2683"/>
    <cellStyle name="Calculation 8 6 5 2" xfId="12011"/>
    <cellStyle name="Calculation 8 6 5 2 2" xfId="25317"/>
    <cellStyle name="Calculation 8 6 5 3" xfId="16421"/>
    <cellStyle name="Calculation 8 6 5 3 2" xfId="29727"/>
    <cellStyle name="Calculation 8 6 5 4" xfId="20907"/>
    <cellStyle name="Calculation 8 6 5_Table" xfId="5599"/>
    <cellStyle name="Calculation 8 6 6" xfId="3090"/>
    <cellStyle name="Calculation 8 6 6 2" xfId="12418"/>
    <cellStyle name="Calculation 8 6 6 2 2" xfId="25724"/>
    <cellStyle name="Calculation 8 6 6 3" xfId="16828"/>
    <cellStyle name="Calculation 8 6 6 3 2" xfId="30134"/>
    <cellStyle name="Calculation 8 6 6 4" xfId="21314"/>
    <cellStyle name="Calculation 8 6 6_Table" xfId="5600"/>
    <cellStyle name="Calculation 8 6 7" xfId="3682"/>
    <cellStyle name="Calculation 8 6 7 2" xfId="13010"/>
    <cellStyle name="Calculation 8 6 7 2 2" xfId="26316"/>
    <cellStyle name="Calculation 8 6 7 3" xfId="17420"/>
    <cellStyle name="Calculation 8 6 7 3 2" xfId="30726"/>
    <cellStyle name="Calculation 8 6 7 4" xfId="21906"/>
    <cellStyle name="Calculation 8 6 7_Table" xfId="5601"/>
    <cellStyle name="Calculation 8 6 8" xfId="3907"/>
    <cellStyle name="Calculation 8 6 8 2" xfId="13235"/>
    <cellStyle name="Calculation 8 6 8 2 2" xfId="26541"/>
    <cellStyle name="Calculation 8 6 8 3" xfId="17645"/>
    <cellStyle name="Calculation 8 6 8 3 2" xfId="30951"/>
    <cellStyle name="Calculation 8 6 8 4" xfId="22131"/>
    <cellStyle name="Calculation 8 6 8_Table" xfId="5602"/>
    <cellStyle name="Calculation 8 6 9" xfId="4268"/>
    <cellStyle name="Calculation 8 6 9 2" xfId="13596"/>
    <cellStyle name="Calculation 8 6 9 2 2" xfId="26902"/>
    <cellStyle name="Calculation 8 6 9 3" xfId="18006"/>
    <cellStyle name="Calculation 8 6 9 3 2" xfId="31312"/>
    <cellStyle name="Calculation 8 6 9 4" xfId="22492"/>
    <cellStyle name="Calculation 8 6 9_Table" xfId="5603"/>
    <cellStyle name="Calculation 8 6_Table" xfId="5594"/>
    <cellStyle name="Calculation 8 7" xfId="1110"/>
    <cellStyle name="Calculation 8 7 2" xfId="10438"/>
    <cellStyle name="Calculation 8 7 2 2" xfId="23744"/>
    <cellStyle name="Calculation 8 7 3" xfId="14848"/>
    <cellStyle name="Calculation 8 7 3 2" xfId="28154"/>
    <cellStyle name="Calculation 8 7 4" xfId="19334"/>
    <cellStyle name="Calculation 8 7_Table" xfId="5604"/>
    <cellStyle name="Calculation 8 8" xfId="1133"/>
    <cellStyle name="Calculation 8 8 2" xfId="10461"/>
    <cellStyle name="Calculation 8 8 2 2" xfId="23767"/>
    <cellStyle name="Calculation 8 8 3" xfId="14871"/>
    <cellStyle name="Calculation 8 8 3 2" xfId="28177"/>
    <cellStyle name="Calculation 8 8 4" xfId="19357"/>
    <cellStyle name="Calculation 8 8_Table" xfId="5605"/>
    <cellStyle name="Calculation 8 9" xfId="1219"/>
    <cellStyle name="Calculation 8 9 2" xfId="10547"/>
    <cellStyle name="Calculation 8 9 2 2" xfId="23853"/>
    <cellStyle name="Calculation 8 9 3" xfId="14957"/>
    <cellStyle name="Calculation 8 9 3 2" xfId="28263"/>
    <cellStyle name="Calculation 8 9 4" xfId="19443"/>
    <cellStyle name="Calculation 8 9_Table" xfId="5606"/>
    <cellStyle name="Calculation 8_Table" xfId="5512"/>
    <cellStyle name="Calculation 9" xfId="243"/>
    <cellStyle name="Calculation 9 10" xfId="1143"/>
    <cellStyle name="Calculation 9 10 2" xfId="10471"/>
    <cellStyle name="Calculation 9 10 2 2" xfId="23777"/>
    <cellStyle name="Calculation 9 10 3" xfId="14881"/>
    <cellStyle name="Calculation 9 10 3 2" xfId="28187"/>
    <cellStyle name="Calculation 9 10 4" xfId="19367"/>
    <cellStyle name="Calculation 9 10_Table" xfId="5608"/>
    <cellStyle name="Calculation 9 11" xfId="1217"/>
    <cellStyle name="Calculation 9 11 2" xfId="10545"/>
    <cellStyle name="Calculation 9 11 2 2" xfId="23851"/>
    <cellStyle name="Calculation 9 11 3" xfId="14955"/>
    <cellStyle name="Calculation 9 11 3 2" xfId="28261"/>
    <cellStyle name="Calculation 9 11 4" xfId="19441"/>
    <cellStyle name="Calculation 9 11_Table" xfId="5609"/>
    <cellStyle name="Calculation 9 12" xfId="2966"/>
    <cellStyle name="Calculation 9 12 2" xfId="12294"/>
    <cellStyle name="Calculation 9 12 2 2" xfId="25600"/>
    <cellStyle name="Calculation 9 12 3" xfId="16704"/>
    <cellStyle name="Calculation 9 12 3 2" xfId="30010"/>
    <cellStyle name="Calculation 9 12 4" xfId="21190"/>
    <cellStyle name="Calculation 9 12_Table" xfId="5610"/>
    <cellStyle name="Calculation 9 13" xfId="3077"/>
    <cellStyle name="Calculation 9 13 2" xfId="12405"/>
    <cellStyle name="Calculation 9 13 2 2" xfId="25711"/>
    <cellStyle name="Calculation 9 13 3" xfId="16815"/>
    <cellStyle name="Calculation 9 13 3 2" xfId="30121"/>
    <cellStyle name="Calculation 9 13 4" xfId="21301"/>
    <cellStyle name="Calculation 9 13_Table" xfId="5611"/>
    <cellStyle name="Calculation 9 14" xfId="1122"/>
    <cellStyle name="Calculation 9 14 2" xfId="10450"/>
    <cellStyle name="Calculation 9 14 2 2" xfId="23756"/>
    <cellStyle name="Calculation 9 14 3" xfId="14860"/>
    <cellStyle name="Calculation 9 14 3 2" xfId="28166"/>
    <cellStyle name="Calculation 9 14 4" xfId="19346"/>
    <cellStyle name="Calculation 9 14_Table" xfId="5612"/>
    <cellStyle name="Calculation 9 15" xfId="9571"/>
    <cellStyle name="Calculation 9 15 2" xfId="23079"/>
    <cellStyle name="Calculation 9 16" xfId="14183"/>
    <cellStyle name="Calculation 9 16 2" xfId="27489"/>
    <cellStyle name="Calculation 9 17" xfId="18669"/>
    <cellStyle name="Calculation 9 2" xfId="400"/>
    <cellStyle name="Calculation 9 2 10" xfId="3633"/>
    <cellStyle name="Calculation 9 2 10 2" xfId="12961"/>
    <cellStyle name="Calculation 9 2 10 2 2" xfId="26267"/>
    <cellStyle name="Calculation 9 2 10 3" xfId="17371"/>
    <cellStyle name="Calculation 9 2 10 3 2" xfId="30677"/>
    <cellStyle name="Calculation 9 2 10 4" xfId="21857"/>
    <cellStyle name="Calculation 9 2 10_Table" xfId="5614"/>
    <cellStyle name="Calculation 9 2 11" xfId="9728"/>
    <cellStyle name="Calculation 9 2 11 2" xfId="23124"/>
    <cellStyle name="Calculation 9 2 12" xfId="14228"/>
    <cellStyle name="Calculation 9 2 12 2" xfId="27534"/>
    <cellStyle name="Calculation 9 2 13" xfId="18714"/>
    <cellStyle name="Calculation 9 2 2" xfId="715"/>
    <cellStyle name="Calculation 9 2 2 10" xfId="4675"/>
    <cellStyle name="Calculation 9 2 2 10 2" xfId="14003"/>
    <cellStyle name="Calculation 9 2 2 10 2 2" xfId="27309"/>
    <cellStyle name="Calculation 9 2 2 10 3" xfId="18413"/>
    <cellStyle name="Calculation 9 2 2 10 3 2" xfId="31719"/>
    <cellStyle name="Calculation 9 2 2 10 4" xfId="22899"/>
    <cellStyle name="Calculation 9 2 2 10_Table" xfId="5616"/>
    <cellStyle name="Calculation 9 2 2 11" xfId="10043"/>
    <cellStyle name="Calculation 9 2 2 11 2" xfId="23349"/>
    <cellStyle name="Calculation 9 2 2 12" xfId="14453"/>
    <cellStyle name="Calculation 9 2 2 12 2" xfId="27759"/>
    <cellStyle name="Calculation 9 2 2 13" xfId="18939"/>
    <cellStyle name="Calculation 9 2 2 2" xfId="1501"/>
    <cellStyle name="Calculation 9 2 2 2 2" xfId="10829"/>
    <cellStyle name="Calculation 9 2 2 2 2 2" xfId="24135"/>
    <cellStyle name="Calculation 9 2 2 2 3" xfId="15239"/>
    <cellStyle name="Calculation 9 2 2 2 3 2" xfId="28545"/>
    <cellStyle name="Calculation 9 2 2 2 4" xfId="19725"/>
    <cellStyle name="Calculation 9 2 2 2_Table" xfId="5617"/>
    <cellStyle name="Calculation 9 2 2 3" xfId="1861"/>
    <cellStyle name="Calculation 9 2 2 3 2" xfId="11189"/>
    <cellStyle name="Calculation 9 2 2 3 2 2" xfId="24495"/>
    <cellStyle name="Calculation 9 2 2 3 3" xfId="15599"/>
    <cellStyle name="Calculation 9 2 2 3 3 2" xfId="28905"/>
    <cellStyle name="Calculation 9 2 2 3 4" xfId="20085"/>
    <cellStyle name="Calculation 9 2 2 3_Table" xfId="5618"/>
    <cellStyle name="Calculation 9 2 2 4" xfId="2291"/>
    <cellStyle name="Calculation 9 2 2 4 2" xfId="11619"/>
    <cellStyle name="Calculation 9 2 2 4 2 2" xfId="24925"/>
    <cellStyle name="Calculation 9 2 2 4 3" xfId="16029"/>
    <cellStyle name="Calculation 9 2 2 4 3 2" xfId="29335"/>
    <cellStyle name="Calculation 9 2 2 4 4" xfId="20515"/>
    <cellStyle name="Calculation 9 2 2 4_Table" xfId="5619"/>
    <cellStyle name="Calculation 9 2 2 5" xfId="2729"/>
    <cellStyle name="Calculation 9 2 2 5 2" xfId="12057"/>
    <cellStyle name="Calculation 9 2 2 5 2 2" xfId="25363"/>
    <cellStyle name="Calculation 9 2 2 5 3" xfId="16467"/>
    <cellStyle name="Calculation 9 2 2 5 3 2" xfId="29773"/>
    <cellStyle name="Calculation 9 2 2 5 4" xfId="20953"/>
    <cellStyle name="Calculation 9 2 2 5_Table" xfId="5620"/>
    <cellStyle name="Calculation 9 2 2 6" xfId="3136"/>
    <cellStyle name="Calculation 9 2 2 6 2" xfId="12464"/>
    <cellStyle name="Calculation 9 2 2 6 2 2" xfId="25770"/>
    <cellStyle name="Calculation 9 2 2 6 3" xfId="16874"/>
    <cellStyle name="Calculation 9 2 2 6 3 2" xfId="30180"/>
    <cellStyle name="Calculation 9 2 2 6 4" xfId="21360"/>
    <cellStyle name="Calculation 9 2 2 6_Table" xfId="5621"/>
    <cellStyle name="Calculation 9 2 2 7" xfId="3728"/>
    <cellStyle name="Calculation 9 2 2 7 2" xfId="13056"/>
    <cellStyle name="Calculation 9 2 2 7 2 2" xfId="26362"/>
    <cellStyle name="Calculation 9 2 2 7 3" xfId="17466"/>
    <cellStyle name="Calculation 9 2 2 7 3 2" xfId="30772"/>
    <cellStyle name="Calculation 9 2 2 7 4" xfId="21952"/>
    <cellStyle name="Calculation 9 2 2 7_Table" xfId="5622"/>
    <cellStyle name="Calculation 9 2 2 8" xfId="3953"/>
    <cellStyle name="Calculation 9 2 2 8 2" xfId="13281"/>
    <cellStyle name="Calculation 9 2 2 8 2 2" xfId="26587"/>
    <cellStyle name="Calculation 9 2 2 8 3" xfId="17691"/>
    <cellStyle name="Calculation 9 2 2 8 3 2" xfId="30997"/>
    <cellStyle name="Calculation 9 2 2 8 4" xfId="22177"/>
    <cellStyle name="Calculation 9 2 2 8_Table" xfId="5623"/>
    <cellStyle name="Calculation 9 2 2 9" xfId="4314"/>
    <cellStyle name="Calculation 9 2 2 9 2" xfId="13642"/>
    <cellStyle name="Calculation 9 2 2 9 2 2" xfId="26948"/>
    <cellStyle name="Calculation 9 2 2 9 3" xfId="18052"/>
    <cellStyle name="Calculation 9 2 2 9 3 2" xfId="31358"/>
    <cellStyle name="Calculation 9 2 2 9 4" xfId="22538"/>
    <cellStyle name="Calculation 9 2 2 9_Table" xfId="5624"/>
    <cellStyle name="Calculation 9 2 2_Table" xfId="5615"/>
    <cellStyle name="Calculation 9 2 3" xfId="1012"/>
    <cellStyle name="Calculation 9 2 3 2" xfId="10340"/>
    <cellStyle name="Calculation 9 2 3 2 2" xfId="23646"/>
    <cellStyle name="Calculation 9 2 3 3" xfId="14750"/>
    <cellStyle name="Calculation 9 2 3 3 2" xfId="28056"/>
    <cellStyle name="Calculation 9 2 3 4" xfId="19236"/>
    <cellStyle name="Calculation 9 2 3_Table" xfId="5625"/>
    <cellStyle name="Calculation 9 2 4" xfId="1435"/>
    <cellStyle name="Calculation 9 2 4 2" xfId="10763"/>
    <cellStyle name="Calculation 9 2 4 2 2" xfId="24069"/>
    <cellStyle name="Calculation 9 2 4 3" xfId="15173"/>
    <cellStyle name="Calculation 9 2 4 3 2" xfId="28479"/>
    <cellStyle name="Calculation 9 2 4 4" xfId="19659"/>
    <cellStyle name="Calculation 9 2 4_Table" xfId="5626"/>
    <cellStyle name="Calculation 9 2 5" xfId="1737"/>
    <cellStyle name="Calculation 9 2 5 2" xfId="11065"/>
    <cellStyle name="Calculation 9 2 5 2 2" xfId="24371"/>
    <cellStyle name="Calculation 9 2 5 3" xfId="15475"/>
    <cellStyle name="Calculation 9 2 5 3 2" xfId="28781"/>
    <cellStyle name="Calculation 9 2 5 4" xfId="19961"/>
    <cellStyle name="Calculation 9 2 5_Table" xfId="5627"/>
    <cellStyle name="Calculation 9 2 6" xfId="2171"/>
    <cellStyle name="Calculation 9 2 6 2" xfId="11499"/>
    <cellStyle name="Calculation 9 2 6 2 2" xfId="24805"/>
    <cellStyle name="Calculation 9 2 6 3" xfId="15909"/>
    <cellStyle name="Calculation 9 2 6 3 2" xfId="29215"/>
    <cellStyle name="Calculation 9 2 6 4" xfId="20395"/>
    <cellStyle name="Calculation 9 2 6_Table" xfId="5628"/>
    <cellStyle name="Calculation 9 2 7" xfId="2604"/>
    <cellStyle name="Calculation 9 2 7 2" xfId="11932"/>
    <cellStyle name="Calculation 9 2 7 2 2" xfId="25238"/>
    <cellStyle name="Calculation 9 2 7 3" xfId="16342"/>
    <cellStyle name="Calculation 9 2 7 3 2" xfId="29648"/>
    <cellStyle name="Calculation 9 2 7 4" xfId="20828"/>
    <cellStyle name="Calculation 9 2 7_Table" xfId="5629"/>
    <cellStyle name="Calculation 9 2 8" xfId="2237"/>
    <cellStyle name="Calculation 9 2 8 2" xfId="11565"/>
    <cellStyle name="Calculation 9 2 8 2 2" xfId="24871"/>
    <cellStyle name="Calculation 9 2 8 3" xfId="15975"/>
    <cellStyle name="Calculation 9 2 8 3 2" xfId="29281"/>
    <cellStyle name="Calculation 9 2 8 4" xfId="20461"/>
    <cellStyle name="Calculation 9 2 8_Table" xfId="5630"/>
    <cellStyle name="Calculation 9 2 9" xfId="2902"/>
    <cellStyle name="Calculation 9 2 9 2" xfId="12230"/>
    <cellStyle name="Calculation 9 2 9 2 2" xfId="25536"/>
    <cellStyle name="Calculation 9 2 9 3" xfId="16640"/>
    <cellStyle name="Calculation 9 2 9 3 2" xfId="29946"/>
    <cellStyle name="Calculation 9 2 9 4" xfId="21126"/>
    <cellStyle name="Calculation 9 2 9_Table" xfId="5631"/>
    <cellStyle name="Calculation 9 2_Table" xfId="5613"/>
    <cellStyle name="Calculation 9 3" xfId="468"/>
    <cellStyle name="Calculation 9 3 10" xfId="4495"/>
    <cellStyle name="Calculation 9 3 10 2" xfId="13823"/>
    <cellStyle name="Calculation 9 3 10 2 2" xfId="27129"/>
    <cellStyle name="Calculation 9 3 10 3" xfId="18233"/>
    <cellStyle name="Calculation 9 3 10 3 2" xfId="31539"/>
    <cellStyle name="Calculation 9 3 10 4" xfId="22719"/>
    <cellStyle name="Calculation 9 3 10_Table" xfId="5633"/>
    <cellStyle name="Calculation 9 3 11" xfId="9796"/>
    <cellStyle name="Calculation 9 3 11 2" xfId="23169"/>
    <cellStyle name="Calculation 9 3 12" xfId="14273"/>
    <cellStyle name="Calculation 9 3 12 2" xfId="27579"/>
    <cellStyle name="Calculation 9 3 13" xfId="18759"/>
    <cellStyle name="Calculation 9 3 2" xfId="760"/>
    <cellStyle name="Calculation 9 3 2 10" xfId="4720"/>
    <cellStyle name="Calculation 9 3 2 10 2" xfId="14048"/>
    <cellStyle name="Calculation 9 3 2 10 2 2" xfId="27354"/>
    <cellStyle name="Calculation 9 3 2 10 3" xfId="18458"/>
    <cellStyle name="Calculation 9 3 2 10 3 2" xfId="31764"/>
    <cellStyle name="Calculation 9 3 2 10 4" xfId="22944"/>
    <cellStyle name="Calculation 9 3 2 10_Table" xfId="5635"/>
    <cellStyle name="Calculation 9 3 2 11" xfId="10088"/>
    <cellStyle name="Calculation 9 3 2 11 2" xfId="23394"/>
    <cellStyle name="Calculation 9 3 2 12" xfId="14498"/>
    <cellStyle name="Calculation 9 3 2 12 2" xfId="27804"/>
    <cellStyle name="Calculation 9 3 2 13" xfId="18984"/>
    <cellStyle name="Calculation 9 3 2 2" xfId="1546"/>
    <cellStyle name="Calculation 9 3 2 2 2" xfId="10874"/>
    <cellStyle name="Calculation 9 3 2 2 2 2" xfId="24180"/>
    <cellStyle name="Calculation 9 3 2 2 3" xfId="15284"/>
    <cellStyle name="Calculation 9 3 2 2 3 2" xfId="28590"/>
    <cellStyle name="Calculation 9 3 2 2 4" xfId="19770"/>
    <cellStyle name="Calculation 9 3 2 2_Table" xfId="5636"/>
    <cellStyle name="Calculation 9 3 2 3" xfId="1906"/>
    <cellStyle name="Calculation 9 3 2 3 2" xfId="11234"/>
    <cellStyle name="Calculation 9 3 2 3 2 2" xfId="24540"/>
    <cellStyle name="Calculation 9 3 2 3 3" xfId="15644"/>
    <cellStyle name="Calculation 9 3 2 3 3 2" xfId="28950"/>
    <cellStyle name="Calculation 9 3 2 3 4" xfId="20130"/>
    <cellStyle name="Calculation 9 3 2 3_Table" xfId="5637"/>
    <cellStyle name="Calculation 9 3 2 4" xfId="2336"/>
    <cellStyle name="Calculation 9 3 2 4 2" xfId="11664"/>
    <cellStyle name="Calculation 9 3 2 4 2 2" xfId="24970"/>
    <cellStyle name="Calculation 9 3 2 4 3" xfId="16074"/>
    <cellStyle name="Calculation 9 3 2 4 3 2" xfId="29380"/>
    <cellStyle name="Calculation 9 3 2 4 4" xfId="20560"/>
    <cellStyle name="Calculation 9 3 2 4_Table" xfId="5638"/>
    <cellStyle name="Calculation 9 3 2 5" xfId="2774"/>
    <cellStyle name="Calculation 9 3 2 5 2" xfId="12102"/>
    <cellStyle name="Calculation 9 3 2 5 2 2" xfId="25408"/>
    <cellStyle name="Calculation 9 3 2 5 3" xfId="16512"/>
    <cellStyle name="Calculation 9 3 2 5 3 2" xfId="29818"/>
    <cellStyle name="Calculation 9 3 2 5 4" xfId="20998"/>
    <cellStyle name="Calculation 9 3 2 5_Table" xfId="5639"/>
    <cellStyle name="Calculation 9 3 2 6" xfId="3181"/>
    <cellStyle name="Calculation 9 3 2 6 2" xfId="12509"/>
    <cellStyle name="Calculation 9 3 2 6 2 2" xfId="25815"/>
    <cellStyle name="Calculation 9 3 2 6 3" xfId="16919"/>
    <cellStyle name="Calculation 9 3 2 6 3 2" xfId="30225"/>
    <cellStyle name="Calculation 9 3 2 6 4" xfId="21405"/>
    <cellStyle name="Calculation 9 3 2 6_Table" xfId="5640"/>
    <cellStyle name="Calculation 9 3 2 7" xfId="3773"/>
    <cellStyle name="Calculation 9 3 2 7 2" xfId="13101"/>
    <cellStyle name="Calculation 9 3 2 7 2 2" xfId="26407"/>
    <cellStyle name="Calculation 9 3 2 7 3" xfId="17511"/>
    <cellStyle name="Calculation 9 3 2 7 3 2" xfId="30817"/>
    <cellStyle name="Calculation 9 3 2 7 4" xfId="21997"/>
    <cellStyle name="Calculation 9 3 2 7_Table" xfId="5641"/>
    <cellStyle name="Calculation 9 3 2 8" xfId="3998"/>
    <cellStyle name="Calculation 9 3 2 8 2" xfId="13326"/>
    <cellStyle name="Calculation 9 3 2 8 2 2" xfId="26632"/>
    <cellStyle name="Calculation 9 3 2 8 3" xfId="17736"/>
    <cellStyle name="Calculation 9 3 2 8 3 2" xfId="31042"/>
    <cellStyle name="Calculation 9 3 2 8 4" xfId="22222"/>
    <cellStyle name="Calculation 9 3 2 8_Table" xfId="5642"/>
    <cellStyle name="Calculation 9 3 2 9" xfId="4359"/>
    <cellStyle name="Calculation 9 3 2 9 2" xfId="13687"/>
    <cellStyle name="Calculation 9 3 2 9 2 2" xfId="26993"/>
    <cellStyle name="Calculation 9 3 2 9 3" xfId="18097"/>
    <cellStyle name="Calculation 9 3 2 9 3 2" xfId="31403"/>
    <cellStyle name="Calculation 9 3 2 9 4" xfId="22583"/>
    <cellStyle name="Calculation 9 3 2 9_Table" xfId="5643"/>
    <cellStyle name="Calculation 9 3 2_Table" xfId="5634"/>
    <cellStyle name="Calculation 9 3 3" xfId="946"/>
    <cellStyle name="Calculation 9 3 3 2" xfId="10274"/>
    <cellStyle name="Calculation 9 3 3 2 2" xfId="23580"/>
    <cellStyle name="Calculation 9 3 3 3" xfId="14684"/>
    <cellStyle name="Calculation 9 3 3 3 2" xfId="27990"/>
    <cellStyle name="Calculation 9 3 3 4" xfId="19170"/>
    <cellStyle name="Calculation 9 3 3_Table" xfId="5644"/>
    <cellStyle name="Calculation 9 3 4" xfId="2059"/>
    <cellStyle name="Calculation 9 3 4 2" xfId="11387"/>
    <cellStyle name="Calculation 9 3 4 2 2" xfId="24693"/>
    <cellStyle name="Calculation 9 3 4 3" xfId="15797"/>
    <cellStyle name="Calculation 9 3 4 3 2" xfId="29103"/>
    <cellStyle name="Calculation 9 3 4 4" xfId="20283"/>
    <cellStyle name="Calculation 9 3 4_Table" xfId="5645"/>
    <cellStyle name="Calculation 9 3 5" xfId="2491"/>
    <cellStyle name="Calculation 9 3 5 2" xfId="11819"/>
    <cellStyle name="Calculation 9 3 5 2 2" xfId="25125"/>
    <cellStyle name="Calculation 9 3 5 3" xfId="16229"/>
    <cellStyle name="Calculation 9 3 5 3 2" xfId="29535"/>
    <cellStyle name="Calculation 9 3 5 4" xfId="20715"/>
    <cellStyle name="Calculation 9 3 5_Table" xfId="5646"/>
    <cellStyle name="Calculation 9 3 6" xfId="2920"/>
    <cellStyle name="Calculation 9 3 6 2" xfId="12248"/>
    <cellStyle name="Calculation 9 3 6 2 2" xfId="25554"/>
    <cellStyle name="Calculation 9 3 6 3" xfId="16658"/>
    <cellStyle name="Calculation 9 3 6 3 2" xfId="29964"/>
    <cellStyle name="Calculation 9 3 6 4" xfId="21144"/>
    <cellStyle name="Calculation 9 3 6_Table" xfId="5647"/>
    <cellStyle name="Calculation 9 3 7" xfId="3332"/>
    <cellStyle name="Calculation 9 3 7 2" xfId="12660"/>
    <cellStyle name="Calculation 9 3 7 2 2" xfId="25966"/>
    <cellStyle name="Calculation 9 3 7 3" xfId="17070"/>
    <cellStyle name="Calculation 9 3 7 3 2" xfId="30376"/>
    <cellStyle name="Calculation 9 3 7 4" xfId="21556"/>
    <cellStyle name="Calculation 9 3 7_Table" xfId="5648"/>
    <cellStyle name="Calculation 9 3 8" xfId="3429"/>
    <cellStyle name="Calculation 9 3 8 2" xfId="12757"/>
    <cellStyle name="Calculation 9 3 8 2 2" xfId="26063"/>
    <cellStyle name="Calculation 9 3 8 3" xfId="17167"/>
    <cellStyle name="Calculation 9 3 8 3 2" xfId="30473"/>
    <cellStyle name="Calculation 9 3 8 4" xfId="21653"/>
    <cellStyle name="Calculation 9 3 8_Table" xfId="5649"/>
    <cellStyle name="Calculation 9 3 9" xfId="4134"/>
    <cellStyle name="Calculation 9 3 9 2" xfId="13462"/>
    <cellStyle name="Calculation 9 3 9 2 2" xfId="26768"/>
    <cellStyle name="Calculation 9 3 9 3" xfId="17872"/>
    <cellStyle name="Calculation 9 3 9 3 2" xfId="31178"/>
    <cellStyle name="Calculation 9 3 9 4" xfId="22358"/>
    <cellStyle name="Calculation 9 3 9_Table" xfId="5650"/>
    <cellStyle name="Calculation 9 3_Table" xfId="5632"/>
    <cellStyle name="Calculation 9 4" xfId="532"/>
    <cellStyle name="Calculation 9 4 10" xfId="4540"/>
    <cellStyle name="Calculation 9 4 10 2" xfId="13868"/>
    <cellStyle name="Calculation 9 4 10 2 2" xfId="27174"/>
    <cellStyle name="Calculation 9 4 10 3" xfId="18278"/>
    <cellStyle name="Calculation 9 4 10 3 2" xfId="31584"/>
    <cellStyle name="Calculation 9 4 10 4" xfId="22764"/>
    <cellStyle name="Calculation 9 4 10_Table" xfId="5652"/>
    <cellStyle name="Calculation 9 4 11" xfId="9860"/>
    <cellStyle name="Calculation 9 4 11 2" xfId="23214"/>
    <cellStyle name="Calculation 9 4 12" xfId="14318"/>
    <cellStyle name="Calculation 9 4 12 2" xfId="27624"/>
    <cellStyle name="Calculation 9 4 13" xfId="18804"/>
    <cellStyle name="Calculation 9 4 2" xfId="805"/>
    <cellStyle name="Calculation 9 4 2 10" xfId="4765"/>
    <cellStyle name="Calculation 9 4 2 10 2" xfId="14093"/>
    <cellStyle name="Calculation 9 4 2 10 2 2" xfId="27399"/>
    <cellStyle name="Calculation 9 4 2 10 3" xfId="18503"/>
    <cellStyle name="Calculation 9 4 2 10 3 2" xfId="31809"/>
    <cellStyle name="Calculation 9 4 2 10 4" xfId="22989"/>
    <cellStyle name="Calculation 9 4 2 10_Table" xfId="5654"/>
    <cellStyle name="Calculation 9 4 2 11" xfId="10133"/>
    <cellStyle name="Calculation 9 4 2 11 2" xfId="23439"/>
    <cellStyle name="Calculation 9 4 2 12" xfId="14543"/>
    <cellStyle name="Calculation 9 4 2 12 2" xfId="27849"/>
    <cellStyle name="Calculation 9 4 2 13" xfId="19029"/>
    <cellStyle name="Calculation 9 4 2 2" xfId="1591"/>
    <cellStyle name="Calculation 9 4 2 2 2" xfId="10919"/>
    <cellStyle name="Calculation 9 4 2 2 2 2" xfId="24225"/>
    <cellStyle name="Calculation 9 4 2 2 3" xfId="15329"/>
    <cellStyle name="Calculation 9 4 2 2 3 2" xfId="28635"/>
    <cellStyle name="Calculation 9 4 2 2 4" xfId="19815"/>
    <cellStyle name="Calculation 9 4 2 2_Table" xfId="5655"/>
    <cellStyle name="Calculation 9 4 2 3" xfId="1951"/>
    <cellStyle name="Calculation 9 4 2 3 2" xfId="11279"/>
    <cellStyle name="Calculation 9 4 2 3 2 2" xfId="24585"/>
    <cellStyle name="Calculation 9 4 2 3 3" xfId="15689"/>
    <cellStyle name="Calculation 9 4 2 3 3 2" xfId="28995"/>
    <cellStyle name="Calculation 9 4 2 3 4" xfId="20175"/>
    <cellStyle name="Calculation 9 4 2 3_Table" xfId="5656"/>
    <cellStyle name="Calculation 9 4 2 4" xfId="2381"/>
    <cellStyle name="Calculation 9 4 2 4 2" xfId="11709"/>
    <cellStyle name="Calculation 9 4 2 4 2 2" xfId="25015"/>
    <cellStyle name="Calculation 9 4 2 4 3" xfId="16119"/>
    <cellStyle name="Calculation 9 4 2 4 3 2" xfId="29425"/>
    <cellStyle name="Calculation 9 4 2 4 4" xfId="20605"/>
    <cellStyle name="Calculation 9 4 2 4_Table" xfId="5657"/>
    <cellStyle name="Calculation 9 4 2 5" xfId="2819"/>
    <cellStyle name="Calculation 9 4 2 5 2" xfId="12147"/>
    <cellStyle name="Calculation 9 4 2 5 2 2" xfId="25453"/>
    <cellStyle name="Calculation 9 4 2 5 3" xfId="16557"/>
    <cellStyle name="Calculation 9 4 2 5 3 2" xfId="29863"/>
    <cellStyle name="Calculation 9 4 2 5 4" xfId="21043"/>
    <cellStyle name="Calculation 9 4 2 5_Table" xfId="5658"/>
    <cellStyle name="Calculation 9 4 2 6" xfId="3226"/>
    <cellStyle name="Calculation 9 4 2 6 2" xfId="12554"/>
    <cellStyle name="Calculation 9 4 2 6 2 2" xfId="25860"/>
    <cellStyle name="Calculation 9 4 2 6 3" xfId="16964"/>
    <cellStyle name="Calculation 9 4 2 6 3 2" xfId="30270"/>
    <cellStyle name="Calculation 9 4 2 6 4" xfId="21450"/>
    <cellStyle name="Calculation 9 4 2 6_Table" xfId="5659"/>
    <cellStyle name="Calculation 9 4 2 7" xfId="3818"/>
    <cellStyle name="Calculation 9 4 2 7 2" xfId="13146"/>
    <cellStyle name="Calculation 9 4 2 7 2 2" xfId="26452"/>
    <cellStyle name="Calculation 9 4 2 7 3" xfId="17556"/>
    <cellStyle name="Calculation 9 4 2 7 3 2" xfId="30862"/>
    <cellStyle name="Calculation 9 4 2 7 4" xfId="22042"/>
    <cellStyle name="Calculation 9 4 2 7_Table" xfId="5660"/>
    <cellStyle name="Calculation 9 4 2 8" xfId="4043"/>
    <cellStyle name="Calculation 9 4 2 8 2" xfId="13371"/>
    <cellStyle name="Calculation 9 4 2 8 2 2" xfId="26677"/>
    <cellStyle name="Calculation 9 4 2 8 3" xfId="17781"/>
    <cellStyle name="Calculation 9 4 2 8 3 2" xfId="31087"/>
    <cellStyle name="Calculation 9 4 2 8 4" xfId="22267"/>
    <cellStyle name="Calculation 9 4 2 8_Table" xfId="5661"/>
    <cellStyle name="Calculation 9 4 2 9" xfId="4404"/>
    <cellStyle name="Calculation 9 4 2 9 2" xfId="13732"/>
    <cellStyle name="Calculation 9 4 2 9 2 2" xfId="27038"/>
    <cellStyle name="Calculation 9 4 2 9 3" xfId="18142"/>
    <cellStyle name="Calculation 9 4 2 9 3 2" xfId="31448"/>
    <cellStyle name="Calculation 9 4 2 9 4" xfId="22628"/>
    <cellStyle name="Calculation 9 4 2 9_Table" xfId="5662"/>
    <cellStyle name="Calculation 9 4 2_Table" xfId="5653"/>
    <cellStyle name="Calculation 9 4 3" xfId="1684"/>
    <cellStyle name="Calculation 9 4 3 2" xfId="11012"/>
    <cellStyle name="Calculation 9 4 3 2 2" xfId="24318"/>
    <cellStyle name="Calculation 9 4 3 3" xfId="15422"/>
    <cellStyle name="Calculation 9 4 3 3 2" xfId="28728"/>
    <cellStyle name="Calculation 9 4 3 4" xfId="19908"/>
    <cellStyle name="Calculation 9 4 3_Table" xfId="5663"/>
    <cellStyle name="Calculation 9 4 4" xfId="2118"/>
    <cellStyle name="Calculation 9 4 4 2" xfId="11446"/>
    <cellStyle name="Calculation 9 4 4 2 2" xfId="24752"/>
    <cellStyle name="Calculation 9 4 4 3" xfId="15856"/>
    <cellStyle name="Calculation 9 4 4 3 2" xfId="29162"/>
    <cellStyle name="Calculation 9 4 4 4" xfId="20342"/>
    <cellStyle name="Calculation 9 4 4_Table" xfId="5664"/>
    <cellStyle name="Calculation 9 4 5" xfId="2550"/>
    <cellStyle name="Calculation 9 4 5 2" xfId="11878"/>
    <cellStyle name="Calculation 9 4 5 2 2" xfId="25184"/>
    <cellStyle name="Calculation 9 4 5 3" xfId="16288"/>
    <cellStyle name="Calculation 9 4 5 3 2" xfId="29594"/>
    <cellStyle name="Calculation 9 4 5 4" xfId="20774"/>
    <cellStyle name="Calculation 9 4 5_Table" xfId="5665"/>
    <cellStyle name="Calculation 9 4 6" xfId="2977"/>
    <cellStyle name="Calculation 9 4 6 2" xfId="12305"/>
    <cellStyle name="Calculation 9 4 6 2 2" xfId="25611"/>
    <cellStyle name="Calculation 9 4 6 3" xfId="16715"/>
    <cellStyle name="Calculation 9 4 6 3 2" xfId="30021"/>
    <cellStyle name="Calculation 9 4 6 4" xfId="21201"/>
    <cellStyle name="Calculation 9 4 6_Table" xfId="5666"/>
    <cellStyle name="Calculation 9 4 7" xfId="3390"/>
    <cellStyle name="Calculation 9 4 7 2" xfId="12718"/>
    <cellStyle name="Calculation 9 4 7 2 2" xfId="26024"/>
    <cellStyle name="Calculation 9 4 7 3" xfId="17128"/>
    <cellStyle name="Calculation 9 4 7 3 2" xfId="30434"/>
    <cellStyle name="Calculation 9 4 7 4" xfId="21614"/>
    <cellStyle name="Calculation 9 4 7_Table" xfId="5667"/>
    <cellStyle name="Calculation 9 4 8" xfId="3592"/>
    <cellStyle name="Calculation 9 4 8 2" xfId="12920"/>
    <cellStyle name="Calculation 9 4 8 2 2" xfId="26226"/>
    <cellStyle name="Calculation 9 4 8 3" xfId="17330"/>
    <cellStyle name="Calculation 9 4 8 3 2" xfId="30636"/>
    <cellStyle name="Calculation 9 4 8 4" xfId="21816"/>
    <cellStyle name="Calculation 9 4 8_Table" xfId="5668"/>
    <cellStyle name="Calculation 9 4 9" xfId="4179"/>
    <cellStyle name="Calculation 9 4 9 2" xfId="13507"/>
    <cellStyle name="Calculation 9 4 9 2 2" xfId="26813"/>
    <cellStyle name="Calculation 9 4 9 3" xfId="17917"/>
    <cellStyle name="Calculation 9 4 9 3 2" xfId="31223"/>
    <cellStyle name="Calculation 9 4 9 4" xfId="22403"/>
    <cellStyle name="Calculation 9 4 9_Table" xfId="5669"/>
    <cellStyle name="Calculation 9 4_Table" xfId="5651"/>
    <cellStyle name="Calculation 9 5" xfId="607"/>
    <cellStyle name="Calculation 9 5 10" xfId="4585"/>
    <cellStyle name="Calculation 9 5 10 2" xfId="13913"/>
    <cellStyle name="Calculation 9 5 10 2 2" xfId="27219"/>
    <cellStyle name="Calculation 9 5 10 3" xfId="18323"/>
    <cellStyle name="Calculation 9 5 10 3 2" xfId="31629"/>
    <cellStyle name="Calculation 9 5 10 4" xfId="22809"/>
    <cellStyle name="Calculation 9 5 10_Table" xfId="5671"/>
    <cellStyle name="Calculation 9 5 11" xfId="9935"/>
    <cellStyle name="Calculation 9 5 11 2" xfId="23259"/>
    <cellStyle name="Calculation 9 5 12" xfId="14363"/>
    <cellStyle name="Calculation 9 5 12 2" xfId="27669"/>
    <cellStyle name="Calculation 9 5 13" xfId="18849"/>
    <cellStyle name="Calculation 9 5 2" xfId="850"/>
    <cellStyle name="Calculation 9 5 2 10" xfId="4810"/>
    <cellStyle name="Calculation 9 5 2 10 2" xfId="14138"/>
    <cellStyle name="Calculation 9 5 2 10 2 2" xfId="27444"/>
    <cellStyle name="Calculation 9 5 2 10 3" xfId="18548"/>
    <cellStyle name="Calculation 9 5 2 10 3 2" xfId="31854"/>
    <cellStyle name="Calculation 9 5 2 10 4" xfId="23034"/>
    <cellStyle name="Calculation 9 5 2 10_Table" xfId="5673"/>
    <cellStyle name="Calculation 9 5 2 11" xfId="10178"/>
    <cellStyle name="Calculation 9 5 2 11 2" xfId="23484"/>
    <cellStyle name="Calculation 9 5 2 12" xfId="14588"/>
    <cellStyle name="Calculation 9 5 2 12 2" xfId="27894"/>
    <cellStyle name="Calculation 9 5 2 13" xfId="19074"/>
    <cellStyle name="Calculation 9 5 2 2" xfId="1636"/>
    <cellStyle name="Calculation 9 5 2 2 2" xfId="10964"/>
    <cellStyle name="Calculation 9 5 2 2 2 2" xfId="24270"/>
    <cellStyle name="Calculation 9 5 2 2 3" xfId="15374"/>
    <cellStyle name="Calculation 9 5 2 2 3 2" xfId="28680"/>
    <cellStyle name="Calculation 9 5 2 2 4" xfId="19860"/>
    <cellStyle name="Calculation 9 5 2 2_Table" xfId="5674"/>
    <cellStyle name="Calculation 9 5 2 3" xfId="1996"/>
    <cellStyle name="Calculation 9 5 2 3 2" xfId="11324"/>
    <cellStyle name="Calculation 9 5 2 3 2 2" xfId="24630"/>
    <cellStyle name="Calculation 9 5 2 3 3" xfId="15734"/>
    <cellStyle name="Calculation 9 5 2 3 3 2" xfId="29040"/>
    <cellStyle name="Calculation 9 5 2 3 4" xfId="20220"/>
    <cellStyle name="Calculation 9 5 2 3_Table" xfId="5675"/>
    <cellStyle name="Calculation 9 5 2 4" xfId="2426"/>
    <cellStyle name="Calculation 9 5 2 4 2" xfId="11754"/>
    <cellStyle name="Calculation 9 5 2 4 2 2" xfId="25060"/>
    <cellStyle name="Calculation 9 5 2 4 3" xfId="16164"/>
    <cellStyle name="Calculation 9 5 2 4 3 2" xfId="29470"/>
    <cellStyle name="Calculation 9 5 2 4 4" xfId="20650"/>
    <cellStyle name="Calculation 9 5 2 4_Table" xfId="5676"/>
    <cellStyle name="Calculation 9 5 2 5" xfId="2864"/>
    <cellStyle name="Calculation 9 5 2 5 2" xfId="12192"/>
    <cellStyle name="Calculation 9 5 2 5 2 2" xfId="25498"/>
    <cellStyle name="Calculation 9 5 2 5 3" xfId="16602"/>
    <cellStyle name="Calculation 9 5 2 5 3 2" xfId="29908"/>
    <cellStyle name="Calculation 9 5 2 5 4" xfId="21088"/>
    <cellStyle name="Calculation 9 5 2 5_Table" xfId="5677"/>
    <cellStyle name="Calculation 9 5 2 6" xfId="3271"/>
    <cellStyle name="Calculation 9 5 2 6 2" xfId="12599"/>
    <cellStyle name="Calculation 9 5 2 6 2 2" xfId="25905"/>
    <cellStyle name="Calculation 9 5 2 6 3" xfId="17009"/>
    <cellStyle name="Calculation 9 5 2 6 3 2" xfId="30315"/>
    <cellStyle name="Calculation 9 5 2 6 4" xfId="21495"/>
    <cellStyle name="Calculation 9 5 2 6_Table" xfId="5678"/>
    <cellStyle name="Calculation 9 5 2 7" xfId="3863"/>
    <cellStyle name="Calculation 9 5 2 7 2" xfId="13191"/>
    <cellStyle name="Calculation 9 5 2 7 2 2" xfId="26497"/>
    <cellStyle name="Calculation 9 5 2 7 3" xfId="17601"/>
    <cellStyle name="Calculation 9 5 2 7 3 2" xfId="30907"/>
    <cellStyle name="Calculation 9 5 2 7 4" xfId="22087"/>
    <cellStyle name="Calculation 9 5 2 7_Table" xfId="5679"/>
    <cellStyle name="Calculation 9 5 2 8" xfId="4088"/>
    <cellStyle name="Calculation 9 5 2 8 2" xfId="13416"/>
    <cellStyle name="Calculation 9 5 2 8 2 2" xfId="26722"/>
    <cellStyle name="Calculation 9 5 2 8 3" xfId="17826"/>
    <cellStyle name="Calculation 9 5 2 8 3 2" xfId="31132"/>
    <cellStyle name="Calculation 9 5 2 8 4" xfId="22312"/>
    <cellStyle name="Calculation 9 5 2 8_Table" xfId="5680"/>
    <cellStyle name="Calculation 9 5 2 9" xfId="4449"/>
    <cellStyle name="Calculation 9 5 2 9 2" xfId="13777"/>
    <cellStyle name="Calculation 9 5 2 9 2 2" xfId="27083"/>
    <cellStyle name="Calculation 9 5 2 9 3" xfId="18187"/>
    <cellStyle name="Calculation 9 5 2 9 3 2" xfId="31493"/>
    <cellStyle name="Calculation 9 5 2 9 4" xfId="22673"/>
    <cellStyle name="Calculation 9 5 2 9_Table" xfId="5681"/>
    <cellStyle name="Calculation 9 5 2_Table" xfId="5672"/>
    <cellStyle name="Calculation 9 5 3" xfId="1754"/>
    <cellStyle name="Calculation 9 5 3 2" xfId="11082"/>
    <cellStyle name="Calculation 9 5 3 2 2" xfId="24388"/>
    <cellStyle name="Calculation 9 5 3 3" xfId="15492"/>
    <cellStyle name="Calculation 9 5 3 3 2" xfId="28798"/>
    <cellStyle name="Calculation 9 5 3 4" xfId="19978"/>
    <cellStyle name="Calculation 9 5 3_Table" xfId="5682"/>
    <cellStyle name="Calculation 9 5 4" xfId="2187"/>
    <cellStyle name="Calculation 9 5 4 2" xfId="11515"/>
    <cellStyle name="Calculation 9 5 4 2 2" xfId="24821"/>
    <cellStyle name="Calculation 9 5 4 3" xfId="15925"/>
    <cellStyle name="Calculation 9 5 4 3 2" xfId="29231"/>
    <cellStyle name="Calculation 9 5 4 4" xfId="20411"/>
    <cellStyle name="Calculation 9 5 4_Table" xfId="5683"/>
    <cellStyle name="Calculation 9 5 5" xfId="2622"/>
    <cellStyle name="Calculation 9 5 5 2" xfId="11950"/>
    <cellStyle name="Calculation 9 5 5 2 2" xfId="25256"/>
    <cellStyle name="Calculation 9 5 5 3" xfId="16360"/>
    <cellStyle name="Calculation 9 5 5 3 2" xfId="29666"/>
    <cellStyle name="Calculation 9 5 5 4" xfId="20846"/>
    <cellStyle name="Calculation 9 5 5_Table" xfId="5684"/>
    <cellStyle name="Calculation 9 5 6" xfId="3035"/>
    <cellStyle name="Calculation 9 5 6 2" xfId="12363"/>
    <cellStyle name="Calculation 9 5 6 2 2" xfId="25669"/>
    <cellStyle name="Calculation 9 5 6 3" xfId="16773"/>
    <cellStyle name="Calculation 9 5 6 3 2" xfId="30079"/>
    <cellStyle name="Calculation 9 5 6 4" xfId="21259"/>
    <cellStyle name="Calculation 9 5 6_Table" xfId="5685"/>
    <cellStyle name="Calculation 9 5 7" xfId="3461"/>
    <cellStyle name="Calculation 9 5 7 2" xfId="12789"/>
    <cellStyle name="Calculation 9 5 7 2 2" xfId="26095"/>
    <cellStyle name="Calculation 9 5 7 3" xfId="17199"/>
    <cellStyle name="Calculation 9 5 7 3 2" xfId="30505"/>
    <cellStyle name="Calculation 9 5 7 4" xfId="21685"/>
    <cellStyle name="Calculation 9 5 7_Table" xfId="5686"/>
    <cellStyle name="Calculation 9 5 8" xfId="2605"/>
    <cellStyle name="Calculation 9 5 8 2" xfId="11933"/>
    <cellStyle name="Calculation 9 5 8 2 2" xfId="25239"/>
    <cellStyle name="Calculation 9 5 8 3" xfId="16343"/>
    <cellStyle name="Calculation 9 5 8 3 2" xfId="29649"/>
    <cellStyle name="Calculation 9 5 8 4" xfId="20829"/>
    <cellStyle name="Calculation 9 5 8_Table" xfId="5687"/>
    <cellStyle name="Calculation 9 5 9" xfId="4224"/>
    <cellStyle name="Calculation 9 5 9 2" xfId="13552"/>
    <cellStyle name="Calculation 9 5 9 2 2" xfId="26858"/>
    <cellStyle name="Calculation 9 5 9 3" xfId="17962"/>
    <cellStyle name="Calculation 9 5 9 3 2" xfId="31268"/>
    <cellStyle name="Calculation 9 5 9 4" xfId="22448"/>
    <cellStyle name="Calculation 9 5 9_Table" xfId="5688"/>
    <cellStyle name="Calculation 9 5_Table" xfId="5670"/>
    <cellStyle name="Calculation 9 6" xfId="670"/>
    <cellStyle name="Calculation 9 6 10" xfId="4630"/>
    <cellStyle name="Calculation 9 6 10 2" xfId="13958"/>
    <cellStyle name="Calculation 9 6 10 2 2" xfId="27264"/>
    <cellStyle name="Calculation 9 6 10 3" xfId="18368"/>
    <cellStyle name="Calculation 9 6 10 3 2" xfId="31674"/>
    <cellStyle name="Calculation 9 6 10 4" xfId="22854"/>
    <cellStyle name="Calculation 9 6 10_Table" xfId="5690"/>
    <cellStyle name="Calculation 9 6 11" xfId="9998"/>
    <cellStyle name="Calculation 9 6 11 2" xfId="23304"/>
    <cellStyle name="Calculation 9 6 12" xfId="14408"/>
    <cellStyle name="Calculation 9 6 12 2" xfId="27714"/>
    <cellStyle name="Calculation 9 6 13" xfId="18894"/>
    <cellStyle name="Calculation 9 6 2" xfId="1456"/>
    <cellStyle name="Calculation 9 6 2 2" xfId="10784"/>
    <cellStyle name="Calculation 9 6 2 2 2" xfId="24090"/>
    <cellStyle name="Calculation 9 6 2 3" xfId="15194"/>
    <cellStyle name="Calculation 9 6 2 3 2" xfId="28500"/>
    <cellStyle name="Calculation 9 6 2 4" xfId="19680"/>
    <cellStyle name="Calculation 9 6 2_Table" xfId="5691"/>
    <cellStyle name="Calculation 9 6 3" xfId="1816"/>
    <cellStyle name="Calculation 9 6 3 2" xfId="11144"/>
    <cellStyle name="Calculation 9 6 3 2 2" xfId="24450"/>
    <cellStyle name="Calculation 9 6 3 3" xfId="15554"/>
    <cellStyle name="Calculation 9 6 3 3 2" xfId="28860"/>
    <cellStyle name="Calculation 9 6 3 4" xfId="20040"/>
    <cellStyle name="Calculation 9 6 3_Table" xfId="5692"/>
    <cellStyle name="Calculation 9 6 4" xfId="2246"/>
    <cellStyle name="Calculation 9 6 4 2" xfId="11574"/>
    <cellStyle name="Calculation 9 6 4 2 2" xfId="24880"/>
    <cellStyle name="Calculation 9 6 4 3" xfId="15984"/>
    <cellStyle name="Calculation 9 6 4 3 2" xfId="29290"/>
    <cellStyle name="Calculation 9 6 4 4" xfId="20470"/>
    <cellStyle name="Calculation 9 6 4_Table" xfId="5693"/>
    <cellStyle name="Calculation 9 6 5" xfId="2684"/>
    <cellStyle name="Calculation 9 6 5 2" xfId="12012"/>
    <cellStyle name="Calculation 9 6 5 2 2" xfId="25318"/>
    <cellStyle name="Calculation 9 6 5 3" xfId="16422"/>
    <cellStyle name="Calculation 9 6 5 3 2" xfId="29728"/>
    <cellStyle name="Calculation 9 6 5 4" xfId="20908"/>
    <cellStyle name="Calculation 9 6 5_Table" xfId="5694"/>
    <cellStyle name="Calculation 9 6 6" xfId="3091"/>
    <cellStyle name="Calculation 9 6 6 2" xfId="12419"/>
    <cellStyle name="Calculation 9 6 6 2 2" xfId="25725"/>
    <cellStyle name="Calculation 9 6 6 3" xfId="16829"/>
    <cellStyle name="Calculation 9 6 6 3 2" xfId="30135"/>
    <cellStyle name="Calculation 9 6 6 4" xfId="21315"/>
    <cellStyle name="Calculation 9 6 6_Table" xfId="5695"/>
    <cellStyle name="Calculation 9 6 7" xfId="3683"/>
    <cellStyle name="Calculation 9 6 7 2" xfId="13011"/>
    <cellStyle name="Calculation 9 6 7 2 2" xfId="26317"/>
    <cellStyle name="Calculation 9 6 7 3" xfId="17421"/>
    <cellStyle name="Calculation 9 6 7 3 2" xfId="30727"/>
    <cellStyle name="Calculation 9 6 7 4" xfId="21907"/>
    <cellStyle name="Calculation 9 6 7_Table" xfId="5696"/>
    <cellStyle name="Calculation 9 6 8" xfId="3908"/>
    <cellStyle name="Calculation 9 6 8 2" xfId="13236"/>
    <cellStyle name="Calculation 9 6 8 2 2" xfId="26542"/>
    <cellStyle name="Calculation 9 6 8 3" xfId="17646"/>
    <cellStyle name="Calculation 9 6 8 3 2" xfId="30952"/>
    <cellStyle name="Calculation 9 6 8 4" xfId="22132"/>
    <cellStyle name="Calculation 9 6 8_Table" xfId="5697"/>
    <cellStyle name="Calculation 9 6 9" xfId="4269"/>
    <cellStyle name="Calculation 9 6 9 2" xfId="13597"/>
    <cellStyle name="Calculation 9 6 9 2 2" xfId="26903"/>
    <cellStyle name="Calculation 9 6 9 3" xfId="18007"/>
    <cellStyle name="Calculation 9 6 9 3 2" xfId="31313"/>
    <cellStyle name="Calculation 9 6 9 4" xfId="22493"/>
    <cellStyle name="Calculation 9 6 9_Table" xfId="5698"/>
    <cellStyle name="Calculation 9 6_Table" xfId="5689"/>
    <cellStyle name="Calculation 9 7" xfId="1109"/>
    <cellStyle name="Calculation 9 7 2" xfId="10437"/>
    <cellStyle name="Calculation 9 7 2 2" xfId="23743"/>
    <cellStyle name="Calculation 9 7 3" xfId="14847"/>
    <cellStyle name="Calculation 9 7 3 2" xfId="28153"/>
    <cellStyle name="Calculation 9 7 4" xfId="19333"/>
    <cellStyle name="Calculation 9 7_Table" xfId="5699"/>
    <cellStyle name="Calculation 9 8" xfId="1134"/>
    <cellStyle name="Calculation 9 8 2" xfId="10462"/>
    <cellStyle name="Calculation 9 8 2 2" xfId="23768"/>
    <cellStyle name="Calculation 9 8 3" xfId="14872"/>
    <cellStyle name="Calculation 9 8 3 2" xfId="28178"/>
    <cellStyle name="Calculation 9 8 4" xfId="19358"/>
    <cellStyle name="Calculation 9 8_Table" xfId="5700"/>
    <cellStyle name="Calculation 9 9" xfId="1104"/>
    <cellStyle name="Calculation 9 9 2" xfId="10432"/>
    <cellStyle name="Calculation 9 9 2 2" xfId="23738"/>
    <cellStyle name="Calculation 9 9 3" xfId="14842"/>
    <cellStyle name="Calculation 9 9 3 2" xfId="28148"/>
    <cellStyle name="Calculation 9 9 4" xfId="19328"/>
    <cellStyle name="Calculation 9 9_Table" xfId="5701"/>
    <cellStyle name="Calculation 9_Table" xfId="5607"/>
    <cellStyle name="Check Cell 10" xfId="244"/>
    <cellStyle name="Check Cell 10 2" xfId="9572"/>
    <cellStyle name="Check Cell 2" xfId="245"/>
    <cellStyle name="Check Cell 2 2" xfId="9573"/>
    <cellStyle name="Check Cell 3" xfId="246"/>
    <cellStyle name="Check Cell 3 2" xfId="9574"/>
    <cellStyle name="Check Cell 4" xfId="247"/>
    <cellStyle name="Check Cell 4 2" xfId="9575"/>
    <cellStyle name="Check Cell 5" xfId="248"/>
    <cellStyle name="Check Cell 5 2" xfId="9576"/>
    <cellStyle name="Check Cell 6" xfId="249"/>
    <cellStyle name="Check Cell 6 2" xfId="9577"/>
    <cellStyle name="Check Cell 7" xfId="250"/>
    <cellStyle name="Check Cell 7 2" xfId="9578"/>
    <cellStyle name="Check Cell 8" xfId="251"/>
    <cellStyle name="Check Cell 8 2" xfId="9579"/>
    <cellStyle name="Check Cell 9" xfId="252"/>
    <cellStyle name="Check Cell 9 2" xfId="9580"/>
    <cellStyle name="Explanatory Text 10" xfId="253"/>
    <cellStyle name="Explanatory Text 10 2" xfId="9581"/>
    <cellStyle name="Explanatory Text 2" xfId="254"/>
    <cellStyle name="Explanatory Text 2 2" xfId="9582"/>
    <cellStyle name="Explanatory Text 3" xfId="255"/>
    <cellStyle name="Explanatory Text 3 2" xfId="9583"/>
    <cellStyle name="Explanatory Text 4" xfId="256"/>
    <cellStyle name="Explanatory Text 4 2" xfId="9584"/>
    <cellStyle name="Explanatory Text 5" xfId="257"/>
    <cellStyle name="Explanatory Text 5 2" xfId="9585"/>
    <cellStyle name="Explanatory Text 6" xfId="258"/>
    <cellStyle name="Explanatory Text 6 2" xfId="9586"/>
    <cellStyle name="Explanatory Text 7" xfId="259"/>
    <cellStyle name="Explanatory Text 7 2" xfId="9587"/>
    <cellStyle name="Explanatory Text 8" xfId="260"/>
    <cellStyle name="Explanatory Text 8 2" xfId="9588"/>
    <cellStyle name="Explanatory Text 9" xfId="261"/>
    <cellStyle name="Explanatory Text 9 2" xfId="9589"/>
    <cellStyle name="Good 10" xfId="262"/>
    <cellStyle name="Good 10 2" xfId="9590"/>
    <cellStyle name="Good 2" xfId="263"/>
    <cellStyle name="Good 2 2" xfId="9591"/>
    <cellStyle name="Good 3" xfId="264"/>
    <cellStyle name="Good 3 2" xfId="9592"/>
    <cellStyle name="Good 4" xfId="265"/>
    <cellStyle name="Good 4 2" xfId="9593"/>
    <cellStyle name="Good 5" xfId="266"/>
    <cellStyle name="Good 5 2" xfId="9594"/>
    <cellStyle name="Good 6" xfId="267"/>
    <cellStyle name="Good 6 2" xfId="9595"/>
    <cellStyle name="Good 7" xfId="268"/>
    <cellStyle name="Good 7 2" xfId="9596"/>
    <cellStyle name="Good 8" xfId="269"/>
    <cellStyle name="Good 8 2" xfId="9597"/>
    <cellStyle name="Good 9" xfId="270"/>
    <cellStyle name="Good 9 2" xfId="9598"/>
    <cellStyle name="Heading 1 10" xfId="271"/>
    <cellStyle name="Heading 1 10 2" xfId="9599"/>
    <cellStyle name="Heading 1 2" xfId="272"/>
    <cellStyle name="Heading 1 2 2" xfId="9600"/>
    <cellStyle name="Heading 1 3" xfId="273"/>
    <cellStyle name="Heading 1 3 2" xfId="9601"/>
    <cellStyle name="Heading 1 4" xfId="274"/>
    <cellStyle name="Heading 1 4 2" xfId="9602"/>
    <cellStyle name="Heading 1 5" xfId="275"/>
    <cellStyle name="Heading 1 5 2" xfId="9603"/>
    <cellStyle name="Heading 1 6" xfId="276"/>
    <cellStyle name="Heading 1 6 2" xfId="9604"/>
    <cellStyle name="Heading 1 7" xfId="277"/>
    <cellStyle name="Heading 1 7 2" xfId="9605"/>
    <cellStyle name="Heading 1 8" xfId="278"/>
    <cellStyle name="Heading 1 8 2" xfId="9606"/>
    <cellStyle name="Heading 1 9" xfId="279"/>
    <cellStyle name="Heading 1 9 2" xfId="9607"/>
    <cellStyle name="Heading 2 10" xfId="280"/>
    <cellStyle name="Heading 2 10 2" xfId="9608"/>
    <cellStyle name="Heading 2 2" xfId="281"/>
    <cellStyle name="Heading 2 2 2" xfId="9609"/>
    <cellStyle name="Heading 2 3" xfId="282"/>
    <cellStyle name="Heading 2 3 2" xfId="9610"/>
    <cellStyle name="Heading 2 4" xfId="283"/>
    <cellStyle name="Heading 2 4 2" xfId="9611"/>
    <cellStyle name="Heading 2 5" xfId="284"/>
    <cellStyle name="Heading 2 5 2" xfId="9612"/>
    <cellStyle name="Heading 2 6" xfId="285"/>
    <cellStyle name="Heading 2 6 2" xfId="9613"/>
    <cellStyle name="Heading 2 7" xfId="286"/>
    <cellStyle name="Heading 2 7 2" xfId="9614"/>
    <cellStyle name="Heading 2 8" xfId="287"/>
    <cellStyle name="Heading 2 8 2" xfId="9615"/>
    <cellStyle name="Heading 2 9" xfId="288"/>
    <cellStyle name="Heading 2 9 2" xfId="9616"/>
    <cellStyle name="Heading 3 10" xfId="289"/>
    <cellStyle name="Heading 3 10 2" xfId="9617"/>
    <cellStyle name="Heading 3 2" xfId="290"/>
    <cellStyle name="Heading 3 2 2" xfId="9618"/>
    <cellStyle name="Heading 3 3" xfId="291"/>
    <cellStyle name="Heading 3 3 2" xfId="9619"/>
    <cellStyle name="Heading 3 4" xfId="292"/>
    <cellStyle name="Heading 3 4 2" xfId="9620"/>
    <cellStyle name="Heading 3 5" xfId="293"/>
    <cellStyle name="Heading 3 5 2" xfId="9621"/>
    <cellStyle name="Heading 3 6" xfId="294"/>
    <cellStyle name="Heading 3 6 2" xfId="9622"/>
    <cellStyle name="Heading 3 7" xfId="295"/>
    <cellStyle name="Heading 3 7 2" xfId="9623"/>
    <cellStyle name="Heading 3 8" xfId="296"/>
    <cellStyle name="Heading 3 8 2" xfId="9624"/>
    <cellStyle name="Heading 3 9" xfId="297"/>
    <cellStyle name="Heading 3 9 2" xfId="9625"/>
    <cellStyle name="Heading 4 10" xfId="298"/>
    <cellStyle name="Heading 4 10 2" xfId="9626"/>
    <cellStyle name="Heading 4 2" xfId="299"/>
    <cellStyle name="Heading 4 2 2" xfId="9627"/>
    <cellStyle name="Heading 4 3" xfId="300"/>
    <cellStyle name="Heading 4 3 2" xfId="9628"/>
    <cellStyle name="Heading 4 4" xfId="301"/>
    <cellStyle name="Heading 4 4 2" xfId="9629"/>
    <cellStyle name="Heading 4 5" xfId="302"/>
    <cellStyle name="Heading 4 5 2" xfId="9630"/>
    <cellStyle name="Heading 4 6" xfId="303"/>
    <cellStyle name="Heading 4 6 2" xfId="9631"/>
    <cellStyle name="Heading 4 7" xfId="304"/>
    <cellStyle name="Heading 4 7 2" xfId="9632"/>
    <cellStyle name="Heading 4 8" xfId="305"/>
    <cellStyle name="Heading 4 8 2" xfId="9633"/>
    <cellStyle name="Heading 4 9" xfId="306"/>
    <cellStyle name="Heading 4 9 2" xfId="9634"/>
    <cellStyle name="Heading 4 9_Table" xfId="18586"/>
    <cellStyle name="Input 10" xfId="307"/>
    <cellStyle name="Input 10 10" xfId="1326"/>
    <cellStyle name="Input 10 10 2" xfId="10654"/>
    <cellStyle name="Input 10 10 2 2" xfId="23960"/>
    <cellStyle name="Input 10 10 3" xfId="15064"/>
    <cellStyle name="Input 10 10 3 2" xfId="28370"/>
    <cellStyle name="Input 10 10 4" xfId="19550"/>
    <cellStyle name="Input 10 10_Table" xfId="5703"/>
    <cellStyle name="Input 10 11" xfId="1023"/>
    <cellStyle name="Input 10 11 2" xfId="10351"/>
    <cellStyle name="Input 10 11 2 2" xfId="23657"/>
    <cellStyle name="Input 10 11 3" xfId="14761"/>
    <cellStyle name="Input 10 11 3 2" xfId="28067"/>
    <cellStyle name="Input 10 11 4" xfId="19247"/>
    <cellStyle name="Input 10 11_Table" xfId="5704"/>
    <cellStyle name="Input 10 12" xfId="3018"/>
    <cellStyle name="Input 10 12 2" xfId="12346"/>
    <cellStyle name="Input 10 12 2 2" xfId="25652"/>
    <cellStyle name="Input 10 12 3" xfId="16756"/>
    <cellStyle name="Input 10 12 3 2" xfId="30062"/>
    <cellStyle name="Input 10 12 4" xfId="21242"/>
    <cellStyle name="Input 10 12_Table" xfId="5705"/>
    <cellStyle name="Input 10 13" xfId="3549"/>
    <cellStyle name="Input 10 13 2" xfId="12877"/>
    <cellStyle name="Input 10 13 2 2" xfId="26183"/>
    <cellStyle name="Input 10 13 3" xfId="17287"/>
    <cellStyle name="Input 10 13 3 2" xfId="30593"/>
    <cellStyle name="Input 10 13 4" xfId="21773"/>
    <cellStyle name="Input 10 13_Table" xfId="5706"/>
    <cellStyle name="Input 10 14" xfId="3647"/>
    <cellStyle name="Input 10 14 2" xfId="12975"/>
    <cellStyle name="Input 10 14 2 2" xfId="26281"/>
    <cellStyle name="Input 10 14 3" xfId="17385"/>
    <cellStyle name="Input 10 14 3 2" xfId="30691"/>
    <cellStyle name="Input 10 14 4" xfId="21871"/>
    <cellStyle name="Input 10 14_Table" xfId="5707"/>
    <cellStyle name="Input 10 15" xfId="9635"/>
    <cellStyle name="Input 10 15 2" xfId="23080"/>
    <cellStyle name="Input 10 16" xfId="14184"/>
    <cellStyle name="Input 10 16 2" xfId="27490"/>
    <cellStyle name="Input 10 17" xfId="18670"/>
    <cellStyle name="Input 10 2" xfId="401"/>
    <cellStyle name="Input 10 2 10" xfId="3594"/>
    <cellStyle name="Input 10 2 10 2" xfId="12922"/>
    <cellStyle name="Input 10 2 10 2 2" xfId="26228"/>
    <cellStyle name="Input 10 2 10 3" xfId="17332"/>
    <cellStyle name="Input 10 2 10 3 2" xfId="30638"/>
    <cellStyle name="Input 10 2 10 4" xfId="21818"/>
    <cellStyle name="Input 10 2 10_Table" xfId="5709"/>
    <cellStyle name="Input 10 2 11" xfId="9729"/>
    <cellStyle name="Input 10 2 11 2" xfId="23125"/>
    <cellStyle name="Input 10 2 12" xfId="14229"/>
    <cellStyle name="Input 10 2 12 2" xfId="27535"/>
    <cellStyle name="Input 10 2 13" xfId="18715"/>
    <cellStyle name="Input 10 2 2" xfId="716"/>
    <cellStyle name="Input 10 2 2 10" xfId="4676"/>
    <cellStyle name="Input 10 2 2 10 2" xfId="14004"/>
    <cellStyle name="Input 10 2 2 10 2 2" xfId="27310"/>
    <cellStyle name="Input 10 2 2 10 3" xfId="18414"/>
    <cellStyle name="Input 10 2 2 10 3 2" xfId="31720"/>
    <cellStyle name="Input 10 2 2 10 4" xfId="22900"/>
    <cellStyle name="Input 10 2 2 10_Table" xfId="5711"/>
    <cellStyle name="Input 10 2 2 11" xfId="10044"/>
    <cellStyle name="Input 10 2 2 11 2" xfId="23350"/>
    <cellStyle name="Input 10 2 2 12" xfId="14454"/>
    <cellStyle name="Input 10 2 2 12 2" xfId="27760"/>
    <cellStyle name="Input 10 2 2 13" xfId="18940"/>
    <cellStyle name="Input 10 2 2 2" xfId="1502"/>
    <cellStyle name="Input 10 2 2 2 2" xfId="10830"/>
    <cellStyle name="Input 10 2 2 2 2 2" xfId="24136"/>
    <cellStyle name="Input 10 2 2 2 3" xfId="15240"/>
    <cellStyle name="Input 10 2 2 2 3 2" xfId="28546"/>
    <cellStyle name="Input 10 2 2 2 4" xfId="19726"/>
    <cellStyle name="Input 10 2 2 2_Table" xfId="5712"/>
    <cellStyle name="Input 10 2 2 3" xfId="1862"/>
    <cellStyle name="Input 10 2 2 3 2" xfId="11190"/>
    <cellStyle name="Input 10 2 2 3 2 2" xfId="24496"/>
    <cellStyle name="Input 10 2 2 3 3" xfId="15600"/>
    <cellStyle name="Input 10 2 2 3 3 2" xfId="28906"/>
    <cellStyle name="Input 10 2 2 3 4" xfId="20086"/>
    <cellStyle name="Input 10 2 2 3_Table" xfId="5713"/>
    <cellStyle name="Input 10 2 2 4" xfId="2292"/>
    <cellStyle name="Input 10 2 2 4 2" xfId="11620"/>
    <cellStyle name="Input 10 2 2 4 2 2" xfId="24926"/>
    <cellStyle name="Input 10 2 2 4 3" xfId="16030"/>
    <cellStyle name="Input 10 2 2 4 3 2" xfId="29336"/>
    <cellStyle name="Input 10 2 2 4 4" xfId="20516"/>
    <cellStyle name="Input 10 2 2 4_Table" xfId="5714"/>
    <cellStyle name="Input 10 2 2 5" xfId="2730"/>
    <cellStyle name="Input 10 2 2 5 2" xfId="12058"/>
    <cellStyle name="Input 10 2 2 5 2 2" xfId="25364"/>
    <cellStyle name="Input 10 2 2 5 3" xfId="16468"/>
    <cellStyle name="Input 10 2 2 5 3 2" xfId="29774"/>
    <cellStyle name="Input 10 2 2 5 4" xfId="20954"/>
    <cellStyle name="Input 10 2 2 5_Table" xfId="5715"/>
    <cellStyle name="Input 10 2 2 6" xfId="3137"/>
    <cellStyle name="Input 10 2 2 6 2" xfId="12465"/>
    <cellStyle name="Input 10 2 2 6 2 2" xfId="25771"/>
    <cellStyle name="Input 10 2 2 6 3" xfId="16875"/>
    <cellStyle name="Input 10 2 2 6 3 2" xfId="30181"/>
    <cellStyle name="Input 10 2 2 6 4" xfId="21361"/>
    <cellStyle name="Input 10 2 2 6_Table" xfId="5716"/>
    <cellStyle name="Input 10 2 2 7" xfId="3729"/>
    <cellStyle name="Input 10 2 2 7 2" xfId="13057"/>
    <cellStyle name="Input 10 2 2 7 2 2" xfId="26363"/>
    <cellStyle name="Input 10 2 2 7 3" xfId="17467"/>
    <cellStyle name="Input 10 2 2 7 3 2" xfId="30773"/>
    <cellStyle name="Input 10 2 2 7 4" xfId="21953"/>
    <cellStyle name="Input 10 2 2 7_Table" xfId="5717"/>
    <cellStyle name="Input 10 2 2 8" xfId="3954"/>
    <cellStyle name="Input 10 2 2 8 2" xfId="13282"/>
    <cellStyle name="Input 10 2 2 8 2 2" xfId="26588"/>
    <cellStyle name="Input 10 2 2 8 3" xfId="17692"/>
    <cellStyle name="Input 10 2 2 8 3 2" xfId="30998"/>
    <cellStyle name="Input 10 2 2 8 4" xfId="22178"/>
    <cellStyle name="Input 10 2 2 8_Table" xfId="5718"/>
    <cellStyle name="Input 10 2 2 9" xfId="4315"/>
    <cellStyle name="Input 10 2 2 9 2" xfId="13643"/>
    <cellStyle name="Input 10 2 2 9 2 2" xfId="26949"/>
    <cellStyle name="Input 10 2 2 9 3" xfId="18053"/>
    <cellStyle name="Input 10 2 2 9 3 2" xfId="31359"/>
    <cellStyle name="Input 10 2 2 9 4" xfId="22539"/>
    <cellStyle name="Input 10 2 2 9_Table" xfId="5719"/>
    <cellStyle name="Input 10 2 2_Table" xfId="5710"/>
    <cellStyle name="Input 10 2 3" xfId="1011"/>
    <cellStyle name="Input 10 2 3 2" xfId="10339"/>
    <cellStyle name="Input 10 2 3 2 2" xfId="23645"/>
    <cellStyle name="Input 10 2 3 3" xfId="14749"/>
    <cellStyle name="Input 10 2 3 3 2" xfId="28055"/>
    <cellStyle name="Input 10 2 3 4" xfId="19235"/>
    <cellStyle name="Input 10 2 3_Table" xfId="5720"/>
    <cellStyle name="Input 10 2 4" xfId="1224"/>
    <cellStyle name="Input 10 2 4 2" xfId="10552"/>
    <cellStyle name="Input 10 2 4 2 2" xfId="23858"/>
    <cellStyle name="Input 10 2 4 3" xfId="14962"/>
    <cellStyle name="Input 10 2 4 3 2" xfId="28268"/>
    <cellStyle name="Input 10 2 4 4" xfId="19448"/>
    <cellStyle name="Input 10 2 4_Table" xfId="5721"/>
    <cellStyle name="Input 10 2 5" xfId="1694"/>
    <cellStyle name="Input 10 2 5 2" xfId="11022"/>
    <cellStyle name="Input 10 2 5 2 2" xfId="24328"/>
    <cellStyle name="Input 10 2 5 3" xfId="15432"/>
    <cellStyle name="Input 10 2 5 3 2" xfId="28738"/>
    <cellStyle name="Input 10 2 5 4" xfId="19918"/>
    <cellStyle name="Input 10 2 5_Table" xfId="5722"/>
    <cellStyle name="Input 10 2 6" xfId="2128"/>
    <cellStyle name="Input 10 2 6 2" xfId="11456"/>
    <cellStyle name="Input 10 2 6 2 2" xfId="24762"/>
    <cellStyle name="Input 10 2 6 3" xfId="15866"/>
    <cellStyle name="Input 10 2 6 3 2" xfId="29172"/>
    <cellStyle name="Input 10 2 6 4" xfId="20352"/>
    <cellStyle name="Input 10 2 6_Table" xfId="5723"/>
    <cellStyle name="Input 10 2 7" xfId="2560"/>
    <cellStyle name="Input 10 2 7 2" xfId="11888"/>
    <cellStyle name="Input 10 2 7 2 2" xfId="25194"/>
    <cellStyle name="Input 10 2 7 3" xfId="16298"/>
    <cellStyle name="Input 10 2 7 3 2" xfId="29604"/>
    <cellStyle name="Input 10 2 7 4" xfId="20784"/>
    <cellStyle name="Input 10 2 7_Table" xfId="5724"/>
    <cellStyle name="Input 10 2 8" xfId="1030"/>
    <cellStyle name="Input 10 2 8 2" xfId="10358"/>
    <cellStyle name="Input 10 2 8 2 2" xfId="23664"/>
    <cellStyle name="Input 10 2 8 3" xfId="14768"/>
    <cellStyle name="Input 10 2 8 3 2" xfId="28074"/>
    <cellStyle name="Input 10 2 8 4" xfId="19254"/>
    <cellStyle name="Input 10 2 8_Table" xfId="5725"/>
    <cellStyle name="Input 10 2 9" xfId="1100"/>
    <cellStyle name="Input 10 2 9 2" xfId="10428"/>
    <cellStyle name="Input 10 2 9 2 2" xfId="23734"/>
    <cellStyle name="Input 10 2 9 3" xfId="14838"/>
    <cellStyle name="Input 10 2 9 3 2" xfId="28144"/>
    <cellStyle name="Input 10 2 9 4" xfId="19324"/>
    <cellStyle name="Input 10 2 9_Table" xfId="5726"/>
    <cellStyle name="Input 10 2_Table" xfId="5708"/>
    <cellStyle name="Input 10 3" xfId="469"/>
    <cellStyle name="Input 10 3 10" xfId="4496"/>
    <cellStyle name="Input 10 3 10 2" xfId="13824"/>
    <cellStyle name="Input 10 3 10 2 2" xfId="27130"/>
    <cellStyle name="Input 10 3 10 3" xfId="18234"/>
    <cellStyle name="Input 10 3 10 3 2" xfId="31540"/>
    <cellStyle name="Input 10 3 10 4" xfId="22720"/>
    <cellStyle name="Input 10 3 10_Table" xfId="5728"/>
    <cellStyle name="Input 10 3 11" xfId="9797"/>
    <cellStyle name="Input 10 3 11 2" xfId="23170"/>
    <cellStyle name="Input 10 3 12" xfId="14274"/>
    <cellStyle name="Input 10 3 12 2" xfId="27580"/>
    <cellStyle name="Input 10 3 13" xfId="18760"/>
    <cellStyle name="Input 10 3 2" xfId="761"/>
    <cellStyle name="Input 10 3 2 10" xfId="4721"/>
    <cellStyle name="Input 10 3 2 10 2" xfId="14049"/>
    <cellStyle name="Input 10 3 2 10 2 2" xfId="27355"/>
    <cellStyle name="Input 10 3 2 10 3" xfId="18459"/>
    <cellStyle name="Input 10 3 2 10 3 2" xfId="31765"/>
    <cellStyle name="Input 10 3 2 10 4" xfId="22945"/>
    <cellStyle name="Input 10 3 2 10_Table" xfId="5730"/>
    <cellStyle name="Input 10 3 2 11" xfId="10089"/>
    <cellStyle name="Input 10 3 2 11 2" xfId="23395"/>
    <cellStyle name="Input 10 3 2 12" xfId="14499"/>
    <cellStyle name="Input 10 3 2 12 2" xfId="27805"/>
    <cellStyle name="Input 10 3 2 13" xfId="18985"/>
    <cellStyle name="Input 10 3 2 2" xfId="1547"/>
    <cellStyle name="Input 10 3 2 2 2" xfId="10875"/>
    <cellStyle name="Input 10 3 2 2 2 2" xfId="24181"/>
    <cellStyle name="Input 10 3 2 2 3" xfId="15285"/>
    <cellStyle name="Input 10 3 2 2 3 2" xfId="28591"/>
    <cellStyle name="Input 10 3 2 2 4" xfId="19771"/>
    <cellStyle name="Input 10 3 2 2_Table" xfId="5731"/>
    <cellStyle name="Input 10 3 2 3" xfId="1907"/>
    <cellStyle name="Input 10 3 2 3 2" xfId="11235"/>
    <cellStyle name="Input 10 3 2 3 2 2" xfId="24541"/>
    <cellStyle name="Input 10 3 2 3 3" xfId="15645"/>
    <cellStyle name="Input 10 3 2 3 3 2" xfId="28951"/>
    <cellStyle name="Input 10 3 2 3 4" xfId="20131"/>
    <cellStyle name="Input 10 3 2 3_Table" xfId="5732"/>
    <cellStyle name="Input 10 3 2 4" xfId="2337"/>
    <cellStyle name="Input 10 3 2 4 2" xfId="11665"/>
    <cellStyle name="Input 10 3 2 4 2 2" xfId="24971"/>
    <cellStyle name="Input 10 3 2 4 3" xfId="16075"/>
    <cellStyle name="Input 10 3 2 4 3 2" xfId="29381"/>
    <cellStyle name="Input 10 3 2 4 4" xfId="20561"/>
    <cellStyle name="Input 10 3 2 4_Table" xfId="5733"/>
    <cellStyle name="Input 10 3 2 5" xfId="2775"/>
    <cellStyle name="Input 10 3 2 5 2" xfId="12103"/>
    <cellStyle name="Input 10 3 2 5 2 2" xfId="25409"/>
    <cellStyle name="Input 10 3 2 5 3" xfId="16513"/>
    <cellStyle name="Input 10 3 2 5 3 2" xfId="29819"/>
    <cellStyle name="Input 10 3 2 5 4" xfId="20999"/>
    <cellStyle name="Input 10 3 2 5_Table" xfId="5734"/>
    <cellStyle name="Input 10 3 2 6" xfId="3182"/>
    <cellStyle name="Input 10 3 2 6 2" xfId="12510"/>
    <cellStyle name="Input 10 3 2 6 2 2" xfId="25816"/>
    <cellStyle name="Input 10 3 2 6 3" xfId="16920"/>
    <cellStyle name="Input 10 3 2 6 3 2" xfId="30226"/>
    <cellStyle name="Input 10 3 2 6 4" xfId="21406"/>
    <cellStyle name="Input 10 3 2 6_Table" xfId="5735"/>
    <cellStyle name="Input 10 3 2 7" xfId="3774"/>
    <cellStyle name="Input 10 3 2 7 2" xfId="13102"/>
    <cellStyle name="Input 10 3 2 7 2 2" xfId="26408"/>
    <cellStyle name="Input 10 3 2 7 3" xfId="17512"/>
    <cellStyle name="Input 10 3 2 7 3 2" xfId="30818"/>
    <cellStyle name="Input 10 3 2 7 4" xfId="21998"/>
    <cellStyle name="Input 10 3 2 7_Table" xfId="5736"/>
    <cellStyle name="Input 10 3 2 8" xfId="3999"/>
    <cellStyle name="Input 10 3 2 8 2" xfId="13327"/>
    <cellStyle name="Input 10 3 2 8 2 2" xfId="26633"/>
    <cellStyle name="Input 10 3 2 8 3" xfId="17737"/>
    <cellStyle name="Input 10 3 2 8 3 2" xfId="31043"/>
    <cellStyle name="Input 10 3 2 8 4" xfId="22223"/>
    <cellStyle name="Input 10 3 2 8_Table" xfId="5737"/>
    <cellStyle name="Input 10 3 2 9" xfId="4360"/>
    <cellStyle name="Input 10 3 2 9 2" xfId="13688"/>
    <cellStyle name="Input 10 3 2 9 2 2" xfId="26994"/>
    <cellStyle name="Input 10 3 2 9 3" xfId="18098"/>
    <cellStyle name="Input 10 3 2 9 3 2" xfId="31404"/>
    <cellStyle name="Input 10 3 2 9 4" xfId="22584"/>
    <cellStyle name="Input 10 3 2 9_Table" xfId="5738"/>
    <cellStyle name="Input 10 3 2_Table" xfId="5729"/>
    <cellStyle name="Input 10 3 3" xfId="945"/>
    <cellStyle name="Input 10 3 3 2" xfId="10273"/>
    <cellStyle name="Input 10 3 3 2 2" xfId="23579"/>
    <cellStyle name="Input 10 3 3 3" xfId="14683"/>
    <cellStyle name="Input 10 3 3 3 2" xfId="27989"/>
    <cellStyle name="Input 10 3 3 4" xfId="19169"/>
    <cellStyle name="Input 10 3 3_Table" xfId="5739"/>
    <cellStyle name="Input 10 3 4" xfId="2060"/>
    <cellStyle name="Input 10 3 4 2" xfId="11388"/>
    <cellStyle name="Input 10 3 4 2 2" xfId="24694"/>
    <cellStyle name="Input 10 3 4 3" xfId="15798"/>
    <cellStyle name="Input 10 3 4 3 2" xfId="29104"/>
    <cellStyle name="Input 10 3 4 4" xfId="20284"/>
    <cellStyle name="Input 10 3 4_Table" xfId="5740"/>
    <cellStyle name="Input 10 3 5" xfId="2492"/>
    <cellStyle name="Input 10 3 5 2" xfId="11820"/>
    <cellStyle name="Input 10 3 5 2 2" xfId="25126"/>
    <cellStyle name="Input 10 3 5 3" xfId="16230"/>
    <cellStyle name="Input 10 3 5 3 2" xfId="29536"/>
    <cellStyle name="Input 10 3 5 4" xfId="20716"/>
    <cellStyle name="Input 10 3 5_Table" xfId="5741"/>
    <cellStyle name="Input 10 3 6" xfId="2921"/>
    <cellStyle name="Input 10 3 6 2" xfId="12249"/>
    <cellStyle name="Input 10 3 6 2 2" xfId="25555"/>
    <cellStyle name="Input 10 3 6 3" xfId="16659"/>
    <cellStyle name="Input 10 3 6 3 2" xfId="29965"/>
    <cellStyle name="Input 10 3 6 4" xfId="21145"/>
    <cellStyle name="Input 10 3 6_Table" xfId="5742"/>
    <cellStyle name="Input 10 3 7" xfId="3333"/>
    <cellStyle name="Input 10 3 7 2" xfId="12661"/>
    <cellStyle name="Input 10 3 7 2 2" xfId="25967"/>
    <cellStyle name="Input 10 3 7 3" xfId="17071"/>
    <cellStyle name="Input 10 3 7 3 2" xfId="30377"/>
    <cellStyle name="Input 10 3 7 4" xfId="21557"/>
    <cellStyle name="Input 10 3 7_Table" xfId="5743"/>
    <cellStyle name="Input 10 3 8" xfId="3500"/>
    <cellStyle name="Input 10 3 8 2" xfId="12828"/>
    <cellStyle name="Input 10 3 8 2 2" xfId="26134"/>
    <cellStyle name="Input 10 3 8 3" xfId="17238"/>
    <cellStyle name="Input 10 3 8 3 2" xfId="30544"/>
    <cellStyle name="Input 10 3 8 4" xfId="21724"/>
    <cellStyle name="Input 10 3 8_Table" xfId="5744"/>
    <cellStyle name="Input 10 3 9" xfId="4135"/>
    <cellStyle name="Input 10 3 9 2" xfId="13463"/>
    <cellStyle name="Input 10 3 9 2 2" xfId="26769"/>
    <cellStyle name="Input 10 3 9 3" xfId="17873"/>
    <cellStyle name="Input 10 3 9 3 2" xfId="31179"/>
    <cellStyle name="Input 10 3 9 4" xfId="22359"/>
    <cellStyle name="Input 10 3 9_Table" xfId="5745"/>
    <cellStyle name="Input 10 3_Table" xfId="5727"/>
    <cellStyle name="Input 10 4" xfId="533"/>
    <cellStyle name="Input 10 4 10" xfId="4541"/>
    <cellStyle name="Input 10 4 10 2" xfId="13869"/>
    <cellStyle name="Input 10 4 10 2 2" xfId="27175"/>
    <cellStyle name="Input 10 4 10 3" xfId="18279"/>
    <cellStyle name="Input 10 4 10 3 2" xfId="31585"/>
    <cellStyle name="Input 10 4 10 4" xfId="22765"/>
    <cellStyle name="Input 10 4 10_Table" xfId="5747"/>
    <cellStyle name="Input 10 4 11" xfId="9861"/>
    <cellStyle name="Input 10 4 11 2" xfId="23215"/>
    <cellStyle name="Input 10 4 12" xfId="14319"/>
    <cellStyle name="Input 10 4 12 2" xfId="27625"/>
    <cellStyle name="Input 10 4 13" xfId="18805"/>
    <cellStyle name="Input 10 4 2" xfId="806"/>
    <cellStyle name="Input 10 4 2 10" xfId="4766"/>
    <cellStyle name="Input 10 4 2 10 2" xfId="14094"/>
    <cellStyle name="Input 10 4 2 10 2 2" xfId="27400"/>
    <cellStyle name="Input 10 4 2 10 3" xfId="18504"/>
    <cellStyle name="Input 10 4 2 10 3 2" xfId="31810"/>
    <cellStyle name="Input 10 4 2 10 4" xfId="22990"/>
    <cellStyle name="Input 10 4 2 10_Table" xfId="5749"/>
    <cellStyle name="Input 10 4 2 11" xfId="10134"/>
    <cellStyle name="Input 10 4 2 11 2" xfId="23440"/>
    <cellStyle name="Input 10 4 2 12" xfId="14544"/>
    <cellStyle name="Input 10 4 2 12 2" xfId="27850"/>
    <cellStyle name="Input 10 4 2 13" xfId="19030"/>
    <cellStyle name="Input 10 4 2 2" xfId="1592"/>
    <cellStyle name="Input 10 4 2 2 2" xfId="10920"/>
    <cellStyle name="Input 10 4 2 2 2 2" xfId="24226"/>
    <cellStyle name="Input 10 4 2 2 3" xfId="15330"/>
    <cellStyle name="Input 10 4 2 2 3 2" xfId="28636"/>
    <cellStyle name="Input 10 4 2 2 4" xfId="19816"/>
    <cellStyle name="Input 10 4 2 2_Table" xfId="5750"/>
    <cellStyle name="Input 10 4 2 3" xfId="1952"/>
    <cellStyle name="Input 10 4 2 3 2" xfId="11280"/>
    <cellStyle name="Input 10 4 2 3 2 2" xfId="24586"/>
    <cellStyle name="Input 10 4 2 3 3" xfId="15690"/>
    <cellStyle name="Input 10 4 2 3 3 2" xfId="28996"/>
    <cellStyle name="Input 10 4 2 3 4" xfId="20176"/>
    <cellStyle name="Input 10 4 2 3_Table" xfId="5751"/>
    <cellStyle name="Input 10 4 2 4" xfId="2382"/>
    <cellStyle name="Input 10 4 2 4 2" xfId="11710"/>
    <cellStyle name="Input 10 4 2 4 2 2" xfId="25016"/>
    <cellStyle name="Input 10 4 2 4 3" xfId="16120"/>
    <cellStyle name="Input 10 4 2 4 3 2" xfId="29426"/>
    <cellStyle name="Input 10 4 2 4 4" xfId="20606"/>
    <cellStyle name="Input 10 4 2 4_Table" xfId="5752"/>
    <cellStyle name="Input 10 4 2 5" xfId="2820"/>
    <cellStyle name="Input 10 4 2 5 2" xfId="12148"/>
    <cellStyle name="Input 10 4 2 5 2 2" xfId="25454"/>
    <cellStyle name="Input 10 4 2 5 3" xfId="16558"/>
    <cellStyle name="Input 10 4 2 5 3 2" xfId="29864"/>
    <cellStyle name="Input 10 4 2 5 4" xfId="21044"/>
    <cellStyle name="Input 10 4 2 5_Table" xfId="5753"/>
    <cellStyle name="Input 10 4 2 6" xfId="3227"/>
    <cellStyle name="Input 10 4 2 6 2" xfId="12555"/>
    <cellStyle name="Input 10 4 2 6 2 2" xfId="25861"/>
    <cellStyle name="Input 10 4 2 6 3" xfId="16965"/>
    <cellStyle name="Input 10 4 2 6 3 2" xfId="30271"/>
    <cellStyle name="Input 10 4 2 6 4" xfId="21451"/>
    <cellStyle name="Input 10 4 2 6_Table" xfId="5754"/>
    <cellStyle name="Input 10 4 2 7" xfId="3819"/>
    <cellStyle name="Input 10 4 2 7 2" xfId="13147"/>
    <cellStyle name="Input 10 4 2 7 2 2" xfId="26453"/>
    <cellStyle name="Input 10 4 2 7 3" xfId="17557"/>
    <cellStyle name="Input 10 4 2 7 3 2" xfId="30863"/>
    <cellStyle name="Input 10 4 2 7 4" xfId="22043"/>
    <cellStyle name="Input 10 4 2 7_Table" xfId="5755"/>
    <cellStyle name="Input 10 4 2 8" xfId="4044"/>
    <cellStyle name="Input 10 4 2 8 2" xfId="13372"/>
    <cellStyle name="Input 10 4 2 8 2 2" xfId="26678"/>
    <cellStyle name="Input 10 4 2 8 3" xfId="17782"/>
    <cellStyle name="Input 10 4 2 8 3 2" xfId="31088"/>
    <cellStyle name="Input 10 4 2 8 4" xfId="22268"/>
    <cellStyle name="Input 10 4 2 8_Table" xfId="5756"/>
    <cellStyle name="Input 10 4 2 9" xfId="4405"/>
    <cellStyle name="Input 10 4 2 9 2" xfId="13733"/>
    <cellStyle name="Input 10 4 2 9 2 2" xfId="27039"/>
    <cellStyle name="Input 10 4 2 9 3" xfId="18143"/>
    <cellStyle name="Input 10 4 2 9 3 2" xfId="31449"/>
    <cellStyle name="Input 10 4 2 9 4" xfId="22629"/>
    <cellStyle name="Input 10 4 2 9_Table" xfId="5757"/>
    <cellStyle name="Input 10 4 2_Table" xfId="5748"/>
    <cellStyle name="Input 10 4 3" xfId="1685"/>
    <cellStyle name="Input 10 4 3 2" xfId="11013"/>
    <cellStyle name="Input 10 4 3 2 2" xfId="24319"/>
    <cellStyle name="Input 10 4 3 3" xfId="15423"/>
    <cellStyle name="Input 10 4 3 3 2" xfId="28729"/>
    <cellStyle name="Input 10 4 3 4" xfId="19909"/>
    <cellStyle name="Input 10 4 3_Table" xfId="5758"/>
    <cellStyle name="Input 10 4 4" xfId="2119"/>
    <cellStyle name="Input 10 4 4 2" xfId="11447"/>
    <cellStyle name="Input 10 4 4 2 2" xfId="24753"/>
    <cellStyle name="Input 10 4 4 3" xfId="15857"/>
    <cellStyle name="Input 10 4 4 3 2" xfId="29163"/>
    <cellStyle name="Input 10 4 4 4" xfId="20343"/>
    <cellStyle name="Input 10 4 4_Table" xfId="5759"/>
    <cellStyle name="Input 10 4 5" xfId="2551"/>
    <cellStyle name="Input 10 4 5 2" xfId="11879"/>
    <cellStyle name="Input 10 4 5 2 2" xfId="25185"/>
    <cellStyle name="Input 10 4 5 3" xfId="16289"/>
    <cellStyle name="Input 10 4 5 3 2" xfId="29595"/>
    <cellStyle name="Input 10 4 5 4" xfId="20775"/>
    <cellStyle name="Input 10 4 5_Table" xfId="5760"/>
    <cellStyle name="Input 10 4 6" xfId="2978"/>
    <cellStyle name="Input 10 4 6 2" xfId="12306"/>
    <cellStyle name="Input 10 4 6 2 2" xfId="25612"/>
    <cellStyle name="Input 10 4 6 3" xfId="16716"/>
    <cellStyle name="Input 10 4 6 3 2" xfId="30022"/>
    <cellStyle name="Input 10 4 6 4" xfId="21202"/>
    <cellStyle name="Input 10 4 6_Table" xfId="5761"/>
    <cellStyle name="Input 10 4 7" xfId="3391"/>
    <cellStyle name="Input 10 4 7 2" xfId="12719"/>
    <cellStyle name="Input 10 4 7 2 2" xfId="26025"/>
    <cellStyle name="Input 10 4 7 3" xfId="17129"/>
    <cellStyle name="Input 10 4 7 3 2" xfId="30435"/>
    <cellStyle name="Input 10 4 7 4" xfId="21615"/>
    <cellStyle name="Input 10 4 7_Table" xfId="5762"/>
    <cellStyle name="Input 10 4 8" xfId="3623"/>
    <cellStyle name="Input 10 4 8 2" xfId="12951"/>
    <cellStyle name="Input 10 4 8 2 2" xfId="26257"/>
    <cellStyle name="Input 10 4 8 3" xfId="17361"/>
    <cellStyle name="Input 10 4 8 3 2" xfId="30667"/>
    <cellStyle name="Input 10 4 8 4" xfId="21847"/>
    <cellStyle name="Input 10 4 8_Table" xfId="5763"/>
    <cellStyle name="Input 10 4 9" xfId="4180"/>
    <cellStyle name="Input 10 4 9 2" xfId="13508"/>
    <cellStyle name="Input 10 4 9 2 2" xfId="26814"/>
    <cellStyle name="Input 10 4 9 3" xfId="17918"/>
    <cellStyle name="Input 10 4 9 3 2" xfId="31224"/>
    <cellStyle name="Input 10 4 9 4" xfId="22404"/>
    <cellStyle name="Input 10 4 9_Table" xfId="5764"/>
    <cellStyle name="Input 10 4_Table" xfId="5746"/>
    <cellStyle name="Input 10 5" xfId="608"/>
    <cellStyle name="Input 10 5 10" xfId="4586"/>
    <cellStyle name="Input 10 5 10 2" xfId="13914"/>
    <cellStyle name="Input 10 5 10 2 2" xfId="27220"/>
    <cellStyle name="Input 10 5 10 3" xfId="18324"/>
    <cellStyle name="Input 10 5 10 3 2" xfId="31630"/>
    <cellStyle name="Input 10 5 10 4" xfId="22810"/>
    <cellStyle name="Input 10 5 10_Table" xfId="5766"/>
    <cellStyle name="Input 10 5 11" xfId="9936"/>
    <cellStyle name="Input 10 5 11 2" xfId="23260"/>
    <cellStyle name="Input 10 5 12" xfId="14364"/>
    <cellStyle name="Input 10 5 12 2" xfId="27670"/>
    <cellStyle name="Input 10 5 13" xfId="18850"/>
    <cellStyle name="Input 10 5 2" xfId="851"/>
    <cellStyle name="Input 10 5 2 10" xfId="4811"/>
    <cellStyle name="Input 10 5 2 10 2" xfId="14139"/>
    <cellStyle name="Input 10 5 2 10 2 2" xfId="27445"/>
    <cellStyle name="Input 10 5 2 10 3" xfId="18549"/>
    <cellStyle name="Input 10 5 2 10 3 2" xfId="31855"/>
    <cellStyle name="Input 10 5 2 10 4" xfId="23035"/>
    <cellStyle name="Input 10 5 2 10_Table" xfId="5768"/>
    <cellStyle name="Input 10 5 2 11" xfId="10179"/>
    <cellStyle name="Input 10 5 2 11 2" xfId="23485"/>
    <cellStyle name="Input 10 5 2 12" xfId="14589"/>
    <cellStyle name="Input 10 5 2 12 2" xfId="27895"/>
    <cellStyle name="Input 10 5 2 13" xfId="19075"/>
    <cellStyle name="Input 10 5 2 2" xfId="1637"/>
    <cellStyle name="Input 10 5 2 2 2" xfId="10965"/>
    <cellStyle name="Input 10 5 2 2 2 2" xfId="24271"/>
    <cellStyle name="Input 10 5 2 2 3" xfId="15375"/>
    <cellStyle name="Input 10 5 2 2 3 2" xfId="28681"/>
    <cellStyle name="Input 10 5 2 2 4" xfId="19861"/>
    <cellStyle name="Input 10 5 2 2_Table" xfId="5769"/>
    <cellStyle name="Input 10 5 2 3" xfId="1997"/>
    <cellStyle name="Input 10 5 2 3 2" xfId="11325"/>
    <cellStyle name="Input 10 5 2 3 2 2" xfId="24631"/>
    <cellStyle name="Input 10 5 2 3 3" xfId="15735"/>
    <cellStyle name="Input 10 5 2 3 3 2" xfId="29041"/>
    <cellStyle name="Input 10 5 2 3 4" xfId="20221"/>
    <cellStyle name="Input 10 5 2 3_Table" xfId="5770"/>
    <cellStyle name="Input 10 5 2 4" xfId="2427"/>
    <cellStyle name="Input 10 5 2 4 2" xfId="11755"/>
    <cellStyle name="Input 10 5 2 4 2 2" xfId="25061"/>
    <cellStyle name="Input 10 5 2 4 3" xfId="16165"/>
    <cellStyle name="Input 10 5 2 4 3 2" xfId="29471"/>
    <cellStyle name="Input 10 5 2 4 4" xfId="20651"/>
    <cellStyle name="Input 10 5 2 4_Table" xfId="5771"/>
    <cellStyle name="Input 10 5 2 5" xfId="2865"/>
    <cellStyle name="Input 10 5 2 5 2" xfId="12193"/>
    <cellStyle name="Input 10 5 2 5 2 2" xfId="25499"/>
    <cellStyle name="Input 10 5 2 5 3" xfId="16603"/>
    <cellStyle name="Input 10 5 2 5 3 2" xfId="29909"/>
    <cellStyle name="Input 10 5 2 5 4" xfId="21089"/>
    <cellStyle name="Input 10 5 2 5_Table" xfId="5772"/>
    <cellStyle name="Input 10 5 2 6" xfId="3272"/>
    <cellStyle name="Input 10 5 2 6 2" xfId="12600"/>
    <cellStyle name="Input 10 5 2 6 2 2" xfId="25906"/>
    <cellStyle name="Input 10 5 2 6 3" xfId="17010"/>
    <cellStyle name="Input 10 5 2 6 3 2" xfId="30316"/>
    <cellStyle name="Input 10 5 2 6 4" xfId="21496"/>
    <cellStyle name="Input 10 5 2 6_Table" xfId="5773"/>
    <cellStyle name="Input 10 5 2 7" xfId="3864"/>
    <cellStyle name="Input 10 5 2 7 2" xfId="13192"/>
    <cellStyle name="Input 10 5 2 7 2 2" xfId="26498"/>
    <cellStyle name="Input 10 5 2 7 3" xfId="17602"/>
    <cellStyle name="Input 10 5 2 7 3 2" xfId="30908"/>
    <cellStyle name="Input 10 5 2 7 4" xfId="22088"/>
    <cellStyle name="Input 10 5 2 7_Table" xfId="5774"/>
    <cellStyle name="Input 10 5 2 8" xfId="4089"/>
    <cellStyle name="Input 10 5 2 8 2" xfId="13417"/>
    <cellStyle name="Input 10 5 2 8 2 2" xfId="26723"/>
    <cellStyle name="Input 10 5 2 8 3" xfId="17827"/>
    <cellStyle name="Input 10 5 2 8 3 2" xfId="31133"/>
    <cellStyle name="Input 10 5 2 8 4" xfId="22313"/>
    <cellStyle name="Input 10 5 2 8_Table" xfId="5775"/>
    <cellStyle name="Input 10 5 2 9" xfId="4450"/>
    <cellStyle name="Input 10 5 2 9 2" xfId="13778"/>
    <cellStyle name="Input 10 5 2 9 2 2" xfId="27084"/>
    <cellStyle name="Input 10 5 2 9 3" xfId="18188"/>
    <cellStyle name="Input 10 5 2 9 3 2" xfId="31494"/>
    <cellStyle name="Input 10 5 2 9 4" xfId="22674"/>
    <cellStyle name="Input 10 5 2 9_Table" xfId="5776"/>
    <cellStyle name="Input 10 5 2_Table" xfId="5767"/>
    <cellStyle name="Input 10 5 3" xfId="1755"/>
    <cellStyle name="Input 10 5 3 2" xfId="11083"/>
    <cellStyle name="Input 10 5 3 2 2" xfId="24389"/>
    <cellStyle name="Input 10 5 3 3" xfId="15493"/>
    <cellStyle name="Input 10 5 3 3 2" xfId="28799"/>
    <cellStyle name="Input 10 5 3 4" xfId="19979"/>
    <cellStyle name="Input 10 5 3_Table" xfId="5777"/>
    <cellStyle name="Input 10 5 4" xfId="2188"/>
    <cellStyle name="Input 10 5 4 2" xfId="11516"/>
    <cellStyle name="Input 10 5 4 2 2" xfId="24822"/>
    <cellStyle name="Input 10 5 4 3" xfId="15926"/>
    <cellStyle name="Input 10 5 4 3 2" xfId="29232"/>
    <cellStyle name="Input 10 5 4 4" xfId="20412"/>
    <cellStyle name="Input 10 5 4_Table" xfId="5778"/>
    <cellStyle name="Input 10 5 5" xfId="2623"/>
    <cellStyle name="Input 10 5 5 2" xfId="11951"/>
    <cellStyle name="Input 10 5 5 2 2" xfId="25257"/>
    <cellStyle name="Input 10 5 5 3" xfId="16361"/>
    <cellStyle name="Input 10 5 5 3 2" xfId="29667"/>
    <cellStyle name="Input 10 5 5 4" xfId="20847"/>
    <cellStyle name="Input 10 5 5_Table" xfId="5779"/>
    <cellStyle name="Input 10 5 6" xfId="3036"/>
    <cellStyle name="Input 10 5 6 2" xfId="12364"/>
    <cellStyle name="Input 10 5 6 2 2" xfId="25670"/>
    <cellStyle name="Input 10 5 6 3" xfId="16774"/>
    <cellStyle name="Input 10 5 6 3 2" xfId="30080"/>
    <cellStyle name="Input 10 5 6 4" xfId="21260"/>
    <cellStyle name="Input 10 5 6_Table" xfId="5780"/>
    <cellStyle name="Input 10 5 7" xfId="3462"/>
    <cellStyle name="Input 10 5 7 2" xfId="12790"/>
    <cellStyle name="Input 10 5 7 2 2" xfId="26096"/>
    <cellStyle name="Input 10 5 7 3" xfId="17200"/>
    <cellStyle name="Input 10 5 7 3 2" xfId="30506"/>
    <cellStyle name="Input 10 5 7 4" xfId="21686"/>
    <cellStyle name="Input 10 5 7_Table" xfId="5781"/>
    <cellStyle name="Input 10 5 8" xfId="2590"/>
    <cellStyle name="Input 10 5 8 2" xfId="11918"/>
    <cellStyle name="Input 10 5 8 2 2" xfId="25224"/>
    <cellStyle name="Input 10 5 8 3" xfId="16328"/>
    <cellStyle name="Input 10 5 8 3 2" xfId="29634"/>
    <cellStyle name="Input 10 5 8 4" xfId="20814"/>
    <cellStyle name="Input 10 5 8_Table" xfId="5782"/>
    <cellStyle name="Input 10 5 9" xfId="4225"/>
    <cellStyle name="Input 10 5 9 2" xfId="13553"/>
    <cellStyle name="Input 10 5 9 2 2" xfId="26859"/>
    <cellStyle name="Input 10 5 9 3" xfId="17963"/>
    <cellStyle name="Input 10 5 9 3 2" xfId="31269"/>
    <cellStyle name="Input 10 5 9 4" xfId="22449"/>
    <cellStyle name="Input 10 5 9_Table" xfId="5783"/>
    <cellStyle name="Input 10 5_Table" xfId="5765"/>
    <cellStyle name="Input 10 6" xfId="671"/>
    <cellStyle name="Input 10 6 10" xfId="4631"/>
    <cellStyle name="Input 10 6 10 2" xfId="13959"/>
    <cellStyle name="Input 10 6 10 2 2" xfId="27265"/>
    <cellStyle name="Input 10 6 10 3" xfId="18369"/>
    <cellStyle name="Input 10 6 10 3 2" xfId="31675"/>
    <cellStyle name="Input 10 6 10 4" xfId="22855"/>
    <cellStyle name="Input 10 6 10_Table" xfId="5785"/>
    <cellStyle name="Input 10 6 11" xfId="9999"/>
    <cellStyle name="Input 10 6 11 2" xfId="23305"/>
    <cellStyle name="Input 10 6 12" xfId="14409"/>
    <cellStyle name="Input 10 6 12 2" xfId="27715"/>
    <cellStyle name="Input 10 6 13" xfId="18895"/>
    <cellStyle name="Input 10 6 2" xfId="1457"/>
    <cellStyle name="Input 10 6 2 2" xfId="10785"/>
    <cellStyle name="Input 10 6 2 2 2" xfId="24091"/>
    <cellStyle name="Input 10 6 2 3" xfId="15195"/>
    <cellStyle name="Input 10 6 2 3 2" xfId="28501"/>
    <cellStyle name="Input 10 6 2 4" xfId="19681"/>
    <cellStyle name="Input 10 6 2_Table" xfId="5786"/>
    <cellStyle name="Input 10 6 3" xfId="1817"/>
    <cellStyle name="Input 10 6 3 2" xfId="11145"/>
    <cellStyle name="Input 10 6 3 2 2" xfId="24451"/>
    <cellStyle name="Input 10 6 3 3" xfId="15555"/>
    <cellStyle name="Input 10 6 3 3 2" xfId="28861"/>
    <cellStyle name="Input 10 6 3 4" xfId="20041"/>
    <cellStyle name="Input 10 6 3_Table" xfId="5787"/>
    <cellStyle name="Input 10 6 4" xfId="2247"/>
    <cellStyle name="Input 10 6 4 2" xfId="11575"/>
    <cellStyle name="Input 10 6 4 2 2" xfId="24881"/>
    <cellStyle name="Input 10 6 4 3" xfId="15985"/>
    <cellStyle name="Input 10 6 4 3 2" xfId="29291"/>
    <cellStyle name="Input 10 6 4 4" xfId="20471"/>
    <cellStyle name="Input 10 6 4_Table" xfId="5788"/>
    <cellStyle name="Input 10 6 5" xfId="2685"/>
    <cellStyle name="Input 10 6 5 2" xfId="12013"/>
    <cellStyle name="Input 10 6 5 2 2" xfId="25319"/>
    <cellStyle name="Input 10 6 5 3" xfId="16423"/>
    <cellStyle name="Input 10 6 5 3 2" xfId="29729"/>
    <cellStyle name="Input 10 6 5 4" xfId="20909"/>
    <cellStyle name="Input 10 6 5_Table" xfId="5789"/>
    <cellStyle name="Input 10 6 6" xfId="3092"/>
    <cellStyle name="Input 10 6 6 2" xfId="12420"/>
    <cellStyle name="Input 10 6 6 2 2" xfId="25726"/>
    <cellStyle name="Input 10 6 6 3" xfId="16830"/>
    <cellStyle name="Input 10 6 6 3 2" xfId="30136"/>
    <cellStyle name="Input 10 6 6 4" xfId="21316"/>
    <cellStyle name="Input 10 6 6_Table" xfId="5790"/>
    <cellStyle name="Input 10 6 7" xfId="3684"/>
    <cellStyle name="Input 10 6 7 2" xfId="13012"/>
    <cellStyle name="Input 10 6 7 2 2" xfId="26318"/>
    <cellStyle name="Input 10 6 7 3" xfId="17422"/>
    <cellStyle name="Input 10 6 7 3 2" xfId="30728"/>
    <cellStyle name="Input 10 6 7 4" xfId="21908"/>
    <cellStyle name="Input 10 6 7_Table" xfId="5791"/>
    <cellStyle name="Input 10 6 8" xfId="3909"/>
    <cellStyle name="Input 10 6 8 2" xfId="13237"/>
    <cellStyle name="Input 10 6 8 2 2" xfId="26543"/>
    <cellStyle name="Input 10 6 8 3" xfId="17647"/>
    <cellStyle name="Input 10 6 8 3 2" xfId="30953"/>
    <cellStyle name="Input 10 6 8 4" xfId="22133"/>
    <cellStyle name="Input 10 6 8_Table" xfId="5792"/>
    <cellStyle name="Input 10 6 9" xfId="4270"/>
    <cellStyle name="Input 10 6 9 2" xfId="13598"/>
    <cellStyle name="Input 10 6 9 2 2" xfId="26904"/>
    <cellStyle name="Input 10 6 9 3" xfId="18008"/>
    <cellStyle name="Input 10 6 9 3 2" xfId="31314"/>
    <cellStyle name="Input 10 6 9 4" xfId="22494"/>
    <cellStyle name="Input 10 6 9_Table" xfId="5793"/>
    <cellStyle name="Input 10 6_Table" xfId="5784"/>
    <cellStyle name="Input 10 7" xfId="1094"/>
    <cellStyle name="Input 10 7 2" xfId="10422"/>
    <cellStyle name="Input 10 7 2 2" xfId="23728"/>
    <cellStyle name="Input 10 7 3" xfId="14832"/>
    <cellStyle name="Input 10 7 3 2" xfId="28138"/>
    <cellStyle name="Input 10 7 4" xfId="19318"/>
    <cellStyle name="Input 10 7_Table" xfId="5794"/>
    <cellStyle name="Input 10 8" xfId="1158"/>
    <cellStyle name="Input 10 8 2" xfId="10486"/>
    <cellStyle name="Input 10 8 2 2" xfId="23792"/>
    <cellStyle name="Input 10 8 3" xfId="14896"/>
    <cellStyle name="Input 10 8 3 2" xfId="28202"/>
    <cellStyle name="Input 10 8 4" xfId="19382"/>
    <cellStyle name="Input 10 8_Table" xfId="5795"/>
    <cellStyle name="Input 10 9" xfId="1084"/>
    <cellStyle name="Input 10 9 2" xfId="10412"/>
    <cellStyle name="Input 10 9 2 2" xfId="23718"/>
    <cellStyle name="Input 10 9 3" xfId="14822"/>
    <cellStyle name="Input 10 9 3 2" xfId="28128"/>
    <cellStyle name="Input 10 9 4" xfId="19308"/>
    <cellStyle name="Input 10 9_Table" xfId="5796"/>
    <cellStyle name="Input 10_Table" xfId="5702"/>
    <cellStyle name="Input 2" xfId="308"/>
    <cellStyle name="Input 2 10" xfId="1365"/>
    <cellStyle name="Input 2 10 2" xfId="10693"/>
    <cellStyle name="Input 2 10 2 2" xfId="23999"/>
    <cellStyle name="Input 2 10 3" xfId="15103"/>
    <cellStyle name="Input 2 10 3 2" xfId="28409"/>
    <cellStyle name="Input 2 10 4" xfId="19589"/>
    <cellStyle name="Input 2 10_Table" xfId="5798"/>
    <cellStyle name="Input 2 11" xfId="966"/>
    <cellStyle name="Input 2 11 2" xfId="10294"/>
    <cellStyle name="Input 2 11 2 2" xfId="23600"/>
    <cellStyle name="Input 2 11 3" xfId="14704"/>
    <cellStyle name="Input 2 11 3 2" xfId="28010"/>
    <cellStyle name="Input 2 11 4" xfId="19190"/>
    <cellStyle name="Input 2 11_Table" xfId="5799"/>
    <cellStyle name="Input 2 12" xfId="2048"/>
    <cellStyle name="Input 2 12 2" xfId="11376"/>
    <cellStyle name="Input 2 12 2 2" xfId="24682"/>
    <cellStyle name="Input 2 12 3" xfId="15786"/>
    <cellStyle name="Input 2 12 3 2" xfId="29092"/>
    <cellStyle name="Input 2 12 4" xfId="20272"/>
    <cellStyle name="Input 2 12_Table" xfId="5800"/>
    <cellStyle name="Input 2 13" xfId="1153"/>
    <cellStyle name="Input 2 13 2" xfId="10481"/>
    <cellStyle name="Input 2 13 2 2" xfId="23787"/>
    <cellStyle name="Input 2 13 3" xfId="14891"/>
    <cellStyle name="Input 2 13 3 2" xfId="28197"/>
    <cellStyle name="Input 2 13 4" xfId="19377"/>
    <cellStyle name="Input 2 13_Table" xfId="5801"/>
    <cellStyle name="Input 2 14" xfId="3518"/>
    <cellStyle name="Input 2 14 2" xfId="12846"/>
    <cellStyle name="Input 2 14 2 2" xfId="26152"/>
    <cellStyle name="Input 2 14 3" xfId="17256"/>
    <cellStyle name="Input 2 14 3 2" xfId="30562"/>
    <cellStyle name="Input 2 14 4" xfId="21742"/>
    <cellStyle name="Input 2 14_Table" xfId="5802"/>
    <cellStyle name="Input 2 15" xfId="9636"/>
    <cellStyle name="Input 2 15 2" xfId="23081"/>
    <cellStyle name="Input 2 16" xfId="14185"/>
    <cellStyle name="Input 2 16 2" xfId="27491"/>
    <cellStyle name="Input 2 17" xfId="18671"/>
    <cellStyle name="Input 2 2" xfId="402"/>
    <cellStyle name="Input 2 2 10" xfId="3604"/>
    <cellStyle name="Input 2 2 10 2" xfId="12932"/>
    <cellStyle name="Input 2 2 10 2 2" xfId="26238"/>
    <cellStyle name="Input 2 2 10 3" xfId="17342"/>
    <cellStyle name="Input 2 2 10 3 2" xfId="30648"/>
    <cellStyle name="Input 2 2 10 4" xfId="21828"/>
    <cellStyle name="Input 2 2 10_Table" xfId="5804"/>
    <cellStyle name="Input 2 2 11" xfId="9730"/>
    <cellStyle name="Input 2 2 11 2" xfId="23126"/>
    <cellStyle name="Input 2 2 12" xfId="14230"/>
    <cellStyle name="Input 2 2 12 2" xfId="27536"/>
    <cellStyle name="Input 2 2 13" xfId="18716"/>
    <cellStyle name="Input 2 2 2" xfId="717"/>
    <cellStyle name="Input 2 2 2 10" xfId="4677"/>
    <cellStyle name="Input 2 2 2 10 2" xfId="14005"/>
    <cellStyle name="Input 2 2 2 10 2 2" xfId="27311"/>
    <cellStyle name="Input 2 2 2 10 3" xfId="18415"/>
    <cellStyle name="Input 2 2 2 10 3 2" xfId="31721"/>
    <cellStyle name="Input 2 2 2 10 4" xfId="22901"/>
    <cellStyle name="Input 2 2 2 10_Table" xfId="5806"/>
    <cellStyle name="Input 2 2 2 11" xfId="10045"/>
    <cellStyle name="Input 2 2 2 11 2" xfId="23351"/>
    <cellStyle name="Input 2 2 2 12" xfId="14455"/>
    <cellStyle name="Input 2 2 2 12 2" xfId="27761"/>
    <cellStyle name="Input 2 2 2 13" xfId="18941"/>
    <cellStyle name="Input 2 2 2 2" xfId="1503"/>
    <cellStyle name="Input 2 2 2 2 2" xfId="10831"/>
    <cellStyle name="Input 2 2 2 2 2 2" xfId="24137"/>
    <cellStyle name="Input 2 2 2 2 3" xfId="15241"/>
    <cellStyle name="Input 2 2 2 2 3 2" xfId="28547"/>
    <cellStyle name="Input 2 2 2 2 4" xfId="19727"/>
    <cellStyle name="Input 2 2 2 2_Table" xfId="5807"/>
    <cellStyle name="Input 2 2 2 3" xfId="1863"/>
    <cellStyle name="Input 2 2 2 3 2" xfId="11191"/>
    <cellStyle name="Input 2 2 2 3 2 2" xfId="24497"/>
    <cellStyle name="Input 2 2 2 3 3" xfId="15601"/>
    <cellStyle name="Input 2 2 2 3 3 2" xfId="28907"/>
    <cellStyle name="Input 2 2 2 3 4" xfId="20087"/>
    <cellStyle name="Input 2 2 2 3_Table" xfId="5808"/>
    <cellStyle name="Input 2 2 2 4" xfId="2293"/>
    <cellStyle name="Input 2 2 2 4 2" xfId="11621"/>
    <cellStyle name="Input 2 2 2 4 2 2" xfId="24927"/>
    <cellStyle name="Input 2 2 2 4 3" xfId="16031"/>
    <cellStyle name="Input 2 2 2 4 3 2" xfId="29337"/>
    <cellStyle name="Input 2 2 2 4 4" xfId="20517"/>
    <cellStyle name="Input 2 2 2 4_Table" xfId="5809"/>
    <cellStyle name="Input 2 2 2 5" xfId="2731"/>
    <cellStyle name="Input 2 2 2 5 2" xfId="12059"/>
    <cellStyle name="Input 2 2 2 5 2 2" xfId="25365"/>
    <cellStyle name="Input 2 2 2 5 3" xfId="16469"/>
    <cellStyle name="Input 2 2 2 5 3 2" xfId="29775"/>
    <cellStyle name="Input 2 2 2 5 4" xfId="20955"/>
    <cellStyle name="Input 2 2 2 5_Table" xfId="5810"/>
    <cellStyle name="Input 2 2 2 6" xfId="3138"/>
    <cellStyle name="Input 2 2 2 6 2" xfId="12466"/>
    <cellStyle name="Input 2 2 2 6 2 2" xfId="25772"/>
    <cellStyle name="Input 2 2 2 6 3" xfId="16876"/>
    <cellStyle name="Input 2 2 2 6 3 2" xfId="30182"/>
    <cellStyle name="Input 2 2 2 6 4" xfId="21362"/>
    <cellStyle name="Input 2 2 2 6_Table" xfId="5811"/>
    <cellStyle name="Input 2 2 2 7" xfId="3730"/>
    <cellStyle name="Input 2 2 2 7 2" xfId="13058"/>
    <cellStyle name="Input 2 2 2 7 2 2" xfId="26364"/>
    <cellStyle name="Input 2 2 2 7 3" xfId="17468"/>
    <cellStyle name="Input 2 2 2 7 3 2" xfId="30774"/>
    <cellStyle name="Input 2 2 2 7 4" xfId="21954"/>
    <cellStyle name="Input 2 2 2 7_Table" xfId="5812"/>
    <cellStyle name="Input 2 2 2 8" xfId="3955"/>
    <cellStyle name="Input 2 2 2 8 2" xfId="13283"/>
    <cellStyle name="Input 2 2 2 8 2 2" xfId="26589"/>
    <cellStyle name="Input 2 2 2 8 3" xfId="17693"/>
    <cellStyle name="Input 2 2 2 8 3 2" xfId="30999"/>
    <cellStyle name="Input 2 2 2 8 4" xfId="22179"/>
    <cellStyle name="Input 2 2 2 8_Table" xfId="5813"/>
    <cellStyle name="Input 2 2 2 9" xfId="4316"/>
    <cellStyle name="Input 2 2 2 9 2" xfId="13644"/>
    <cellStyle name="Input 2 2 2 9 2 2" xfId="26950"/>
    <cellStyle name="Input 2 2 2 9 3" xfId="18054"/>
    <cellStyle name="Input 2 2 2 9 3 2" xfId="31360"/>
    <cellStyle name="Input 2 2 2 9 4" xfId="22540"/>
    <cellStyle name="Input 2 2 2 9_Table" xfId="5814"/>
    <cellStyle name="Input 2 2 2_Table" xfId="5805"/>
    <cellStyle name="Input 2 2 3" xfId="1010"/>
    <cellStyle name="Input 2 2 3 2" xfId="10338"/>
    <cellStyle name="Input 2 2 3 2 2" xfId="23644"/>
    <cellStyle name="Input 2 2 3 3" xfId="14748"/>
    <cellStyle name="Input 2 2 3 3 2" xfId="28054"/>
    <cellStyle name="Input 2 2 3 4" xfId="19234"/>
    <cellStyle name="Input 2 2 3_Table" xfId="5815"/>
    <cellStyle name="Input 2 2 4" xfId="1259"/>
    <cellStyle name="Input 2 2 4 2" xfId="10587"/>
    <cellStyle name="Input 2 2 4 2 2" xfId="23893"/>
    <cellStyle name="Input 2 2 4 3" xfId="14997"/>
    <cellStyle name="Input 2 2 4 3 2" xfId="28303"/>
    <cellStyle name="Input 2 2 4 4" xfId="19483"/>
    <cellStyle name="Input 2 2 4_Table" xfId="5816"/>
    <cellStyle name="Input 2 2 5" xfId="1764"/>
    <cellStyle name="Input 2 2 5 2" xfId="11092"/>
    <cellStyle name="Input 2 2 5 2 2" xfId="24398"/>
    <cellStyle name="Input 2 2 5 3" xfId="15502"/>
    <cellStyle name="Input 2 2 5 3 2" xfId="28808"/>
    <cellStyle name="Input 2 2 5 4" xfId="19988"/>
    <cellStyle name="Input 2 2 5_Table" xfId="5817"/>
    <cellStyle name="Input 2 2 6" xfId="2197"/>
    <cellStyle name="Input 2 2 6 2" xfId="11525"/>
    <cellStyle name="Input 2 2 6 2 2" xfId="24831"/>
    <cellStyle name="Input 2 2 6 3" xfId="15935"/>
    <cellStyle name="Input 2 2 6 3 2" xfId="29241"/>
    <cellStyle name="Input 2 2 6 4" xfId="20421"/>
    <cellStyle name="Input 2 2 6_Table" xfId="5818"/>
    <cellStyle name="Input 2 2 7" xfId="2632"/>
    <cellStyle name="Input 2 2 7 2" xfId="11960"/>
    <cellStyle name="Input 2 2 7 2 2" xfId="25266"/>
    <cellStyle name="Input 2 2 7 3" xfId="16370"/>
    <cellStyle name="Input 2 2 7 3 2" xfId="29676"/>
    <cellStyle name="Input 2 2 7 4" xfId="20856"/>
    <cellStyle name="Input 2 2 7_Table" xfId="5819"/>
    <cellStyle name="Input 2 2 8" xfId="1150"/>
    <cellStyle name="Input 2 2 8 2" xfId="10478"/>
    <cellStyle name="Input 2 2 8 2 2" xfId="23784"/>
    <cellStyle name="Input 2 2 8 3" xfId="14888"/>
    <cellStyle name="Input 2 2 8 3 2" xfId="28194"/>
    <cellStyle name="Input 2 2 8 4" xfId="19374"/>
    <cellStyle name="Input 2 2 8_Table" xfId="5820"/>
    <cellStyle name="Input 2 2 9" xfId="3644"/>
    <cellStyle name="Input 2 2 9 2" xfId="12972"/>
    <cellStyle name="Input 2 2 9 2 2" xfId="26278"/>
    <cellStyle name="Input 2 2 9 3" xfId="17382"/>
    <cellStyle name="Input 2 2 9 3 2" xfId="30688"/>
    <cellStyle name="Input 2 2 9 4" xfId="21868"/>
    <cellStyle name="Input 2 2 9_Table" xfId="5821"/>
    <cellStyle name="Input 2 2_Table" xfId="5803"/>
    <cellStyle name="Input 2 3" xfId="470"/>
    <cellStyle name="Input 2 3 10" xfId="4497"/>
    <cellStyle name="Input 2 3 10 2" xfId="13825"/>
    <cellStyle name="Input 2 3 10 2 2" xfId="27131"/>
    <cellStyle name="Input 2 3 10 3" xfId="18235"/>
    <cellStyle name="Input 2 3 10 3 2" xfId="31541"/>
    <cellStyle name="Input 2 3 10 4" xfId="22721"/>
    <cellStyle name="Input 2 3 10_Table" xfId="5823"/>
    <cellStyle name="Input 2 3 11" xfId="9798"/>
    <cellStyle name="Input 2 3 11 2" xfId="23171"/>
    <cellStyle name="Input 2 3 12" xfId="14275"/>
    <cellStyle name="Input 2 3 12 2" xfId="27581"/>
    <cellStyle name="Input 2 3 13" xfId="18761"/>
    <cellStyle name="Input 2 3 2" xfId="762"/>
    <cellStyle name="Input 2 3 2 10" xfId="4722"/>
    <cellStyle name="Input 2 3 2 10 2" xfId="14050"/>
    <cellStyle name="Input 2 3 2 10 2 2" xfId="27356"/>
    <cellStyle name="Input 2 3 2 10 3" xfId="18460"/>
    <cellStyle name="Input 2 3 2 10 3 2" xfId="31766"/>
    <cellStyle name="Input 2 3 2 10 4" xfId="22946"/>
    <cellStyle name="Input 2 3 2 10_Table" xfId="5825"/>
    <cellStyle name="Input 2 3 2 11" xfId="10090"/>
    <cellStyle name="Input 2 3 2 11 2" xfId="23396"/>
    <cellStyle name="Input 2 3 2 12" xfId="14500"/>
    <cellStyle name="Input 2 3 2 12 2" xfId="27806"/>
    <cellStyle name="Input 2 3 2 13" xfId="18986"/>
    <cellStyle name="Input 2 3 2 2" xfId="1548"/>
    <cellStyle name="Input 2 3 2 2 2" xfId="10876"/>
    <cellStyle name="Input 2 3 2 2 2 2" xfId="24182"/>
    <cellStyle name="Input 2 3 2 2 3" xfId="15286"/>
    <cellStyle name="Input 2 3 2 2 3 2" xfId="28592"/>
    <cellStyle name="Input 2 3 2 2 4" xfId="19772"/>
    <cellStyle name="Input 2 3 2 2_Table" xfId="5826"/>
    <cellStyle name="Input 2 3 2 3" xfId="1908"/>
    <cellStyle name="Input 2 3 2 3 2" xfId="11236"/>
    <cellStyle name="Input 2 3 2 3 2 2" xfId="24542"/>
    <cellStyle name="Input 2 3 2 3 3" xfId="15646"/>
    <cellStyle name="Input 2 3 2 3 3 2" xfId="28952"/>
    <cellStyle name="Input 2 3 2 3 4" xfId="20132"/>
    <cellStyle name="Input 2 3 2 3_Table" xfId="5827"/>
    <cellStyle name="Input 2 3 2 4" xfId="2338"/>
    <cellStyle name="Input 2 3 2 4 2" xfId="11666"/>
    <cellStyle name="Input 2 3 2 4 2 2" xfId="24972"/>
    <cellStyle name="Input 2 3 2 4 3" xfId="16076"/>
    <cellStyle name="Input 2 3 2 4 3 2" xfId="29382"/>
    <cellStyle name="Input 2 3 2 4 4" xfId="20562"/>
    <cellStyle name="Input 2 3 2 4_Table" xfId="5828"/>
    <cellStyle name="Input 2 3 2 5" xfId="2776"/>
    <cellStyle name="Input 2 3 2 5 2" xfId="12104"/>
    <cellStyle name="Input 2 3 2 5 2 2" xfId="25410"/>
    <cellStyle name="Input 2 3 2 5 3" xfId="16514"/>
    <cellStyle name="Input 2 3 2 5 3 2" xfId="29820"/>
    <cellStyle name="Input 2 3 2 5 4" xfId="21000"/>
    <cellStyle name="Input 2 3 2 5_Table" xfId="5829"/>
    <cellStyle name="Input 2 3 2 6" xfId="3183"/>
    <cellStyle name="Input 2 3 2 6 2" xfId="12511"/>
    <cellStyle name="Input 2 3 2 6 2 2" xfId="25817"/>
    <cellStyle name="Input 2 3 2 6 3" xfId="16921"/>
    <cellStyle name="Input 2 3 2 6 3 2" xfId="30227"/>
    <cellStyle name="Input 2 3 2 6 4" xfId="21407"/>
    <cellStyle name="Input 2 3 2 6_Table" xfId="5830"/>
    <cellStyle name="Input 2 3 2 7" xfId="3775"/>
    <cellStyle name="Input 2 3 2 7 2" xfId="13103"/>
    <cellStyle name="Input 2 3 2 7 2 2" xfId="26409"/>
    <cellStyle name="Input 2 3 2 7 3" xfId="17513"/>
    <cellStyle name="Input 2 3 2 7 3 2" xfId="30819"/>
    <cellStyle name="Input 2 3 2 7 4" xfId="21999"/>
    <cellStyle name="Input 2 3 2 7_Table" xfId="5831"/>
    <cellStyle name="Input 2 3 2 8" xfId="4000"/>
    <cellStyle name="Input 2 3 2 8 2" xfId="13328"/>
    <cellStyle name="Input 2 3 2 8 2 2" xfId="26634"/>
    <cellStyle name="Input 2 3 2 8 3" xfId="17738"/>
    <cellStyle name="Input 2 3 2 8 3 2" xfId="31044"/>
    <cellStyle name="Input 2 3 2 8 4" xfId="22224"/>
    <cellStyle name="Input 2 3 2 8_Table" xfId="5832"/>
    <cellStyle name="Input 2 3 2 9" xfId="4361"/>
    <cellStyle name="Input 2 3 2 9 2" xfId="13689"/>
    <cellStyle name="Input 2 3 2 9 2 2" xfId="26995"/>
    <cellStyle name="Input 2 3 2 9 3" xfId="18099"/>
    <cellStyle name="Input 2 3 2 9 3 2" xfId="31405"/>
    <cellStyle name="Input 2 3 2 9 4" xfId="22585"/>
    <cellStyle name="Input 2 3 2 9_Table" xfId="5833"/>
    <cellStyle name="Input 2 3 2_Table" xfId="5824"/>
    <cellStyle name="Input 2 3 3" xfId="944"/>
    <cellStyle name="Input 2 3 3 2" xfId="10272"/>
    <cellStyle name="Input 2 3 3 2 2" xfId="23578"/>
    <cellStyle name="Input 2 3 3 3" xfId="14682"/>
    <cellStyle name="Input 2 3 3 3 2" xfId="27988"/>
    <cellStyle name="Input 2 3 3 4" xfId="19168"/>
    <cellStyle name="Input 2 3 3_Table" xfId="5834"/>
    <cellStyle name="Input 2 3 4" xfId="2061"/>
    <cellStyle name="Input 2 3 4 2" xfId="11389"/>
    <cellStyle name="Input 2 3 4 2 2" xfId="24695"/>
    <cellStyle name="Input 2 3 4 3" xfId="15799"/>
    <cellStyle name="Input 2 3 4 3 2" xfId="29105"/>
    <cellStyle name="Input 2 3 4 4" xfId="20285"/>
    <cellStyle name="Input 2 3 4_Table" xfId="5835"/>
    <cellStyle name="Input 2 3 5" xfId="2493"/>
    <cellStyle name="Input 2 3 5 2" xfId="11821"/>
    <cellStyle name="Input 2 3 5 2 2" xfId="25127"/>
    <cellStyle name="Input 2 3 5 3" xfId="16231"/>
    <cellStyle name="Input 2 3 5 3 2" xfId="29537"/>
    <cellStyle name="Input 2 3 5 4" xfId="20717"/>
    <cellStyle name="Input 2 3 5_Table" xfId="5836"/>
    <cellStyle name="Input 2 3 6" xfId="2922"/>
    <cellStyle name="Input 2 3 6 2" xfId="12250"/>
    <cellStyle name="Input 2 3 6 2 2" xfId="25556"/>
    <cellStyle name="Input 2 3 6 3" xfId="16660"/>
    <cellStyle name="Input 2 3 6 3 2" xfId="29966"/>
    <cellStyle name="Input 2 3 6 4" xfId="21146"/>
    <cellStyle name="Input 2 3 6_Table" xfId="5837"/>
    <cellStyle name="Input 2 3 7" xfId="3334"/>
    <cellStyle name="Input 2 3 7 2" xfId="12662"/>
    <cellStyle name="Input 2 3 7 2 2" xfId="25968"/>
    <cellStyle name="Input 2 3 7 3" xfId="17072"/>
    <cellStyle name="Input 2 3 7 3 2" xfId="30378"/>
    <cellStyle name="Input 2 3 7 4" xfId="21558"/>
    <cellStyle name="Input 2 3 7_Table" xfId="5838"/>
    <cellStyle name="Input 2 3 8" xfId="2675"/>
    <cellStyle name="Input 2 3 8 2" xfId="12003"/>
    <cellStyle name="Input 2 3 8 2 2" xfId="25309"/>
    <cellStyle name="Input 2 3 8 3" xfId="16413"/>
    <cellStyle name="Input 2 3 8 3 2" xfId="29719"/>
    <cellStyle name="Input 2 3 8 4" xfId="20899"/>
    <cellStyle name="Input 2 3 8_Table" xfId="5839"/>
    <cellStyle name="Input 2 3 9" xfId="4136"/>
    <cellStyle name="Input 2 3 9 2" xfId="13464"/>
    <cellStyle name="Input 2 3 9 2 2" xfId="26770"/>
    <cellStyle name="Input 2 3 9 3" xfId="17874"/>
    <cellStyle name="Input 2 3 9 3 2" xfId="31180"/>
    <cellStyle name="Input 2 3 9 4" xfId="22360"/>
    <cellStyle name="Input 2 3 9_Table" xfId="5840"/>
    <cellStyle name="Input 2 3_Table" xfId="5822"/>
    <cellStyle name="Input 2 4" xfId="534"/>
    <cellStyle name="Input 2 4 10" xfId="4542"/>
    <cellStyle name="Input 2 4 10 2" xfId="13870"/>
    <cellStyle name="Input 2 4 10 2 2" xfId="27176"/>
    <cellStyle name="Input 2 4 10 3" xfId="18280"/>
    <cellStyle name="Input 2 4 10 3 2" xfId="31586"/>
    <cellStyle name="Input 2 4 10 4" xfId="22766"/>
    <cellStyle name="Input 2 4 10_Table" xfId="5842"/>
    <cellStyle name="Input 2 4 11" xfId="9862"/>
    <cellStyle name="Input 2 4 11 2" xfId="23216"/>
    <cellStyle name="Input 2 4 12" xfId="14320"/>
    <cellStyle name="Input 2 4 12 2" xfId="27626"/>
    <cellStyle name="Input 2 4 13" xfId="18806"/>
    <cellStyle name="Input 2 4 2" xfId="807"/>
    <cellStyle name="Input 2 4 2 10" xfId="4767"/>
    <cellStyle name="Input 2 4 2 10 2" xfId="14095"/>
    <cellStyle name="Input 2 4 2 10 2 2" xfId="27401"/>
    <cellStyle name="Input 2 4 2 10 3" xfId="18505"/>
    <cellStyle name="Input 2 4 2 10 3 2" xfId="31811"/>
    <cellStyle name="Input 2 4 2 10 4" xfId="22991"/>
    <cellStyle name="Input 2 4 2 10_Table" xfId="5844"/>
    <cellStyle name="Input 2 4 2 11" xfId="10135"/>
    <cellStyle name="Input 2 4 2 11 2" xfId="23441"/>
    <cellStyle name="Input 2 4 2 12" xfId="14545"/>
    <cellStyle name="Input 2 4 2 12 2" xfId="27851"/>
    <cellStyle name="Input 2 4 2 13" xfId="19031"/>
    <cellStyle name="Input 2 4 2 2" xfId="1593"/>
    <cellStyle name="Input 2 4 2 2 2" xfId="10921"/>
    <cellStyle name="Input 2 4 2 2 2 2" xfId="24227"/>
    <cellStyle name="Input 2 4 2 2 3" xfId="15331"/>
    <cellStyle name="Input 2 4 2 2 3 2" xfId="28637"/>
    <cellStyle name="Input 2 4 2 2 4" xfId="19817"/>
    <cellStyle name="Input 2 4 2 2_Table" xfId="5845"/>
    <cellStyle name="Input 2 4 2 3" xfId="1953"/>
    <cellStyle name="Input 2 4 2 3 2" xfId="11281"/>
    <cellStyle name="Input 2 4 2 3 2 2" xfId="24587"/>
    <cellStyle name="Input 2 4 2 3 3" xfId="15691"/>
    <cellStyle name="Input 2 4 2 3 3 2" xfId="28997"/>
    <cellStyle name="Input 2 4 2 3 4" xfId="20177"/>
    <cellStyle name="Input 2 4 2 3_Table" xfId="5846"/>
    <cellStyle name="Input 2 4 2 4" xfId="2383"/>
    <cellStyle name="Input 2 4 2 4 2" xfId="11711"/>
    <cellStyle name="Input 2 4 2 4 2 2" xfId="25017"/>
    <cellStyle name="Input 2 4 2 4 3" xfId="16121"/>
    <cellStyle name="Input 2 4 2 4 3 2" xfId="29427"/>
    <cellStyle name="Input 2 4 2 4 4" xfId="20607"/>
    <cellStyle name="Input 2 4 2 4_Table" xfId="5847"/>
    <cellStyle name="Input 2 4 2 5" xfId="2821"/>
    <cellStyle name="Input 2 4 2 5 2" xfId="12149"/>
    <cellStyle name="Input 2 4 2 5 2 2" xfId="25455"/>
    <cellStyle name="Input 2 4 2 5 3" xfId="16559"/>
    <cellStyle name="Input 2 4 2 5 3 2" xfId="29865"/>
    <cellStyle name="Input 2 4 2 5 4" xfId="21045"/>
    <cellStyle name="Input 2 4 2 5_Table" xfId="5848"/>
    <cellStyle name="Input 2 4 2 6" xfId="3228"/>
    <cellStyle name="Input 2 4 2 6 2" xfId="12556"/>
    <cellStyle name="Input 2 4 2 6 2 2" xfId="25862"/>
    <cellStyle name="Input 2 4 2 6 3" xfId="16966"/>
    <cellStyle name="Input 2 4 2 6 3 2" xfId="30272"/>
    <cellStyle name="Input 2 4 2 6 4" xfId="21452"/>
    <cellStyle name="Input 2 4 2 6_Table" xfId="5849"/>
    <cellStyle name="Input 2 4 2 7" xfId="3820"/>
    <cellStyle name="Input 2 4 2 7 2" xfId="13148"/>
    <cellStyle name="Input 2 4 2 7 2 2" xfId="26454"/>
    <cellStyle name="Input 2 4 2 7 3" xfId="17558"/>
    <cellStyle name="Input 2 4 2 7 3 2" xfId="30864"/>
    <cellStyle name="Input 2 4 2 7 4" xfId="22044"/>
    <cellStyle name="Input 2 4 2 7_Table" xfId="5850"/>
    <cellStyle name="Input 2 4 2 8" xfId="4045"/>
    <cellStyle name="Input 2 4 2 8 2" xfId="13373"/>
    <cellStyle name="Input 2 4 2 8 2 2" xfId="26679"/>
    <cellStyle name="Input 2 4 2 8 3" xfId="17783"/>
    <cellStyle name="Input 2 4 2 8 3 2" xfId="31089"/>
    <cellStyle name="Input 2 4 2 8 4" xfId="22269"/>
    <cellStyle name="Input 2 4 2 8_Table" xfId="5851"/>
    <cellStyle name="Input 2 4 2 9" xfId="4406"/>
    <cellStyle name="Input 2 4 2 9 2" xfId="13734"/>
    <cellStyle name="Input 2 4 2 9 2 2" xfId="27040"/>
    <cellStyle name="Input 2 4 2 9 3" xfId="18144"/>
    <cellStyle name="Input 2 4 2 9 3 2" xfId="31450"/>
    <cellStyle name="Input 2 4 2 9 4" xfId="22630"/>
    <cellStyle name="Input 2 4 2 9_Table" xfId="5852"/>
    <cellStyle name="Input 2 4 2_Table" xfId="5843"/>
    <cellStyle name="Input 2 4 3" xfId="1686"/>
    <cellStyle name="Input 2 4 3 2" xfId="11014"/>
    <cellStyle name="Input 2 4 3 2 2" xfId="24320"/>
    <cellStyle name="Input 2 4 3 3" xfId="15424"/>
    <cellStyle name="Input 2 4 3 3 2" xfId="28730"/>
    <cellStyle name="Input 2 4 3 4" xfId="19910"/>
    <cellStyle name="Input 2 4 3_Table" xfId="5853"/>
    <cellStyle name="Input 2 4 4" xfId="2120"/>
    <cellStyle name="Input 2 4 4 2" xfId="11448"/>
    <cellStyle name="Input 2 4 4 2 2" xfId="24754"/>
    <cellStyle name="Input 2 4 4 3" xfId="15858"/>
    <cellStyle name="Input 2 4 4 3 2" xfId="29164"/>
    <cellStyle name="Input 2 4 4 4" xfId="20344"/>
    <cellStyle name="Input 2 4 4_Table" xfId="5854"/>
    <cellStyle name="Input 2 4 5" xfId="2552"/>
    <cellStyle name="Input 2 4 5 2" xfId="11880"/>
    <cellStyle name="Input 2 4 5 2 2" xfId="25186"/>
    <cellStyle name="Input 2 4 5 3" xfId="16290"/>
    <cellStyle name="Input 2 4 5 3 2" xfId="29596"/>
    <cellStyle name="Input 2 4 5 4" xfId="20776"/>
    <cellStyle name="Input 2 4 5_Table" xfId="5855"/>
    <cellStyle name="Input 2 4 6" xfId="2979"/>
    <cellStyle name="Input 2 4 6 2" xfId="12307"/>
    <cellStyle name="Input 2 4 6 2 2" xfId="25613"/>
    <cellStyle name="Input 2 4 6 3" xfId="16717"/>
    <cellStyle name="Input 2 4 6 3 2" xfId="30023"/>
    <cellStyle name="Input 2 4 6 4" xfId="21203"/>
    <cellStyle name="Input 2 4 6_Table" xfId="5856"/>
    <cellStyle name="Input 2 4 7" xfId="3392"/>
    <cellStyle name="Input 2 4 7 2" xfId="12720"/>
    <cellStyle name="Input 2 4 7 2 2" xfId="26026"/>
    <cellStyle name="Input 2 4 7 3" xfId="17130"/>
    <cellStyle name="Input 2 4 7 3 2" xfId="30436"/>
    <cellStyle name="Input 2 4 7 4" xfId="21616"/>
    <cellStyle name="Input 2 4 7_Table" xfId="5857"/>
    <cellStyle name="Input 2 4 8" xfId="3655"/>
    <cellStyle name="Input 2 4 8 2" xfId="12983"/>
    <cellStyle name="Input 2 4 8 2 2" xfId="26289"/>
    <cellStyle name="Input 2 4 8 3" xfId="17393"/>
    <cellStyle name="Input 2 4 8 3 2" xfId="30699"/>
    <cellStyle name="Input 2 4 8 4" xfId="21879"/>
    <cellStyle name="Input 2 4 8_Table" xfId="5858"/>
    <cellStyle name="Input 2 4 9" xfId="4181"/>
    <cellStyle name="Input 2 4 9 2" xfId="13509"/>
    <cellStyle name="Input 2 4 9 2 2" xfId="26815"/>
    <cellStyle name="Input 2 4 9 3" xfId="17919"/>
    <cellStyle name="Input 2 4 9 3 2" xfId="31225"/>
    <cellStyle name="Input 2 4 9 4" xfId="22405"/>
    <cellStyle name="Input 2 4 9_Table" xfId="5859"/>
    <cellStyle name="Input 2 4_Table" xfId="5841"/>
    <cellStyle name="Input 2 5" xfId="609"/>
    <cellStyle name="Input 2 5 10" xfId="4587"/>
    <cellStyle name="Input 2 5 10 2" xfId="13915"/>
    <cellStyle name="Input 2 5 10 2 2" xfId="27221"/>
    <cellStyle name="Input 2 5 10 3" xfId="18325"/>
    <cellStyle name="Input 2 5 10 3 2" xfId="31631"/>
    <cellStyle name="Input 2 5 10 4" xfId="22811"/>
    <cellStyle name="Input 2 5 10_Table" xfId="5861"/>
    <cellStyle name="Input 2 5 11" xfId="9937"/>
    <cellStyle name="Input 2 5 11 2" xfId="23261"/>
    <cellStyle name="Input 2 5 12" xfId="14365"/>
    <cellStyle name="Input 2 5 12 2" xfId="27671"/>
    <cellStyle name="Input 2 5 13" xfId="18851"/>
    <cellStyle name="Input 2 5 2" xfId="852"/>
    <cellStyle name="Input 2 5 2 10" xfId="4812"/>
    <cellStyle name="Input 2 5 2 10 2" xfId="14140"/>
    <cellStyle name="Input 2 5 2 10 2 2" xfId="27446"/>
    <cellStyle name="Input 2 5 2 10 3" xfId="18550"/>
    <cellStyle name="Input 2 5 2 10 3 2" xfId="31856"/>
    <cellStyle name="Input 2 5 2 10 4" xfId="23036"/>
    <cellStyle name="Input 2 5 2 10_Table" xfId="5863"/>
    <cellStyle name="Input 2 5 2 11" xfId="10180"/>
    <cellStyle name="Input 2 5 2 11 2" xfId="23486"/>
    <cellStyle name="Input 2 5 2 12" xfId="14590"/>
    <cellStyle name="Input 2 5 2 12 2" xfId="27896"/>
    <cellStyle name="Input 2 5 2 13" xfId="19076"/>
    <cellStyle name="Input 2 5 2 2" xfId="1638"/>
    <cellStyle name="Input 2 5 2 2 2" xfId="10966"/>
    <cellStyle name="Input 2 5 2 2 2 2" xfId="24272"/>
    <cellStyle name="Input 2 5 2 2 3" xfId="15376"/>
    <cellStyle name="Input 2 5 2 2 3 2" xfId="28682"/>
    <cellStyle name="Input 2 5 2 2 4" xfId="19862"/>
    <cellStyle name="Input 2 5 2 2_Table" xfId="5864"/>
    <cellStyle name="Input 2 5 2 3" xfId="1998"/>
    <cellStyle name="Input 2 5 2 3 2" xfId="11326"/>
    <cellStyle name="Input 2 5 2 3 2 2" xfId="24632"/>
    <cellStyle name="Input 2 5 2 3 3" xfId="15736"/>
    <cellStyle name="Input 2 5 2 3 3 2" xfId="29042"/>
    <cellStyle name="Input 2 5 2 3 4" xfId="20222"/>
    <cellStyle name="Input 2 5 2 3_Table" xfId="5865"/>
    <cellStyle name="Input 2 5 2 4" xfId="2428"/>
    <cellStyle name="Input 2 5 2 4 2" xfId="11756"/>
    <cellStyle name="Input 2 5 2 4 2 2" xfId="25062"/>
    <cellStyle name="Input 2 5 2 4 3" xfId="16166"/>
    <cellStyle name="Input 2 5 2 4 3 2" xfId="29472"/>
    <cellStyle name="Input 2 5 2 4 4" xfId="20652"/>
    <cellStyle name="Input 2 5 2 4_Table" xfId="5866"/>
    <cellStyle name="Input 2 5 2 5" xfId="2866"/>
    <cellStyle name="Input 2 5 2 5 2" xfId="12194"/>
    <cellStyle name="Input 2 5 2 5 2 2" xfId="25500"/>
    <cellStyle name="Input 2 5 2 5 3" xfId="16604"/>
    <cellStyle name="Input 2 5 2 5 3 2" xfId="29910"/>
    <cellStyle name="Input 2 5 2 5 4" xfId="21090"/>
    <cellStyle name="Input 2 5 2 5_Table" xfId="5867"/>
    <cellStyle name="Input 2 5 2 6" xfId="3273"/>
    <cellStyle name="Input 2 5 2 6 2" xfId="12601"/>
    <cellStyle name="Input 2 5 2 6 2 2" xfId="25907"/>
    <cellStyle name="Input 2 5 2 6 3" xfId="17011"/>
    <cellStyle name="Input 2 5 2 6 3 2" xfId="30317"/>
    <cellStyle name="Input 2 5 2 6 4" xfId="21497"/>
    <cellStyle name="Input 2 5 2 6_Table" xfId="5868"/>
    <cellStyle name="Input 2 5 2 7" xfId="3865"/>
    <cellStyle name="Input 2 5 2 7 2" xfId="13193"/>
    <cellStyle name="Input 2 5 2 7 2 2" xfId="26499"/>
    <cellStyle name="Input 2 5 2 7 3" xfId="17603"/>
    <cellStyle name="Input 2 5 2 7 3 2" xfId="30909"/>
    <cellStyle name="Input 2 5 2 7 4" xfId="22089"/>
    <cellStyle name="Input 2 5 2 7_Table" xfId="5869"/>
    <cellStyle name="Input 2 5 2 8" xfId="4090"/>
    <cellStyle name="Input 2 5 2 8 2" xfId="13418"/>
    <cellStyle name="Input 2 5 2 8 2 2" xfId="26724"/>
    <cellStyle name="Input 2 5 2 8 3" xfId="17828"/>
    <cellStyle name="Input 2 5 2 8 3 2" xfId="31134"/>
    <cellStyle name="Input 2 5 2 8 4" xfId="22314"/>
    <cellStyle name="Input 2 5 2 8_Table" xfId="5870"/>
    <cellStyle name="Input 2 5 2 9" xfId="4451"/>
    <cellStyle name="Input 2 5 2 9 2" xfId="13779"/>
    <cellStyle name="Input 2 5 2 9 2 2" xfId="27085"/>
    <cellStyle name="Input 2 5 2 9 3" xfId="18189"/>
    <cellStyle name="Input 2 5 2 9 3 2" xfId="31495"/>
    <cellStyle name="Input 2 5 2 9 4" xfId="22675"/>
    <cellStyle name="Input 2 5 2 9_Table" xfId="5871"/>
    <cellStyle name="Input 2 5 2_Table" xfId="5862"/>
    <cellStyle name="Input 2 5 3" xfId="1756"/>
    <cellStyle name="Input 2 5 3 2" xfId="11084"/>
    <cellStyle name="Input 2 5 3 2 2" xfId="24390"/>
    <cellStyle name="Input 2 5 3 3" xfId="15494"/>
    <cellStyle name="Input 2 5 3 3 2" xfId="28800"/>
    <cellStyle name="Input 2 5 3 4" xfId="19980"/>
    <cellStyle name="Input 2 5 3_Table" xfId="5872"/>
    <cellStyle name="Input 2 5 4" xfId="2189"/>
    <cellStyle name="Input 2 5 4 2" xfId="11517"/>
    <cellStyle name="Input 2 5 4 2 2" xfId="24823"/>
    <cellStyle name="Input 2 5 4 3" xfId="15927"/>
    <cellStyle name="Input 2 5 4 3 2" xfId="29233"/>
    <cellStyle name="Input 2 5 4 4" xfId="20413"/>
    <cellStyle name="Input 2 5 4_Table" xfId="5873"/>
    <cellStyle name="Input 2 5 5" xfId="2624"/>
    <cellStyle name="Input 2 5 5 2" xfId="11952"/>
    <cellStyle name="Input 2 5 5 2 2" xfId="25258"/>
    <cellStyle name="Input 2 5 5 3" xfId="16362"/>
    <cellStyle name="Input 2 5 5 3 2" xfId="29668"/>
    <cellStyle name="Input 2 5 5 4" xfId="20848"/>
    <cellStyle name="Input 2 5 5_Table" xfId="5874"/>
    <cellStyle name="Input 2 5 6" xfId="3037"/>
    <cellStyle name="Input 2 5 6 2" xfId="12365"/>
    <cellStyle name="Input 2 5 6 2 2" xfId="25671"/>
    <cellStyle name="Input 2 5 6 3" xfId="16775"/>
    <cellStyle name="Input 2 5 6 3 2" xfId="30081"/>
    <cellStyle name="Input 2 5 6 4" xfId="21261"/>
    <cellStyle name="Input 2 5 6_Table" xfId="5875"/>
    <cellStyle name="Input 2 5 7" xfId="3463"/>
    <cellStyle name="Input 2 5 7 2" xfId="12791"/>
    <cellStyle name="Input 2 5 7 2 2" xfId="26097"/>
    <cellStyle name="Input 2 5 7 3" xfId="17201"/>
    <cellStyle name="Input 2 5 7 3 2" xfId="30507"/>
    <cellStyle name="Input 2 5 7 4" xfId="21687"/>
    <cellStyle name="Input 2 5 7_Table" xfId="5876"/>
    <cellStyle name="Input 2 5 8" xfId="2661"/>
    <cellStyle name="Input 2 5 8 2" xfId="11989"/>
    <cellStyle name="Input 2 5 8 2 2" xfId="25295"/>
    <cellStyle name="Input 2 5 8 3" xfId="16399"/>
    <cellStyle name="Input 2 5 8 3 2" xfId="29705"/>
    <cellStyle name="Input 2 5 8 4" xfId="20885"/>
    <cellStyle name="Input 2 5 8_Table" xfId="5877"/>
    <cellStyle name="Input 2 5 9" xfId="4226"/>
    <cellStyle name="Input 2 5 9 2" xfId="13554"/>
    <cellStyle name="Input 2 5 9 2 2" xfId="26860"/>
    <cellStyle name="Input 2 5 9 3" xfId="17964"/>
    <cellStyle name="Input 2 5 9 3 2" xfId="31270"/>
    <cellStyle name="Input 2 5 9 4" xfId="22450"/>
    <cellStyle name="Input 2 5 9_Table" xfId="5878"/>
    <cellStyle name="Input 2 5_Table" xfId="5860"/>
    <cellStyle name="Input 2 6" xfId="672"/>
    <cellStyle name="Input 2 6 10" xfId="4632"/>
    <cellStyle name="Input 2 6 10 2" xfId="13960"/>
    <cellStyle name="Input 2 6 10 2 2" xfId="27266"/>
    <cellStyle name="Input 2 6 10 3" xfId="18370"/>
    <cellStyle name="Input 2 6 10 3 2" xfId="31676"/>
    <cellStyle name="Input 2 6 10 4" xfId="22856"/>
    <cellStyle name="Input 2 6 10_Table" xfId="5880"/>
    <cellStyle name="Input 2 6 11" xfId="10000"/>
    <cellStyle name="Input 2 6 11 2" xfId="23306"/>
    <cellStyle name="Input 2 6 12" xfId="14410"/>
    <cellStyle name="Input 2 6 12 2" xfId="27716"/>
    <cellStyle name="Input 2 6 13" xfId="18896"/>
    <cellStyle name="Input 2 6 2" xfId="1458"/>
    <cellStyle name="Input 2 6 2 2" xfId="10786"/>
    <cellStyle name="Input 2 6 2 2 2" xfId="24092"/>
    <cellStyle name="Input 2 6 2 3" xfId="15196"/>
    <cellStyle name="Input 2 6 2 3 2" xfId="28502"/>
    <cellStyle name="Input 2 6 2 4" xfId="19682"/>
    <cellStyle name="Input 2 6 2_Table" xfId="5881"/>
    <cellStyle name="Input 2 6 3" xfId="1818"/>
    <cellStyle name="Input 2 6 3 2" xfId="11146"/>
    <cellStyle name="Input 2 6 3 2 2" xfId="24452"/>
    <cellStyle name="Input 2 6 3 3" xfId="15556"/>
    <cellStyle name="Input 2 6 3 3 2" xfId="28862"/>
    <cellStyle name="Input 2 6 3 4" xfId="20042"/>
    <cellStyle name="Input 2 6 3_Table" xfId="5882"/>
    <cellStyle name="Input 2 6 4" xfId="2248"/>
    <cellStyle name="Input 2 6 4 2" xfId="11576"/>
    <cellStyle name="Input 2 6 4 2 2" xfId="24882"/>
    <cellStyle name="Input 2 6 4 3" xfId="15986"/>
    <cellStyle name="Input 2 6 4 3 2" xfId="29292"/>
    <cellStyle name="Input 2 6 4 4" xfId="20472"/>
    <cellStyle name="Input 2 6 4_Table" xfId="5883"/>
    <cellStyle name="Input 2 6 5" xfId="2686"/>
    <cellStyle name="Input 2 6 5 2" xfId="12014"/>
    <cellStyle name="Input 2 6 5 2 2" xfId="25320"/>
    <cellStyle name="Input 2 6 5 3" xfId="16424"/>
    <cellStyle name="Input 2 6 5 3 2" xfId="29730"/>
    <cellStyle name="Input 2 6 5 4" xfId="20910"/>
    <cellStyle name="Input 2 6 5_Table" xfId="5884"/>
    <cellStyle name="Input 2 6 6" xfId="3093"/>
    <cellStyle name="Input 2 6 6 2" xfId="12421"/>
    <cellStyle name="Input 2 6 6 2 2" xfId="25727"/>
    <cellStyle name="Input 2 6 6 3" xfId="16831"/>
    <cellStyle name="Input 2 6 6 3 2" xfId="30137"/>
    <cellStyle name="Input 2 6 6 4" xfId="21317"/>
    <cellStyle name="Input 2 6 6_Table" xfId="5885"/>
    <cellStyle name="Input 2 6 7" xfId="3685"/>
    <cellStyle name="Input 2 6 7 2" xfId="13013"/>
    <cellStyle name="Input 2 6 7 2 2" xfId="26319"/>
    <cellStyle name="Input 2 6 7 3" xfId="17423"/>
    <cellStyle name="Input 2 6 7 3 2" xfId="30729"/>
    <cellStyle name="Input 2 6 7 4" xfId="21909"/>
    <cellStyle name="Input 2 6 7_Table" xfId="5886"/>
    <cellStyle name="Input 2 6 8" xfId="3910"/>
    <cellStyle name="Input 2 6 8 2" xfId="13238"/>
    <cellStyle name="Input 2 6 8 2 2" xfId="26544"/>
    <cellStyle name="Input 2 6 8 3" xfId="17648"/>
    <cellStyle name="Input 2 6 8 3 2" xfId="30954"/>
    <cellStyle name="Input 2 6 8 4" xfId="22134"/>
    <cellStyle name="Input 2 6 8_Table" xfId="5887"/>
    <cellStyle name="Input 2 6 9" xfId="4271"/>
    <cellStyle name="Input 2 6 9 2" xfId="13599"/>
    <cellStyle name="Input 2 6 9 2 2" xfId="26905"/>
    <cellStyle name="Input 2 6 9 3" xfId="18009"/>
    <cellStyle name="Input 2 6 9 3 2" xfId="31315"/>
    <cellStyle name="Input 2 6 9 4" xfId="22495"/>
    <cellStyle name="Input 2 6 9_Table" xfId="5888"/>
    <cellStyle name="Input 2 6_Table" xfId="5879"/>
    <cellStyle name="Input 2 7" xfId="1093"/>
    <cellStyle name="Input 2 7 2" xfId="10421"/>
    <cellStyle name="Input 2 7 2 2" xfId="23727"/>
    <cellStyle name="Input 2 7 3" xfId="14831"/>
    <cellStyle name="Input 2 7 3 2" xfId="28137"/>
    <cellStyle name="Input 2 7 4" xfId="19317"/>
    <cellStyle name="Input 2 7_Table" xfId="5889"/>
    <cellStyle name="Input 2 8" xfId="1159"/>
    <cellStyle name="Input 2 8 2" xfId="10487"/>
    <cellStyle name="Input 2 8 2 2" xfId="23793"/>
    <cellStyle name="Input 2 8 3" xfId="14897"/>
    <cellStyle name="Input 2 8 3 2" xfId="28203"/>
    <cellStyle name="Input 2 8 4" xfId="19383"/>
    <cellStyle name="Input 2 8_Table" xfId="5890"/>
    <cellStyle name="Input 2 9" xfId="1083"/>
    <cellStyle name="Input 2 9 2" xfId="10411"/>
    <cellStyle name="Input 2 9 2 2" xfId="23717"/>
    <cellStyle name="Input 2 9 3" xfId="14821"/>
    <cellStyle name="Input 2 9 3 2" xfId="28127"/>
    <cellStyle name="Input 2 9 4" xfId="19307"/>
    <cellStyle name="Input 2 9_Table" xfId="5891"/>
    <cellStyle name="Input 2_Table" xfId="5797"/>
    <cellStyle name="Input 3" xfId="309"/>
    <cellStyle name="Input 3 10" xfId="1393"/>
    <cellStyle name="Input 3 10 2" xfId="10721"/>
    <cellStyle name="Input 3 10 2 2" xfId="24027"/>
    <cellStyle name="Input 3 10 3" xfId="15131"/>
    <cellStyle name="Input 3 10 3 2" xfId="28437"/>
    <cellStyle name="Input 3 10 4" xfId="19617"/>
    <cellStyle name="Input 3 10_Table" xfId="5893"/>
    <cellStyle name="Input 3 11" xfId="965"/>
    <cellStyle name="Input 3 11 2" xfId="10293"/>
    <cellStyle name="Input 3 11 2 2" xfId="23599"/>
    <cellStyle name="Input 3 11 3" xfId="14703"/>
    <cellStyle name="Input 3 11 3 2" xfId="28009"/>
    <cellStyle name="Input 3 11 4" xfId="19189"/>
    <cellStyle name="Input 3 11_Table" xfId="5894"/>
    <cellStyle name="Input 3 12" xfId="1152"/>
    <cellStyle name="Input 3 12 2" xfId="10480"/>
    <cellStyle name="Input 3 12 2 2" xfId="23786"/>
    <cellStyle name="Input 3 12 3" xfId="14890"/>
    <cellStyle name="Input 3 12 3 2" xfId="28196"/>
    <cellStyle name="Input 3 12 4" xfId="19376"/>
    <cellStyle name="Input 3 12_Table" xfId="5895"/>
    <cellStyle name="Input 3 13" xfId="961"/>
    <cellStyle name="Input 3 13 2" xfId="10289"/>
    <cellStyle name="Input 3 13 2 2" xfId="23595"/>
    <cellStyle name="Input 3 13 3" xfId="14699"/>
    <cellStyle name="Input 3 13 3 2" xfId="28005"/>
    <cellStyle name="Input 3 13 4" xfId="19185"/>
    <cellStyle name="Input 3 13_Table" xfId="5896"/>
    <cellStyle name="Input 3 14" xfId="3553"/>
    <cellStyle name="Input 3 14 2" xfId="12881"/>
    <cellStyle name="Input 3 14 2 2" xfId="26187"/>
    <cellStyle name="Input 3 14 3" xfId="17291"/>
    <cellStyle name="Input 3 14 3 2" xfId="30597"/>
    <cellStyle name="Input 3 14 4" xfId="21777"/>
    <cellStyle name="Input 3 14_Table" xfId="5897"/>
    <cellStyle name="Input 3 15" xfId="9637"/>
    <cellStyle name="Input 3 15 2" xfId="23082"/>
    <cellStyle name="Input 3 16" xfId="14186"/>
    <cellStyle name="Input 3 16 2" xfId="27492"/>
    <cellStyle name="Input 3 17" xfId="18672"/>
    <cellStyle name="Input 3 2" xfId="403"/>
    <cellStyle name="Input 3 2 10" xfId="3520"/>
    <cellStyle name="Input 3 2 10 2" xfId="12848"/>
    <cellStyle name="Input 3 2 10 2 2" xfId="26154"/>
    <cellStyle name="Input 3 2 10 3" xfId="17258"/>
    <cellStyle name="Input 3 2 10 3 2" xfId="30564"/>
    <cellStyle name="Input 3 2 10 4" xfId="21744"/>
    <cellStyle name="Input 3 2 10_Table" xfId="5899"/>
    <cellStyle name="Input 3 2 11" xfId="9731"/>
    <cellStyle name="Input 3 2 11 2" xfId="23127"/>
    <cellStyle name="Input 3 2 12" xfId="14231"/>
    <cellStyle name="Input 3 2 12 2" xfId="27537"/>
    <cellStyle name="Input 3 2 13" xfId="18717"/>
    <cellStyle name="Input 3 2 2" xfId="718"/>
    <cellStyle name="Input 3 2 2 10" xfId="4678"/>
    <cellStyle name="Input 3 2 2 10 2" xfId="14006"/>
    <cellStyle name="Input 3 2 2 10 2 2" xfId="27312"/>
    <cellStyle name="Input 3 2 2 10 3" xfId="18416"/>
    <cellStyle name="Input 3 2 2 10 3 2" xfId="31722"/>
    <cellStyle name="Input 3 2 2 10 4" xfId="22902"/>
    <cellStyle name="Input 3 2 2 10_Table" xfId="5901"/>
    <cellStyle name="Input 3 2 2 11" xfId="10046"/>
    <cellStyle name="Input 3 2 2 11 2" xfId="23352"/>
    <cellStyle name="Input 3 2 2 12" xfId="14456"/>
    <cellStyle name="Input 3 2 2 12 2" xfId="27762"/>
    <cellStyle name="Input 3 2 2 13" xfId="18942"/>
    <cellStyle name="Input 3 2 2 2" xfId="1504"/>
    <cellStyle name="Input 3 2 2 2 2" xfId="10832"/>
    <cellStyle name="Input 3 2 2 2 2 2" xfId="24138"/>
    <cellStyle name="Input 3 2 2 2 3" xfId="15242"/>
    <cellStyle name="Input 3 2 2 2 3 2" xfId="28548"/>
    <cellStyle name="Input 3 2 2 2 4" xfId="19728"/>
    <cellStyle name="Input 3 2 2 2_Table" xfId="5902"/>
    <cellStyle name="Input 3 2 2 3" xfId="1864"/>
    <cellStyle name="Input 3 2 2 3 2" xfId="11192"/>
    <cellStyle name="Input 3 2 2 3 2 2" xfId="24498"/>
    <cellStyle name="Input 3 2 2 3 3" xfId="15602"/>
    <cellStyle name="Input 3 2 2 3 3 2" xfId="28908"/>
    <cellStyle name="Input 3 2 2 3 4" xfId="20088"/>
    <cellStyle name="Input 3 2 2 3_Table" xfId="5903"/>
    <cellStyle name="Input 3 2 2 4" xfId="2294"/>
    <cellStyle name="Input 3 2 2 4 2" xfId="11622"/>
    <cellStyle name="Input 3 2 2 4 2 2" xfId="24928"/>
    <cellStyle name="Input 3 2 2 4 3" xfId="16032"/>
    <cellStyle name="Input 3 2 2 4 3 2" xfId="29338"/>
    <cellStyle name="Input 3 2 2 4 4" xfId="20518"/>
    <cellStyle name="Input 3 2 2 4_Table" xfId="5904"/>
    <cellStyle name="Input 3 2 2 5" xfId="2732"/>
    <cellStyle name="Input 3 2 2 5 2" xfId="12060"/>
    <cellStyle name="Input 3 2 2 5 2 2" xfId="25366"/>
    <cellStyle name="Input 3 2 2 5 3" xfId="16470"/>
    <cellStyle name="Input 3 2 2 5 3 2" xfId="29776"/>
    <cellStyle name="Input 3 2 2 5 4" xfId="20956"/>
    <cellStyle name="Input 3 2 2 5_Table" xfId="5905"/>
    <cellStyle name="Input 3 2 2 6" xfId="3139"/>
    <cellStyle name="Input 3 2 2 6 2" xfId="12467"/>
    <cellStyle name="Input 3 2 2 6 2 2" xfId="25773"/>
    <cellStyle name="Input 3 2 2 6 3" xfId="16877"/>
    <cellStyle name="Input 3 2 2 6 3 2" xfId="30183"/>
    <cellStyle name="Input 3 2 2 6 4" xfId="21363"/>
    <cellStyle name="Input 3 2 2 6_Table" xfId="5906"/>
    <cellStyle name="Input 3 2 2 7" xfId="3731"/>
    <cellStyle name="Input 3 2 2 7 2" xfId="13059"/>
    <cellStyle name="Input 3 2 2 7 2 2" xfId="26365"/>
    <cellStyle name="Input 3 2 2 7 3" xfId="17469"/>
    <cellStyle name="Input 3 2 2 7 3 2" xfId="30775"/>
    <cellStyle name="Input 3 2 2 7 4" xfId="21955"/>
    <cellStyle name="Input 3 2 2 7_Table" xfId="5907"/>
    <cellStyle name="Input 3 2 2 8" xfId="3956"/>
    <cellStyle name="Input 3 2 2 8 2" xfId="13284"/>
    <cellStyle name="Input 3 2 2 8 2 2" xfId="26590"/>
    <cellStyle name="Input 3 2 2 8 3" xfId="17694"/>
    <cellStyle name="Input 3 2 2 8 3 2" xfId="31000"/>
    <cellStyle name="Input 3 2 2 8 4" xfId="22180"/>
    <cellStyle name="Input 3 2 2 8_Table" xfId="5908"/>
    <cellStyle name="Input 3 2 2 9" xfId="4317"/>
    <cellStyle name="Input 3 2 2 9 2" xfId="13645"/>
    <cellStyle name="Input 3 2 2 9 2 2" xfId="26951"/>
    <cellStyle name="Input 3 2 2 9 3" xfId="18055"/>
    <cellStyle name="Input 3 2 2 9 3 2" xfId="31361"/>
    <cellStyle name="Input 3 2 2 9 4" xfId="22541"/>
    <cellStyle name="Input 3 2 2 9_Table" xfId="5909"/>
    <cellStyle name="Input 3 2 2_Table" xfId="5900"/>
    <cellStyle name="Input 3 2 3" xfId="1009"/>
    <cellStyle name="Input 3 2 3 2" xfId="10337"/>
    <cellStyle name="Input 3 2 3 2 2" xfId="23643"/>
    <cellStyle name="Input 3 2 3 3" xfId="14747"/>
    <cellStyle name="Input 3 2 3 3 2" xfId="28053"/>
    <cellStyle name="Input 3 2 3 4" xfId="19233"/>
    <cellStyle name="Input 3 2 3_Table" xfId="5910"/>
    <cellStyle name="Input 3 2 4" xfId="1315"/>
    <cellStyle name="Input 3 2 4 2" xfId="10643"/>
    <cellStyle name="Input 3 2 4 2 2" xfId="23949"/>
    <cellStyle name="Input 3 2 4 3" xfId="15053"/>
    <cellStyle name="Input 3 2 4 3 2" xfId="28359"/>
    <cellStyle name="Input 3 2 4 4" xfId="19539"/>
    <cellStyle name="Input 3 2 4_Table" xfId="5911"/>
    <cellStyle name="Input 3 2 5" xfId="1074"/>
    <cellStyle name="Input 3 2 5 2" xfId="10402"/>
    <cellStyle name="Input 3 2 5 2 2" xfId="23708"/>
    <cellStyle name="Input 3 2 5 3" xfId="14812"/>
    <cellStyle name="Input 3 2 5 3 2" xfId="28118"/>
    <cellStyle name="Input 3 2 5 4" xfId="19298"/>
    <cellStyle name="Input 3 2 5_Table" xfId="5912"/>
    <cellStyle name="Input 3 2 6" xfId="1269"/>
    <cellStyle name="Input 3 2 6 2" xfId="10597"/>
    <cellStyle name="Input 3 2 6 2 2" xfId="23903"/>
    <cellStyle name="Input 3 2 6 3" xfId="15007"/>
    <cellStyle name="Input 3 2 6 3 2" xfId="28313"/>
    <cellStyle name="Input 3 2 6 4" xfId="19493"/>
    <cellStyle name="Input 3 2 6_Table" xfId="5913"/>
    <cellStyle name="Input 3 2 7" xfId="1742"/>
    <cellStyle name="Input 3 2 7 2" xfId="11070"/>
    <cellStyle name="Input 3 2 7 2 2" xfId="24376"/>
    <cellStyle name="Input 3 2 7 3" xfId="15480"/>
    <cellStyle name="Input 3 2 7 3 2" xfId="28786"/>
    <cellStyle name="Input 3 2 7 4" xfId="19966"/>
    <cellStyle name="Input 3 2 7_Table" xfId="5914"/>
    <cellStyle name="Input 3 2 8" xfId="3582"/>
    <cellStyle name="Input 3 2 8 2" xfId="12910"/>
    <cellStyle name="Input 3 2 8 2 2" xfId="26216"/>
    <cellStyle name="Input 3 2 8 3" xfId="17320"/>
    <cellStyle name="Input 3 2 8 3 2" xfId="30626"/>
    <cellStyle name="Input 3 2 8 4" xfId="21806"/>
    <cellStyle name="Input 3 2 8_Table" xfId="5915"/>
    <cellStyle name="Input 3 2 9" xfId="1279"/>
    <cellStyle name="Input 3 2 9 2" xfId="10607"/>
    <cellStyle name="Input 3 2 9 2 2" xfId="23913"/>
    <cellStyle name="Input 3 2 9 3" xfId="15017"/>
    <cellStyle name="Input 3 2 9 3 2" xfId="28323"/>
    <cellStyle name="Input 3 2 9 4" xfId="19503"/>
    <cellStyle name="Input 3 2 9_Table" xfId="5916"/>
    <cellStyle name="Input 3 2_Table" xfId="5898"/>
    <cellStyle name="Input 3 3" xfId="471"/>
    <cellStyle name="Input 3 3 10" xfId="4498"/>
    <cellStyle name="Input 3 3 10 2" xfId="13826"/>
    <cellStyle name="Input 3 3 10 2 2" xfId="27132"/>
    <cellStyle name="Input 3 3 10 3" xfId="18236"/>
    <cellStyle name="Input 3 3 10 3 2" xfId="31542"/>
    <cellStyle name="Input 3 3 10 4" xfId="22722"/>
    <cellStyle name="Input 3 3 10_Table" xfId="5918"/>
    <cellStyle name="Input 3 3 11" xfId="9799"/>
    <cellStyle name="Input 3 3 11 2" xfId="23172"/>
    <cellStyle name="Input 3 3 12" xfId="14276"/>
    <cellStyle name="Input 3 3 12 2" xfId="27582"/>
    <cellStyle name="Input 3 3 13" xfId="18762"/>
    <cellStyle name="Input 3 3 2" xfId="763"/>
    <cellStyle name="Input 3 3 2 10" xfId="4723"/>
    <cellStyle name="Input 3 3 2 10 2" xfId="14051"/>
    <cellStyle name="Input 3 3 2 10 2 2" xfId="27357"/>
    <cellStyle name="Input 3 3 2 10 3" xfId="18461"/>
    <cellStyle name="Input 3 3 2 10 3 2" xfId="31767"/>
    <cellStyle name="Input 3 3 2 10 4" xfId="22947"/>
    <cellStyle name="Input 3 3 2 10_Table" xfId="5920"/>
    <cellStyle name="Input 3 3 2 11" xfId="10091"/>
    <cellStyle name="Input 3 3 2 11 2" xfId="23397"/>
    <cellStyle name="Input 3 3 2 12" xfId="14501"/>
    <cellStyle name="Input 3 3 2 12 2" xfId="27807"/>
    <cellStyle name="Input 3 3 2 13" xfId="18987"/>
    <cellStyle name="Input 3 3 2 2" xfId="1549"/>
    <cellStyle name="Input 3 3 2 2 2" xfId="10877"/>
    <cellStyle name="Input 3 3 2 2 2 2" xfId="24183"/>
    <cellStyle name="Input 3 3 2 2 3" xfId="15287"/>
    <cellStyle name="Input 3 3 2 2 3 2" xfId="28593"/>
    <cellStyle name="Input 3 3 2 2 4" xfId="19773"/>
    <cellStyle name="Input 3 3 2 2_Table" xfId="5921"/>
    <cellStyle name="Input 3 3 2 3" xfId="1909"/>
    <cellStyle name="Input 3 3 2 3 2" xfId="11237"/>
    <cellStyle name="Input 3 3 2 3 2 2" xfId="24543"/>
    <cellStyle name="Input 3 3 2 3 3" xfId="15647"/>
    <cellStyle name="Input 3 3 2 3 3 2" xfId="28953"/>
    <cellStyle name="Input 3 3 2 3 4" xfId="20133"/>
    <cellStyle name="Input 3 3 2 3_Table" xfId="5922"/>
    <cellStyle name="Input 3 3 2 4" xfId="2339"/>
    <cellStyle name="Input 3 3 2 4 2" xfId="11667"/>
    <cellStyle name="Input 3 3 2 4 2 2" xfId="24973"/>
    <cellStyle name="Input 3 3 2 4 3" xfId="16077"/>
    <cellStyle name="Input 3 3 2 4 3 2" xfId="29383"/>
    <cellStyle name="Input 3 3 2 4 4" xfId="20563"/>
    <cellStyle name="Input 3 3 2 4_Table" xfId="5923"/>
    <cellStyle name="Input 3 3 2 5" xfId="2777"/>
    <cellStyle name="Input 3 3 2 5 2" xfId="12105"/>
    <cellStyle name="Input 3 3 2 5 2 2" xfId="25411"/>
    <cellStyle name="Input 3 3 2 5 3" xfId="16515"/>
    <cellStyle name="Input 3 3 2 5 3 2" xfId="29821"/>
    <cellStyle name="Input 3 3 2 5 4" xfId="21001"/>
    <cellStyle name="Input 3 3 2 5_Table" xfId="5924"/>
    <cellStyle name="Input 3 3 2 6" xfId="3184"/>
    <cellStyle name="Input 3 3 2 6 2" xfId="12512"/>
    <cellStyle name="Input 3 3 2 6 2 2" xfId="25818"/>
    <cellStyle name="Input 3 3 2 6 3" xfId="16922"/>
    <cellStyle name="Input 3 3 2 6 3 2" xfId="30228"/>
    <cellStyle name="Input 3 3 2 6 4" xfId="21408"/>
    <cellStyle name="Input 3 3 2 6_Table" xfId="5925"/>
    <cellStyle name="Input 3 3 2 7" xfId="3776"/>
    <cellStyle name="Input 3 3 2 7 2" xfId="13104"/>
    <cellStyle name="Input 3 3 2 7 2 2" xfId="26410"/>
    <cellStyle name="Input 3 3 2 7 3" xfId="17514"/>
    <cellStyle name="Input 3 3 2 7 3 2" xfId="30820"/>
    <cellStyle name="Input 3 3 2 7 4" xfId="22000"/>
    <cellStyle name="Input 3 3 2 7_Table" xfId="5926"/>
    <cellStyle name="Input 3 3 2 8" xfId="4001"/>
    <cellStyle name="Input 3 3 2 8 2" xfId="13329"/>
    <cellStyle name="Input 3 3 2 8 2 2" xfId="26635"/>
    <cellStyle name="Input 3 3 2 8 3" xfId="17739"/>
    <cellStyle name="Input 3 3 2 8 3 2" xfId="31045"/>
    <cellStyle name="Input 3 3 2 8 4" xfId="22225"/>
    <cellStyle name="Input 3 3 2 8_Table" xfId="5927"/>
    <cellStyle name="Input 3 3 2 9" xfId="4362"/>
    <cellStyle name="Input 3 3 2 9 2" xfId="13690"/>
    <cellStyle name="Input 3 3 2 9 2 2" xfId="26996"/>
    <cellStyle name="Input 3 3 2 9 3" xfId="18100"/>
    <cellStyle name="Input 3 3 2 9 3 2" xfId="31406"/>
    <cellStyle name="Input 3 3 2 9 4" xfId="22586"/>
    <cellStyle name="Input 3 3 2 9_Table" xfId="5928"/>
    <cellStyle name="Input 3 3 2_Table" xfId="5919"/>
    <cellStyle name="Input 3 3 3" xfId="943"/>
    <cellStyle name="Input 3 3 3 2" xfId="10271"/>
    <cellStyle name="Input 3 3 3 2 2" xfId="23577"/>
    <cellStyle name="Input 3 3 3 3" xfId="14681"/>
    <cellStyle name="Input 3 3 3 3 2" xfId="27987"/>
    <cellStyle name="Input 3 3 3 4" xfId="19167"/>
    <cellStyle name="Input 3 3 3_Table" xfId="5929"/>
    <cellStyle name="Input 3 3 4" xfId="2062"/>
    <cellStyle name="Input 3 3 4 2" xfId="11390"/>
    <cellStyle name="Input 3 3 4 2 2" xfId="24696"/>
    <cellStyle name="Input 3 3 4 3" xfId="15800"/>
    <cellStyle name="Input 3 3 4 3 2" xfId="29106"/>
    <cellStyle name="Input 3 3 4 4" xfId="20286"/>
    <cellStyle name="Input 3 3 4_Table" xfId="5930"/>
    <cellStyle name="Input 3 3 5" xfId="2494"/>
    <cellStyle name="Input 3 3 5 2" xfId="11822"/>
    <cellStyle name="Input 3 3 5 2 2" xfId="25128"/>
    <cellStyle name="Input 3 3 5 3" xfId="16232"/>
    <cellStyle name="Input 3 3 5 3 2" xfId="29538"/>
    <cellStyle name="Input 3 3 5 4" xfId="20718"/>
    <cellStyle name="Input 3 3 5_Table" xfId="5931"/>
    <cellStyle name="Input 3 3 6" xfId="2923"/>
    <cellStyle name="Input 3 3 6 2" xfId="12251"/>
    <cellStyle name="Input 3 3 6 2 2" xfId="25557"/>
    <cellStyle name="Input 3 3 6 3" xfId="16661"/>
    <cellStyle name="Input 3 3 6 3 2" xfId="29967"/>
    <cellStyle name="Input 3 3 6 4" xfId="21147"/>
    <cellStyle name="Input 3 3 6_Table" xfId="5932"/>
    <cellStyle name="Input 3 3 7" xfId="3335"/>
    <cellStyle name="Input 3 3 7 2" xfId="12663"/>
    <cellStyle name="Input 3 3 7 2 2" xfId="25969"/>
    <cellStyle name="Input 3 3 7 3" xfId="17073"/>
    <cellStyle name="Input 3 3 7 3 2" xfId="30379"/>
    <cellStyle name="Input 3 3 7 4" xfId="21559"/>
    <cellStyle name="Input 3 3 7_Table" xfId="5933"/>
    <cellStyle name="Input 3 3 8" xfId="2600"/>
    <cellStyle name="Input 3 3 8 2" xfId="11928"/>
    <cellStyle name="Input 3 3 8 2 2" xfId="25234"/>
    <cellStyle name="Input 3 3 8 3" xfId="16338"/>
    <cellStyle name="Input 3 3 8 3 2" xfId="29644"/>
    <cellStyle name="Input 3 3 8 4" xfId="20824"/>
    <cellStyle name="Input 3 3 8_Table" xfId="5934"/>
    <cellStyle name="Input 3 3 9" xfId="4137"/>
    <cellStyle name="Input 3 3 9 2" xfId="13465"/>
    <cellStyle name="Input 3 3 9 2 2" xfId="26771"/>
    <cellStyle name="Input 3 3 9 3" xfId="17875"/>
    <cellStyle name="Input 3 3 9 3 2" xfId="31181"/>
    <cellStyle name="Input 3 3 9 4" xfId="22361"/>
    <cellStyle name="Input 3 3 9_Table" xfId="5935"/>
    <cellStyle name="Input 3 3_Table" xfId="5917"/>
    <cellStyle name="Input 3 4" xfId="535"/>
    <cellStyle name="Input 3 4 10" xfId="4543"/>
    <cellStyle name="Input 3 4 10 2" xfId="13871"/>
    <cellStyle name="Input 3 4 10 2 2" xfId="27177"/>
    <cellStyle name="Input 3 4 10 3" xfId="18281"/>
    <cellStyle name="Input 3 4 10 3 2" xfId="31587"/>
    <cellStyle name="Input 3 4 10 4" xfId="22767"/>
    <cellStyle name="Input 3 4 10_Table" xfId="5937"/>
    <cellStyle name="Input 3 4 11" xfId="9863"/>
    <cellStyle name="Input 3 4 11 2" xfId="23217"/>
    <cellStyle name="Input 3 4 12" xfId="14321"/>
    <cellStyle name="Input 3 4 12 2" xfId="27627"/>
    <cellStyle name="Input 3 4 13" xfId="18807"/>
    <cellStyle name="Input 3 4 2" xfId="808"/>
    <cellStyle name="Input 3 4 2 10" xfId="4768"/>
    <cellStyle name="Input 3 4 2 10 2" xfId="14096"/>
    <cellStyle name="Input 3 4 2 10 2 2" xfId="27402"/>
    <cellStyle name="Input 3 4 2 10 3" xfId="18506"/>
    <cellStyle name="Input 3 4 2 10 3 2" xfId="31812"/>
    <cellStyle name="Input 3 4 2 10 4" xfId="22992"/>
    <cellStyle name="Input 3 4 2 10_Table" xfId="5939"/>
    <cellStyle name="Input 3 4 2 11" xfId="10136"/>
    <cellStyle name="Input 3 4 2 11 2" xfId="23442"/>
    <cellStyle name="Input 3 4 2 12" xfId="14546"/>
    <cellStyle name="Input 3 4 2 12 2" xfId="27852"/>
    <cellStyle name="Input 3 4 2 13" xfId="19032"/>
    <cellStyle name="Input 3 4 2 2" xfId="1594"/>
    <cellStyle name="Input 3 4 2 2 2" xfId="10922"/>
    <cellStyle name="Input 3 4 2 2 2 2" xfId="24228"/>
    <cellStyle name="Input 3 4 2 2 3" xfId="15332"/>
    <cellStyle name="Input 3 4 2 2 3 2" xfId="28638"/>
    <cellStyle name="Input 3 4 2 2 4" xfId="19818"/>
    <cellStyle name="Input 3 4 2 2_Table" xfId="5940"/>
    <cellStyle name="Input 3 4 2 3" xfId="1954"/>
    <cellStyle name="Input 3 4 2 3 2" xfId="11282"/>
    <cellStyle name="Input 3 4 2 3 2 2" xfId="24588"/>
    <cellStyle name="Input 3 4 2 3 3" xfId="15692"/>
    <cellStyle name="Input 3 4 2 3 3 2" xfId="28998"/>
    <cellStyle name="Input 3 4 2 3 4" xfId="20178"/>
    <cellStyle name="Input 3 4 2 3_Table" xfId="5941"/>
    <cellStyle name="Input 3 4 2 4" xfId="2384"/>
    <cellStyle name="Input 3 4 2 4 2" xfId="11712"/>
    <cellStyle name="Input 3 4 2 4 2 2" xfId="25018"/>
    <cellStyle name="Input 3 4 2 4 3" xfId="16122"/>
    <cellStyle name="Input 3 4 2 4 3 2" xfId="29428"/>
    <cellStyle name="Input 3 4 2 4 4" xfId="20608"/>
    <cellStyle name="Input 3 4 2 4_Table" xfId="5942"/>
    <cellStyle name="Input 3 4 2 5" xfId="2822"/>
    <cellStyle name="Input 3 4 2 5 2" xfId="12150"/>
    <cellStyle name="Input 3 4 2 5 2 2" xfId="25456"/>
    <cellStyle name="Input 3 4 2 5 3" xfId="16560"/>
    <cellStyle name="Input 3 4 2 5 3 2" xfId="29866"/>
    <cellStyle name="Input 3 4 2 5 4" xfId="21046"/>
    <cellStyle name="Input 3 4 2 5_Table" xfId="5943"/>
    <cellStyle name="Input 3 4 2 6" xfId="3229"/>
    <cellStyle name="Input 3 4 2 6 2" xfId="12557"/>
    <cellStyle name="Input 3 4 2 6 2 2" xfId="25863"/>
    <cellStyle name="Input 3 4 2 6 3" xfId="16967"/>
    <cellStyle name="Input 3 4 2 6 3 2" xfId="30273"/>
    <cellStyle name="Input 3 4 2 6 4" xfId="21453"/>
    <cellStyle name="Input 3 4 2 6_Table" xfId="5944"/>
    <cellStyle name="Input 3 4 2 7" xfId="3821"/>
    <cellStyle name="Input 3 4 2 7 2" xfId="13149"/>
    <cellStyle name="Input 3 4 2 7 2 2" xfId="26455"/>
    <cellStyle name="Input 3 4 2 7 3" xfId="17559"/>
    <cellStyle name="Input 3 4 2 7 3 2" xfId="30865"/>
    <cellStyle name="Input 3 4 2 7 4" xfId="22045"/>
    <cellStyle name="Input 3 4 2 7_Table" xfId="5945"/>
    <cellStyle name="Input 3 4 2 8" xfId="4046"/>
    <cellStyle name="Input 3 4 2 8 2" xfId="13374"/>
    <cellStyle name="Input 3 4 2 8 2 2" xfId="26680"/>
    <cellStyle name="Input 3 4 2 8 3" xfId="17784"/>
    <cellStyle name="Input 3 4 2 8 3 2" xfId="31090"/>
    <cellStyle name="Input 3 4 2 8 4" xfId="22270"/>
    <cellStyle name="Input 3 4 2 8_Table" xfId="5946"/>
    <cellStyle name="Input 3 4 2 9" xfId="4407"/>
    <cellStyle name="Input 3 4 2 9 2" xfId="13735"/>
    <cellStyle name="Input 3 4 2 9 2 2" xfId="27041"/>
    <cellStyle name="Input 3 4 2 9 3" xfId="18145"/>
    <cellStyle name="Input 3 4 2 9 3 2" xfId="31451"/>
    <cellStyle name="Input 3 4 2 9 4" xfId="22631"/>
    <cellStyle name="Input 3 4 2 9_Table" xfId="5947"/>
    <cellStyle name="Input 3 4 2_Table" xfId="5938"/>
    <cellStyle name="Input 3 4 3" xfId="1687"/>
    <cellStyle name="Input 3 4 3 2" xfId="11015"/>
    <cellStyle name="Input 3 4 3 2 2" xfId="24321"/>
    <cellStyle name="Input 3 4 3 3" xfId="15425"/>
    <cellStyle name="Input 3 4 3 3 2" xfId="28731"/>
    <cellStyle name="Input 3 4 3 4" xfId="19911"/>
    <cellStyle name="Input 3 4 3_Table" xfId="5948"/>
    <cellStyle name="Input 3 4 4" xfId="2121"/>
    <cellStyle name="Input 3 4 4 2" xfId="11449"/>
    <cellStyle name="Input 3 4 4 2 2" xfId="24755"/>
    <cellStyle name="Input 3 4 4 3" xfId="15859"/>
    <cellStyle name="Input 3 4 4 3 2" xfId="29165"/>
    <cellStyle name="Input 3 4 4 4" xfId="20345"/>
    <cellStyle name="Input 3 4 4_Table" xfId="5949"/>
    <cellStyle name="Input 3 4 5" xfId="2553"/>
    <cellStyle name="Input 3 4 5 2" xfId="11881"/>
    <cellStyle name="Input 3 4 5 2 2" xfId="25187"/>
    <cellStyle name="Input 3 4 5 3" xfId="16291"/>
    <cellStyle name="Input 3 4 5 3 2" xfId="29597"/>
    <cellStyle name="Input 3 4 5 4" xfId="20777"/>
    <cellStyle name="Input 3 4 5_Table" xfId="5950"/>
    <cellStyle name="Input 3 4 6" xfId="2980"/>
    <cellStyle name="Input 3 4 6 2" xfId="12308"/>
    <cellStyle name="Input 3 4 6 2 2" xfId="25614"/>
    <cellStyle name="Input 3 4 6 3" xfId="16718"/>
    <cellStyle name="Input 3 4 6 3 2" xfId="30024"/>
    <cellStyle name="Input 3 4 6 4" xfId="21204"/>
    <cellStyle name="Input 3 4 6_Table" xfId="5951"/>
    <cellStyle name="Input 3 4 7" xfId="3393"/>
    <cellStyle name="Input 3 4 7 2" xfId="12721"/>
    <cellStyle name="Input 3 4 7 2 2" xfId="26027"/>
    <cellStyle name="Input 3 4 7 3" xfId="17131"/>
    <cellStyle name="Input 3 4 7 3 2" xfId="30437"/>
    <cellStyle name="Input 3 4 7 4" xfId="21617"/>
    <cellStyle name="Input 3 4 7_Table" xfId="5952"/>
    <cellStyle name="Input 3 4 8" xfId="3526"/>
    <cellStyle name="Input 3 4 8 2" xfId="12854"/>
    <cellStyle name="Input 3 4 8 2 2" xfId="26160"/>
    <cellStyle name="Input 3 4 8 3" xfId="17264"/>
    <cellStyle name="Input 3 4 8 3 2" xfId="30570"/>
    <cellStyle name="Input 3 4 8 4" xfId="21750"/>
    <cellStyle name="Input 3 4 8_Table" xfId="5953"/>
    <cellStyle name="Input 3 4 9" xfId="4182"/>
    <cellStyle name="Input 3 4 9 2" xfId="13510"/>
    <cellStyle name="Input 3 4 9 2 2" xfId="26816"/>
    <cellStyle name="Input 3 4 9 3" xfId="17920"/>
    <cellStyle name="Input 3 4 9 3 2" xfId="31226"/>
    <cellStyle name="Input 3 4 9 4" xfId="22406"/>
    <cellStyle name="Input 3 4 9_Table" xfId="5954"/>
    <cellStyle name="Input 3 4_Table" xfId="5936"/>
    <cellStyle name="Input 3 5" xfId="610"/>
    <cellStyle name="Input 3 5 10" xfId="4588"/>
    <cellStyle name="Input 3 5 10 2" xfId="13916"/>
    <cellStyle name="Input 3 5 10 2 2" xfId="27222"/>
    <cellStyle name="Input 3 5 10 3" xfId="18326"/>
    <cellStyle name="Input 3 5 10 3 2" xfId="31632"/>
    <cellStyle name="Input 3 5 10 4" xfId="22812"/>
    <cellStyle name="Input 3 5 10_Table" xfId="5956"/>
    <cellStyle name="Input 3 5 11" xfId="9938"/>
    <cellStyle name="Input 3 5 11 2" xfId="23262"/>
    <cellStyle name="Input 3 5 12" xfId="14366"/>
    <cellStyle name="Input 3 5 12 2" xfId="27672"/>
    <cellStyle name="Input 3 5 13" xfId="18852"/>
    <cellStyle name="Input 3 5 2" xfId="853"/>
    <cellStyle name="Input 3 5 2 10" xfId="4813"/>
    <cellStyle name="Input 3 5 2 10 2" xfId="14141"/>
    <cellStyle name="Input 3 5 2 10 2 2" xfId="27447"/>
    <cellStyle name="Input 3 5 2 10 3" xfId="18551"/>
    <cellStyle name="Input 3 5 2 10 3 2" xfId="31857"/>
    <cellStyle name="Input 3 5 2 10 4" xfId="23037"/>
    <cellStyle name="Input 3 5 2 10_Table" xfId="5958"/>
    <cellStyle name="Input 3 5 2 11" xfId="10181"/>
    <cellStyle name="Input 3 5 2 11 2" xfId="23487"/>
    <cellStyle name="Input 3 5 2 12" xfId="14591"/>
    <cellStyle name="Input 3 5 2 12 2" xfId="27897"/>
    <cellStyle name="Input 3 5 2 13" xfId="19077"/>
    <cellStyle name="Input 3 5 2 2" xfId="1639"/>
    <cellStyle name="Input 3 5 2 2 2" xfId="10967"/>
    <cellStyle name="Input 3 5 2 2 2 2" xfId="24273"/>
    <cellStyle name="Input 3 5 2 2 3" xfId="15377"/>
    <cellStyle name="Input 3 5 2 2 3 2" xfId="28683"/>
    <cellStyle name="Input 3 5 2 2 4" xfId="19863"/>
    <cellStyle name="Input 3 5 2 2_Table" xfId="5959"/>
    <cellStyle name="Input 3 5 2 3" xfId="1999"/>
    <cellStyle name="Input 3 5 2 3 2" xfId="11327"/>
    <cellStyle name="Input 3 5 2 3 2 2" xfId="24633"/>
    <cellStyle name="Input 3 5 2 3 3" xfId="15737"/>
    <cellStyle name="Input 3 5 2 3 3 2" xfId="29043"/>
    <cellStyle name="Input 3 5 2 3 4" xfId="20223"/>
    <cellStyle name="Input 3 5 2 3_Table" xfId="5960"/>
    <cellStyle name="Input 3 5 2 4" xfId="2429"/>
    <cellStyle name="Input 3 5 2 4 2" xfId="11757"/>
    <cellStyle name="Input 3 5 2 4 2 2" xfId="25063"/>
    <cellStyle name="Input 3 5 2 4 3" xfId="16167"/>
    <cellStyle name="Input 3 5 2 4 3 2" xfId="29473"/>
    <cellStyle name="Input 3 5 2 4 4" xfId="20653"/>
    <cellStyle name="Input 3 5 2 4_Table" xfId="5961"/>
    <cellStyle name="Input 3 5 2 5" xfId="2867"/>
    <cellStyle name="Input 3 5 2 5 2" xfId="12195"/>
    <cellStyle name="Input 3 5 2 5 2 2" xfId="25501"/>
    <cellStyle name="Input 3 5 2 5 3" xfId="16605"/>
    <cellStyle name="Input 3 5 2 5 3 2" xfId="29911"/>
    <cellStyle name="Input 3 5 2 5 4" xfId="21091"/>
    <cellStyle name="Input 3 5 2 5_Table" xfId="5962"/>
    <cellStyle name="Input 3 5 2 6" xfId="3274"/>
    <cellStyle name="Input 3 5 2 6 2" xfId="12602"/>
    <cellStyle name="Input 3 5 2 6 2 2" xfId="25908"/>
    <cellStyle name="Input 3 5 2 6 3" xfId="17012"/>
    <cellStyle name="Input 3 5 2 6 3 2" xfId="30318"/>
    <cellStyle name="Input 3 5 2 6 4" xfId="21498"/>
    <cellStyle name="Input 3 5 2 6_Table" xfId="5963"/>
    <cellStyle name="Input 3 5 2 7" xfId="3866"/>
    <cellStyle name="Input 3 5 2 7 2" xfId="13194"/>
    <cellStyle name="Input 3 5 2 7 2 2" xfId="26500"/>
    <cellStyle name="Input 3 5 2 7 3" xfId="17604"/>
    <cellStyle name="Input 3 5 2 7 3 2" xfId="30910"/>
    <cellStyle name="Input 3 5 2 7 4" xfId="22090"/>
    <cellStyle name="Input 3 5 2 7_Table" xfId="5964"/>
    <cellStyle name="Input 3 5 2 8" xfId="4091"/>
    <cellStyle name="Input 3 5 2 8 2" xfId="13419"/>
    <cellStyle name="Input 3 5 2 8 2 2" xfId="26725"/>
    <cellStyle name="Input 3 5 2 8 3" xfId="17829"/>
    <cellStyle name="Input 3 5 2 8 3 2" xfId="31135"/>
    <cellStyle name="Input 3 5 2 8 4" xfId="22315"/>
    <cellStyle name="Input 3 5 2 8_Table" xfId="5965"/>
    <cellStyle name="Input 3 5 2 9" xfId="4452"/>
    <cellStyle name="Input 3 5 2 9 2" xfId="13780"/>
    <cellStyle name="Input 3 5 2 9 2 2" xfId="27086"/>
    <cellStyle name="Input 3 5 2 9 3" xfId="18190"/>
    <cellStyle name="Input 3 5 2 9 3 2" xfId="31496"/>
    <cellStyle name="Input 3 5 2 9 4" xfId="22676"/>
    <cellStyle name="Input 3 5 2 9_Table" xfId="5966"/>
    <cellStyle name="Input 3 5 2_Table" xfId="5957"/>
    <cellStyle name="Input 3 5 3" xfId="1757"/>
    <cellStyle name="Input 3 5 3 2" xfId="11085"/>
    <cellStyle name="Input 3 5 3 2 2" xfId="24391"/>
    <cellStyle name="Input 3 5 3 3" xfId="15495"/>
    <cellStyle name="Input 3 5 3 3 2" xfId="28801"/>
    <cellStyle name="Input 3 5 3 4" xfId="19981"/>
    <cellStyle name="Input 3 5 3_Table" xfId="5967"/>
    <cellStyle name="Input 3 5 4" xfId="2190"/>
    <cellStyle name="Input 3 5 4 2" xfId="11518"/>
    <cellStyle name="Input 3 5 4 2 2" xfId="24824"/>
    <cellStyle name="Input 3 5 4 3" xfId="15928"/>
    <cellStyle name="Input 3 5 4 3 2" xfId="29234"/>
    <cellStyle name="Input 3 5 4 4" xfId="20414"/>
    <cellStyle name="Input 3 5 4_Table" xfId="5968"/>
    <cellStyle name="Input 3 5 5" xfId="2625"/>
    <cellStyle name="Input 3 5 5 2" xfId="11953"/>
    <cellStyle name="Input 3 5 5 2 2" xfId="25259"/>
    <cellStyle name="Input 3 5 5 3" xfId="16363"/>
    <cellStyle name="Input 3 5 5 3 2" xfId="29669"/>
    <cellStyle name="Input 3 5 5 4" xfId="20849"/>
    <cellStyle name="Input 3 5 5_Table" xfId="5969"/>
    <cellStyle name="Input 3 5 6" xfId="3038"/>
    <cellStyle name="Input 3 5 6 2" xfId="12366"/>
    <cellStyle name="Input 3 5 6 2 2" xfId="25672"/>
    <cellStyle name="Input 3 5 6 3" xfId="16776"/>
    <cellStyle name="Input 3 5 6 3 2" xfId="30082"/>
    <cellStyle name="Input 3 5 6 4" xfId="21262"/>
    <cellStyle name="Input 3 5 6_Table" xfId="5970"/>
    <cellStyle name="Input 3 5 7" xfId="3464"/>
    <cellStyle name="Input 3 5 7 2" xfId="12792"/>
    <cellStyle name="Input 3 5 7 2 2" xfId="26098"/>
    <cellStyle name="Input 3 5 7 3" xfId="17202"/>
    <cellStyle name="Input 3 5 7 3 2" xfId="30508"/>
    <cellStyle name="Input 3 5 7 4" xfId="21688"/>
    <cellStyle name="Input 3 5 7_Table" xfId="5971"/>
    <cellStyle name="Input 3 5 8" xfId="1674"/>
    <cellStyle name="Input 3 5 8 2" xfId="11002"/>
    <cellStyle name="Input 3 5 8 2 2" xfId="24308"/>
    <cellStyle name="Input 3 5 8 3" xfId="15412"/>
    <cellStyle name="Input 3 5 8 3 2" xfId="28718"/>
    <cellStyle name="Input 3 5 8 4" xfId="19898"/>
    <cellStyle name="Input 3 5 8_Table" xfId="5972"/>
    <cellStyle name="Input 3 5 9" xfId="4227"/>
    <cellStyle name="Input 3 5 9 2" xfId="13555"/>
    <cellStyle name="Input 3 5 9 2 2" xfId="26861"/>
    <cellStyle name="Input 3 5 9 3" xfId="17965"/>
    <cellStyle name="Input 3 5 9 3 2" xfId="31271"/>
    <cellStyle name="Input 3 5 9 4" xfId="22451"/>
    <cellStyle name="Input 3 5 9_Table" xfId="5973"/>
    <cellStyle name="Input 3 5_Table" xfId="5955"/>
    <cellStyle name="Input 3 6" xfId="673"/>
    <cellStyle name="Input 3 6 10" xfId="4633"/>
    <cellStyle name="Input 3 6 10 2" xfId="13961"/>
    <cellStyle name="Input 3 6 10 2 2" xfId="27267"/>
    <cellStyle name="Input 3 6 10 3" xfId="18371"/>
    <cellStyle name="Input 3 6 10 3 2" xfId="31677"/>
    <cellStyle name="Input 3 6 10 4" xfId="22857"/>
    <cellStyle name="Input 3 6 10_Table" xfId="5975"/>
    <cellStyle name="Input 3 6 11" xfId="10001"/>
    <cellStyle name="Input 3 6 11 2" xfId="23307"/>
    <cellStyle name="Input 3 6 12" xfId="14411"/>
    <cellStyle name="Input 3 6 12 2" xfId="27717"/>
    <cellStyle name="Input 3 6 13" xfId="18897"/>
    <cellStyle name="Input 3 6 2" xfId="1459"/>
    <cellStyle name="Input 3 6 2 2" xfId="10787"/>
    <cellStyle name="Input 3 6 2 2 2" xfId="24093"/>
    <cellStyle name="Input 3 6 2 3" xfId="15197"/>
    <cellStyle name="Input 3 6 2 3 2" xfId="28503"/>
    <cellStyle name="Input 3 6 2 4" xfId="19683"/>
    <cellStyle name="Input 3 6 2_Table" xfId="5976"/>
    <cellStyle name="Input 3 6 3" xfId="1819"/>
    <cellStyle name="Input 3 6 3 2" xfId="11147"/>
    <cellStyle name="Input 3 6 3 2 2" xfId="24453"/>
    <cellStyle name="Input 3 6 3 3" xfId="15557"/>
    <cellStyle name="Input 3 6 3 3 2" xfId="28863"/>
    <cellStyle name="Input 3 6 3 4" xfId="20043"/>
    <cellStyle name="Input 3 6 3_Table" xfId="5977"/>
    <cellStyle name="Input 3 6 4" xfId="2249"/>
    <cellStyle name="Input 3 6 4 2" xfId="11577"/>
    <cellStyle name="Input 3 6 4 2 2" xfId="24883"/>
    <cellStyle name="Input 3 6 4 3" xfId="15987"/>
    <cellStyle name="Input 3 6 4 3 2" xfId="29293"/>
    <cellStyle name="Input 3 6 4 4" xfId="20473"/>
    <cellStyle name="Input 3 6 4_Table" xfId="5978"/>
    <cellStyle name="Input 3 6 5" xfId="2687"/>
    <cellStyle name="Input 3 6 5 2" xfId="12015"/>
    <cellStyle name="Input 3 6 5 2 2" xfId="25321"/>
    <cellStyle name="Input 3 6 5 3" xfId="16425"/>
    <cellStyle name="Input 3 6 5 3 2" xfId="29731"/>
    <cellStyle name="Input 3 6 5 4" xfId="20911"/>
    <cellStyle name="Input 3 6 5_Table" xfId="5979"/>
    <cellStyle name="Input 3 6 6" xfId="3094"/>
    <cellStyle name="Input 3 6 6 2" xfId="12422"/>
    <cellStyle name="Input 3 6 6 2 2" xfId="25728"/>
    <cellStyle name="Input 3 6 6 3" xfId="16832"/>
    <cellStyle name="Input 3 6 6 3 2" xfId="30138"/>
    <cellStyle name="Input 3 6 6 4" xfId="21318"/>
    <cellStyle name="Input 3 6 6_Table" xfId="5980"/>
    <cellStyle name="Input 3 6 7" xfId="3686"/>
    <cellStyle name="Input 3 6 7 2" xfId="13014"/>
    <cellStyle name="Input 3 6 7 2 2" xfId="26320"/>
    <cellStyle name="Input 3 6 7 3" xfId="17424"/>
    <cellStyle name="Input 3 6 7 3 2" xfId="30730"/>
    <cellStyle name="Input 3 6 7 4" xfId="21910"/>
    <cellStyle name="Input 3 6 7_Table" xfId="5981"/>
    <cellStyle name="Input 3 6 8" xfId="3911"/>
    <cellStyle name="Input 3 6 8 2" xfId="13239"/>
    <cellStyle name="Input 3 6 8 2 2" xfId="26545"/>
    <cellStyle name="Input 3 6 8 3" xfId="17649"/>
    <cellStyle name="Input 3 6 8 3 2" xfId="30955"/>
    <cellStyle name="Input 3 6 8 4" xfId="22135"/>
    <cellStyle name="Input 3 6 8_Table" xfId="5982"/>
    <cellStyle name="Input 3 6 9" xfId="4272"/>
    <cellStyle name="Input 3 6 9 2" xfId="13600"/>
    <cellStyle name="Input 3 6 9 2 2" xfId="26906"/>
    <cellStyle name="Input 3 6 9 3" xfId="18010"/>
    <cellStyle name="Input 3 6 9 3 2" xfId="31316"/>
    <cellStyle name="Input 3 6 9 4" xfId="22496"/>
    <cellStyle name="Input 3 6 9_Table" xfId="5983"/>
    <cellStyle name="Input 3 6_Table" xfId="5974"/>
    <cellStyle name="Input 3 7" xfId="1092"/>
    <cellStyle name="Input 3 7 2" xfId="10420"/>
    <cellStyle name="Input 3 7 2 2" xfId="23726"/>
    <cellStyle name="Input 3 7 3" xfId="14830"/>
    <cellStyle name="Input 3 7 3 2" xfId="28136"/>
    <cellStyle name="Input 3 7 4" xfId="19316"/>
    <cellStyle name="Input 3 7_Table" xfId="5984"/>
    <cellStyle name="Input 3 8" xfId="1160"/>
    <cellStyle name="Input 3 8 2" xfId="10488"/>
    <cellStyle name="Input 3 8 2 2" xfId="23794"/>
    <cellStyle name="Input 3 8 3" xfId="14898"/>
    <cellStyle name="Input 3 8 3 2" xfId="28204"/>
    <cellStyle name="Input 3 8 4" xfId="19384"/>
    <cellStyle name="Input 3 8_Table" xfId="5985"/>
    <cellStyle name="Input 3 9" xfId="1082"/>
    <cellStyle name="Input 3 9 2" xfId="10410"/>
    <cellStyle name="Input 3 9 2 2" xfId="23716"/>
    <cellStyle name="Input 3 9 3" xfId="14820"/>
    <cellStyle name="Input 3 9 3 2" xfId="28126"/>
    <cellStyle name="Input 3 9 4" xfId="19306"/>
    <cellStyle name="Input 3 9_Table" xfId="5986"/>
    <cellStyle name="Input 3_Table" xfId="5892"/>
    <cellStyle name="Input 4" xfId="310"/>
    <cellStyle name="Input 4 10" xfId="888"/>
    <cellStyle name="Input 4 10 2" xfId="10216"/>
    <cellStyle name="Input 4 10 2 2" xfId="23522"/>
    <cellStyle name="Input 4 10 3" xfId="14626"/>
    <cellStyle name="Input 4 10 3 2" xfId="27932"/>
    <cellStyle name="Input 4 10 4" xfId="19112"/>
    <cellStyle name="Input 4 10_Table" xfId="5988"/>
    <cellStyle name="Input 4 11" xfId="957"/>
    <cellStyle name="Input 4 11 2" xfId="10285"/>
    <cellStyle name="Input 4 11 2 2" xfId="23591"/>
    <cellStyle name="Input 4 11 3" xfId="14695"/>
    <cellStyle name="Input 4 11 3 2" xfId="28001"/>
    <cellStyle name="Input 4 11 4" xfId="19181"/>
    <cellStyle name="Input 4 11_Table" xfId="5989"/>
    <cellStyle name="Input 4 12" xfId="3550"/>
    <cellStyle name="Input 4 12 2" xfId="12878"/>
    <cellStyle name="Input 4 12 2 2" xfId="26184"/>
    <cellStyle name="Input 4 12 3" xfId="17288"/>
    <cellStyle name="Input 4 12 3 2" xfId="30594"/>
    <cellStyle name="Input 4 12 4" xfId="21774"/>
    <cellStyle name="Input 4 12_Table" xfId="5990"/>
    <cellStyle name="Input 4 13" xfId="2962"/>
    <cellStyle name="Input 4 13 2" xfId="12290"/>
    <cellStyle name="Input 4 13 2 2" xfId="25596"/>
    <cellStyle name="Input 4 13 3" xfId="16700"/>
    <cellStyle name="Input 4 13 3 2" xfId="30006"/>
    <cellStyle name="Input 4 13 4" xfId="21186"/>
    <cellStyle name="Input 4 13_Table" xfId="5991"/>
    <cellStyle name="Input 4 14" xfId="3585"/>
    <cellStyle name="Input 4 14 2" xfId="12913"/>
    <cellStyle name="Input 4 14 2 2" xfId="26219"/>
    <cellStyle name="Input 4 14 3" xfId="17323"/>
    <cellStyle name="Input 4 14 3 2" xfId="30629"/>
    <cellStyle name="Input 4 14 4" xfId="21809"/>
    <cellStyle name="Input 4 14_Table" xfId="5992"/>
    <cellStyle name="Input 4 15" xfId="9638"/>
    <cellStyle name="Input 4 15 2" xfId="23083"/>
    <cellStyle name="Input 4 16" xfId="14187"/>
    <cellStyle name="Input 4 16 2" xfId="27493"/>
    <cellStyle name="Input 4 17" xfId="18673"/>
    <cellStyle name="Input 4 2" xfId="404"/>
    <cellStyle name="Input 4 2 10" xfId="1102"/>
    <cellStyle name="Input 4 2 10 2" xfId="10430"/>
    <cellStyle name="Input 4 2 10 2 2" xfId="23736"/>
    <cellStyle name="Input 4 2 10 3" xfId="14840"/>
    <cellStyle name="Input 4 2 10 3 2" xfId="28146"/>
    <cellStyle name="Input 4 2 10 4" xfId="19326"/>
    <cellStyle name="Input 4 2 10_Table" xfId="5994"/>
    <cellStyle name="Input 4 2 11" xfId="9732"/>
    <cellStyle name="Input 4 2 11 2" xfId="23128"/>
    <cellStyle name="Input 4 2 12" xfId="14232"/>
    <cellStyle name="Input 4 2 12 2" xfId="27538"/>
    <cellStyle name="Input 4 2 13" xfId="18718"/>
    <cellStyle name="Input 4 2 2" xfId="719"/>
    <cellStyle name="Input 4 2 2 10" xfId="4679"/>
    <cellStyle name="Input 4 2 2 10 2" xfId="14007"/>
    <cellStyle name="Input 4 2 2 10 2 2" xfId="27313"/>
    <cellStyle name="Input 4 2 2 10 3" xfId="18417"/>
    <cellStyle name="Input 4 2 2 10 3 2" xfId="31723"/>
    <cellStyle name="Input 4 2 2 10 4" xfId="22903"/>
    <cellStyle name="Input 4 2 2 10_Table" xfId="5996"/>
    <cellStyle name="Input 4 2 2 11" xfId="10047"/>
    <cellStyle name="Input 4 2 2 11 2" xfId="23353"/>
    <cellStyle name="Input 4 2 2 12" xfId="14457"/>
    <cellStyle name="Input 4 2 2 12 2" xfId="27763"/>
    <cellStyle name="Input 4 2 2 13" xfId="18943"/>
    <cellStyle name="Input 4 2 2 2" xfId="1505"/>
    <cellStyle name="Input 4 2 2 2 2" xfId="10833"/>
    <cellStyle name="Input 4 2 2 2 2 2" xfId="24139"/>
    <cellStyle name="Input 4 2 2 2 3" xfId="15243"/>
    <cellStyle name="Input 4 2 2 2 3 2" xfId="28549"/>
    <cellStyle name="Input 4 2 2 2 4" xfId="19729"/>
    <cellStyle name="Input 4 2 2 2_Table" xfId="5997"/>
    <cellStyle name="Input 4 2 2 3" xfId="1865"/>
    <cellStyle name="Input 4 2 2 3 2" xfId="11193"/>
    <cellStyle name="Input 4 2 2 3 2 2" xfId="24499"/>
    <cellStyle name="Input 4 2 2 3 3" xfId="15603"/>
    <cellStyle name="Input 4 2 2 3 3 2" xfId="28909"/>
    <cellStyle name="Input 4 2 2 3 4" xfId="20089"/>
    <cellStyle name="Input 4 2 2 3_Table" xfId="5998"/>
    <cellStyle name="Input 4 2 2 4" xfId="2295"/>
    <cellStyle name="Input 4 2 2 4 2" xfId="11623"/>
    <cellStyle name="Input 4 2 2 4 2 2" xfId="24929"/>
    <cellStyle name="Input 4 2 2 4 3" xfId="16033"/>
    <cellStyle name="Input 4 2 2 4 3 2" xfId="29339"/>
    <cellStyle name="Input 4 2 2 4 4" xfId="20519"/>
    <cellStyle name="Input 4 2 2 4_Table" xfId="5999"/>
    <cellStyle name="Input 4 2 2 5" xfId="2733"/>
    <cellStyle name="Input 4 2 2 5 2" xfId="12061"/>
    <cellStyle name="Input 4 2 2 5 2 2" xfId="25367"/>
    <cellStyle name="Input 4 2 2 5 3" xfId="16471"/>
    <cellStyle name="Input 4 2 2 5 3 2" xfId="29777"/>
    <cellStyle name="Input 4 2 2 5 4" xfId="20957"/>
    <cellStyle name="Input 4 2 2 5_Table" xfId="6000"/>
    <cellStyle name="Input 4 2 2 6" xfId="3140"/>
    <cellStyle name="Input 4 2 2 6 2" xfId="12468"/>
    <cellStyle name="Input 4 2 2 6 2 2" xfId="25774"/>
    <cellStyle name="Input 4 2 2 6 3" xfId="16878"/>
    <cellStyle name="Input 4 2 2 6 3 2" xfId="30184"/>
    <cellStyle name="Input 4 2 2 6 4" xfId="21364"/>
    <cellStyle name="Input 4 2 2 6_Table" xfId="6001"/>
    <cellStyle name="Input 4 2 2 7" xfId="3732"/>
    <cellStyle name="Input 4 2 2 7 2" xfId="13060"/>
    <cellStyle name="Input 4 2 2 7 2 2" xfId="26366"/>
    <cellStyle name="Input 4 2 2 7 3" xfId="17470"/>
    <cellStyle name="Input 4 2 2 7 3 2" xfId="30776"/>
    <cellStyle name="Input 4 2 2 7 4" xfId="21956"/>
    <cellStyle name="Input 4 2 2 7_Table" xfId="6002"/>
    <cellStyle name="Input 4 2 2 8" xfId="3957"/>
    <cellStyle name="Input 4 2 2 8 2" xfId="13285"/>
    <cellStyle name="Input 4 2 2 8 2 2" xfId="26591"/>
    <cellStyle name="Input 4 2 2 8 3" xfId="17695"/>
    <cellStyle name="Input 4 2 2 8 3 2" xfId="31001"/>
    <cellStyle name="Input 4 2 2 8 4" xfId="22181"/>
    <cellStyle name="Input 4 2 2 8_Table" xfId="6003"/>
    <cellStyle name="Input 4 2 2 9" xfId="4318"/>
    <cellStyle name="Input 4 2 2 9 2" xfId="13646"/>
    <cellStyle name="Input 4 2 2 9 2 2" xfId="26952"/>
    <cellStyle name="Input 4 2 2 9 3" xfId="18056"/>
    <cellStyle name="Input 4 2 2 9 3 2" xfId="31362"/>
    <cellStyle name="Input 4 2 2 9 4" xfId="22542"/>
    <cellStyle name="Input 4 2 2 9_Table" xfId="6004"/>
    <cellStyle name="Input 4 2 2_Table" xfId="5995"/>
    <cellStyle name="Input 4 2 3" xfId="1008"/>
    <cellStyle name="Input 4 2 3 2" xfId="10336"/>
    <cellStyle name="Input 4 2 3 2 2" xfId="23642"/>
    <cellStyle name="Input 4 2 3 3" xfId="14746"/>
    <cellStyle name="Input 4 2 3 3 2" xfId="28052"/>
    <cellStyle name="Input 4 2 3 4" xfId="19232"/>
    <cellStyle name="Input 4 2 3_Table" xfId="6005"/>
    <cellStyle name="Input 4 2 4" xfId="1372"/>
    <cellStyle name="Input 4 2 4 2" xfId="10700"/>
    <cellStyle name="Input 4 2 4 2 2" xfId="24006"/>
    <cellStyle name="Input 4 2 4 3" xfId="15110"/>
    <cellStyle name="Input 4 2 4 3 2" xfId="28416"/>
    <cellStyle name="Input 4 2 4 4" xfId="19596"/>
    <cellStyle name="Input 4 2 4_Table" xfId="6006"/>
    <cellStyle name="Input 4 2 5" xfId="1197"/>
    <cellStyle name="Input 4 2 5 2" xfId="10525"/>
    <cellStyle name="Input 4 2 5 2 2" xfId="23831"/>
    <cellStyle name="Input 4 2 5 3" xfId="14935"/>
    <cellStyle name="Input 4 2 5 3 2" xfId="28241"/>
    <cellStyle name="Input 4 2 5 4" xfId="19421"/>
    <cellStyle name="Input 4 2 5_Table" xfId="6007"/>
    <cellStyle name="Input 4 2 6" xfId="1031"/>
    <cellStyle name="Input 4 2 6 2" xfId="10359"/>
    <cellStyle name="Input 4 2 6 2 2" xfId="23665"/>
    <cellStyle name="Input 4 2 6 3" xfId="14769"/>
    <cellStyle name="Input 4 2 6 3 2" xfId="28075"/>
    <cellStyle name="Input 4 2 6 4" xfId="19255"/>
    <cellStyle name="Input 4 2 6_Table" xfId="6008"/>
    <cellStyle name="Input 4 2 7" xfId="1314"/>
    <cellStyle name="Input 4 2 7 2" xfId="10642"/>
    <cellStyle name="Input 4 2 7 2 2" xfId="23948"/>
    <cellStyle name="Input 4 2 7 3" xfId="15052"/>
    <cellStyle name="Input 4 2 7 3 2" xfId="28358"/>
    <cellStyle name="Input 4 2 7 4" xfId="19538"/>
    <cellStyle name="Input 4 2 7_Table" xfId="6009"/>
    <cellStyle name="Input 4 2 8" xfId="3513"/>
    <cellStyle name="Input 4 2 8 2" xfId="12841"/>
    <cellStyle name="Input 4 2 8 2 2" xfId="26147"/>
    <cellStyle name="Input 4 2 8 3" xfId="17251"/>
    <cellStyle name="Input 4 2 8 3 2" xfId="30557"/>
    <cellStyle name="Input 4 2 8 4" xfId="21737"/>
    <cellStyle name="Input 4 2 8_Table" xfId="6010"/>
    <cellStyle name="Input 4 2 9" xfId="3081"/>
    <cellStyle name="Input 4 2 9 2" xfId="12409"/>
    <cellStyle name="Input 4 2 9 2 2" xfId="25715"/>
    <cellStyle name="Input 4 2 9 3" xfId="16819"/>
    <cellStyle name="Input 4 2 9 3 2" xfId="30125"/>
    <cellStyle name="Input 4 2 9 4" xfId="21305"/>
    <cellStyle name="Input 4 2 9_Table" xfId="6011"/>
    <cellStyle name="Input 4 2_Table" xfId="5993"/>
    <cellStyle name="Input 4 3" xfId="472"/>
    <cellStyle name="Input 4 3 10" xfId="4499"/>
    <cellStyle name="Input 4 3 10 2" xfId="13827"/>
    <cellStyle name="Input 4 3 10 2 2" xfId="27133"/>
    <cellStyle name="Input 4 3 10 3" xfId="18237"/>
    <cellStyle name="Input 4 3 10 3 2" xfId="31543"/>
    <cellStyle name="Input 4 3 10 4" xfId="22723"/>
    <cellStyle name="Input 4 3 10_Table" xfId="6013"/>
    <cellStyle name="Input 4 3 11" xfId="9800"/>
    <cellStyle name="Input 4 3 11 2" xfId="23173"/>
    <cellStyle name="Input 4 3 12" xfId="14277"/>
    <cellStyle name="Input 4 3 12 2" xfId="27583"/>
    <cellStyle name="Input 4 3 13" xfId="18763"/>
    <cellStyle name="Input 4 3 2" xfId="764"/>
    <cellStyle name="Input 4 3 2 10" xfId="4724"/>
    <cellStyle name="Input 4 3 2 10 2" xfId="14052"/>
    <cellStyle name="Input 4 3 2 10 2 2" xfId="27358"/>
    <cellStyle name="Input 4 3 2 10 3" xfId="18462"/>
    <cellStyle name="Input 4 3 2 10 3 2" xfId="31768"/>
    <cellStyle name="Input 4 3 2 10 4" xfId="22948"/>
    <cellStyle name="Input 4 3 2 10_Table" xfId="6015"/>
    <cellStyle name="Input 4 3 2 11" xfId="10092"/>
    <cellStyle name="Input 4 3 2 11 2" xfId="23398"/>
    <cellStyle name="Input 4 3 2 12" xfId="14502"/>
    <cellStyle name="Input 4 3 2 12 2" xfId="27808"/>
    <cellStyle name="Input 4 3 2 13" xfId="18988"/>
    <cellStyle name="Input 4 3 2 2" xfId="1550"/>
    <cellStyle name="Input 4 3 2 2 2" xfId="10878"/>
    <cellStyle name="Input 4 3 2 2 2 2" xfId="24184"/>
    <cellStyle name="Input 4 3 2 2 3" xfId="15288"/>
    <cellStyle name="Input 4 3 2 2 3 2" xfId="28594"/>
    <cellStyle name="Input 4 3 2 2 4" xfId="19774"/>
    <cellStyle name="Input 4 3 2 2_Table" xfId="6016"/>
    <cellStyle name="Input 4 3 2 3" xfId="1910"/>
    <cellStyle name="Input 4 3 2 3 2" xfId="11238"/>
    <cellStyle name="Input 4 3 2 3 2 2" xfId="24544"/>
    <cellStyle name="Input 4 3 2 3 3" xfId="15648"/>
    <cellStyle name="Input 4 3 2 3 3 2" xfId="28954"/>
    <cellStyle name="Input 4 3 2 3 4" xfId="20134"/>
    <cellStyle name="Input 4 3 2 3_Table" xfId="6017"/>
    <cellStyle name="Input 4 3 2 4" xfId="2340"/>
    <cellStyle name="Input 4 3 2 4 2" xfId="11668"/>
    <cellStyle name="Input 4 3 2 4 2 2" xfId="24974"/>
    <cellStyle name="Input 4 3 2 4 3" xfId="16078"/>
    <cellStyle name="Input 4 3 2 4 3 2" xfId="29384"/>
    <cellStyle name="Input 4 3 2 4 4" xfId="20564"/>
    <cellStyle name="Input 4 3 2 4_Table" xfId="6018"/>
    <cellStyle name="Input 4 3 2 5" xfId="2778"/>
    <cellStyle name="Input 4 3 2 5 2" xfId="12106"/>
    <cellStyle name="Input 4 3 2 5 2 2" xfId="25412"/>
    <cellStyle name="Input 4 3 2 5 3" xfId="16516"/>
    <cellStyle name="Input 4 3 2 5 3 2" xfId="29822"/>
    <cellStyle name="Input 4 3 2 5 4" xfId="21002"/>
    <cellStyle name="Input 4 3 2 5_Table" xfId="6019"/>
    <cellStyle name="Input 4 3 2 6" xfId="3185"/>
    <cellStyle name="Input 4 3 2 6 2" xfId="12513"/>
    <cellStyle name="Input 4 3 2 6 2 2" xfId="25819"/>
    <cellStyle name="Input 4 3 2 6 3" xfId="16923"/>
    <cellStyle name="Input 4 3 2 6 3 2" xfId="30229"/>
    <cellStyle name="Input 4 3 2 6 4" xfId="21409"/>
    <cellStyle name="Input 4 3 2 6_Table" xfId="6020"/>
    <cellStyle name="Input 4 3 2 7" xfId="3777"/>
    <cellStyle name="Input 4 3 2 7 2" xfId="13105"/>
    <cellStyle name="Input 4 3 2 7 2 2" xfId="26411"/>
    <cellStyle name="Input 4 3 2 7 3" xfId="17515"/>
    <cellStyle name="Input 4 3 2 7 3 2" xfId="30821"/>
    <cellStyle name="Input 4 3 2 7 4" xfId="22001"/>
    <cellStyle name="Input 4 3 2 7_Table" xfId="6021"/>
    <cellStyle name="Input 4 3 2 8" xfId="4002"/>
    <cellStyle name="Input 4 3 2 8 2" xfId="13330"/>
    <cellStyle name="Input 4 3 2 8 2 2" xfId="26636"/>
    <cellStyle name="Input 4 3 2 8 3" xfId="17740"/>
    <cellStyle name="Input 4 3 2 8 3 2" xfId="31046"/>
    <cellStyle name="Input 4 3 2 8 4" xfId="22226"/>
    <cellStyle name="Input 4 3 2 8_Table" xfId="6022"/>
    <cellStyle name="Input 4 3 2 9" xfId="4363"/>
    <cellStyle name="Input 4 3 2 9 2" xfId="13691"/>
    <cellStyle name="Input 4 3 2 9 2 2" xfId="26997"/>
    <cellStyle name="Input 4 3 2 9 3" xfId="18101"/>
    <cellStyle name="Input 4 3 2 9 3 2" xfId="31407"/>
    <cellStyle name="Input 4 3 2 9 4" xfId="22587"/>
    <cellStyle name="Input 4 3 2 9_Table" xfId="6023"/>
    <cellStyle name="Input 4 3 2_Table" xfId="6014"/>
    <cellStyle name="Input 4 3 3" xfId="942"/>
    <cellStyle name="Input 4 3 3 2" xfId="10270"/>
    <cellStyle name="Input 4 3 3 2 2" xfId="23576"/>
    <cellStyle name="Input 4 3 3 3" xfId="14680"/>
    <cellStyle name="Input 4 3 3 3 2" xfId="27986"/>
    <cellStyle name="Input 4 3 3 4" xfId="19166"/>
    <cellStyle name="Input 4 3 3_Table" xfId="6024"/>
    <cellStyle name="Input 4 3 4" xfId="2063"/>
    <cellStyle name="Input 4 3 4 2" xfId="11391"/>
    <cellStyle name="Input 4 3 4 2 2" xfId="24697"/>
    <cellStyle name="Input 4 3 4 3" xfId="15801"/>
    <cellStyle name="Input 4 3 4 3 2" xfId="29107"/>
    <cellStyle name="Input 4 3 4 4" xfId="20287"/>
    <cellStyle name="Input 4 3 4_Table" xfId="6025"/>
    <cellStyle name="Input 4 3 5" xfId="2495"/>
    <cellStyle name="Input 4 3 5 2" xfId="11823"/>
    <cellStyle name="Input 4 3 5 2 2" xfId="25129"/>
    <cellStyle name="Input 4 3 5 3" xfId="16233"/>
    <cellStyle name="Input 4 3 5 3 2" xfId="29539"/>
    <cellStyle name="Input 4 3 5 4" xfId="20719"/>
    <cellStyle name="Input 4 3 5_Table" xfId="6026"/>
    <cellStyle name="Input 4 3 6" xfId="2924"/>
    <cellStyle name="Input 4 3 6 2" xfId="12252"/>
    <cellStyle name="Input 4 3 6 2 2" xfId="25558"/>
    <cellStyle name="Input 4 3 6 3" xfId="16662"/>
    <cellStyle name="Input 4 3 6 3 2" xfId="29968"/>
    <cellStyle name="Input 4 3 6 4" xfId="21148"/>
    <cellStyle name="Input 4 3 6_Table" xfId="6027"/>
    <cellStyle name="Input 4 3 7" xfId="3336"/>
    <cellStyle name="Input 4 3 7 2" xfId="12664"/>
    <cellStyle name="Input 4 3 7 2 2" xfId="25970"/>
    <cellStyle name="Input 4 3 7 3" xfId="17074"/>
    <cellStyle name="Input 4 3 7 3 2" xfId="30380"/>
    <cellStyle name="Input 4 3 7 4" xfId="21560"/>
    <cellStyle name="Input 4 3 7_Table" xfId="6028"/>
    <cellStyle name="Input 4 3 8" xfId="3312"/>
    <cellStyle name="Input 4 3 8 2" xfId="12640"/>
    <cellStyle name="Input 4 3 8 2 2" xfId="25946"/>
    <cellStyle name="Input 4 3 8 3" xfId="17050"/>
    <cellStyle name="Input 4 3 8 3 2" xfId="30356"/>
    <cellStyle name="Input 4 3 8 4" xfId="21536"/>
    <cellStyle name="Input 4 3 8_Table" xfId="6029"/>
    <cellStyle name="Input 4 3 9" xfId="4138"/>
    <cellStyle name="Input 4 3 9 2" xfId="13466"/>
    <cellStyle name="Input 4 3 9 2 2" xfId="26772"/>
    <cellStyle name="Input 4 3 9 3" xfId="17876"/>
    <cellStyle name="Input 4 3 9 3 2" xfId="31182"/>
    <cellStyle name="Input 4 3 9 4" xfId="22362"/>
    <cellStyle name="Input 4 3 9_Table" xfId="6030"/>
    <cellStyle name="Input 4 3_Table" xfId="6012"/>
    <cellStyle name="Input 4 4" xfId="536"/>
    <cellStyle name="Input 4 4 10" xfId="4544"/>
    <cellStyle name="Input 4 4 10 2" xfId="13872"/>
    <cellStyle name="Input 4 4 10 2 2" xfId="27178"/>
    <cellStyle name="Input 4 4 10 3" xfId="18282"/>
    <cellStyle name="Input 4 4 10 3 2" xfId="31588"/>
    <cellStyle name="Input 4 4 10 4" xfId="22768"/>
    <cellStyle name="Input 4 4 10_Table" xfId="6032"/>
    <cellStyle name="Input 4 4 11" xfId="9864"/>
    <cellStyle name="Input 4 4 11 2" xfId="23218"/>
    <cellStyle name="Input 4 4 12" xfId="14322"/>
    <cellStyle name="Input 4 4 12 2" xfId="27628"/>
    <cellStyle name="Input 4 4 13" xfId="18808"/>
    <cellStyle name="Input 4 4 2" xfId="809"/>
    <cellStyle name="Input 4 4 2 10" xfId="4769"/>
    <cellStyle name="Input 4 4 2 10 2" xfId="14097"/>
    <cellStyle name="Input 4 4 2 10 2 2" xfId="27403"/>
    <cellStyle name="Input 4 4 2 10 3" xfId="18507"/>
    <cellStyle name="Input 4 4 2 10 3 2" xfId="31813"/>
    <cellStyle name="Input 4 4 2 10 4" xfId="22993"/>
    <cellStyle name="Input 4 4 2 10_Table" xfId="6034"/>
    <cellStyle name="Input 4 4 2 11" xfId="10137"/>
    <cellStyle name="Input 4 4 2 11 2" xfId="23443"/>
    <cellStyle name="Input 4 4 2 12" xfId="14547"/>
    <cellStyle name="Input 4 4 2 12 2" xfId="27853"/>
    <cellStyle name="Input 4 4 2 13" xfId="19033"/>
    <cellStyle name="Input 4 4 2 2" xfId="1595"/>
    <cellStyle name="Input 4 4 2 2 2" xfId="10923"/>
    <cellStyle name="Input 4 4 2 2 2 2" xfId="24229"/>
    <cellStyle name="Input 4 4 2 2 3" xfId="15333"/>
    <cellStyle name="Input 4 4 2 2 3 2" xfId="28639"/>
    <cellStyle name="Input 4 4 2 2 4" xfId="19819"/>
    <cellStyle name="Input 4 4 2 2_Table" xfId="6035"/>
    <cellStyle name="Input 4 4 2 3" xfId="1955"/>
    <cellStyle name="Input 4 4 2 3 2" xfId="11283"/>
    <cellStyle name="Input 4 4 2 3 2 2" xfId="24589"/>
    <cellStyle name="Input 4 4 2 3 3" xfId="15693"/>
    <cellStyle name="Input 4 4 2 3 3 2" xfId="28999"/>
    <cellStyle name="Input 4 4 2 3 4" xfId="20179"/>
    <cellStyle name="Input 4 4 2 3_Table" xfId="6036"/>
    <cellStyle name="Input 4 4 2 4" xfId="2385"/>
    <cellStyle name="Input 4 4 2 4 2" xfId="11713"/>
    <cellStyle name="Input 4 4 2 4 2 2" xfId="25019"/>
    <cellStyle name="Input 4 4 2 4 3" xfId="16123"/>
    <cellStyle name="Input 4 4 2 4 3 2" xfId="29429"/>
    <cellStyle name="Input 4 4 2 4 4" xfId="20609"/>
    <cellStyle name="Input 4 4 2 4_Table" xfId="6037"/>
    <cellStyle name="Input 4 4 2 5" xfId="2823"/>
    <cellStyle name="Input 4 4 2 5 2" xfId="12151"/>
    <cellStyle name="Input 4 4 2 5 2 2" xfId="25457"/>
    <cellStyle name="Input 4 4 2 5 3" xfId="16561"/>
    <cellStyle name="Input 4 4 2 5 3 2" xfId="29867"/>
    <cellStyle name="Input 4 4 2 5 4" xfId="21047"/>
    <cellStyle name="Input 4 4 2 5_Table" xfId="6038"/>
    <cellStyle name="Input 4 4 2 6" xfId="3230"/>
    <cellStyle name="Input 4 4 2 6 2" xfId="12558"/>
    <cellStyle name="Input 4 4 2 6 2 2" xfId="25864"/>
    <cellStyle name="Input 4 4 2 6 3" xfId="16968"/>
    <cellStyle name="Input 4 4 2 6 3 2" xfId="30274"/>
    <cellStyle name="Input 4 4 2 6 4" xfId="21454"/>
    <cellStyle name="Input 4 4 2 6_Table" xfId="6039"/>
    <cellStyle name="Input 4 4 2 7" xfId="3822"/>
    <cellStyle name="Input 4 4 2 7 2" xfId="13150"/>
    <cellStyle name="Input 4 4 2 7 2 2" xfId="26456"/>
    <cellStyle name="Input 4 4 2 7 3" xfId="17560"/>
    <cellStyle name="Input 4 4 2 7 3 2" xfId="30866"/>
    <cellStyle name="Input 4 4 2 7 4" xfId="22046"/>
    <cellStyle name="Input 4 4 2 7_Table" xfId="6040"/>
    <cellStyle name="Input 4 4 2 8" xfId="4047"/>
    <cellStyle name="Input 4 4 2 8 2" xfId="13375"/>
    <cellStyle name="Input 4 4 2 8 2 2" xfId="26681"/>
    <cellStyle name="Input 4 4 2 8 3" xfId="17785"/>
    <cellStyle name="Input 4 4 2 8 3 2" xfId="31091"/>
    <cellStyle name="Input 4 4 2 8 4" xfId="22271"/>
    <cellStyle name="Input 4 4 2 8_Table" xfId="6041"/>
    <cellStyle name="Input 4 4 2 9" xfId="4408"/>
    <cellStyle name="Input 4 4 2 9 2" xfId="13736"/>
    <cellStyle name="Input 4 4 2 9 2 2" xfId="27042"/>
    <cellStyle name="Input 4 4 2 9 3" xfId="18146"/>
    <cellStyle name="Input 4 4 2 9 3 2" xfId="31452"/>
    <cellStyle name="Input 4 4 2 9 4" xfId="22632"/>
    <cellStyle name="Input 4 4 2 9_Table" xfId="6042"/>
    <cellStyle name="Input 4 4 2_Table" xfId="6033"/>
    <cellStyle name="Input 4 4 3" xfId="1688"/>
    <cellStyle name="Input 4 4 3 2" xfId="11016"/>
    <cellStyle name="Input 4 4 3 2 2" xfId="24322"/>
    <cellStyle name="Input 4 4 3 3" xfId="15426"/>
    <cellStyle name="Input 4 4 3 3 2" xfId="28732"/>
    <cellStyle name="Input 4 4 3 4" xfId="19912"/>
    <cellStyle name="Input 4 4 3_Table" xfId="6043"/>
    <cellStyle name="Input 4 4 4" xfId="2122"/>
    <cellStyle name="Input 4 4 4 2" xfId="11450"/>
    <cellStyle name="Input 4 4 4 2 2" xfId="24756"/>
    <cellStyle name="Input 4 4 4 3" xfId="15860"/>
    <cellStyle name="Input 4 4 4 3 2" xfId="29166"/>
    <cellStyle name="Input 4 4 4 4" xfId="20346"/>
    <cellStyle name="Input 4 4 4_Table" xfId="6044"/>
    <cellStyle name="Input 4 4 5" xfId="2554"/>
    <cellStyle name="Input 4 4 5 2" xfId="11882"/>
    <cellStyle name="Input 4 4 5 2 2" xfId="25188"/>
    <cellStyle name="Input 4 4 5 3" xfId="16292"/>
    <cellStyle name="Input 4 4 5 3 2" xfId="29598"/>
    <cellStyle name="Input 4 4 5 4" xfId="20778"/>
    <cellStyle name="Input 4 4 5_Table" xfId="6045"/>
    <cellStyle name="Input 4 4 6" xfId="2981"/>
    <cellStyle name="Input 4 4 6 2" xfId="12309"/>
    <cellStyle name="Input 4 4 6 2 2" xfId="25615"/>
    <cellStyle name="Input 4 4 6 3" xfId="16719"/>
    <cellStyle name="Input 4 4 6 3 2" xfId="30025"/>
    <cellStyle name="Input 4 4 6 4" xfId="21205"/>
    <cellStyle name="Input 4 4 6_Table" xfId="6046"/>
    <cellStyle name="Input 4 4 7" xfId="3394"/>
    <cellStyle name="Input 4 4 7 2" xfId="12722"/>
    <cellStyle name="Input 4 4 7 2 2" xfId="26028"/>
    <cellStyle name="Input 4 4 7 3" xfId="17132"/>
    <cellStyle name="Input 4 4 7 3 2" xfId="30438"/>
    <cellStyle name="Input 4 4 7 4" xfId="21618"/>
    <cellStyle name="Input 4 4 7_Table" xfId="6047"/>
    <cellStyle name="Input 4 4 8" xfId="3560"/>
    <cellStyle name="Input 4 4 8 2" xfId="12888"/>
    <cellStyle name="Input 4 4 8 2 2" xfId="26194"/>
    <cellStyle name="Input 4 4 8 3" xfId="17298"/>
    <cellStyle name="Input 4 4 8 3 2" xfId="30604"/>
    <cellStyle name="Input 4 4 8 4" xfId="21784"/>
    <cellStyle name="Input 4 4 8_Table" xfId="6048"/>
    <cellStyle name="Input 4 4 9" xfId="4183"/>
    <cellStyle name="Input 4 4 9 2" xfId="13511"/>
    <cellStyle name="Input 4 4 9 2 2" xfId="26817"/>
    <cellStyle name="Input 4 4 9 3" xfId="17921"/>
    <cellStyle name="Input 4 4 9 3 2" xfId="31227"/>
    <cellStyle name="Input 4 4 9 4" xfId="22407"/>
    <cellStyle name="Input 4 4 9_Table" xfId="6049"/>
    <cellStyle name="Input 4 4_Table" xfId="6031"/>
    <cellStyle name="Input 4 5" xfId="611"/>
    <cellStyle name="Input 4 5 10" xfId="4589"/>
    <cellStyle name="Input 4 5 10 2" xfId="13917"/>
    <cellStyle name="Input 4 5 10 2 2" xfId="27223"/>
    <cellStyle name="Input 4 5 10 3" xfId="18327"/>
    <cellStyle name="Input 4 5 10 3 2" xfId="31633"/>
    <cellStyle name="Input 4 5 10 4" xfId="22813"/>
    <cellStyle name="Input 4 5 10_Table" xfId="6051"/>
    <cellStyle name="Input 4 5 11" xfId="9939"/>
    <cellStyle name="Input 4 5 11 2" xfId="23263"/>
    <cellStyle name="Input 4 5 12" xfId="14367"/>
    <cellStyle name="Input 4 5 12 2" xfId="27673"/>
    <cellStyle name="Input 4 5 13" xfId="18853"/>
    <cellStyle name="Input 4 5 2" xfId="854"/>
    <cellStyle name="Input 4 5 2 10" xfId="4814"/>
    <cellStyle name="Input 4 5 2 10 2" xfId="14142"/>
    <cellStyle name="Input 4 5 2 10 2 2" xfId="27448"/>
    <cellStyle name="Input 4 5 2 10 3" xfId="18552"/>
    <cellStyle name="Input 4 5 2 10 3 2" xfId="31858"/>
    <cellStyle name="Input 4 5 2 10 4" xfId="23038"/>
    <cellStyle name="Input 4 5 2 10_Table" xfId="6053"/>
    <cellStyle name="Input 4 5 2 11" xfId="10182"/>
    <cellStyle name="Input 4 5 2 11 2" xfId="23488"/>
    <cellStyle name="Input 4 5 2 12" xfId="14592"/>
    <cellStyle name="Input 4 5 2 12 2" xfId="27898"/>
    <cellStyle name="Input 4 5 2 13" xfId="19078"/>
    <cellStyle name="Input 4 5 2 2" xfId="1640"/>
    <cellStyle name="Input 4 5 2 2 2" xfId="10968"/>
    <cellStyle name="Input 4 5 2 2 2 2" xfId="24274"/>
    <cellStyle name="Input 4 5 2 2 3" xfId="15378"/>
    <cellStyle name="Input 4 5 2 2 3 2" xfId="28684"/>
    <cellStyle name="Input 4 5 2 2 4" xfId="19864"/>
    <cellStyle name="Input 4 5 2 2_Table" xfId="6054"/>
    <cellStyle name="Input 4 5 2 3" xfId="2000"/>
    <cellStyle name="Input 4 5 2 3 2" xfId="11328"/>
    <cellStyle name="Input 4 5 2 3 2 2" xfId="24634"/>
    <cellStyle name="Input 4 5 2 3 3" xfId="15738"/>
    <cellStyle name="Input 4 5 2 3 3 2" xfId="29044"/>
    <cellStyle name="Input 4 5 2 3 4" xfId="20224"/>
    <cellStyle name="Input 4 5 2 3_Table" xfId="6055"/>
    <cellStyle name="Input 4 5 2 4" xfId="2430"/>
    <cellStyle name="Input 4 5 2 4 2" xfId="11758"/>
    <cellStyle name="Input 4 5 2 4 2 2" xfId="25064"/>
    <cellStyle name="Input 4 5 2 4 3" xfId="16168"/>
    <cellStyle name="Input 4 5 2 4 3 2" xfId="29474"/>
    <cellStyle name="Input 4 5 2 4 4" xfId="20654"/>
    <cellStyle name="Input 4 5 2 4_Table" xfId="6056"/>
    <cellStyle name="Input 4 5 2 5" xfId="2868"/>
    <cellStyle name="Input 4 5 2 5 2" xfId="12196"/>
    <cellStyle name="Input 4 5 2 5 2 2" xfId="25502"/>
    <cellStyle name="Input 4 5 2 5 3" xfId="16606"/>
    <cellStyle name="Input 4 5 2 5 3 2" xfId="29912"/>
    <cellStyle name="Input 4 5 2 5 4" xfId="21092"/>
    <cellStyle name="Input 4 5 2 5_Table" xfId="6057"/>
    <cellStyle name="Input 4 5 2 6" xfId="3275"/>
    <cellStyle name="Input 4 5 2 6 2" xfId="12603"/>
    <cellStyle name="Input 4 5 2 6 2 2" xfId="25909"/>
    <cellStyle name="Input 4 5 2 6 3" xfId="17013"/>
    <cellStyle name="Input 4 5 2 6 3 2" xfId="30319"/>
    <cellStyle name="Input 4 5 2 6 4" xfId="21499"/>
    <cellStyle name="Input 4 5 2 6_Table" xfId="6058"/>
    <cellStyle name="Input 4 5 2 7" xfId="3867"/>
    <cellStyle name="Input 4 5 2 7 2" xfId="13195"/>
    <cellStyle name="Input 4 5 2 7 2 2" xfId="26501"/>
    <cellStyle name="Input 4 5 2 7 3" xfId="17605"/>
    <cellStyle name="Input 4 5 2 7 3 2" xfId="30911"/>
    <cellStyle name="Input 4 5 2 7 4" xfId="22091"/>
    <cellStyle name="Input 4 5 2 7_Table" xfId="6059"/>
    <cellStyle name="Input 4 5 2 8" xfId="4092"/>
    <cellStyle name="Input 4 5 2 8 2" xfId="13420"/>
    <cellStyle name="Input 4 5 2 8 2 2" xfId="26726"/>
    <cellStyle name="Input 4 5 2 8 3" xfId="17830"/>
    <cellStyle name="Input 4 5 2 8 3 2" xfId="31136"/>
    <cellStyle name="Input 4 5 2 8 4" xfId="22316"/>
    <cellStyle name="Input 4 5 2 8_Table" xfId="6060"/>
    <cellStyle name="Input 4 5 2 9" xfId="4453"/>
    <cellStyle name="Input 4 5 2 9 2" xfId="13781"/>
    <cellStyle name="Input 4 5 2 9 2 2" xfId="27087"/>
    <cellStyle name="Input 4 5 2 9 3" xfId="18191"/>
    <cellStyle name="Input 4 5 2 9 3 2" xfId="31497"/>
    <cellStyle name="Input 4 5 2 9 4" xfId="22677"/>
    <cellStyle name="Input 4 5 2 9_Table" xfId="6061"/>
    <cellStyle name="Input 4 5 2_Table" xfId="6052"/>
    <cellStyle name="Input 4 5 3" xfId="1758"/>
    <cellStyle name="Input 4 5 3 2" xfId="11086"/>
    <cellStyle name="Input 4 5 3 2 2" xfId="24392"/>
    <cellStyle name="Input 4 5 3 3" xfId="15496"/>
    <cellStyle name="Input 4 5 3 3 2" xfId="28802"/>
    <cellStyle name="Input 4 5 3 4" xfId="19982"/>
    <cellStyle name="Input 4 5 3_Table" xfId="6062"/>
    <cellStyle name="Input 4 5 4" xfId="2191"/>
    <cellStyle name="Input 4 5 4 2" xfId="11519"/>
    <cellStyle name="Input 4 5 4 2 2" xfId="24825"/>
    <cellStyle name="Input 4 5 4 3" xfId="15929"/>
    <cellStyle name="Input 4 5 4 3 2" xfId="29235"/>
    <cellStyle name="Input 4 5 4 4" xfId="20415"/>
    <cellStyle name="Input 4 5 4_Table" xfId="6063"/>
    <cellStyle name="Input 4 5 5" xfId="2626"/>
    <cellStyle name="Input 4 5 5 2" xfId="11954"/>
    <cellStyle name="Input 4 5 5 2 2" xfId="25260"/>
    <cellStyle name="Input 4 5 5 3" xfId="16364"/>
    <cellStyle name="Input 4 5 5 3 2" xfId="29670"/>
    <cellStyle name="Input 4 5 5 4" xfId="20850"/>
    <cellStyle name="Input 4 5 5_Table" xfId="6064"/>
    <cellStyle name="Input 4 5 6" xfId="3039"/>
    <cellStyle name="Input 4 5 6 2" xfId="12367"/>
    <cellStyle name="Input 4 5 6 2 2" xfId="25673"/>
    <cellStyle name="Input 4 5 6 3" xfId="16777"/>
    <cellStyle name="Input 4 5 6 3 2" xfId="30083"/>
    <cellStyle name="Input 4 5 6 4" xfId="21263"/>
    <cellStyle name="Input 4 5 6_Table" xfId="6065"/>
    <cellStyle name="Input 4 5 7" xfId="3465"/>
    <cellStyle name="Input 4 5 7 2" xfId="12793"/>
    <cellStyle name="Input 4 5 7 2 2" xfId="26099"/>
    <cellStyle name="Input 4 5 7 3" xfId="17203"/>
    <cellStyle name="Input 4 5 7 3 2" xfId="30509"/>
    <cellStyle name="Input 4 5 7 4" xfId="21689"/>
    <cellStyle name="Input 4 5 7_Table" xfId="6066"/>
    <cellStyle name="Input 4 5 8" xfId="2465"/>
    <cellStyle name="Input 4 5 8 2" xfId="11793"/>
    <cellStyle name="Input 4 5 8 2 2" xfId="25099"/>
    <cellStyle name="Input 4 5 8 3" xfId="16203"/>
    <cellStyle name="Input 4 5 8 3 2" xfId="29509"/>
    <cellStyle name="Input 4 5 8 4" xfId="20689"/>
    <cellStyle name="Input 4 5 8_Table" xfId="6067"/>
    <cellStyle name="Input 4 5 9" xfId="4228"/>
    <cellStyle name="Input 4 5 9 2" xfId="13556"/>
    <cellStyle name="Input 4 5 9 2 2" xfId="26862"/>
    <cellStyle name="Input 4 5 9 3" xfId="17966"/>
    <cellStyle name="Input 4 5 9 3 2" xfId="31272"/>
    <cellStyle name="Input 4 5 9 4" xfId="22452"/>
    <cellStyle name="Input 4 5 9_Table" xfId="6068"/>
    <cellStyle name="Input 4 5_Table" xfId="6050"/>
    <cellStyle name="Input 4 6" xfId="674"/>
    <cellStyle name="Input 4 6 10" xfId="4634"/>
    <cellStyle name="Input 4 6 10 2" xfId="13962"/>
    <cellStyle name="Input 4 6 10 2 2" xfId="27268"/>
    <cellStyle name="Input 4 6 10 3" xfId="18372"/>
    <cellStyle name="Input 4 6 10 3 2" xfId="31678"/>
    <cellStyle name="Input 4 6 10 4" xfId="22858"/>
    <cellStyle name="Input 4 6 10_Table" xfId="6070"/>
    <cellStyle name="Input 4 6 11" xfId="10002"/>
    <cellStyle name="Input 4 6 11 2" xfId="23308"/>
    <cellStyle name="Input 4 6 12" xfId="14412"/>
    <cellStyle name="Input 4 6 12 2" xfId="27718"/>
    <cellStyle name="Input 4 6 13" xfId="18898"/>
    <cellStyle name="Input 4 6 2" xfId="1460"/>
    <cellStyle name="Input 4 6 2 2" xfId="10788"/>
    <cellStyle name="Input 4 6 2 2 2" xfId="24094"/>
    <cellStyle name="Input 4 6 2 3" xfId="15198"/>
    <cellStyle name="Input 4 6 2 3 2" xfId="28504"/>
    <cellStyle name="Input 4 6 2 4" xfId="19684"/>
    <cellStyle name="Input 4 6 2_Table" xfId="6071"/>
    <cellStyle name="Input 4 6 3" xfId="1820"/>
    <cellStyle name="Input 4 6 3 2" xfId="11148"/>
    <cellStyle name="Input 4 6 3 2 2" xfId="24454"/>
    <cellStyle name="Input 4 6 3 3" xfId="15558"/>
    <cellStyle name="Input 4 6 3 3 2" xfId="28864"/>
    <cellStyle name="Input 4 6 3 4" xfId="20044"/>
    <cellStyle name="Input 4 6 3_Table" xfId="6072"/>
    <cellStyle name="Input 4 6 4" xfId="2250"/>
    <cellStyle name="Input 4 6 4 2" xfId="11578"/>
    <cellStyle name="Input 4 6 4 2 2" xfId="24884"/>
    <cellStyle name="Input 4 6 4 3" xfId="15988"/>
    <cellStyle name="Input 4 6 4 3 2" xfId="29294"/>
    <cellStyle name="Input 4 6 4 4" xfId="20474"/>
    <cellStyle name="Input 4 6 4_Table" xfId="6073"/>
    <cellStyle name="Input 4 6 5" xfId="2688"/>
    <cellStyle name="Input 4 6 5 2" xfId="12016"/>
    <cellStyle name="Input 4 6 5 2 2" xfId="25322"/>
    <cellStyle name="Input 4 6 5 3" xfId="16426"/>
    <cellStyle name="Input 4 6 5 3 2" xfId="29732"/>
    <cellStyle name="Input 4 6 5 4" xfId="20912"/>
    <cellStyle name="Input 4 6 5_Table" xfId="6074"/>
    <cellStyle name="Input 4 6 6" xfId="3095"/>
    <cellStyle name="Input 4 6 6 2" xfId="12423"/>
    <cellStyle name="Input 4 6 6 2 2" xfId="25729"/>
    <cellStyle name="Input 4 6 6 3" xfId="16833"/>
    <cellStyle name="Input 4 6 6 3 2" xfId="30139"/>
    <cellStyle name="Input 4 6 6 4" xfId="21319"/>
    <cellStyle name="Input 4 6 6_Table" xfId="6075"/>
    <cellStyle name="Input 4 6 7" xfId="3687"/>
    <cellStyle name="Input 4 6 7 2" xfId="13015"/>
    <cellStyle name="Input 4 6 7 2 2" xfId="26321"/>
    <cellStyle name="Input 4 6 7 3" xfId="17425"/>
    <cellStyle name="Input 4 6 7 3 2" xfId="30731"/>
    <cellStyle name="Input 4 6 7 4" xfId="21911"/>
    <cellStyle name="Input 4 6 7_Table" xfId="6076"/>
    <cellStyle name="Input 4 6 8" xfId="3912"/>
    <cellStyle name="Input 4 6 8 2" xfId="13240"/>
    <cellStyle name="Input 4 6 8 2 2" xfId="26546"/>
    <cellStyle name="Input 4 6 8 3" xfId="17650"/>
    <cellStyle name="Input 4 6 8 3 2" xfId="30956"/>
    <cellStyle name="Input 4 6 8 4" xfId="22136"/>
    <cellStyle name="Input 4 6 8_Table" xfId="6077"/>
    <cellStyle name="Input 4 6 9" xfId="4273"/>
    <cellStyle name="Input 4 6 9 2" xfId="13601"/>
    <cellStyle name="Input 4 6 9 2 2" xfId="26907"/>
    <cellStyle name="Input 4 6 9 3" xfId="18011"/>
    <cellStyle name="Input 4 6 9 3 2" xfId="31317"/>
    <cellStyle name="Input 4 6 9 4" xfId="22497"/>
    <cellStyle name="Input 4 6 9_Table" xfId="6078"/>
    <cellStyle name="Input 4 6_Table" xfId="6069"/>
    <cellStyle name="Input 4 7" xfId="1091"/>
    <cellStyle name="Input 4 7 2" xfId="10419"/>
    <cellStyle name="Input 4 7 2 2" xfId="23725"/>
    <cellStyle name="Input 4 7 3" xfId="14829"/>
    <cellStyle name="Input 4 7 3 2" xfId="28135"/>
    <cellStyle name="Input 4 7 4" xfId="19315"/>
    <cellStyle name="Input 4 7_Table" xfId="6079"/>
    <cellStyle name="Input 4 8" xfId="1161"/>
    <cellStyle name="Input 4 8 2" xfId="10489"/>
    <cellStyle name="Input 4 8 2 2" xfId="23795"/>
    <cellStyle name="Input 4 8 3" xfId="14899"/>
    <cellStyle name="Input 4 8 3 2" xfId="28205"/>
    <cellStyle name="Input 4 8 4" xfId="19385"/>
    <cellStyle name="Input 4 8_Table" xfId="6080"/>
    <cellStyle name="Input 4 9" xfId="1081"/>
    <cellStyle name="Input 4 9 2" xfId="10409"/>
    <cellStyle name="Input 4 9 2 2" xfId="23715"/>
    <cellStyle name="Input 4 9 3" xfId="14819"/>
    <cellStyle name="Input 4 9 3 2" xfId="28125"/>
    <cellStyle name="Input 4 9 4" xfId="19305"/>
    <cellStyle name="Input 4 9_Table" xfId="6081"/>
    <cellStyle name="Input 4_Table" xfId="5987"/>
    <cellStyle name="Input 5" xfId="311"/>
    <cellStyle name="Input 5 10" xfId="890"/>
    <cellStyle name="Input 5 10 2" xfId="10218"/>
    <cellStyle name="Input 5 10 2 2" xfId="23524"/>
    <cellStyle name="Input 5 10 3" xfId="14628"/>
    <cellStyle name="Input 5 10 3 2" xfId="27934"/>
    <cellStyle name="Input 5 10 4" xfId="19114"/>
    <cellStyle name="Input 5 10_Table" xfId="6083"/>
    <cellStyle name="Input 5 11" xfId="956"/>
    <cellStyle name="Input 5 11 2" xfId="10284"/>
    <cellStyle name="Input 5 11 2 2" xfId="23590"/>
    <cellStyle name="Input 5 11 3" xfId="14694"/>
    <cellStyle name="Input 5 11 3 2" xfId="28000"/>
    <cellStyle name="Input 5 11 4" xfId="19180"/>
    <cellStyle name="Input 5 11_Table" xfId="6084"/>
    <cellStyle name="Input 5 12" xfId="3584"/>
    <cellStyle name="Input 5 12 2" xfId="12912"/>
    <cellStyle name="Input 5 12 2 2" xfId="26218"/>
    <cellStyle name="Input 5 12 3" xfId="17322"/>
    <cellStyle name="Input 5 12 3 2" xfId="30628"/>
    <cellStyle name="Input 5 12 4" xfId="21808"/>
    <cellStyle name="Input 5 12_Table" xfId="6085"/>
    <cellStyle name="Input 5 13" xfId="1085"/>
    <cellStyle name="Input 5 13 2" xfId="10413"/>
    <cellStyle name="Input 5 13 2 2" xfId="23719"/>
    <cellStyle name="Input 5 13 3" xfId="14823"/>
    <cellStyle name="Input 5 13 3 2" xfId="28129"/>
    <cellStyle name="Input 5 13 4" xfId="19309"/>
    <cellStyle name="Input 5 13_Table" xfId="6086"/>
    <cellStyle name="Input 5 14" xfId="3617"/>
    <cellStyle name="Input 5 14 2" xfId="12945"/>
    <cellStyle name="Input 5 14 2 2" xfId="26251"/>
    <cellStyle name="Input 5 14 3" xfId="17355"/>
    <cellStyle name="Input 5 14 3 2" xfId="30661"/>
    <cellStyle name="Input 5 14 4" xfId="21841"/>
    <cellStyle name="Input 5 14_Table" xfId="6087"/>
    <cellStyle name="Input 5 15" xfId="9639"/>
    <cellStyle name="Input 5 15 2" xfId="23084"/>
    <cellStyle name="Input 5 16" xfId="14188"/>
    <cellStyle name="Input 5 16 2" xfId="27494"/>
    <cellStyle name="Input 5 17" xfId="18674"/>
    <cellStyle name="Input 5 2" xfId="405"/>
    <cellStyle name="Input 5 2 10" xfId="3555"/>
    <cellStyle name="Input 5 2 10 2" xfId="12883"/>
    <cellStyle name="Input 5 2 10 2 2" xfId="26189"/>
    <cellStyle name="Input 5 2 10 3" xfId="17293"/>
    <cellStyle name="Input 5 2 10 3 2" xfId="30599"/>
    <cellStyle name="Input 5 2 10 4" xfId="21779"/>
    <cellStyle name="Input 5 2 10_Table" xfId="6089"/>
    <cellStyle name="Input 5 2 11" xfId="9733"/>
    <cellStyle name="Input 5 2 11 2" xfId="23129"/>
    <cellStyle name="Input 5 2 12" xfId="14233"/>
    <cellStyle name="Input 5 2 12 2" xfId="27539"/>
    <cellStyle name="Input 5 2 13" xfId="18719"/>
    <cellStyle name="Input 5 2 2" xfId="720"/>
    <cellStyle name="Input 5 2 2 10" xfId="4680"/>
    <cellStyle name="Input 5 2 2 10 2" xfId="14008"/>
    <cellStyle name="Input 5 2 2 10 2 2" xfId="27314"/>
    <cellStyle name="Input 5 2 2 10 3" xfId="18418"/>
    <cellStyle name="Input 5 2 2 10 3 2" xfId="31724"/>
    <cellStyle name="Input 5 2 2 10 4" xfId="22904"/>
    <cellStyle name="Input 5 2 2 10_Table" xfId="6091"/>
    <cellStyle name="Input 5 2 2 11" xfId="10048"/>
    <cellStyle name="Input 5 2 2 11 2" xfId="23354"/>
    <cellStyle name="Input 5 2 2 12" xfId="14458"/>
    <cellStyle name="Input 5 2 2 12 2" xfId="27764"/>
    <cellStyle name="Input 5 2 2 13" xfId="18944"/>
    <cellStyle name="Input 5 2 2 2" xfId="1506"/>
    <cellStyle name="Input 5 2 2 2 2" xfId="10834"/>
    <cellStyle name="Input 5 2 2 2 2 2" xfId="24140"/>
    <cellStyle name="Input 5 2 2 2 3" xfId="15244"/>
    <cellStyle name="Input 5 2 2 2 3 2" xfId="28550"/>
    <cellStyle name="Input 5 2 2 2 4" xfId="19730"/>
    <cellStyle name="Input 5 2 2 2_Table" xfId="6092"/>
    <cellStyle name="Input 5 2 2 3" xfId="1866"/>
    <cellStyle name="Input 5 2 2 3 2" xfId="11194"/>
    <cellStyle name="Input 5 2 2 3 2 2" xfId="24500"/>
    <cellStyle name="Input 5 2 2 3 3" xfId="15604"/>
    <cellStyle name="Input 5 2 2 3 3 2" xfId="28910"/>
    <cellStyle name="Input 5 2 2 3 4" xfId="20090"/>
    <cellStyle name="Input 5 2 2 3_Table" xfId="6093"/>
    <cellStyle name="Input 5 2 2 4" xfId="2296"/>
    <cellStyle name="Input 5 2 2 4 2" xfId="11624"/>
    <cellStyle name="Input 5 2 2 4 2 2" xfId="24930"/>
    <cellStyle name="Input 5 2 2 4 3" xfId="16034"/>
    <cellStyle name="Input 5 2 2 4 3 2" xfId="29340"/>
    <cellStyle name="Input 5 2 2 4 4" xfId="20520"/>
    <cellStyle name="Input 5 2 2 4_Table" xfId="6094"/>
    <cellStyle name="Input 5 2 2 5" xfId="2734"/>
    <cellStyle name="Input 5 2 2 5 2" xfId="12062"/>
    <cellStyle name="Input 5 2 2 5 2 2" xfId="25368"/>
    <cellStyle name="Input 5 2 2 5 3" xfId="16472"/>
    <cellStyle name="Input 5 2 2 5 3 2" xfId="29778"/>
    <cellStyle name="Input 5 2 2 5 4" xfId="20958"/>
    <cellStyle name="Input 5 2 2 5_Table" xfId="6095"/>
    <cellStyle name="Input 5 2 2 6" xfId="3141"/>
    <cellStyle name="Input 5 2 2 6 2" xfId="12469"/>
    <cellStyle name="Input 5 2 2 6 2 2" xfId="25775"/>
    <cellStyle name="Input 5 2 2 6 3" xfId="16879"/>
    <cellStyle name="Input 5 2 2 6 3 2" xfId="30185"/>
    <cellStyle name="Input 5 2 2 6 4" xfId="21365"/>
    <cellStyle name="Input 5 2 2 6_Table" xfId="6096"/>
    <cellStyle name="Input 5 2 2 7" xfId="3733"/>
    <cellStyle name="Input 5 2 2 7 2" xfId="13061"/>
    <cellStyle name="Input 5 2 2 7 2 2" xfId="26367"/>
    <cellStyle name="Input 5 2 2 7 3" xfId="17471"/>
    <cellStyle name="Input 5 2 2 7 3 2" xfId="30777"/>
    <cellStyle name="Input 5 2 2 7 4" xfId="21957"/>
    <cellStyle name="Input 5 2 2 7_Table" xfId="6097"/>
    <cellStyle name="Input 5 2 2 8" xfId="3958"/>
    <cellStyle name="Input 5 2 2 8 2" xfId="13286"/>
    <cellStyle name="Input 5 2 2 8 2 2" xfId="26592"/>
    <cellStyle name="Input 5 2 2 8 3" xfId="17696"/>
    <cellStyle name="Input 5 2 2 8 3 2" xfId="31002"/>
    <cellStyle name="Input 5 2 2 8 4" xfId="22182"/>
    <cellStyle name="Input 5 2 2 8_Table" xfId="6098"/>
    <cellStyle name="Input 5 2 2 9" xfId="4319"/>
    <cellStyle name="Input 5 2 2 9 2" xfId="13647"/>
    <cellStyle name="Input 5 2 2 9 2 2" xfId="26953"/>
    <cellStyle name="Input 5 2 2 9 3" xfId="18057"/>
    <cellStyle name="Input 5 2 2 9 3 2" xfId="31363"/>
    <cellStyle name="Input 5 2 2 9 4" xfId="22543"/>
    <cellStyle name="Input 5 2 2 9_Table" xfId="6099"/>
    <cellStyle name="Input 5 2 2_Table" xfId="6090"/>
    <cellStyle name="Input 5 2 3" xfId="1007"/>
    <cellStyle name="Input 5 2 3 2" xfId="10335"/>
    <cellStyle name="Input 5 2 3 2 2" xfId="23641"/>
    <cellStyle name="Input 5 2 3 3" xfId="14745"/>
    <cellStyle name="Input 5 2 3 3 2" xfId="28051"/>
    <cellStyle name="Input 5 2 3 4" xfId="19231"/>
    <cellStyle name="Input 5 2 3_Table" xfId="6100"/>
    <cellStyle name="Input 5 2 4" xfId="1437"/>
    <cellStyle name="Input 5 2 4 2" xfId="10765"/>
    <cellStyle name="Input 5 2 4 2 2" xfId="24071"/>
    <cellStyle name="Input 5 2 4 3" xfId="15175"/>
    <cellStyle name="Input 5 2 4 3 2" xfId="28481"/>
    <cellStyle name="Input 5 2 4 4" xfId="19661"/>
    <cellStyle name="Input 5 2 4_Table" xfId="6101"/>
    <cellStyle name="Input 5 2 5" xfId="1073"/>
    <cellStyle name="Input 5 2 5 2" xfId="10401"/>
    <cellStyle name="Input 5 2 5 2 2" xfId="23707"/>
    <cellStyle name="Input 5 2 5 3" xfId="14811"/>
    <cellStyle name="Input 5 2 5 3 2" xfId="28117"/>
    <cellStyle name="Input 5 2 5 4" xfId="19297"/>
    <cellStyle name="Input 5 2 5_Table" xfId="6102"/>
    <cellStyle name="Input 5 2 6" xfId="1391"/>
    <cellStyle name="Input 5 2 6 2" xfId="10719"/>
    <cellStyle name="Input 5 2 6 2 2" xfId="24025"/>
    <cellStyle name="Input 5 2 6 3" xfId="15129"/>
    <cellStyle name="Input 5 2 6 3 2" xfId="28435"/>
    <cellStyle name="Input 5 2 6 4" xfId="19615"/>
    <cellStyle name="Input 5 2 6_Table" xfId="6103"/>
    <cellStyle name="Input 5 2 7" xfId="1735"/>
    <cellStyle name="Input 5 2 7 2" xfId="11063"/>
    <cellStyle name="Input 5 2 7 2 2" xfId="24369"/>
    <cellStyle name="Input 5 2 7 3" xfId="15473"/>
    <cellStyle name="Input 5 2 7 3 2" xfId="28779"/>
    <cellStyle name="Input 5 2 7 4" xfId="19959"/>
    <cellStyle name="Input 5 2 7_Table" xfId="6104"/>
    <cellStyle name="Input 5 2 8" xfId="3074"/>
    <cellStyle name="Input 5 2 8 2" xfId="12402"/>
    <cellStyle name="Input 5 2 8 2 2" xfId="25708"/>
    <cellStyle name="Input 5 2 8 3" xfId="16812"/>
    <cellStyle name="Input 5 2 8 3 2" xfId="30118"/>
    <cellStyle name="Input 5 2 8 4" xfId="21298"/>
    <cellStyle name="Input 5 2 8_Table" xfId="6105"/>
    <cellStyle name="Input 5 2 9" xfId="3022"/>
    <cellStyle name="Input 5 2 9 2" xfId="12350"/>
    <cellStyle name="Input 5 2 9 2 2" xfId="25656"/>
    <cellStyle name="Input 5 2 9 3" xfId="16760"/>
    <cellStyle name="Input 5 2 9 3 2" xfId="30066"/>
    <cellStyle name="Input 5 2 9 4" xfId="21246"/>
    <cellStyle name="Input 5 2 9_Table" xfId="6106"/>
    <cellStyle name="Input 5 2_Table" xfId="6088"/>
    <cellStyle name="Input 5 3" xfId="473"/>
    <cellStyle name="Input 5 3 10" xfId="4500"/>
    <cellStyle name="Input 5 3 10 2" xfId="13828"/>
    <cellStyle name="Input 5 3 10 2 2" xfId="27134"/>
    <cellStyle name="Input 5 3 10 3" xfId="18238"/>
    <cellStyle name="Input 5 3 10 3 2" xfId="31544"/>
    <cellStyle name="Input 5 3 10 4" xfId="22724"/>
    <cellStyle name="Input 5 3 10_Table" xfId="6108"/>
    <cellStyle name="Input 5 3 11" xfId="9801"/>
    <cellStyle name="Input 5 3 11 2" xfId="23174"/>
    <cellStyle name="Input 5 3 12" xfId="14278"/>
    <cellStyle name="Input 5 3 12 2" xfId="27584"/>
    <cellStyle name="Input 5 3 13" xfId="18764"/>
    <cellStyle name="Input 5 3 2" xfId="765"/>
    <cellStyle name="Input 5 3 2 10" xfId="4725"/>
    <cellStyle name="Input 5 3 2 10 2" xfId="14053"/>
    <cellStyle name="Input 5 3 2 10 2 2" xfId="27359"/>
    <cellStyle name="Input 5 3 2 10 3" xfId="18463"/>
    <cellStyle name="Input 5 3 2 10 3 2" xfId="31769"/>
    <cellStyle name="Input 5 3 2 10 4" xfId="22949"/>
    <cellStyle name="Input 5 3 2 10_Table" xfId="6110"/>
    <cellStyle name="Input 5 3 2 11" xfId="10093"/>
    <cellStyle name="Input 5 3 2 11 2" xfId="23399"/>
    <cellStyle name="Input 5 3 2 12" xfId="14503"/>
    <cellStyle name="Input 5 3 2 12 2" xfId="27809"/>
    <cellStyle name="Input 5 3 2 13" xfId="18989"/>
    <cellStyle name="Input 5 3 2 2" xfId="1551"/>
    <cellStyle name="Input 5 3 2 2 2" xfId="10879"/>
    <cellStyle name="Input 5 3 2 2 2 2" xfId="24185"/>
    <cellStyle name="Input 5 3 2 2 3" xfId="15289"/>
    <cellStyle name="Input 5 3 2 2 3 2" xfId="28595"/>
    <cellStyle name="Input 5 3 2 2 4" xfId="19775"/>
    <cellStyle name="Input 5 3 2 2_Table" xfId="6111"/>
    <cellStyle name="Input 5 3 2 3" xfId="1911"/>
    <cellStyle name="Input 5 3 2 3 2" xfId="11239"/>
    <cellStyle name="Input 5 3 2 3 2 2" xfId="24545"/>
    <cellStyle name="Input 5 3 2 3 3" xfId="15649"/>
    <cellStyle name="Input 5 3 2 3 3 2" xfId="28955"/>
    <cellStyle name="Input 5 3 2 3 4" xfId="20135"/>
    <cellStyle name="Input 5 3 2 3_Table" xfId="6112"/>
    <cellStyle name="Input 5 3 2 4" xfId="2341"/>
    <cellStyle name="Input 5 3 2 4 2" xfId="11669"/>
    <cellStyle name="Input 5 3 2 4 2 2" xfId="24975"/>
    <cellStyle name="Input 5 3 2 4 3" xfId="16079"/>
    <cellStyle name="Input 5 3 2 4 3 2" xfId="29385"/>
    <cellStyle name="Input 5 3 2 4 4" xfId="20565"/>
    <cellStyle name="Input 5 3 2 4_Table" xfId="6113"/>
    <cellStyle name="Input 5 3 2 5" xfId="2779"/>
    <cellStyle name="Input 5 3 2 5 2" xfId="12107"/>
    <cellStyle name="Input 5 3 2 5 2 2" xfId="25413"/>
    <cellStyle name="Input 5 3 2 5 3" xfId="16517"/>
    <cellStyle name="Input 5 3 2 5 3 2" xfId="29823"/>
    <cellStyle name="Input 5 3 2 5 4" xfId="21003"/>
    <cellStyle name="Input 5 3 2 5_Table" xfId="6114"/>
    <cellStyle name="Input 5 3 2 6" xfId="3186"/>
    <cellStyle name="Input 5 3 2 6 2" xfId="12514"/>
    <cellStyle name="Input 5 3 2 6 2 2" xfId="25820"/>
    <cellStyle name="Input 5 3 2 6 3" xfId="16924"/>
    <cellStyle name="Input 5 3 2 6 3 2" xfId="30230"/>
    <cellStyle name="Input 5 3 2 6 4" xfId="21410"/>
    <cellStyle name="Input 5 3 2 6_Table" xfId="6115"/>
    <cellStyle name="Input 5 3 2 7" xfId="3778"/>
    <cellStyle name="Input 5 3 2 7 2" xfId="13106"/>
    <cellStyle name="Input 5 3 2 7 2 2" xfId="26412"/>
    <cellStyle name="Input 5 3 2 7 3" xfId="17516"/>
    <cellStyle name="Input 5 3 2 7 3 2" xfId="30822"/>
    <cellStyle name="Input 5 3 2 7 4" xfId="22002"/>
    <cellStyle name="Input 5 3 2 7_Table" xfId="6116"/>
    <cellStyle name="Input 5 3 2 8" xfId="4003"/>
    <cellStyle name="Input 5 3 2 8 2" xfId="13331"/>
    <cellStyle name="Input 5 3 2 8 2 2" xfId="26637"/>
    <cellStyle name="Input 5 3 2 8 3" xfId="17741"/>
    <cellStyle name="Input 5 3 2 8 3 2" xfId="31047"/>
    <cellStyle name="Input 5 3 2 8 4" xfId="22227"/>
    <cellStyle name="Input 5 3 2 8_Table" xfId="6117"/>
    <cellStyle name="Input 5 3 2 9" xfId="4364"/>
    <cellStyle name="Input 5 3 2 9 2" xfId="13692"/>
    <cellStyle name="Input 5 3 2 9 2 2" xfId="26998"/>
    <cellStyle name="Input 5 3 2 9 3" xfId="18102"/>
    <cellStyle name="Input 5 3 2 9 3 2" xfId="31408"/>
    <cellStyle name="Input 5 3 2 9 4" xfId="22588"/>
    <cellStyle name="Input 5 3 2 9_Table" xfId="6118"/>
    <cellStyle name="Input 5 3 2_Table" xfId="6109"/>
    <cellStyle name="Input 5 3 3" xfId="941"/>
    <cellStyle name="Input 5 3 3 2" xfId="10269"/>
    <cellStyle name="Input 5 3 3 2 2" xfId="23575"/>
    <cellStyle name="Input 5 3 3 3" xfId="14679"/>
    <cellStyle name="Input 5 3 3 3 2" xfId="27985"/>
    <cellStyle name="Input 5 3 3 4" xfId="19165"/>
    <cellStyle name="Input 5 3 3_Table" xfId="6119"/>
    <cellStyle name="Input 5 3 4" xfId="2064"/>
    <cellStyle name="Input 5 3 4 2" xfId="11392"/>
    <cellStyle name="Input 5 3 4 2 2" xfId="24698"/>
    <cellStyle name="Input 5 3 4 3" xfId="15802"/>
    <cellStyle name="Input 5 3 4 3 2" xfId="29108"/>
    <cellStyle name="Input 5 3 4 4" xfId="20288"/>
    <cellStyle name="Input 5 3 4_Table" xfId="6120"/>
    <cellStyle name="Input 5 3 5" xfId="2496"/>
    <cellStyle name="Input 5 3 5 2" xfId="11824"/>
    <cellStyle name="Input 5 3 5 2 2" xfId="25130"/>
    <cellStyle name="Input 5 3 5 3" xfId="16234"/>
    <cellStyle name="Input 5 3 5 3 2" xfId="29540"/>
    <cellStyle name="Input 5 3 5 4" xfId="20720"/>
    <cellStyle name="Input 5 3 5_Table" xfId="6121"/>
    <cellStyle name="Input 5 3 6" xfId="2925"/>
    <cellStyle name="Input 5 3 6 2" xfId="12253"/>
    <cellStyle name="Input 5 3 6 2 2" xfId="25559"/>
    <cellStyle name="Input 5 3 6 3" xfId="16663"/>
    <cellStyle name="Input 5 3 6 3 2" xfId="29969"/>
    <cellStyle name="Input 5 3 6 4" xfId="21149"/>
    <cellStyle name="Input 5 3 6_Table" xfId="6122"/>
    <cellStyle name="Input 5 3 7" xfId="3337"/>
    <cellStyle name="Input 5 3 7 2" xfId="12665"/>
    <cellStyle name="Input 5 3 7 2 2" xfId="25971"/>
    <cellStyle name="Input 5 3 7 3" xfId="17075"/>
    <cellStyle name="Input 5 3 7 3 2" xfId="30381"/>
    <cellStyle name="Input 5 3 7 4" xfId="21561"/>
    <cellStyle name="Input 5 3 7_Table" xfId="6123"/>
    <cellStyle name="Input 5 3 8" xfId="3318"/>
    <cellStyle name="Input 5 3 8 2" xfId="12646"/>
    <cellStyle name="Input 5 3 8 2 2" xfId="25952"/>
    <cellStyle name="Input 5 3 8 3" xfId="17056"/>
    <cellStyle name="Input 5 3 8 3 2" xfId="30362"/>
    <cellStyle name="Input 5 3 8 4" xfId="21542"/>
    <cellStyle name="Input 5 3 8_Table" xfId="6124"/>
    <cellStyle name="Input 5 3 9" xfId="4139"/>
    <cellStyle name="Input 5 3 9 2" xfId="13467"/>
    <cellStyle name="Input 5 3 9 2 2" xfId="26773"/>
    <cellStyle name="Input 5 3 9 3" xfId="17877"/>
    <cellStyle name="Input 5 3 9 3 2" xfId="31183"/>
    <cellStyle name="Input 5 3 9 4" xfId="22363"/>
    <cellStyle name="Input 5 3 9_Table" xfId="6125"/>
    <cellStyle name="Input 5 3_Table" xfId="6107"/>
    <cellStyle name="Input 5 4" xfId="537"/>
    <cellStyle name="Input 5 4 10" xfId="4545"/>
    <cellStyle name="Input 5 4 10 2" xfId="13873"/>
    <cellStyle name="Input 5 4 10 2 2" xfId="27179"/>
    <cellStyle name="Input 5 4 10 3" xfId="18283"/>
    <cellStyle name="Input 5 4 10 3 2" xfId="31589"/>
    <cellStyle name="Input 5 4 10 4" xfId="22769"/>
    <cellStyle name="Input 5 4 10_Table" xfId="6127"/>
    <cellStyle name="Input 5 4 11" xfId="9865"/>
    <cellStyle name="Input 5 4 11 2" xfId="23219"/>
    <cellStyle name="Input 5 4 12" xfId="14323"/>
    <cellStyle name="Input 5 4 12 2" xfId="27629"/>
    <cellStyle name="Input 5 4 13" xfId="18809"/>
    <cellStyle name="Input 5 4 2" xfId="810"/>
    <cellStyle name="Input 5 4 2 10" xfId="4770"/>
    <cellStyle name="Input 5 4 2 10 2" xfId="14098"/>
    <cellStyle name="Input 5 4 2 10 2 2" xfId="27404"/>
    <cellStyle name="Input 5 4 2 10 3" xfId="18508"/>
    <cellStyle name="Input 5 4 2 10 3 2" xfId="31814"/>
    <cellStyle name="Input 5 4 2 10 4" xfId="22994"/>
    <cellStyle name="Input 5 4 2 10_Table" xfId="6129"/>
    <cellStyle name="Input 5 4 2 11" xfId="10138"/>
    <cellStyle name="Input 5 4 2 11 2" xfId="23444"/>
    <cellStyle name="Input 5 4 2 12" xfId="14548"/>
    <cellStyle name="Input 5 4 2 12 2" xfId="27854"/>
    <cellStyle name="Input 5 4 2 13" xfId="19034"/>
    <cellStyle name="Input 5 4 2 2" xfId="1596"/>
    <cellStyle name="Input 5 4 2 2 2" xfId="10924"/>
    <cellStyle name="Input 5 4 2 2 2 2" xfId="24230"/>
    <cellStyle name="Input 5 4 2 2 3" xfId="15334"/>
    <cellStyle name="Input 5 4 2 2 3 2" xfId="28640"/>
    <cellStyle name="Input 5 4 2 2 4" xfId="19820"/>
    <cellStyle name="Input 5 4 2 2_Table" xfId="6130"/>
    <cellStyle name="Input 5 4 2 3" xfId="1956"/>
    <cellStyle name="Input 5 4 2 3 2" xfId="11284"/>
    <cellStyle name="Input 5 4 2 3 2 2" xfId="24590"/>
    <cellStyle name="Input 5 4 2 3 3" xfId="15694"/>
    <cellStyle name="Input 5 4 2 3 3 2" xfId="29000"/>
    <cellStyle name="Input 5 4 2 3 4" xfId="20180"/>
    <cellStyle name="Input 5 4 2 3_Table" xfId="6131"/>
    <cellStyle name="Input 5 4 2 4" xfId="2386"/>
    <cellStyle name="Input 5 4 2 4 2" xfId="11714"/>
    <cellStyle name="Input 5 4 2 4 2 2" xfId="25020"/>
    <cellStyle name="Input 5 4 2 4 3" xfId="16124"/>
    <cellStyle name="Input 5 4 2 4 3 2" xfId="29430"/>
    <cellStyle name="Input 5 4 2 4 4" xfId="20610"/>
    <cellStyle name="Input 5 4 2 4_Table" xfId="6132"/>
    <cellStyle name="Input 5 4 2 5" xfId="2824"/>
    <cellStyle name="Input 5 4 2 5 2" xfId="12152"/>
    <cellStyle name="Input 5 4 2 5 2 2" xfId="25458"/>
    <cellStyle name="Input 5 4 2 5 3" xfId="16562"/>
    <cellStyle name="Input 5 4 2 5 3 2" xfId="29868"/>
    <cellStyle name="Input 5 4 2 5 4" xfId="21048"/>
    <cellStyle name="Input 5 4 2 5_Table" xfId="6133"/>
    <cellStyle name="Input 5 4 2 6" xfId="3231"/>
    <cellStyle name="Input 5 4 2 6 2" xfId="12559"/>
    <cellStyle name="Input 5 4 2 6 2 2" xfId="25865"/>
    <cellStyle name="Input 5 4 2 6 3" xfId="16969"/>
    <cellStyle name="Input 5 4 2 6 3 2" xfId="30275"/>
    <cellStyle name="Input 5 4 2 6 4" xfId="21455"/>
    <cellStyle name="Input 5 4 2 6_Table" xfId="6134"/>
    <cellStyle name="Input 5 4 2 7" xfId="3823"/>
    <cellStyle name="Input 5 4 2 7 2" xfId="13151"/>
    <cellStyle name="Input 5 4 2 7 2 2" xfId="26457"/>
    <cellStyle name="Input 5 4 2 7 3" xfId="17561"/>
    <cellStyle name="Input 5 4 2 7 3 2" xfId="30867"/>
    <cellStyle name="Input 5 4 2 7 4" xfId="22047"/>
    <cellStyle name="Input 5 4 2 7_Table" xfId="6135"/>
    <cellStyle name="Input 5 4 2 8" xfId="4048"/>
    <cellStyle name="Input 5 4 2 8 2" xfId="13376"/>
    <cellStyle name="Input 5 4 2 8 2 2" xfId="26682"/>
    <cellStyle name="Input 5 4 2 8 3" xfId="17786"/>
    <cellStyle name="Input 5 4 2 8 3 2" xfId="31092"/>
    <cellStyle name="Input 5 4 2 8 4" xfId="22272"/>
    <cellStyle name="Input 5 4 2 8_Table" xfId="6136"/>
    <cellStyle name="Input 5 4 2 9" xfId="4409"/>
    <cellStyle name="Input 5 4 2 9 2" xfId="13737"/>
    <cellStyle name="Input 5 4 2 9 2 2" xfId="27043"/>
    <cellStyle name="Input 5 4 2 9 3" xfId="18147"/>
    <cellStyle name="Input 5 4 2 9 3 2" xfId="31453"/>
    <cellStyle name="Input 5 4 2 9 4" xfId="22633"/>
    <cellStyle name="Input 5 4 2 9_Table" xfId="6137"/>
    <cellStyle name="Input 5 4 2_Table" xfId="6128"/>
    <cellStyle name="Input 5 4 3" xfId="1689"/>
    <cellStyle name="Input 5 4 3 2" xfId="11017"/>
    <cellStyle name="Input 5 4 3 2 2" xfId="24323"/>
    <cellStyle name="Input 5 4 3 3" xfId="15427"/>
    <cellStyle name="Input 5 4 3 3 2" xfId="28733"/>
    <cellStyle name="Input 5 4 3 4" xfId="19913"/>
    <cellStyle name="Input 5 4 3_Table" xfId="6138"/>
    <cellStyle name="Input 5 4 4" xfId="2123"/>
    <cellStyle name="Input 5 4 4 2" xfId="11451"/>
    <cellStyle name="Input 5 4 4 2 2" xfId="24757"/>
    <cellStyle name="Input 5 4 4 3" xfId="15861"/>
    <cellStyle name="Input 5 4 4 3 2" xfId="29167"/>
    <cellStyle name="Input 5 4 4 4" xfId="20347"/>
    <cellStyle name="Input 5 4 4_Table" xfId="6139"/>
    <cellStyle name="Input 5 4 5" xfId="2555"/>
    <cellStyle name="Input 5 4 5 2" xfId="11883"/>
    <cellStyle name="Input 5 4 5 2 2" xfId="25189"/>
    <cellStyle name="Input 5 4 5 3" xfId="16293"/>
    <cellStyle name="Input 5 4 5 3 2" xfId="29599"/>
    <cellStyle name="Input 5 4 5 4" xfId="20779"/>
    <cellStyle name="Input 5 4 5_Table" xfId="6140"/>
    <cellStyle name="Input 5 4 6" xfId="2982"/>
    <cellStyle name="Input 5 4 6 2" xfId="12310"/>
    <cellStyle name="Input 5 4 6 2 2" xfId="25616"/>
    <cellStyle name="Input 5 4 6 3" xfId="16720"/>
    <cellStyle name="Input 5 4 6 3 2" xfId="30026"/>
    <cellStyle name="Input 5 4 6 4" xfId="21206"/>
    <cellStyle name="Input 5 4 6_Table" xfId="6141"/>
    <cellStyle name="Input 5 4 7" xfId="3395"/>
    <cellStyle name="Input 5 4 7 2" xfId="12723"/>
    <cellStyle name="Input 5 4 7 2 2" xfId="26029"/>
    <cellStyle name="Input 5 4 7 3" xfId="17133"/>
    <cellStyle name="Input 5 4 7 3 2" xfId="30439"/>
    <cellStyle name="Input 5 4 7 4" xfId="21619"/>
    <cellStyle name="Input 5 4 7_Table" xfId="6142"/>
    <cellStyle name="Input 5 4 8" xfId="3593"/>
    <cellStyle name="Input 5 4 8 2" xfId="12921"/>
    <cellStyle name="Input 5 4 8 2 2" xfId="26227"/>
    <cellStyle name="Input 5 4 8 3" xfId="17331"/>
    <cellStyle name="Input 5 4 8 3 2" xfId="30637"/>
    <cellStyle name="Input 5 4 8 4" xfId="21817"/>
    <cellStyle name="Input 5 4 8_Table" xfId="6143"/>
    <cellStyle name="Input 5 4 9" xfId="4184"/>
    <cellStyle name="Input 5 4 9 2" xfId="13512"/>
    <cellStyle name="Input 5 4 9 2 2" xfId="26818"/>
    <cellStyle name="Input 5 4 9 3" xfId="17922"/>
    <cellStyle name="Input 5 4 9 3 2" xfId="31228"/>
    <cellStyle name="Input 5 4 9 4" xfId="22408"/>
    <cellStyle name="Input 5 4 9_Table" xfId="6144"/>
    <cellStyle name="Input 5 4_Table" xfId="6126"/>
    <cellStyle name="Input 5 5" xfId="612"/>
    <cellStyle name="Input 5 5 10" xfId="4590"/>
    <cellStyle name="Input 5 5 10 2" xfId="13918"/>
    <cellStyle name="Input 5 5 10 2 2" xfId="27224"/>
    <cellStyle name="Input 5 5 10 3" xfId="18328"/>
    <cellStyle name="Input 5 5 10 3 2" xfId="31634"/>
    <cellStyle name="Input 5 5 10 4" xfId="22814"/>
    <cellStyle name="Input 5 5 10_Table" xfId="6146"/>
    <cellStyle name="Input 5 5 11" xfId="9940"/>
    <cellStyle name="Input 5 5 11 2" xfId="23264"/>
    <cellStyle name="Input 5 5 12" xfId="14368"/>
    <cellStyle name="Input 5 5 12 2" xfId="27674"/>
    <cellStyle name="Input 5 5 13" xfId="18854"/>
    <cellStyle name="Input 5 5 2" xfId="855"/>
    <cellStyle name="Input 5 5 2 10" xfId="4815"/>
    <cellStyle name="Input 5 5 2 10 2" xfId="14143"/>
    <cellStyle name="Input 5 5 2 10 2 2" xfId="27449"/>
    <cellStyle name="Input 5 5 2 10 3" xfId="18553"/>
    <cellStyle name="Input 5 5 2 10 3 2" xfId="31859"/>
    <cellStyle name="Input 5 5 2 10 4" xfId="23039"/>
    <cellStyle name="Input 5 5 2 10_Table" xfId="6148"/>
    <cellStyle name="Input 5 5 2 11" xfId="10183"/>
    <cellStyle name="Input 5 5 2 11 2" xfId="23489"/>
    <cellStyle name="Input 5 5 2 12" xfId="14593"/>
    <cellStyle name="Input 5 5 2 12 2" xfId="27899"/>
    <cellStyle name="Input 5 5 2 13" xfId="19079"/>
    <cellStyle name="Input 5 5 2 2" xfId="1641"/>
    <cellStyle name="Input 5 5 2 2 2" xfId="10969"/>
    <cellStyle name="Input 5 5 2 2 2 2" xfId="24275"/>
    <cellStyle name="Input 5 5 2 2 3" xfId="15379"/>
    <cellStyle name="Input 5 5 2 2 3 2" xfId="28685"/>
    <cellStyle name="Input 5 5 2 2 4" xfId="19865"/>
    <cellStyle name="Input 5 5 2 2_Table" xfId="6149"/>
    <cellStyle name="Input 5 5 2 3" xfId="2001"/>
    <cellStyle name="Input 5 5 2 3 2" xfId="11329"/>
    <cellStyle name="Input 5 5 2 3 2 2" xfId="24635"/>
    <cellStyle name="Input 5 5 2 3 3" xfId="15739"/>
    <cellStyle name="Input 5 5 2 3 3 2" xfId="29045"/>
    <cellStyle name="Input 5 5 2 3 4" xfId="20225"/>
    <cellStyle name="Input 5 5 2 3_Table" xfId="6150"/>
    <cellStyle name="Input 5 5 2 4" xfId="2431"/>
    <cellStyle name="Input 5 5 2 4 2" xfId="11759"/>
    <cellStyle name="Input 5 5 2 4 2 2" xfId="25065"/>
    <cellStyle name="Input 5 5 2 4 3" xfId="16169"/>
    <cellStyle name="Input 5 5 2 4 3 2" xfId="29475"/>
    <cellStyle name="Input 5 5 2 4 4" xfId="20655"/>
    <cellStyle name="Input 5 5 2 4_Table" xfId="6151"/>
    <cellStyle name="Input 5 5 2 5" xfId="2869"/>
    <cellStyle name="Input 5 5 2 5 2" xfId="12197"/>
    <cellStyle name="Input 5 5 2 5 2 2" xfId="25503"/>
    <cellStyle name="Input 5 5 2 5 3" xfId="16607"/>
    <cellStyle name="Input 5 5 2 5 3 2" xfId="29913"/>
    <cellStyle name="Input 5 5 2 5 4" xfId="21093"/>
    <cellStyle name="Input 5 5 2 5_Table" xfId="6152"/>
    <cellStyle name="Input 5 5 2 6" xfId="3276"/>
    <cellStyle name="Input 5 5 2 6 2" xfId="12604"/>
    <cellStyle name="Input 5 5 2 6 2 2" xfId="25910"/>
    <cellStyle name="Input 5 5 2 6 3" xfId="17014"/>
    <cellStyle name="Input 5 5 2 6 3 2" xfId="30320"/>
    <cellStyle name="Input 5 5 2 6 4" xfId="21500"/>
    <cellStyle name="Input 5 5 2 6_Table" xfId="6153"/>
    <cellStyle name="Input 5 5 2 7" xfId="3868"/>
    <cellStyle name="Input 5 5 2 7 2" xfId="13196"/>
    <cellStyle name="Input 5 5 2 7 2 2" xfId="26502"/>
    <cellStyle name="Input 5 5 2 7 3" xfId="17606"/>
    <cellStyle name="Input 5 5 2 7 3 2" xfId="30912"/>
    <cellStyle name="Input 5 5 2 7 4" xfId="22092"/>
    <cellStyle name="Input 5 5 2 7_Table" xfId="6154"/>
    <cellStyle name="Input 5 5 2 8" xfId="4093"/>
    <cellStyle name="Input 5 5 2 8 2" xfId="13421"/>
    <cellStyle name="Input 5 5 2 8 2 2" xfId="26727"/>
    <cellStyle name="Input 5 5 2 8 3" xfId="17831"/>
    <cellStyle name="Input 5 5 2 8 3 2" xfId="31137"/>
    <cellStyle name="Input 5 5 2 8 4" xfId="22317"/>
    <cellStyle name="Input 5 5 2 8_Table" xfId="6155"/>
    <cellStyle name="Input 5 5 2 9" xfId="4454"/>
    <cellStyle name="Input 5 5 2 9 2" xfId="13782"/>
    <cellStyle name="Input 5 5 2 9 2 2" xfId="27088"/>
    <cellStyle name="Input 5 5 2 9 3" xfId="18192"/>
    <cellStyle name="Input 5 5 2 9 3 2" xfId="31498"/>
    <cellStyle name="Input 5 5 2 9 4" xfId="22678"/>
    <cellStyle name="Input 5 5 2 9_Table" xfId="6156"/>
    <cellStyle name="Input 5 5 2_Table" xfId="6147"/>
    <cellStyle name="Input 5 5 3" xfId="1759"/>
    <cellStyle name="Input 5 5 3 2" xfId="11087"/>
    <cellStyle name="Input 5 5 3 2 2" xfId="24393"/>
    <cellStyle name="Input 5 5 3 3" xfId="15497"/>
    <cellStyle name="Input 5 5 3 3 2" xfId="28803"/>
    <cellStyle name="Input 5 5 3 4" xfId="19983"/>
    <cellStyle name="Input 5 5 3_Table" xfId="6157"/>
    <cellStyle name="Input 5 5 4" xfId="2192"/>
    <cellStyle name="Input 5 5 4 2" xfId="11520"/>
    <cellStyle name="Input 5 5 4 2 2" xfId="24826"/>
    <cellStyle name="Input 5 5 4 3" xfId="15930"/>
    <cellStyle name="Input 5 5 4 3 2" xfId="29236"/>
    <cellStyle name="Input 5 5 4 4" xfId="20416"/>
    <cellStyle name="Input 5 5 4_Table" xfId="6158"/>
    <cellStyle name="Input 5 5 5" xfId="2627"/>
    <cellStyle name="Input 5 5 5 2" xfId="11955"/>
    <cellStyle name="Input 5 5 5 2 2" xfId="25261"/>
    <cellStyle name="Input 5 5 5 3" xfId="16365"/>
    <cellStyle name="Input 5 5 5 3 2" xfId="29671"/>
    <cellStyle name="Input 5 5 5 4" xfId="20851"/>
    <cellStyle name="Input 5 5 5_Table" xfId="6159"/>
    <cellStyle name="Input 5 5 6" xfId="3040"/>
    <cellStyle name="Input 5 5 6 2" xfId="12368"/>
    <cellStyle name="Input 5 5 6 2 2" xfId="25674"/>
    <cellStyle name="Input 5 5 6 3" xfId="16778"/>
    <cellStyle name="Input 5 5 6 3 2" xfId="30084"/>
    <cellStyle name="Input 5 5 6 4" xfId="21264"/>
    <cellStyle name="Input 5 5 6_Table" xfId="6160"/>
    <cellStyle name="Input 5 5 7" xfId="3466"/>
    <cellStyle name="Input 5 5 7 2" xfId="12794"/>
    <cellStyle name="Input 5 5 7 2 2" xfId="26100"/>
    <cellStyle name="Input 5 5 7 3" xfId="17204"/>
    <cellStyle name="Input 5 5 7 3 2" xfId="30510"/>
    <cellStyle name="Input 5 5 7 4" xfId="21690"/>
    <cellStyle name="Input 5 5 7_Table" xfId="6161"/>
    <cellStyle name="Input 5 5 8" xfId="2469"/>
    <cellStyle name="Input 5 5 8 2" xfId="11797"/>
    <cellStyle name="Input 5 5 8 2 2" xfId="25103"/>
    <cellStyle name="Input 5 5 8 3" xfId="16207"/>
    <cellStyle name="Input 5 5 8 3 2" xfId="29513"/>
    <cellStyle name="Input 5 5 8 4" xfId="20693"/>
    <cellStyle name="Input 5 5 8_Table" xfId="6162"/>
    <cellStyle name="Input 5 5 9" xfId="4229"/>
    <cellStyle name="Input 5 5 9 2" xfId="13557"/>
    <cellStyle name="Input 5 5 9 2 2" xfId="26863"/>
    <cellStyle name="Input 5 5 9 3" xfId="17967"/>
    <cellStyle name="Input 5 5 9 3 2" xfId="31273"/>
    <cellStyle name="Input 5 5 9 4" xfId="22453"/>
    <cellStyle name="Input 5 5 9_Table" xfId="6163"/>
    <cellStyle name="Input 5 5_Table" xfId="6145"/>
    <cellStyle name="Input 5 6" xfId="675"/>
    <cellStyle name="Input 5 6 10" xfId="4635"/>
    <cellStyle name="Input 5 6 10 2" xfId="13963"/>
    <cellStyle name="Input 5 6 10 2 2" xfId="27269"/>
    <cellStyle name="Input 5 6 10 3" xfId="18373"/>
    <cellStyle name="Input 5 6 10 3 2" xfId="31679"/>
    <cellStyle name="Input 5 6 10 4" xfId="22859"/>
    <cellStyle name="Input 5 6 10_Table" xfId="6165"/>
    <cellStyle name="Input 5 6 11" xfId="10003"/>
    <cellStyle name="Input 5 6 11 2" xfId="23309"/>
    <cellStyle name="Input 5 6 12" xfId="14413"/>
    <cellStyle name="Input 5 6 12 2" xfId="27719"/>
    <cellStyle name="Input 5 6 13" xfId="18899"/>
    <cellStyle name="Input 5 6 2" xfId="1461"/>
    <cellStyle name="Input 5 6 2 2" xfId="10789"/>
    <cellStyle name="Input 5 6 2 2 2" xfId="24095"/>
    <cellStyle name="Input 5 6 2 3" xfId="15199"/>
    <cellStyle name="Input 5 6 2 3 2" xfId="28505"/>
    <cellStyle name="Input 5 6 2 4" xfId="19685"/>
    <cellStyle name="Input 5 6 2_Table" xfId="6166"/>
    <cellStyle name="Input 5 6 3" xfId="1821"/>
    <cellStyle name="Input 5 6 3 2" xfId="11149"/>
    <cellStyle name="Input 5 6 3 2 2" xfId="24455"/>
    <cellStyle name="Input 5 6 3 3" xfId="15559"/>
    <cellStyle name="Input 5 6 3 3 2" xfId="28865"/>
    <cellStyle name="Input 5 6 3 4" xfId="20045"/>
    <cellStyle name="Input 5 6 3_Table" xfId="6167"/>
    <cellStyle name="Input 5 6 4" xfId="2251"/>
    <cellStyle name="Input 5 6 4 2" xfId="11579"/>
    <cellStyle name="Input 5 6 4 2 2" xfId="24885"/>
    <cellStyle name="Input 5 6 4 3" xfId="15989"/>
    <cellStyle name="Input 5 6 4 3 2" xfId="29295"/>
    <cellStyle name="Input 5 6 4 4" xfId="20475"/>
    <cellStyle name="Input 5 6 4_Table" xfId="6168"/>
    <cellStyle name="Input 5 6 5" xfId="2689"/>
    <cellStyle name="Input 5 6 5 2" xfId="12017"/>
    <cellStyle name="Input 5 6 5 2 2" xfId="25323"/>
    <cellStyle name="Input 5 6 5 3" xfId="16427"/>
    <cellStyle name="Input 5 6 5 3 2" xfId="29733"/>
    <cellStyle name="Input 5 6 5 4" xfId="20913"/>
    <cellStyle name="Input 5 6 5_Table" xfId="6169"/>
    <cellStyle name="Input 5 6 6" xfId="3096"/>
    <cellStyle name="Input 5 6 6 2" xfId="12424"/>
    <cellStyle name="Input 5 6 6 2 2" xfId="25730"/>
    <cellStyle name="Input 5 6 6 3" xfId="16834"/>
    <cellStyle name="Input 5 6 6 3 2" xfId="30140"/>
    <cellStyle name="Input 5 6 6 4" xfId="21320"/>
    <cellStyle name="Input 5 6 6_Table" xfId="6170"/>
    <cellStyle name="Input 5 6 7" xfId="3688"/>
    <cellStyle name="Input 5 6 7 2" xfId="13016"/>
    <cellStyle name="Input 5 6 7 2 2" xfId="26322"/>
    <cellStyle name="Input 5 6 7 3" xfId="17426"/>
    <cellStyle name="Input 5 6 7 3 2" xfId="30732"/>
    <cellStyle name="Input 5 6 7 4" xfId="21912"/>
    <cellStyle name="Input 5 6 7_Table" xfId="6171"/>
    <cellStyle name="Input 5 6 8" xfId="3913"/>
    <cellStyle name="Input 5 6 8 2" xfId="13241"/>
    <cellStyle name="Input 5 6 8 2 2" xfId="26547"/>
    <cellStyle name="Input 5 6 8 3" xfId="17651"/>
    <cellStyle name="Input 5 6 8 3 2" xfId="30957"/>
    <cellStyle name="Input 5 6 8 4" xfId="22137"/>
    <cellStyle name="Input 5 6 8_Table" xfId="6172"/>
    <cellStyle name="Input 5 6 9" xfId="4274"/>
    <cellStyle name="Input 5 6 9 2" xfId="13602"/>
    <cellStyle name="Input 5 6 9 2 2" xfId="26908"/>
    <cellStyle name="Input 5 6 9 3" xfId="18012"/>
    <cellStyle name="Input 5 6 9 3 2" xfId="31318"/>
    <cellStyle name="Input 5 6 9 4" xfId="22498"/>
    <cellStyle name="Input 5 6 9_Table" xfId="6173"/>
    <cellStyle name="Input 5 6_Table" xfId="6164"/>
    <cellStyle name="Input 5 7" xfId="1090"/>
    <cellStyle name="Input 5 7 2" xfId="10418"/>
    <cellStyle name="Input 5 7 2 2" xfId="23724"/>
    <cellStyle name="Input 5 7 3" xfId="14828"/>
    <cellStyle name="Input 5 7 3 2" xfId="28134"/>
    <cellStyle name="Input 5 7 4" xfId="19314"/>
    <cellStyle name="Input 5 7_Table" xfId="6174"/>
    <cellStyle name="Input 5 8" xfId="1162"/>
    <cellStyle name="Input 5 8 2" xfId="10490"/>
    <cellStyle name="Input 5 8 2 2" xfId="23796"/>
    <cellStyle name="Input 5 8 3" xfId="14900"/>
    <cellStyle name="Input 5 8 3 2" xfId="28206"/>
    <cellStyle name="Input 5 8 4" xfId="19386"/>
    <cellStyle name="Input 5 8_Table" xfId="6175"/>
    <cellStyle name="Input 5 9" xfId="1080"/>
    <cellStyle name="Input 5 9 2" xfId="10408"/>
    <cellStyle name="Input 5 9 2 2" xfId="23714"/>
    <cellStyle name="Input 5 9 3" xfId="14818"/>
    <cellStyle name="Input 5 9 3 2" xfId="28124"/>
    <cellStyle name="Input 5 9 4" xfId="19304"/>
    <cellStyle name="Input 5 9_Table" xfId="6176"/>
    <cellStyle name="Input 5_Table" xfId="6082"/>
    <cellStyle name="Input 6" xfId="312"/>
    <cellStyle name="Input 6 10" xfId="891"/>
    <cellStyle name="Input 6 10 2" xfId="10219"/>
    <cellStyle name="Input 6 10 2 2" xfId="23525"/>
    <cellStyle name="Input 6 10 3" xfId="14629"/>
    <cellStyle name="Input 6 10 3 2" xfId="27935"/>
    <cellStyle name="Input 6 10 4" xfId="19115"/>
    <cellStyle name="Input 6 10_Table" xfId="6178"/>
    <cellStyle name="Input 6 11" xfId="1744"/>
    <cellStyle name="Input 6 11 2" xfId="11072"/>
    <cellStyle name="Input 6 11 2 2" xfId="24378"/>
    <cellStyle name="Input 6 11 3" xfId="15482"/>
    <cellStyle name="Input 6 11 3 2" xfId="28788"/>
    <cellStyle name="Input 6 11 4" xfId="19968"/>
    <cellStyle name="Input 6 11_Table" xfId="6179"/>
    <cellStyle name="Input 6 12" xfId="2968"/>
    <cellStyle name="Input 6 12 2" xfId="12296"/>
    <cellStyle name="Input 6 12 2 2" xfId="25602"/>
    <cellStyle name="Input 6 12 3" xfId="16706"/>
    <cellStyle name="Input 6 12 3 2" xfId="30012"/>
    <cellStyle name="Input 6 12 4" xfId="21192"/>
    <cellStyle name="Input 6 12_Table" xfId="6180"/>
    <cellStyle name="Input 6 13" xfId="3515"/>
    <cellStyle name="Input 6 13 2" xfId="12843"/>
    <cellStyle name="Input 6 13 2 2" xfId="26149"/>
    <cellStyle name="Input 6 13 3" xfId="17253"/>
    <cellStyle name="Input 6 13 3 2" xfId="30559"/>
    <cellStyle name="Input 6 13 4" xfId="21739"/>
    <cellStyle name="Input 6 13_Table" xfId="6181"/>
    <cellStyle name="Input 6 14" xfId="3649"/>
    <cellStyle name="Input 6 14 2" xfId="12977"/>
    <cellStyle name="Input 6 14 2 2" xfId="26283"/>
    <cellStyle name="Input 6 14 3" xfId="17387"/>
    <cellStyle name="Input 6 14 3 2" xfId="30693"/>
    <cellStyle name="Input 6 14 4" xfId="21873"/>
    <cellStyle name="Input 6 14_Table" xfId="6182"/>
    <cellStyle name="Input 6 15" xfId="9640"/>
    <cellStyle name="Input 6 15 2" xfId="23085"/>
    <cellStyle name="Input 6 16" xfId="14189"/>
    <cellStyle name="Input 6 16 2" xfId="27495"/>
    <cellStyle name="Input 6 17" xfId="18675"/>
    <cellStyle name="Input 6 2" xfId="406"/>
    <cellStyle name="Input 6 2 10" xfId="3442"/>
    <cellStyle name="Input 6 2 10 2" xfId="12770"/>
    <cellStyle name="Input 6 2 10 2 2" xfId="26076"/>
    <cellStyle name="Input 6 2 10 3" xfId="17180"/>
    <cellStyle name="Input 6 2 10 3 2" xfId="30486"/>
    <cellStyle name="Input 6 2 10 4" xfId="21666"/>
    <cellStyle name="Input 6 2 10_Table" xfId="6184"/>
    <cellStyle name="Input 6 2 11" xfId="9734"/>
    <cellStyle name="Input 6 2 11 2" xfId="23130"/>
    <cellStyle name="Input 6 2 12" xfId="14234"/>
    <cellStyle name="Input 6 2 12 2" xfId="27540"/>
    <cellStyle name="Input 6 2 13" xfId="18720"/>
    <cellStyle name="Input 6 2 2" xfId="721"/>
    <cellStyle name="Input 6 2 2 10" xfId="4681"/>
    <cellStyle name="Input 6 2 2 10 2" xfId="14009"/>
    <cellStyle name="Input 6 2 2 10 2 2" xfId="27315"/>
    <cellStyle name="Input 6 2 2 10 3" xfId="18419"/>
    <cellStyle name="Input 6 2 2 10 3 2" xfId="31725"/>
    <cellStyle name="Input 6 2 2 10 4" xfId="22905"/>
    <cellStyle name="Input 6 2 2 10_Table" xfId="6186"/>
    <cellStyle name="Input 6 2 2 11" xfId="10049"/>
    <cellStyle name="Input 6 2 2 11 2" xfId="23355"/>
    <cellStyle name="Input 6 2 2 12" xfId="14459"/>
    <cellStyle name="Input 6 2 2 12 2" xfId="27765"/>
    <cellStyle name="Input 6 2 2 13" xfId="18945"/>
    <cellStyle name="Input 6 2 2 2" xfId="1507"/>
    <cellStyle name="Input 6 2 2 2 2" xfId="10835"/>
    <cellStyle name="Input 6 2 2 2 2 2" xfId="24141"/>
    <cellStyle name="Input 6 2 2 2 3" xfId="15245"/>
    <cellStyle name="Input 6 2 2 2 3 2" xfId="28551"/>
    <cellStyle name="Input 6 2 2 2 4" xfId="19731"/>
    <cellStyle name="Input 6 2 2 2_Table" xfId="6187"/>
    <cellStyle name="Input 6 2 2 3" xfId="1867"/>
    <cellStyle name="Input 6 2 2 3 2" xfId="11195"/>
    <cellStyle name="Input 6 2 2 3 2 2" xfId="24501"/>
    <cellStyle name="Input 6 2 2 3 3" xfId="15605"/>
    <cellStyle name="Input 6 2 2 3 3 2" xfId="28911"/>
    <cellStyle name="Input 6 2 2 3 4" xfId="20091"/>
    <cellStyle name="Input 6 2 2 3_Table" xfId="6188"/>
    <cellStyle name="Input 6 2 2 4" xfId="2297"/>
    <cellStyle name="Input 6 2 2 4 2" xfId="11625"/>
    <cellStyle name="Input 6 2 2 4 2 2" xfId="24931"/>
    <cellStyle name="Input 6 2 2 4 3" xfId="16035"/>
    <cellStyle name="Input 6 2 2 4 3 2" xfId="29341"/>
    <cellStyle name="Input 6 2 2 4 4" xfId="20521"/>
    <cellStyle name="Input 6 2 2 4_Table" xfId="6189"/>
    <cellStyle name="Input 6 2 2 5" xfId="2735"/>
    <cellStyle name="Input 6 2 2 5 2" xfId="12063"/>
    <cellStyle name="Input 6 2 2 5 2 2" xfId="25369"/>
    <cellStyle name="Input 6 2 2 5 3" xfId="16473"/>
    <cellStyle name="Input 6 2 2 5 3 2" xfId="29779"/>
    <cellStyle name="Input 6 2 2 5 4" xfId="20959"/>
    <cellStyle name="Input 6 2 2 5_Table" xfId="6190"/>
    <cellStyle name="Input 6 2 2 6" xfId="3142"/>
    <cellStyle name="Input 6 2 2 6 2" xfId="12470"/>
    <cellStyle name="Input 6 2 2 6 2 2" xfId="25776"/>
    <cellStyle name="Input 6 2 2 6 3" xfId="16880"/>
    <cellStyle name="Input 6 2 2 6 3 2" xfId="30186"/>
    <cellStyle name="Input 6 2 2 6 4" xfId="21366"/>
    <cellStyle name="Input 6 2 2 6_Table" xfId="6191"/>
    <cellStyle name="Input 6 2 2 7" xfId="3734"/>
    <cellStyle name="Input 6 2 2 7 2" xfId="13062"/>
    <cellStyle name="Input 6 2 2 7 2 2" xfId="26368"/>
    <cellStyle name="Input 6 2 2 7 3" xfId="17472"/>
    <cellStyle name="Input 6 2 2 7 3 2" xfId="30778"/>
    <cellStyle name="Input 6 2 2 7 4" xfId="21958"/>
    <cellStyle name="Input 6 2 2 7_Table" xfId="6192"/>
    <cellStyle name="Input 6 2 2 8" xfId="3959"/>
    <cellStyle name="Input 6 2 2 8 2" xfId="13287"/>
    <cellStyle name="Input 6 2 2 8 2 2" xfId="26593"/>
    <cellStyle name="Input 6 2 2 8 3" xfId="17697"/>
    <cellStyle name="Input 6 2 2 8 3 2" xfId="31003"/>
    <cellStyle name="Input 6 2 2 8 4" xfId="22183"/>
    <cellStyle name="Input 6 2 2 8_Table" xfId="6193"/>
    <cellStyle name="Input 6 2 2 9" xfId="4320"/>
    <cellStyle name="Input 6 2 2 9 2" xfId="13648"/>
    <cellStyle name="Input 6 2 2 9 2 2" xfId="26954"/>
    <cellStyle name="Input 6 2 2 9 3" xfId="18058"/>
    <cellStyle name="Input 6 2 2 9 3 2" xfId="31364"/>
    <cellStyle name="Input 6 2 2 9 4" xfId="22544"/>
    <cellStyle name="Input 6 2 2 9_Table" xfId="6194"/>
    <cellStyle name="Input 6 2 2_Table" xfId="6185"/>
    <cellStyle name="Input 6 2 3" xfId="1006"/>
    <cellStyle name="Input 6 2 3 2" xfId="10334"/>
    <cellStyle name="Input 6 2 3 2 2" xfId="23640"/>
    <cellStyle name="Input 6 2 3 3" xfId="14744"/>
    <cellStyle name="Input 6 2 3 3 2" xfId="28050"/>
    <cellStyle name="Input 6 2 3 4" xfId="19230"/>
    <cellStyle name="Input 6 2 3_Table" xfId="6195"/>
    <cellStyle name="Input 6 2 4" xfId="1281"/>
    <cellStyle name="Input 6 2 4 2" xfId="10609"/>
    <cellStyle name="Input 6 2 4 2 2" xfId="23915"/>
    <cellStyle name="Input 6 2 4 3" xfId="15019"/>
    <cellStyle name="Input 6 2 4 3 2" xfId="28325"/>
    <cellStyle name="Input 6 2 4 4" xfId="19505"/>
    <cellStyle name="Input 6 2 4_Table" xfId="6196"/>
    <cellStyle name="Input 6 2 5" xfId="1024"/>
    <cellStyle name="Input 6 2 5 2" xfId="10352"/>
    <cellStyle name="Input 6 2 5 2 2" xfId="23658"/>
    <cellStyle name="Input 6 2 5 3" xfId="14762"/>
    <cellStyle name="Input 6 2 5 3 2" xfId="28068"/>
    <cellStyle name="Input 6 2 5 4" xfId="19248"/>
    <cellStyle name="Input 6 2 5_Table" xfId="6197"/>
    <cellStyle name="Input 6 2 6" xfId="1168"/>
    <cellStyle name="Input 6 2 6 2" xfId="10496"/>
    <cellStyle name="Input 6 2 6 2 2" xfId="23802"/>
    <cellStyle name="Input 6 2 6 3" xfId="14906"/>
    <cellStyle name="Input 6 2 6 3 2" xfId="28212"/>
    <cellStyle name="Input 6 2 6 4" xfId="19392"/>
    <cellStyle name="Input 6 2 6_Table" xfId="6198"/>
    <cellStyle name="Input 6 2 7" xfId="1805"/>
    <cellStyle name="Input 6 2 7 2" xfId="11133"/>
    <cellStyle name="Input 6 2 7 2 2" xfId="24439"/>
    <cellStyle name="Input 6 2 7 3" xfId="15543"/>
    <cellStyle name="Input 6 2 7 3 2" xfId="28849"/>
    <cellStyle name="Input 6 2 7 4" xfId="20029"/>
    <cellStyle name="Input 6 2 7_Table" xfId="6199"/>
    <cellStyle name="Input 6 2 8" xfId="1029"/>
    <cellStyle name="Input 6 2 8 2" xfId="10357"/>
    <cellStyle name="Input 6 2 8 2 2" xfId="23663"/>
    <cellStyle name="Input 6 2 8 3" xfId="14767"/>
    <cellStyle name="Input 6 2 8 3 2" xfId="28073"/>
    <cellStyle name="Input 6 2 8 4" xfId="19253"/>
    <cellStyle name="Input 6 2 8_Table" xfId="6200"/>
    <cellStyle name="Input 6 2 9" xfId="1215"/>
    <cellStyle name="Input 6 2 9 2" xfId="10543"/>
    <cellStyle name="Input 6 2 9 2 2" xfId="23849"/>
    <cellStyle name="Input 6 2 9 3" xfId="14953"/>
    <cellStyle name="Input 6 2 9 3 2" xfId="28259"/>
    <cellStyle name="Input 6 2 9 4" xfId="19439"/>
    <cellStyle name="Input 6 2 9_Table" xfId="6201"/>
    <cellStyle name="Input 6 2_Table" xfId="6183"/>
    <cellStyle name="Input 6 3" xfId="474"/>
    <cellStyle name="Input 6 3 10" xfId="4501"/>
    <cellStyle name="Input 6 3 10 2" xfId="13829"/>
    <cellStyle name="Input 6 3 10 2 2" xfId="27135"/>
    <cellStyle name="Input 6 3 10 3" xfId="18239"/>
    <cellStyle name="Input 6 3 10 3 2" xfId="31545"/>
    <cellStyle name="Input 6 3 10 4" xfId="22725"/>
    <cellStyle name="Input 6 3 10_Table" xfId="6203"/>
    <cellStyle name="Input 6 3 11" xfId="9802"/>
    <cellStyle name="Input 6 3 11 2" xfId="23175"/>
    <cellStyle name="Input 6 3 12" xfId="14279"/>
    <cellStyle name="Input 6 3 12 2" xfId="27585"/>
    <cellStyle name="Input 6 3 13" xfId="18765"/>
    <cellStyle name="Input 6 3 2" xfId="766"/>
    <cellStyle name="Input 6 3 2 10" xfId="4726"/>
    <cellStyle name="Input 6 3 2 10 2" xfId="14054"/>
    <cellStyle name="Input 6 3 2 10 2 2" xfId="27360"/>
    <cellStyle name="Input 6 3 2 10 3" xfId="18464"/>
    <cellStyle name="Input 6 3 2 10 3 2" xfId="31770"/>
    <cellStyle name="Input 6 3 2 10 4" xfId="22950"/>
    <cellStyle name="Input 6 3 2 10_Table" xfId="6205"/>
    <cellStyle name="Input 6 3 2 11" xfId="10094"/>
    <cellStyle name="Input 6 3 2 11 2" xfId="23400"/>
    <cellStyle name="Input 6 3 2 12" xfId="14504"/>
    <cellStyle name="Input 6 3 2 12 2" xfId="27810"/>
    <cellStyle name="Input 6 3 2 13" xfId="18990"/>
    <cellStyle name="Input 6 3 2 2" xfId="1552"/>
    <cellStyle name="Input 6 3 2 2 2" xfId="10880"/>
    <cellStyle name="Input 6 3 2 2 2 2" xfId="24186"/>
    <cellStyle name="Input 6 3 2 2 3" xfId="15290"/>
    <cellStyle name="Input 6 3 2 2 3 2" xfId="28596"/>
    <cellStyle name="Input 6 3 2 2 4" xfId="19776"/>
    <cellStyle name="Input 6 3 2 2_Table" xfId="6206"/>
    <cellStyle name="Input 6 3 2 3" xfId="1912"/>
    <cellStyle name="Input 6 3 2 3 2" xfId="11240"/>
    <cellStyle name="Input 6 3 2 3 2 2" xfId="24546"/>
    <cellStyle name="Input 6 3 2 3 3" xfId="15650"/>
    <cellStyle name="Input 6 3 2 3 3 2" xfId="28956"/>
    <cellStyle name="Input 6 3 2 3 4" xfId="20136"/>
    <cellStyle name="Input 6 3 2 3_Table" xfId="6207"/>
    <cellStyle name="Input 6 3 2 4" xfId="2342"/>
    <cellStyle name="Input 6 3 2 4 2" xfId="11670"/>
    <cellStyle name="Input 6 3 2 4 2 2" xfId="24976"/>
    <cellStyle name="Input 6 3 2 4 3" xfId="16080"/>
    <cellStyle name="Input 6 3 2 4 3 2" xfId="29386"/>
    <cellStyle name="Input 6 3 2 4 4" xfId="20566"/>
    <cellStyle name="Input 6 3 2 4_Table" xfId="6208"/>
    <cellStyle name="Input 6 3 2 5" xfId="2780"/>
    <cellStyle name="Input 6 3 2 5 2" xfId="12108"/>
    <cellStyle name="Input 6 3 2 5 2 2" xfId="25414"/>
    <cellStyle name="Input 6 3 2 5 3" xfId="16518"/>
    <cellStyle name="Input 6 3 2 5 3 2" xfId="29824"/>
    <cellStyle name="Input 6 3 2 5 4" xfId="21004"/>
    <cellStyle name="Input 6 3 2 5_Table" xfId="6209"/>
    <cellStyle name="Input 6 3 2 6" xfId="3187"/>
    <cellStyle name="Input 6 3 2 6 2" xfId="12515"/>
    <cellStyle name="Input 6 3 2 6 2 2" xfId="25821"/>
    <cellStyle name="Input 6 3 2 6 3" xfId="16925"/>
    <cellStyle name="Input 6 3 2 6 3 2" xfId="30231"/>
    <cellStyle name="Input 6 3 2 6 4" xfId="21411"/>
    <cellStyle name="Input 6 3 2 6_Table" xfId="6210"/>
    <cellStyle name="Input 6 3 2 7" xfId="3779"/>
    <cellStyle name="Input 6 3 2 7 2" xfId="13107"/>
    <cellStyle name="Input 6 3 2 7 2 2" xfId="26413"/>
    <cellStyle name="Input 6 3 2 7 3" xfId="17517"/>
    <cellStyle name="Input 6 3 2 7 3 2" xfId="30823"/>
    <cellStyle name="Input 6 3 2 7 4" xfId="22003"/>
    <cellStyle name="Input 6 3 2 7_Table" xfId="6211"/>
    <cellStyle name="Input 6 3 2 8" xfId="4004"/>
    <cellStyle name="Input 6 3 2 8 2" xfId="13332"/>
    <cellStyle name="Input 6 3 2 8 2 2" xfId="26638"/>
    <cellStyle name="Input 6 3 2 8 3" xfId="17742"/>
    <cellStyle name="Input 6 3 2 8 3 2" xfId="31048"/>
    <cellStyle name="Input 6 3 2 8 4" xfId="22228"/>
    <cellStyle name="Input 6 3 2 8_Table" xfId="6212"/>
    <cellStyle name="Input 6 3 2 9" xfId="4365"/>
    <cellStyle name="Input 6 3 2 9 2" xfId="13693"/>
    <cellStyle name="Input 6 3 2 9 2 2" xfId="26999"/>
    <cellStyle name="Input 6 3 2 9 3" xfId="18103"/>
    <cellStyle name="Input 6 3 2 9 3 2" xfId="31409"/>
    <cellStyle name="Input 6 3 2 9 4" xfId="22589"/>
    <cellStyle name="Input 6 3 2 9_Table" xfId="6213"/>
    <cellStyle name="Input 6 3 2_Table" xfId="6204"/>
    <cellStyle name="Input 6 3 3" xfId="940"/>
    <cellStyle name="Input 6 3 3 2" xfId="10268"/>
    <cellStyle name="Input 6 3 3 2 2" xfId="23574"/>
    <cellStyle name="Input 6 3 3 3" xfId="14678"/>
    <cellStyle name="Input 6 3 3 3 2" xfId="27984"/>
    <cellStyle name="Input 6 3 3 4" xfId="19164"/>
    <cellStyle name="Input 6 3 3_Table" xfId="6214"/>
    <cellStyle name="Input 6 3 4" xfId="2065"/>
    <cellStyle name="Input 6 3 4 2" xfId="11393"/>
    <cellStyle name="Input 6 3 4 2 2" xfId="24699"/>
    <cellStyle name="Input 6 3 4 3" xfId="15803"/>
    <cellStyle name="Input 6 3 4 3 2" xfId="29109"/>
    <cellStyle name="Input 6 3 4 4" xfId="20289"/>
    <cellStyle name="Input 6 3 4_Table" xfId="6215"/>
    <cellStyle name="Input 6 3 5" xfId="2497"/>
    <cellStyle name="Input 6 3 5 2" xfId="11825"/>
    <cellStyle name="Input 6 3 5 2 2" xfId="25131"/>
    <cellStyle name="Input 6 3 5 3" xfId="16235"/>
    <cellStyle name="Input 6 3 5 3 2" xfId="29541"/>
    <cellStyle name="Input 6 3 5 4" xfId="20721"/>
    <cellStyle name="Input 6 3 5_Table" xfId="6216"/>
    <cellStyle name="Input 6 3 6" xfId="2926"/>
    <cellStyle name="Input 6 3 6 2" xfId="12254"/>
    <cellStyle name="Input 6 3 6 2 2" xfId="25560"/>
    <cellStyle name="Input 6 3 6 3" xfId="16664"/>
    <cellStyle name="Input 6 3 6 3 2" xfId="29970"/>
    <cellStyle name="Input 6 3 6 4" xfId="21150"/>
    <cellStyle name="Input 6 3 6_Table" xfId="6217"/>
    <cellStyle name="Input 6 3 7" xfId="3338"/>
    <cellStyle name="Input 6 3 7 2" xfId="12666"/>
    <cellStyle name="Input 6 3 7 2 2" xfId="25972"/>
    <cellStyle name="Input 6 3 7 3" xfId="17076"/>
    <cellStyle name="Input 6 3 7 3 2" xfId="30382"/>
    <cellStyle name="Input 6 3 7 4" xfId="21562"/>
    <cellStyle name="Input 6 3 7_Table" xfId="6218"/>
    <cellStyle name="Input 6 3 8" xfId="3320"/>
    <cellStyle name="Input 6 3 8 2" xfId="12648"/>
    <cellStyle name="Input 6 3 8 2 2" xfId="25954"/>
    <cellStyle name="Input 6 3 8 3" xfId="17058"/>
    <cellStyle name="Input 6 3 8 3 2" xfId="30364"/>
    <cellStyle name="Input 6 3 8 4" xfId="21544"/>
    <cellStyle name="Input 6 3 8_Table" xfId="6219"/>
    <cellStyle name="Input 6 3 9" xfId="4140"/>
    <cellStyle name="Input 6 3 9 2" xfId="13468"/>
    <cellStyle name="Input 6 3 9 2 2" xfId="26774"/>
    <cellStyle name="Input 6 3 9 3" xfId="17878"/>
    <cellStyle name="Input 6 3 9 3 2" xfId="31184"/>
    <cellStyle name="Input 6 3 9 4" xfId="22364"/>
    <cellStyle name="Input 6 3 9_Table" xfId="6220"/>
    <cellStyle name="Input 6 3_Table" xfId="6202"/>
    <cellStyle name="Input 6 4" xfId="538"/>
    <cellStyle name="Input 6 4 10" xfId="4546"/>
    <cellStyle name="Input 6 4 10 2" xfId="13874"/>
    <cellStyle name="Input 6 4 10 2 2" xfId="27180"/>
    <cellStyle name="Input 6 4 10 3" xfId="18284"/>
    <cellStyle name="Input 6 4 10 3 2" xfId="31590"/>
    <cellStyle name="Input 6 4 10 4" xfId="22770"/>
    <cellStyle name="Input 6 4 10_Table" xfId="6222"/>
    <cellStyle name="Input 6 4 11" xfId="9866"/>
    <cellStyle name="Input 6 4 11 2" xfId="23220"/>
    <cellStyle name="Input 6 4 12" xfId="14324"/>
    <cellStyle name="Input 6 4 12 2" xfId="27630"/>
    <cellStyle name="Input 6 4 13" xfId="18810"/>
    <cellStyle name="Input 6 4 2" xfId="811"/>
    <cellStyle name="Input 6 4 2 10" xfId="4771"/>
    <cellStyle name="Input 6 4 2 10 2" xfId="14099"/>
    <cellStyle name="Input 6 4 2 10 2 2" xfId="27405"/>
    <cellStyle name="Input 6 4 2 10 3" xfId="18509"/>
    <cellStyle name="Input 6 4 2 10 3 2" xfId="31815"/>
    <cellStyle name="Input 6 4 2 10 4" xfId="22995"/>
    <cellStyle name="Input 6 4 2 10_Table" xfId="6224"/>
    <cellStyle name="Input 6 4 2 11" xfId="10139"/>
    <cellStyle name="Input 6 4 2 11 2" xfId="23445"/>
    <cellStyle name="Input 6 4 2 12" xfId="14549"/>
    <cellStyle name="Input 6 4 2 12 2" xfId="27855"/>
    <cellStyle name="Input 6 4 2 13" xfId="19035"/>
    <cellStyle name="Input 6 4 2 2" xfId="1597"/>
    <cellStyle name="Input 6 4 2 2 2" xfId="10925"/>
    <cellStyle name="Input 6 4 2 2 2 2" xfId="24231"/>
    <cellStyle name="Input 6 4 2 2 3" xfId="15335"/>
    <cellStyle name="Input 6 4 2 2 3 2" xfId="28641"/>
    <cellStyle name="Input 6 4 2 2 4" xfId="19821"/>
    <cellStyle name="Input 6 4 2 2_Table" xfId="6225"/>
    <cellStyle name="Input 6 4 2 3" xfId="1957"/>
    <cellStyle name="Input 6 4 2 3 2" xfId="11285"/>
    <cellStyle name="Input 6 4 2 3 2 2" xfId="24591"/>
    <cellStyle name="Input 6 4 2 3 3" xfId="15695"/>
    <cellStyle name="Input 6 4 2 3 3 2" xfId="29001"/>
    <cellStyle name="Input 6 4 2 3 4" xfId="20181"/>
    <cellStyle name="Input 6 4 2 3_Table" xfId="6226"/>
    <cellStyle name="Input 6 4 2 4" xfId="2387"/>
    <cellStyle name="Input 6 4 2 4 2" xfId="11715"/>
    <cellStyle name="Input 6 4 2 4 2 2" xfId="25021"/>
    <cellStyle name="Input 6 4 2 4 3" xfId="16125"/>
    <cellStyle name="Input 6 4 2 4 3 2" xfId="29431"/>
    <cellStyle name="Input 6 4 2 4 4" xfId="20611"/>
    <cellStyle name="Input 6 4 2 4_Table" xfId="6227"/>
    <cellStyle name="Input 6 4 2 5" xfId="2825"/>
    <cellStyle name="Input 6 4 2 5 2" xfId="12153"/>
    <cellStyle name="Input 6 4 2 5 2 2" xfId="25459"/>
    <cellStyle name="Input 6 4 2 5 3" xfId="16563"/>
    <cellStyle name="Input 6 4 2 5 3 2" xfId="29869"/>
    <cellStyle name="Input 6 4 2 5 4" xfId="21049"/>
    <cellStyle name="Input 6 4 2 5_Table" xfId="6228"/>
    <cellStyle name="Input 6 4 2 6" xfId="3232"/>
    <cellStyle name="Input 6 4 2 6 2" xfId="12560"/>
    <cellStyle name="Input 6 4 2 6 2 2" xfId="25866"/>
    <cellStyle name="Input 6 4 2 6 3" xfId="16970"/>
    <cellStyle name="Input 6 4 2 6 3 2" xfId="30276"/>
    <cellStyle name="Input 6 4 2 6 4" xfId="21456"/>
    <cellStyle name="Input 6 4 2 6_Table" xfId="6229"/>
    <cellStyle name="Input 6 4 2 7" xfId="3824"/>
    <cellStyle name="Input 6 4 2 7 2" xfId="13152"/>
    <cellStyle name="Input 6 4 2 7 2 2" xfId="26458"/>
    <cellStyle name="Input 6 4 2 7 3" xfId="17562"/>
    <cellStyle name="Input 6 4 2 7 3 2" xfId="30868"/>
    <cellStyle name="Input 6 4 2 7 4" xfId="22048"/>
    <cellStyle name="Input 6 4 2 7_Table" xfId="6230"/>
    <cellStyle name="Input 6 4 2 8" xfId="4049"/>
    <cellStyle name="Input 6 4 2 8 2" xfId="13377"/>
    <cellStyle name="Input 6 4 2 8 2 2" xfId="26683"/>
    <cellStyle name="Input 6 4 2 8 3" xfId="17787"/>
    <cellStyle name="Input 6 4 2 8 3 2" xfId="31093"/>
    <cellStyle name="Input 6 4 2 8 4" xfId="22273"/>
    <cellStyle name="Input 6 4 2 8_Table" xfId="6231"/>
    <cellStyle name="Input 6 4 2 9" xfId="4410"/>
    <cellStyle name="Input 6 4 2 9 2" xfId="13738"/>
    <cellStyle name="Input 6 4 2 9 2 2" xfId="27044"/>
    <cellStyle name="Input 6 4 2 9 3" xfId="18148"/>
    <cellStyle name="Input 6 4 2 9 3 2" xfId="31454"/>
    <cellStyle name="Input 6 4 2 9 4" xfId="22634"/>
    <cellStyle name="Input 6 4 2 9_Table" xfId="6232"/>
    <cellStyle name="Input 6 4 2_Table" xfId="6223"/>
    <cellStyle name="Input 6 4 3" xfId="1690"/>
    <cellStyle name="Input 6 4 3 2" xfId="11018"/>
    <cellStyle name="Input 6 4 3 2 2" xfId="24324"/>
    <cellStyle name="Input 6 4 3 3" xfId="15428"/>
    <cellStyle name="Input 6 4 3 3 2" xfId="28734"/>
    <cellStyle name="Input 6 4 3 4" xfId="19914"/>
    <cellStyle name="Input 6 4 3_Table" xfId="6233"/>
    <cellStyle name="Input 6 4 4" xfId="2124"/>
    <cellStyle name="Input 6 4 4 2" xfId="11452"/>
    <cellStyle name="Input 6 4 4 2 2" xfId="24758"/>
    <cellStyle name="Input 6 4 4 3" xfId="15862"/>
    <cellStyle name="Input 6 4 4 3 2" xfId="29168"/>
    <cellStyle name="Input 6 4 4 4" xfId="20348"/>
    <cellStyle name="Input 6 4 4_Table" xfId="6234"/>
    <cellStyle name="Input 6 4 5" xfId="2556"/>
    <cellStyle name="Input 6 4 5 2" xfId="11884"/>
    <cellStyle name="Input 6 4 5 2 2" xfId="25190"/>
    <cellStyle name="Input 6 4 5 3" xfId="16294"/>
    <cellStyle name="Input 6 4 5 3 2" xfId="29600"/>
    <cellStyle name="Input 6 4 5 4" xfId="20780"/>
    <cellStyle name="Input 6 4 5_Table" xfId="6235"/>
    <cellStyle name="Input 6 4 6" xfId="2983"/>
    <cellStyle name="Input 6 4 6 2" xfId="12311"/>
    <cellStyle name="Input 6 4 6 2 2" xfId="25617"/>
    <cellStyle name="Input 6 4 6 3" xfId="16721"/>
    <cellStyle name="Input 6 4 6 3 2" xfId="30027"/>
    <cellStyle name="Input 6 4 6 4" xfId="21207"/>
    <cellStyle name="Input 6 4 6_Table" xfId="6236"/>
    <cellStyle name="Input 6 4 7" xfId="3396"/>
    <cellStyle name="Input 6 4 7 2" xfId="12724"/>
    <cellStyle name="Input 6 4 7 2 2" xfId="26030"/>
    <cellStyle name="Input 6 4 7 3" xfId="17134"/>
    <cellStyle name="Input 6 4 7 3 2" xfId="30440"/>
    <cellStyle name="Input 6 4 7 4" xfId="21620"/>
    <cellStyle name="Input 6 4 7_Table" xfId="6237"/>
    <cellStyle name="Input 6 4 8" xfId="3624"/>
    <cellStyle name="Input 6 4 8 2" xfId="12952"/>
    <cellStyle name="Input 6 4 8 2 2" xfId="26258"/>
    <cellStyle name="Input 6 4 8 3" xfId="17362"/>
    <cellStyle name="Input 6 4 8 3 2" xfId="30668"/>
    <cellStyle name="Input 6 4 8 4" xfId="21848"/>
    <cellStyle name="Input 6 4 8_Table" xfId="6238"/>
    <cellStyle name="Input 6 4 9" xfId="4185"/>
    <cellStyle name="Input 6 4 9 2" xfId="13513"/>
    <cellStyle name="Input 6 4 9 2 2" xfId="26819"/>
    <cellStyle name="Input 6 4 9 3" xfId="17923"/>
    <cellStyle name="Input 6 4 9 3 2" xfId="31229"/>
    <cellStyle name="Input 6 4 9 4" xfId="22409"/>
    <cellStyle name="Input 6 4 9_Table" xfId="6239"/>
    <cellStyle name="Input 6 4_Table" xfId="6221"/>
    <cellStyle name="Input 6 5" xfId="613"/>
    <cellStyle name="Input 6 5 10" xfId="4591"/>
    <cellStyle name="Input 6 5 10 2" xfId="13919"/>
    <cellStyle name="Input 6 5 10 2 2" xfId="27225"/>
    <cellStyle name="Input 6 5 10 3" xfId="18329"/>
    <cellStyle name="Input 6 5 10 3 2" xfId="31635"/>
    <cellStyle name="Input 6 5 10 4" xfId="22815"/>
    <cellStyle name="Input 6 5 10_Table" xfId="6241"/>
    <cellStyle name="Input 6 5 11" xfId="9941"/>
    <cellStyle name="Input 6 5 11 2" xfId="23265"/>
    <cellStyle name="Input 6 5 12" xfId="14369"/>
    <cellStyle name="Input 6 5 12 2" xfId="27675"/>
    <cellStyle name="Input 6 5 13" xfId="18855"/>
    <cellStyle name="Input 6 5 2" xfId="856"/>
    <cellStyle name="Input 6 5 2 10" xfId="4816"/>
    <cellStyle name="Input 6 5 2 10 2" xfId="14144"/>
    <cellStyle name="Input 6 5 2 10 2 2" xfId="27450"/>
    <cellStyle name="Input 6 5 2 10 3" xfId="18554"/>
    <cellStyle name="Input 6 5 2 10 3 2" xfId="31860"/>
    <cellStyle name="Input 6 5 2 10 4" xfId="23040"/>
    <cellStyle name="Input 6 5 2 10_Table" xfId="6243"/>
    <cellStyle name="Input 6 5 2 11" xfId="10184"/>
    <cellStyle name="Input 6 5 2 11 2" xfId="23490"/>
    <cellStyle name="Input 6 5 2 12" xfId="14594"/>
    <cellStyle name="Input 6 5 2 12 2" xfId="27900"/>
    <cellStyle name="Input 6 5 2 13" xfId="19080"/>
    <cellStyle name="Input 6 5 2 2" xfId="1642"/>
    <cellStyle name="Input 6 5 2 2 2" xfId="10970"/>
    <cellStyle name="Input 6 5 2 2 2 2" xfId="24276"/>
    <cellStyle name="Input 6 5 2 2 3" xfId="15380"/>
    <cellStyle name="Input 6 5 2 2 3 2" xfId="28686"/>
    <cellStyle name="Input 6 5 2 2 4" xfId="19866"/>
    <cellStyle name="Input 6 5 2 2_Table" xfId="6244"/>
    <cellStyle name="Input 6 5 2 3" xfId="2002"/>
    <cellStyle name="Input 6 5 2 3 2" xfId="11330"/>
    <cellStyle name="Input 6 5 2 3 2 2" xfId="24636"/>
    <cellStyle name="Input 6 5 2 3 3" xfId="15740"/>
    <cellStyle name="Input 6 5 2 3 3 2" xfId="29046"/>
    <cellStyle name="Input 6 5 2 3 4" xfId="20226"/>
    <cellStyle name="Input 6 5 2 3_Table" xfId="6245"/>
    <cellStyle name="Input 6 5 2 4" xfId="2432"/>
    <cellStyle name="Input 6 5 2 4 2" xfId="11760"/>
    <cellStyle name="Input 6 5 2 4 2 2" xfId="25066"/>
    <cellStyle name="Input 6 5 2 4 3" xfId="16170"/>
    <cellStyle name="Input 6 5 2 4 3 2" xfId="29476"/>
    <cellStyle name="Input 6 5 2 4 4" xfId="20656"/>
    <cellStyle name="Input 6 5 2 4_Table" xfId="6246"/>
    <cellStyle name="Input 6 5 2 5" xfId="2870"/>
    <cellStyle name="Input 6 5 2 5 2" xfId="12198"/>
    <cellStyle name="Input 6 5 2 5 2 2" xfId="25504"/>
    <cellStyle name="Input 6 5 2 5 3" xfId="16608"/>
    <cellStyle name="Input 6 5 2 5 3 2" xfId="29914"/>
    <cellStyle name="Input 6 5 2 5 4" xfId="21094"/>
    <cellStyle name="Input 6 5 2 5_Table" xfId="6247"/>
    <cellStyle name="Input 6 5 2 6" xfId="3277"/>
    <cellStyle name="Input 6 5 2 6 2" xfId="12605"/>
    <cellStyle name="Input 6 5 2 6 2 2" xfId="25911"/>
    <cellStyle name="Input 6 5 2 6 3" xfId="17015"/>
    <cellStyle name="Input 6 5 2 6 3 2" xfId="30321"/>
    <cellStyle name="Input 6 5 2 6 4" xfId="21501"/>
    <cellStyle name="Input 6 5 2 6_Table" xfId="6248"/>
    <cellStyle name="Input 6 5 2 7" xfId="3869"/>
    <cellStyle name="Input 6 5 2 7 2" xfId="13197"/>
    <cellStyle name="Input 6 5 2 7 2 2" xfId="26503"/>
    <cellStyle name="Input 6 5 2 7 3" xfId="17607"/>
    <cellStyle name="Input 6 5 2 7 3 2" xfId="30913"/>
    <cellStyle name="Input 6 5 2 7 4" xfId="22093"/>
    <cellStyle name="Input 6 5 2 7_Table" xfId="6249"/>
    <cellStyle name="Input 6 5 2 8" xfId="4094"/>
    <cellStyle name="Input 6 5 2 8 2" xfId="13422"/>
    <cellStyle name="Input 6 5 2 8 2 2" xfId="26728"/>
    <cellStyle name="Input 6 5 2 8 3" xfId="17832"/>
    <cellStyle name="Input 6 5 2 8 3 2" xfId="31138"/>
    <cellStyle name="Input 6 5 2 8 4" xfId="22318"/>
    <cellStyle name="Input 6 5 2 8_Table" xfId="6250"/>
    <cellStyle name="Input 6 5 2 9" xfId="4455"/>
    <cellStyle name="Input 6 5 2 9 2" xfId="13783"/>
    <cellStyle name="Input 6 5 2 9 2 2" xfId="27089"/>
    <cellStyle name="Input 6 5 2 9 3" xfId="18193"/>
    <cellStyle name="Input 6 5 2 9 3 2" xfId="31499"/>
    <cellStyle name="Input 6 5 2 9 4" xfId="22679"/>
    <cellStyle name="Input 6 5 2 9_Table" xfId="6251"/>
    <cellStyle name="Input 6 5 2_Table" xfId="6242"/>
    <cellStyle name="Input 6 5 3" xfId="1760"/>
    <cellStyle name="Input 6 5 3 2" xfId="11088"/>
    <cellStyle name="Input 6 5 3 2 2" xfId="24394"/>
    <cellStyle name="Input 6 5 3 3" xfId="15498"/>
    <cellStyle name="Input 6 5 3 3 2" xfId="28804"/>
    <cellStyle name="Input 6 5 3 4" xfId="19984"/>
    <cellStyle name="Input 6 5 3_Table" xfId="6252"/>
    <cellStyle name="Input 6 5 4" xfId="2193"/>
    <cellStyle name="Input 6 5 4 2" xfId="11521"/>
    <cellStyle name="Input 6 5 4 2 2" xfId="24827"/>
    <cellStyle name="Input 6 5 4 3" xfId="15931"/>
    <cellStyle name="Input 6 5 4 3 2" xfId="29237"/>
    <cellStyle name="Input 6 5 4 4" xfId="20417"/>
    <cellStyle name="Input 6 5 4_Table" xfId="6253"/>
    <cellStyle name="Input 6 5 5" xfId="2628"/>
    <cellStyle name="Input 6 5 5 2" xfId="11956"/>
    <cellStyle name="Input 6 5 5 2 2" xfId="25262"/>
    <cellStyle name="Input 6 5 5 3" xfId="16366"/>
    <cellStyle name="Input 6 5 5 3 2" xfId="29672"/>
    <cellStyle name="Input 6 5 5 4" xfId="20852"/>
    <cellStyle name="Input 6 5 5_Table" xfId="6254"/>
    <cellStyle name="Input 6 5 6" xfId="3041"/>
    <cellStyle name="Input 6 5 6 2" xfId="12369"/>
    <cellStyle name="Input 6 5 6 2 2" xfId="25675"/>
    <cellStyle name="Input 6 5 6 3" xfId="16779"/>
    <cellStyle name="Input 6 5 6 3 2" xfId="30085"/>
    <cellStyle name="Input 6 5 6 4" xfId="21265"/>
    <cellStyle name="Input 6 5 6_Table" xfId="6255"/>
    <cellStyle name="Input 6 5 7" xfId="3467"/>
    <cellStyle name="Input 6 5 7 2" xfId="12795"/>
    <cellStyle name="Input 6 5 7 2 2" xfId="26101"/>
    <cellStyle name="Input 6 5 7 3" xfId="17205"/>
    <cellStyle name="Input 6 5 7 3 2" xfId="30511"/>
    <cellStyle name="Input 6 5 7 4" xfId="21691"/>
    <cellStyle name="Input 6 5 7_Table" xfId="6256"/>
    <cellStyle name="Input 6 5 8" xfId="2476"/>
    <cellStyle name="Input 6 5 8 2" xfId="11804"/>
    <cellStyle name="Input 6 5 8 2 2" xfId="25110"/>
    <cellStyle name="Input 6 5 8 3" xfId="16214"/>
    <cellStyle name="Input 6 5 8 3 2" xfId="29520"/>
    <cellStyle name="Input 6 5 8 4" xfId="20700"/>
    <cellStyle name="Input 6 5 8_Table" xfId="6257"/>
    <cellStyle name="Input 6 5 9" xfId="4230"/>
    <cellStyle name="Input 6 5 9 2" xfId="13558"/>
    <cellStyle name="Input 6 5 9 2 2" xfId="26864"/>
    <cellStyle name="Input 6 5 9 3" xfId="17968"/>
    <cellStyle name="Input 6 5 9 3 2" xfId="31274"/>
    <cellStyle name="Input 6 5 9 4" xfId="22454"/>
    <cellStyle name="Input 6 5 9_Table" xfId="6258"/>
    <cellStyle name="Input 6 5_Table" xfId="6240"/>
    <cellStyle name="Input 6 6" xfId="676"/>
    <cellStyle name="Input 6 6 10" xfId="4636"/>
    <cellStyle name="Input 6 6 10 2" xfId="13964"/>
    <cellStyle name="Input 6 6 10 2 2" xfId="27270"/>
    <cellStyle name="Input 6 6 10 3" xfId="18374"/>
    <cellStyle name="Input 6 6 10 3 2" xfId="31680"/>
    <cellStyle name="Input 6 6 10 4" xfId="22860"/>
    <cellStyle name="Input 6 6 10_Table" xfId="6260"/>
    <cellStyle name="Input 6 6 11" xfId="10004"/>
    <cellStyle name="Input 6 6 11 2" xfId="23310"/>
    <cellStyle name="Input 6 6 12" xfId="14414"/>
    <cellStyle name="Input 6 6 12 2" xfId="27720"/>
    <cellStyle name="Input 6 6 13" xfId="18900"/>
    <cellStyle name="Input 6 6 2" xfId="1462"/>
    <cellStyle name="Input 6 6 2 2" xfId="10790"/>
    <cellStyle name="Input 6 6 2 2 2" xfId="24096"/>
    <cellStyle name="Input 6 6 2 3" xfId="15200"/>
    <cellStyle name="Input 6 6 2 3 2" xfId="28506"/>
    <cellStyle name="Input 6 6 2 4" xfId="19686"/>
    <cellStyle name="Input 6 6 2_Table" xfId="6261"/>
    <cellStyle name="Input 6 6 3" xfId="1822"/>
    <cellStyle name="Input 6 6 3 2" xfId="11150"/>
    <cellStyle name="Input 6 6 3 2 2" xfId="24456"/>
    <cellStyle name="Input 6 6 3 3" xfId="15560"/>
    <cellStyle name="Input 6 6 3 3 2" xfId="28866"/>
    <cellStyle name="Input 6 6 3 4" xfId="20046"/>
    <cellStyle name="Input 6 6 3_Table" xfId="6262"/>
    <cellStyle name="Input 6 6 4" xfId="2252"/>
    <cellStyle name="Input 6 6 4 2" xfId="11580"/>
    <cellStyle name="Input 6 6 4 2 2" xfId="24886"/>
    <cellStyle name="Input 6 6 4 3" xfId="15990"/>
    <cellStyle name="Input 6 6 4 3 2" xfId="29296"/>
    <cellStyle name="Input 6 6 4 4" xfId="20476"/>
    <cellStyle name="Input 6 6 4_Table" xfId="6263"/>
    <cellStyle name="Input 6 6 5" xfId="2690"/>
    <cellStyle name="Input 6 6 5 2" xfId="12018"/>
    <cellStyle name="Input 6 6 5 2 2" xfId="25324"/>
    <cellStyle name="Input 6 6 5 3" xfId="16428"/>
    <cellStyle name="Input 6 6 5 3 2" xfId="29734"/>
    <cellStyle name="Input 6 6 5 4" xfId="20914"/>
    <cellStyle name="Input 6 6 5_Table" xfId="6264"/>
    <cellStyle name="Input 6 6 6" xfId="3097"/>
    <cellStyle name="Input 6 6 6 2" xfId="12425"/>
    <cellStyle name="Input 6 6 6 2 2" xfId="25731"/>
    <cellStyle name="Input 6 6 6 3" xfId="16835"/>
    <cellStyle name="Input 6 6 6 3 2" xfId="30141"/>
    <cellStyle name="Input 6 6 6 4" xfId="21321"/>
    <cellStyle name="Input 6 6 6_Table" xfId="6265"/>
    <cellStyle name="Input 6 6 7" xfId="3689"/>
    <cellStyle name="Input 6 6 7 2" xfId="13017"/>
    <cellStyle name="Input 6 6 7 2 2" xfId="26323"/>
    <cellStyle name="Input 6 6 7 3" xfId="17427"/>
    <cellStyle name="Input 6 6 7 3 2" xfId="30733"/>
    <cellStyle name="Input 6 6 7 4" xfId="21913"/>
    <cellStyle name="Input 6 6 7_Table" xfId="6266"/>
    <cellStyle name="Input 6 6 8" xfId="3914"/>
    <cellStyle name="Input 6 6 8 2" xfId="13242"/>
    <cellStyle name="Input 6 6 8 2 2" xfId="26548"/>
    <cellStyle name="Input 6 6 8 3" xfId="17652"/>
    <cellStyle name="Input 6 6 8 3 2" xfId="30958"/>
    <cellStyle name="Input 6 6 8 4" xfId="22138"/>
    <cellStyle name="Input 6 6 8_Table" xfId="6267"/>
    <cellStyle name="Input 6 6 9" xfId="4275"/>
    <cellStyle name="Input 6 6 9 2" xfId="13603"/>
    <cellStyle name="Input 6 6 9 2 2" xfId="26909"/>
    <cellStyle name="Input 6 6 9 3" xfId="18013"/>
    <cellStyle name="Input 6 6 9 3 2" xfId="31319"/>
    <cellStyle name="Input 6 6 9 4" xfId="22499"/>
    <cellStyle name="Input 6 6 9_Table" xfId="6268"/>
    <cellStyle name="Input 6 6_Table" xfId="6259"/>
    <cellStyle name="Input 6 7" xfId="1089"/>
    <cellStyle name="Input 6 7 2" xfId="10417"/>
    <cellStyle name="Input 6 7 2 2" xfId="23723"/>
    <cellStyle name="Input 6 7 3" xfId="14827"/>
    <cellStyle name="Input 6 7 3 2" xfId="28133"/>
    <cellStyle name="Input 6 7 4" xfId="19313"/>
    <cellStyle name="Input 6 7_Table" xfId="6269"/>
    <cellStyle name="Input 6 8" xfId="1163"/>
    <cellStyle name="Input 6 8 2" xfId="10491"/>
    <cellStyle name="Input 6 8 2 2" xfId="23797"/>
    <cellStyle name="Input 6 8 3" xfId="14901"/>
    <cellStyle name="Input 6 8 3 2" xfId="28207"/>
    <cellStyle name="Input 6 8 4" xfId="19387"/>
    <cellStyle name="Input 6 8_Table" xfId="6270"/>
    <cellStyle name="Input 6 9" xfId="1079"/>
    <cellStyle name="Input 6 9 2" xfId="10407"/>
    <cellStyle name="Input 6 9 2 2" xfId="23713"/>
    <cellStyle name="Input 6 9 3" xfId="14817"/>
    <cellStyle name="Input 6 9 3 2" xfId="28123"/>
    <cellStyle name="Input 6 9 4" xfId="19303"/>
    <cellStyle name="Input 6 9_Table" xfId="6271"/>
    <cellStyle name="Input 6_Table" xfId="6177"/>
    <cellStyle name="Input 7" xfId="313"/>
    <cellStyle name="Input 7 10" xfId="1211"/>
    <cellStyle name="Input 7 10 2" xfId="10539"/>
    <cellStyle name="Input 7 10 2 2" xfId="23845"/>
    <cellStyle name="Input 7 10 3" xfId="14949"/>
    <cellStyle name="Input 7 10 3 2" xfId="28255"/>
    <cellStyle name="Input 7 10 4" xfId="19435"/>
    <cellStyle name="Input 7 10_Table" xfId="6273"/>
    <cellStyle name="Input 7 11" xfId="1745"/>
    <cellStyle name="Input 7 11 2" xfId="11073"/>
    <cellStyle name="Input 7 11 2 2" xfId="24379"/>
    <cellStyle name="Input 7 11 3" xfId="15483"/>
    <cellStyle name="Input 7 11 3 2" xfId="28789"/>
    <cellStyle name="Input 7 11 4" xfId="19969"/>
    <cellStyle name="Input 7 11_Table" xfId="6274"/>
    <cellStyle name="Input 7 12" xfId="2047"/>
    <cellStyle name="Input 7 12 2" xfId="11375"/>
    <cellStyle name="Input 7 12 2 2" xfId="24681"/>
    <cellStyle name="Input 7 12 3" xfId="15785"/>
    <cellStyle name="Input 7 12 3 2" xfId="29091"/>
    <cellStyle name="Input 7 12 4" xfId="20271"/>
    <cellStyle name="Input 7 12_Table" xfId="6275"/>
    <cellStyle name="Input 7 13" xfId="1221"/>
    <cellStyle name="Input 7 13 2" xfId="10549"/>
    <cellStyle name="Input 7 13 2 2" xfId="23855"/>
    <cellStyle name="Input 7 13 3" xfId="14959"/>
    <cellStyle name="Input 7 13 3 2" xfId="28265"/>
    <cellStyle name="Input 7 13 4" xfId="19445"/>
    <cellStyle name="Input 7 13_Table" xfId="6276"/>
    <cellStyle name="Input 7 14" xfId="3519"/>
    <cellStyle name="Input 7 14 2" xfId="12847"/>
    <cellStyle name="Input 7 14 2 2" xfId="26153"/>
    <cellStyle name="Input 7 14 3" xfId="17257"/>
    <cellStyle name="Input 7 14 3 2" xfId="30563"/>
    <cellStyle name="Input 7 14 4" xfId="21743"/>
    <cellStyle name="Input 7 14_Table" xfId="6277"/>
    <cellStyle name="Input 7 15" xfId="9641"/>
    <cellStyle name="Input 7 15 2" xfId="23086"/>
    <cellStyle name="Input 7 16" xfId="14190"/>
    <cellStyle name="Input 7 16 2" xfId="27496"/>
    <cellStyle name="Input 7 17" xfId="18676"/>
    <cellStyle name="Input 7 2" xfId="407"/>
    <cellStyle name="Input 7 2 10" xfId="2905"/>
    <cellStyle name="Input 7 2 10 2" xfId="12233"/>
    <cellStyle name="Input 7 2 10 2 2" xfId="25539"/>
    <cellStyle name="Input 7 2 10 3" xfId="16643"/>
    <cellStyle name="Input 7 2 10 3 2" xfId="29949"/>
    <cellStyle name="Input 7 2 10 4" xfId="21129"/>
    <cellStyle name="Input 7 2 10_Table" xfId="6279"/>
    <cellStyle name="Input 7 2 11" xfId="9735"/>
    <cellStyle name="Input 7 2 11 2" xfId="23131"/>
    <cellStyle name="Input 7 2 12" xfId="14235"/>
    <cellStyle name="Input 7 2 12 2" xfId="27541"/>
    <cellStyle name="Input 7 2 13" xfId="18721"/>
    <cellStyle name="Input 7 2 2" xfId="722"/>
    <cellStyle name="Input 7 2 2 10" xfId="4682"/>
    <cellStyle name="Input 7 2 2 10 2" xfId="14010"/>
    <cellStyle name="Input 7 2 2 10 2 2" xfId="27316"/>
    <cellStyle name="Input 7 2 2 10 3" xfId="18420"/>
    <cellStyle name="Input 7 2 2 10 3 2" xfId="31726"/>
    <cellStyle name="Input 7 2 2 10 4" xfId="22906"/>
    <cellStyle name="Input 7 2 2 10_Table" xfId="6281"/>
    <cellStyle name="Input 7 2 2 11" xfId="10050"/>
    <cellStyle name="Input 7 2 2 11 2" xfId="23356"/>
    <cellStyle name="Input 7 2 2 12" xfId="14460"/>
    <cellStyle name="Input 7 2 2 12 2" xfId="27766"/>
    <cellStyle name="Input 7 2 2 13" xfId="18946"/>
    <cellStyle name="Input 7 2 2 2" xfId="1508"/>
    <cellStyle name="Input 7 2 2 2 2" xfId="10836"/>
    <cellStyle name="Input 7 2 2 2 2 2" xfId="24142"/>
    <cellStyle name="Input 7 2 2 2 3" xfId="15246"/>
    <cellStyle name="Input 7 2 2 2 3 2" xfId="28552"/>
    <cellStyle name="Input 7 2 2 2 4" xfId="19732"/>
    <cellStyle name="Input 7 2 2 2_Table" xfId="6282"/>
    <cellStyle name="Input 7 2 2 3" xfId="1868"/>
    <cellStyle name="Input 7 2 2 3 2" xfId="11196"/>
    <cellStyle name="Input 7 2 2 3 2 2" xfId="24502"/>
    <cellStyle name="Input 7 2 2 3 3" xfId="15606"/>
    <cellStyle name="Input 7 2 2 3 3 2" xfId="28912"/>
    <cellStyle name="Input 7 2 2 3 4" xfId="20092"/>
    <cellStyle name="Input 7 2 2 3_Table" xfId="6283"/>
    <cellStyle name="Input 7 2 2 4" xfId="2298"/>
    <cellStyle name="Input 7 2 2 4 2" xfId="11626"/>
    <cellStyle name="Input 7 2 2 4 2 2" xfId="24932"/>
    <cellStyle name="Input 7 2 2 4 3" xfId="16036"/>
    <cellStyle name="Input 7 2 2 4 3 2" xfId="29342"/>
    <cellStyle name="Input 7 2 2 4 4" xfId="20522"/>
    <cellStyle name="Input 7 2 2 4_Table" xfId="6284"/>
    <cellStyle name="Input 7 2 2 5" xfId="2736"/>
    <cellStyle name="Input 7 2 2 5 2" xfId="12064"/>
    <cellStyle name="Input 7 2 2 5 2 2" xfId="25370"/>
    <cellStyle name="Input 7 2 2 5 3" xfId="16474"/>
    <cellStyle name="Input 7 2 2 5 3 2" xfId="29780"/>
    <cellStyle name="Input 7 2 2 5 4" xfId="20960"/>
    <cellStyle name="Input 7 2 2 5_Table" xfId="6285"/>
    <cellStyle name="Input 7 2 2 6" xfId="3143"/>
    <cellStyle name="Input 7 2 2 6 2" xfId="12471"/>
    <cellStyle name="Input 7 2 2 6 2 2" xfId="25777"/>
    <cellStyle name="Input 7 2 2 6 3" xfId="16881"/>
    <cellStyle name="Input 7 2 2 6 3 2" xfId="30187"/>
    <cellStyle name="Input 7 2 2 6 4" xfId="21367"/>
    <cellStyle name="Input 7 2 2 6_Table" xfId="6286"/>
    <cellStyle name="Input 7 2 2 7" xfId="3735"/>
    <cellStyle name="Input 7 2 2 7 2" xfId="13063"/>
    <cellStyle name="Input 7 2 2 7 2 2" xfId="26369"/>
    <cellStyle name="Input 7 2 2 7 3" xfId="17473"/>
    <cellStyle name="Input 7 2 2 7 3 2" xfId="30779"/>
    <cellStyle name="Input 7 2 2 7 4" xfId="21959"/>
    <cellStyle name="Input 7 2 2 7_Table" xfId="6287"/>
    <cellStyle name="Input 7 2 2 8" xfId="3960"/>
    <cellStyle name="Input 7 2 2 8 2" xfId="13288"/>
    <cellStyle name="Input 7 2 2 8 2 2" xfId="26594"/>
    <cellStyle name="Input 7 2 2 8 3" xfId="17698"/>
    <cellStyle name="Input 7 2 2 8 3 2" xfId="31004"/>
    <cellStyle name="Input 7 2 2 8 4" xfId="22184"/>
    <cellStyle name="Input 7 2 2 8_Table" xfId="6288"/>
    <cellStyle name="Input 7 2 2 9" xfId="4321"/>
    <cellStyle name="Input 7 2 2 9 2" xfId="13649"/>
    <cellStyle name="Input 7 2 2 9 2 2" xfId="26955"/>
    <cellStyle name="Input 7 2 2 9 3" xfId="18059"/>
    <cellStyle name="Input 7 2 2 9 3 2" xfId="31365"/>
    <cellStyle name="Input 7 2 2 9 4" xfId="22545"/>
    <cellStyle name="Input 7 2 2 9_Table" xfId="6289"/>
    <cellStyle name="Input 7 2 2_Table" xfId="6280"/>
    <cellStyle name="Input 7 2 3" xfId="1005"/>
    <cellStyle name="Input 7 2 3 2" xfId="10333"/>
    <cellStyle name="Input 7 2 3 2 2" xfId="23639"/>
    <cellStyle name="Input 7 2 3 3" xfId="14743"/>
    <cellStyle name="Input 7 2 3 3 2" xfId="28049"/>
    <cellStyle name="Input 7 2 3 4" xfId="19229"/>
    <cellStyle name="Input 7 2 3_Table" xfId="6290"/>
    <cellStyle name="Input 7 2 4" xfId="1383"/>
    <cellStyle name="Input 7 2 4 2" xfId="10711"/>
    <cellStyle name="Input 7 2 4 2 2" xfId="24017"/>
    <cellStyle name="Input 7 2 4 3" xfId="15121"/>
    <cellStyle name="Input 7 2 4 3 2" xfId="28427"/>
    <cellStyle name="Input 7 2 4 4" xfId="19607"/>
    <cellStyle name="Input 7 2 4_Table" xfId="6291"/>
    <cellStyle name="Input 7 2 5" xfId="1022"/>
    <cellStyle name="Input 7 2 5 2" xfId="10350"/>
    <cellStyle name="Input 7 2 5 2 2" xfId="23656"/>
    <cellStyle name="Input 7 2 5 3" xfId="14760"/>
    <cellStyle name="Input 7 2 5 3 2" xfId="28066"/>
    <cellStyle name="Input 7 2 5 4" xfId="19246"/>
    <cellStyle name="Input 7 2 5_Table" xfId="6292"/>
    <cellStyle name="Input 7 2 6" xfId="1264"/>
    <cellStyle name="Input 7 2 6 2" xfId="10592"/>
    <cellStyle name="Input 7 2 6 2 2" xfId="23898"/>
    <cellStyle name="Input 7 2 6 3" xfId="15002"/>
    <cellStyle name="Input 7 2 6 3 2" xfId="28308"/>
    <cellStyle name="Input 7 2 6 4" xfId="19488"/>
    <cellStyle name="Input 7 2 6_Table" xfId="6293"/>
    <cellStyle name="Input 7 2 7" xfId="1802"/>
    <cellStyle name="Input 7 2 7 2" xfId="11130"/>
    <cellStyle name="Input 7 2 7 2 2" xfId="24436"/>
    <cellStyle name="Input 7 2 7 3" xfId="15540"/>
    <cellStyle name="Input 7 2 7 3 2" xfId="28846"/>
    <cellStyle name="Input 7 2 7 4" xfId="20026"/>
    <cellStyle name="Input 7 2 7_Table" xfId="6294"/>
    <cellStyle name="Input 7 2 8" xfId="1149"/>
    <cellStyle name="Input 7 2 8 2" xfId="10477"/>
    <cellStyle name="Input 7 2 8 2 2" xfId="23783"/>
    <cellStyle name="Input 7 2 8 3" xfId="14887"/>
    <cellStyle name="Input 7 2 8 3 2" xfId="28193"/>
    <cellStyle name="Input 7 2 8 4" xfId="19373"/>
    <cellStyle name="Input 7 2 8_Table" xfId="6295"/>
    <cellStyle name="Input 7 2 9" xfId="3612"/>
    <cellStyle name="Input 7 2 9 2" xfId="12940"/>
    <cellStyle name="Input 7 2 9 2 2" xfId="26246"/>
    <cellStyle name="Input 7 2 9 3" xfId="17350"/>
    <cellStyle name="Input 7 2 9 3 2" xfId="30656"/>
    <cellStyle name="Input 7 2 9 4" xfId="21836"/>
    <cellStyle name="Input 7 2 9_Table" xfId="6296"/>
    <cellStyle name="Input 7 2_Table" xfId="6278"/>
    <cellStyle name="Input 7 3" xfId="475"/>
    <cellStyle name="Input 7 3 10" xfId="4502"/>
    <cellStyle name="Input 7 3 10 2" xfId="13830"/>
    <cellStyle name="Input 7 3 10 2 2" xfId="27136"/>
    <cellStyle name="Input 7 3 10 3" xfId="18240"/>
    <cellStyle name="Input 7 3 10 3 2" xfId="31546"/>
    <cellStyle name="Input 7 3 10 4" xfId="22726"/>
    <cellStyle name="Input 7 3 10_Table" xfId="6298"/>
    <cellStyle name="Input 7 3 11" xfId="9803"/>
    <cellStyle name="Input 7 3 11 2" xfId="23176"/>
    <cellStyle name="Input 7 3 12" xfId="14280"/>
    <cellStyle name="Input 7 3 12 2" xfId="27586"/>
    <cellStyle name="Input 7 3 13" xfId="18766"/>
    <cellStyle name="Input 7 3 2" xfId="767"/>
    <cellStyle name="Input 7 3 2 10" xfId="4727"/>
    <cellStyle name="Input 7 3 2 10 2" xfId="14055"/>
    <cellStyle name="Input 7 3 2 10 2 2" xfId="27361"/>
    <cellStyle name="Input 7 3 2 10 3" xfId="18465"/>
    <cellStyle name="Input 7 3 2 10 3 2" xfId="31771"/>
    <cellStyle name="Input 7 3 2 10 4" xfId="22951"/>
    <cellStyle name="Input 7 3 2 10_Table" xfId="6300"/>
    <cellStyle name="Input 7 3 2 11" xfId="10095"/>
    <cellStyle name="Input 7 3 2 11 2" xfId="23401"/>
    <cellStyle name="Input 7 3 2 12" xfId="14505"/>
    <cellStyle name="Input 7 3 2 12 2" xfId="27811"/>
    <cellStyle name="Input 7 3 2 13" xfId="18991"/>
    <cellStyle name="Input 7 3 2 2" xfId="1553"/>
    <cellStyle name="Input 7 3 2 2 2" xfId="10881"/>
    <cellStyle name="Input 7 3 2 2 2 2" xfId="24187"/>
    <cellStyle name="Input 7 3 2 2 3" xfId="15291"/>
    <cellStyle name="Input 7 3 2 2 3 2" xfId="28597"/>
    <cellStyle name="Input 7 3 2 2 4" xfId="19777"/>
    <cellStyle name="Input 7 3 2 2_Table" xfId="6301"/>
    <cellStyle name="Input 7 3 2 3" xfId="1913"/>
    <cellStyle name="Input 7 3 2 3 2" xfId="11241"/>
    <cellStyle name="Input 7 3 2 3 2 2" xfId="24547"/>
    <cellStyle name="Input 7 3 2 3 3" xfId="15651"/>
    <cellStyle name="Input 7 3 2 3 3 2" xfId="28957"/>
    <cellStyle name="Input 7 3 2 3 4" xfId="20137"/>
    <cellStyle name="Input 7 3 2 3_Table" xfId="6302"/>
    <cellStyle name="Input 7 3 2 4" xfId="2343"/>
    <cellStyle name="Input 7 3 2 4 2" xfId="11671"/>
    <cellStyle name="Input 7 3 2 4 2 2" xfId="24977"/>
    <cellStyle name="Input 7 3 2 4 3" xfId="16081"/>
    <cellStyle name="Input 7 3 2 4 3 2" xfId="29387"/>
    <cellStyle name="Input 7 3 2 4 4" xfId="20567"/>
    <cellStyle name="Input 7 3 2 4_Table" xfId="6303"/>
    <cellStyle name="Input 7 3 2 5" xfId="2781"/>
    <cellStyle name="Input 7 3 2 5 2" xfId="12109"/>
    <cellStyle name="Input 7 3 2 5 2 2" xfId="25415"/>
    <cellStyle name="Input 7 3 2 5 3" xfId="16519"/>
    <cellStyle name="Input 7 3 2 5 3 2" xfId="29825"/>
    <cellStyle name="Input 7 3 2 5 4" xfId="21005"/>
    <cellStyle name="Input 7 3 2 5_Table" xfId="6304"/>
    <cellStyle name="Input 7 3 2 6" xfId="3188"/>
    <cellStyle name="Input 7 3 2 6 2" xfId="12516"/>
    <cellStyle name="Input 7 3 2 6 2 2" xfId="25822"/>
    <cellStyle name="Input 7 3 2 6 3" xfId="16926"/>
    <cellStyle name="Input 7 3 2 6 3 2" xfId="30232"/>
    <cellStyle name="Input 7 3 2 6 4" xfId="21412"/>
    <cellStyle name="Input 7 3 2 6_Table" xfId="6305"/>
    <cellStyle name="Input 7 3 2 7" xfId="3780"/>
    <cellStyle name="Input 7 3 2 7 2" xfId="13108"/>
    <cellStyle name="Input 7 3 2 7 2 2" xfId="26414"/>
    <cellStyle name="Input 7 3 2 7 3" xfId="17518"/>
    <cellStyle name="Input 7 3 2 7 3 2" xfId="30824"/>
    <cellStyle name="Input 7 3 2 7 4" xfId="22004"/>
    <cellStyle name="Input 7 3 2 7_Table" xfId="6306"/>
    <cellStyle name="Input 7 3 2 8" xfId="4005"/>
    <cellStyle name="Input 7 3 2 8 2" xfId="13333"/>
    <cellStyle name="Input 7 3 2 8 2 2" xfId="26639"/>
    <cellStyle name="Input 7 3 2 8 3" xfId="17743"/>
    <cellStyle name="Input 7 3 2 8 3 2" xfId="31049"/>
    <cellStyle name="Input 7 3 2 8 4" xfId="22229"/>
    <cellStyle name="Input 7 3 2 8_Table" xfId="6307"/>
    <cellStyle name="Input 7 3 2 9" xfId="4366"/>
    <cellStyle name="Input 7 3 2 9 2" xfId="13694"/>
    <cellStyle name="Input 7 3 2 9 2 2" xfId="27000"/>
    <cellStyle name="Input 7 3 2 9 3" xfId="18104"/>
    <cellStyle name="Input 7 3 2 9 3 2" xfId="31410"/>
    <cellStyle name="Input 7 3 2 9 4" xfId="22590"/>
    <cellStyle name="Input 7 3 2 9_Table" xfId="6308"/>
    <cellStyle name="Input 7 3 2_Table" xfId="6299"/>
    <cellStyle name="Input 7 3 3" xfId="939"/>
    <cellStyle name="Input 7 3 3 2" xfId="10267"/>
    <cellStyle name="Input 7 3 3 2 2" xfId="23573"/>
    <cellStyle name="Input 7 3 3 3" xfId="14677"/>
    <cellStyle name="Input 7 3 3 3 2" xfId="27983"/>
    <cellStyle name="Input 7 3 3 4" xfId="19163"/>
    <cellStyle name="Input 7 3 3_Table" xfId="6309"/>
    <cellStyle name="Input 7 3 4" xfId="2066"/>
    <cellStyle name="Input 7 3 4 2" xfId="11394"/>
    <cellStyle name="Input 7 3 4 2 2" xfId="24700"/>
    <cellStyle name="Input 7 3 4 3" xfId="15804"/>
    <cellStyle name="Input 7 3 4 3 2" xfId="29110"/>
    <cellStyle name="Input 7 3 4 4" xfId="20290"/>
    <cellStyle name="Input 7 3 4_Table" xfId="6310"/>
    <cellStyle name="Input 7 3 5" xfId="2498"/>
    <cellStyle name="Input 7 3 5 2" xfId="11826"/>
    <cellStyle name="Input 7 3 5 2 2" xfId="25132"/>
    <cellStyle name="Input 7 3 5 3" xfId="16236"/>
    <cellStyle name="Input 7 3 5 3 2" xfId="29542"/>
    <cellStyle name="Input 7 3 5 4" xfId="20722"/>
    <cellStyle name="Input 7 3 5_Table" xfId="6311"/>
    <cellStyle name="Input 7 3 6" xfId="2927"/>
    <cellStyle name="Input 7 3 6 2" xfId="12255"/>
    <cellStyle name="Input 7 3 6 2 2" xfId="25561"/>
    <cellStyle name="Input 7 3 6 3" xfId="16665"/>
    <cellStyle name="Input 7 3 6 3 2" xfId="29971"/>
    <cellStyle name="Input 7 3 6 4" xfId="21151"/>
    <cellStyle name="Input 7 3 6_Table" xfId="6312"/>
    <cellStyle name="Input 7 3 7" xfId="3339"/>
    <cellStyle name="Input 7 3 7 2" xfId="12667"/>
    <cellStyle name="Input 7 3 7 2 2" xfId="25973"/>
    <cellStyle name="Input 7 3 7 3" xfId="17077"/>
    <cellStyle name="Input 7 3 7 3 2" xfId="30383"/>
    <cellStyle name="Input 7 3 7 4" xfId="21563"/>
    <cellStyle name="Input 7 3 7_Table" xfId="6313"/>
    <cellStyle name="Input 7 3 8" xfId="3380"/>
    <cellStyle name="Input 7 3 8 2" xfId="12708"/>
    <cellStyle name="Input 7 3 8 2 2" xfId="26014"/>
    <cellStyle name="Input 7 3 8 3" xfId="17118"/>
    <cellStyle name="Input 7 3 8 3 2" xfId="30424"/>
    <cellStyle name="Input 7 3 8 4" xfId="21604"/>
    <cellStyle name="Input 7 3 8_Table" xfId="6314"/>
    <cellStyle name="Input 7 3 9" xfId="4141"/>
    <cellStyle name="Input 7 3 9 2" xfId="13469"/>
    <cellStyle name="Input 7 3 9 2 2" xfId="26775"/>
    <cellStyle name="Input 7 3 9 3" xfId="17879"/>
    <cellStyle name="Input 7 3 9 3 2" xfId="31185"/>
    <cellStyle name="Input 7 3 9 4" xfId="22365"/>
    <cellStyle name="Input 7 3 9_Table" xfId="6315"/>
    <cellStyle name="Input 7 3_Table" xfId="6297"/>
    <cellStyle name="Input 7 4" xfId="539"/>
    <cellStyle name="Input 7 4 10" xfId="4547"/>
    <cellStyle name="Input 7 4 10 2" xfId="13875"/>
    <cellStyle name="Input 7 4 10 2 2" xfId="27181"/>
    <cellStyle name="Input 7 4 10 3" xfId="18285"/>
    <cellStyle name="Input 7 4 10 3 2" xfId="31591"/>
    <cellStyle name="Input 7 4 10 4" xfId="22771"/>
    <cellStyle name="Input 7 4 10_Table" xfId="6317"/>
    <cellStyle name="Input 7 4 11" xfId="9867"/>
    <cellStyle name="Input 7 4 11 2" xfId="23221"/>
    <cellStyle name="Input 7 4 12" xfId="14325"/>
    <cellStyle name="Input 7 4 12 2" xfId="27631"/>
    <cellStyle name="Input 7 4 13" xfId="18811"/>
    <cellStyle name="Input 7 4 2" xfId="812"/>
    <cellStyle name="Input 7 4 2 10" xfId="4772"/>
    <cellStyle name="Input 7 4 2 10 2" xfId="14100"/>
    <cellStyle name="Input 7 4 2 10 2 2" xfId="27406"/>
    <cellStyle name="Input 7 4 2 10 3" xfId="18510"/>
    <cellStyle name="Input 7 4 2 10 3 2" xfId="31816"/>
    <cellStyle name="Input 7 4 2 10 4" xfId="22996"/>
    <cellStyle name="Input 7 4 2 10_Table" xfId="6319"/>
    <cellStyle name="Input 7 4 2 11" xfId="10140"/>
    <cellStyle name="Input 7 4 2 11 2" xfId="23446"/>
    <cellStyle name="Input 7 4 2 12" xfId="14550"/>
    <cellStyle name="Input 7 4 2 12 2" xfId="27856"/>
    <cellStyle name="Input 7 4 2 13" xfId="19036"/>
    <cellStyle name="Input 7 4 2 2" xfId="1598"/>
    <cellStyle name="Input 7 4 2 2 2" xfId="10926"/>
    <cellStyle name="Input 7 4 2 2 2 2" xfId="24232"/>
    <cellStyle name="Input 7 4 2 2 3" xfId="15336"/>
    <cellStyle name="Input 7 4 2 2 3 2" xfId="28642"/>
    <cellStyle name="Input 7 4 2 2 4" xfId="19822"/>
    <cellStyle name="Input 7 4 2 2_Table" xfId="6320"/>
    <cellStyle name="Input 7 4 2 3" xfId="1958"/>
    <cellStyle name="Input 7 4 2 3 2" xfId="11286"/>
    <cellStyle name="Input 7 4 2 3 2 2" xfId="24592"/>
    <cellStyle name="Input 7 4 2 3 3" xfId="15696"/>
    <cellStyle name="Input 7 4 2 3 3 2" xfId="29002"/>
    <cellStyle name="Input 7 4 2 3 4" xfId="20182"/>
    <cellStyle name="Input 7 4 2 3_Table" xfId="6321"/>
    <cellStyle name="Input 7 4 2 4" xfId="2388"/>
    <cellStyle name="Input 7 4 2 4 2" xfId="11716"/>
    <cellStyle name="Input 7 4 2 4 2 2" xfId="25022"/>
    <cellStyle name="Input 7 4 2 4 3" xfId="16126"/>
    <cellStyle name="Input 7 4 2 4 3 2" xfId="29432"/>
    <cellStyle name="Input 7 4 2 4 4" xfId="20612"/>
    <cellStyle name="Input 7 4 2 4_Table" xfId="6322"/>
    <cellStyle name="Input 7 4 2 5" xfId="2826"/>
    <cellStyle name="Input 7 4 2 5 2" xfId="12154"/>
    <cellStyle name="Input 7 4 2 5 2 2" xfId="25460"/>
    <cellStyle name="Input 7 4 2 5 3" xfId="16564"/>
    <cellStyle name="Input 7 4 2 5 3 2" xfId="29870"/>
    <cellStyle name="Input 7 4 2 5 4" xfId="21050"/>
    <cellStyle name="Input 7 4 2 5_Table" xfId="6323"/>
    <cellStyle name="Input 7 4 2 6" xfId="3233"/>
    <cellStyle name="Input 7 4 2 6 2" xfId="12561"/>
    <cellStyle name="Input 7 4 2 6 2 2" xfId="25867"/>
    <cellStyle name="Input 7 4 2 6 3" xfId="16971"/>
    <cellStyle name="Input 7 4 2 6 3 2" xfId="30277"/>
    <cellStyle name="Input 7 4 2 6 4" xfId="21457"/>
    <cellStyle name="Input 7 4 2 6_Table" xfId="6324"/>
    <cellStyle name="Input 7 4 2 7" xfId="3825"/>
    <cellStyle name="Input 7 4 2 7 2" xfId="13153"/>
    <cellStyle name="Input 7 4 2 7 2 2" xfId="26459"/>
    <cellStyle name="Input 7 4 2 7 3" xfId="17563"/>
    <cellStyle name="Input 7 4 2 7 3 2" xfId="30869"/>
    <cellStyle name="Input 7 4 2 7 4" xfId="22049"/>
    <cellStyle name="Input 7 4 2 7_Table" xfId="6325"/>
    <cellStyle name="Input 7 4 2 8" xfId="4050"/>
    <cellStyle name="Input 7 4 2 8 2" xfId="13378"/>
    <cellStyle name="Input 7 4 2 8 2 2" xfId="26684"/>
    <cellStyle name="Input 7 4 2 8 3" xfId="17788"/>
    <cellStyle name="Input 7 4 2 8 3 2" xfId="31094"/>
    <cellStyle name="Input 7 4 2 8 4" xfId="22274"/>
    <cellStyle name="Input 7 4 2 8_Table" xfId="6326"/>
    <cellStyle name="Input 7 4 2 9" xfId="4411"/>
    <cellStyle name="Input 7 4 2 9 2" xfId="13739"/>
    <cellStyle name="Input 7 4 2 9 2 2" xfId="27045"/>
    <cellStyle name="Input 7 4 2 9 3" xfId="18149"/>
    <cellStyle name="Input 7 4 2 9 3 2" xfId="31455"/>
    <cellStyle name="Input 7 4 2 9 4" xfId="22635"/>
    <cellStyle name="Input 7 4 2 9_Table" xfId="6327"/>
    <cellStyle name="Input 7 4 2_Table" xfId="6318"/>
    <cellStyle name="Input 7 4 3" xfId="1691"/>
    <cellStyle name="Input 7 4 3 2" xfId="11019"/>
    <cellStyle name="Input 7 4 3 2 2" xfId="24325"/>
    <cellStyle name="Input 7 4 3 3" xfId="15429"/>
    <cellStyle name="Input 7 4 3 3 2" xfId="28735"/>
    <cellStyle name="Input 7 4 3 4" xfId="19915"/>
    <cellStyle name="Input 7 4 3_Table" xfId="6328"/>
    <cellStyle name="Input 7 4 4" xfId="2125"/>
    <cellStyle name="Input 7 4 4 2" xfId="11453"/>
    <cellStyle name="Input 7 4 4 2 2" xfId="24759"/>
    <cellStyle name="Input 7 4 4 3" xfId="15863"/>
    <cellStyle name="Input 7 4 4 3 2" xfId="29169"/>
    <cellStyle name="Input 7 4 4 4" xfId="20349"/>
    <cellStyle name="Input 7 4 4_Table" xfId="6329"/>
    <cellStyle name="Input 7 4 5" xfId="2557"/>
    <cellStyle name="Input 7 4 5 2" xfId="11885"/>
    <cellStyle name="Input 7 4 5 2 2" xfId="25191"/>
    <cellStyle name="Input 7 4 5 3" xfId="16295"/>
    <cellStyle name="Input 7 4 5 3 2" xfId="29601"/>
    <cellStyle name="Input 7 4 5 4" xfId="20781"/>
    <cellStyle name="Input 7 4 5_Table" xfId="6330"/>
    <cellStyle name="Input 7 4 6" xfId="2984"/>
    <cellStyle name="Input 7 4 6 2" xfId="12312"/>
    <cellStyle name="Input 7 4 6 2 2" xfId="25618"/>
    <cellStyle name="Input 7 4 6 3" xfId="16722"/>
    <cellStyle name="Input 7 4 6 3 2" xfId="30028"/>
    <cellStyle name="Input 7 4 6 4" xfId="21208"/>
    <cellStyle name="Input 7 4 6_Table" xfId="6331"/>
    <cellStyle name="Input 7 4 7" xfId="3397"/>
    <cellStyle name="Input 7 4 7 2" xfId="12725"/>
    <cellStyle name="Input 7 4 7 2 2" xfId="26031"/>
    <cellStyle name="Input 7 4 7 3" xfId="17135"/>
    <cellStyle name="Input 7 4 7 3 2" xfId="30441"/>
    <cellStyle name="Input 7 4 7 4" xfId="21621"/>
    <cellStyle name="Input 7 4 7_Table" xfId="6332"/>
    <cellStyle name="Input 7 4 8" xfId="3656"/>
    <cellStyle name="Input 7 4 8 2" xfId="12984"/>
    <cellStyle name="Input 7 4 8 2 2" xfId="26290"/>
    <cellStyle name="Input 7 4 8 3" xfId="17394"/>
    <cellStyle name="Input 7 4 8 3 2" xfId="30700"/>
    <cellStyle name="Input 7 4 8 4" xfId="21880"/>
    <cellStyle name="Input 7 4 8_Table" xfId="6333"/>
    <cellStyle name="Input 7 4 9" xfId="4186"/>
    <cellStyle name="Input 7 4 9 2" xfId="13514"/>
    <cellStyle name="Input 7 4 9 2 2" xfId="26820"/>
    <cellStyle name="Input 7 4 9 3" xfId="17924"/>
    <cellStyle name="Input 7 4 9 3 2" xfId="31230"/>
    <cellStyle name="Input 7 4 9 4" xfId="22410"/>
    <cellStyle name="Input 7 4 9_Table" xfId="6334"/>
    <cellStyle name="Input 7 4_Table" xfId="6316"/>
    <cellStyle name="Input 7 5" xfId="614"/>
    <cellStyle name="Input 7 5 10" xfId="4592"/>
    <cellStyle name="Input 7 5 10 2" xfId="13920"/>
    <cellStyle name="Input 7 5 10 2 2" xfId="27226"/>
    <cellStyle name="Input 7 5 10 3" xfId="18330"/>
    <cellStyle name="Input 7 5 10 3 2" xfId="31636"/>
    <cellStyle name="Input 7 5 10 4" xfId="22816"/>
    <cellStyle name="Input 7 5 10_Table" xfId="6336"/>
    <cellStyle name="Input 7 5 11" xfId="9942"/>
    <cellStyle name="Input 7 5 11 2" xfId="23266"/>
    <cellStyle name="Input 7 5 12" xfId="14370"/>
    <cellStyle name="Input 7 5 12 2" xfId="27676"/>
    <cellStyle name="Input 7 5 13" xfId="18856"/>
    <cellStyle name="Input 7 5 2" xfId="857"/>
    <cellStyle name="Input 7 5 2 10" xfId="4817"/>
    <cellStyle name="Input 7 5 2 10 2" xfId="14145"/>
    <cellStyle name="Input 7 5 2 10 2 2" xfId="27451"/>
    <cellStyle name="Input 7 5 2 10 3" xfId="18555"/>
    <cellStyle name="Input 7 5 2 10 3 2" xfId="31861"/>
    <cellStyle name="Input 7 5 2 10 4" xfId="23041"/>
    <cellStyle name="Input 7 5 2 10_Table" xfId="6338"/>
    <cellStyle name="Input 7 5 2 11" xfId="10185"/>
    <cellStyle name="Input 7 5 2 11 2" xfId="23491"/>
    <cellStyle name="Input 7 5 2 12" xfId="14595"/>
    <cellStyle name="Input 7 5 2 12 2" xfId="27901"/>
    <cellStyle name="Input 7 5 2 13" xfId="19081"/>
    <cellStyle name="Input 7 5 2 2" xfId="1643"/>
    <cellStyle name="Input 7 5 2 2 2" xfId="10971"/>
    <cellStyle name="Input 7 5 2 2 2 2" xfId="24277"/>
    <cellStyle name="Input 7 5 2 2 3" xfId="15381"/>
    <cellStyle name="Input 7 5 2 2 3 2" xfId="28687"/>
    <cellStyle name="Input 7 5 2 2 4" xfId="19867"/>
    <cellStyle name="Input 7 5 2 2_Table" xfId="6339"/>
    <cellStyle name="Input 7 5 2 3" xfId="2003"/>
    <cellStyle name="Input 7 5 2 3 2" xfId="11331"/>
    <cellStyle name="Input 7 5 2 3 2 2" xfId="24637"/>
    <cellStyle name="Input 7 5 2 3 3" xfId="15741"/>
    <cellStyle name="Input 7 5 2 3 3 2" xfId="29047"/>
    <cellStyle name="Input 7 5 2 3 4" xfId="20227"/>
    <cellStyle name="Input 7 5 2 3_Table" xfId="6340"/>
    <cellStyle name="Input 7 5 2 4" xfId="2433"/>
    <cellStyle name="Input 7 5 2 4 2" xfId="11761"/>
    <cellStyle name="Input 7 5 2 4 2 2" xfId="25067"/>
    <cellStyle name="Input 7 5 2 4 3" xfId="16171"/>
    <cellStyle name="Input 7 5 2 4 3 2" xfId="29477"/>
    <cellStyle name="Input 7 5 2 4 4" xfId="20657"/>
    <cellStyle name="Input 7 5 2 4_Table" xfId="6341"/>
    <cellStyle name="Input 7 5 2 5" xfId="2871"/>
    <cellStyle name="Input 7 5 2 5 2" xfId="12199"/>
    <cellStyle name="Input 7 5 2 5 2 2" xfId="25505"/>
    <cellStyle name="Input 7 5 2 5 3" xfId="16609"/>
    <cellStyle name="Input 7 5 2 5 3 2" xfId="29915"/>
    <cellStyle name="Input 7 5 2 5 4" xfId="21095"/>
    <cellStyle name="Input 7 5 2 5_Table" xfId="6342"/>
    <cellStyle name="Input 7 5 2 6" xfId="3278"/>
    <cellStyle name="Input 7 5 2 6 2" xfId="12606"/>
    <cellStyle name="Input 7 5 2 6 2 2" xfId="25912"/>
    <cellStyle name="Input 7 5 2 6 3" xfId="17016"/>
    <cellStyle name="Input 7 5 2 6 3 2" xfId="30322"/>
    <cellStyle name="Input 7 5 2 6 4" xfId="21502"/>
    <cellStyle name="Input 7 5 2 6_Table" xfId="6343"/>
    <cellStyle name="Input 7 5 2 7" xfId="3870"/>
    <cellStyle name="Input 7 5 2 7 2" xfId="13198"/>
    <cellStyle name="Input 7 5 2 7 2 2" xfId="26504"/>
    <cellStyle name="Input 7 5 2 7 3" xfId="17608"/>
    <cellStyle name="Input 7 5 2 7 3 2" xfId="30914"/>
    <cellStyle name="Input 7 5 2 7 4" xfId="22094"/>
    <cellStyle name="Input 7 5 2 7_Table" xfId="6344"/>
    <cellStyle name="Input 7 5 2 8" xfId="4095"/>
    <cellStyle name="Input 7 5 2 8 2" xfId="13423"/>
    <cellStyle name="Input 7 5 2 8 2 2" xfId="26729"/>
    <cellStyle name="Input 7 5 2 8 3" xfId="17833"/>
    <cellStyle name="Input 7 5 2 8 3 2" xfId="31139"/>
    <cellStyle name="Input 7 5 2 8 4" xfId="22319"/>
    <cellStyle name="Input 7 5 2 8_Table" xfId="6345"/>
    <cellStyle name="Input 7 5 2 9" xfId="4456"/>
    <cellStyle name="Input 7 5 2 9 2" xfId="13784"/>
    <cellStyle name="Input 7 5 2 9 2 2" xfId="27090"/>
    <cellStyle name="Input 7 5 2 9 3" xfId="18194"/>
    <cellStyle name="Input 7 5 2 9 3 2" xfId="31500"/>
    <cellStyle name="Input 7 5 2 9 4" xfId="22680"/>
    <cellStyle name="Input 7 5 2 9_Table" xfId="6346"/>
    <cellStyle name="Input 7 5 2_Table" xfId="6337"/>
    <cellStyle name="Input 7 5 3" xfId="1761"/>
    <cellStyle name="Input 7 5 3 2" xfId="11089"/>
    <cellStyle name="Input 7 5 3 2 2" xfId="24395"/>
    <cellStyle name="Input 7 5 3 3" xfId="15499"/>
    <cellStyle name="Input 7 5 3 3 2" xfId="28805"/>
    <cellStyle name="Input 7 5 3 4" xfId="19985"/>
    <cellStyle name="Input 7 5 3_Table" xfId="6347"/>
    <cellStyle name="Input 7 5 4" xfId="2194"/>
    <cellStyle name="Input 7 5 4 2" xfId="11522"/>
    <cellStyle name="Input 7 5 4 2 2" xfId="24828"/>
    <cellStyle name="Input 7 5 4 3" xfId="15932"/>
    <cellStyle name="Input 7 5 4 3 2" xfId="29238"/>
    <cellStyle name="Input 7 5 4 4" xfId="20418"/>
    <cellStyle name="Input 7 5 4_Table" xfId="6348"/>
    <cellStyle name="Input 7 5 5" xfId="2629"/>
    <cellStyle name="Input 7 5 5 2" xfId="11957"/>
    <cellStyle name="Input 7 5 5 2 2" xfId="25263"/>
    <cellStyle name="Input 7 5 5 3" xfId="16367"/>
    <cellStyle name="Input 7 5 5 3 2" xfId="29673"/>
    <cellStyle name="Input 7 5 5 4" xfId="20853"/>
    <cellStyle name="Input 7 5 5_Table" xfId="6349"/>
    <cellStyle name="Input 7 5 6" xfId="3042"/>
    <cellStyle name="Input 7 5 6 2" xfId="12370"/>
    <cellStyle name="Input 7 5 6 2 2" xfId="25676"/>
    <cellStyle name="Input 7 5 6 3" xfId="16780"/>
    <cellStyle name="Input 7 5 6 3 2" xfId="30086"/>
    <cellStyle name="Input 7 5 6 4" xfId="21266"/>
    <cellStyle name="Input 7 5 6_Table" xfId="6350"/>
    <cellStyle name="Input 7 5 7" xfId="3468"/>
    <cellStyle name="Input 7 5 7 2" xfId="12796"/>
    <cellStyle name="Input 7 5 7 2 2" xfId="26102"/>
    <cellStyle name="Input 7 5 7 3" xfId="17206"/>
    <cellStyle name="Input 7 5 7 3 2" xfId="30512"/>
    <cellStyle name="Input 7 5 7 4" xfId="21692"/>
    <cellStyle name="Input 7 5 7_Table" xfId="6351"/>
    <cellStyle name="Input 7 5 8" xfId="2478"/>
    <cellStyle name="Input 7 5 8 2" xfId="11806"/>
    <cellStyle name="Input 7 5 8 2 2" xfId="25112"/>
    <cellStyle name="Input 7 5 8 3" xfId="16216"/>
    <cellStyle name="Input 7 5 8 3 2" xfId="29522"/>
    <cellStyle name="Input 7 5 8 4" xfId="20702"/>
    <cellStyle name="Input 7 5 8_Table" xfId="6352"/>
    <cellStyle name="Input 7 5 9" xfId="4231"/>
    <cellStyle name="Input 7 5 9 2" xfId="13559"/>
    <cellStyle name="Input 7 5 9 2 2" xfId="26865"/>
    <cellStyle name="Input 7 5 9 3" xfId="17969"/>
    <cellStyle name="Input 7 5 9 3 2" xfId="31275"/>
    <cellStyle name="Input 7 5 9 4" xfId="22455"/>
    <cellStyle name="Input 7 5 9_Table" xfId="6353"/>
    <cellStyle name="Input 7 5_Table" xfId="6335"/>
    <cellStyle name="Input 7 6" xfId="677"/>
    <cellStyle name="Input 7 6 10" xfId="4637"/>
    <cellStyle name="Input 7 6 10 2" xfId="13965"/>
    <cellStyle name="Input 7 6 10 2 2" xfId="27271"/>
    <cellStyle name="Input 7 6 10 3" xfId="18375"/>
    <cellStyle name="Input 7 6 10 3 2" xfId="31681"/>
    <cellStyle name="Input 7 6 10 4" xfId="22861"/>
    <cellStyle name="Input 7 6 10_Table" xfId="6355"/>
    <cellStyle name="Input 7 6 11" xfId="10005"/>
    <cellStyle name="Input 7 6 11 2" xfId="23311"/>
    <cellStyle name="Input 7 6 12" xfId="14415"/>
    <cellStyle name="Input 7 6 12 2" xfId="27721"/>
    <cellStyle name="Input 7 6 13" xfId="18901"/>
    <cellStyle name="Input 7 6 2" xfId="1463"/>
    <cellStyle name="Input 7 6 2 2" xfId="10791"/>
    <cellStyle name="Input 7 6 2 2 2" xfId="24097"/>
    <cellStyle name="Input 7 6 2 3" xfId="15201"/>
    <cellStyle name="Input 7 6 2 3 2" xfId="28507"/>
    <cellStyle name="Input 7 6 2 4" xfId="19687"/>
    <cellStyle name="Input 7 6 2_Table" xfId="6356"/>
    <cellStyle name="Input 7 6 3" xfId="1823"/>
    <cellStyle name="Input 7 6 3 2" xfId="11151"/>
    <cellStyle name="Input 7 6 3 2 2" xfId="24457"/>
    <cellStyle name="Input 7 6 3 3" xfId="15561"/>
    <cellStyle name="Input 7 6 3 3 2" xfId="28867"/>
    <cellStyle name="Input 7 6 3 4" xfId="20047"/>
    <cellStyle name="Input 7 6 3_Table" xfId="6357"/>
    <cellStyle name="Input 7 6 4" xfId="2253"/>
    <cellStyle name="Input 7 6 4 2" xfId="11581"/>
    <cellStyle name="Input 7 6 4 2 2" xfId="24887"/>
    <cellStyle name="Input 7 6 4 3" xfId="15991"/>
    <cellStyle name="Input 7 6 4 3 2" xfId="29297"/>
    <cellStyle name="Input 7 6 4 4" xfId="20477"/>
    <cellStyle name="Input 7 6 4_Table" xfId="6358"/>
    <cellStyle name="Input 7 6 5" xfId="2691"/>
    <cellStyle name="Input 7 6 5 2" xfId="12019"/>
    <cellStyle name="Input 7 6 5 2 2" xfId="25325"/>
    <cellStyle name="Input 7 6 5 3" xfId="16429"/>
    <cellStyle name="Input 7 6 5 3 2" xfId="29735"/>
    <cellStyle name="Input 7 6 5 4" xfId="20915"/>
    <cellStyle name="Input 7 6 5_Table" xfId="6359"/>
    <cellStyle name="Input 7 6 6" xfId="3098"/>
    <cellStyle name="Input 7 6 6 2" xfId="12426"/>
    <cellStyle name="Input 7 6 6 2 2" xfId="25732"/>
    <cellStyle name="Input 7 6 6 3" xfId="16836"/>
    <cellStyle name="Input 7 6 6 3 2" xfId="30142"/>
    <cellStyle name="Input 7 6 6 4" xfId="21322"/>
    <cellStyle name="Input 7 6 6_Table" xfId="6360"/>
    <cellStyle name="Input 7 6 7" xfId="3690"/>
    <cellStyle name="Input 7 6 7 2" xfId="13018"/>
    <cellStyle name="Input 7 6 7 2 2" xfId="26324"/>
    <cellStyle name="Input 7 6 7 3" xfId="17428"/>
    <cellStyle name="Input 7 6 7 3 2" xfId="30734"/>
    <cellStyle name="Input 7 6 7 4" xfId="21914"/>
    <cellStyle name="Input 7 6 7_Table" xfId="6361"/>
    <cellStyle name="Input 7 6 8" xfId="3915"/>
    <cellStyle name="Input 7 6 8 2" xfId="13243"/>
    <cellStyle name="Input 7 6 8 2 2" xfId="26549"/>
    <cellStyle name="Input 7 6 8 3" xfId="17653"/>
    <cellStyle name="Input 7 6 8 3 2" xfId="30959"/>
    <cellStyle name="Input 7 6 8 4" xfId="22139"/>
    <cellStyle name="Input 7 6 8_Table" xfId="6362"/>
    <cellStyle name="Input 7 6 9" xfId="4276"/>
    <cellStyle name="Input 7 6 9 2" xfId="13604"/>
    <cellStyle name="Input 7 6 9 2 2" xfId="26910"/>
    <cellStyle name="Input 7 6 9 3" xfId="18014"/>
    <cellStyle name="Input 7 6 9 3 2" xfId="31320"/>
    <cellStyle name="Input 7 6 9 4" xfId="22500"/>
    <cellStyle name="Input 7 6 9_Table" xfId="6363"/>
    <cellStyle name="Input 7 6_Table" xfId="6354"/>
    <cellStyle name="Input 7 7" xfId="1088"/>
    <cellStyle name="Input 7 7 2" xfId="10416"/>
    <cellStyle name="Input 7 7 2 2" xfId="23722"/>
    <cellStyle name="Input 7 7 3" xfId="14826"/>
    <cellStyle name="Input 7 7 3 2" xfId="28132"/>
    <cellStyle name="Input 7 7 4" xfId="19312"/>
    <cellStyle name="Input 7 7_Table" xfId="6364"/>
    <cellStyle name="Input 7 8" xfId="1164"/>
    <cellStyle name="Input 7 8 2" xfId="10492"/>
    <cellStyle name="Input 7 8 2 2" xfId="23798"/>
    <cellStyle name="Input 7 8 3" xfId="14902"/>
    <cellStyle name="Input 7 8 3 2" xfId="28208"/>
    <cellStyle name="Input 7 8 4" xfId="19388"/>
    <cellStyle name="Input 7 8_Table" xfId="6365"/>
    <cellStyle name="Input 7 9" xfId="1078"/>
    <cellStyle name="Input 7 9 2" xfId="10406"/>
    <cellStyle name="Input 7 9 2 2" xfId="23712"/>
    <cellStyle name="Input 7 9 3" xfId="14816"/>
    <cellStyle name="Input 7 9 3 2" xfId="28122"/>
    <cellStyle name="Input 7 9 4" xfId="19302"/>
    <cellStyle name="Input 7 9_Table" xfId="6366"/>
    <cellStyle name="Input 7_Table" xfId="6272"/>
    <cellStyle name="Input 8" xfId="314"/>
    <cellStyle name="Input 8 10" xfId="1212"/>
    <cellStyle name="Input 8 10 2" xfId="10540"/>
    <cellStyle name="Input 8 10 2 2" xfId="23846"/>
    <cellStyle name="Input 8 10 3" xfId="14950"/>
    <cellStyle name="Input 8 10 3 2" xfId="28256"/>
    <cellStyle name="Input 8 10 4" xfId="19436"/>
    <cellStyle name="Input 8 10_Table" xfId="6368"/>
    <cellStyle name="Input 8 11" xfId="1675"/>
    <cellStyle name="Input 8 11 2" xfId="11003"/>
    <cellStyle name="Input 8 11 2 2" xfId="24309"/>
    <cellStyle name="Input 8 11 3" xfId="15413"/>
    <cellStyle name="Input 8 11 3 2" xfId="28719"/>
    <cellStyle name="Input 8 11 4" xfId="19899"/>
    <cellStyle name="Input 8 11_Table" xfId="6369"/>
    <cellStyle name="Input 8 12" xfId="1400"/>
    <cellStyle name="Input 8 12 2" xfId="10728"/>
    <cellStyle name="Input 8 12 2 2" xfId="24034"/>
    <cellStyle name="Input 8 12 3" xfId="15138"/>
    <cellStyle name="Input 8 12 3 2" xfId="28444"/>
    <cellStyle name="Input 8 12 4" xfId="19624"/>
    <cellStyle name="Input 8 12_Table" xfId="6370"/>
    <cellStyle name="Input 8 13" xfId="1025"/>
    <cellStyle name="Input 8 13 2" xfId="10353"/>
    <cellStyle name="Input 8 13 2 2" xfId="23659"/>
    <cellStyle name="Input 8 13 3" xfId="14763"/>
    <cellStyle name="Input 8 13 3 2" xfId="28069"/>
    <cellStyle name="Input 8 13 4" xfId="19249"/>
    <cellStyle name="Input 8 13_Table" xfId="6371"/>
    <cellStyle name="Input 8 14" xfId="3554"/>
    <cellStyle name="Input 8 14 2" xfId="12882"/>
    <cellStyle name="Input 8 14 2 2" xfId="26188"/>
    <cellStyle name="Input 8 14 3" xfId="17292"/>
    <cellStyle name="Input 8 14 3 2" xfId="30598"/>
    <cellStyle name="Input 8 14 4" xfId="21778"/>
    <cellStyle name="Input 8 14_Table" xfId="6372"/>
    <cellStyle name="Input 8 15" xfId="9642"/>
    <cellStyle name="Input 8 15 2" xfId="23087"/>
    <cellStyle name="Input 8 16" xfId="14191"/>
    <cellStyle name="Input 8 16 2" xfId="27497"/>
    <cellStyle name="Input 8 17" xfId="18677"/>
    <cellStyle name="Input 8 2" xfId="408"/>
    <cellStyle name="Input 8 2 10" xfId="3379"/>
    <cellStyle name="Input 8 2 10 2" xfId="12707"/>
    <cellStyle name="Input 8 2 10 2 2" xfId="26013"/>
    <cellStyle name="Input 8 2 10 3" xfId="17117"/>
    <cellStyle name="Input 8 2 10 3 2" xfId="30423"/>
    <cellStyle name="Input 8 2 10 4" xfId="21603"/>
    <cellStyle name="Input 8 2 10_Table" xfId="6374"/>
    <cellStyle name="Input 8 2 11" xfId="9736"/>
    <cellStyle name="Input 8 2 11 2" xfId="23132"/>
    <cellStyle name="Input 8 2 12" xfId="14236"/>
    <cellStyle name="Input 8 2 12 2" xfId="27542"/>
    <cellStyle name="Input 8 2 13" xfId="18722"/>
    <cellStyle name="Input 8 2 2" xfId="723"/>
    <cellStyle name="Input 8 2 2 10" xfId="4683"/>
    <cellStyle name="Input 8 2 2 10 2" xfId="14011"/>
    <cellStyle name="Input 8 2 2 10 2 2" xfId="27317"/>
    <cellStyle name="Input 8 2 2 10 3" xfId="18421"/>
    <cellStyle name="Input 8 2 2 10 3 2" xfId="31727"/>
    <cellStyle name="Input 8 2 2 10 4" xfId="22907"/>
    <cellStyle name="Input 8 2 2 10_Table" xfId="6376"/>
    <cellStyle name="Input 8 2 2 11" xfId="10051"/>
    <cellStyle name="Input 8 2 2 11 2" xfId="23357"/>
    <cellStyle name="Input 8 2 2 12" xfId="14461"/>
    <cellStyle name="Input 8 2 2 12 2" xfId="27767"/>
    <cellStyle name="Input 8 2 2 13" xfId="18947"/>
    <cellStyle name="Input 8 2 2 2" xfId="1509"/>
    <cellStyle name="Input 8 2 2 2 2" xfId="10837"/>
    <cellStyle name="Input 8 2 2 2 2 2" xfId="24143"/>
    <cellStyle name="Input 8 2 2 2 3" xfId="15247"/>
    <cellStyle name="Input 8 2 2 2 3 2" xfId="28553"/>
    <cellStyle name="Input 8 2 2 2 4" xfId="19733"/>
    <cellStyle name="Input 8 2 2 2_Table" xfId="6377"/>
    <cellStyle name="Input 8 2 2 3" xfId="1869"/>
    <cellStyle name="Input 8 2 2 3 2" xfId="11197"/>
    <cellStyle name="Input 8 2 2 3 2 2" xfId="24503"/>
    <cellStyle name="Input 8 2 2 3 3" xfId="15607"/>
    <cellStyle name="Input 8 2 2 3 3 2" xfId="28913"/>
    <cellStyle name="Input 8 2 2 3 4" xfId="20093"/>
    <cellStyle name="Input 8 2 2 3_Table" xfId="6378"/>
    <cellStyle name="Input 8 2 2 4" xfId="2299"/>
    <cellStyle name="Input 8 2 2 4 2" xfId="11627"/>
    <cellStyle name="Input 8 2 2 4 2 2" xfId="24933"/>
    <cellStyle name="Input 8 2 2 4 3" xfId="16037"/>
    <cellStyle name="Input 8 2 2 4 3 2" xfId="29343"/>
    <cellStyle name="Input 8 2 2 4 4" xfId="20523"/>
    <cellStyle name="Input 8 2 2 4_Table" xfId="6379"/>
    <cellStyle name="Input 8 2 2 5" xfId="2737"/>
    <cellStyle name="Input 8 2 2 5 2" xfId="12065"/>
    <cellStyle name="Input 8 2 2 5 2 2" xfId="25371"/>
    <cellStyle name="Input 8 2 2 5 3" xfId="16475"/>
    <cellStyle name="Input 8 2 2 5 3 2" xfId="29781"/>
    <cellStyle name="Input 8 2 2 5 4" xfId="20961"/>
    <cellStyle name="Input 8 2 2 5_Table" xfId="6380"/>
    <cellStyle name="Input 8 2 2 6" xfId="3144"/>
    <cellStyle name="Input 8 2 2 6 2" xfId="12472"/>
    <cellStyle name="Input 8 2 2 6 2 2" xfId="25778"/>
    <cellStyle name="Input 8 2 2 6 3" xfId="16882"/>
    <cellStyle name="Input 8 2 2 6 3 2" xfId="30188"/>
    <cellStyle name="Input 8 2 2 6 4" xfId="21368"/>
    <cellStyle name="Input 8 2 2 6_Table" xfId="6381"/>
    <cellStyle name="Input 8 2 2 7" xfId="3736"/>
    <cellStyle name="Input 8 2 2 7 2" xfId="13064"/>
    <cellStyle name="Input 8 2 2 7 2 2" xfId="26370"/>
    <cellStyle name="Input 8 2 2 7 3" xfId="17474"/>
    <cellStyle name="Input 8 2 2 7 3 2" xfId="30780"/>
    <cellStyle name="Input 8 2 2 7 4" xfId="21960"/>
    <cellStyle name="Input 8 2 2 7_Table" xfId="6382"/>
    <cellStyle name="Input 8 2 2 8" xfId="3961"/>
    <cellStyle name="Input 8 2 2 8 2" xfId="13289"/>
    <cellStyle name="Input 8 2 2 8 2 2" xfId="26595"/>
    <cellStyle name="Input 8 2 2 8 3" xfId="17699"/>
    <cellStyle name="Input 8 2 2 8 3 2" xfId="31005"/>
    <cellStyle name="Input 8 2 2 8 4" xfId="22185"/>
    <cellStyle name="Input 8 2 2 8_Table" xfId="6383"/>
    <cellStyle name="Input 8 2 2 9" xfId="4322"/>
    <cellStyle name="Input 8 2 2 9 2" xfId="13650"/>
    <cellStyle name="Input 8 2 2 9 2 2" xfId="26956"/>
    <cellStyle name="Input 8 2 2 9 3" xfId="18060"/>
    <cellStyle name="Input 8 2 2 9 3 2" xfId="31366"/>
    <cellStyle name="Input 8 2 2 9 4" xfId="22546"/>
    <cellStyle name="Input 8 2 2 9_Table" xfId="6384"/>
    <cellStyle name="Input 8 2 2_Table" xfId="6375"/>
    <cellStyle name="Input 8 2 3" xfId="1004"/>
    <cellStyle name="Input 8 2 3 2" xfId="10332"/>
    <cellStyle name="Input 8 2 3 2 2" xfId="23638"/>
    <cellStyle name="Input 8 2 3 3" xfId="14742"/>
    <cellStyle name="Input 8 2 3 3 2" xfId="28048"/>
    <cellStyle name="Input 8 2 3 4" xfId="19228"/>
    <cellStyle name="Input 8 2 3_Table" xfId="6385"/>
    <cellStyle name="Input 8 2 4" xfId="1337"/>
    <cellStyle name="Input 8 2 4 2" xfId="10665"/>
    <cellStyle name="Input 8 2 4 2 2" xfId="23971"/>
    <cellStyle name="Input 8 2 4 3" xfId="15075"/>
    <cellStyle name="Input 8 2 4 3 2" xfId="28381"/>
    <cellStyle name="Input 8 2 4 4" xfId="19561"/>
    <cellStyle name="Input 8 2 4_Table" xfId="6386"/>
    <cellStyle name="Input 8 2 5" xfId="971"/>
    <cellStyle name="Input 8 2 5 2" xfId="10299"/>
    <cellStyle name="Input 8 2 5 2 2" xfId="23605"/>
    <cellStyle name="Input 8 2 5 3" xfId="14709"/>
    <cellStyle name="Input 8 2 5 3 2" xfId="28015"/>
    <cellStyle name="Input 8 2 5 4" xfId="19195"/>
    <cellStyle name="Input 8 2 5_Table" xfId="6387"/>
    <cellStyle name="Input 8 2 6" xfId="2037"/>
    <cellStyle name="Input 8 2 6 2" xfId="11365"/>
    <cellStyle name="Input 8 2 6 2 2" xfId="24671"/>
    <cellStyle name="Input 8 2 6 3" xfId="15775"/>
    <cellStyle name="Input 8 2 6 3 2" xfId="29081"/>
    <cellStyle name="Input 8 2 6 4" xfId="20261"/>
    <cellStyle name="Input 8 2 6_Table" xfId="6388"/>
    <cellStyle name="Input 8 2 7" xfId="2467"/>
    <cellStyle name="Input 8 2 7 2" xfId="11795"/>
    <cellStyle name="Input 8 2 7 2 2" xfId="25101"/>
    <cellStyle name="Input 8 2 7 3" xfId="16205"/>
    <cellStyle name="Input 8 2 7 3 2" xfId="29511"/>
    <cellStyle name="Input 8 2 7 4" xfId="20691"/>
    <cellStyle name="Input 8 2 7_Table" xfId="6389"/>
    <cellStyle name="Input 8 2 8" xfId="3615"/>
    <cellStyle name="Input 8 2 8 2" xfId="12943"/>
    <cellStyle name="Input 8 2 8 2 2" xfId="26249"/>
    <cellStyle name="Input 8 2 8 3" xfId="17353"/>
    <cellStyle name="Input 8 2 8 3 2" xfId="30659"/>
    <cellStyle name="Input 8 2 8 4" xfId="21839"/>
    <cellStyle name="Input 8 2 8_Table" xfId="6390"/>
    <cellStyle name="Input 8 2 9" xfId="1335"/>
    <cellStyle name="Input 8 2 9 2" xfId="10663"/>
    <cellStyle name="Input 8 2 9 2 2" xfId="23969"/>
    <cellStyle name="Input 8 2 9 3" xfId="15073"/>
    <cellStyle name="Input 8 2 9 3 2" xfId="28379"/>
    <cellStyle name="Input 8 2 9 4" xfId="19559"/>
    <cellStyle name="Input 8 2 9_Table" xfId="6391"/>
    <cellStyle name="Input 8 2_Table" xfId="6373"/>
    <cellStyle name="Input 8 3" xfId="476"/>
    <cellStyle name="Input 8 3 10" xfId="4503"/>
    <cellStyle name="Input 8 3 10 2" xfId="13831"/>
    <cellStyle name="Input 8 3 10 2 2" xfId="27137"/>
    <cellStyle name="Input 8 3 10 3" xfId="18241"/>
    <cellStyle name="Input 8 3 10 3 2" xfId="31547"/>
    <cellStyle name="Input 8 3 10 4" xfId="22727"/>
    <cellStyle name="Input 8 3 10_Table" xfId="6393"/>
    <cellStyle name="Input 8 3 11" xfId="9804"/>
    <cellStyle name="Input 8 3 11 2" xfId="23177"/>
    <cellStyle name="Input 8 3 12" xfId="14281"/>
    <cellStyle name="Input 8 3 12 2" xfId="27587"/>
    <cellStyle name="Input 8 3 13" xfId="18767"/>
    <cellStyle name="Input 8 3 2" xfId="768"/>
    <cellStyle name="Input 8 3 2 10" xfId="4728"/>
    <cellStyle name="Input 8 3 2 10 2" xfId="14056"/>
    <cellStyle name="Input 8 3 2 10 2 2" xfId="27362"/>
    <cellStyle name="Input 8 3 2 10 3" xfId="18466"/>
    <cellStyle name="Input 8 3 2 10 3 2" xfId="31772"/>
    <cellStyle name="Input 8 3 2 10 4" xfId="22952"/>
    <cellStyle name="Input 8 3 2 10_Table" xfId="6395"/>
    <cellStyle name="Input 8 3 2 11" xfId="10096"/>
    <cellStyle name="Input 8 3 2 11 2" xfId="23402"/>
    <cellStyle name="Input 8 3 2 12" xfId="14506"/>
    <cellStyle name="Input 8 3 2 12 2" xfId="27812"/>
    <cellStyle name="Input 8 3 2 13" xfId="18992"/>
    <cellStyle name="Input 8 3 2 2" xfId="1554"/>
    <cellStyle name="Input 8 3 2 2 2" xfId="10882"/>
    <cellStyle name="Input 8 3 2 2 2 2" xfId="24188"/>
    <cellStyle name="Input 8 3 2 2 3" xfId="15292"/>
    <cellStyle name="Input 8 3 2 2 3 2" xfId="28598"/>
    <cellStyle name="Input 8 3 2 2 4" xfId="19778"/>
    <cellStyle name="Input 8 3 2 2_Table" xfId="6396"/>
    <cellStyle name="Input 8 3 2 3" xfId="1914"/>
    <cellStyle name="Input 8 3 2 3 2" xfId="11242"/>
    <cellStyle name="Input 8 3 2 3 2 2" xfId="24548"/>
    <cellStyle name="Input 8 3 2 3 3" xfId="15652"/>
    <cellStyle name="Input 8 3 2 3 3 2" xfId="28958"/>
    <cellStyle name="Input 8 3 2 3 4" xfId="20138"/>
    <cellStyle name="Input 8 3 2 3_Table" xfId="6397"/>
    <cellStyle name="Input 8 3 2 4" xfId="2344"/>
    <cellStyle name="Input 8 3 2 4 2" xfId="11672"/>
    <cellStyle name="Input 8 3 2 4 2 2" xfId="24978"/>
    <cellStyle name="Input 8 3 2 4 3" xfId="16082"/>
    <cellStyle name="Input 8 3 2 4 3 2" xfId="29388"/>
    <cellStyle name="Input 8 3 2 4 4" xfId="20568"/>
    <cellStyle name="Input 8 3 2 4_Table" xfId="6398"/>
    <cellStyle name="Input 8 3 2 5" xfId="2782"/>
    <cellStyle name="Input 8 3 2 5 2" xfId="12110"/>
    <cellStyle name="Input 8 3 2 5 2 2" xfId="25416"/>
    <cellStyle name="Input 8 3 2 5 3" xfId="16520"/>
    <cellStyle name="Input 8 3 2 5 3 2" xfId="29826"/>
    <cellStyle name="Input 8 3 2 5 4" xfId="21006"/>
    <cellStyle name="Input 8 3 2 5_Table" xfId="6399"/>
    <cellStyle name="Input 8 3 2 6" xfId="3189"/>
    <cellStyle name="Input 8 3 2 6 2" xfId="12517"/>
    <cellStyle name="Input 8 3 2 6 2 2" xfId="25823"/>
    <cellStyle name="Input 8 3 2 6 3" xfId="16927"/>
    <cellStyle name="Input 8 3 2 6 3 2" xfId="30233"/>
    <cellStyle name="Input 8 3 2 6 4" xfId="21413"/>
    <cellStyle name="Input 8 3 2 6_Table" xfId="6400"/>
    <cellStyle name="Input 8 3 2 7" xfId="3781"/>
    <cellStyle name="Input 8 3 2 7 2" xfId="13109"/>
    <cellStyle name="Input 8 3 2 7 2 2" xfId="26415"/>
    <cellStyle name="Input 8 3 2 7 3" xfId="17519"/>
    <cellStyle name="Input 8 3 2 7 3 2" xfId="30825"/>
    <cellStyle name="Input 8 3 2 7 4" xfId="22005"/>
    <cellStyle name="Input 8 3 2 7_Table" xfId="6401"/>
    <cellStyle name="Input 8 3 2 8" xfId="4006"/>
    <cellStyle name="Input 8 3 2 8 2" xfId="13334"/>
    <cellStyle name="Input 8 3 2 8 2 2" xfId="26640"/>
    <cellStyle name="Input 8 3 2 8 3" xfId="17744"/>
    <cellStyle name="Input 8 3 2 8 3 2" xfId="31050"/>
    <cellStyle name="Input 8 3 2 8 4" xfId="22230"/>
    <cellStyle name="Input 8 3 2 8_Table" xfId="6402"/>
    <cellStyle name="Input 8 3 2 9" xfId="4367"/>
    <cellStyle name="Input 8 3 2 9 2" xfId="13695"/>
    <cellStyle name="Input 8 3 2 9 2 2" xfId="27001"/>
    <cellStyle name="Input 8 3 2 9 3" xfId="18105"/>
    <cellStyle name="Input 8 3 2 9 3 2" xfId="31411"/>
    <cellStyle name="Input 8 3 2 9 4" xfId="22591"/>
    <cellStyle name="Input 8 3 2 9_Table" xfId="6403"/>
    <cellStyle name="Input 8 3 2_Table" xfId="6394"/>
    <cellStyle name="Input 8 3 3" xfId="938"/>
    <cellStyle name="Input 8 3 3 2" xfId="10266"/>
    <cellStyle name="Input 8 3 3 2 2" xfId="23572"/>
    <cellStyle name="Input 8 3 3 3" xfId="14676"/>
    <cellStyle name="Input 8 3 3 3 2" xfId="27982"/>
    <cellStyle name="Input 8 3 3 4" xfId="19162"/>
    <cellStyle name="Input 8 3 3_Table" xfId="6404"/>
    <cellStyle name="Input 8 3 4" xfId="2067"/>
    <cellStyle name="Input 8 3 4 2" xfId="11395"/>
    <cellStyle name="Input 8 3 4 2 2" xfId="24701"/>
    <cellStyle name="Input 8 3 4 3" xfId="15805"/>
    <cellStyle name="Input 8 3 4 3 2" xfId="29111"/>
    <cellStyle name="Input 8 3 4 4" xfId="20291"/>
    <cellStyle name="Input 8 3 4_Table" xfId="6405"/>
    <cellStyle name="Input 8 3 5" xfId="2499"/>
    <cellStyle name="Input 8 3 5 2" xfId="11827"/>
    <cellStyle name="Input 8 3 5 2 2" xfId="25133"/>
    <cellStyle name="Input 8 3 5 3" xfId="16237"/>
    <cellStyle name="Input 8 3 5 3 2" xfId="29543"/>
    <cellStyle name="Input 8 3 5 4" xfId="20723"/>
    <cellStyle name="Input 8 3 5_Table" xfId="6406"/>
    <cellStyle name="Input 8 3 6" xfId="2928"/>
    <cellStyle name="Input 8 3 6 2" xfId="12256"/>
    <cellStyle name="Input 8 3 6 2 2" xfId="25562"/>
    <cellStyle name="Input 8 3 6 3" xfId="16666"/>
    <cellStyle name="Input 8 3 6 3 2" xfId="29972"/>
    <cellStyle name="Input 8 3 6 4" xfId="21152"/>
    <cellStyle name="Input 8 3 6_Table" xfId="6407"/>
    <cellStyle name="Input 8 3 7" xfId="3340"/>
    <cellStyle name="Input 8 3 7 2" xfId="12668"/>
    <cellStyle name="Input 8 3 7 2 2" xfId="25974"/>
    <cellStyle name="Input 8 3 7 3" xfId="17078"/>
    <cellStyle name="Input 8 3 7 3 2" xfId="30384"/>
    <cellStyle name="Input 8 3 7 4" xfId="21564"/>
    <cellStyle name="Input 8 3 7_Table" xfId="6408"/>
    <cellStyle name="Input 8 3 8" xfId="3440"/>
    <cellStyle name="Input 8 3 8 2" xfId="12768"/>
    <cellStyle name="Input 8 3 8 2 2" xfId="26074"/>
    <cellStyle name="Input 8 3 8 3" xfId="17178"/>
    <cellStyle name="Input 8 3 8 3 2" xfId="30484"/>
    <cellStyle name="Input 8 3 8 4" xfId="21664"/>
    <cellStyle name="Input 8 3 8_Table" xfId="6409"/>
    <cellStyle name="Input 8 3 9" xfId="4142"/>
    <cellStyle name="Input 8 3 9 2" xfId="13470"/>
    <cellStyle name="Input 8 3 9 2 2" xfId="26776"/>
    <cellStyle name="Input 8 3 9 3" xfId="17880"/>
    <cellStyle name="Input 8 3 9 3 2" xfId="31186"/>
    <cellStyle name="Input 8 3 9 4" xfId="22366"/>
    <cellStyle name="Input 8 3 9_Table" xfId="6410"/>
    <cellStyle name="Input 8 3_Table" xfId="6392"/>
    <cellStyle name="Input 8 4" xfId="540"/>
    <cellStyle name="Input 8 4 10" xfId="4548"/>
    <cellStyle name="Input 8 4 10 2" xfId="13876"/>
    <cellStyle name="Input 8 4 10 2 2" xfId="27182"/>
    <cellStyle name="Input 8 4 10 3" xfId="18286"/>
    <cellStyle name="Input 8 4 10 3 2" xfId="31592"/>
    <cellStyle name="Input 8 4 10 4" xfId="22772"/>
    <cellStyle name="Input 8 4 10_Table" xfId="6412"/>
    <cellStyle name="Input 8 4 11" xfId="9868"/>
    <cellStyle name="Input 8 4 11 2" xfId="23222"/>
    <cellStyle name="Input 8 4 12" xfId="14326"/>
    <cellStyle name="Input 8 4 12 2" xfId="27632"/>
    <cellStyle name="Input 8 4 13" xfId="18812"/>
    <cellStyle name="Input 8 4 2" xfId="813"/>
    <cellStyle name="Input 8 4 2 10" xfId="4773"/>
    <cellStyle name="Input 8 4 2 10 2" xfId="14101"/>
    <cellStyle name="Input 8 4 2 10 2 2" xfId="27407"/>
    <cellStyle name="Input 8 4 2 10 3" xfId="18511"/>
    <cellStyle name="Input 8 4 2 10 3 2" xfId="31817"/>
    <cellStyle name="Input 8 4 2 10 4" xfId="22997"/>
    <cellStyle name="Input 8 4 2 10_Table" xfId="6414"/>
    <cellStyle name="Input 8 4 2 11" xfId="10141"/>
    <cellStyle name="Input 8 4 2 11 2" xfId="23447"/>
    <cellStyle name="Input 8 4 2 12" xfId="14551"/>
    <cellStyle name="Input 8 4 2 12 2" xfId="27857"/>
    <cellStyle name="Input 8 4 2 13" xfId="19037"/>
    <cellStyle name="Input 8 4 2 2" xfId="1599"/>
    <cellStyle name="Input 8 4 2 2 2" xfId="10927"/>
    <cellStyle name="Input 8 4 2 2 2 2" xfId="24233"/>
    <cellStyle name="Input 8 4 2 2 3" xfId="15337"/>
    <cellStyle name="Input 8 4 2 2 3 2" xfId="28643"/>
    <cellStyle name="Input 8 4 2 2 4" xfId="19823"/>
    <cellStyle name="Input 8 4 2 2_Table" xfId="6415"/>
    <cellStyle name="Input 8 4 2 3" xfId="1959"/>
    <cellStyle name="Input 8 4 2 3 2" xfId="11287"/>
    <cellStyle name="Input 8 4 2 3 2 2" xfId="24593"/>
    <cellStyle name="Input 8 4 2 3 3" xfId="15697"/>
    <cellStyle name="Input 8 4 2 3 3 2" xfId="29003"/>
    <cellStyle name="Input 8 4 2 3 4" xfId="20183"/>
    <cellStyle name="Input 8 4 2 3_Table" xfId="6416"/>
    <cellStyle name="Input 8 4 2 4" xfId="2389"/>
    <cellStyle name="Input 8 4 2 4 2" xfId="11717"/>
    <cellStyle name="Input 8 4 2 4 2 2" xfId="25023"/>
    <cellStyle name="Input 8 4 2 4 3" xfId="16127"/>
    <cellStyle name="Input 8 4 2 4 3 2" xfId="29433"/>
    <cellStyle name="Input 8 4 2 4 4" xfId="20613"/>
    <cellStyle name="Input 8 4 2 4_Table" xfId="6417"/>
    <cellStyle name="Input 8 4 2 5" xfId="2827"/>
    <cellStyle name="Input 8 4 2 5 2" xfId="12155"/>
    <cellStyle name="Input 8 4 2 5 2 2" xfId="25461"/>
    <cellStyle name="Input 8 4 2 5 3" xfId="16565"/>
    <cellStyle name="Input 8 4 2 5 3 2" xfId="29871"/>
    <cellStyle name="Input 8 4 2 5 4" xfId="21051"/>
    <cellStyle name="Input 8 4 2 5_Table" xfId="6418"/>
    <cellStyle name="Input 8 4 2 6" xfId="3234"/>
    <cellStyle name="Input 8 4 2 6 2" xfId="12562"/>
    <cellStyle name="Input 8 4 2 6 2 2" xfId="25868"/>
    <cellStyle name="Input 8 4 2 6 3" xfId="16972"/>
    <cellStyle name="Input 8 4 2 6 3 2" xfId="30278"/>
    <cellStyle name="Input 8 4 2 6 4" xfId="21458"/>
    <cellStyle name="Input 8 4 2 6_Table" xfId="6419"/>
    <cellStyle name="Input 8 4 2 7" xfId="3826"/>
    <cellStyle name="Input 8 4 2 7 2" xfId="13154"/>
    <cellStyle name="Input 8 4 2 7 2 2" xfId="26460"/>
    <cellStyle name="Input 8 4 2 7 3" xfId="17564"/>
    <cellStyle name="Input 8 4 2 7 3 2" xfId="30870"/>
    <cellStyle name="Input 8 4 2 7 4" xfId="22050"/>
    <cellStyle name="Input 8 4 2 7_Table" xfId="6420"/>
    <cellStyle name="Input 8 4 2 8" xfId="4051"/>
    <cellStyle name="Input 8 4 2 8 2" xfId="13379"/>
    <cellStyle name="Input 8 4 2 8 2 2" xfId="26685"/>
    <cellStyle name="Input 8 4 2 8 3" xfId="17789"/>
    <cellStyle name="Input 8 4 2 8 3 2" xfId="31095"/>
    <cellStyle name="Input 8 4 2 8 4" xfId="22275"/>
    <cellStyle name="Input 8 4 2 8_Table" xfId="6421"/>
    <cellStyle name="Input 8 4 2 9" xfId="4412"/>
    <cellStyle name="Input 8 4 2 9 2" xfId="13740"/>
    <cellStyle name="Input 8 4 2 9 2 2" xfId="27046"/>
    <cellStyle name="Input 8 4 2 9 3" xfId="18150"/>
    <cellStyle name="Input 8 4 2 9 3 2" xfId="31456"/>
    <cellStyle name="Input 8 4 2 9 4" xfId="22636"/>
    <cellStyle name="Input 8 4 2 9_Table" xfId="6422"/>
    <cellStyle name="Input 8 4 2_Table" xfId="6413"/>
    <cellStyle name="Input 8 4 3" xfId="1692"/>
    <cellStyle name="Input 8 4 3 2" xfId="11020"/>
    <cellStyle name="Input 8 4 3 2 2" xfId="24326"/>
    <cellStyle name="Input 8 4 3 3" xfId="15430"/>
    <cellStyle name="Input 8 4 3 3 2" xfId="28736"/>
    <cellStyle name="Input 8 4 3 4" xfId="19916"/>
    <cellStyle name="Input 8 4 3_Table" xfId="6423"/>
    <cellStyle name="Input 8 4 4" xfId="2126"/>
    <cellStyle name="Input 8 4 4 2" xfId="11454"/>
    <cellStyle name="Input 8 4 4 2 2" xfId="24760"/>
    <cellStyle name="Input 8 4 4 3" xfId="15864"/>
    <cellStyle name="Input 8 4 4 3 2" xfId="29170"/>
    <cellStyle name="Input 8 4 4 4" xfId="20350"/>
    <cellStyle name="Input 8 4 4_Table" xfId="6424"/>
    <cellStyle name="Input 8 4 5" xfId="2558"/>
    <cellStyle name="Input 8 4 5 2" xfId="11886"/>
    <cellStyle name="Input 8 4 5 2 2" xfId="25192"/>
    <cellStyle name="Input 8 4 5 3" xfId="16296"/>
    <cellStyle name="Input 8 4 5 3 2" xfId="29602"/>
    <cellStyle name="Input 8 4 5 4" xfId="20782"/>
    <cellStyle name="Input 8 4 5_Table" xfId="6425"/>
    <cellStyle name="Input 8 4 6" xfId="2985"/>
    <cellStyle name="Input 8 4 6 2" xfId="12313"/>
    <cellStyle name="Input 8 4 6 2 2" xfId="25619"/>
    <cellStyle name="Input 8 4 6 3" xfId="16723"/>
    <cellStyle name="Input 8 4 6 3 2" xfId="30029"/>
    <cellStyle name="Input 8 4 6 4" xfId="21209"/>
    <cellStyle name="Input 8 4 6_Table" xfId="6426"/>
    <cellStyle name="Input 8 4 7" xfId="3398"/>
    <cellStyle name="Input 8 4 7 2" xfId="12726"/>
    <cellStyle name="Input 8 4 7 2 2" xfId="26032"/>
    <cellStyle name="Input 8 4 7 3" xfId="17136"/>
    <cellStyle name="Input 8 4 7 3 2" xfId="30442"/>
    <cellStyle name="Input 8 4 7 4" xfId="21622"/>
    <cellStyle name="Input 8 4 7_Table" xfId="6427"/>
    <cellStyle name="Input 8 4 8" xfId="3527"/>
    <cellStyle name="Input 8 4 8 2" xfId="12855"/>
    <cellStyle name="Input 8 4 8 2 2" xfId="26161"/>
    <cellStyle name="Input 8 4 8 3" xfId="17265"/>
    <cellStyle name="Input 8 4 8 3 2" xfId="30571"/>
    <cellStyle name="Input 8 4 8 4" xfId="21751"/>
    <cellStyle name="Input 8 4 8_Table" xfId="6428"/>
    <cellStyle name="Input 8 4 9" xfId="4187"/>
    <cellStyle name="Input 8 4 9 2" xfId="13515"/>
    <cellStyle name="Input 8 4 9 2 2" xfId="26821"/>
    <cellStyle name="Input 8 4 9 3" xfId="17925"/>
    <cellStyle name="Input 8 4 9 3 2" xfId="31231"/>
    <cellStyle name="Input 8 4 9 4" xfId="22411"/>
    <cellStyle name="Input 8 4 9_Table" xfId="6429"/>
    <cellStyle name="Input 8 4_Table" xfId="6411"/>
    <cellStyle name="Input 8 5" xfId="615"/>
    <cellStyle name="Input 8 5 10" xfId="4593"/>
    <cellStyle name="Input 8 5 10 2" xfId="13921"/>
    <cellStyle name="Input 8 5 10 2 2" xfId="27227"/>
    <cellStyle name="Input 8 5 10 3" xfId="18331"/>
    <cellStyle name="Input 8 5 10 3 2" xfId="31637"/>
    <cellStyle name="Input 8 5 10 4" xfId="22817"/>
    <cellStyle name="Input 8 5 10_Table" xfId="6431"/>
    <cellStyle name="Input 8 5 11" xfId="9943"/>
    <cellStyle name="Input 8 5 11 2" xfId="23267"/>
    <cellStyle name="Input 8 5 12" xfId="14371"/>
    <cellStyle name="Input 8 5 12 2" xfId="27677"/>
    <cellStyle name="Input 8 5 13" xfId="18857"/>
    <cellStyle name="Input 8 5 2" xfId="858"/>
    <cellStyle name="Input 8 5 2 10" xfId="4818"/>
    <cellStyle name="Input 8 5 2 10 2" xfId="14146"/>
    <cellStyle name="Input 8 5 2 10 2 2" xfId="27452"/>
    <cellStyle name="Input 8 5 2 10 3" xfId="18556"/>
    <cellStyle name="Input 8 5 2 10 3 2" xfId="31862"/>
    <cellStyle name="Input 8 5 2 10 4" xfId="23042"/>
    <cellStyle name="Input 8 5 2 10_Table" xfId="6433"/>
    <cellStyle name="Input 8 5 2 11" xfId="10186"/>
    <cellStyle name="Input 8 5 2 11 2" xfId="23492"/>
    <cellStyle name="Input 8 5 2 12" xfId="14596"/>
    <cellStyle name="Input 8 5 2 12 2" xfId="27902"/>
    <cellStyle name="Input 8 5 2 13" xfId="19082"/>
    <cellStyle name="Input 8 5 2 2" xfId="1644"/>
    <cellStyle name="Input 8 5 2 2 2" xfId="10972"/>
    <cellStyle name="Input 8 5 2 2 2 2" xfId="24278"/>
    <cellStyle name="Input 8 5 2 2 3" xfId="15382"/>
    <cellStyle name="Input 8 5 2 2 3 2" xfId="28688"/>
    <cellStyle name="Input 8 5 2 2 4" xfId="19868"/>
    <cellStyle name="Input 8 5 2 2_Table" xfId="6434"/>
    <cellStyle name="Input 8 5 2 3" xfId="2004"/>
    <cellStyle name="Input 8 5 2 3 2" xfId="11332"/>
    <cellStyle name="Input 8 5 2 3 2 2" xfId="24638"/>
    <cellStyle name="Input 8 5 2 3 3" xfId="15742"/>
    <cellStyle name="Input 8 5 2 3 3 2" xfId="29048"/>
    <cellStyle name="Input 8 5 2 3 4" xfId="20228"/>
    <cellStyle name="Input 8 5 2 3_Table" xfId="6435"/>
    <cellStyle name="Input 8 5 2 4" xfId="2434"/>
    <cellStyle name="Input 8 5 2 4 2" xfId="11762"/>
    <cellStyle name="Input 8 5 2 4 2 2" xfId="25068"/>
    <cellStyle name="Input 8 5 2 4 3" xfId="16172"/>
    <cellStyle name="Input 8 5 2 4 3 2" xfId="29478"/>
    <cellStyle name="Input 8 5 2 4 4" xfId="20658"/>
    <cellStyle name="Input 8 5 2 4_Table" xfId="6436"/>
    <cellStyle name="Input 8 5 2 5" xfId="2872"/>
    <cellStyle name="Input 8 5 2 5 2" xfId="12200"/>
    <cellStyle name="Input 8 5 2 5 2 2" xfId="25506"/>
    <cellStyle name="Input 8 5 2 5 3" xfId="16610"/>
    <cellStyle name="Input 8 5 2 5 3 2" xfId="29916"/>
    <cellStyle name="Input 8 5 2 5 4" xfId="21096"/>
    <cellStyle name="Input 8 5 2 5_Table" xfId="6437"/>
    <cellStyle name="Input 8 5 2 6" xfId="3279"/>
    <cellStyle name="Input 8 5 2 6 2" xfId="12607"/>
    <cellStyle name="Input 8 5 2 6 2 2" xfId="25913"/>
    <cellStyle name="Input 8 5 2 6 3" xfId="17017"/>
    <cellStyle name="Input 8 5 2 6 3 2" xfId="30323"/>
    <cellStyle name="Input 8 5 2 6 4" xfId="21503"/>
    <cellStyle name="Input 8 5 2 6_Table" xfId="6438"/>
    <cellStyle name="Input 8 5 2 7" xfId="3871"/>
    <cellStyle name="Input 8 5 2 7 2" xfId="13199"/>
    <cellStyle name="Input 8 5 2 7 2 2" xfId="26505"/>
    <cellStyle name="Input 8 5 2 7 3" xfId="17609"/>
    <cellStyle name="Input 8 5 2 7 3 2" xfId="30915"/>
    <cellStyle name="Input 8 5 2 7 4" xfId="22095"/>
    <cellStyle name="Input 8 5 2 7_Table" xfId="6439"/>
    <cellStyle name="Input 8 5 2 8" xfId="4096"/>
    <cellStyle name="Input 8 5 2 8 2" xfId="13424"/>
    <cellStyle name="Input 8 5 2 8 2 2" xfId="26730"/>
    <cellStyle name="Input 8 5 2 8 3" xfId="17834"/>
    <cellStyle name="Input 8 5 2 8 3 2" xfId="31140"/>
    <cellStyle name="Input 8 5 2 8 4" xfId="22320"/>
    <cellStyle name="Input 8 5 2 8_Table" xfId="6440"/>
    <cellStyle name="Input 8 5 2 9" xfId="4457"/>
    <cellStyle name="Input 8 5 2 9 2" xfId="13785"/>
    <cellStyle name="Input 8 5 2 9 2 2" xfId="27091"/>
    <cellStyle name="Input 8 5 2 9 3" xfId="18195"/>
    <cellStyle name="Input 8 5 2 9 3 2" xfId="31501"/>
    <cellStyle name="Input 8 5 2 9 4" xfId="22681"/>
    <cellStyle name="Input 8 5 2 9_Table" xfId="6441"/>
    <cellStyle name="Input 8 5 2_Table" xfId="6432"/>
    <cellStyle name="Input 8 5 3" xfId="1762"/>
    <cellStyle name="Input 8 5 3 2" xfId="11090"/>
    <cellStyle name="Input 8 5 3 2 2" xfId="24396"/>
    <cellStyle name="Input 8 5 3 3" xfId="15500"/>
    <cellStyle name="Input 8 5 3 3 2" xfId="28806"/>
    <cellStyle name="Input 8 5 3 4" xfId="19986"/>
    <cellStyle name="Input 8 5 3_Table" xfId="6442"/>
    <cellStyle name="Input 8 5 4" xfId="2195"/>
    <cellStyle name="Input 8 5 4 2" xfId="11523"/>
    <cellStyle name="Input 8 5 4 2 2" xfId="24829"/>
    <cellStyle name="Input 8 5 4 3" xfId="15933"/>
    <cellStyle name="Input 8 5 4 3 2" xfId="29239"/>
    <cellStyle name="Input 8 5 4 4" xfId="20419"/>
    <cellStyle name="Input 8 5 4_Table" xfId="6443"/>
    <cellStyle name="Input 8 5 5" xfId="2630"/>
    <cellStyle name="Input 8 5 5 2" xfId="11958"/>
    <cellStyle name="Input 8 5 5 2 2" xfId="25264"/>
    <cellStyle name="Input 8 5 5 3" xfId="16368"/>
    <cellStyle name="Input 8 5 5 3 2" xfId="29674"/>
    <cellStyle name="Input 8 5 5 4" xfId="20854"/>
    <cellStyle name="Input 8 5 5_Table" xfId="6444"/>
    <cellStyle name="Input 8 5 6" xfId="3043"/>
    <cellStyle name="Input 8 5 6 2" xfId="12371"/>
    <cellStyle name="Input 8 5 6 2 2" xfId="25677"/>
    <cellStyle name="Input 8 5 6 3" xfId="16781"/>
    <cellStyle name="Input 8 5 6 3 2" xfId="30087"/>
    <cellStyle name="Input 8 5 6 4" xfId="21267"/>
    <cellStyle name="Input 8 5 6_Table" xfId="6445"/>
    <cellStyle name="Input 8 5 7" xfId="3469"/>
    <cellStyle name="Input 8 5 7 2" xfId="12797"/>
    <cellStyle name="Input 8 5 7 2 2" xfId="26103"/>
    <cellStyle name="Input 8 5 7 3" xfId="17207"/>
    <cellStyle name="Input 8 5 7 3 2" xfId="30513"/>
    <cellStyle name="Input 8 5 7 4" xfId="21693"/>
    <cellStyle name="Input 8 5 7_Table" xfId="6446"/>
    <cellStyle name="Input 8 5 8" xfId="2539"/>
    <cellStyle name="Input 8 5 8 2" xfId="11867"/>
    <cellStyle name="Input 8 5 8 2 2" xfId="25173"/>
    <cellStyle name="Input 8 5 8 3" xfId="16277"/>
    <cellStyle name="Input 8 5 8 3 2" xfId="29583"/>
    <cellStyle name="Input 8 5 8 4" xfId="20763"/>
    <cellStyle name="Input 8 5 8_Table" xfId="6447"/>
    <cellStyle name="Input 8 5 9" xfId="4232"/>
    <cellStyle name="Input 8 5 9 2" xfId="13560"/>
    <cellStyle name="Input 8 5 9 2 2" xfId="26866"/>
    <cellStyle name="Input 8 5 9 3" xfId="17970"/>
    <cellStyle name="Input 8 5 9 3 2" xfId="31276"/>
    <cellStyle name="Input 8 5 9 4" xfId="22456"/>
    <cellStyle name="Input 8 5 9_Table" xfId="6448"/>
    <cellStyle name="Input 8 5_Table" xfId="6430"/>
    <cellStyle name="Input 8 6" xfId="678"/>
    <cellStyle name="Input 8 6 10" xfId="4638"/>
    <cellStyle name="Input 8 6 10 2" xfId="13966"/>
    <cellStyle name="Input 8 6 10 2 2" xfId="27272"/>
    <cellStyle name="Input 8 6 10 3" xfId="18376"/>
    <cellStyle name="Input 8 6 10 3 2" xfId="31682"/>
    <cellStyle name="Input 8 6 10 4" xfId="22862"/>
    <cellStyle name="Input 8 6 10_Table" xfId="6450"/>
    <cellStyle name="Input 8 6 11" xfId="10006"/>
    <cellStyle name="Input 8 6 11 2" xfId="23312"/>
    <cellStyle name="Input 8 6 12" xfId="14416"/>
    <cellStyle name="Input 8 6 12 2" xfId="27722"/>
    <cellStyle name="Input 8 6 13" xfId="18902"/>
    <cellStyle name="Input 8 6 2" xfId="1464"/>
    <cellStyle name="Input 8 6 2 2" xfId="10792"/>
    <cellStyle name="Input 8 6 2 2 2" xfId="24098"/>
    <cellStyle name="Input 8 6 2 3" xfId="15202"/>
    <cellStyle name="Input 8 6 2 3 2" xfId="28508"/>
    <cellStyle name="Input 8 6 2 4" xfId="19688"/>
    <cellStyle name="Input 8 6 2_Table" xfId="6451"/>
    <cellStyle name="Input 8 6 3" xfId="1824"/>
    <cellStyle name="Input 8 6 3 2" xfId="11152"/>
    <cellStyle name="Input 8 6 3 2 2" xfId="24458"/>
    <cellStyle name="Input 8 6 3 3" xfId="15562"/>
    <cellStyle name="Input 8 6 3 3 2" xfId="28868"/>
    <cellStyle name="Input 8 6 3 4" xfId="20048"/>
    <cellStyle name="Input 8 6 3_Table" xfId="6452"/>
    <cellStyle name="Input 8 6 4" xfId="2254"/>
    <cellStyle name="Input 8 6 4 2" xfId="11582"/>
    <cellStyle name="Input 8 6 4 2 2" xfId="24888"/>
    <cellStyle name="Input 8 6 4 3" xfId="15992"/>
    <cellStyle name="Input 8 6 4 3 2" xfId="29298"/>
    <cellStyle name="Input 8 6 4 4" xfId="20478"/>
    <cellStyle name="Input 8 6 4_Table" xfId="6453"/>
    <cellStyle name="Input 8 6 5" xfId="2692"/>
    <cellStyle name="Input 8 6 5 2" xfId="12020"/>
    <cellStyle name="Input 8 6 5 2 2" xfId="25326"/>
    <cellStyle name="Input 8 6 5 3" xfId="16430"/>
    <cellStyle name="Input 8 6 5 3 2" xfId="29736"/>
    <cellStyle name="Input 8 6 5 4" xfId="20916"/>
    <cellStyle name="Input 8 6 5_Table" xfId="6454"/>
    <cellStyle name="Input 8 6 6" xfId="3099"/>
    <cellStyle name="Input 8 6 6 2" xfId="12427"/>
    <cellStyle name="Input 8 6 6 2 2" xfId="25733"/>
    <cellStyle name="Input 8 6 6 3" xfId="16837"/>
    <cellStyle name="Input 8 6 6 3 2" xfId="30143"/>
    <cellStyle name="Input 8 6 6 4" xfId="21323"/>
    <cellStyle name="Input 8 6 6_Table" xfId="6455"/>
    <cellStyle name="Input 8 6 7" xfId="3691"/>
    <cellStyle name="Input 8 6 7 2" xfId="13019"/>
    <cellStyle name="Input 8 6 7 2 2" xfId="26325"/>
    <cellStyle name="Input 8 6 7 3" xfId="17429"/>
    <cellStyle name="Input 8 6 7 3 2" xfId="30735"/>
    <cellStyle name="Input 8 6 7 4" xfId="21915"/>
    <cellStyle name="Input 8 6 7_Table" xfId="6456"/>
    <cellStyle name="Input 8 6 8" xfId="3916"/>
    <cellStyle name="Input 8 6 8 2" xfId="13244"/>
    <cellStyle name="Input 8 6 8 2 2" xfId="26550"/>
    <cellStyle name="Input 8 6 8 3" xfId="17654"/>
    <cellStyle name="Input 8 6 8 3 2" xfId="30960"/>
    <cellStyle name="Input 8 6 8 4" xfId="22140"/>
    <cellStyle name="Input 8 6 8_Table" xfId="6457"/>
    <cellStyle name="Input 8 6 9" xfId="4277"/>
    <cellStyle name="Input 8 6 9 2" xfId="13605"/>
    <cellStyle name="Input 8 6 9 2 2" xfId="26911"/>
    <cellStyle name="Input 8 6 9 3" xfId="18015"/>
    <cellStyle name="Input 8 6 9 3 2" xfId="31321"/>
    <cellStyle name="Input 8 6 9 4" xfId="22501"/>
    <cellStyle name="Input 8 6 9_Table" xfId="6458"/>
    <cellStyle name="Input 8 6_Table" xfId="6449"/>
    <cellStyle name="Input 8 7" xfId="1087"/>
    <cellStyle name="Input 8 7 2" xfId="10415"/>
    <cellStyle name="Input 8 7 2 2" xfId="23721"/>
    <cellStyle name="Input 8 7 3" xfId="14825"/>
    <cellStyle name="Input 8 7 3 2" xfId="28131"/>
    <cellStyle name="Input 8 7 4" xfId="19311"/>
    <cellStyle name="Input 8 7_Table" xfId="6459"/>
    <cellStyle name="Input 8 8" xfId="1165"/>
    <cellStyle name="Input 8 8 2" xfId="10493"/>
    <cellStyle name="Input 8 8 2 2" xfId="23799"/>
    <cellStyle name="Input 8 8 3" xfId="14903"/>
    <cellStyle name="Input 8 8 3 2" xfId="28209"/>
    <cellStyle name="Input 8 8 4" xfId="19389"/>
    <cellStyle name="Input 8 8_Table" xfId="6460"/>
    <cellStyle name="Input 8 9" xfId="1077"/>
    <cellStyle name="Input 8 9 2" xfId="10405"/>
    <cellStyle name="Input 8 9 2 2" xfId="23711"/>
    <cellStyle name="Input 8 9 3" xfId="14815"/>
    <cellStyle name="Input 8 9 3 2" xfId="28121"/>
    <cellStyle name="Input 8 9 4" xfId="19301"/>
    <cellStyle name="Input 8 9_Table" xfId="6461"/>
    <cellStyle name="Input 8_Table" xfId="6367"/>
    <cellStyle name="Input 9" xfId="315"/>
    <cellStyle name="Input 9 10" xfId="1260"/>
    <cellStyle name="Input 9 10 2" xfId="10588"/>
    <cellStyle name="Input 9 10 2 2" xfId="23894"/>
    <cellStyle name="Input 9 10 3" xfId="14998"/>
    <cellStyle name="Input 9 10 3 2" xfId="28304"/>
    <cellStyle name="Input 9 10 4" xfId="19484"/>
    <cellStyle name="Input 9 10_Table" xfId="6463"/>
    <cellStyle name="Input 9 11" xfId="1736"/>
    <cellStyle name="Input 9 11 2" xfId="11064"/>
    <cellStyle name="Input 9 11 2 2" xfId="24370"/>
    <cellStyle name="Input 9 11 3" xfId="15474"/>
    <cellStyle name="Input 9 11 3 2" xfId="28780"/>
    <cellStyle name="Input 9 11 4" xfId="19960"/>
    <cellStyle name="Input 9 11_Table" xfId="6464"/>
    <cellStyle name="Input 9 12" xfId="3581"/>
    <cellStyle name="Input 9 12 2" xfId="12909"/>
    <cellStyle name="Input 9 12 2 2" xfId="26215"/>
    <cellStyle name="Input 9 12 3" xfId="17319"/>
    <cellStyle name="Input 9 12 3 2" xfId="30625"/>
    <cellStyle name="Input 9 12 4" xfId="21805"/>
    <cellStyle name="Input 9 12_Table" xfId="6465"/>
    <cellStyle name="Input 9 13" xfId="3016"/>
    <cellStyle name="Input 9 13 2" xfId="12344"/>
    <cellStyle name="Input 9 13 2 2" xfId="25650"/>
    <cellStyle name="Input 9 13 3" xfId="16754"/>
    <cellStyle name="Input 9 13 3 2" xfId="30060"/>
    <cellStyle name="Input 9 13 4" xfId="21240"/>
    <cellStyle name="Input 9 13_Table" xfId="6466"/>
    <cellStyle name="Input 9 14" xfId="3586"/>
    <cellStyle name="Input 9 14 2" xfId="12914"/>
    <cellStyle name="Input 9 14 2 2" xfId="26220"/>
    <cellStyle name="Input 9 14 3" xfId="17324"/>
    <cellStyle name="Input 9 14 3 2" xfId="30630"/>
    <cellStyle name="Input 9 14 4" xfId="21810"/>
    <cellStyle name="Input 9 14_Table" xfId="6467"/>
    <cellStyle name="Input 9 15" xfId="9643"/>
    <cellStyle name="Input 9 15 2" xfId="23088"/>
    <cellStyle name="Input 9 16" xfId="14192"/>
    <cellStyle name="Input 9 16 2" xfId="27498"/>
    <cellStyle name="Input 9 17" xfId="18678"/>
    <cellStyle name="Input 9 2" xfId="409"/>
    <cellStyle name="Input 9 2 10" xfId="2098"/>
    <cellStyle name="Input 9 2 10 2" xfId="11426"/>
    <cellStyle name="Input 9 2 10 2 2" xfId="24732"/>
    <cellStyle name="Input 9 2 10 3" xfId="15836"/>
    <cellStyle name="Input 9 2 10 3 2" xfId="29142"/>
    <cellStyle name="Input 9 2 10 4" xfId="20322"/>
    <cellStyle name="Input 9 2 10_Table" xfId="6469"/>
    <cellStyle name="Input 9 2 11" xfId="9737"/>
    <cellStyle name="Input 9 2 11 2" xfId="23133"/>
    <cellStyle name="Input 9 2 12" xfId="14237"/>
    <cellStyle name="Input 9 2 12 2" xfId="27543"/>
    <cellStyle name="Input 9 2 13" xfId="18723"/>
    <cellStyle name="Input 9 2 2" xfId="724"/>
    <cellStyle name="Input 9 2 2 10" xfId="4684"/>
    <cellStyle name="Input 9 2 2 10 2" xfId="14012"/>
    <cellStyle name="Input 9 2 2 10 2 2" xfId="27318"/>
    <cellStyle name="Input 9 2 2 10 3" xfId="18422"/>
    <cellStyle name="Input 9 2 2 10 3 2" xfId="31728"/>
    <cellStyle name="Input 9 2 2 10 4" xfId="22908"/>
    <cellStyle name="Input 9 2 2 10_Table" xfId="6471"/>
    <cellStyle name="Input 9 2 2 11" xfId="10052"/>
    <cellStyle name="Input 9 2 2 11 2" xfId="23358"/>
    <cellStyle name="Input 9 2 2 12" xfId="14462"/>
    <cellStyle name="Input 9 2 2 12 2" xfId="27768"/>
    <cellStyle name="Input 9 2 2 13" xfId="18948"/>
    <cellStyle name="Input 9 2 2 2" xfId="1510"/>
    <cellStyle name="Input 9 2 2 2 2" xfId="10838"/>
    <cellStyle name="Input 9 2 2 2 2 2" xfId="24144"/>
    <cellStyle name="Input 9 2 2 2 3" xfId="15248"/>
    <cellStyle name="Input 9 2 2 2 3 2" xfId="28554"/>
    <cellStyle name="Input 9 2 2 2 4" xfId="19734"/>
    <cellStyle name="Input 9 2 2 2_Table" xfId="6472"/>
    <cellStyle name="Input 9 2 2 3" xfId="1870"/>
    <cellStyle name="Input 9 2 2 3 2" xfId="11198"/>
    <cellStyle name="Input 9 2 2 3 2 2" xfId="24504"/>
    <cellStyle name="Input 9 2 2 3 3" xfId="15608"/>
    <cellStyle name="Input 9 2 2 3 3 2" xfId="28914"/>
    <cellStyle name="Input 9 2 2 3 4" xfId="20094"/>
    <cellStyle name="Input 9 2 2 3_Table" xfId="6473"/>
    <cellStyle name="Input 9 2 2 4" xfId="2300"/>
    <cellStyle name="Input 9 2 2 4 2" xfId="11628"/>
    <cellStyle name="Input 9 2 2 4 2 2" xfId="24934"/>
    <cellStyle name="Input 9 2 2 4 3" xfId="16038"/>
    <cellStyle name="Input 9 2 2 4 3 2" xfId="29344"/>
    <cellStyle name="Input 9 2 2 4 4" xfId="20524"/>
    <cellStyle name="Input 9 2 2 4_Table" xfId="6474"/>
    <cellStyle name="Input 9 2 2 5" xfId="2738"/>
    <cellStyle name="Input 9 2 2 5 2" xfId="12066"/>
    <cellStyle name="Input 9 2 2 5 2 2" xfId="25372"/>
    <cellStyle name="Input 9 2 2 5 3" xfId="16476"/>
    <cellStyle name="Input 9 2 2 5 3 2" xfId="29782"/>
    <cellStyle name="Input 9 2 2 5 4" xfId="20962"/>
    <cellStyle name="Input 9 2 2 5_Table" xfId="6475"/>
    <cellStyle name="Input 9 2 2 6" xfId="3145"/>
    <cellStyle name="Input 9 2 2 6 2" xfId="12473"/>
    <cellStyle name="Input 9 2 2 6 2 2" xfId="25779"/>
    <cellStyle name="Input 9 2 2 6 3" xfId="16883"/>
    <cellStyle name="Input 9 2 2 6 3 2" xfId="30189"/>
    <cellStyle name="Input 9 2 2 6 4" xfId="21369"/>
    <cellStyle name="Input 9 2 2 6_Table" xfId="6476"/>
    <cellStyle name="Input 9 2 2 7" xfId="3737"/>
    <cellStyle name="Input 9 2 2 7 2" xfId="13065"/>
    <cellStyle name="Input 9 2 2 7 2 2" xfId="26371"/>
    <cellStyle name="Input 9 2 2 7 3" xfId="17475"/>
    <cellStyle name="Input 9 2 2 7 3 2" xfId="30781"/>
    <cellStyle name="Input 9 2 2 7 4" xfId="21961"/>
    <cellStyle name="Input 9 2 2 7_Table" xfId="6477"/>
    <cellStyle name="Input 9 2 2 8" xfId="3962"/>
    <cellStyle name="Input 9 2 2 8 2" xfId="13290"/>
    <cellStyle name="Input 9 2 2 8 2 2" xfId="26596"/>
    <cellStyle name="Input 9 2 2 8 3" xfId="17700"/>
    <cellStyle name="Input 9 2 2 8 3 2" xfId="31006"/>
    <cellStyle name="Input 9 2 2 8 4" xfId="22186"/>
    <cellStyle name="Input 9 2 2 8_Table" xfId="6478"/>
    <cellStyle name="Input 9 2 2 9" xfId="4323"/>
    <cellStyle name="Input 9 2 2 9 2" xfId="13651"/>
    <cellStyle name="Input 9 2 2 9 2 2" xfId="26957"/>
    <cellStyle name="Input 9 2 2 9 3" xfId="18061"/>
    <cellStyle name="Input 9 2 2 9 3 2" xfId="31367"/>
    <cellStyle name="Input 9 2 2 9 4" xfId="22547"/>
    <cellStyle name="Input 9 2 2 9_Table" xfId="6479"/>
    <cellStyle name="Input 9 2 2_Table" xfId="6470"/>
    <cellStyle name="Input 9 2 3" xfId="1003"/>
    <cellStyle name="Input 9 2 3 2" xfId="10331"/>
    <cellStyle name="Input 9 2 3 2 2" xfId="23637"/>
    <cellStyle name="Input 9 2 3 3" xfId="14741"/>
    <cellStyle name="Input 9 2 3 3 2" xfId="28047"/>
    <cellStyle name="Input 9 2 3 4" xfId="19227"/>
    <cellStyle name="Input 9 2 3_Table" xfId="6480"/>
    <cellStyle name="Input 9 2 4" xfId="1404"/>
    <cellStyle name="Input 9 2 4 2" xfId="10732"/>
    <cellStyle name="Input 9 2 4 2 2" xfId="24038"/>
    <cellStyle name="Input 9 2 4 3" xfId="15142"/>
    <cellStyle name="Input 9 2 4 3 2" xfId="28448"/>
    <cellStyle name="Input 9 2 4 4" xfId="19628"/>
    <cellStyle name="Input 9 2 4_Table" xfId="6481"/>
    <cellStyle name="Input 9 2 5" xfId="905"/>
    <cellStyle name="Input 9 2 5 2" xfId="10233"/>
    <cellStyle name="Input 9 2 5 2 2" xfId="23539"/>
    <cellStyle name="Input 9 2 5 3" xfId="14643"/>
    <cellStyle name="Input 9 2 5 3 2" xfId="27949"/>
    <cellStyle name="Input 9 2 5 4" xfId="19129"/>
    <cellStyle name="Input 9 2 5_Table" xfId="6482"/>
    <cellStyle name="Input 9 2 6" xfId="2100"/>
    <cellStyle name="Input 9 2 6 2" xfId="11428"/>
    <cellStyle name="Input 9 2 6 2 2" xfId="24734"/>
    <cellStyle name="Input 9 2 6 3" xfId="15838"/>
    <cellStyle name="Input 9 2 6 3 2" xfId="29144"/>
    <cellStyle name="Input 9 2 6 4" xfId="20324"/>
    <cellStyle name="Input 9 2 6_Table" xfId="6483"/>
    <cellStyle name="Input 9 2 7" xfId="2531"/>
    <cellStyle name="Input 9 2 7 2" xfId="11859"/>
    <cellStyle name="Input 9 2 7 2 2" xfId="25165"/>
    <cellStyle name="Input 9 2 7 3" xfId="16269"/>
    <cellStyle name="Input 9 2 7 3 2" xfId="29575"/>
    <cellStyle name="Input 9 2 7 4" xfId="20755"/>
    <cellStyle name="Input 9 2 7_Table" xfId="6484"/>
    <cellStyle name="Input 9 2 8" xfId="3377"/>
    <cellStyle name="Input 9 2 8 2" xfId="12705"/>
    <cellStyle name="Input 9 2 8 2 2" xfId="26011"/>
    <cellStyle name="Input 9 2 8 3" xfId="17115"/>
    <cellStyle name="Input 9 2 8 3 2" xfId="30421"/>
    <cellStyle name="Input 9 2 8 4" xfId="21601"/>
    <cellStyle name="Input 9 2 8_Table" xfId="6485"/>
    <cellStyle name="Input 9 2 9" xfId="2964"/>
    <cellStyle name="Input 9 2 9 2" xfId="12292"/>
    <cellStyle name="Input 9 2 9 2 2" xfId="25598"/>
    <cellStyle name="Input 9 2 9 3" xfId="16702"/>
    <cellStyle name="Input 9 2 9 3 2" xfId="30008"/>
    <cellStyle name="Input 9 2 9 4" xfId="21188"/>
    <cellStyle name="Input 9 2 9_Table" xfId="6486"/>
    <cellStyle name="Input 9 2_Table" xfId="6468"/>
    <cellStyle name="Input 9 3" xfId="477"/>
    <cellStyle name="Input 9 3 10" xfId="4504"/>
    <cellStyle name="Input 9 3 10 2" xfId="13832"/>
    <cellStyle name="Input 9 3 10 2 2" xfId="27138"/>
    <cellStyle name="Input 9 3 10 3" xfId="18242"/>
    <cellStyle name="Input 9 3 10 3 2" xfId="31548"/>
    <cellStyle name="Input 9 3 10 4" xfId="22728"/>
    <cellStyle name="Input 9 3 10_Table" xfId="6488"/>
    <cellStyle name="Input 9 3 11" xfId="9805"/>
    <cellStyle name="Input 9 3 11 2" xfId="23178"/>
    <cellStyle name="Input 9 3 12" xfId="14282"/>
    <cellStyle name="Input 9 3 12 2" xfId="27588"/>
    <cellStyle name="Input 9 3 13" xfId="18768"/>
    <cellStyle name="Input 9 3 2" xfId="769"/>
    <cellStyle name="Input 9 3 2 10" xfId="4729"/>
    <cellStyle name="Input 9 3 2 10 2" xfId="14057"/>
    <cellStyle name="Input 9 3 2 10 2 2" xfId="27363"/>
    <cellStyle name="Input 9 3 2 10 3" xfId="18467"/>
    <cellStyle name="Input 9 3 2 10 3 2" xfId="31773"/>
    <cellStyle name="Input 9 3 2 10 4" xfId="22953"/>
    <cellStyle name="Input 9 3 2 10_Table" xfId="6490"/>
    <cellStyle name="Input 9 3 2 11" xfId="10097"/>
    <cellStyle name="Input 9 3 2 11 2" xfId="23403"/>
    <cellStyle name="Input 9 3 2 12" xfId="14507"/>
    <cellStyle name="Input 9 3 2 12 2" xfId="27813"/>
    <cellStyle name="Input 9 3 2 13" xfId="18993"/>
    <cellStyle name="Input 9 3 2 2" xfId="1555"/>
    <cellStyle name="Input 9 3 2 2 2" xfId="10883"/>
    <cellStyle name="Input 9 3 2 2 2 2" xfId="24189"/>
    <cellStyle name="Input 9 3 2 2 3" xfId="15293"/>
    <cellStyle name="Input 9 3 2 2 3 2" xfId="28599"/>
    <cellStyle name="Input 9 3 2 2 4" xfId="19779"/>
    <cellStyle name="Input 9 3 2 2_Table" xfId="6491"/>
    <cellStyle name="Input 9 3 2 3" xfId="1915"/>
    <cellStyle name="Input 9 3 2 3 2" xfId="11243"/>
    <cellStyle name="Input 9 3 2 3 2 2" xfId="24549"/>
    <cellStyle name="Input 9 3 2 3 3" xfId="15653"/>
    <cellStyle name="Input 9 3 2 3 3 2" xfId="28959"/>
    <cellStyle name="Input 9 3 2 3 4" xfId="20139"/>
    <cellStyle name="Input 9 3 2 3_Table" xfId="6492"/>
    <cellStyle name="Input 9 3 2 4" xfId="2345"/>
    <cellStyle name="Input 9 3 2 4 2" xfId="11673"/>
    <cellStyle name="Input 9 3 2 4 2 2" xfId="24979"/>
    <cellStyle name="Input 9 3 2 4 3" xfId="16083"/>
    <cellStyle name="Input 9 3 2 4 3 2" xfId="29389"/>
    <cellStyle name="Input 9 3 2 4 4" xfId="20569"/>
    <cellStyle name="Input 9 3 2 4_Table" xfId="6493"/>
    <cellStyle name="Input 9 3 2 5" xfId="2783"/>
    <cellStyle name="Input 9 3 2 5 2" xfId="12111"/>
    <cellStyle name="Input 9 3 2 5 2 2" xfId="25417"/>
    <cellStyle name="Input 9 3 2 5 3" xfId="16521"/>
    <cellStyle name="Input 9 3 2 5 3 2" xfId="29827"/>
    <cellStyle name="Input 9 3 2 5 4" xfId="21007"/>
    <cellStyle name="Input 9 3 2 5_Table" xfId="6494"/>
    <cellStyle name="Input 9 3 2 6" xfId="3190"/>
    <cellStyle name="Input 9 3 2 6 2" xfId="12518"/>
    <cellStyle name="Input 9 3 2 6 2 2" xfId="25824"/>
    <cellStyle name="Input 9 3 2 6 3" xfId="16928"/>
    <cellStyle name="Input 9 3 2 6 3 2" xfId="30234"/>
    <cellStyle name="Input 9 3 2 6 4" xfId="21414"/>
    <cellStyle name="Input 9 3 2 6_Table" xfId="6495"/>
    <cellStyle name="Input 9 3 2 7" xfId="3782"/>
    <cellStyle name="Input 9 3 2 7 2" xfId="13110"/>
    <cellStyle name="Input 9 3 2 7 2 2" xfId="26416"/>
    <cellStyle name="Input 9 3 2 7 3" xfId="17520"/>
    <cellStyle name="Input 9 3 2 7 3 2" xfId="30826"/>
    <cellStyle name="Input 9 3 2 7 4" xfId="22006"/>
    <cellStyle name="Input 9 3 2 7_Table" xfId="6496"/>
    <cellStyle name="Input 9 3 2 8" xfId="4007"/>
    <cellStyle name="Input 9 3 2 8 2" xfId="13335"/>
    <cellStyle name="Input 9 3 2 8 2 2" xfId="26641"/>
    <cellStyle name="Input 9 3 2 8 3" xfId="17745"/>
    <cellStyle name="Input 9 3 2 8 3 2" xfId="31051"/>
    <cellStyle name="Input 9 3 2 8 4" xfId="22231"/>
    <cellStyle name="Input 9 3 2 8_Table" xfId="6497"/>
    <cellStyle name="Input 9 3 2 9" xfId="4368"/>
    <cellStyle name="Input 9 3 2 9 2" xfId="13696"/>
    <cellStyle name="Input 9 3 2 9 2 2" xfId="27002"/>
    <cellStyle name="Input 9 3 2 9 3" xfId="18106"/>
    <cellStyle name="Input 9 3 2 9 3 2" xfId="31412"/>
    <cellStyle name="Input 9 3 2 9 4" xfId="22592"/>
    <cellStyle name="Input 9 3 2 9_Table" xfId="6498"/>
    <cellStyle name="Input 9 3 2_Table" xfId="6489"/>
    <cellStyle name="Input 9 3 3" xfId="937"/>
    <cellStyle name="Input 9 3 3 2" xfId="10265"/>
    <cellStyle name="Input 9 3 3 2 2" xfId="23571"/>
    <cellStyle name="Input 9 3 3 3" xfId="14675"/>
    <cellStyle name="Input 9 3 3 3 2" xfId="27981"/>
    <cellStyle name="Input 9 3 3 4" xfId="19161"/>
    <cellStyle name="Input 9 3 3_Table" xfId="6499"/>
    <cellStyle name="Input 9 3 4" xfId="2068"/>
    <cellStyle name="Input 9 3 4 2" xfId="11396"/>
    <cellStyle name="Input 9 3 4 2 2" xfId="24702"/>
    <cellStyle name="Input 9 3 4 3" xfId="15806"/>
    <cellStyle name="Input 9 3 4 3 2" xfId="29112"/>
    <cellStyle name="Input 9 3 4 4" xfId="20292"/>
    <cellStyle name="Input 9 3 4_Table" xfId="6500"/>
    <cellStyle name="Input 9 3 5" xfId="2500"/>
    <cellStyle name="Input 9 3 5 2" xfId="11828"/>
    <cellStyle name="Input 9 3 5 2 2" xfId="25134"/>
    <cellStyle name="Input 9 3 5 3" xfId="16238"/>
    <cellStyle name="Input 9 3 5 3 2" xfId="29544"/>
    <cellStyle name="Input 9 3 5 4" xfId="20724"/>
    <cellStyle name="Input 9 3 5_Table" xfId="6501"/>
    <cellStyle name="Input 9 3 6" xfId="2929"/>
    <cellStyle name="Input 9 3 6 2" xfId="12257"/>
    <cellStyle name="Input 9 3 6 2 2" xfId="25563"/>
    <cellStyle name="Input 9 3 6 3" xfId="16667"/>
    <cellStyle name="Input 9 3 6 3 2" xfId="29973"/>
    <cellStyle name="Input 9 3 6 4" xfId="21153"/>
    <cellStyle name="Input 9 3 6_Table" xfId="6502"/>
    <cellStyle name="Input 9 3 7" xfId="3341"/>
    <cellStyle name="Input 9 3 7 2" xfId="12669"/>
    <cellStyle name="Input 9 3 7 2 2" xfId="25975"/>
    <cellStyle name="Input 9 3 7 3" xfId="17079"/>
    <cellStyle name="Input 9 3 7 3 2" xfId="30385"/>
    <cellStyle name="Input 9 3 7 4" xfId="21565"/>
    <cellStyle name="Input 9 3 7_Table" xfId="6503"/>
    <cellStyle name="Input 9 3 8" xfId="3511"/>
    <cellStyle name="Input 9 3 8 2" xfId="12839"/>
    <cellStyle name="Input 9 3 8 2 2" xfId="26145"/>
    <cellStyle name="Input 9 3 8 3" xfId="17249"/>
    <cellStyle name="Input 9 3 8 3 2" xfId="30555"/>
    <cellStyle name="Input 9 3 8 4" xfId="21735"/>
    <cellStyle name="Input 9 3 8_Table" xfId="6504"/>
    <cellStyle name="Input 9 3 9" xfId="4143"/>
    <cellStyle name="Input 9 3 9 2" xfId="13471"/>
    <cellStyle name="Input 9 3 9 2 2" xfId="26777"/>
    <cellStyle name="Input 9 3 9 3" xfId="17881"/>
    <cellStyle name="Input 9 3 9 3 2" xfId="31187"/>
    <cellStyle name="Input 9 3 9 4" xfId="22367"/>
    <cellStyle name="Input 9 3 9_Table" xfId="6505"/>
    <cellStyle name="Input 9 3_Table" xfId="6487"/>
    <cellStyle name="Input 9 4" xfId="541"/>
    <cellStyle name="Input 9 4 10" xfId="4549"/>
    <cellStyle name="Input 9 4 10 2" xfId="13877"/>
    <cellStyle name="Input 9 4 10 2 2" xfId="27183"/>
    <cellStyle name="Input 9 4 10 3" xfId="18287"/>
    <cellStyle name="Input 9 4 10 3 2" xfId="31593"/>
    <cellStyle name="Input 9 4 10 4" xfId="22773"/>
    <cellStyle name="Input 9 4 10_Table" xfId="6507"/>
    <cellStyle name="Input 9 4 11" xfId="9869"/>
    <cellStyle name="Input 9 4 11 2" xfId="23223"/>
    <cellStyle name="Input 9 4 12" xfId="14327"/>
    <cellStyle name="Input 9 4 12 2" xfId="27633"/>
    <cellStyle name="Input 9 4 13" xfId="18813"/>
    <cellStyle name="Input 9 4 2" xfId="814"/>
    <cellStyle name="Input 9 4 2 10" xfId="4774"/>
    <cellStyle name="Input 9 4 2 10 2" xfId="14102"/>
    <cellStyle name="Input 9 4 2 10 2 2" xfId="27408"/>
    <cellStyle name="Input 9 4 2 10 3" xfId="18512"/>
    <cellStyle name="Input 9 4 2 10 3 2" xfId="31818"/>
    <cellStyle name="Input 9 4 2 10 4" xfId="22998"/>
    <cellStyle name="Input 9 4 2 10_Table" xfId="6509"/>
    <cellStyle name="Input 9 4 2 11" xfId="10142"/>
    <cellStyle name="Input 9 4 2 11 2" xfId="23448"/>
    <cellStyle name="Input 9 4 2 12" xfId="14552"/>
    <cellStyle name="Input 9 4 2 12 2" xfId="27858"/>
    <cellStyle name="Input 9 4 2 13" xfId="19038"/>
    <cellStyle name="Input 9 4 2 2" xfId="1600"/>
    <cellStyle name="Input 9 4 2 2 2" xfId="10928"/>
    <cellStyle name="Input 9 4 2 2 2 2" xfId="24234"/>
    <cellStyle name="Input 9 4 2 2 3" xfId="15338"/>
    <cellStyle name="Input 9 4 2 2 3 2" xfId="28644"/>
    <cellStyle name="Input 9 4 2 2 4" xfId="19824"/>
    <cellStyle name="Input 9 4 2 2_Table" xfId="6510"/>
    <cellStyle name="Input 9 4 2 3" xfId="1960"/>
    <cellStyle name="Input 9 4 2 3 2" xfId="11288"/>
    <cellStyle name="Input 9 4 2 3 2 2" xfId="24594"/>
    <cellStyle name="Input 9 4 2 3 3" xfId="15698"/>
    <cellStyle name="Input 9 4 2 3 3 2" xfId="29004"/>
    <cellStyle name="Input 9 4 2 3 4" xfId="20184"/>
    <cellStyle name="Input 9 4 2 3_Table" xfId="6511"/>
    <cellStyle name="Input 9 4 2 4" xfId="2390"/>
    <cellStyle name="Input 9 4 2 4 2" xfId="11718"/>
    <cellStyle name="Input 9 4 2 4 2 2" xfId="25024"/>
    <cellStyle name="Input 9 4 2 4 3" xfId="16128"/>
    <cellStyle name="Input 9 4 2 4 3 2" xfId="29434"/>
    <cellStyle name="Input 9 4 2 4 4" xfId="20614"/>
    <cellStyle name="Input 9 4 2 4_Table" xfId="6512"/>
    <cellStyle name="Input 9 4 2 5" xfId="2828"/>
    <cellStyle name="Input 9 4 2 5 2" xfId="12156"/>
    <cellStyle name="Input 9 4 2 5 2 2" xfId="25462"/>
    <cellStyle name="Input 9 4 2 5 3" xfId="16566"/>
    <cellStyle name="Input 9 4 2 5 3 2" xfId="29872"/>
    <cellStyle name="Input 9 4 2 5 4" xfId="21052"/>
    <cellStyle name="Input 9 4 2 5_Table" xfId="6513"/>
    <cellStyle name="Input 9 4 2 6" xfId="3235"/>
    <cellStyle name="Input 9 4 2 6 2" xfId="12563"/>
    <cellStyle name="Input 9 4 2 6 2 2" xfId="25869"/>
    <cellStyle name="Input 9 4 2 6 3" xfId="16973"/>
    <cellStyle name="Input 9 4 2 6 3 2" xfId="30279"/>
    <cellStyle name="Input 9 4 2 6 4" xfId="21459"/>
    <cellStyle name="Input 9 4 2 6_Table" xfId="6514"/>
    <cellStyle name="Input 9 4 2 7" xfId="3827"/>
    <cellStyle name="Input 9 4 2 7 2" xfId="13155"/>
    <cellStyle name="Input 9 4 2 7 2 2" xfId="26461"/>
    <cellStyle name="Input 9 4 2 7 3" xfId="17565"/>
    <cellStyle name="Input 9 4 2 7 3 2" xfId="30871"/>
    <cellStyle name="Input 9 4 2 7 4" xfId="22051"/>
    <cellStyle name="Input 9 4 2 7_Table" xfId="6515"/>
    <cellStyle name="Input 9 4 2 8" xfId="4052"/>
    <cellStyle name="Input 9 4 2 8 2" xfId="13380"/>
    <cellStyle name="Input 9 4 2 8 2 2" xfId="26686"/>
    <cellStyle name="Input 9 4 2 8 3" xfId="17790"/>
    <cellStyle name="Input 9 4 2 8 3 2" xfId="31096"/>
    <cellStyle name="Input 9 4 2 8 4" xfId="22276"/>
    <cellStyle name="Input 9 4 2 8_Table" xfId="6516"/>
    <cellStyle name="Input 9 4 2 9" xfId="4413"/>
    <cellStyle name="Input 9 4 2 9 2" xfId="13741"/>
    <cellStyle name="Input 9 4 2 9 2 2" xfId="27047"/>
    <cellStyle name="Input 9 4 2 9 3" xfId="18151"/>
    <cellStyle name="Input 9 4 2 9 3 2" xfId="31457"/>
    <cellStyle name="Input 9 4 2 9 4" xfId="22637"/>
    <cellStyle name="Input 9 4 2 9_Table" xfId="6517"/>
    <cellStyle name="Input 9 4 2_Table" xfId="6508"/>
    <cellStyle name="Input 9 4 3" xfId="1693"/>
    <cellStyle name="Input 9 4 3 2" xfId="11021"/>
    <cellStyle name="Input 9 4 3 2 2" xfId="24327"/>
    <cellStyle name="Input 9 4 3 3" xfId="15431"/>
    <cellStyle name="Input 9 4 3 3 2" xfId="28737"/>
    <cellStyle name="Input 9 4 3 4" xfId="19917"/>
    <cellStyle name="Input 9 4 3_Table" xfId="6518"/>
    <cellStyle name="Input 9 4 4" xfId="2127"/>
    <cellStyle name="Input 9 4 4 2" xfId="11455"/>
    <cellStyle name="Input 9 4 4 2 2" xfId="24761"/>
    <cellStyle name="Input 9 4 4 3" xfId="15865"/>
    <cellStyle name="Input 9 4 4 3 2" xfId="29171"/>
    <cellStyle name="Input 9 4 4 4" xfId="20351"/>
    <cellStyle name="Input 9 4 4_Table" xfId="6519"/>
    <cellStyle name="Input 9 4 5" xfId="2559"/>
    <cellStyle name="Input 9 4 5 2" xfId="11887"/>
    <cellStyle name="Input 9 4 5 2 2" xfId="25193"/>
    <cellStyle name="Input 9 4 5 3" xfId="16297"/>
    <cellStyle name="Input 9 4 5 3 2" xfId="29603"/>
    <cellStyle name="Input 9 4 5 4" xfId="20783"/>
    <cellStyle name="Input 9 4 5_Table" xfId="6520"/>
    <cellStyle name="Input 9 4 6" xfId="2986"/>
    <cellStyle name="Input 9 4 6 2" xfId="12314"/>
    <cellStyle name="Input 9 4 6 2 2" xfId="25620"/>
    <cellStyle name="Input 9 4 6 3" xfId="16724"/>
    <cellStyle name="Input 9 4 6 3 2" xfId="30030"/>
    <cellStyle name="Input 9 4 6 4" xfId="21210"/>
    <cellStyle name="Input 9 4 6_Table" xfId="6521"/>
    <cellStyle name="Input 9 4 7" xfId="3399"/>
    <cellStyle name="Input 9 4 7 2" xfId="12727"/>
    <cellStyle name="Input 9 4 7 2 2" xfId="26033"/>
    <cellStyle name="Input 9 4 7 3" xfId="17137"/>
    <cellStyle name="Input 9 4 7 3 2" xfId="30443"/>
    <cellStyle name="Input 9 4 7 4" xfId="21623"/>
    <cellStyle name="Input 9 4 7_Table" xfId="6522"/>
    <cellStyle name="Input 9 4 8" xfId="3561"/>
    <cellStyle name="Input 9 4 8 2" xfId="12889"/>
    <cellStyle name="Input 9 4 8 2 2" xfId="26195"/>
    <cellStyle name="Input 9 4 8 3" xfId="17299"/>
    <cellStyle name="Input 9 4 8 3 2" xfId="30605"/>
    <cellStyle name="Input 9 4 8 4" xfId="21785"/>
    <cellStyle name="Input 9 4 8_Table" xfId="6523"/>
    <cellStyle name="Input 9 4 9" xfId="4188"/>
    <cellStyle name="Input 9 4 9 2" xfId="13516"/>
    <cellStyle name="Input 9 4 9 2 2" xfId="26822"/>
    <cellStyle name="Input 9 4 9 3" xfId="17926"/>
    <cellStyle name="Input 9 4 9 3 2" xfId="31232"/>
    <cellStyle name="Input 9 4 9 4" xfId="22412"/>
    <cellStyle name="Input 9 4 9_Table" xfId="6524"/>
    <cellStyle name="Input 9 4_Table" xfId="6506"/>
    <cellStyle name="Input 9 5" xfId="616"/>
    <cellStyle name="Input 9 5 10" xfId="4594"/>
    <cellStyle name="Input 9 5 10 2" xfId="13922"/>
    <cellStyle name="Input 9 5 10 2 2" xfId="27228"/>
    <cellStyle name="Input 9 5 10 3" xfId="18332"/>
    <cellStyle name="Input 9 5 10 3 2" xfId="31638"/>
    <cellStyle name="Input 9 5 10 4" xfId="22818"/>
    <cellStyle name="Input 9 5 10_Table" xfId="6526"/>
    <cellStyle name="Input 9 5 11" xfId="9944"/>
    <cellStyle name="Input 9 5 11 2" xfId="23268"/>
    <cellStyle name="Input 9 5 12" xfId="14372"/>
    <cellStyle name="Input 9 5 12 2" xfId="27678"/>
    <cellStyle name="Input 9 5 13" xfId="18858"/>
    <cellStyle name="Input 9 5 2" xfId="859"/>
    <cellStyle name="Input 9 5 2 10" xfId="4819"/>
    <cellStyle name="Input 9 5 2 10 2" xfId="14147"/>
    <cellStyle name="Input 9 5 2 10 2 2" xfId="27453"/>
    <cellStyle name="Input 9 5 2 10 3" xfId="18557"/>
    <cellStyle name="Input 9 5 2 10 3 2" xfId="31863"/>
    <cellStyle name="Input 9 5 2 10 4" xfId="23043"/>
    <cellStyle name="Input 9 5 2 10_Table" xfId="6528"/>
    <cellStyle name="Input 9 5 2 11" xfId="10187"/>
    <cellStyle name="Input 9 5 2 11 2" xfId="23493"/>
    <cellStyle name="Input 9 5 2 12" xfId="14597"/>
    <cellStyle name="Input 9 5 2 12 2" xfId="27903"/>
    <cellStyle name="Input 9 5 2 13" xfId="19083"/>
    <cellStyle name="Input 9 5 2 2" xfId="1645"/>
    <cellStyle name="Input 9 5 2 2 2" xfId="10973"/>
    <cellStyle name="Input 9 5 2 2 2 2" xfId="24279"/>
    <cellStyle name="Input 9 5 2 2 3" xfId="15383"/>
    <cellStyle name="Input 9 5 2 2 3 2" xfId="28689"/>
    <cellStyle name="Input 9 5 2 2 4" xfId="19869"/>
    <cellStyle name="Input 9 5 2 2_Table" xfId="6529"/>
    <cellStyle name="Input 9 5 2 3" xfId="2005"/>
    <cellStyle name="Input 9 5 2 3 2" xfId="11333"/>
    <cellStyle name="Input 9 5 2 3 2 2" xfId="24639"/>
    <cellStyle name="Input 9 5 2 3 3" xfId="15743"/>
    <cellStyle name="Input 9 5 2 3 3 2" xfId="29049"/>
    <cellStyle name="Input 9 5 2 3 4" xfId="20229"/>
    <cellStyle name="Input 9 5 2 3_Table" xfId="6530"/>
    <cellStyle name="Input 9 5 2 4" xfId="2435"/>
    <cellStyle name="Input 9 5 2 4 2" xfId="11763"/>
    <cellStyle name="Input 9 5 2 4 2 2" xfId="25069"/>
    <cellStyle name="Input 9 5 2 4 3" xfId="16173"/>
    <cellStyle name="Input 9 5 2 4 3 2" xfId="29479"/>
    <cellStyle name="Input 9 5 2 4 4" xfId="20659"/>
    <cellStyle name="Input 9 5 2 4_Table" xfId="6531"/>
    <cellStyle name="Input 9 5 2 5" xfId="2873"/>
    <cellStyle name="Input 9 5 2 5 2" xfId="12201"/>
    <cellStyle name="Input 9 5 2 5 2 2" xfId="25507"/>
    <cellStyle name="Input 9 5 2 5 3" xfId="16611"/>
    <cellStyle name="Input 9 5 2 5 3 2" xfId="29917"/>
    <cellStyle name="Input 9 5 2 5 4" xfId="21097"/>
    <cellStyle name="Input 9 5 2 5_Table" xfId="6532"/>
    <cellStyle name="Input 9 5 2 6" xfId="3280"/>
    <cellStyle name="Input 9 5 2 6 2" xfId="12608"/>
    <cellStyle name="Input 9 5 2 6 2 2" xfId="25914"/>
    <cellStyle name="Input 9 5 2 6 3" xfId="17018"/>
    <cellStyle name="Input 9 5 2 6 3 2" xfId="30324"/>
    <cellStyle name="Input 9 5 2 6 4" xfId="21504"/>
    <cellStyle name="Input 9 5 2 6_Table" xfId="6533"/>
    <cellStyle name="Input 9 5 2 7" xfId="3872"/>
    <cellStyle name="Input 9 5 2 7 2" xfId="13200"/>
    <cellStyle name="Input 9 5 2 7 2 2" xfId="26506"/>
    <cellStyle name="Input 9 5 2 7 3" xfId="17610"/>
    <cellStyle name="Input 9 5 2 7 3 2" xfId="30916"/>
    <cellStyle name="Input 9 5 2 7 4" xfId="22096"/>
    <cellStyle name="Input 9 5 2 7_Table" xfId="6534"/>
    <cellStyle name="Input 9 5 2 8" xfId="4097"/>
    <cellStyle name="Input 9 5 2 8 2" xfId="13425"/>
    <cellStyle name="Input 9 5 2 8 2 2" xfId="26731"/>
    <cellStyle name="Input 9 5 2 8 3" xfId="17835"/>
    <cellStyle name="Input 9 5 2 8 3 2" xfId="31141"/>
    <cellStyle name="Input 9 5 2 8 4" xfId="22321"/>
    <cellStyle name="Input 9 5 2 8_Table" xfId="6535"/>
    <cellStyle name="Input 9 5 2 9" xfId="4458"/>
    <cellStyle name="Input 9 5 2 9 2" xfId="13786"/>
    <cellStyle name="Input 9 5 2 9 2 2" xfId="27092"/>
    <cellStyle name="Input 9 5 2 9 3" xfId="18196"/>
    <cellStyle name="Input 9 5 2 9 3 2" xfId="31502"/>
    <cellStyle name="Input 9 5 2 9 4" xfId="22682"/>
    <cellStyle name="Input 9 5 2 9_Table" xfId="6536"/>
    <cellStyle name="Input 9 5 2_Table" xfId="6527"/>
    <cellStyle name="Input 9 5 3" xfId="1763"/>
    <cellStyle name="Input 9 5 3 2" xfId="11091"/>
    <cellStyle name="Input 9 5 3 2 2" xfId="24397"/>
    <cellStyle name="Input 9 5 3 3" xfId="15501"/>
    <cellStyle name="Input 9 5 3 3 2" xfId="28807"/>
    <cellStyle name="Input 9 5 3 4" xfId="19987"/>
    <cellStyle name="Input 9 5 3_Table" xfId="6537"/>
    <cellStyle name="Input 9 5 4" xfId="2196"/>
    <cellStyle name="Input 9 5 4 2" xfId="11524"/>
    <cellStyle name="Input 9 5 4 2 2" xfId="24830"/>
    <cellStyle name="Input 9 5 4 3" xfId="15934"/>
    <cellStyle name="Input 9 5 4 3 2" xfId="29240"/>
    <cellStyle name="Input 9 5 4 4" xfId="20420"/>
    <cellStyle name="Input 9 5 4_Table" xfId="6538"/>
    <cellStyle name="Input 9 5 5" xfId="2631"/>
    <cellStyle name="Input 9 5 5 2" xfId="11959"/>
    <cellStyle name="Input 9 5 5 2 2" xfId="25265"/>
    <cellStyle name="Input 9 5 5 3" xfId="16369"/>
    <cellStyle name="Input 9 5 5 3 2" xfId="29675"/>
    <cellStyle name="Input 9 5 5 4" xfId="20855"/>
    <cellStyle name="Input 9 5 5_Table" xfId="6539"/>
    <cellStyle name="Input 9 5 6" xfId="3044"/>
    <cellStyle name="Input 9 5 6 2" xfId="12372"/>
    <cellStyle name="Input 9 5 6 2 2" xfId="25678"/>
    <cellStyle name="Input 9 5 6 3" xfId="16782"/>
    <cellStyle name="Input 9 5 6 3 2" xfId="30088"/>
    <cellStyle name="Input 9 5 6 4" xfId="21268"/>
    <cellStyle name="Input 9 5 6_Table" xfId="6540"/>
    <cellStyle name="Input 9 5 7" xfId="3470"/>
    <cellStyle name="Input 9 5 7 2" xfId="12798"/>
    <cellStyle name="Input 9 5 7 2 2" xfId="26104"/>
    <cellStyle name="Input 9 5 7 3" xfId="17208"/>
    <cellStyle name="Input 9 5 7 3 2" xfId="30514"/>
    <cellStyle name="Input 9 5 7 4" xfId="21694"/>
    <cellStyle name="Input 9 5 7_Table" xfId="6541"/>
    <cellStyle name="Input 9 5 8" xfId="3571"/>
    <cellStyle name="Input 9 5 8 2" xfId="12899"/>
    <cellStyle name="Input 9 5 8 2 2" xfId="26205"/>
    <cellStyle name="Input 9 5 8 3" xfId="17309"/>
    <cellStyle name="Input 9 5 8 3 2" xfId="30615"/>
    <cellStyle name="Input 9 5 8 4" xfId="21795"/>
    <cellStyle name="Input 9 5 8_Table" xfId="6542"/>
    <cellStyle name="Input 9 5 9" xfId="4233"/>
    <cellStyle name="Input 9 5 9 2" xfId="13561"/>
    <cellStyle name="Input 9 5 9 2 2" xfId="26867"/>
    <cellStyle name="Input 9 5 9 3" xfId="17971"/>
    <cellStyle name="Input 9 5 9 3 2" xfId="31277"/>
    <cellStyle name="Input 9 5 9 4" xfId="22457"/>
    <cellStyle name="Input 9 5 9_Table" xfId="6543"/>
    <cellStyle name="Input 9 5_Table" xfId="6525"/>
    <cellStyle name="Input 9 6" xfId="679"/>
    <cellStyle name="Input 9 6 10" xfId="4639"/>
    <cellStyle name="Input 9 6 10 2" xfId="13967"/>
    <cellStyle name="Input 9 6 10 2 2" xfId="27273"/>
    <cellStyle name="Input 9 6 10 3" xfId="18377"/>
    <cellStyle name="Input 9 6 10 3 2" xfId="31683"/>
    <cellStyle name="Input 9 6 10 4" xfId="22863"/>
    <cellStyle name="Input 9 6 10_Table" xfId="6545"/>
    <cellStyle name="Input 9 6 11" xfId="10007"/>
    <cellStyle name="Input 9 6 11 2" xfId="23313"/>
    <cellStyle name="Input 9 6 12" xfId="14417"/>
    <cellStyle name="Input 9 6 12 2" xfId="27723"/>
    <cellStyle name="Input 9 6 13" xfId="18903"/>
    <cellStyle name="Input 9 6 2" xfId="1465"/>
    <cellStyle name="Input 9 6 2 2" xfId="10793"/>
    <cellStyle name="Input 9 6 2 2 2" xfId="24099"/>
    <cellStyle name="Input 9 6 2 3" xfId="15203"/>
    <cellStyle name="Input 9 6 2 3 2" xfId="28509"/>
    <cellStyle name="Input 9 6 2 4" xfId="19689"/>
    <cellStyle name="Input 9 6 2_Table" xfId="6546"/>
    <cellStyle name="Input 9 6 3" xfId="1825"/>
    <cellStyle name="Input 9 6 3 2" xfId="11153"/>
    <cellStyle name="Input 9 6 3 2 2" xfId="24459"/>
    <cellStyle name="Input 9 6 3 3" xfId="15563"/>
    <cellStyle name="Input 9 6 3 3 2" xfId="28869"/>
    <cellStyle name="Input 9 6 3 4" xfId="20049"/>
    <cellStyle name="Input 9 6 3_Table" xfId="6547"/>
    <cellStyle name="Input 9 6 4" xfId="2255"/>
    <cellStyle name="Input 9 6 4 2" xfId="11583"/>
    <cellStyle name="Input 9 6 4 2 2" xfId="24889"/>
    <cellStyle name="Input 9 6 4 3" xfId="15993"/>
    <cellStyle name="Input 9 6 4 3 2" xfId="29299"/>
    <cellStyle name="Input 9 6 4 4" xfId="20479"/>
    <cellStyle name="Input 9 6 4_Table" xfId="6548"/>
    <cellStyle name="Input 9 6 5" xfId="2693"/>
    <cellStyle name="Input 9 6 5 2" xfId="12021"/>
    <cellStyle name="Input 9 6 5 2 2" xfId="25327"/>
    <cellStyle name="Input 9 6 5 3" xfId="16431"/>
    <cellStyle name="Input 9 6 5 3 2" xfId="29737"/>
    <cellStyle name="Input 9 6 5 4" xfId="20917"/>
    <cellStyle name="Input 9 6 5_Table" xfId="6549"/>
    <cellStyle name="Input 9 6 6" xfId="3100"/>
    <cellStyle name="Input 9 6 6 2" xfId="12428"/>
    <cellStyle name="Input 9 6 6 2 2" xfId="25734"/>
    <cellStyle name="Input 9 6 6 3" xfId="16838"/>
    <cellStyle name="Input 9 6 6 3 2" xfId="30144"/>
    <cellStyle name="Input 9 6 6 4" xfId="21324"/>
    <cellStyle name="Input 9 6 6_Table" xfId="6550"/>
    <cellStyle name="Input 9 6 7" xfId="3692"/>
    <cellStyle name="Input 9 6 7 2" xfId="13020"/>
    <cellStyle name="Input 9 6 7 2 2" xfId="26326"/>
    <cellStyle name="Input 9 6 7 3" xfId="17430"/>
    <cellStyle name="Input 9 6 7 3 2" xfId="30736"/>
    <cellStyle name="Input 9 6 7 4" xfId="21916"/>
    <cellStyle name="Input 9 6 7_Table" xfId="6551"/>
    <cellStyle name="Input 9 6 8" xfId="3917"/>
    <cellStyle name="Input 9 6 8 2" xfId="13245"/>
    <cellStyle name="Input 9 6 8 2 2" xfId="26551"/>
    <cellStyle name="Input 9 6 8 3" xfId="17655"/>
    <cellStyle name="Input 9 6 8 3 2" xfId="30961"/>
    <cellStyle name="Input 9 6 8 4" xfId="22141"/>
    <cellStyle name="Input 9 6 8_Table" xfId="6552"/>
    <cellStyle name="Input 9 6 9" xfId="4278"/>
    <cellStyle name="Input 9 6 9 2" xfId="13606"/>
    <cellStyle name="Input 9 6 9 2 2" xfId="26912"/>
    <cellStyle name="Input 9 6 9 3" xfId="18016"/>
    <cellStyle name="Input 9 6 9 3 2" xfId="31322"/>
    <cellStyle name="Input 9 6 9 4" xfId="22502"/>
    <cellStyle name="Input 9 6 9_Table" xfId="6553"/>
    <cellStyle name="Input 9 6_Table" xfId="6544"/>
    <cellStyle name="Input 9 7" xfId="1086"/>
    <cellStyle name="Input 9 7 2" xfId="10414"/>
    <cellStyle name="Input 9 7 2 2" xfId="23720"/>
    <cellStyle name="Input 9 7 3" xfId="14824"/>
    <cellStyle name="Input 9 7 3 2" xfId="28130"/>
    <cellStyle name="Input 9 7 4" xfId="19310"/>
    <cellStyle name="Input 9 7_Table" xfId="6554"/>
    <cellStyle name="Input 9 8" xfId="1166"/>
    <cellStyle name="Input 9 8 2" xfId="10494"/>
    <cellStyle name="Input 9 8 2 2" xfId="23800"/>
    <cellStyle name="Input 9 8 3" xfId="14904"/>
    <cellStyle name="Input 9 8 3 2" xfId="28210"/>
    <cellStyle name="Input 9 8 4" xfId="19390"/>
    <cellStyle name="Input 9 8_Table" xfId="6555"/>
    <cellStyle name="Input 9 9" xfId="1076"/>
    <cellStyle name="Input 9 9 2" xfId="10404"/>
    <cellStyle name="Input 9 9 2 2" xfId="23710"/>
    <cellStyle name="Input 9 9 3" xfId="14814"/>
    <cellStyle name="Input 9 9 3 2" xfId="28120"/>
    <cellStyle name="Input 9 9 4" xfId="19300"/>
    <cellStyle name="Input 9 9_Table" xfId="6556"/>
    <cellStyle name="Input 9_Table" xfId="6462"/>
    <cellStyle name="Linked Cell 10" xfId="316"/>
    <cellStyle name="Linked Cell 10 2" xfId="9644"/>
    <cellStyle name="Linked Cell 10_Table" xfId="18587"/>
    <cellStyle name="Linked Cell 2" xfId="317"/>
    <cellStyle name="Linked Cell 2 2" xfId="9645"/>
    <cellStyle name="Linked Cell 2_Table" xfId="18588"/>
    <cellStyle name="Linked Cell 3" xfId="318"/>
    <cellStyle name="Linked Cell 3 2" xfId="9646"/>
    <cellStyle name="Linked Cell 3_Table" xfId="18589"/>
    <cellStyle name="Linked Cell 4" xfId="319"/>
    <cellStyle name="Linked Cell 4 2" xfId="9647"/>
    <cellStyle name="Linked Cell 4_Table" xfId="18590"/>
    <cellStyle name="Linked Cell 5" xfId="320"/>
    <cellStyle name="Linked Cell 5 2" xfId="9648"/>
    <cellStyle name="Linked Cell 5_Table" xfId="18591"/>
    <cellStyle name="Linked Cell 6" xfId="321"/>
    <cellStyle name="Linked Cell 6 2" xfId="9649"/>
    <cellStyle name="Linked Cell 6_Table" xfId="18592"/>
    <cellStyle name="Linked Cell 7" xfId="322"/>
    <cellStyle name="Linked Cell 7 2" xfId="9650"/>
    <cellStyle name="Linked Cell 7_Table" xfId="18593"/>
    <cellStyle name="Linked Cell 8" xfId="323"/>
    <cellStyle name="Linked Cell 8 2" xfId="9651"/>
    <cellStyle name="Linked Cell 8_Table" xfId="18594"/>
    <cellStyle name="Linked Cell 9" xfId="324"/>
    <cellStyle name="Linked Cell 9 2" xfId="9652"/>
    <cellStyle name="Linked Cell 9_Table" xfId="18595"/>
    <cellStyle name="Neutral 10" xfId="325"/>
    <cellStyle name="Neutral 10 2" xfId="9653"/>
    <cellStyle name="Neutral 10_Table" xfId="18596"/>
    <cellStyle name="Neutral 2" xfId="326"/>
    <cellStyle name="Neutral 2 2" xfId="9654"/>
    <cellStyle name="Neutral 2_Table" xfId="18597"/>
    <cellStyle name="Neutral 3" xfId="327"/>
    <cellStyle name="Neutral 3 2" xfId="9655"/>
    <cellStyle name="Neutral 3_Table" xfId="18598"/>
    <cellStyle name="Neutral 4" xfId="328"/>
    <cellStyle name="Neutral 4 2" xfId="9656"/>
    <cellStyle name="Neutral 4_Table" xfId="18599"/>
    <cellStyle name="Neutral 5" xfId="329"/>
    <cellStyle name="Neutral 5 2" xfId="9657"/>
    <cellStyle name="Neutral 5_Table" xfId="18600"/>
    <cellStyle name="Neutral 6" xfId="330"/>
    <cellStyle name="Neutral 6 2" xfId="9658"/>
    <cellStyle name="Neutral 6_Table" xfId="18601"/>
    <cellStyle name="Neutral 7" xfId="331"/>
    <cellStyle name="Neutral 7 2" xfId="9659"/>
    <cellStyle name="Neutral 7_Table" xfId="18602"/>
    <cellStyle name="Neutral 8" xfId="332"/>
    <cellStyle name="Neutral 8 2" xfId="9660"/>
    <cellStyle name="Neutral 8_Table" xfId="18603"/>
    <cellStyle name="Neutral 9" xfId="333"/>
    <cellStyle name="Neutral 9 2" xfId="9661"/>
    <cellStyle name="Neutral 9_Table" xfId="18604"/>
    <cellStyle name="Normal" xfId="0" builtinId="0"/>
    <cellStyle name="Normal 10" xfId="459"/>
    <cellStyle name="Normal 10 2" xfId="9787"/>
    <cellStyle name="Normal 10_Table" xfId="6557"/>
    <cellStyle name="Normal 11" xfId="523"/>
    <cellStyle name="Normal 11 2" xfId="9851"/>
    <cellStyle name="Normal 11_Table" xfId="6558"/>
    <cellStyle name="Normal 12" xfId="570"/>
    <cellStyle name="Normal 12 2" xfId="9898"/>
    <cellStyle name="Normal 12_Table" xfId="6559"/>
    <cellStyle name="Normal 13" xfId="598"/>
    <cellStyle name="Normal 13 2" xfId="9926"/>
    <cellStyle name="Normal 13_Table" xfId="6560"/>
    <cellStyle name="Normal 14" xfId="9328"/>
    <cellStyle name="Normal 2" xfId="1"/>
    <cellStyle name="Normal 2 2" xfId="3"/>
    <cellStyle name="Normal 2 2 2" xfId="4"/>
    <cellStyle name="Normal 2 2 2 2" xfId="388"/>
    <cellStyle name="Normal 2 2 2 2 2" xfId="389"/>
    <cellStyle name="Normal 2 2 2 2 2 2" xfId="446"/>
    <cellStyle name="Normal 2 2 2 2 2 2 2" xfId="447"/>
    <cellStyle name="Normal 2 2 2 2 2 2 2 2" xfId="456"/>
    <cellStyle name="Normal 2 2 2 2 2 2 2 2 2" xfId="457"/>
    <cellStyle name="Normal 2 2 2 2 2 2 2 2 2 2" xfId="596"/>
    <cellStyle name="Normal 2 2 2 2 2 2 2 2 2 2 2" xfId="597"/>
    <cellStyle name="Normal 2 2 2 2 2 2 2 2 2 2 2 2" xfId="9925"/>
    <cellStyle name="Normal 2 2 2 2 2 2 2 2 2 2 2_Table" xfId="18610"/>
    <cellStyle name="Normal 2 2 2 2 2 2 2 2 2 2 3" xfId="9924"/>
    <cellStyle name="Normal 2 2 2 2 2 2 2 2 2 2_Table" xfId="6565"/>
    <cellStyle name="Normal 2 2 2 2 2 2 2 2 2 3" xfId="9785"/>
    <cellStyle name="Normal 2 2 2 2 2 2 2 2 2_Table" xfId="18609"/>
    <cellStyle name="Normal 2 2 2 2 2 2 2 2 3" xfId="9784"/>
    <cellStyle name="Normal 2 2 2 2 2 2 2 2_Table" xfId="6564"/>
    <cellStyle name="Normal 2 2 2 2 2 2 2 3" xfId="522"/>
    <cellStyle name="Normal 2 2 2 2 2 2 2 3 2" xfId="9850"/>
    <cellStyle name="Normal 2 2 2 2 2 2 2 3_Table" xfId="18611"/>
    <cellStyle name="Normal 2 2 2 2 2 2 2 4" xfId="587"/>
    <cellStyle name="Normal 2 2 2 2 2 2 2 4 2" xfId="9915"/>
    <cellStyle name="Normal 2 2 2 2 2 2 2 4_Table" xfId="18612"/>
    <cellStyle name="Normal 2 2 2 2 2 2 2 5" xfId="661"/>
    <cellStyle name="Normal 2 2 2 2 2 2 2 5 2" xfId="9989"/>
    <cellStyle name="Normal 2 2 2 2 2 2 2 5_Table" xfId="18613"/>
    <cellStyle name="Normal 2 2 2 2 2 2 2 6" xfId="9775"/>
    <cellStyle name="Normal 2 2 2 2 2 2 2_Table" xfId="18608"/>
    <cellStyle name="Normal 2 2 2 2 2 2 3" xfId="521"/>
    <cellStyle name="Normal 2 2 2 2 2 2 3 2" xfId="594"/>
    <cellStyle name="Normal 2 2 2 2 2 2 3 2 2" xfId="9922"/>
    <cellStyle name="Normal 2 2 2 2 2 2 3 2_Table" xfId="18614"/>
    <cellStyle name="Normal 2 2 2 2 2 2 3 3" xfId="9849"/>
    <cellStyle name="Normal 2 2 2 2 2 2 3_Table" xfId="6566"/>
    <cellStyle name="Normal 2 2 2 2 2 2 4" xfId="586"/>
    <cellStyle name="Normal 2 2 2 2 2 2 4 2" xfId="9914"/>
    <cellStyle name="Normal 2 2 2 2 2 2 4_Table" xfId="6567"/>
    <cellStyle name="Normal 2 2 2 2 2 2 5" xfId="660"/>
    <cellStyle name="Normal 2 2 2 2 2 2 5 2" xfId="9988"/>
    <cellStyle name="Normal 2 2 2 2 2 2 5_Table" xfId="6568"/>
    <cellStyle name="Normal 2 2 2 2 2 2 6" xfId="9774"/>
    <cellStyle name="Normal 2 2 2 2 2 2_Table" xfId="6563"/>
    <cellStyle name="Normal 2 2 2 2 2 3" xfId="514"/>
    <cellStyle name="Normal 2 2 2 2 2 3 2" xfId="593"/>
    <cellStyle name="Normal 2 2 2 2 2 3 2 2" xfId="9921"/>
    <cellStyle name="Normal 2 2 2 2 2 3 2_Table" xfId="6569"/>
    <cellStyle name="Normal 2 2 2 2 2 3 3" xfId="9842"/>
    <cellStyle name="Normal 2 2 2 2 2 3_Table" xfId="18615"/>
    <cellStyle name="Normal 2 2 2 2 2 4" xfId="579"/>
    <cellStyle name="Normal 2 2 2 2 2 4 2" xfId="9907"/>
    <cellStyle name="Normal 2 2 2 2 2 4_Table" xfId="18616"/>
    <cellStyle name="Normal 2 2 2 2 2 5" xfId="653"/>
    <cellStyle name="Normal 2 2 2 2 2 5 2" xfId="9981"/>
    <cellStyle name="Normal 2 2 2 2 2 5_Table" xfId="18617"/>
    <cellStyle name="Normal 2 2 2 2 2 6" xfId="9717"/>
    <cellStyle name="Normal 2 2 2 2 2_Table" xfId="18607"/>
    <cellStyle name="Normal 2 2 2 2 3" xfId="450"/>
    <cellStyle name="Normal 2 2 2 2 3 2" xfId="9778"/>
    <cellStyle name="Normal 2 2 2 2 3_Table" xfId="18618"/>
    <cellStyle name="Normal 2 2 2 2 4" xfId="513"/>
    <cellStyle name="Normal 2 2 2 2 4 2" xfId="591"/>
    <cellStyle name="Normal 2 2 2 2 4 2 2" xfId="9919"/>
    <cellStyle name="Normal 2 2 2 2 4 2_Table" xfId="18619"/>
    <cellStyle name="Normal 2 2 2 2 4 3" xfId="9841"/>
    <cellStyle name="Normal 2 2 2 2 4_Table" xfId="6570"/>
    <cellStyle name="Normal 2 2 2 2 5" xfId="578"/>
    <cellStyle name="Normal 2 2 2 2 5 2" xfId="9906"/>
    <cellStyle name="Normal 2 2 2 2 5_Table" xfId="6571"/>
    <cellStyle name="Normal 2 2 2 2 6" xfId="652"/>
    <cellStyle name="Normal 2 2 2 2 6 2" xfId="9980"/>
    <cellStyle name="Normal 2 2 2 2 6_Table" xfId="6572"/>
    <cellStyle name="Normal 2 2 2 2 7" xfId="9716"/>
    <cellStyle name="Normal 2 2 2 2_Table" xfId="6562"/>
    <cellStyle name="Normal 2 2 2 3" xfId="440"/>
    <cellStyle name="Normal 2 2 2 3 2" xfId="449"/>
    <cellStyle name="Normal 2 2 2 3 2 2" xfId="453"/>
    <cellStyle name="Normal 2 2 2 3 2 2 2" xfId="9781"/>
    <cellStyle name="Normal 2 2 2 3 2 2_Table" xfId="18621"/>
    <cellStyle name="Normal 2 2 2 3 2 3" xfId="518"/>
    <cellStyle name="Normal 2 2 2 3 2 3 2" xfId="9846"/>
    <cellStyle name="Normal 2 2 2 3 2 3_Table" xfId="18622"/>
    <cellStyle name="Normal 2 2 2 3 2 4" xfId="583"/>
    <cellStyle name="Normal 2 2 2 3 2 4 2" xfId="9911"/>
    <cellStyle name="Normal 2 2 2 3 2 4_Table" xfId="18623"/>
    <cellStyle name="Normal 2 2 2 3 2 5" xfId="657"/>
    <cellStyle name="Normal 2 2 2 3 2 5 2" xfId="9985"/>
    <cellStyle name="Normal 2 2 2 3 2 5_Table" xfId="18624"/>
    <cellStyle name="Normal 2 2 2 3 2 6" xfId="9777"/>
    <cellStyle name="Normal 2 2 2 3 2_Table" xfId="6573"/>
    <cellStyle name="Normal 2 2 2 3 3" xfId="515"/>
    <cellStyle name="Normal 2 2 2 3 3 2" xfId="9843"/>
    <cellStyle name="Normal 2 2 2 3 3_Table" xfId="6574"/>
    <cellStyle name="Normal 2 2 2 3 4" xfId="580"/>
    <cellStyle name="Normal 2 2 2 3 4 2" xfId="9908"/>
    <cellStyle name="Normal 2 2 2 3 4_Table" xfId="6575"/>
    <cellStyle name="Normal 2 2 2 3 5" xfId="654"/>
    <cellStyle name="Normal 2 2 2 3 5 2" xfId="9982"/>
    <cellStyle name="Normal 2 2 2 3 5_Table" xfId="6576"/>
    <cellStyle name="Normal 2 2 2 3 6" xfId="9768"/>
    <cellStyle name="Normal 2 2 2 3_Table" xfId="18620"/>
    <cellStyle name="Normal 2 2 2 4" xfId="508"/>
    <cellStyle name="Normal 2 2 2 4 2" xfId="590"/>
    <cellStyle name="Normal 2 2 2 4 2 2" xfId="9918"/>
    <cellStyle name="Normal 2 2 2 4 2_Table" xfId="6577"/>
    <cellStyle name="Normal 2 2 2 4 3" xfId="9836"/>
    <cellStyle name="Normal 2 2 2 4_Table" xfId="18625"/>
    <cellStyle name="Normal 2 2 2 5" xfId="573"/>
    <cellStyle name="Normal 2 2 2 5 2" xfId="9901"/>
    <cellStyle name="Normal 2 2 2 5_Table" xfId="18626"/>
    <cellStyle name="Normal 2 2 2 6" xfId="647"/>
    <cellStyle name="Normal 2 2 2 6 2" xfId="9975"/>
    <cellStyle name="Normal 2 2 2 6_Table" xfId="18627"/>
    <cellStyle name="Normal 2 2 2 7" xfId="9332"/>
    <cellStyle name="Normal 2 2 2_Table" xfId="18606"/>
    <cellStyle name="Normal 2 2 3" xfId="335"/>
    <cellStyle name="Normal 2 2 3 2" xfId="439"/>
    <cellStyle name="Normal 2 2 3 2 2" xfId="444"/>
    <cellStyle name="Normal 2 2 3 2 2 2" xfId="452"/>
    <cellStyle name="Normal 2 2 3 2 2 2 2" xfId="455"/>
    <cellStyle name="Normal 2 2 3 2 2 2 2 2" xfId="9783"/>
    <cellStyle name="Normal 2 2 3 2 2 2 2_Table" xfId="18630"/>
    <cellStyle name="Normal 2 2 3 2 2 2 3" xfId="9780"/>
    <cellStyle name="Normal 2 2 3 2 2 2_Table" xfId="6579"/>
    <cellStyle name="Normal 2 2 3 2 2 3" xfId="520"/>
    <cellStyle name="Normal 2 2 3 2 2 3 2" xfId="9848"/>
    <cellStyle name="Normal 2 2 3 2 2 3_Table" xfId="18631"/>
    <cellStyle name="Normal 2 2 3 2 2 4" xfId="585"/>
    <cellStyle name="Normal 2 2 3 2 2 4 2" xfId="9913"/>
    <cellStyle name="Normal 2 2 3 2 2 4_Table" xfId="18632"/>
    <cellStyle name="Normal 2 2 3 2 2 5" xfId="659"/>
    <cellStyle name="Normal 2 2 3 2 2 5 2" xfId="9987"/>
    <cellStyle name="Normal 2 2 3 2 2 5_Table" xfId="18633"/>
    <cellStyle name="Normal 2 2 3 2 2 6" xfId="9772"/>
    <cellStyle name="Normal 2 2 3 2 2_Table" xfId="18629"/>
    <cellStyle name="Normal 2 2 3 2 3" xfId="517"/>
    <cellStyle name="Normal 2 2 3 2 3 2" xfId="9845"/>
    <cellStyle name="Normal 2 2 3 2 3_Table" xfId="6580"/>
    <cellStyle name="Normal 2 2 3 2 4" xfId="582"/>
    <cellStyle name="Normal 2 2 3 2 4 2" xfId="9910"/>
    <cellStyle name="Normal 2 2 3 2 4_Table" xfId="6581"/>
    <cellStyle name="Normal 2 2 3 2 5" xfId="656"/>
    <cellStyle name="Normal 2 2 3 2 5 2" xfId="9984"/>
    <cellStyle name="Normal 2 2 3 2 5_Table" xfId="6582"/>
    <cellStyle name="Normal 2 2 3 2 6" xfId="9767"/>
    <cellStyle name="Normal 2 2 3 2_Table" xfId="6578"/>
    <cellStyle name="Normal 2 2 3 3" xfId="511"/>
    <cellStyle name="Normal 2 2 3 3 2" xfId="9839"/>
    <cellStyle name="Normal 2 2 3 3_Table" xfId="18634"/>
    <cellStyle name="Normal 2 2 3 4" xfId="576"/>
    <cellStyle name="Normal 2 2 3 4 2" xfId="9904"/>
    <cellStyle name="Normal 2 2 3 4_Table" xfId="18635"/>
    <cellStyle name="Normal 2 2 3 5" xfId="650"/>
    <cellStyle name="Normal 2 2 3 5 2" xfId="9978"/>
    <cellStyle name="Normal 2 2 3 5_Table" xfId="18636"/>
    <cellStyle name="Normal 2 2 3 6" xfId="9663"/>
    <cellStyle name="Normal 2 2 3_Table" xfId="18628"/>
    <cellStyle name="Normal 2 2 4" xfId="443"/>
    <cellStyle name="Normal 2 2 4 2" xfId="9771"/>
    <cellStyle name="Normal 2 2 4_Table" xfId="18637"/>
    <cellStyle name="Normal 2 2 5" xfId="507"/>
    <cellStyle name="Normal 2 2 5 2" xfId="589"/>
    <cellStyle name="Normal 2 2 5 2 2" xfId="9917"/>
    <cellStyle name="Normal 2 2 5 2_Table" xfId="18638"/>
    <cellStyle name="Normal 2 2 5 3" xfId="9835"/>
    <cellStyle name="Normal 2 2 5_Table" xfId="6583"/>
    <cellStyle name="Normal 2 2 6" xfId="572"/>
    <cellStyle name="Normal 2 2 6 2" xfId="9900"/>
    <cellStyle name="Normal 2 2 6_Table" xfId="6584"/>
    <cellStyle name="Normal 2 2 7" xfId="646"/>
    <cellStyle name="Normal 2 2 7 2" xfId="9974"/>
    <cellStyle name="Normal 2 2 7_Table" xfId="6585"/>
    <cellStyle name="Normal 2 2 8" xfId="9331"/>
    <cellStyle name="Normal 2 2_Table" xfId="6561"/>
    <cellStyle name="Normal 2 3" xfId="334"/>
    <cellStyle name="Normal 2 3 2" xfId="386"/>
    <cellStyle name="Normal 2 3 2 2" xfId="442"/>
    <cellStyle name="Normal 2 3 2 2 2" xfId="451"/>
    <cellStyle name="Normal 2 3 2 2 2 2" xfId="454"/>
    <cellStyle name="Normal 2 3 2 2 2 2 2" xfId="9782"/>
    <cellStyle name="Normal 2 3 2 2 2 2_Table" xfId="6588"/>
    <cellStyle name="Normal 2 3 2 2 2 3" xfId="9779"/>
    <cellStyle name="Normal 2 3 2 2 2_Table" xfId="18640"/>
    <cellStyle name="Normal 2 3 2 2 3" xfId="519"/>
    <cellStyle name="Normal 2 3 2 2 3 2" xfId="9847"/>
    <cellStyle name="Normal 2 3 2 2 3_Table" xfId="6589"/>
    <cellStyle name="Normal 2 3 2 2 4" xfId="584"/>
    <cellStyle name="Normal 2 3 2 2 4 2" xfId="9912"/>
    <cellStyle name="Normal 2 3 2 2 4_Table" xfId="6590"/>
    <cellStyle name="Normal 2 3 2 2 5" xfId="658"/>
    <cellStyle name="Normal 2 3 2 2 5 2" xfId="9986"/>
    <cellStyle name="Normal 2 3 2 2 5_Table" xfId="6591"/>
    <cellStyle name="Normal 2 3 2 2 6" xfId="9770"/>
    <cellStyle name="Normal 2 3 2 2_Table" xfId="6587"/>
    <cellStyle name="Normal 2 3 2 3" xfId="516"/>
    <cellStyle name="Normal 2 3 2 3 2" xfId="9844"/>
    <cellStyle name="Normal 2 3 2 3_Table" xfId="18641"/>
    <cellStyle name="Normal 2 3 2 4" xfId="581"/>
    <cellStyle name="Normal 2 3 2 4 2" xfId="9909"/>
    <cellStyle name="Normal 2 3 2 4_Table" xfId="18642"/>
    <cellStyle name="Normal 2 3 2 5" xfId="655"/>
    <cellStyle name="Normal 2 3 2 5 2" xfId="9983"/>
    <cellStyle name="Normal 2 3 2 5_Table" xfId="18643"/>
    <cellStyle name="Normal 2 3 2 6" xfId="9714"/>
    <cellStyle name="Normal 2 3 2_Table" xfId="18639"/>
    <cellStyle name="Normal 2 3 3" xfId="510"/>
    <cellStyle name="Normal 2 3 3 2" xfId="9838"/>
    <cellStyle name="Normal 2 3 3_Table" xfId="6592"/>
    <cellStyle name="Normal 2 3 4" xfId="575"/>
    <cellStyle name="Normal 2 3 4 2" xfId="9903"/>
    <cellStyle name="Normal 2 3 4_Table" xfId="6593"/>
    <cellStyle name="Normal 2 3 5" xfId="649"/>
    <cellStyle name="Normal 2 3 5 2" xfId="9977"/>
    <cellStyle name="Normal 2 3 5_Table" xfId="6594"/>
    <cellStyle name="Normal 2 3 6" xfId="9662"/>
    <cellStyle name="Normal 2 3_Table" xfId="6586"/>
    <cellStyle name="Normal 2 4" xfId="410"/>
    <cellStyle name="Normal 2 4 2" xfId="445"/>
    <cellStyle name="Normal 2 4 2 2" xfId="9773"/>
    <cellStyle name="Normal 2 4 2_Table" xfId="6595"/>
    <cellStyle name="Normal 2 4 3" xfId="512"/>
    <cellStyle name="Normal 2 4 3 2" xfId="9840"/>
    <cellStyle name="Normal 2 4 3_Table" xfId="6596"/>
    <cellStyle name="Normal 2 4 4" xfId="577"/>
    <cellStyle name="Normal 2 4 4 2" xfId="9905"/>
    <cellStyle name="Normal 2 4 4_Table" xfId="6597"/>
    <cellStyle name="Normal 2 4 5" xfId="651"/>
    <cellStyle name="Normal 2 4 5 2" xfId="9979"/>
    <cellStyle name="Normal 2 4 5_Table" xfId="6598"/>
    <cellStyle name="Normal 2 4 6" xfId="9738"/>
    <cellStyle name="Normal 2 4_Table" xfId="18644"/>
    <cellStyle name="Normal 2 5" xfId="478"/>
    <cellStyle name="Normal 2 5 2" xfId="588"/>
    <cellStyle name="Normal 2 5 2 2" xfId="9916"/>
    <cellStyle name="Normal 2 5 2_Table" xfId="6599"/>
    <cellStyle name="Normal 2 5 3" xfId="9806"/>
    <cellStyle name="Normal 2 5_Table" xfId="18645"/>
    <cellStyle name="Normal 2 6" xfId="542"/>
    <cellStyle name="Normal 2 6 2" xfId="9870"/>
    <cellStyle name="Normal 2 6_Table" xfId="18646"/>
    <cellStyle name="Normal 2 7" xfId="617"/>
    <cellStyle name="Normal 2 7 2" xfId="9945"/>
    <cellStyle name="Normal 2 7_Table" xfId="18647"/>
    <cellStyle name="Normal 2 8" xfId="9329"/>
    <cellStyle name="Normal 2_Table" xfId="18605"/>
    <cellStyle name="Normal 27" xfId="336"/>
    <cellStyle name="Normal 27 2" xfId="9664"/>
    <cellStyle name="Normal 3" xfId="5"/>
    <cellStyle name="Normal 3 2" xfId="337"/>
    <cellStyle name="Normal 3 2 2" xfId="387"/>
    <cellStyle name="Normal 3 2 2 2" xfId="390"/>
    <cellStyle name="Normal 3 2 2 2 2" xfId="9718"/>
    <cellStyle name="Normal 3 2 2 2_Table" xfId="6602"/>
    <cellStyle name="Normal 3 2 2 3" xfId="9715"/>
    <cellStyle name="Normal 3 2 2_Table" xfId="6601"/>
    <cellStyle name="Normal 3 2 3" xfId="441"/>
    <cellStyle name="Normal 3 2 3 2" xfId="9769"/>
    <cellStyle name="Normal 3 2 3_Table" xfId="6603"/>
    <cellStyle name="Normal 3 2 4" xfId="509"/>
    <cellStyle name="Normal 3 2 4 2" xfId="9837"/>
    <cellStyle name="Normal 3 2 4_Table" xfId="6604"/>
    <cellStyle name="Normal 3 2 5" xfId="574"/>
    <cellStyle name="Normal 3 2 5 2" xfId="9902"/>
    <cellStyle name="Normal 3 2 5_Table" xfId="6605"/>
    <cellStyle name="Normal 3 2 6" xfId="648"/>
    <cellStyle name="Normal 3 2 6 2" xfId="9976"/>
    <cellStyle name="Normal 3 2 6_Table" xfId="6606"/>
    <cellStyle name="Normal 3 2 7" xfId="9665"/>
    <cellStyle name="Normal 3 2_Table" xfId="6600"/>
    <cellStyle name="Normal 3 3" xfId="438"/>
    <cellStyle name="Normal 3 3 2" xfId="592"/>
    <cellStyle name="Normal 3 3 2 2" xfId="9920"/>
    <cellStyle name="Normal 3 3 2_Table" xfId="6608"/>
    <cellStyle name="Normal 3 3 3" xfId="9766"/>
    <cellStyle name="Normal 3 3_Table" xfId="6607"/>
    <cellStyle name="Normal 3 4" xfId="448"/>
    <cellStyle name="Normal 3 4 2" xfId="595"/>
    <cellStyle name="Normal 3 4 2 2" xfId="9923"/>
    <cellStyle name="Normal 3 4 2_Table" xfId="6610"/>
    <cellStyle name="Normal 3 4 3" xfId="9776"/>
    <cellStyle name="Normal 3 4_Table" xfId="6609"/>
    <cellStyle name="Normal 3 5" xfId="506"/>
    <cellStyle name="Normal 3 5 2" xfId="9834"/>
    <cellStyle name="Normal 3 5_Table" xfId="6611"/>
    <cellStyle name="Normal 3 6" xfId="571"/>
    <cellStyle name="Normal 3 6 2" xfId="9899"/>
    <cellStyle name="Normal 3 6_Table" xfId="6612"/>
    <cellStyle name="Normal 3 7" xfId="645"/>
    <cellStyle name="Normal 3 7 2" xfId="9973"/>
    <cellStyle name="Normal 3 7_Table" xfId="6613"/>
    <cellStyle name="Normal 3 8" xfId="9333"/>
    <cellStyle name="Normal 3_Table" xfId="18648"/>
    <cellStyle name="Normal 4" xfId="8"/>
    <cellStyle name="Normal 4 2" xfId="385"/>
    <cellStyle name="Normal 4 2 2" xfId="9713"/>
    <cellStyle name="Normal 4 2_Table" xfId="6615"/>
    <cellStyle name="Normal 4 3" xfId="9336"/>
    <cellStyle name="Normal 4_Table" xfId="6614"/>
    <cellStyle name="Normal 5" xfId="338"/>
    <cellStyle name="Normal 5 2" xfId="9666"/>
    <cellStyle name="Normal 5_Table" xfId="18649"/>
    <cellStyle name="Normal 6" xfId="339"/>
    <cellStyle name="Normal 6 2" xfId="9667"/>
    <cellStyle name="Normal 6_Table" xfId="18650"/>
    <cellStyle name="Normal 7" xfId="6"/>
    <cellStyle name="Normal 7 2" xfId="9334"/>
    <cellStyle name="Normal 7_Table" xfId="6616"/>
    <cellStyle name="Normal 8" xfId="391"/>
    <cellStyle name="Normal 8 2" xfId="9719"/>
    <cellStyle name="Normal 8_Table" xfId="6617"/>
    <cellStyle name="Normal 9" xfId="458"/>
    <cellStyle name="Normal 9 2" xfId="9786"/>
    <cellStyle name="Normal 9_Table" xfId="6618"/>
    <cellStyle name="Note 10" xfId="340"/>
    <cellStyle name="Note 10 10" xfId="1741"/>
    <cellStyle name="Note 10 10 2" xfId="11069"/>
    <cellStyle name="Note 10 10 2 2" xfId="24375"/>
    <cellStyle name="Note 10 10 3" xfId="15479"/>
    <cellStyle name="Note 10 10 3 2" xfId="28785"/>
    <cellStyle name="Note 10 10 4" xfId="19965"/>
    <cellStyle name="Note 10 10_Table" xfId="6620"/>
    <cellStyle name="Note 10 11" xfId="2175"/>
    <cellStyle name="Note 10 11 2" xfId="11503"/>
    <cellStyle name="Note 10 11 2 2" xfId="24809"/>
    <cellStyle name="Note 10 11 3" xfId="15913"/>
    <cellStyle name="Note 10 11 3 2" xfId="29219"/>
    <cellStyle name="Note 10 11 4" xfId="20399"/>
    <cellStyle name="Note 10 11_Table" xfId="6621"/>
    <cellStyle name="Note 10 12" xfId="2608"/>
    <cellStyle name="Note 10 12 2" xfId="11936"/>
    <cellStyle name="Note 10 12 2 2" xfId="25242"/>
    <cellStyle name="Note 10 12 3" xfId="16346"/>
    <cellStyle name="Note 10 12 3 2" xfId="29652"/>
    <cellStyle name="Note 10 12 4" xfId="20832"/>
    <cellStyle name="Note 10 12_Table" xfId="6622"/>
    <cellStyle name="Note 10 13" xfId="3650"/>
    <cellStyle name="Note 10 13 2" xfId="12978"/>
    <cellStyle name="Note 10 13 2 2" xfId="26284"/>
    <cellStyle name="Note 10 13 3" xfId="17388"/>
    <cellStyle name="Note 10 13 3 2" xfId="30694"/>
    <cellStyle name="Note 10 13 4" xfId="21874"/>
    <cellStyle name="Note 10 13_Table" xfId="6623"/>
    <cellStyle name="Note 10 14" xfId="3045"/>
    <cellStyle name="Note 10 14 2" xfId="12373"/>
    <cellStyle name="Note 10 14 2 2" xfId="25679"/>
    <cellStyle name="Note 10 14 3" xfId="16783"/>
    <cellStyle name="Note 10 14 3 2" xfId="30089"/>
    <cellStyle name="Note 10 14 4" xfId="21269"/>
    <cellStyle name="Note 10 14_Table" xfId="6624"/>
    <cellStyle name="Note 10 15" xfId="3634"/>
    <cellStyle name="Note 10 15 2" xfId="12962"/>
    <cellStyle name="Note 10 15 2 2" xfId="26268"/>
    <cellStyle name="Note 10 15 3" xfId="17372"/>
    <cellStyle name="Note 10 15 3 2" xfId="30678"/>
    <cellStyle name="Note 10 15 4" xfId="21858"/>
    <cellStyle name="Note 10 15_Table" xfId="6625"/>
    <cellStyle name="Note 10 16" xfId="9668"/>
    <cellStyle name="Note 10 16 2" xfId="23089"/>
    <cellStyle name="Note 10 17" xfId="14193"/>
    <cellStyle name="Note 10 17 2" xfId="27499"/>
    <cellStyle name="Note 10 18" xfId="18679"/>
    <cellStyle name="Note 10 2" xfId="411"/>
    <cellStyle name="Note 10 2 10" xfId="1272"/>
    <cellStyle name="Note 10 2 10 2" xfId="10600"/>
    <cellStyle name="Note 10 2 10 2 2" xfId="23906"/>
    <cellStyle name="Note 10 2 10 3" xfId="15010"/>
    <cellStyle name="Note 10 2 10 3 2" xfId="28316"/>
    <cellStyle name="Note 10 2 10 4" xfId="19496"/>
    <cellStyle name="Note 10 2 10_Table" xfId="6627"/>
    <cellStyle name="Note 10 2 11" xfId="3642"/>
    <cellStyle name="Note 10 2 11 2" xfId="12970"/>
    <cellStyle name="Note 10 2 11 2 2" xfId="26276"/>
    <cellStyle name="Note 10 2 11 3" xfId="17380"/>
    <cellStyle name="Note 10 2 11 3 2" xfId="30686"/>
    <cellStyle name="Note 10 2 11 4" xfId="21866"/>
    <cellStyle name="Note 10 2 11_Table" xfId="6628"/>
    <cellStyle name="Note 10 2 12" xfId="9739"/>
    <cellStyle name="Note 10 2 12 2" xfId="23134"/>
    <cellStyle name="Note 10 2 13" xfId="14238"/>
    <cellStyle name="Note 10 2 13 2" xfId="27544"/>
    <cellStyle name="Note 10 2 14" xfId="18724"/>
    <cellStyle name="Note 10 2 2" xfId="725"/>
    <cellStyle name="Note 10 2 2 10" xfId="4685"/>
    <cellStyle name="Note 10 2 2 10 2" xfId="14013"/>
    <cellStyle name="Note 10 2 2 10 2 2" xfId="27319"/>
    <cellStyle name="Note 10 2 2 10 3" xfId="18423"/>
    <cellStyle name="Note 10 2 2 10 3 2" xfId="31729"/>
    <cellStyle name="Note 10 2 2 10 4" xfId="22909"/>
    <cellStyle name="Note 10 2 2 10_Table" xfId="6630"/>
    <cellStyle name="Note 10 2 2 11" xfId="10053"/>
    <cellStyle name="Note 10 2 2 11 2" xfId="23359"/>
    <cellStyle name="Note 10 2 2 12" xfId="14463"/>
    <cellStyle name="Note 10 2 2 12 2" xfId="27769"/>
    <cellStyle name="Note 10 2 2 13" xfId="18949"/>
    <cellStyle name="Note 10 2 2 2" xfId="1511"/>
    <cellStyle name="Note 10 2 2 2 2" xfId="10839"/>
    <cellStyle name="Note 10 2 2 2 2 2" xfId="24145"/>
    <cellStyle name="Note 10 2 2 2 3" xfId="15249"/>
    <cellStyle name="Note 10 2 2 2 3 2" xfId="28555"/>
    <cellStyle name="Note 10 2 2 2 4" xfId="19735"/>
    <cellStyle name="Note 10 2 2 2_Table" xfId="6631"/>
    <cellStyle name="Note 10 2 2 3" xfId="1871"/>
    <cellStyle name="Note 10 2 2 3 2" xfId="11199"/>
    <cellStyle name="Note 10 2 2 3 2 2" xfId="24505"/>
    <cellStyle name="Note 10 2 2 3 3" xfId="15609"/>
    <cellStyle name="Note 10 2 2 3 3 2" xfId="28915"/>
    <cellStyle name="Note 10 2 2 3 4" xfId="20095"/>
    <cellStyle name="Note 10 2 2 3_Table" xfId="6632"/>
    <cellStyle name="Note 10 2 2 4" xfId="2301"/>
    <cellStyle name="Note 10 2 2 4 2" xfId="11629"/>
    <cellStyle name="Note 10 2 2 4 2 2" xfId="24935"/>
    <cellStyle name="Note 10 2 2 4 3" xfId="16039"/>
    <cellStyle name="Note 10 2 2 4 3 2" xfId="29345"/>
    <cellStyle name="Note 10 2 2 4 4" xfId="20525"/>
    <cellStyle name="Note 10 2 2 4_Table" xfId="6633"/>
    <cellStyle name="Note 10 2 2 5" xfId="2739"/>
    <cellStyle name="Note 10 2 2 5 2" xfId="12067"/>
    <cellStyle name="Note 10 2 2 5 2 2" xfId="25373"/>
    <cellStyle name="Note 10 2 2 5 3" xfId="16477"/>
    <cellStyle name="Note 10 2 2 5 3 2" xfId="29783"/>
    <cellStyle name="Note 10 2 2 5 4" xfId="20963"/>
    <cellStyle name="Note 10 2 2 5_Table" xfId="6634"/>
    <cellStyle name="Note 10 2 2 6" xfId="3146"/>
    <cellStyle name="Note 10 2 2 6 2" xfId="12474"/>
    <cellStyle name="Note 10 2 2 6 2 2" xfId="25780"/>
    <cellStyle name="Note 10 2 2 6 3" xfId="16884"/>
    <cellStyle name="Note 10 2 2 6 3 2" xfId="30190"/>
    <cellStyle name="Note 10 2 2 6 4" xfId="21370"/>
    <cellStyle name="Note 10 2 2 6_Table" xfId="6635"/>
    <cellStyle name="Note 10 2 2 7" xfId="3738"/>
    <cellStyle name="Note 10 2 2 7 2" xfId="13066"/>
    <cellStyle name="Note 10 2 2 7 2 2" xfId="26372"/>
    <cellStyle name="Note 10 2 2 7 3" xfId="17476"/>
    <cellStyle name="Note 10 2 2 7 3 2" xfId="30782"/>
    <cellStyle name="Note 10 2 2 7 4" xfId="21962"/>
    <cellStyle name="Note 10 2 2 7_Table" xfId="6636"/>
    <cellStyle name="Note 10 2 2 8" xfId="3963"/>
    <cellStyle name="Note 10 2 2 8 2" xfId="13291"/>
    <cellStyle name="Note 10 2 2 8 2 2" xfId="26597"/>
    <cellStyle name="Note 10 2 2 8 3" xfId="17701"/>
    <cellStyle name="Note 10 2 2 8 3 2" xfId="31007"/>
    <cellStyle name="Note 10 2 2 8 4" xfId="22187"/>
    <cellStyle name="Note 10 2 2 8_Table" xfId="6637"/>
    <cellStyle name="Note 10 2 2 9" xfId="4324"/>
    <cellStyle name="Note 10 2 2 9 2" xfId="13652"/>
    <cellStyle name="Note 10 2 2 9 2 2" xfId="26958"/>
    <cellStyle name="Note 10 2 2 9 3" xfId="18062"/>
    <cellStyle name="Note 10 2 2 9 3 2" xfId="31368"/>
    <cellStyle name="Note 10 2 2 9 4" xfId="22548"/>
    <cellStyle name="Note 10 2 2 9_Table" xfId="6638"/>
    <cellStyle name="Note 10 2 2_Table" xfId="6629"/>
    <cellStyle name="Note 10 2 3" xfId="1225"/>
    <cellStyle name="Note 10 2 3 2" xfId="10553"/>
    <cellStyle name="Note 10 2 3 2 2" xfId="23859"/>
    <cellStyle name="Note 10 2 3 3" xfId="14963"/>
    <cellStyle name="Note 10 2 3 3 2" xfId="28269"/>
    <cellStyle name="Note 10 2 3 4" xfId="19449"/>
    <cellStyle name="Note 10 2 3_Table" xfId="6639"/>
    <cellStyle name="Note 10 2 4" xfId="1001"/>
    <cellStyle name="Note 10 2 4 2" xfId="10329"/>
    <cellStyle name="Note 10 2 4 2 2" xfId="23635"/>
    <cellStyle name="Note 10 2 4 3" xfId="14739"/>
    <cellStyle name="Note 10 2 4 3 2" xfId="28045"/>
    <cellStyle name="Note 10 2 4 4" xfId="19225"/>
    <cellStyle name="Note 10 2 4_Table" xfId="6640"/>
    <cellStyle name="Note 10 2 5" xfId="892"/>
    <cellStyle name="Note 10 2 5 2" xfId="10220"/>
    <cellStyle name="Note 10 2 5 2 2" xfId="23526"/>
    <cellStyle name="Note 10 2 5 3" xfId="14630"/>
    <cellStyle name="Note 10 2 5 3 2" xfId="27936"/>
    <cellStyle name="Note 10 2 5 4" xfId="19116"/>
    <cellStyle name="Note 10 2 5_Table" xfId="6641"/>
    <cellStyle name="Note 10 2 6" xfId="1795"/>
    <cellStyle name="Note 10 2 6 2" xfId="11123"/>
    <cellStyle name="Note 10 2 6 2 2" xfId="24429"/>
    <cellStyle name="Note 10 2 6 3" xfId="15533"/>
    <cellStyle name="Note 10 2 6 3 2" xfId="28839"/>
    <cellStyle name="Note 10 2 6 4" xfId="20019"/>
    <cellStyle name="Note 10 2 6_Table" xfId="6642"/>
    <cellStyle name="Note 10 2 7" xfId="2227"/>
    <cellStyle name="Note 10 2 7 2" xfId="11555"/>
    <cellStyle name="Note 10 2 7 2 2" xfId="24861"/>
    <cellStyle name="Note 10 2 7 3" xfId="15965"/>
    <cellStyle name="Note 10 2 7 3 2" xfId="29271"/>
    <cellStyle name="Note 10 2 7 4" xfId="20451"/>
    <cellStyle name="Note 10 2 7_Table" xfId="6643"/>
    <cellStyle name="Note 10 2 8" xfId="2662"/>
    <cellStyle name="Note 10 2 8 2" xfId="11990"/>
    <cellStyle name="Note 10 2 8 2 2" xfId="25296"/>
    <cellStyle name="Note 10 2 8 3" xfId="16400"/>
    <cellStyle name="Note 10 2 8 3 2" xfId="29706"/>
    <cellStyle name="Note 10 2 8 4" xfId="20886"/>
    <cellStyle name="Note 10 2 8_Table" xfId="6644"/>
    <cellStyle name="Note 10 2 9" xfId="1027"/>
    <cellStyle name="Note 10 2 9 2" xfId="10355"/>
    <cellStyle name="Note 10 2 9 2 2" xfId="23661"/>
    <cellStyle name="Note 10 2 9 3" xfId="14765"/>
    <cellStyle name="Note 10 2 9 3 2" xfId="28071"/>
    <cellStyle name="Note 10 2 9 4" xfId="19251"/>
    <cellStyle name="Note 10 2 9_Table" xfId="6645"/>
    <cellStyle name="Note 10 2_Table" xfId="6626"/>
    <cellStyle name="Note 10 3" xfId="479"/>
    <cellStyle name="Note 10 3 10" xfId="4144"/>
    <cellStyle name="Note 10 3 10 2" xfId="13472"/>
    <cellStyle name="Note 10 3 10 2 2" xfId="26778"/>
    <cellStyle name="Note 10 3 10 3" xfId="17882"/>
    <cellStyle name="Note 10 3 10 3 2" xfId="31188"/>
    <cellStyle name="Note 10 3 10 4" xfId="22368"/>
    <cellStyle name="Note 10 3 10_Table" xfId="6647"/>
    <cellStyle name="Note 10 3 11" xfId="4505"/>
    <cellStyle name="Note 10 3 11 2" xfId="13833"/>
    <cellStyle name="Note 10 3 11 2 2" xfId="27139"/>
    <cellStyle name="Note 10 3 11 3" xfId="18243"/>
    <cellStyle name="Note 10 3 11 3 2" xfId="31549"/>
    <cellStyle name="Note 10 3 11 4" xfId="22729"/>
    <cellStyle name="Note 10 3 11_Table" xfId="6648"/>
    <cellStyle name="Note 10 3 12" xfId="9807"/>
    <cellStyle name="Note 10 3 12 2" xfId="23179"/>
    <cellStyle name="Note 10 3 13" xfId="14283"/>
    <cellStyle name="Note 10 3 13 2" xfId="27589"/>
    <cellStyle name="Note 10 3 14" xfId="18769"/>
    <cellStyle name="Note 10 3 2" xfId="770"/>
    <cellStyle name="Note 10 3 2 10" xfId="4730"/>
    <cellStyle name="Note 10 3 2 10 2" xfId="14058"/>
    <cellStyle name="Note 10 3 2 10 2 2" xfId="27364"/>
    <cellStyle name="Note 10 3 2 10 3" xfId="18468"/>
    <cellStyle name="Note 10 3 2 10 3 2" xfId="31774"/>
    <cellStyle name="Note 10 3 2 10 4" xfId="22954"/>
    <cellStyle name="Note 10 3 2 10_Table" xfId="6650"/>
    <cellStyle name="Note 10 3 2 11" xfId="10098"/>
    <cellStyle name="Note 10 3 2 11 2" xfId="23404"/>
    <cellStyle name="Note 10 3 2 12" xfId="14508"/>
    <cellStyle name="Note 10 3 2 12 2" xfId="27814"/>
    <cellStyle name="Note 10 3 2 13" xfId="18994"/>
    <cellStyle name="Note 10 3 2 2" xfId="1556"/>
    <cellStyle name="Note 10 3 2 2 2" xfId="10884"/>
    <cellStyle name="Note 10 3 2 2 2 2" xfId="24190"/>
    <cellStyle name="Note 10 3 2 2 3" xfId="15294"/>
    <cellStyle name="Note 10 3 2 2 3 2" xfId="28600"/>
    <cellStyle name="Note 10 3 2 2 4" xfId="19780"/>
    <cellStyle name="Note 10 3 2 2_Table" xfId="6651"/>
    <cellStyle name="Note 10 3 2 3" xfId="1916"/>
    <cellStyle name="Note 10 3 2 3 2" xfId="11244"/>
    <cellStyle name="Note 10 3 2 3 2 2" xfId="24550"/>
    <cellStyle name="Note 10 3 2 3 3" xfId="15654"/>
    <cellStyle name="Note 10 3 2 3 3 2" xfId="28960"/>
    <cellStyle name="Note 10 3 2 3 4" xfId="20140"/>
    <cellStyle name="Note 10 3 2 3_Table" xfId="6652"/>
    <cellStyle name="Note 10 3 2 4" xfId="2346"/>
    <cellStyle name="Note 10 3 2 4 2" xfId="11674"/>
    <cellStyle name="Note 10 3 2 4 2 2" xfId="24980"/>
    <cellStyle name="Note 10 3 2 4 3" xfId="16084"/>
    <cellStyle name="Note 10 3 2 4 3 2" xfId="29390"/>
    <cellStyle name="Note 10 3 2 4 4" xfId="20570"/>
    <cellStyle name="Note 10 3 2 4_Table" xfId="6653"/>
    <cellStyle name="Note 10 3 2 5" xfId="2784"/>
    <cellStyle name="Note 10 3 2 5 2" xfId="12112"/>
    <cellStyle name="Note 10 3 2 5 2 2" xfId="25418"/>
    <cellStyle name="Note 10 3 2 5 3" xfId="16522"/>
    <cellStyle name="Note 10 3 2 5 3 2" xfId="29828"/>
    <cellStyle name="Note 10 3 2 5 4" xfId="21008"/>
    <cellStyle name="Note 10 3 2 5_Table" xfId="6654"/>
    <cellStyle name="Note 10 3 2 6" xfId="3191"/>
    <cellStyle name="Note 10 3 2 6 2" xfId="12519"/>
    <cellStyle name="Note 10 3 2 6 2 2" xfId="25825"/>
    <cellStyle name="Note 10 3 2 6 3" xfId="16929"/>
    <cellStyle name="Note 10 3 2 6 3 2" xfId="30235"/>
    <cellStyle name="Note 10 3 2 6 4" xfId="21415"/>
    <cellStyle name="Note 10 3 2 6_Table" xfId="6655"/>
    <cellStyle name="Note 10 3 2 7" xfId="3783"/>
    <cellStyle name="Note 10 3 2 7 2" xfId="13111"/>
    <cellStyle name="Note 10 3 2 7 2 2" xfId="26417"/>
    <cellStyle name="Note 10 3 2 7 3" xfId="17521"/>
    <cellStyle name="Note 10 3 2 7 3 2" xfId="30827"/>
    <cellStyle name="Note 10 3 2 7 4" xfId="22007"/>
    <cellStyle name="Note 10 3 2 7_Table" xfId="6656"/>
    <cellStyle name="Note 10 3 2 8" xfId="4008"/>
    <cellStyle name="Note 10 3 2 8 2" xfId="13336"/>
    <cellStyle name="Note 10 3 2 8 2 2" xfId="26642"/>
    <cellStyle name="Note 10 3 2 8 3" xfId="17746"/>
    <cellStyle name="Note 10 3 2 8 3 2" xfId="31052"/>
    <cellStyle name="Note 10 3 2 8 4" xfId="22232"/>
    <cellStyle name="Note 10 3 2 8_Table" xfId="6657"/>
    <cellStyle name="Note 10 3 2 9" xfId="4369"/>
    <cellStyle name="Note 10 3 2 9 2" xfId="13697"/>
    <cellStyle name="Note 10 3 2 9 2 2" xfId="27003"/>
    <cellStyle name="Note 10 3 2 9 3" xfId="18107"/>
    <cellStyle name="Note 10 3 2 9 3 2" xfId="31413"/>
    <cellStyle name="Note 10 3 2 9 4" xfId="22593"/>
    <cellStyle name="Note 10 3 2 9_Table" xfId="6658"/>
    <cellStyle name="Note 10 3 2_Table" xfId="6649"/>
    <cellStyle name="Note 10 3 3" xfId="1282"/>
    <cellStyle name="Note 10 3 3 2" xfId="10610"/>
    <cellStyle name="Note 10 3 3 2 2" xfId="23916"/>
    <cellStyle name="Note 10 3 3 3" xfId="15020"/>
    <cellStyle name="Note 10 3 3 3 2" xfId="28326"/>
    <cellStyle name="Note 10 3 3 4" xfId="19506"/>
    <cellStyle name="Note 10 3 3_Table" xfId="6659"/>
    <cellStyle name="Note 10 3 4" xfId="935"/>
    <cellStyle name="Note 10 3 4 2" xfId="10263"/>
    <cellStyle name="Note 10 3 4 2 2" xfId="23569"/>
    <cellStyle name="Note 10 3 4 3" xfId="14673"/>
    <cellStyle name="Note 10 3 4 3 2" xfId="27979"/>
    <cellStyle name="Note 10 3 4 4" xfId="19159"/>
    <cellStyle name="Note 10 3 4_Table" xfId="6660"/>
    <cellStyle name="Note 10 3 5" xfId="2070"/>
    <cellStyle name="Note 10 3 5 2" xfId="11398"/>
    <cellStyle name="Note 10 3 5 2 2" xfId="24704"/>
    <cellStyle name="Note 10 3 5 3" xfId="15808"/>
    <cellStyle name="Note 10 3 5 3 2" xfId="29114"/>
    <cellStyle name="Note 10 3 5 4" xfId="20294"/>
    <cellStyle name="Note 10 3 5_Table" xfId="6661"/>
    <cellStyle name="Note 10 3 6" xfId="2502"/>
    <cellStyle name="Note 10 3 6 2" xfId="11830"/>
    <cellStyle name="Note 10 3 6 2 2" xfId="25136"/>
    <cellStyle name="Note 10 3 6 3" xfId="16240"/>
    <cellStyle name="Note 10 3 6 3 2" xfId="29546"/>
    <cellStyle name="Note 10 3 6 4" xfId="20726"/>
    <cellStyle name="Note 10 3 6_Table" xfId="6662"/>
    <cellStyle name="Note 10 3 7" xfId="2930"/>
    <cellStyle name="Note 10 3 7 2" xfId="12258"/>
    <cellStyle name="Note 10 3 7 2 2" xfId="25564"/>
    <cellStyle name="Note 10 3 7 3" xfId="16668"/>
    <cellStyle name="Note 10 3 7 3 2" xfId="29974"/>
    <cellStyle name="Note 10 3 7 4" xfId="21154"/>
    <cellStyle name="Note 10 3 7_Table" xfId="6663"/>
    <cellStyle name="Note 10 3 8" xfId="3343"/>
    <cellStyle name="Note 10 3 8 2" xfId="12671"/>
    <cellStyle name="Note 10 3 8 2 2" xfId="25977"/>
    <cellStyle name="Note 10 3 8 3" xfId="17081"/>
    <cellStyle name="Note 10 3 8 3 2" xfId="30387"/>
    <cellStyle name="Note 10 3 8 4" xfId="21567"/>
    <cellStyle name="Note 10 3 8_Table" xfId="6664"/>
    <cellStyle name="Note 10 3 9" xfId="3438"/>
    <cellStyle name="Note 10 3 9 2" xfId="12766"/>
    <cellStyle name="Note 10 3 9 2 2" xfId="26072"/>
    <cellStyle name="Note 10 3 9 3" xfId="17176"/>
    <cellStyle name="Note 10 3 9 3 2" xfId="30482"/>
    <cellStyle name="Note 10 3 9 4" xfId="21662"/>
    <cellStyle name="Note 10 3 9_Table" xfId="6665"/>
    <cellStyle name="Note 10 3_Table" xfId="6646"/>
    <cellStyle name="Note 10 4" xfId="543"/>
    <cellStyle name="Note 10 4 10" xfId="4189"/>
    <cellStyle name="Note 10 4 10 2" xfId="13517"/>
    <cellStyle name="Note 10 4 10 2 2" xfId="26823"/>
    <cellStyle name="Note 10 4 10 3" xfId="17927"/>
    <cellStyle name="Note 10 4 10 3 2" xfId="31233"/>
    <cellStyle name="Note 10 4 10 4" xfId="22413"/>
    <cellStyle name="Note 10 4 10_Table" xfId="6667"/>
    <cellStyle name="Note 10 4 11" xfId="4550"/>
    <cellStyle name="Note 10 4 11 2" xfId="13878"/>
    <cellStyle name="Note 10 4 11 2 2" xfId="27184"/>
    <cellStyle name="Note 10 4 11 3" xfId="18288"/>
    <cellStyle name="Note 10 4 11 3 2" xfId="31594"/>
    <cellStyle name="Note 10 4 11 4" xfId="22774"/>
    <cellStyle name="Note 10 4 11_Table" xfId="6668"/>
    <cellStyle name="Note 10 4 12" xfId="9871"/>
    <cellStyle name="Note 10 4 12 2" xfId="23224"/>
    <cellStyle name="Note 10 4 13" xfId="14328"/>
    <cellStyle name="Note 10 4 13 2" xfId="27634"/>
    <cellStyle name="Note 10 4 14" xfId="18814"/>
    <cellStyle name="Note 10 4 2" xfId="815"/>
    <cellStyle name="Note 10 4 2 10" xfId="4775"/>
    <cellStyle name="Note 10 4 2 10 2" xfId="14103"/>
    <cellStyle name="Note 10 4 2 10 2 2" xfId="27409"/>
    <cellStyle name="Note 10 4 2 10 3" xfId="18513"/>
    <cellStyle name="Note 10 4 2 10 3 2" xfId="31819"/>
    <cellStyle name="Note 10 4 2 10 4" xfId="22999"/>
    <cellStyle name="Note 10 4 2 10_Table" xfId="6670"/>
    <cellStyle name="Note 10 4 2 11" xfId="10143"/>
    <cellStyle name="Note 10 4 2 11 2" xfId="23449"/>
    <cellStyle name="Note 10 4 2 12" xfId="14553"/>
    <cellStyle name="Note 10 4 2 12 2" xfId="27859"/>
    <cellStyle name="Note 10 4 2 13" xfId="19039"/>
    <cellStyle name="Note 10 4 2 2" xfId="1601"/>
    <cellStyle name="Note 10 4 2 2 2" xfId="10929"/>
    <cellStyle name="Note 10 4 2 2 2 2" xfId="24235"/>
    <cellStyle name="Note 10 4 2 2 3" xfId="15339"/>
    <cellStyle name="Note 10 4 2 2 3 2" xfId="28645"/>
    <cellStyle name="Note 10 4 2 2 4" xfId="19825"/>
    <cellStyle name="Note 10 4 2 2_Table" xfId="6671"/>
    <cellStyle name="Note 10 4 2 3" xfId="1961"/>
    <cellStyle name="Note 10 4 2 3 2" xfId="11289"/>
    <cellStyle name="Note 10 4 2 3 2 2" xfId="24595"/>
    <cellStyle name="Note 10 4 2 3 3" xfId="15699"/>
    <cellStyle name="Note 10 4 2 3 3 2" xfId="29005"/>
    <cellStyle name="Note 10 4 2 3 4" xfId="20185"/>
    <cellStyle name="Note 10 4 2 3_Table" xfId="6672"/>
    <cellStyle name="Note 10 4 2 4" xfId="2391"/>
    <cellStyle name="Note 10 4 2 4 2" xfId="11719"/>
    <cellStyle name="Note 10 4 2 4 2 2" xfId="25025"/>
    <cellStyle name="Note 10 4 2 4 3" xfId="16129"/>
    <cellStyle name="Note 10 4 2 4 3 2" xfId="29435"/>
    <cellStyle name="Note 10 4 2 4 4" xfId="20615"/>
    <cellStyle name="Note 10 4 2 4_Table" xfId="6673"/>
    <cellStyle name="Note 10 4 2 5" xfId="2829"/>
    <cellStyle name="Note 10 4 2 5 2" xfId="12157"/>
    <cellStyle name="Note 10 4 2 5 2 2" xfId="25463"/>
    <cellStyle name="Note 10 4 2 5 3" xfId="16567"/>
    <cellStyle name="Note 10 4 2 5 3 2" xfId="29873"/>
    <cellStyle name="Note 10 4 2 5 4" xfId="21053"/>
    <cellStyle name="Note 10 4 2 5_Table" xfId="6674"/>
    <cellStyle name="Note 10 4 2 6" xfId="3236"/>
    <cellStyle name="Note 10 4 2 6 2" xfId="12564"/>
    <cellStyle name="Note 10 4 2 6 2 2" xfId="25870"/>
    <cellStyle name="Note 10 4 2 6 3" xfId="16974"/>
    <cellStyle name="Note 10 4 2 6 3 2" xfId="30280"/>
    <cellStyle name="Note 10 4 2 6 4" xfId="21460"/>
    <cellStyle name="Note 10 4 2 6_Table" xfId="6675"/>
    <cellStyle name="Note 10 4 2 7" xfId="3828"/>
    <cellStyle name="Note 10 4 2 7 2" xfId="13156"/>
    <cellStyle name="Note 10 4 2 7 2 2" xfId="26462"/>
    <cellStyle name="Note 10 4 2 7 3" xfId="17566"/>
    <cellStyle name="Note 10 4 2 7 3 2" xfId="30872"/>
    <cellStyle name="Note 10 4 2 7 4" xfId="22052"/>
    <cellStyle name="Note 10 4 2 7_Table" xfId="6676"/>
    <cellStyle name="Note 10 4 2 8" xfId="4053"/>
    <cellStyle name="Note 10 4 2 8 2" xfId="13381"/>
    <cellStyle name="Note 10 4 2 8 2 2" xfId="26687"/>
    <cellStyle name="Note 10 4 2 8 3" xfId="17791"/>
    <cellStyle name="Note 10 4 2 8 3 2" xfId="31097"/>
    <cellStyle name="Note 10 4 2 8 4" xfId="22277"/>
    <cellStyle name="Note 10 4 2 8_Table" xfId="6677"/>
    <cellStyle name="Note 10 4 2 9" xfId="4414"/>
    <cellStyle name="Note 10 4 2 9 2" xfId="13742"/>
    <cellStyle name="Note 10 4 2 9 2 2" xfId="27048"/>
    <cellStyle name="Note 10 4 2 9 3" xfId="18152"/>
    <cellStyle name="Note 10 4 2 9 3 2" xfId="31458"/>
    <cellStyle name="Note 10 4 2 9 4" xfId="22638"/>
    <cellStyle name="Note 10 4 2 9_Table" xfId="6678"/>
    <cellStyle name="Note 10 4 2_Table" xfId="6669"/>
    <cellStyle name="Note 10 4 3" xfId="1338"/>
    <cellStyle name="Note 10 4 3 2" xfId="10666"/>
    <cellStyle name="Note 10 4 3 2 2" xfId="23972"/>
    <cellStyle name="Note 10 4 3 3" xfId="15076"/>
    <cellStyle name="Note 10 4 3 3 2" xfId="28382"/>
    <cellStyle name="Note 10 4 3 4" xfId="19562"/>
    <cellStyle name="Note 10 4 3_Table" xfId="6679"/>
    <cellStyle name="Note 10 4 4" xfId="1695"/>
    <cellStyle name="Note 10 4 4 2" xfId="11023"/>
    <cellStyle name="Note 10 4 4 2 2" xfId="24329"/>
    <cellStyle name="Note 10 4 4 3" xfId="15433"/>
    <cellStyle name="Note 10 4 4 3 2" xfId="28739"/>
    <cellStyle name="Note 10 4 4 4" xfId="19919"/>
    <cellStyle name="Note 10 4 4_Table" xfId="6680"/>
    <cellStyle name="Note 10 4 5" xfId="2129"/>
    <cellStyle name="Note 10 4 5 2" xfId="11457"/>
    <cellStyle name="Note 10 4 5 2 2" xfId="24763"/>
    <cellStyle name="Note 10 4 5 3" xfId="15867"/>
    <cellStyle name="Note 10 4 5 3 2" xfId="29173"/>
    <cellStyle name="Note 10 4 5 4" xfId="20353"/>
    <cellStyle name="Note 10 4 5_Table" xfId="6681"/>
    <cellStyle name="Note 10 4 6" xfId="2561"/>
    <cellStyle name="Note 10 4 6 2" xfId="11889"/>
    <cellStyle name="Note 10 4 6 2 2" xfId="25195"/>
    <cellStyle name="Note 10 4 6 3" xfId="16299"/>
    <cellStyle name="Note 10 4 6 3 2" xfId="29605"/>
    <cellStyle name="Note 10 4 6 4" xfId="20785"/>
    <cellStyle name="Note 10 4 6_Table" xfId="6682"/>
    <cellStyle name="Note 10 4 7" xfId="2987"/>
    <cellStyle name="Note 10 4 7 2" xfId="12315"/>
    <cellStyle name="Note 10 4 7 2 2" xfId="25621"/>
    <cellStyle name="Note 10 4 7 3" xfId="16725"/>
    <cellStyle name="Note 10 4 7 3 2" xfId="30031"/>
    <cellStyle name="Note 10 4 7 4" xfId="21211"/>
    <cellStyle name="Note 10 4 7_Table" xfId="6683"/>
    <cellStyle name="Note 10 4 8" xfId="3401"/>
    <cellStyle name="Note 10 4 8 2" xfId="12729"/>
    <cellStyle name="Note 10 4 8 2 2" xfId="26035"/>
    <cellStyle name="Note 10 4 8 3" xfId="17139"/>
    <cellStyle name="Note 10 4 8 3 2" xfId="30445"/>
    <cellStyle name="Note 10 4 8 4" xfId="21625"/>
    <cellStyle name="Note 10 4 8_Table" xfId="6684"/>
    <cellStyle name="Note 10 4 9" xfId="3625"/>
    <cellStyle name="Note 10 4 9 2" xfId="12953"/>
    <cellStyle name="Note 10 4 9 2 2" xfId="26259"/>
    <cellStyle name="Note 10 4 9 3" xfId="17363"/>
    <cellStyle name="Note 10 4 9 3 2" xfId="30669"/>
    <cellStyle name="Note 10 4 9 4" xfId="21849"/>
    <cellStyle name="Note 10 4 9_Table" xfId="6685"/>
    <cellStyle name="Note 10 4_Table" xfId="6666"/>
    <cellStyle name="Note 10 5" xfId="618"/>
    <cellStyle name="Note 10 5 10" xfId="4234"/>
    <cellStyle name="Note 10 5 10 2" xfId="13562"/>
    <cellStyle name="Note 10 5 10 2 2" xfId="26868"/>
    <cellStyle name="Note 10 5 10 3" xfId="17972"/>
    <cellStyle name="Note 10 5 10 3 2" xfId="31278"/>
    <cellStyle name="Note 10 5 10 4" xfId="22458"/>
    <cellStyle name="Note 10 5 10_Table" xfId="6687"/>
    <cellStyle name="Note 10 5 11" xfId="4595"/>
    <cellStyle name="Note 10 5 11 2" xfId="13923"/>
    <cellStyle name="Note 10 5 11 2 2" xfId="27229"/>
    <cellStyle name="Note 10 5 11 3" xfId="18333"/>
    <cellStyle name="Note 10 5 11 3 2" xfId="31639"/>
    <cellStyle name="Note 10 5 11 4" xfId="22819"/>
    <cellStyle name="Note 10 5 11_Table" xfId="6688"/>
    <cellStyle name="Note 10 5 12" xfId="9946"/>
    <cellStyle name="Note 10 5 12 2" xfId="23269"/>
    <cellStyle name="Note 10 5 13" xfId="14373"/>
    <cellStyle name="Note 10 5 13 2" xfId="27679"/>
    <cellStyle name="Note 10 5 14" xfId="18859"/>
    <cellStyle name="Note 10 5 2" xfId="860"/>
    <cellStyle name="Note 10 5 2 10" xfId="4820"/>
    <cellStyle name="Note 10 5 2 10 2" xfId="14148"/>
    <cellStyle name="Note 10 5 2 10 2 2" xfId="27454"/>
    <cellStyle name="Note 10 5 2 10 3" xfId="18558"/>
    <cellStyle name="Note 10 5 2 10 3 2" xfId="31864"/>
    <cellStyle name="Note 10 5 2 10 4" xfId="23044"/>
    <cellStyle name="Note 10 5 2 10_Table" xfId="6690"/>
    <cellStyle name="Note 10 5 2 11" xfId="10188"/>
    <cellStyle name="Note 10 5 2 11 2" xfId="23494"/>
    <cellStyle name="Note 10 5 2 12" xfId="14598"/>
    <cellStyle name="Note 10 5 2 12 2" xfId="27904"/>
    <cellStyle name="Note 10 5 2 13" xfId="19084"/>
    <cellStyle name="Note 10 5 2 2" xfId="1646"/>
    <cellStyle name="Note 10 5 2 2 2" xfId="10974"/>
    <cellStyle name="Note 10 5 2 2 2 2" xfId="24280"/>
    <cellStyle name="Note 10 5 2 2 3" xfId="15384"/>
    <cellStyle name="Note 10 5 2 2 3 2" xfId="28690"/>
    <cellStyle name="Note 10 5 2 2 4" xfId="19870"/>
    <cellStyle name="Note 10 5 2 2_Table" xfId="6691"/>
    <cellStyle name="Note 10 5 2 3" xfId="2006"/>
    <cellStyle name="Note 10 5 2 3 2" xfId="11334"/>
    <cellStyle name="Note 10 5 2 3 2 2" xfId="24640"/>
    <cellStyle name="Note 10 5 2 3 3" xfId="15744"/>
    <cellStyle name="Note 10 5 2 3 3 2" xfId="29050"/>
    <cellStyle name="Note 10 5 2 3 4" xfId="20230"/>
    <cellStyle name="Note 10 5 2 3_Table" xfId="6692"/>
    <cellStyle name="Note 10 5 2 4" xfId="2436"/>
    <cellStyle name="Note 10 5 2 4 2" xfId="11764"/>
    <cellStyle name="Note 10 5 2 4 2 2" xfId="25070"/>
    <cellStyle name="Note 10 5 2 4 3" xfId="16174"/>
    <cellStyle name="Note 10 5 2 4 3 2" xfId="29480"/>
    <cellStyle name="Note 10 5 2 4 4" xfId="20660"/>
    <cellStyle name="Note 10 5 2 4_Table" xfId="6693"/>
    <cellStyle name="Note 10 5 2 5" xfId="2874"/>
    <cellStyle name="Note 10 5 2 5 2" xfId="12202"/>
    <cellStyle name="Note 10 5 2 5 2 2" xfId="25508"/>
    <cellStyle name="Note 10 5 2 5 3" xfId="16612"/>
    <cellStyle name="Note 10 5 2 5 3 2" xfId="29918"/>
    <cellStyle name="Note 10 5 2 5 4" xfId="21098"/>
    <cellStyle name="Note 10 5 2 5_Table" xfId="6694"/>
    <cellStyle name="Note 10 5 2 6" xfId="3281"/>
    <cellStyle name="Note 10 5 2 6 2" xfId="12609"/>
    <cellStyle name="Note 10 5 2 6 2 2" xfId="25915"/>
    <cellStyle name="Note 10 5 2 6 3" xfId="17019"/>
    <cellStyle name="Note 10 5 2 6 3 2" xfId="30325"/>
    <cellStyle name="Note 10 5 2 6 4" xfId="21505"/>
    <cellStyle name="Note 10 5 2 6_Table" xfId="6695"/>
    <cellStyle name="Note 10 5 2 7" xfId="3873"/>
    <cellStyle name="Note 10 5 2 7 2" xfId="13201"/>
    <cellStyle name="Note 10 5 2 7 2 2" xfId="26507"/>
    <cellStyle name="Note 10 5 2 7 3" xfId="17611"/>
    <cellStyle name="Note 10 5 2 7 3 2" xfId="30917"/>
    <cellStyle name="Note 10 5 2 7 4" xfId="22097"/>
    <cellStyle name="Note 10 5 2 7_Table" xfId="6696"/>
    <cellStyle name="Note 10 5 2 8" xfId="4098"/>
    <cellStyle name="Note 10 5 2 8 2" xfId="13426"/>
    <cellStyle name="Note 10 5 2 8 2 2" xfId="26732"/>
    <cellStyle name="Note 10 5 2 8 3" xfId="17836"/>
    <cellStyle name="Note 10 5 2 8 3 2" xfId="31142"/>
    <cellStyle name="Note 10 5 2 8 4" xfId="22322"/>
    <cellStyle name="Note 10 5 2 8_Table" xfId="6697"/>
    <cellStyle name="Note 10 5 2 9" xfId="4459"/>
    <cellStyle name="Note 10 5 2 9 2" xfId="13787"/>
    <cellStyle name="Note 10 5 2 9 2 2" xfId="27093"/>
    <cellStyle name="Note 10 5 2 9 3" xfId="18197"/>
    <cellStyle name="Note 10 5 2 9 3 2" xfId="31503"/>
    <cellStyle name="Note 10 5 2 9 4" xfId="22683"/>
    <cellStyle name="Note 10 5 2 9_Table" xfId="6698"/>
    <cellStyle name="Note 10 5 2_Table" xfId="6689"/>
    <cellStyle name="Note 10 5 3" xfId="1405"/>
    <cellStyle name="Note 10 5 3 2" xfId="10733"/>
    <cellStyle name="Note 10 5 3 2 2" xfId="24039"/>
    <cellStyle name="Note 10 5 3 3" xfId="15143"/>
    <cellStyle name="Note 10 5 3 3 2" xfId="28449"/>
    <cellStyle name="Note 10 5 3 4" xfId="19629"/>
    <cellStyle name="Note 10 5 3_Table" xfId="6699"/>
    <cellStyle name="Note 10 5 4" xfId="1765"/>
    <cellStyle name="Note 10 5 4 2" xfId="11093"/>
    <cellStyle name="Note 10 5 4 2 2" xfId="24399"/>
    <cellStyle name="Note 10 5 4 3" xfId="15503"/>
    <cellStyle name="Note 10 5 4 3 2" xfId="28809"/>
    <cellStyle name="Note 10 5 4 4" xfId="19989"/>
    <cellStyle name="Note 10 5 4_Table" xfId="6700"/>
    <cellStyle name="Note 10 5 5" xfId="2198"/>
    <cellStyle name="Note 10 5 5 2" xfId="11526"/>
    <cellStyle name="Note 10 5 5 2 2" xfId="24832"/>
    <cellStyle name="Note 10 5 5 3" xfId="15936"/>
    <cellStyle name="Note 10 5 5 3 2" xfId="29242"/>
    <cellStyle name="Note 10 5 5 4" xfId="20422"/>
    <cellStyle name="Note 10 5 5_Table" xfId="6701"/>
    <cellStyle name="Note 10 5 6" xfId="2633"/>
    <cellStyle name="Note 10 5 6 2" xfId="11961"/>
    <cellStyle name="Note 10 5 6 2 2" xfId="25267"/>
    <cellStyle name="Note 10 5 6 3" xfId="16371"/>
    <cellStyle name="Note 10 5 6 3 2" xfId="29677"/>
    <cellStyle name="Note 10 5 6 4" xfId="20857"/>
    <cellStyle name="Note 10 5 6_Table" xfId="6702"/>
    <cellStyle name="Note 10 5 7" xfId="3046"/>
    <cellStyle name="Note 10 5 7 2" xfId="12374"/>
    <cellStyle name="Note 10 5 7 2 2" xfId="25680"/>
    <cellStyle name="Note 10 5 7 3" xfId="16784"/>
    <cellStyle name="Note 10 5 7 3 2" xfId="30090"/>
    <cellStyle name="Note 10 5 7 4" xfId="21270"/>
    <cellStyle name="Note 10 5 7_Table" xfId="6703"/>
    <cellStyle name="Note 10 5 8" xfId="3472"/>
    <cellStyle name="Note 10 5 8 2" xfId="12800"/>
    <cellStyle name="Note 10 5 8 2 2" xfId="26106"/>
    <cellStyle name="Note 10 5 8 3" xfId="17210"/>
    <cellStyle name="Note 10 5 8 3 2" xfId="30516"/>
    <cellStyle name="Note 10 5 8 4" xfId="21696"/>
    <cellStyle name="Note 10 5 8_Table" xfId="6704"/>
    <cellStyle name="Note 10 5 9" xfId="3636"/>
    <cellStyle name="Note 10 5 9 2" xfId="12964"/>
    <cellStyle name="Note 10 5 9 2 2" xfId="26270"/>
    <cellStyle name="Note 10 5 9 3" xfId="17374"/>
    <cellStyle name="Note 10 5 9 3 2" xfId="30680"/>
    <cellStyle name="Note 10 5 9 4" xfId="21860"/>
    <cellStyle name="Note 10 5 9_Table" xfId="6705"/>
    <cellStyle name="Note 10 5_Table" xfId="6686"/>
    <cellStyle name="Note 10 6" xfId="680"/>
    <cellStyle name="Note 10 6 10" xfId="4640"/>
    <cellStyle name="Note 10 6 10 2" xfId="13968"/>
    <cellStyle name="Note 10 6 10 2 2" xfId="27274"/>
    <cellStyle name="Note 10 6 10 3" xfId="18378"/>
    <cellStyle name="Note 10 6 10 3 2" xfId="31684"/>
    <cellStyle name="Note 10 6 10 4" xfId="22864"/>
    <cellStyle name="Note 10 6 10_Table" xfId="6707"/>
    <cellStyle name="Note 10 6 11" xfId="10008"/>
    <cellStyle name="Note 10 6 11 2" xfId="23314"/>
    <cellStyle name="Note 10 6 12" xfId="14418"/>
    <cellStyle name="Note 10 6 12 2" xfId="27724"/>
    <cellStyle name="Note 10 6 13" xfId="18904"/>
    <cellStyle name="Note 10 6 2" xfId="1466"/>
    <cellStyle name="Note 10 6 2 2" xfId="10794"/>
    <cellStyle name="Note 10 6 2 2 2" xfId="24100"/>
    <cellStyle name="Note 10 6 2 3" xfId="15204"/>
    <cellStyle name="Note 10 6 2 3 2" xfId="28510"/>
    <cellStyle name="Note 10 6 2 4" xfId="19690"/>
    <cellStyle name="Note 10 6 2_Table" xfId="6708"/>
    <cellStyle name="Note 10 6 3" xfId="1826"/>
    <cellStyle name="Note 10 6 3 2" xfId="11154"/>
    <cellStyle name="Note 10 6 3 2 2" xfId="24460"/>
    <cellStyle name="Note 10 6 3 3" xfId="15564"/>
    <cellStyle name="Note 10 6 3 3 2" xfId="28870"/>
    <cellStyle name="Note 10 6 3 4" xfId="20050"/>
    <cellStyle name="Note 10 6 3_Table" xfId="6709"/>
    <cellStyle name="Note 10 6 4" xfId="2256"/>
    <cellStyle name="Note 10 6 4 2" xfId="11584"/>
    <cellStyle name="Note 10 6 4 2 2" xfId="24890"/>
    <cellStyle name="Note 10 6 4 3" xfId="15994"/>
    <cellStyle name="Note 10 6 4 3 2" xfId="29300"/>
    <cellStyle name="Note 10 6 4 4" xfId="20480"/>
    <cellStyle name="Note 10 6 4_Table" xfId="6710"/>
    <cellStyle name="Note 10 6 5" xfId="2694"/>
    <cellStyle name="Note 10 6 5 2" xfId="12022"/>
    <cellStyle name="Note 10 6 5 2 2" xfId="25328"/>
    <cellStyle name="Note 10 6 5 3" xfId="16432"/>
    <cellStyle name="Note 10 6 5 3 2" xfId="29738"/>
    <cellStyle name="Note 10 6 5 4" xfId="20918"/>
    <cellStyle name="Note 10 6 5_Table" xfId="6711"/>
    <cellStyle name="Note 10 6 6" xfId="3101"/>
    <cellStyle name="Note 10 6 6 2" xfId="12429"/>
    <cellStyle name="Note 10 6 6 2 2" xfId="25735"/>
    <cellStyle name="Note 10 6 6 3" xfId="16839"/>
    <cellStyle name="Note 10 6 6 3 2" xfId="30145"/>
    <cellStyle name="Note 10 6 6 4" xfId="21325"/>
    <cellStyle name="Note 10 6 6_Table" xfId="6712"/>
    <cellStyle name="Note 10 6 7" xfId="3693"/>
    <cellStyle name="Note 10 6 7 2" xfId="13021"/>
    <cellStyle name="Note 10 6 7 2 2" xfId="26327"/>
    <cellStyle name="Note 10 6 7 3" xfId="17431"/>
    <cellStyle name="Note 10 6 7 3 2" xfId="30737"/>
    <cellStyle name="Note 10 6 7 4" xfId="21917"/>
    <cellStyle name="Note 10 6 7_Table" xfId="6713"/>
    <cellStyle name="Note 10 6 8" xfId="3918"/>
    <cellStyle name="Note 10 6 8 2" xfId="13246"/>
    <cellStyle name="Note 10 6 8 2 2" xfId="26552"/>
    <cellStyle name="Note 10 6 8 3" xfId="17656"/>
    <cellStyle name="Note 10 6 8 3 2" xfId="30962"/>
    <cellStyle name="Note 10 6 8 4" xfId="22142"/>
    <cellStyle name="Note 10 6 8_Table" xfId="6714"/>
    <cellStyle name="Note 10 6 9" xfId="4279"/>
    <cellStyle name="Note 10 6 9 2" xfId="13607"/>
    <cellStyle name="Note 10 6 9 2 2" xfId="26913"/>
    <cellStyle name="Note 10 6 9 3" xfId="18017"/>
    <cellStyle name="Note 10 6 9 3 2" xfId="31323"/>
    <cellStyle name="Note 10 6 9 4" xfId="22503"/>
    <cellStyle name="Note 10 6 9_Table" xfId="6715"/>
    <cellStyle name="Note 10 6_Table" xfId="6706"/>
    <cellStyle name="Note 10 7" xfId="1174"/>
    <cellStyle name="Note 10 7 2" xfId="10502"/>
    <cellStyle name="Note 10 7 2 2" xfId="23808"/>
    <cellStyle name="Note 10 7 3" xfId="14912"/>
    <cellStyle name="Note 10 7 3 2" xfId="28218"/>
    <cellStyle name="Note 10 7 4" xfId="19398"/>
    <cellStyle name="Note 10 7_Table" xfId="6716"/>
    <cellStyle name="Note 10 8" xfId="1070"/>
    <cellStyle name="Note 10 8 2" xfId="10398"/>
    <cellStyle name="Note 10 8 2 2" xfId="23704"/>
    <cellStyle name="Note 10 8 3" xfId="14808"/>
    <cellStyle name="Note 10 8 3 2" xfId="28114"/>
    <cellStyle name="Note 10 8 4" xfId="19294"/>
    <cellStyle name="Note 10 8_Table" xfId="6717"/>
    <cellStyle name="Note 10 9" xfId="1382"/>
    <cellStyle name="Note 10 9 2" xfId="10710"/>
    <cellStyle name="Note 10 9 2 2" xfId="24016"/>
    <cellStyle name="Note 10 9 3" xfId="15120"/>
    <cellStyle name="Note 10 9 3 2" xfId="28426"/>
    <cellStyle name="Note 10 9 4" xfId="19606"/>
    <cellStyle name="Note 10 9_Table" xfId="6718"/>
    <cellStyle name="Note 10_Table" xfId="6619"/>
    <cellStyle name="Note 2" xfId="341"/>
    <cellStyle name="Note 2 10" xfId="1729"/>
    <cellStyle name="Note 2 10 2" xfId="11057"/>
    <cellStyle name="Note 2 10 2 2" xfId="24363"/>
    <cellStyle name="Note 2 10 3" xfId="15467"/>
    <cellStyle name="Note 2 10 3 2" xfId="28773"/>
    <cellStyle name="Note 2 10 4" xfId="19953"/>
    <cellStyle name="Note 2 10_Table" xfId="6720"/>
    <cellStyle name="Note 2 11" xfId="2164"/>
    <cellStyle name="Note 2 11 2" xfId="11492"/>
    <cellStyle name="Note 2 11 2 2" xfId="24798"/>
    <cellStyle name="Note 2 11 3" xfId="15902"/>
    <cellStyle name="Note 2 11 3 2" xfId="29208"/>
    <cellStyle name="Note 2 11 4" xfId="20388"/>
    <cellStyle name="Note 2 11_Table" xfId="6721"/>
    <cellStyle name="Note 2 12" xfId="2596"/>
    <cellStyle name="Note 2 12 2" xfId="11924"/>
    <cellStyle name="Note 2 12 2 2" xfId="25230"/>
    <cellStyle name="Note 2 12 3" xfId="16334"/>
    <cellStyle name="Note 2 12 3 2" xfId="29640"/>
    <cellStyle name="Note 2 12 4" xfId="20820"/>
    <cellStyle name="Note 2 12_Table" xfId="6722"/>
    <cellStyle name="Note 2 13" xfId="3521"/>
    <cellStyle name="Note 2 13 2" xfId="12849"/>
    <cellStyle name="Note 2 13 2 2" xfId="26155"/>
    <cellStyle name="Note 2 13 3" xfId="17259"/>
    <cellStyle name="Note 2 13 3 2" xfId="30565"/>
    <cellStyle name="Note 2 13 4" xfId="21745"/>
    <cellStyle name="Note 2 13_Table" xfId="6723"/>
    <cellStyle name="Note 2 14" xfId="1095"/>
    <cellStyle name="Note 2 14 2" xfId="10423"/>
    <cellStyle name="Note 2 14 2 2" xfId="23729"/>
    <cellStyle name="Note 2 14 3" xfId="14833"/>
    <cellStyle name="Note 2 14 3 2" xfId="28139"/>
    <cellStyle name="Note 2 14 4" xfId="19319"/>
    <cellStyle name="Note 2 14_Table" xfId="6724"/>
    <cellStyle name="Note 2 15" xfId="3663"/>
    <cellStyle name="Note 2 15 2" xfId="12991"/>
    <cellStyle name="Note 2 15 2 2" xfId="26297"/>
    <cellStyle name="Note 2 15 3" xfId="17401"/>
    <cellStyle name="Note 2 15 3 2" xfId="30707"/>
    <cellStyle name="Note 2 15 4" xfId="21887"/>
    <cellStyle name="Note 2 15_Table" xfId="6725"/>
    <cellStyle name="Note 2 16" xfId="9669"/>
    <cellStyle name="Note 2 16 2" xfId="23090"/>
    <cellStyle name="Note 2 17" xfId="14194"/>
    <cellStyle name="Note 2 17 2" xfId="27500"/>
    <cellStyle name="Note 2 18" xfId="18680"/>
    <cellStyle name="Note 2 2" xfId="412"/>
    <cellStyle name="Note 2 2 10" xfId="3579"/>
    <cellStyle name="Note 2 2 10 2" xfId="12907"/>
    <cellStyle name="Note 2 2 10 2 2" xfId="26213"/>
    <cellStyle name="Note 2 2 10 3" xfId="17317"/>
    <cellStyle name="Note 2 2 10 3 2" xfId="30623"/>
    <cellStyle name="Note 2 2 10 4" xfId="21803"/>
    <cellStyle name="Note 2 2 10_Table" xfId="6727"/>
    <cellStyle name="Note 2 2 11" xfId="3310"/>
    <cellStyle name="Note 2 2 11 2" xfId="12638"/>
    <cellStyle name="Note 2 2 11 2 2" xfId="25944"/>
    <cellStyle name="Note 2 2 11 3" xfId="17048"/>
    <cellStyle name="Note 2 2 11 3 2" xfId="30354"/>
    <cellStyle name="Note 2 2 11 4" xfId="21534"/>
    <cellStyle name="Note 2 2 11_Table" xfId="6728"/>
    <cellStyle name="Note 2 2 12" xfId="9740"/>
    <cellStyle name="Note 2 2 12 2" xfId="23135"/>
    <cellStyle name="Note 2 2 13" xfId="14239"/>
    <cellStyle name="Note 2 2 13 2" xfId="27545"/>
    <cellStyle name="Note 2 2 14" xfId="18725"/>
    <cellStyle name="Note 2 2 2" xfId="726"/>
    <cellStyle name="Note 2 2 2 10" xfId="4686"/>
    <cellStyle name="Note 2 2 2 10 2" xfId="14014"/>
    <cellStyle name="Note 2 2 2 10 2 2" xfId="27320"/>
    <cellStyle name="Note 2 2 2 10 3" xfId="18424"/>
    <cellStyle name="Note 2 2 2 10 3 2" xfId="31730"/>
    <cellStyle name="Note 2 2 2 10 4" xfId="22910"/>
    <cellStyle name="Note 2 2 2 10_Table" xfId="6730"/>
    <cellStyle name="Note 2 2 2 11" xfId="10054"/>
    <cellStyle name="Note 2 2 2 11 2" xfId="23360"/>
    <cellStyle name="Note 2 2 2 12" xfId="14464"/>
    <cellStyle name="Note 2 2 2 12 2" xfId="27770"/>
    <cellStyle name="Note 2 2 2 13" xfId="18950"/>
    <cellStyle name="Note 2 2 2 2" xfId="1512"/>
    <cellStyle name="Note 2 2 2 2 2" xfId="10840"/>
    <cellStyle name="Note 2 2 2 2 2 2" xfId="24146"/>
    <cellStyle name="Note 2 2 2 2 3" xfId="15250"/>
    <cellStyle name="Note 2 2 2 2 3 2" xfId="28556"/>
    <cellStyle name="Note 2 2 2 2 4" xfId="19736"/>
    <cellStyle name="Note 2 2 2 2_Table" xfId="6731"/>
    <cellStyle name="Note 2 2 2 3" xfId="1872"/>
    <cellStyle name="Note 2 2 2 3 2" xfId="11200"/>
    <cellStyle name="Note 2 2 2 3 2 2" xfId="24506"/>
    <cellStyle name="Note 2 2 2 3 3" xfId="15610"/>
    <cellStyle name="Note 2 2 2 3 3 2" xfId="28916"/>
    <cellStyle name="Note 2 2 2 3 4" xfId="20096"/>
    <cellStyle name="Note 2 2 2 3_Table" xfId="6732"/>
    <cellStyle name="Note 2 2 2 4" xfId="2302"/>
    <cellStyle name="Note 2 2 2 4 2" xfId="11630"/>
    <cellStyle name="Note 2 2 2 4 2 2" xfId="24936"/>
    <cellStyle name="Note 2 2 2 4 3" xfId="16040"/>
    <cellStyle name="Note 2 2 2 4 3 2" xfId="29346"/>
    <cellStyle name="Note 2 2 2 4 4" xfId="20526"/>
    <cellStyle name="Note 2 2 2 4_Table" xfId="6733"/>
    <cellStyle name="Note 2 2 2 5" xfId="2740"/>
    <cellStyle name="Note 2 2 2 5 2" xfId="12068"/>
    <cellStyle name="Note 2 2 2 5 2 2" xfId="25374"/>
    <cellStyle name="Note 2 2 2 5 3" xfId="16478"/>
    <cellStyle name="Note 2 2 2 5 3 2" xfId="29784"/>
    <cellStyle name="Note 2 2 2 5 4" xfId="20964"/>
    <cellStyle name="Note 2 2 2 5_Table" xfId="6734"/>
    <cellStyle name="Note 2 2 2 6" xfId="3147"/>
    <cellStyle name="Note 2 2 2 6 2" xfId="12475"/>
    <cellStyle name="Note 2 2 2 6 2 2" xfId="25781"/>
    <cellStyle name="Note 2 2 2 6 3" xfId="16885"/>
    <cellStyle name="Note 2 2 2 6 3 2" xfId="30191"/>
    <cellStyle name="Note 2 2 2 6 4" xfId="21371"/>
    <cellStyle name="Note 2 2 2 6_Table" xfId="6735"/>
    <cellStyle name="Note 2 2 2 7" xfId="3739"/>
    <cellStyle name="Note 2 2 2 7 2" xfId="13067"/>
    <cellStyle name="Note 2 2 2 7 2 2" xfId="26373"/>
    <cellStyle name="Note 2 2 2 7 3" xfId="17477"/>
    <cellStyle name="Note 2 2 2 7 3 2" xfId="30783"/>
    <cellStyle name="Note 2 2 2 7 4" xfId="21963"/>
    <cellStyle name="Note 2 2 2 7_Table" xfId="6736"/>
    <cellStyle name="Note 2 2 2 8" xfId="3964"/>
    <cellStyle name="Note 2 2 2 8 2" xfId="13292"/>
    <cellStyle name="Note 2 2 2 8 2 2" xfId="26598"/>
    <cellStyle name="Note 2 2 2 8 3" xfId="17702"/>
    <cellStyle name="Note 2 2 2 8 3 2" xfId="31008"/>
    <cellStyle name="Note 2 2 2 8 4" xfId="22188"/>
    <cellStyle name="Note 2 2 2 8_Table" xfId="6737"/>
    <cellStyle name="Note 2 2 2 9" xfId="4325"/>
    <cellStyle name="Note 2 2 2 9 2" xfId="13653"/>
    <cellStyle name="Note 2 2 2 9 2 2" xfId="26959"/>
    <cellStyle name="Note 2 2 2 9 3" xfId="18063"/>
    <cellStyle name="Note 2 2 2 9 3 2" xfId="31369"/>
    <cellStyle name="Note 2 2 2 9 4" xfId="22549"/>
    <cellStyle name="Note 2 2 2 9_Table" xfId="6738"/>
    <cellStyle name="Note 2 2 2_Table" xfId="6729"/>
    <cellStyle name="Note 2 2 3" xfId="1226"/>
    <cellStyle name="Note 2 2 3 2" xfId="10554"/>
    <cellStyle name="Note 2 2 3 2 2" xfId="23860"/>
    <cellStyle name="Note 2 2 3 3" xfId="14964"/>
    <cellStyle name="Note 2 2 3 3 2" xfId="28270"/>
    <cellStyle name="Note 2 2 3 4" xfId="19450"/>
    <cellStyle name="Note 2 2 3_Table" xfId="6739"/>
    <cellStyle name="Note 2 2 4" xfId="1000"/>
    <cellStyle name="Note 2 2 4 2" xfId="10328"/>
    <cellStyle name="Note 2 2 4 2 2" xfId="23634"/>
    <cellStyle name="Note 2 2 4 3" xfId="14738"/>
    <cellStyle name="Note 2 2 4 3 2" xfId="28044"/>
    <cellStyle name="Note 2 2 4 4" xfId="19224"/>
    <cellStyle name="Note 2 2 4_Table" xfId="6740"/>
    <cellStyle name="Note 2 2 5" xfId="1171"/>
    <cellStyle name="Note 2 2 5 2" xfId="10499"/>
    <cellStyle name="Note 2 2 5 2 2" xfId="23805"/>
    <cellStyle name="Note 2 2 5 3" xfId="14909"/>
    <cellStyle name="Note 2 2 5 3 2" xfId="28215"/>
    <cellStyle name="Note 2 2 5 4" xfId="19395"/>
    <cellStyle name="Note 2 2 5_Table" xfId="6741"/>
    <cellStyle name="Note 2 2 6" xfId="974"/>
    <cellStyle name="Note 2 2 6 2" xfId="10302"/>
    <cellStyle name="Note 2 2 6 2 2" xfId="23608"/>
    <cellStyle name="Note 2 2 6 3" xfId="14712"/>
    <cellStyle name="Note 2 2 6 3 2" xfId="28018"/>
    <cellStyle name="Note 2 2 6 4" xfId="19198"/>
    <cellStyle name="Note 2 2 6_Table" xfId="6742"/>
    <cellStyle name="Note 2 2 7" xfId="2034"/>
    <cellStyle name="Note 2 2 7 2" xfId="11362"/>
    <cellStyle name="Note 2 2 7 2 2" xfId="24668"/>
    <cellStyle name="Note 2 2 7 3" xfId="15772"/>
    <cellStyle name="Note 2 2 7 3 2" xfId="29078"/>
    <cellStyle name="Note 2 2 7 4" xfId="20258"/>
    <cellStyle name="Note 2 2 7_Table" xfId="6743"/>
    <cellStyle name="Note 2 2 8" xfId="2464"/>
    <cellStyle name="Note 2 2 8 2" xfId="11792"/>
    <cellStyle name="Note 2 2 8 2 2" xfId="25098"/>
    <cellStyle name="Note 2 2 8 3" xfId="16202"/>
    <cellStyle name="Note 2 2 8 3 2" xfId="29508"/>
    <cellStyle name="Note 2 2 8 4" xfId="20688"/>
    <cellStyle name="Note 2 2 8_Table" xfId="6744"/>
    <cellStyle name="Note 2 2 9" xfId="1148"/>
    <cellStyle name="Note 2 2 9 2" xfId="10476"/>
    <cellStyle name="Note 2 2 9 2 2" xfId="23782"/>
    <cellStyle name="Note 2 2 9 3" xfId="14886"/>
    <cellStyle name="Note 2 2 9 3 2" xfId="28192"/>
    <cellStyle name="Note 2 2 9 4" xfId="19372"/>
    <cellStyle name="Note 2 2 9_Table" xfId="6745"/>
    <cellStyle name="Note 2 2_Table" xfId="6726"/>
    <cellStyle name="Note 2 3" xfId="480"/>
    <cellStyle name="Note 2 3 10" xfId="4145"/>
    <cellStyle name="Note 2 3 10 2" xfId="13473"/>
    <cellStyle name="Note 2 3 10 2 2" xfId="26779"/>
    <cellStyle name="Note 2 3 10 3" xfId="17883"/>
    <cellStyle name="Note 2 3 10 3 2" xfId="31189"/>
    <cellStyle name="Note 2 3 10 4" xfId="22369"/>
    <cellStyle name="Note 2 3 10_Table" xfId="6747"/>
    <cellStyle name="Note 2 3 11" xfId="4506"/>
    <cellStyle name="Note 2 3 11 2" xfId="13834"/>
    <cellStyle name="Note 2 3 11 2 2" xfId="27140"/>
    <cellStyle name="Note 2 3 11 3" xfId="18244"/>
    <cellStyle name="Note 2 3 11 3 2" xfId="31550"/>
    <cellStyle name="Note 2 3 11 4" xfId="22730"/>
    <cellStyle name="Note 2 3 11_Table" xfId="6748"/>
    <cellStyle name="Note 2 3 12" xfId="9808"/>
    <cellStyle name="Note 2 3 12 2" xfId="23180"/>
    <cellStyle name="Note 2 3 13" xfId="14284"/>
    <cellStyle name="Note 2 3 13 2" xfId="27590"/>
    <cellStyle name="Note 2 3 14" xfId="18770"/>
    <cellStyle name="Note 2 3 2" xfId="771"/>
    <cellStyle name="Note 2 3 2 10" xfId="4731"/>
    <cellStyle name="Note 2 3 2 10 2" xfId="14059"/>
    <cellStyle name="Note 2 3 2 10 2 2" xfId="27365"/>
    <cellStyle name="Note 2 3 2 10 3" xfId="18469"/>
    <cellStyle name="Note 2 3 2 10 3 2" xfId="31775"/>
    <cellStyle name="Note 2 3 2 10 4" xfId="22955"/>
    <cellStyle name="Note 2 3 2 10_Table" xfId="6750"/>
    <cellStyle name="Note 2 3 2 11" xfId="10099"/>
    <cellStyle name="Note 2 3 2 11 2" xfId="23405"/>
    <cellStyle name="Note 2 3 2 12" xfId="14509"/>
    <cellStyle name="Note 2 3 2 12 2" xfId="27815"/>
    <cellStyle name="Note 2 3 2 13" xfId="18995"/>
    <cellStyle name="Note 2 3 2 2" xfId="1557"/>
    <cellStyle name="Note 2 3 2 2 2" xfId="10885"/>
    <cellStyle name="Note 2 3 2 2 2 2" xfId="24191"/>
    <cellStyle name="Note 2 3 2 2 3" xfId="15295"/>
    <cellStyle name="Note 2 3 2 2 3 2" xfId="28601"/>
    <cellStyle name="Note 2 3 2 2 4" xfId="19781"/>
    <cellStyle name="Note 2 3 2 2_Table" xfId="6751"/>
    <cellStyle name="Note 2 3 2 3" xfId="1917"/>
    <cellStyle name="Note 2 3 2 3 2" xfId="11245"/>
    <cellStyle name="Note 2 3 2 3 2 2" xfId="24551"/>
    <cellStyle name="Note 2 3 2 3 3" xfId="15655"/>
    <cellStyle name="Note 2 3 2 3 3 2" xfId="28961"/>
    <cellStyle name="Note 2 3 2 3 4" xfId="20141"/>
    <cellStyle name="Note 2 3 2 3_Table" xfId="6752"/>
    <cellStyle name="Note 2 3 2 4" xfId="2347"/>
    <cellStyle name="Note 2 3 2 4 2" xfId="11675"/>
    <cellStyle name="Note 2 3 2 4 2 2" xfId="24981"/>
    <cellStyle name="Note 2 3 2 4 3" xfId="16085"/>
    <cellStyle name="Note 2 3 2 4 3 2" xfId="29391"/>
    <cellStyle name="Note 2 3 2 4 4" xfId="20571"/>
    <cellStyle name="Note 2 3 2 4_Table" xfId="6753"/>
    <cellStyle name="Note 2 3 2 5" xfId="2785"/>
    <cellStyle name="Note 2 3 2 5 2" xfId="12113"/>
    <cellStyle name="Note 2 3 2 5 2 2" xfId="25419"/>
    <cellStyle name="Note 2 3 2 5 3" xfId="16523"/>
    <cellStyle name="Note 2 3 2 5 3 2" xfId="29829"/>
    <cellStyle name="Note 2 3 2 5 4" xfId="21009"/>
    <cellStyle name="Note 2 3 2 5_Table" xfId="6754"/>
    <cellStyle name="Note 2 3 2 6" xfId="3192"/>
    <cellStyle name="Note 2 3 2 6 2" xfId="12520"/>
    <cellStyle name="Note 2 3 2 6 2 2" xfId="25826"/>
    <cellStyle name="Note 2 3 2 6 3" xfId="16930"/>
    <cellStyle name="Note 2 3 2 6 3 2" xfId="30236"/>
    <cellStyle name="Note 2 3 2 6 4" xfId="21416"/>
    <cellStyle name="Note 2 3 2 6_Table" xfId="6755"/>
    <cellStyle name="Note 2 3 2 7" xfId="3784"/>
    <cellStyle name="Note 2 3 2 7 2" xfId="13112"/>
    <cellStyle name="Note 2 3 2 7 2 2" xfId="26418"/>
    <cellStyle name="Note 2 3 2 7 3" xfId="17522"/>
    <cellStyle name="Note 2 3 2 7 3 2" xfId="30828"/>
    <cellStyle name="Note 2 3 2 7 4" xfId="22008"/>
    <cellStyle name="Note 2 3 2 7_Table" xfId="6756"/>
    <cellStyle name="Note 2 3 2 8" xfId="4009"/>
    <cellStyle name="Note 2 3 2 8 2" xfId="13337"/>
    <cellStyle name="Note 2 3 2 8 2 2" xfId="26643"/>
    <cellStyle name="Note 2 3 2 8 3" xfId="17747"/>
    <cellStyle name="Note 2 3 2 8 3 2" xfId="31053"/>
    <cellStyle name="Note 2 3 2 8 4" xfId="22233"/>
    <cellStyle name="Note 2 3 2 8_Table" xfId="6757"/>
    <cellStyle name="Note 2 3 2 9" xfId="4370"/>
    <cellStyle name="Note 2 3 2 9 2" xfId="13698"/>
    <cellStyle name="Note 2 3 2 9 2 2" xfId="27004"/>
    <cellStyle name="Note 2 3 2 9 3" xfId="18108"/>
    <cellStyle name="Note 2 3 2 9 3 2" xfId="31414"/>
    <cellStyle name="Note 2 3 2 9 4" xfId="22594"/>
    <cellStyle name="Note 2 3 2 9_Table" xfId="6758"/>
    <cellStyle name="Note 2 3 2_Table" xfId="6749"/>
    <cellStyle name="Note 2 3 3" xfId="1283"/>
    <cellStyle name="Note 2 3 3 2" xfId="10611"/>
    <cellStyle name="Note 2 3 3 2 2" xfId="23917"/>
    <cellStyle name="Note 2 3 3 3" xfId="15021"/>
    <cellStyle name="Note 2 3 3 3 2" xfId="28327"/>
    <cellStyle name="Note 2 3 3 4" xfId="19507"/>
    <cellStyle name="Note 2 3 3_Table" xfId="6759"/>
    <cellStyle name="Note 2 3 4" xfId="934"/>
    <cellStyle name="Note 2 3 4 2" xfId="10262"/>
    <cellStyle name="Note 2 3 4 2 2" xfId="23568"/>
    <cellStyle name="Note 2 3 4 3" xfId="14672"/>
    <cellStyle name="Note 2 3 4 3 2" xfId="27978"/>
    <cellStyle name="Note 2 3 4 4" xfId="19158"/>
    <cellStyle name="Note 2 3 4_Table" xfId="6760"/>
    <cellStyle name="Note 2 3 5" xfId="2071"/>
    <cellStyle name="Note 2 3 5 2" xfId="11399"/>
    <cellStyle name="Note 2 3 5 2 2" xfId="24705"/>
    <cellStyle name="Note 2 3 5 3" xfId="15809"/>
    <cellStyle name="Note 2 3 5 3 2" xfId="29115"/>
    <cellStyle name="Note 2 3 5 4" xfId="20295"/>
    <cellStyle name="Note 2 3 5_Table" xfId="6761"/>
    <cellStyle name="Note 2 3 6" xfId="2503"/>
    <cellStyle name="Note 2 3 6 2" xfId="11831"/>
    <cellStyle name="Note 2 3 6 2 2" xfId="25137"/>
    <cellStyle name="Note 2 3 6 3" xfId="16241"/>
    <cellStyle name="Note 2 3 6 3 2" xfId="29547"/>
    <cellStyle name="Note 2 3 6 4" xfId="20727"/>
    <cellStyle name="Note 2 3 6_Table" xfId="6762"/>
    <cellStyle name="Note 2 3 7" xfId="2931"/>
    <cellStyle name="Note 2 3 7 2" xfId="12259"/>
    <cellStyle name="Note 2 3 7 2 2" xfId="25565"/>
    <cellStyle name="Note 2 3 7 3" xfId="16669"/>
    <cellStyle name="Note 2 3 7 3 2" xfId="29975"/>
    <cellStyle name="Note 2 3 7 4" xfId="21155"/>
    <cellStyle name="Note 2 3 7_Table" xfId="6763"/>
    <cellStyle name="Note 2 3 8" xfId="3344"/>
    <cellStyle name="Note 2 3 8 2" xfId="12672"/>
    <cellStyle name="Note 2 3 8 2 2" xfId="25978"/>
    <cellStyle name="Note 2 3 8 3" xfId="17082"/>
    <cellStyle name="Note 2 3 8 3 2" xfId="30388"/>
    <cellStyle name="Note 2 3 8 4" xfId="21568"/>
    <cellStyle name="Note 2 3 8_Table" xfId="6764"/>
    <cellStyle name="Note 2 3 9" xfId="3508"/>
    <cellStyle name="Note 2 3 9 2" xfId="12836"/>
    <cellStyle name="Note 2 3 9 2 2" xfId="26142"/>
    <cellStyle name="Note 2 3 9 3" xfId="17246"/>
    <cellStyle name="Note 2 3 9 3 2" xfId="30552"/>
    <cellStyle name="Note 2 3 9 4" xfId="21732"/>
    <cellStyle name="Note 2 3 9_Table" xfId="6765"/>
    <cellStyle name="Note 2 3_Table" xfId="6746"/>
    <cellStyle name="Note 2 4" xfId="544"/>
    <cellStyle name="Note 2 4 10" xfId="4190"/>
    <cellStyle name="Note 2 4 10 2" xfId="13518"/>
    <cellStyle name="Note 2 4 10 2 2" xfId="26824"/>
    <cellStyle name="Note 2 4 10 3" xfId="17928"/>
    <cellStyle name="Note 2 4 10 3 2" xfId="31234"/>
    <cellStyle name="Note 2 4 10 4" xfId="22414"/>
    <cellStyle name="Note 2 4 10_Table" xfId="6767"/>
    <cellStyle name="Note 2 4 11" xfId="4551"/>
    <cellStyle name="Note 2 4 11 2" xfId="13879"/>
    <cellStyle name="Note 2 4 11 2 2" xfId="27185"/>
    <cellStyle name="Note 2 4 11 3" xfId="18289"/>
    <cellStyle name="Note 2 4 11 3 2" xfId="31595"/>
    <cellStyle name="Note 2 4 11 4" xfId="22775"/>
    <cellStyle name="Note 2 4 11_Table" xfId="6768"/>
    <cellStyle name="Note 2 4 12" xfId="9872"/>
    <cellStyle name="Note 2 4 12 2" xfId="23225"/>
    <cellStyle name="Note 2 4 13" xfId="14329"/>
    <cellStyle name="Note 2 4 13 2" xfId="27635"/>
    <cellStyle name="Note 2 4 14" xfId="18815"/>
    <cellStyle name="Note 2 4 2" xfId="816"/>
    <cellStyle name="Note 2 4 2 10" xfId="4776"/>
    <cellStyle name="Note 2 4 2 10 2" xfId="14104"/>
    <cellStyle name="Note 2 4 2 10 2 2" xfId="27410"/>
    <cellStyle name="Note 2 4 2 10 3" xfId="18514"/>
    <cellStyle name="Note 2 4 2 10 3 2" xfId="31820"/>
    <cellStyle name="Note 2 4 2 10 4" xfId="23000"/>
    <cellStyle name="Note 2 4 2 10_Table" xfId="6770"/>
    <cellStyle name="Note 2 4 2 11" xfId="10144"/>
    <cellStyle name="Note 2 4 2 11 2" xfId="23450"/>
    <cellStyle name="Note 2 4 2 12" xfId="14554"/>
    <cellStyle name="Note 2 4 2 12 2" xfId="27860"/>
    <cellStyle name="Note 2 4 2 13" xfId="19040"/>
    <cellStyle name="Note 2 4 2 2" xfId="1602"/>
    <cellStyle name="Note 2 4 2 2 2" xfId="10930"/>
    <cellStyle name="Note 2 4 2 2 2 2" xfId="24236"/>
    <cellStyle name="Note 2 4 2 2 3" xfId="15340"/>
    <cellStyle name="Note 2 4 2 2 3 2" xfId="28646"/>
    <cellStyle name="Note 2 4 2 2 4" xfId="19826"/>
    <cellStyle name="Note 2 4 2 2_Table" xfId="6771"/>
    <cellStyle name="Note 2 4 2 3" xfId="1962"/>
    <cellStyle name="Note 2 4 2 3 2" xfId="11290"/>
    <cellStyle name="Note 2 4 2 3 2 2" xfId="24596"/>
    <cellStyle name="Note 2 4 2 3 3" xfId="15700"/>
    <cellStyle name="Note 2 4 2 3 3 2" xfId="29006"/>
    <cellStyle name="Note 2 4 2 3 4" xfId="20186"/>
    <cellStyle name="Note 2 4 2 3_Table" xfId="6772"/>
    <cellStyle name="Note 2 4 2 4" xfId="2392"/>
    <cellStyle name="Note 2 4 2 4 2" xfId="11720"/>
    <cellStyle name="Note 2 4 2 4 2 2" xfId="25026"/>
    <cellStyle name="Note 2 4 2 4 3" xfId="16130"/>
    <cellStyle name="Note 2 4 2 4 3 2" xfId="29436"/>
    <cellStyle name="Note 2 4 2 4 4" xfId="20616"/>
    <cellStyle name="Note 2 4 2 4_Table" xfId="6773"/>
    <cellStyle name="Note 2 4 2 5" xfId="2830"/>
    <cellStyle name="Note 2 4 2 5 2" xfId="12158"/>
    <cellStyle name="Note 2 4 2 5 2 2" xfId="25464"/>
    <cellStyle name="Note 2 4 2 5 3" xfId="16568"/>
    <cellStyle name="Note 2 4 2 5 3 2" xfId="29874"/>
    <cellStyle name="Note 2 4 2 5 4" xfId="21054"/>
    <cellStyle name="Note 2 4 2 5_Table" xfId="6774"/>
    <cellStyle name="Note 2 4 2 6" xfId="3237"/>
    <cellStyle name="Note 2 4 2 6 2" xfId="12565"/>
    <cellStyle name="Note 2 4 2 6 2 2" xfId="25871"/>
    <cellStyle name="Note 2 4 2 6 3" xfId="16975"/>
    <cellStyle name="Note 2 4 2 6 3 2" xfId="30281"/>
    <cellStyle name="Note 2 4 2 6 4" xfId="21461"/>
    <cellStyle name="Note 2 4 2 6_Table" xfId="6775"/>
    <cellStyle name="Note 2 4 2 7" xfId="3829"/>
    <cellStyle name="Note 2 4 2 7 2" xfId="13157"/>
    <cellStyle name="Note 2 4 2 7 2 2" xfId="26463"/>
    <cellStyle name="Note 2 4 2 7 3" xfId="17567"/>
    <cellStyle name="Note 2 4 2 7 3 2" xfId="30873"/>
    <cellStyle name="Note 2 4 2 7 4" xfId="22053"/>
    <cellStyle name="Note 2 4 2 7_Table" xfId="6776"/>
    <cellStyle name="Note 2 4 2 8" xfId="4054"/>
    <cellStyle name="Note 2 4 2 8 2" xfId="13382"/>
    <cellStyle name="Note 2 4 2 8 2 2" xfId="26688"/>
    <cellStyle name="Note 2 4 2 8 3" xfId="17792"/>
    <cellStyle name="Note 2 4 2 8 3 2" xfId="31098"/>
    <cellStyle name="Note 2 4 2 8 4" xfId="22278"/>
    <cellStyle name="Note 2 4 2 8_Table" xfId="6777"/>
    <cellStyle name="Note 2 4 2 9" xfId="4415"/>
    <cellStyle name="Note 2 4 2 9 2" xfId="13743"/>
    <cellStyle name="Note 2 4 2 9 2 2" xfId="27049"/>
    <cellStyle name="Note 2 4 2 9 3" xfId="18153"/>
    <cellStyle name="Note 2 4 2 9 3 2" xfId="31459"/>
    <cellStyle name="Note 2 4 2 9 4" xfId="22639"/>
    <cellStyle name="Note 2 4 2 9_Table" xfId="6778"/>
    <cellStyle name="Note 2 4 2_Table" xfId="6769"/>
    <cellStyle name="Note 2 4 3" xfId="1339"/>
    <cellStyle name="Note 2 4 3 2" xfId="10667"/>
    <cellStyle name="Note 2 4 3 2 2" xfId="23973"/>
    <cellStyle name="Note 2 4 3 3" xfId="15077"/>
    <cellStyle name="Note 2 4 3 3 2" xfId="28383"/>
    <cellStyle name="Note 2 4 3 4" xfId="19563"/>
    <cellStyle name="Note 2 4 3_Table" xfId="6779"/>
    <cellStyle name="Note 2 4 4" xfId="1696"/>
    <cellStyle name="Note 2 4 4 2" xfId="11024"/>
    <cellStyle name="Note 2 4 4 2 2" xfId="24330"/>
    <cellStyle name="Note 2 4 4 3" xfId="15434"/>
    <cellStyle name="Note 2 4 4 3 2" xfId="28740"/>
    <cellStyle name="Note 2 4 4 4" xfId="19920"/>
    <cellStyle name="Note 2 4 4_Table" xfId="6780"/>
    <cellStyle name="Note 2 4 5" xfId="2130"/>
    <cellStyle name="Note 2 4 5 2" xfId="11458"/>
    <cellStyle name="Note 2 4 5 2 2" xfId="24764"/>
    <cellStyle name="Note 2 4 5 3" xfId="15868"/>
    <cellStyle name="Note 2 4 5 3 2" xfId="29174"/>
    <cellStyle name="Note 2 4 5 4" xfId="20354"/>
    <cellStyle name="Note 2 4 5_Table" xfId="6781"/>
    <cellStyle name="Note 2 4 6" xfId="2562"/>
    <cellStyle name="Note 2 4 6 2" xfId="11890"/>
    <cellStyle name="Note 2 4 6 2 2" xfId="25196"/>
    <cellStyle name="Note 2 4 6 3" xfId="16300"/>
    <cellStyle name="Note 2 4 6 3 2" xfId="29606"/>
    <cellStyle name="Note 2 4 6 4" xfId="20786"/>
    <cellStyle name="Note 2 4 6_Table" xfId="6782"/>
    <cellStyle name="Note 2 4 7" xfId="2988"/>
    <cellStyle name="Note 2 4 7 2" xfId="12316"/>
    <cellStyle name="Note 2 4 7 2 2" xfId="25622"/>
    <cellStyle name="Note 2 4 7 3" xfId="16726"/>
    <cellStyle name="Note 2 4 7 3 2" xfId="30032"/>
    <cellStyle name="Note 2 4 7 4" xfId="21212"/>
    <cellStyle name="Note 2 4 7_Table" xfId="6783"/>
    <cellStyle name="Note 2 4 8" xfId="3402"/>
    <cellStyle name="Note 2 4 8 2" xfId="12730"/>
    <cellStyle name="Note 2 4 8 2 2" xfId="26036"/>
    <cellStyle name="Note 2 4 8 3" xfId="17140"/>
    <cellStyle name="Note 2 4 8 3 2" xfId="30446"/>
    <cellStyle name="Note 2 4 8 4" xfId="21626"/>
    <cellStyle name="Note 2 4 8_Table" xfId="6784"/>
    <cellStyle name="Note 2 4 9" xfId="3657"/>
    <cellStyle name="Note 2 4 9 2" xfId="12985"/>
    <cellStyle name="Note 2 4 9 2 2" xfId="26291"/>
    <cellStyle name="Note 2 4 9 3" xfId="17395"/>
    <cellStyle name="Note 2 4 9 3 2" xfId="30701"/>
    <cellStyle name="Note 2 4 9 4" xfId="21881"/>
    <cellStyle name="Note 2 4 9_Table" xfId="6785"/>
    <cellStyle name="Note 2 4_Table" xfId="6766"/>
    <cellStyle name="Note 2 5" xfId="619"/>
    <cellStyle name="Note 2 5 10" xfId="4235"/>
    <cellStyle name="Note 2 5 10 2" xfId="13563"/>
    <cellStyle name="Note 2 5 10 2 2" xfId="26869"/>
    <cellStyle name="Note 2 5 10 3" xfId="17973"/>
    <cellStyle name="Note 2 5 10 3 2" xfId="31279"/>
    <cellStyle name="Note 2 5 10 4" xfId="22459"/>
    <cellStyle name="Note 2 5 10_Table" xfId="6787"/>
    <cellStyle name="Note 2 5 11" xfId="4596"/>
    <cellStyle name="Note 2 5 11 2" xfId="13924"/>
    <cellStyle name="Note 2 5 11 2 2" xfId="27230"/>
    <cellStyle name="Note 2 5 11 3" xfId="18334"/>
    <cellStyle name="Note 2 5 11 3 2" xfId="31640"/>
    <cellStyle name="Note 2 5 11 4" xfId="22820"/>
    <cellStyle name="Note 2 5 11_Table" xfId="6788"/>
    <cellStyle name="Note 2 5 12" xfId="9947"/>
    <cellStyle name="Note 2 5 12 2" xfId="23270"/>
    <cellStyle name="Note 2 5 13" xfId="14374"/>
    <cellStyle name="Note 2 5 13 2" xfId="27680"/>
    <cellStyle name="Note 2 5 14" xfId="18860"/>
    <cellStyle name="Note 2 5 2" xfId="861"/>
    <cellStyle name="Note 2 5 2 10" xfId="4821"/>
    <cellStyle name="Note 2 5 2 10 2" xfId="14149"/>
    <cellStyle name="Note 2 5 2 10 2 2" xfId="27455"/>
    <cellStyle name="Note 2 5 2 10 3" xfId="18559"/>
    <cellStyle name="Note 2 5 2 10 3 2" xfId="31865"/>
    <cellStyle name="Note 2 5 2 10 4" xfId="23045"/>
    <cellStyle name="Note 2 5 2 10_Table" xfId="6790"/>
    <cellStyle name="Note 2 5 2 11" xfId="10189"/>
    <cellStyle name="Note 2 5 2 11 2" xfId="23495"/>
    <cellStyle name="Note 2 5 2 12" xfId="14599"/>
    <cellStyle name="Note 2 5 2 12 2" xfId="27905"/>
    <cellStyle name="Note 2 5 2 13" xfId="19085"/>
    <cellStyle name="Note 2 5 2 2" xfId="1647"/>
    <cellStyle name="Note 2 5 2 2 2" xfId="10975"/>
    <cellStyle name="Note 2 5 2 2 2 2" xfId="24281"/>
    <cellStyle name="Note 2 5 2 2 3" xfId="15385"/>
    <cellStyle name="Note 2 5 2 2 3 2" xfId="28691"/>
    <cellStyle name="Note 2 5 2 2 4" xfId="19871"/>
    <cellStyle name="Note 2 5 2 2_Table" xfId="6791"/>
    <cellStyle name="Note 2 5 2 3" xfId="2007"/>
    <cellStyle name="Note 2 5 2 3 2" xfId="11335"/>
    <cellStyle name="Note 2 5 2 3 2 2" xfId="24641"/>
    <cellStyle name="Note 2 5 2 3 3" xfId="15745"/>
    <cellStyle name="Note 2 5 2 3 3 2" xfId="29051"/>
    <cellStyle name="Note 2 5 2 3 4" xfId="20231"/>
    <cellStyle name="Note 2 5 2 3_Table" xfId="6792"/>
    <cellStyle name="Note 2 5 2 4" xfId="2437"/>
    <cellStyle name="Note 2 5 2 4 2" xfId="11765"/>
    <cellStyle name="Note 2 5 2 4 2 2" xfId="25071"/>
    <cellStyle name="Note 2 5 2 4 3" xfId="16175"/>
    <cellStyle name="Note 2 5 2 4 3 2" xfId="29481"/>
    <cellStyle name="Note 2 5 2 4 4" xfId="20661"/>
    <cellStyle name="Note 2 5 2 4_Table" xfId="6793"/>
    <cellStyle name="Note 2 5 2 5" xfId="2875"/>
    <cellStyle name="Note 2 5 2 5 2" xfId="12203"/>
    <cellStyle name="Note 2 5 2 5 2 2" xfId="25509"/>
    <cellStyle name="Note 2 5 2 5 3" xfId="16613"/>
    <cellStyle name="Note 2 5 2 5 3 2" xfId="29919"/>
    <cellStyle name="Note 2 5 2 5 4" xfId="21099"/>
    <cellStyle name="Note 2 5 2 5_Table" xfId="6794"/>
    <cellStyle name="Note 2 5 2 6" xfId="3282"/>
    <cellStyle name="Note 2 5 2 6 2" xfId="12610"/>
    <cellStyle name="Note 2 5 2 6 2 2" xfId="25916"/>
    <cellStyle name="Note 2 5 2 6 3" xfId="17020"/>
    <cellStyle name="Note 2 5 2 6 3 2" xfId="30326"/>
    <cellStyle name="Note 2 5 2 6 4" xfId="21506"/>
    <cellStyle name="Note 2 5 2 6_Table" xfId="6795"/>
    <cellStyle name="Note 2 5 2 7" xfId="3874"/>
    <cellStyle name="Note 2 5 2 7 2" xfId="13202"/>
    <cellStyle name="Note 2 5 2 7 2 2" xfId="26508"/>
    <cellStyle name="Note 2 5 2 7 3" xfId="17612"/>
    <cellStyle name="Note 2 5 2 7 3 2" xfId="30918"/>
    <cellStyle name="Note 2 5 2 7 4" xfId="22098"/>
    <cellStyle name="Note 2 5 2 7_Table" xfId="6796"/>
    <cellStyle name="Note 2 5 2 8" xfId="4099"/>
    <cellStyle name="Note 2 5 2 8 2" xfId="13427"/>
    <cellStyle name="Note 2 5 2 8 2 2" xfId="26733"/>
    <cellStyle name="Note 2 5 2 8 3" xfId="17837"/>
    <cellStyle name="Note 2 5 2 8 3 2" xfId="31143"/>
    <cellStyle name="Note 2 5 2 8 4" xfId="22323"/>
    <cellStyle name="Note 2 5 2 8_Table" xfId="6797"/>
    <cellStyle name="Note 2 5 2 9" xfId="4460"/>
    <cellStyle name="Note 2 5 2 9 2" xfId="13788"/>
    <cellStyle name="Note 2 5 2 9 2 2" xfId="27094"/>
    <cellStyle name="Note 2 5 2 9 3" xfId="18198"/>
    <cellStyle name="Note 2 5 2 9 3 2" xfId="31504"/>
    <cellStyle name="Note 2 5 2 9 4" xfId="22684"/>
    <cellStyle name="Note 2 5 2 9_Table" xfId="6798"/>
    <cellStyle name="Note 2 5 2_Table" xfId="6789"/>
    <cellStyle name="Note 2 5 3" xfId="1406"/>
    <cellStyle name="Note 2 5 3 2" xfId="10734"/>
    <cellStyle name="Note 2 5 3 2 2" xfId="24040"/>
    <cellStyle name="Note 2 5 3 3" xfId="15144"/>
    <cellStyle name="Note 2 5 3 3 2" xfId="28450"/>
    <cellStyle name="Note 2 5 3 4" xfId="19630"/>
    <cellStyle name="Note 2 5 3_Table" xfId="6799"/>
    <cellStyle name="Note 2 5 4" xfId="1766"/>
    <cellStyle name="Note 2 5 4 2" xfId="11094"/>
    <cellStyle name="Note 2 5 4 2 2" xfId="24400"/>
    <cellStyle name="Note 2 5 4 3" xfId="15504"/>
    <cellStyle name="Note 2 5 4 3 2" xfId="28810"/>
    <cellStyle name="Note 2 5 4 4" xfId="19990"/>
    <cellStyle name="Note 2 5 4_Table" xfId="6800"/>
    <cellStyle name="Note 2 5 5" xfId="2199"/>
    <cellStyle name="Note 2 5 5 2" xfId="11527"/>
    <cellStyle name="Note 2 5 5 2 2" xfId="24833"/>
    <cellStyle name="Note 2 5 5 3" xfId="15937"/>
    <cellStyle name="Note 2 5 5 3 2" xfId="29243"/>
    <cellStyle name="Note 2 5 5 4" xfId="20423"/>
    <cellStyle name="Note 2 5 5_Table" xfId="6801"/>
    <cellStyle name="Note 2 5 6" xfId="2634"/>
    <cellStyle name="Note 2 5 6 2" xfId="11962"/>
    <cellStyle name="Note 2 5 6 2 2" xfId="25268"/>
    <cellStyle name="Note 2 5 6 3" xfId="16372"/>
    <cellStyle name="Note 2 5 6 3 2" xfId="29678"/>
    <cellStyle name="Note 2 5 6 4" xfId="20858"/>
    <cellStyle name="Note 2 5 6_Table" xfId="6802"/>
    <cellStyle name="Note 2 5 7" xfId="3047"/>
    <cellStyle name="Note 2 5 7 2" xfId="12375"/>
    <cellStyle name="Note 2 5 7 2 2" xfId="25681"/>
    <cellStyle name="Note 2 5 7 3" xfId="16785"/>
    <cellStyle name="Note 2 5 7 3 2" xfId="30091"/>
    <cellStyle name="Note 2 5 7 4" xfId="21271"/>
    <cellStyle name="Note 2 5 7_Table" xfId="6803"/>
    <cellStyle name="Note 2 5 8" xfId="3473"/>
    <cellStyle name="Note 2 5 8 2" xfId="12801"/>
    <cellStyle name="Note 2 5 8 2 2" xfId="26107"/>
    <cellStyle name="Note 2 5 8 3" xfId="17211"/>
    <cellStyle name="Note 2 5 8 3 2" xfId="30517"/>
    <cellStyle name="Note 2 5 8 4" xfId="21697"/>
    <cellStyle name="Note 2 5 8_Table" xfId="6804"/>
    <cellStyle name="Note 2 5 9" xfId="3666"/>
    <cellStyle name="Note 2 5 9 2" xfId="12994"/>
    <cellStyle name="Note 2 5 9 2 2" xfId="26300"/>
    <cellStyle name="Note 2 5 9 3" xfId="17404"/>
    <cellStyle name="Note 2 5 9 3 2" xfId="30710"/>
    <cellStyle name="Note 2 5 9 4" xfId="21890"/>
    <cellStyle name="Note 2 5 9_Table" xfId="6805"/>
    <cellStyle name="Note 2 5_Table" xfId="6786"/>
    <cellStyle name="Note 2 6" xfId="681"/>
    <cellStyle name="Note 2 6 10" xfId="4641"/>
    <cellStyle name="Note 2 6 10 2" xfId="13969"/>
    <cellStyle name="Note 2 6 10 2 2" xfId="27275"/>
    <cellStyle name="Note 2 6 10 3" xfId="18379"/>
    <cellStyle name="Note 2 6 10 3 2" xfId="31685"/>
    <cellStyle name="Note 2 6 10 4" xfId="22865"/>
    <cellStyle name="Note 2 6 10_Table" xfId="6807"/>
    <cellStyle name="Note 2 6 11" xfId="10009"/>
    <cellStyle name="Note 2 6 11 2" xfId="23315"/>
    <cellStyle name="Note 2 6 12" xfId="14419"/>
    <cellStyle name="Note 2 6 12 2" xfId="27725"/>
    <cellStyle name="Note 2 6 13" xfId="18905"/>
    <cellStyle name="Note 2 6 2" xfId="1467"/>
    <cellStyle name="Note 2 6 2 2" xfId="10795"/>
    <cellStyle name="Note 2 6 2 2 2" xfId="24101"/>
    <cellStyle name="Note 2 6 2 3" xfId="15205"/>
    <cellStyle name="Note 2 6 2 3 2" xfId="28511"/>
    <cellStyle name="Note 2 6 2 4" xfId="19691"/>
    <cellStyle name="Note 2 6 2_Table" xfId="6808"/>
    <cellStyle name="Note 2 6 3" xfId="1827"/>
    <cellStyle name="Note 2 6 3 2" xfId="11155"/>
    <cellStyle name="Note 2 6 3 2 2" xfId="24461"/>
    <cellStyle name="Note 2 6 3 3" xfId="15565"/>
    <cellStyle name="Note 2 6 3 3 2" xfId="28871"/>
    <cellStyle name="Note 2 6 3 4" xfId="20051"/>
    <cellStyle name="Note 2 6 3_Table" xfId="6809"/>
    <cellStyle name="Note 2 6 4" xfId="2257"/>
    <cellStyle name="Note 2 6 4 2" xfId="11585"/>
    <cellStyle name="Note 2 6 4 2 2" xfId="24891"/>
    <cellStyle name="Note 2 6 4 3" xfId="15995"/>
    <cellStyle name="Note 2 6 4 3 2" xfId="29301"/>
    <cellStyle name="Note 2 6 4 4" xfId="20481"/>
    <cellStyle name="Note 2 6 4_Table" xfId="6810"/>
    <cellStyle name="Note 2 6 5" xfId="2695"/>
    <cellStyle name="Note 2 6 5 2" xfId="12023"/>
    <cellStyle name="Note 2 6 5 2 2" xfId="25329"/>
    <cellStyle name="Note 2 6 5 3" xfId="16433"/>
    <cellStyle name="Note 2 6 5 3 2" xfId="29739"/>
    <cellStyle name="Note 2 6 5 4" xfId="20919"/>
    <cellStyle name="Note 2 6 5_Table" xfId="6811"/>
    <cellStyle name="Note 2 6 6" xfId="3102"/>
    <cellStyle name="Note 2 6 6 2" xfId="12430"/>
    <cellStyle name="Note 2 6 6 2 2" xfId="25736"/>
    <cellStyle name="Note 2 6 6 3" xfId="16840"/>
    <cellStyle name="Note 2 6 6 3 2" xfId="30146"/>
    <cellStyle name="Note 2 6 6 4" xfId="21326"/>
    <cellStyle name="Note 2 6 6_Table" xfId="6812"/>
    <cellStyle name="Note 2 6 7" xfId="3694"/>
    <cellStyle name="Note 2 6 7 2" xfId="13022"/>
    <cellStyle name="Note 2 6 7 2 2" xfId="26328"/>
    <cellStyle name="Note 2 6 7 3" xfId="17432"/>
    <cellStyle name="Note 2 6 7 3 2" xfId="30738"/>
    <cellStyle name="Note 2 6 7 4" xfId="21918"/>
    <cellStyle name="Note 2 6 7_Table" xfId="6813"/>
    <cellStyle name="Note 2 6 8" xfId="3919"/>
    <cellStyle name="Note 2 6 8 2" xfId="13247"/>
    <cellStyle name="Note 2 6 8 2 2" xfId="26553"/>
    <cellStyle name="Note 2 6 8 3" xfId="17657"/>
    <cellStyle name="Note 2 6 8 3 2" xfId="30963"/>
    <cellStyle name="Note 2 6 8 4" xfId="22143"/>
    <cellStyle name="Note 2 6 8_Table" xfId="6814"/>
    <cellStyle name="Note 2 6 9" xfId="4280"/>
    <cellStyle name="Note 2 6 9 2" xfId="13608"/>
    <cellStyle name="Note 2 6 9 2 2" xfId="26914"/>
    <cellStyle name="Note 2 6 9 3" xfId="18018"/>
    <cellStyle name="Note 2 6 9 3 2" xfId="31324"/>
    <cellStyle name="Note 2 6 9 4" xfId="22504"/>
    <cellStyle name="Note 2 6 9_Table" xfId="6815"/>
    <cellStyle name="Note 2 6_Table" xfId="6806"/>
    <cellStyle name="Note 2 7" xfId="1175"/>
    <cellStyle name="Note 2 7 2" xfId="10503"/>
    <cellStyle name="Note 2 7 2 2" xfId="23809"/>
    <cellStyle name="Note 2 7 3" xfId="14913"/>
    <cellStyle name="Note 2 7 3 2" xfId="28219"/>
    <cellStyle name="Note 2 7 4" xfId="19399"/>
    <cellStyle name="Note 2 7_Table" xfId="6816"/>
    <cellStyle name="Note 2 8" xfId="1069"/>
    <cellStyle name="Note 2 8 2" xfId="10397"/>
    <cellStyle name="Note 2 8 2 2" xfId="23703"/>
    <cellStyle name="Note 2 8 3" xfId="14807"/>
    <cellStyle name="Note 2 8 3 2" xfId="28113"/>
    <cellStyle name="Note 2 8 4" xfId="19293"/>
    <cellStyle name="Note 2 8_Table" xfId="6817"/>
    <cellStyle name="Note 2 9" xfId="1447"/>
    <cellStyle name="Note 2 9 2" xfId="10775"/>
    <cellStyle name="Note 2 9 2 2" xfId="24081"/>
    <cellStyle name="Note 2 9 3" xfId="15185"/>
    <cellStyle name="Note 2 9 3 2" xfId="28491"/>
    <cellStyle name="Note 2 9 4" xfId="19671"/>
    <cellStyle name="Note 2 9_Table" xfId="6818"/>
    <cellStyle name="Note 2_Table" xfId="6719"/>
    <cellStyle name="Note 3" xfId="342"/>
    <cellStyle name="Note 3 10" xfId="1800"/>
    <cellStyle name="Note 3 10 2" xfId="11128"/>
    <cellStyle name="Note 3 10 2 2" xfId="24434"/>
    <cellStyle name="Note 3 10 3" xfId="15538"/>
    <cellStyle name="Note 3 10 3 2" xfId="28844"/>
    <cellStyle name="Note 3 10 4" xfId="20024"/>
    <cellStyle name="Note 3 10_Table" xfId="6820"/>
    <cellStyle name="Note 3 11" xfId="2232"/>
    <cellStyle name="Note 3 11 2" xfId="11560"/>
    <cellStyle name="Note 3 11 2 2" xfId="24866"/>
    <cellStyle name="Note 3 11 3" xfId="15970"/>
    <cellStyle name="Note 3 11 3 2" xfId="29276"/>
    <cellStyle name="Note 3 11 4" xfId="20456"/>
    <cellStyle name="Note 3 11_Table" xfId="6821"/>
    <cellStyle name="Note 3 12" xfId="2667"/>
    <cellStyle name="Note 3 12 2" xfId="11995"/>
    <cellStyle name="Note 3 12 2 2" xfId="25301"/>
    <cellStyle name="Note 3 12 3" xfId="16405"/>
    <cellStyle name="Note 3 12 3 2" xfId="29711"/>
    <cellStyle name="Note 3 12 4" xfId="20891"/>
    <cellStyle name="Note 3 12_Table" xfId="6822"/>
    <cellStyle name="Note 3 13" xfId="3556"/>
    <cellStyle name="Note 3 13 2" xfId="12884"/>
    <cellStyle name="Note 3 13 2 2" xfId="26190"/>
    <cellStyle name="Note 3 13 3" xfId="17294"/>
    <cellStyle name="Note 3 13 3 2" xfId="30600"/>
    <cellStyle name="Note 3 13 4" xfId="21780"/>
    <cellStyle name="Note 3 13_Table" xfId="6823"/>
    <cellStyle name="Note 3 14" xfId="3646"/>
    <cellStyle name="Note 3 14 2" xfId="12974"/>
    <cellStyle name="Note 3 14 2 2" xfId="26280"/>
    <cellStyle name="Note 3 14 3" xfId="17384"/>
    <cellStyle name="Note 3 14 3 2" xfId="30690"/>
    <cellStyle name="Note 3 14 4" xfId="21870"/>
    <cellStyle name="Note 3 14_Table" xfId="6824"/>
    <cellStyle name="Note 3 15" xfId="3643"/>
    <cellStyle name="Note 3 15 2" xfId="12971"/>
    <cellStyle name="Note 3 15 2 2" xfId="26277"/>
    <cellStyle name="Note 3 15 3" xfId="17381"/>
    <cellStyle name="Note 3 15 3 2" xfId="30687"/>
    <cellStyle name="Note 3 15 4" xfId="21867"/>
    <cellStyle name="Note 3 15_Table" xfId="6825"/>
    <cellStyle name="Note 3 16" xfId="9670"/>
    <cellStyle name="Note 3 16 2" xfId="23091"/>
    <cellStyle name="Note 3 17" xfId="14195"/>
    <cellStyle name="Note 3 17 2" xfId="27501"/>
    <cellStyle name="Note 3 18" xfId="18681"/>
    <cellStyle name="Note 3 2" xfId="413"/>
    <cellStyle name="Note 3 2 10" xfId="1402"/>
    <cellStyle name="Note 3 2 10 2" xfId="10730"/>
    <cellStyle name="Note 3 2 10 2 2" xfId="24036"/>
    <cellStyle name="Note 3 2 10 3" xfId="15140"/>
    <cellStyle name="Note 3 2 10 3 2" xfId="28446"/>
    <cellStyle name="Note 3 2 10 4" xfId="19626"/>
    <cellStyle name="Note 3 2 10_Table" xfId="6827"/>
    <cellStyle name="Note 3 2 11" xfId="3602"/>
    <cellStyle name="Note 3 2 11 2" xfId="12930"/>
    <cellStyle name="Note 3 2 11 2 2" xfId="26236"/>
    <cellStyle name="Note 3 2 11 3" xfId="17340"/>
    <cellStyle name="Note 3 2 11 3 2" xfId="30646"/>
    <cellStyle name="Note 3 2 11 4" xfId="21826"/>
    <cellStyle name="Note 3 2 11_Table" xfId="6828"/>
    <cellStyle name="Note 3 2 12" xfId="9741"/>
    <cellStyle name="Note 3 2 12 2" xfId="23136"/>
    <cellStyle name="Note 3 2 13" xfId="14240"/>
    <cellStyle name="Note 3 2 13 2" xfId="27546"/>
    <cellStyle name="Note 3 2 14" xfId="18726"/>
    <cellStyle name="Note 3 2 2" xfId="727"/>
    <cellStyle name="Note 3 2 2 10" xfId="4687"/>
    <cellStyle name="Note 3 2 2 10 2" xfId="14015"/>
    <cellStyle name="Note 3 2 2 10 2 2" xfId="27321"/>
    <cellStyle name="Note 3 2 2 10 3" xfId="18425"/>
    <cellStyle name="Note 3 2 2 10 3 2" xfId="31731"/>
    <cellStyle name="Note 3 2 2 10 4" xfId="22911"/>
    <cellStyle name="Note 3 2 2 10_Table" xfId="6830"/>
    <cellStyle name="Note 3 2 2 11" xfId="10055"/>
    <cellStyle name="Note 3 2 2 11 2" xfId="23361"/>
    <cellStyle name="Note 3 2 2 12" xfId="14465"/>
    <cellStyle name="Note 3 2 2 12 2" xfId="27771"/>
    <cellStyle name="Note 3 2 2 13" xfId="18951"/>
    <cellStyle name="Note 3 2 2 2" xfId="1513"/>
    <cellStyle name="Note 3 2 2 2 2" xfId="10841"/>
    <cellStyle name="Note 3 2 2 2 2 2" xfId="24147"/>
    <cellStyle name="Note 3 2 2 2 3" xfId="15251"/>
    <cellStyle name="Note 3 2 2 2 3 2" xfId="28557"/>
    <cellStyle name="Note 3 2 2 2 4" xfId="19737"/>
    <cellStyle name="Note 3 2 2 2_Table" xfId="6831"/>
    <cellStyle name="Note 3 2 2 3" xfId="1873"/>
    <cellStyle name="Note 3 2 2 3 2" xfId="11201"/>
    <cellStyle name="Note 3 2 2 3 2 2" xfId="24507"/>
    <cellStyle name="Note 3 2 2 3 3" xfId="15611"/>
    <cellStyle name="Note 3 2 2 3 3 2" xfId="28917"/>
    <cellStyle name="Note 3 2 2 3 4" xfId="20097"/>
    <cellStyle name="Note 3 2 2 3_Table" xfId="6832"/>
    <cellStyle name="Note 3 2 2 4" xfId="2303"/>
    <cellStyle name="Note 3 2 2 4 2" xfId="11631"/>
    <cellStyle name="Note 3 2 2 4 2 2" xfId="24937"/>
    <cellStyle name="Note 3 2 2 4 3" xfId="16041"/>
    <cellStyle name="Note 3 2 2 4 3 2" xfId="29347"/>
    <cellStyle name="Note 3 2 2 4 4" xfId="20527"/>
    <cellStyle name="Note 3 2 2 4_Table" xfId="6833"/>
    <cellStyle name="Note 3 2 2 5" xfId="2741"/>
    <cellStyle name="Note 3 2 2 5 2" xfId="12069"/>
    <cellStyle name="Note 3 2 2 5 2 2" xfId="25375"/>
    <cellStyle name="Note 3 2 2 5 3" xfId="16479"/>
    <cellStyle name="Note 3 2 2 5 3 2" xfId="29785"/>
    <cellStyle name="Note 3 2 2 5 4" xfId="20965"/>
    <cellStyle name="Note 3 2 2 5_Table" xfId="6834"/>
    <cellStyle name="Note 3 2 2 6" xfId="3148"/>
    <cellStyle name="Note 3 2 2 6 2" xfId="12476"/>
    <cellStyle name="Note 3 2 2 6 2 2" xfId="25782"/>
    <cellStyle name="Note 3 2 2 6 3" xfId="16886"/>
    <cellStyle name="Note 3 2 2 6 3 2" xfId="30192"/>
    <cellStyle name="Note 3 2 2 6 4" xfId="21372"/>
    <cellStyle name="Note 3 2 2 6_Table" xfId="6835"/>
    <cellStyle name="Note 3 2 2 7" xfId="3740"/>
    <cellStyle name="Note 3 2 2 7 2" xfId="13068"/>
    <cellStyle name="Note 3 2 2 7 2 2" xfId="26374"/>
    <cellStyle name="Note 3 2 2 7 3" xfId="17478"/>
    <cellStyle name="Note 3 2 2 7 3 2" xfId="30784"/>
    <cellStyle name="Note 3 2 2 7 4" xfId="21964"/>
    <cellStyle name="Note 3 2 2 7_Table" xfId="6836"/>
    <cellStyle name="Note 3 2 2 8" xfId="3965"/>
    <cellStyle name="Note 3 2 2 8 2" xfId="13293"/>
    <cellStyle name="Note 3 2 2 8 2 2" xfId="26599"/>
    <cellStyle name="Note 3 2 2 8 3" xfId="17703"/>
    <cellStyle name="Note 3 2 2 8 3 2" xfId="31009"/>
    <cellStyle name="Note 3 2 2 8 4" xfId="22189"/>
    <cellStyle name="Note 3 2 2 8_Table" xfId="6837"/>
    <cellStyle name="Note 3 2 2 9" xfId="4326"/>
    <cellStyle name="Note 3 2 2 9 2" xfId="13654"/>
    <cellStyle name="Note 3 2 2 9 2 2" xfId="26960"/>
    <cellStyle name="Note 3 2 2 9 3" xfId="18064"/>
    <cellStyle name="Note 3 2 2 9 3 2" xfId="31370"/>
    <cellStyle name="Note 3 2 2 9 4" xfId="22550"/>
    <cellStyle name="Note 3 2 2 9_Table" xfId="6838"/>
    <cellStyle name="Note 3 2 2_Table" xfId="6829"/>
    <cellStyle name="Note 3 2 3" xfId="1227"/>
    <cellStyle name="Note 3 2 3 2" xfId="10555"/>
    <cellStyle name="Note 3 2 3 2 2" xfId="23861"/>
    <cellStyle name="Note 3 2 3 3" xfId="14965"/>
    <cellStyle name="Note 3 2 3 3 2" xfId="28271"/>
    <cellStyle name="Note 3 2 3 4" xfId="19451"/>
    <cellStyle name="Note 3 2 3_Table" xfId="6839"/>
    <cellStyle name="Note 3 2 4" xfId="999"/>
    <cellStyle name="Note 3 2 4 2" xfId="10327"/>
    <cellStyle name="Note 3 2 4 2 2" xfId="23633"/>
    <cellStyle name="Note 3 2 4 3" xfId="14737"/>
    <cellStyle name="Note 3 2 4 3 2" xfId="28043"/>
    <cellStyle name="Note 3 2 4 4" xfId="19223"/>
    <cellStyle name="Note 3 2 4_Table" xfId="6840"/>
    <cellStyle name="Note 3 2 5" xfId="1210"/>
    <cellStyle name="Note 3 2 5 2" xfId="10538"/>
    <cellStyle name="Note 3 2 5 2 2" xfId="23844"/>
    <cellStyle name="Note 3 2 5 3" xfId="14948"/>
    <cellStyle name="Note 3 2 5 3 2" xfId="28254"/>
    <cellStyle name="Note 3 2 5 4" xfId="19434"/>
    <cellStyle name="Note 3 2 5_Table" xfId="6841"/>
    <cellStyle name="Note 3 2 6" xfId="1740"/>
    <cellStyle name="Note 3 2 6 2" xfId="11068"/>
    <cellStyle name="Note 3 2 6 2 2" xfId="24374"/>
    <cellStyle name="Note 3 2 6 3" xfId="15478"/>
    <cellStyle name="Note 3 2 6 3 2" xfId="28784"/>
    <cellStyle name="Note 3 2 6 4" xfId="19964"/>
    <cellStyle name="Note 3 2 6_Table" xfId="6842"/>
    <cellStyle name="Note 3 2 7" xfId="2174"/>
    <cellStyle name="Note 3 2 7 2" xfId="11502"/>
    <cellStyle name="Note 3 2 7 2 2" xfId="24808"/>
    <cellStyle name="Note 3 2 7 3" xfId="15912"/>
    <cellStyle name="Note 3 2 7 3 2" xfId="29218"/>
    <cellStyle name="Note 3 2 7 4" xfId="20398"/>
    <cellStyle name="Note 3 2 7_Table" xfId="6843"/>
    <cellStyle name="Note 3 2 8" xfId="2607"/>
    <cellStyle name="Note 3 2 8 2" xfId="11935"/>
    <cellStyle name="Note 3 2 8 2 2" xfId="25241"/>
    <cellStyle name="Note 3 2 8 3" xfId="16345"/>
    <cellStyle name="Note 3 2 8 3 2" xfId="29651"/>
    <cellStyle name="Note 3 2 8 4" xfId="20831"/>
    <cellStyle name="Note 3 2 8_Table" xfId="6844"/>
    <cellStyle name="Note 3 2 9" xfId="3648"/>
    <cellStyle name="Note 3 2 9 2" xfId="12976"/>
    <cellStyle name="Note 3 2 9 2 2" xfId="26282"/>
    <cellStyle name="Note 3 2 9 3" xfId="17386"/>
    <cellStyle name="Note 3 2 9 3 2" xfId="30692"/>
    <cellStyle name="Note 3 2 9 4" xfId="21872"/>
    <cellStyle name="Note 3 2 9_Table" xfId="6845"/>
    <cellStyle name="Note 3 2_Table" xfId="6826"/>
    <cellStyle name="Note 3 3" xfId="481"/>
    <cellStyle name="Note 3 3 10" xfId="4146"/>
    <cellStyle name="Note 3 3 10 2" xfId="13474"/>
    <cellStyle name="Note 3 3 10 2 2" xfId="26780"/>
    <cellStyle name="Note 3 3 10 3" xfId="17884"/>
    <cellStyle name="Note 3 3 10 3 2" xfId="31190"/>
    <cellStyle name="Note 3 3 10 4" xfId="22370"/>
    <cellStyle name="Note 3 3 10_Table" xfId="6847"/>
    <cellStyle name="Note 3 3 11" xfId="4507"/>
    <cellStyle name="Note 3 3 11 2" xfId="13835"/>
    <cellStyle name="Note 3 3 11 2 2" xfId="27141"/>
    <cellStyle name="Note 3 3 11 3" xfId="18245"/>
    <cellStyle name="Note 3 3 11 3 2" xfId="31551"/>
    <cellStyle name="Note 3 3 11 4" xfId="22731"/>
    <cellStyle name="Note 3 3 11_Table" xfId="6848"/>
    <cellStyle name="Note 3 3 12" xfId="9809"/>
    <cellStyle name="Note 3 3 12 2" xfId="23181"/>
    <cellStyle name="Note 3 3 13" xfId="14285"/>
    <cellStyle name="Note 3 3 13 2" xfId="27591"/>
    <cellStyle name="Note 3 3 14" xfId="18771"/>
    <cellStyle name="Note 3 3 2" xfId="772"/>
    <cellStyle name="Note 3 3 2 10" xfId="4732"/>
    <cellStyle name="Note 3 3 2 10 2" xfId="14060"/>
    <cellStyle name="Note 3 3 2 10 2 2" xfId="27366"/>
    <cellStyle name="Note 3 3 2 10 3" xfId="18470"/>
    <cellStyle name="Note 3 3 2 10 3 2" xfId="31776"/>
    <cellStyle name="Note 3 3 2 10 4" xfId="22956"/>
    <cellStyle name="Note 3 3 2 10_Table" xfId="6850"/>
    <cellStyle name="Note 3 3 2 11" xfId="10100"/>
    <cellStyle name="Note 3 3 2 11 2" xfId="23406"/>
    <cellStyle name="Note 3 3 2 12" xfId="14510"/>
    <cellStyle name="Note 3 3 2 12 2" xfId="27816"/>
    <cellStyle name="Note 3 3 2 13" xfId="18996"/>
    <cellStyle name="Note 3 3 2 2" xfId="1558"/>
    <cellStyle name="Note 3 3 2 2 2" xfId="10886"/>
    <cellStyle name="Note 3 3 2 2 2 2" xfId="24192"/>
    <cellStyle name="Note 3 3 2 2 3" xfId="15296"/>
    <cellStyle name="Note 3 3 2 2 3 2" xfId="28602"/>
    <cellStyle name="Note 3 3 2 2 4" xfId="19782"/>
    <cellStyle name="Note 3 3 2 2_Table" xfId="6851"/>
    <cellStyle name="Note 3 3 2 3" xfId="1918"/>
    <cellStyle name="Note 3 3 2 3 2" xfId="11246"/>
    <cellStyle name="Note 3 3 2 3 2 2" xfId="24552"/>
    <cellStyle name="Note 3 3 2 3 3" xfId="15656"/>
    <cellStyle name="Note 3 3 2 3 3 2" xfId="28962"/>
    <cellStyle name="Note 3 3 2 3 4" xfId="20142"/>
    <cellStyle name="Note 3 3 2 3_Table" xfId="6852"/>
    <cellStyle name="Note 3 3 2 4" xfId="2348"/>
    <cellStyle name="Note 3 3 2 4 2" xfId="11676"/>
    <cellStyle name="Note 3 3 2 4 2 2" xfId="24982"/>
    <cellStyle name="Note 3 3 2 4 3" xfId="16086"/>
    <cellStyle name="Note 3 3 2 4 3 2" xfId="29392"/>
    <cellStyle name="Note 3 3 2 4 4" xfId="20572"/>
    <cellStyle name="Note 3 3 2 4_Table" xfId="6853"/>
    <cellStyle name="Note 3 3 2 5" xfId="2786"/>
    <cellStyle name="Note 3 3 2 5 2" xfId="12114"/>
    <cellStyle name="Note 3 3 2 5 2 2" xfId="25420"/>
    <cellStyle name="Note 3 3 2 5 3" xfId="16524"/>
    <cellStyle name="Note 3 3 2 5 3 2" xfId="29830"/>
    <cellStyle name="Note 3 3 2 5 4" xfId="21010"/>
    <cellStyle name="Note 3 3 2 5_Table" xfId="6854"/>
    <cellStyle name="Note 3 3 2 6" xfId="3193"/>
    <cellStyle name="Note 3 3 2 6 2" xfId="12521"/>
    <cellStyle name="Note 3 3 2 6 2 2" xfId="25827"/>
    <cellStyle name="Note 3 3 2 6 3" xfId="16931"/>
    <cellStyle name="Note 3 3 2 6 3 2" xfId="30237"/>
    <cellStyle name="Note 3 3 2 6 4" xfId="21417"/>
    <cellStyle name="Note 3 3 2 6_Table" xfId="6855"/>
    <cellStyle name="Note 3 3 2 7" xfId="3785"/>
    <cellStyle name="Note 3 3 2 7 2" xfId="13113"/>
    <cellStyle name="Note 3 3 2 7 2 2" xfId="26419"/>
    <cellStyle name="Note 3 3 2 7 3" xfId="17523"/>
    <cellStyle name="Note 3 3 2 7 3 2" xfId="30829"/>
    <cellStyle name="Note 3 3 2 7 4" xfId="22009"/>
    <cellStyle name="Note 3 3 2 7_Table" xfId="6856"/>
    <cellStyle name="Note 3 3 2 8" xfId="4010"/>
    <cellStyle name="Note 3 3 2 8 2" xfId="13338"/>
    <cellStyle name="Note 3 3 2 8 2 2" xfId="26644"/>
    <cellStyle name="Note 3 3 2 8 3" xfId="17748"/>
    <cellStyle name="Note 3 3 2 8 3 2" xfId="31054"/>
    <cellStyle name="Note 3 3 2 8 4" xfId="22234"/>
    <cellStyle name="Note 3 3 2 8_Table" xfId="6857"/>
    <cellStyle name="Note 3 3 2 9" xfId="4371"/>
    <cellStyle name="Note 3 3 2 9 2" xfId="13699"/>
    <cellStyle name="Note 3 3 2 9 2 2" xfId="27005"/>
    <cellStyle name="Note 3 3 2 9 3" xfId="18109"/>
    <cellStyle name="Note 3 3 2 9 3 2" xfId="31415"/>
    <cellStyle name="Note 3 3 2 9 4" xfId="22595"/>
    <cellStyle name="Note 3 3 2 9_Table" xfId="6858"/>
    <cellStyle name="Note 3 3 2_Table" xfId="6849"/>
    <cellStyle name="Note 3 3 3" xfId="1284"/>
    <cellStyle name="Note 3 3 3 2" xfId="10612"/>
    <cellStyle name="Note 3 3 3 2 2" xfId="23918"/>
    <cellStyle name="Note 3 3 3 3" xfId="15022"/>
    <cellStyle name="Note 3 3 3 3 2" xfId="28328"/>
    <cellStyle name="Note 3 3 3 4" xfId="19508"/>
    <cellStyle name="Note 3 3 3_Table" xfId="6859"/>
    <cellStyle name="Note 3 3 4" xfId="933"/>
    <cellStyle name="Note 3 3 4 2" xfId="10261"/>
    <cellStyle name="Note 3 3 4 2 2" xfId="23567"/>
    <cellStyle name="Note 3 3 4 3" xfId="14671"/>
    <cellStyle name="Note 3 3 4 3 2" xfId="27977"/>
    <cellStyle name="Note 3 3 4 4" xfId="19157"/>
    <cellStyle name="Note 3 3 4_Table" xfId="6860"/>
    <cellStyle name="Note 3 3 5" xfId="2072"/>
    <cellStyle name="Note 3 3 5 2" xfId="11400"/>
    <cellStyle name="Note 3 3 5 2 2" xfId="24706"/>
    <cellStyle name="Note 3 3 5 3" xfId="15810"/>
    <cellStyle name="Note 3 3 5 3 2" xfId="29116"/>
    <cellStyle name="Note 3 3 5 4" xfId="20296"/>
    <cellStyle name="Note 3 3 5_Table" xfId="6861"/>
    <cellStyle name="Note 3 3 6" xfId="2504"/>
    <cellStyle name="Note 3 3 6 2" xfId="11832"/>
    <cellStyle name="Note 3 3 6 2 2" xfId="25138"/>
    <cellStyle name="Note 3 3 6 3" xfId="16242"/>
    <cellStyle name="Note 3 3 6 3 2" xfId="29548"/>
    <cellStyle name="Note 3 3 6 4" xfId="20728"/>
    <cellStyle name="Note 3 3 6_Table" xfId="6862"/>
    <cellStyle name="Note 3 3 7" xfId="2932"/>
    <cellStyle name="Note 3 3 7 2" xfId="12260"/>
    <cellStyle name="Note 3 3 7 2 2" xfId="25566"/>
    <cellStyle name="Note 3 3 7 3" xfId="16670"/>
    <cellStyle name="Note 3 3 7 3 2" xfId="29976"/>
    <cellStyle name="Note 3 3 7 4" xfId="21156"/>
    <cellStyle name="Note 3 3 7_Table" xfId="6863"/>
    <cellStyle name="Note 3 3 8" xfId="3345"/>
    <cellStyle name="Note 3 3 8 2" xfId="12673"/>
    <cellStyle name="Note 3 3 8 2 2" xfId="25979"/>
    <cellStyle name="Note 3 3 8 3" xfId="17083"/>
    <cellStyle name="Note 3 3 8 3 2" xfId="30389"/>
    <cellStyle name="Note 3 3 8 4" xfId="21569"/>
    <cellStyle name="Note 3 3 8_Table" xfId="6864"/>
    <cellStyle name="Note 3 3 9" xfId="3373"/>
    <cellStyle name="Note 3 3 9 2" xfId="12701"/>
    <cellStyle name="Note 3 3 9 2 2" xfId="26007"/>
    <cellStyle name="Note 3 3 9 3" xfId="17111"/>
    <cellStyle name="Note 3 3 9 3 2" xfId="30417"/>
    <cellStyle name="Note 3 3 9 4" xfId="21597"/>
    <cellStyle name="Note 3 3 9_Table" xfId="6865"/>
    <cellStyle name="Note 3 3_Table" xfId="6846"/>
    <cellStyle name="Note 3 4" xfId="545"/>
    <cellStyle name="Note 3 4 10" xfId="4191"/>
    <cellStyle name="Note 3 4 10 2" xfId="13519"/>
    <cellStyle name="Note 3 4 10 2 2" xfId="26825"/>
    <cellStyle name="Note 3 4 10 3" xfId="17929"/>
    <cellStyle name="Note 3 4 10 3 2" xfId="31235"/>
    <cellStyle name="Note 3 4 10 4" xfId="22415"/>
    <cellStyle name="Note 3 4 10_Table" xfId="6867"/>
    <cellStyle name="Note 3 4 11" xfId="4552"/>
    <cellStyle name="Note 3 4 11 2" xfId="13880"/>
    <cellStyle name="Note 3 4 11 2 2" xfId="27186"/>
    <cellStyle name="Note 3 4 11 3" xfId="18290"/>
    <cellStyle name="Note 3 4 11 3 2" xfId="31596"/>
    <cellStyle name="Note 3 4 11 4" xfId="22776"/>
    <cellStyle name="Note 3 4 11_Table" xfId="6868"/>
    <cellStyle name="Note 3 4 12" xfId="9873"/>
    <cellStyle name="Note 3 4 12 2" xfId="23226"/>
    <cellStyle name="Note 3 4 13" xfId="14330"/>
    <cellStyle name="Note 3 4 13 2" xfId="27636"/>
    <cellStyle name="Note 3 4 14" xfId="18816"/>
    <cellStyle name="Note 3 4 2" xfId="817"/>
    <cellStyle name="Note 3 4 2 10" xfId="4777"/>
    <cellStyle name="Note 3 4 2 10 2" xfId="14105"/>
    <cellStyle name="Note 3 4 2 10 2 2" xfId="27411"/>
    <cellStyle name="Note 3 4 2 10 3" xfId="18515"/>
    <cellStyle name="Note 3 4 2 10 3 2" xfId="31821"/>
    <cellStyle name="Note 3 4 2 10 4" xfId="23001"/>
    <cellStyle name="Note 3 4 2 10_Table" xfId="6870"/>
    <cellStyle name="Note 3 4 2 11" xfId="10145"/>
    <cellStyle name="Note 3 4 2 11 2" xfId="23451"/>
    <cellStyle name="Note 3 4 2 12" xfId="14555"/>
    <cellStyle name="Note 3 4 2 12 2" xfId="27861"/>
    <cellStyle name="Note 3 4 2 13" xfId="19041"/>
    <cellStyle name="Note 3 4 2 2" xfId="1603"/>
    <cellStyle name="Note 3 4 2 2 2" xfId="10931"/>
    <cellStyle name="Note 3 4 2 2 2 2" xfId="24237"/>
    <cellStyle name="Note 3 4 2 2 3" xfId="15341"/>
    <cellStyle name="Note 3 4 2 2 3 2" xfId="28647"/>
    <cellStyle name="Note 3 4 2 2 4" xfId="19827"/>
    <cellStyle name="Note 3 4 2 2_Table" xfId="6871"/>
    <cellStyle name="Note 3 4 2 3" xfId="1963"/>
    <cellStyle name="Note 3 4 2 3 2" xfId="11291"/>
    <cellStyle name="Note 3 4 2 3 2 2" xfId="24597"/>
    <cellStyle name="Note 3 4 2 3 3" xfId="15701"/>
    <cellStyle name="Note 3 4 2 3 3 2" xfId="29007"/>
    <cellStyle name="Note 3 4 2 3 4" xfId="20187"/>
    <cellStyle name="Note 3 4 2 3_Table" xfId="6872"/>
    <cellStyle name="Note 3 4 2 4" xfId="2393"/>
    <cellStyle name="Note 3 4 2 4 2" xfId="11721"/>
    <cellStyle name="Note 3 4 2 4 2 2" xfId="25027"/>
    <cellStyle name="Note 3 4 2 4 3" xfId="16131"/>
    <cellStyle name="Note 3 4 2 4 3 2" xfId="29437"/>
    <cellStyle name="Note 3 4 2 4 4" xfId="20617"/>
    <cellStyle name="Note 3 4 2 4_Table" xfId="6873"/>
    <cellStyle name="Note 3 4 2 5" xfId="2831"/>
    <cellStyle name="Note 3 4 2 5 2" xfId="12159"/>
    <cellStyle name="Note 3 4 2 5 2 2" xfId="25465"/>
    <cellStyle name="Note 3 4 2 5 3" xfId="16569"/>
    <cellStyle name="Note 3 4 2 5 3 2" xfId="29875"/>
    <cellStyle name="Note 3 4 2 5 4" xfId="21055"/>
    <cellStyle name="Note 3 4 2 5_Table" xfId="6874"/>
    <cellStyle name="Note 3 4 2 6" xfId="3238"/>
    <cellStyle name="Note 3 4 2 6 2" xfId="12566"/>
    <cellStyle name="Note 3 4 2 6 2 2" xfId="25872"/>
    <cellStyle name="Note 3 4 2 6 3" xfId="16976"/>
    <cellStyle name="Note 3 4 2 6 3 2" xfId="30282"/>
    <cellStyle name="Note 3 4 2 6 4" xfId="21462"/>
    <cellStyle name="Note 3 4 2 6_Table" xfId="6875"/>
    <cellStyle name="Note 3 4 2 7" xfId="3830"/>
    <cellStyle name="Note 3 4 2 7 2" xfId="13158"/>
    <cellStyle name="Note 3 4 2 7 2 2" xfId="26464"/>
    <cellStyle name="Note 3 4 2 7 3" xfId="17568"/>
    <cellStyle name="Note 3 4 2 7 3 2" xfId="30874"/>
    <cellStyle name="Note 3 4 2 7 4" xfId="22054"/>
    <cellStyle name="Note 3 4 2 7_Table" xfId="6876"/>
    <cellStyle name="Note 3 4 2 8" xfId="4055"/>
    <cellStyle name="Note 3 4 2 8 2" xfId="13383"/>
    <cellStyle name="Note 3 4 2 8 2 2" xfId="26689"/>
    <cellStyle name="Note 3 4 2 8 3" xfId="17793"/>
    <cellStyle name="Note 3 4 2 8 3 2" xfId="31099"/>
    <cellStyle name="Note 3 4 2 8 4" xfId="22279"/>
    <cellStyle name="Note 3 4 2 8_Table" xfId="6877"/>
    <cellStyle name="Note 3 4 2 9" xfId="4416"/>
    <cellStyle name="Note 3 4 2 9 2" xfId="13744"/>
    <cellStyle name="Note 3 4 2 9 2 2" xfId="27050"/>
    <cellStyle name="Note 3 4 2 9 3" xfId="18154"/>
    <cellStyle name="Note 3 4 2 9 3 2" xfId="31460"/>
    <cellStyle name="Note 3 4 2 9 4" xfId="22640"/>
    <cellStyle name="Note 3 4 2 9_Table" xfId="6878"/>
    <cellStyle name="Note 3 4 2_Table" xfId="6869"/>
    <cellStyle name="Note 3 4 3" xfId="1340"/>
    <cellStyle name="Note 3 4 3 2" xfId="10668"/>
    <cellStyle name="Note 3 4 3 2 2" xfId="23974"/>
    <cellStyle name="Note 3 4 3 3" xfId="15078"/>
    <cellStyle name="Note 3 4 3 3 2" xfId="28384"/>
    <cellStyle name="Note 3 4 3 4" xfId="19564"/>
    <cellStyle name="Note 3 4 3_Table" xfId="6879"/>
    <cellStyle name="Note 3 4 4" xfId="1697"/>
    <cellStyle name="Note 3 4 4 2" xfId="11025"/>
    <cellStyle name="Note 3 4 4 2 2" xfId="24331"/>
    <cellStyle name="Note 3 4 4 3" xfId="15435"/>
    <cellStyle name="Note 3 4 4 3 2" xfId="28741"/>
    <cellStyle name="Note 3 4 4 4" xfId="19921"/>
    <cellStyle name="Note 3 4 4_Table" xfId="6880"/>
    <cellStyle name="Note 3 4 5" xfId="2131"/>
    <cellStyle name="Note 3 4 5 2" xfId="11459"/>
    <cellStyle name="Note 3 4 5 2 2" xfId="24765"/>
    <cellStyle name="Note 3 4 5 3" xfId="15869"/>
    <cellStyle name="Note 3 4 5 3 2" xfId="29175"/>
    <cellStyle name="Note 3 4 5 4" xfId="20355"/>
    <cellStyle name="Note 3 4 5_Table" xfId="6881"/>
    <cellStyle name="Note 3 4 6" xfId="2563"/>
    <cellStyle name="Note 3 4 6 2" xfId="11891"/>
    <cellStyle name="Note 3 4 6 2 2" xfId="25197"/>
    <cellStyle name="Note 3 4 6 3" xfId="16301"/>
    <cellStyle name="Note 3 4 6 3 2" xfId="29607"/>
    <cellStyle name="Note 3 4 6 4" xfId="20787"/>
    <cellStyle name="Note 3 4 6_Table" xfId="6882"/>
    <cellStyle name="Note 3 4 7" xfId="2989"/>
    <cellStyle name="Note 3 4 7 2" xfId="12317"/>
    <cellStyle name="Note 3 4 7 2 2" xfId="25623"/>
    <cellStyle name="Note 3 4 7 3" xfId="16727"/>
    <cellStyle name="Note 3 4 7 3 2" xfId="30033"/>
    <cellStyle name="Note 3 4 7 4" xfId="21213"/>
    <cellStyle name="Note 3 4 7_Table" xfId="6883"/>
    <cellStyle name="Note 3 4 8" xfId="3403"/>
    <cellStyle name="Note 3 4 8 2" xfId="12731"/>
    <cellStyle name="Note 3 4 8 2 2" xfId="26037"/>
    <cellStyle name="Note 3 4 8 3" xfId="17141"/>
    <cellStyle name="Note 3 4 8 3 2" xfId="30447"/>
    <cellStyle name="Note 3 4 8 4" xfId="21627"/>
    <cellStyle name="Note 3 4 8_Table" xfId="6884"/>
    <cellStyle name="Note 3 4 9" xfId="3528"/>
    <cellStyle name="Note 3 4 9 2" xfId="12856"/>
    <cellStyle name="Note 3 4 9 2 2" xfId="26162"/>
    <cellStyle name="Note 3 4 9 3" xfId="17266"/>
    <cellStyle name="Note 3 4 9 3 2" xfId="30572"/>
    <cellStyle name="Note 3 4 9 4" xfId="21752"/>
    <cellStyle name="Note 3 4 9_Table" xfId="6885"/>
    <cellStyle name="Note 3 4_Table" xfId="6866"/>
    <cellStyle name="Note 3 5" xfId="620"/>
    <cellStyle name="Note 3 5 10" xfId="4236"/>
    <cellStyle name="Note 3 5 10 2" xfId="13564"/>
    <cellStyle name="Note 3 5 10 2 2" xfId="26870"/>
    <cellStyle name="Note 3 5 10 3" xfId="17974"/>
    <cellStyle name="Note 3 5 10 3 2" xfId="31280"/>
    <cellStyle name="Note 3 5 10 4" xfId="22460"/>
    <cellStyle name="Note 3 5 10_Table" xfId="6887"/>
    <cellStyle name="Note 3 5 11" xfId="4597"/>
    <cellStyle name="Note 3 5 11 2" xfId="13925"/>
    <cellStyle name="Note 3 5 11 2 2" xfId="27231"/>
    <cellStyle name="Note 3 5 11 3" xfId="18335"/>
    <cellStyle name="Note 3 5 11 3 2" xfId="31641"/>
    <cellStyle name="Note 3 5 11 4" xfId="22821"/>
    <cellStyle name="Note 3 5 11_Table" xfId="6888"/>
    <cellStyle name="Note 3 5 12" xfId="9948"/>
    <cellStyle name="Note 3 5 12 2" xfId="23271"/>
    <cellStyle name="Note 3 5 13" xfId="14375"/>
    <cellStyle name="Note 3 5 13 2" xfId="27681"/>
    <cellStyle name="Note 3 5 14" xfId="18861"/>
    <cellStyle name="Note 3 5 2" xfId="862"/>
    <cellStyle name="Note 3 5 2 10" xfId="4822"/>
    <cellStyle name="Note 3 5 2 10 2" xfId="14150"/>
    <cellStyle name="Note 3 5 2 10 2 2" xfId="27456"/>
    <cellStyle name="Note 3 5 2 10 3" xfId="18560"/>
    <cellStyle name="Note 3 5 2 10 3 2" xfId="31866"/>
    <cellStyle name="Note 3 5 2 10 4" xfId="23046"/>
    <cellStyle name="Note 3 5 2 10_Table" xfId="6890"/>
    <cellStyle name="Note 3 5 2 11" xfId="10190"/>
    <cellStyle name="Note 3 5 2 11 2" xfId="23496"/>
    <cellStyle name="Note 3 5 2 12" xfId="14600"/>
    <cellStyle name="Note 3 5 2 12 2" xfId="27906"/>
    <cellStyle name="Note 3 5 2 13" xfId="19086"/>
    <cellStyle name="Note 3 5 2 2" xfId="1648"/>
    <cellStyle name="Note 3 5 2 2 2" xfId="10976"/>
    <cellStyle name="Note 3 5 2 2 2 2" xfId="24282"/>
    <cellStyle name="Note 3 5 2 2 3" xfId="15386"/>
    <cellStyle name="Note 3 5 2 2 3 2" xfId="28692"/>
    <cellStyle name="Note 3 5 2 2 4" xfId="19872"/>
    <cellStyle name="Note 3 5 2 2_Table" xfId="6891"/>
    <cellStyle name="Note 3 5 2 3" xfId="2008"/>
    <cellStyle name="Note 3 5 2 3 2" xfId="11336"/>
    <cellStyle name="Note 3 5 2 3 2 2" xfId="24642"/>
    <cellStyle name="Note 3 5 2 3 3" xfId="15746"/>
    <cellStyle name="Note 3 5 2 3 3 2" xfId="29052"/>
    <cellStyle name="Note 3 5 2 3 4" xfId="20232"/>
    <cellStyle name="Note 3 5 2 3_Table" xfId="6892"/>
    <cellStyle name="Note 3 5 2 4" xfId="2438"/>
    <cellStyle name="Note 3 5 2 4 2" xfId="11766"/>
    <cellStyle name="Note 3 5 2 4 2 2" xfId="25072"/>
    <cellStyle name="Note 3 5 2 4 3" xfId="16176"/>
    <cellStyle name="Note 3 5 2 4 3 2" xfId="29482"/>
    <cellStyle name="Note 3 5 2 4 4" xfId="20662"/>
    <cellStyle name="Note 3 5 2 4_Table" xfId="6893"/>
    <cellStyle name="Note 3 5 2 5" xfId="2876"/>
    <cellStyle name="Note 3 5 2 5 2" xfId="12204"/>
    <cellStyle name="Note 3 5 2 5 2 2" xfId="25510"/>
    <cellStyle name="Note 3 5 2 5 3" xfId="16614"/>
    <cellStyle name="Note 3 5 2 5 3 2" xfId="29920"/>
    <cellStyle name="Note 3 5 2 5 4" xfId="21100"/>
    <cellStyle name="Note 3 5 2 5_Table" xfId="6894"/>
    <cellStyle name="Note 3 5 2 6" xfId="3283"/>
    <cellStyle name="Note 3 5 2 6 2" xfId="12611"/>
    <cellStyle name="Note 3 5 2 6 2 2" xfId="25917"/>
    <cellStyle name="Note 3 5 2 6 3" xfId="17021"/>
    <cellStyle name="Note 3 5 2 6 3 2" xfId="30327"/>
    <cellStyle name="Note 3 5 2 6 4" xfId="21507"/>
    <cellStyle name="Note 3 5 2 6_Table" xfId="6895"/>
    <cellStyle name="Note 3 5 2 7" xfId="3875"/>
    <cellStyle name="Note 3 5 2 7 2" xfId="13203"/>
    <cellStyle name="Note 3 5 2 7 2 2" xfId="26509"/>
    <cellStyle name="Note 3 5 2 7 3" xfId="17613"/>
    <cellStyle name="Note 3 5 2 7 3 2" xfId="30919"/>
    <cellStyle name="Note 3 5 2 7 4" xfId="22099"/>
    <cellStyle name="Note 3 5 2 7_Table" xfId="6896"/>
    <cellStyle name="Note 3 5 2 8" xfId="4100"/>
    <cellStyle name="Note 3 5 2 8 2" xfId="13428"/>
    <cellStyle name="Note 3 5 2 8 2 2" xfId="26734"/>
    <cellStyle name="Note 3 5 2 8 3" xfId="17838"/>
    <cellStyle name="Note 3 5 2 8 3 2" xfId="31144"/>
    <cellStyle name="Note 3 5 2 8 4" xfId="22324"/>
    <cellStyle name="Note 3 5 2 8_Table" xfId="6897"/>
    <cellStyle name="Note 3 5 2 9" xfId="4461"/>
    <cellStyle name="Note 3 5 2 9 2" xfId="13789"/>
    <cellStyle name="Note 3 5 2 9 2 2" xfId="27095"/>
    <cellStyle name="Note 3 5 2 9 3" xfId="18199"/>
    <cellStyle name="Note 3 5 2 9 3 2" xfId="31505"/>
    <cellStyle name="Note 3 5 2 9 4" xfId="22685"/>
    <cellStyle name="Note 3 5 2 9_Table" xfId="6898"/>
    <cellStyle name="Note 3 5 2_Table" xfId="6889"/>
    <cellStyle name="Note 3 5 3" xfId="1407"/>
    <cellStyle name="Note 3 5 3 2" xfId="10735"/>
    <cellStyle name="Note 3 5 3 2 2" xfId="24041"/>
    <cellStyle name="Note 3 5 3 3" xfId="15145"/>
    <cellStyle name="Note 3 5 3 3 2" xfId="28451"/>
    <cellStyle name="Note 3 5 3 4" xfId="19631"/>
    <cellStyle name="Note 3 5 3_Table" xfId="6899"/>
    <cellStyle name="Note 3 5 4" xfId="1767"/>
    <cellStyle name="Note 3 5 4 2" xfId="11095"/>
    <cellStyle name="Note 3 5 4 2 2" xfId="24401"/>
    <cellStyle name="Note 3 5 4 3" xfId="15505"/>
    <cellStyle name="Note 3 5 4 3 2" xfId="28811"/>
    <cellStyle name="Note 3 5 4 4" xfId="19991"/>
    <cellStyle name="Note 3 5 4_Table" xfId="6900"/>
    <cellStyle name="Note 3 5 5" xfId="2200"/>
    <cellStyle name="Note 3 5 5 2" xfId="11528"/>
    <cellStyle name="Note 3 5 5 2 2" xfId="24834"/>
    <cellStyle name="Note 3 5 5 3" xfId="15938"/>
    <cellStyle name="Note 3 5 5 3 2" xfId="29244"/>
    <cellStyle name="Note 3 5 5 4" xfId="20424"/>
    <cellStyle name="Note 3 5 5_Table" xfId="6901"/>
    <cellStyle name="Note 3 5 6" xfId="2635"/>
    <cellStyle name="Note 3 5 6 2" xfId="11963"/>
    <cellStyle name="Note 3 5 6 2 2" xfId="25269"/>
    <cellStyle name="Note 3 5 6 3" xfId="16373"/>
    <cellStyle name="Note 3 5 6 3 2" xfId="29679"/>
    <cellStyle name="Note 3 5 6 4" xfId="20859"/>
    <cellStyle name="Note 3 5 6_Table" xfId="6902"/>
    <cellStyle name="Note 3 5 7" xfId="3048"/>
    <cellStyle name="Note 3 5 7 2" xfId="12376"/>
    <cellStyle name="Note 3 5 7 2 2" xfId="25682"/>
    <cellStyle name="Note 3 5 7 3" xfId="16786"/>
    <cellStyle name="Note 3 5 7 3 2" xfId="30092"/>
    <cellStyle name="Note 3 5 7 4" xfId="21272"/>
    <cellStyle name="Note 3 5 7_Table" xfId="6903"/>
    <cellStyle name="Note 3 5 8" xfId="3474"/>
    <cellStyle name="Note 3 5 8 2" xfId="12802"/>
    <cellStyle name="Note 3 5 8 2 2" xfId="26108"/>
    <cellStyle name="Note 3 5 8 3" xfId="17212"/>
    <cellStyle name="Note 3 5 8 3 2" xfId="30518"/>
    <cellStyle name="Note 3 5 8 4" xfId="21698"/>
    <cellStyle name="Note 3 5 8_Table" xfId="6904"/>
    <cellStyle name="Note 3 5 9" xfId="3539"/>
    <cellStyle name="Note 3 5 9 2" xfId="12867"/>
    <cellStyle name="Note 3 5 9 2 2" xfId="26173"/>
    <cellStyle name="Note 3 5 9 3" xfId="17277"/>
    <cellStyle name="Note 3 5 9 3 2" xfId="30583"/>
    <cellStyle name="Note 3 5 9 4" xfId="21763"/>
    <cellStyle name="Note 3 5 9_Table" xfId="6905"/>
    <cellStyle name="Note 3 5_Table" xfId="6886"/>
    <cellStyle name="Note 3 6" xfId="682"/>
    <cellStyle name="Note 3 6 10" xfId="4642"/>
    <cellStyle name="Note 3 6 10 2" xfId="13970"/>
    <cellStyle name="Note 3 6 10 2 2" xfId="27276"/>
    <cellStyle name="Note 3 6 10 3" xfId="18380"/>
    <cellStyle name="Note 3 6 10 3 2" xfId="31686"/>
    <cellStyle name="Note 3 6 10 4" xfId="22866"/>
    <cellStyle name="Note 3 6 10_Table" xfId="6907"/>
    <cellStyle name="Note 3 6 11" xfId="10010"/>
    <cellStyle name="Note 3 6 11 2" xfId="23316"/>
    <cellStyle name="Note 3 6 12" xfId="14420"/>
    <cellStyle name="Note 3 6 12 2" xfId="27726"/>
    <cellStyle name="Note 3 6 13" xfId="18906"/>
    <cellStyle name="Note 3 6 2" xfId="1468"/>
    <cellStyle name="Note 3 6 2 2" xfId="10796"/>
    <cellStyle name="Note 3 6 2 2 2" xfId="24102"/>
    <cellStyle name="Note 3 6 2 3" xfId="15206"/>
    <cellStyle name="Note 3 6 2 3 2" xfId="28512"/>
    <cellStyle name="Note 3 6 2 4" xfId="19692"/>
    <cellStyle name="Note 3 6 2_Table" xfId="6908"/>
    <cellStyle name="Note 3 6 3" xfId="1828"/>
    <cellStyle name="Note 3 6 3 2" xfId="11156"/>
    <cellStyle name="Note 3 6 3 2 2" xfId="24462"/>
    <cellStyle name="Note 3 6 3 3" xfId="15566"/>
    <cellStyle name="Note 3 6 3 3 2" xfId="28872"/>
    <cellStyle name="Note 3 6 3 4" xfId="20052"/>
    <cellStyle name="Note 3 6 3_Table" xfId="6909"/>
    <cellStyle name="Note 3 6 4" xfId="2258"/>
    <cellStyle name="Note 3 6 4 2" xfId="11586"/>
    <cellStyle name="Note 3 6 4 2 2" xfId="24892"/>
    <cellStyle name="Note 3 6 4 3" xfId="15996"/>
    <cellStyle name="Note 3 6 4 3 2" xfId="29302"/>
    <cellStyle name="Note 3 6 4 4" xfId="20482"/>
    <cellStyle name="Note 3 6 4_Table" xfId="6910"/>
    <cellStyle name="Note 3 6 5" xfId="2696"/>
    <cellStyle name="Note 3 6 5 2" xfId="12024"/>
    <cellStyle name="Note 3 6 5 2 2" xfId="25330"/>
    <cellStyle name="Note 3 6 5 3" xfId="16434"/>
    <cellStyle name="Note 3 6 5 3 2" xfId="29740"/>
    <cellStyle name="Note 3 6 5 4" xfId="20920"/>
    <cellStyle name="Note 3 6 5_Table" xfId="6911"/>
    <cellStyle name="Note 3 6 6" xfId="3103"/>
    <cellStyle name="Note 3 6 6 2" xfId="12431"/>
    <cellStyle name="Note 3 6 6 2 2" xfId="25737"/>
    <cellStyle name="Note 3 6 6 3" xfId="16841"/>
    <cellStyle name="Note 3 6 6 3 2" xfId="30147"/>
    <cellStyle name="Note 3 6 6 4" xfId="21327"/>
    <cellStyle name="Note 3 6 6_Table" xfId="6912"/>
    <cellStyle name="Note 3 6 7" xfId="3695"/>
    <cellStyle name="Note 3 6 7 2" xfId="13023"/>
    <cellStyle name="Note 3 6 7 2 2" xfId="26329"/>
    <cellStyle name="Note 3 6 7 3" xfId="17433"/>
    <cellStyle name="Note 3 6 7 3 2" xfId="30739"/>
    <cellStyle name="Note 3 6 7 4" xfId="21919"/>
    <cellStyle name="Note 3 6 7_Table" xfId="6913"/>
    <cellStyle name="Note 3 6 8" xfId="3920"/>
    <cellStyle name="Note 3 6 8 2" xfId="13248"/>
    <cellStyle name="Note 3 6 8 2 2" xfId="26554"/>
    <cellStyle name="Note 3 6 8 3" xfId="17658"/>
    <cellStyle name="Note 3 6 8 3 2" xfId="30964"/>
    <cellStyle name="Note 3 6 8 4" xfId="22144"/>
    <cellStyle name="Note 3 6 8_Table" xfId="6914"/>
    <cellStyle name="Note 3 6 9" xfId="4281"/>
    <cellStyle name="Note 3 6 9 2" xfId="13609"/>
    <cellStyle name="Note 3 6 9 2 2" xfId="26915"/>
    <cellStyle name="Note 3 6 9 3" xfId="18019"/>
    <cellStyle name="Note 3 6 9 3 2" xfId="31325"/>
    <cellStyle name="Note 3 6 9 4" xfId="22505"/>
    <cellStyle name="Note 3 6 9_Table" xfId="6915"/>
    <cellStyle name="Note 3 6_Table" xfId="6906"/>
    <cellStyle name="Note 3 7" xfId="1176"/>
    <cellStyle name="Note 3 7 2" xfId="10504"/>
    <cellStyle name="Note 3 7 2 2" xfId="23810"/>
    <cellStyle name="Note 3 7 3" xfId="14914"/>
    <cellStyle name="Note 3 7 3 2" xfId="28220"/>
    <cellStyle name="Note 3 7 4" xfId="19400"/>
    <cellStyle name="Note 3 7_Table" xfId="6916"/>
    <cellStyle name="Note 3 8" xfId="1068"/>
    <cellStyle name="Note 3 8 2" xfId="10396"/>
    <cellStyle name="Note 3 8 2 2" xfId="23702"/>
    <cellStyle name="Note 3 8 3" xfId="14806"/>
    <cellStyle name="Note 3 8 3 2" xfId="28112"/>
    <cellStyle name="Note 3 8 4" xfId="19292"/>
    <cellStyle name="Note 3 8_Table" xfId="6917"/>
    <cellStyle name="Note 3 9" xfId="1324"/>
    <cellStyle name="Note 3 9 2" xfId="10652"/>
    <cellStyle name="Note 3 9 2 2" xfId="23958"/>
    <cellStyle name="Note 3 9 3" xfId="15062"/>
    <cellStyle name="Note 3 9 3 2" xfId="28368"/>
    <cellStyle name="Note 3 9 4" xfId="19548"/>
    <cellStyle name="Note 3 9_Table" xfId="6918"/>
    <cellStyle name="Note 3_Table" xfId="6819"/>
    <cellStyle name="Note 4" xfId="343"/>
    <cellStyle name="Note 4 10" xfId="962"/>
    <cellStyle name="Note 4 10 2" xfId="10290"/>
    <cellStyle name="Note 4 10 2 2" xfId="23596"/>
    <cellStyle name="Note 4 10 3" xfId="14700"/>
    <cellStyle name="Note 4 10 3 2" xfId="28006"/>
    <cellStyle name="Note 4 10 4" xfId="19186"/>
    <cellStyle name="Note 4 10_Table" xfId="6920"/>
    <cellStyle name="Note 4 11" xfId="2043"/>
    <cellStyle name="Note 4 11 2" xfId="11371"/>
    <cellStyle name="Note 4 11 2 2" xfId="24677"/>
    <cellStyle name="Note 4 11 3" xfId="15781"/>
    <cellStyle name="Note 4 11 3 2" xfId="29087"/>
    <cellStyle name="Note 4 11 4" xfId="20267"/>
    <cellStyle name="Note 4 11_Table" xfId="6921"/>
    <cellStyle name="Note 4 12" xfId="2475"/>
    <cellStyle name="Note 4 12 2" xfId="11803"/>
    <cellStyle name="Note 4 12 2 2" xfId="25109"/>
    <cellStyle name="Note 4 12 3" xfId="16213"/>
    <cellStyle name="Note 4 12 3 2" xfId="29519"/>
    <cellStyle name="Note 4 12 4" xfId="20699"/>
    <cellStyle name="Note 4 12_Table" xfId="6922"/>
    <cellStyle name="Note 4 13" xfId="3588"/>
    <cellStyle name="Note 4 13 2" xfId="12916"/>
    <cellStyle name="Note 4 13 2 2" xfId="26222"/>
    <cellStyle name="Note 4 13 3" xfId="17326"/>
    <cellStyle name="Note 4 13 3 2" xfId="30632"/>
    <cellStyle name="Note 4 13 4" xfId="21812"/>
    <cellStyle name="Note 4 13_Table" xfId="6923"/>
    <cellStyle name="Note 4 14" xfId="1277"/>
    <cellStyle name="Note 4 14 2" xfId="10605"/>
    <cellStyle name="Note 4 14 2 2" xfId="23911"/>
    <cellStyle name="Note 4 14 3" xfId="15015"/>
    <cellStyle name="Note 4 14 3 2" xfId="28321"/>
    <cellStyle name="Note 4 14 4" xfId="19501"/>
    <cellStyle name="Note 4 14_Table" xfId="6924"/>
    <cellStyle name="Note 4 15" xfId="3501"/>
    <cellStyle name="Note 4 15 2" xfId="12829"/>
    <cellStyle name="Note 4 15 2 2" xfId="26135"/>
    <cellStyle name="Note 4 15 3" xfId="17239"/>
    <cellStyle name="Note 4 15 3 2" xfId="30545"/>
    <cellStyle name="Note 4 15 4" xfId="21725"/>
    <cellStyle name="Note 4 15_Table" xfId="6925"/>
    <cellStyle name="Note 4 16" xfId="9671"/>
    <cellStyle name="Note 4 16 2" xfId="23092"/>
    <cellStyle name="Note 4 17" xfId="14196"/>
    <cellStyle name="Note 4 17 2" xfId="27502"/>
    <cellStyle name="Note 4 18" xfId="18682"/>
    <cellStyle name="Note 4 2" xfId="414"/>
    <cellStyle name="Note 4 2 10" xfId="3023"/>
    <cellStyle name="Note 4 2 10 2" xfId="12351"/>
    <cellStyle name="Note 4 2 10 2 2" xfId="25657"/>
    <cellStyle name="Note 4 2 10 3" xfId="16761"/>
    <cellStyle name="Note 4 2 10 3 2" xfId="30067"/>
    <cellStyle name="Note 4 2 10 4" xfId="21247"/>
    <cellStyle name="Note 4 2 10_Table" xfId="6927"/>
    <cellStyle name="Note 4 2 11" xfId="3445"/>
    <cellStyle name="Note 4 2 11 2" xfId="12773"/>
    <cellStyle name="Note 4 2 11 2 2" xfId="26079"/>
    <cellStyle name="Note 4 2 11 3" xfId="17183"/>
    <cellStyle name="Note 4 2 11 3 2" xfId="30489"/>
    <cellStyle name="Note 4 2 11 4" xfId="21669"/>
    <cellStyle name="Note 4 2 11_Table" xfId="6928"/>
    <cellStyle name="Note 4 2 12" xfId="9742"/>
    <cellStyle name="Note 4 2 12 2" xfId="23137"/>
    <cellStyle name="Note 4 2 13" xfId="14241"/>
    <cellStyle name="Note 4 2 13 2" xfId="27547"/>
    <cellStyle name="Note 4 2 14" xfId="18727"/>
    <cellStyle name="Note 4 2 2" xfId="728"/>
    <cellStyle name="Note 4 2 2 10" xfId="4688"/>
    <cellStyle name="Note 4 2 2 10 2" xfId="14016"/>
    <cellStyle name="Note 4 2 2 10 2 2" xfId="27322"/>
    <cellStyle name="Note 4 2 2 10 3" xfId="18426"/>
    <cellStyle name="Note 4 2 2 10 3 2" xfId="31732"/>
    <cellStyle name="Note 4 2 2 10 4" xfId="22912"/>
    <cellStyle name="Note 4 2 2 10_Table" xfId="6930"/>
    <cellStyle name="Note 4 2 2 11" xfId="10056"/>
    <cellStyle name="Note 4 2 2 11 2" xfId="23362"/>
    <cellStyle name="Note 4 2 2 12" xfId="14466"/>
    <cellStyle name="Note 4 2 2 12 2" xfId="27772"/>
    <cellStyle name="Note 4 2 2 13" xfId="18952"/>
    <cellStyle name="Note 4 2 2 2" xfId="1514"/>
    <cellStyle name="Note 4 2 2 2 2" xfId="10842"/>
    <cellStyle name="Note 4 2 2 2 2 2" xfId="24148"/>
    <cellStyle name="Note 4 2 2 2 3" xfId="15252"/>
    <cellStyle name="Note 4 2 2 2 3 2" xfId="28558"/>
    <cellStyle name="Note 4 2 2 2 4" xfId="19738"/>
    <cellStyle name="Note 4 2 2 2_Table" xfId="6931"/>
    <cellStyle name="Note 4 2 2 3" xfId="1874"/>
    <cellStyle name="Note 4 2 2 3 2" xfId="11202"/>
    <cellStyle name="Note 4 2 2 3 2 2" xfId="24508"/>
    <cellStyle name="Note 4 2 2 3 3" xfId="15612"/>
    <cellStyle name="Note 4 2 2 3 3 2" xfId="28918"/>
    <cellStyle name="Note 4 2 2 3 4" xfId="20098"/>
    <cellStyle name="Note 4 2 2 3_Table" xfId="6932"/>
    <cellStyle name="Note 4 2 2 4" xfId="2304"/>
    <cellStyle name="Note 4 2 2 4 2" xfId="11632"/>
    <cellStyle name="Note 4 2 2 4 2 2" xfId="24938"/>
    <cellStyle name="Note 4 2 2 4 3" xfId="16042"/>
    <cellStyle name="Note 4 2 2 4 3 2" xfId="29348"/>
    <cellStyle name="Note 4 2 2 4 4" xfId="20528"/>
    <cellStyle name="Note 4 2 2 4_Table" xfId="6933"/>
    <cellStyle name="Note 4 2 2 5" xfId="2742"/>
    <cellStyle name="Note 4 2 2 5 2" xfId="12070"/>
    <cellStyle name="Note 4 2 2 5 2 2" xfId="25376"/>
    <cellStyle name="Note 4 2 2 5 3" xfId="16480"/>
    <cellStyle name="Note 4 2 2 5 3 2" xfId="29786"/>
    <cellStyle name="Note 4 2 2 5 4" xfId="20966"/>
    <cellStyle name="Note 4 2 2 5_Table" xfId="6934"/>
    <cellStyle name="Note 4 2 2 6" xfId="3149"/>
    <cellStyle name="Note 4 2 2 6 2" xfId="12477"/>
    <cellStyle name="Note 4 2 2 6 2 2" xfId="25783"/>
    <cellStyle name="Note 4 2 2 6 3" xfId="16887"/>
    <cellStyle name="Note 4 2 2 6 3 2" xfId="30193"/>
    <cellStyle name="Note 4 2 2 6 4" xfId="21373"/>
    <cellStyle name="Note 4 2 2 6_Table" xfId="6935"/>
    <cellStyle name="Note 4 2 2 7" xfId="3741"/>
    <cellStyle name="Note 4 2 2 7 2" xfId="13069"/>
    <cellStyle name="Note 4 2 2 7 2 2" xfId="26375"/>
    <cellStyle name="Note 4 2 2 7 3" xfId="17479"/>
    <cellStyle name="Note 4 2 2 7 3 2" xfId="30785"/>
    <cellStyle name="Note 4 2 2 7 4" xfId="21965"/>
    <cellStyle name="Note 4 2 2 7_Table" xfId="6936"/>
    <cellStyle name="Note 4 2 2 8" xfId="3966"/>
    <cellStyle name="Note 4 2 2 8 2" xfId="13294"/>
    <cellStyle name="Note 4 2 2 8 2 2" xfId="26600"/>
    <cellStyle name="Note 4 2 2 8 3" xfId="17704"/>
    <cellStyle name="Note 4 2 2 8 3 2" xfId="31010"/>
    <cellStyle name="Note 4 2 2 8 4" xfId="22190"/>
    <cellStyle name="Note 4 2 2 8_Table" xfId="6937"/>
    <cellStyle name="Note 4 2 2 9" xfId="4327"/>
    <cellStyle name="Note 4 2 2 9 2" xfId="13655"/>
    <cellStyle name="Note 4 2 2 9 2 2" xfId="26961"/>
    <cellStyle name="Note 4 2 2 9 3" xfId="18065"/>
    <cellStyle name="Note 4 2 2 9 3 2" xfId="31371"/>
    <cellStyle name="Note 4 2 2 9 4" xfId="22551"/>
    <cellStyle name="Note 4 2 2 9_Table" xfId="6938"/>
    <cellStyle name="Note 4 2 2_Table" xfId="6929"/>
    <cellStyle name="Note 4 2 3" xfId="1228"/>
    <cellStyle name="Note 4 2 3 2" xfId="10556"/>
    <cellStyle name="Note 4 2 3 2 2" xfId="23862"/>
    <cellStyle name="Note 4 2 3 3" xfId="14966"/>
    <cellStyle name="Note 4 2 3 3 2" xfId="28272"/>
    <cellStyle name="Note 4 2 3 4" xfId="19452"/>
    <cellStyle name="Note 4 2 3_Table" xfId="6939"/>
    <cellStyle name="Note 4 2 4" xfId="998"/>
    <cellStyle name="Note 4 2 4 2" xfId="10326"/>
    <cellStyle name="Note 4 2 4 2 2" xfId="23632"/>
    <cellStyle name="Note 4 2 4 3" xfId="14736"/>
    <cellStyle name="Note 4 2 4 3 2" xfId="28042"/>
    <cellStyle name="Note 4 2 4 4" xfId="19222"/>
    <cellStyle name="Note 4 2 4_Table" xfId="6940"/>
    <cellStyle name="Note 4 2 5" xfId="1213"/>
    <cellStyle name="Note 4 2 5 2" xfId="10541"/>
    <cellStyle name="Note 4 2 5 2 2" xfId="23847"/>
    <cellStyle name="Note 4 2 5 3" xfId="14951"/>
    <cellStyle name="Note 4 2 5 3 2" xfId="28257"/>
    <cellStyle name="Note 4 2 5 4" xfId="19437"/>
    <cellStyle name="Note 4 2 5_Table" xfId="6941"/>
    <cellStyle name="Note 4 2 6" xfId="964"/>
    <cellStyle name="Note 4 2 6 2" xfId="10292"/>
    <cellStyle name="Note 4 2 6 2 2" xfId="23598"/>
    <cellStyle name="Note 4 2 6 3" xfId="14702"/>
    <cellStyle name="Note 4 2 6 3 2" xfId="28008"/>
    <cellStyle name="Note 4 2 6 4" xfId="19188"/>
    <cellStyle name="Note 4 2 6_Table" xfId="6942"/>
    <cellStyle name="Note 4 2 7" xfId="2041"/>
    <cellStyle name="Note 4 2 7 2" xfId="11369"/>
    <cellStyle name="Note 4 2 7 2 2" xfId="24675"/>
    <cellStyle name="Note 4 2 7 3" xfId="15779"/>
    <cellStyle name="Note 4 2 7 3 2" xfId="29085"/>
    <cellStyle name="Note 4 2 7 4" xfId="20265"/>
    <cellStyle name="Note 4 2 7_Table" xfId="6943"/>
    <cellStyle name="Note 4 2 8" xfId="2473"/>
    <cellStyle name="Note 4 2 8 2" xfId="11801"/>
    <cellStyle name="Note 4 2 8 2 2" xfId="25107"/>
    <cellStyle name="Note 4 2 8 3" xfId="16211"/>
    <cellStyle name="Note 4 2 8 3 2" xfId="29517"/>
    <cellStyle name="Note 4 2 8 4" xfId="20697"/>
    <cellStyle name="Note 4 2 8_Table" xfId="6944"/>
    <cellStyle name="Note 4 2 9" xfId="3448"/>
    <cellStyle name="Note 4 2 9 2" xfId="12776"/>
    <cellStyle name="Note 4 2 9 2 2" xfId="26082"/>
    <cellStyle name="Note 4 2 9 3" xfId="17186"/>
    <cellStyle name="Note 4 2 9 3 2" xfId="30492"/>
    <cellStyle name="Note 4 2 9 4" xfId="21672"/>
    <cellStyle name="Note 4 2 9_Table" xfId="6945"/>
    <cellStyle name="Note 4 2_Table" xfId="6926"/>
    <cellStyle name="Note 4 3" xfId="482"/>
    <cellStyle name="Note 4 3 10" xfId="4147"/>
    <cellStyle name="Note 4 3 10 2" xfId="13475"/>
    <cellStyle name="Note 4 3 10 2 2" xfId="26781"/>
    <cellStyle name="Note 4 3 10 3" xfId="17885"/>
    <cellStyle name="Note 4 3 10 3 2" xfId="31191"/>
    <cellStyle name="Note 4 3 10 4" xfId="22371"/>
    <cellStyle name="Note 4 3 10_Table" xfId="6947"/>
    <cellStyle name="Note 4 3 11" xfId="4508"/>
    <cellStyle name="Note 4 3 11 2" xfId="13836"/>
    <cellStyle name="Note 4 3 11 2 2" xfId="27142"/>
    <cellStyle name="Note 4 3 11 3" xfId="18246"/>
    <cellStyle name="Note 4 3 11 3 2" xfId="31552"/>
    <cellStyle name="Note 4 3 11 4" xfId="22732"/>
    <cellStyle name="Note 4 3 11_Table" xfId="6948"/>
    <cellStyle name="Note 4 3 12" xfId="9810"/>
    <cellStyle name="Note 4 3 12 2" xfId="23182"/>
    <cellStyle name="Note 4 3 13" xfId="14286"/>
    <cellStyle name="Note 4 3 13 2" xfId="27592"/>
    <cellStyle name="Note 4 3 14" xfId="18772"/>
    <cellStyle name="Note 4 3 2" xfId="773"/>
    <cellStyle name="Note 4 3 2 10" xfId="4733"/>
    <cellStyle name="Note 4 3 2 10 2" xfId="14061"/>
    <cellStyle name="Note 4 3 2 10 2 2" xfId="27367"/>
    <cellStyle name="Note 4 3 2 10 3" xfId="18471"/>
    <cellStyle name="Note 4 3 2 10 3 2" xfId="31777"/>
    <cellStyle name="Note 4 3 2 10 4" xfId="22957"/>
    <cellStyle name="Note 4 3 2 10_Table" xfId="6950"/>
    <cellStyle name="Note 4 3 2 11" xfId="10101"/>
    <cellStyle name="Note 4 3 2 11 2" xfId="23407"/>
    <cellStyle name="Note 4 3 2 12" xfId="14511"/>
    <cellStyle name="Note 4 3 2 12 2" xfId="27817"/>
    <cellStyle name="Note 4 3 2 13" xfId="18997"/>
    <cellStyle name="Note 4 3 2 2" xfId="1559"/>
    <cellStyle name="Note 4 3 2 2 2" xfId="10887"/>
    <cellStyle name="Note 4 3 2 2 2 2" xfId="24193"/>
    <cellStyle name="Note 4 3 2 2 3" xfId="15297"/>
    <cellStyle name="Note 4 3 2 2 3 2" xfId="28603"/>
    <cellStyle name="Note 4 3 2 2 4" xfId="19783"/>
    <cellStyle name="Note 4 3 2 2_Table" xfId="6951"/>
    <cellStyle name="Note 4 3 2 3" xfId="1919"/>
    <cellStyle name="Note 4 3 2 3 2" xfId="11247"/>
    <cellStyle name="Note 4 3 2 3 2 2" xfId="24553"/>
    <cellStyle name="Note 4 3 2 3 3" xfId="15657"/>
    <cellStyle name="Note 4 3 2 3 3 2" xfId="28963"/>
    <cellStyle name="Note 4 3 2 3 4" xfId="20143"/>
    <cellStyle name="Note 4 3 2 3_Table" xfId="6952"/>
    <cellStyle name="Note 4 3 2 4" xfId="2349"/>
    <cellStyle name="Note 4 3 2 4 2" xfId="11677"/>
    <cellStyle name="Note 4 3 2 4 2 2" xfId="24983"/>
    <cellStyle name="Note 4 3 2 4 3" xfId="16087"/>
    <cellStyle name="Note 4 3 2 4 3 2" xfId="29393"/>
    <cellStyle name="Note 4 3 2 4 4" xfId="20573"/>
    <cellStyle name="Note 4 3 2 4_Table" xfId="6953"/>
    <cellStyle name="Note 4 3 2 5" xfId="2787"/>
    <cellStyle name="Note 4 3 2 5 2" xfId="12115"/>
    <cellStyle name="Note 4 3 2 5 2 2" xfId="25421"/>
    <cellStyle name="Note 4 3 2 5 3" xfId="16525"/>
    <cellStyle name="Note 4 3 2 5 3 2" xfId="29831"/>
    <cellStyle name="Note 4 3 2 5 4" xfId="21011"/>
    <cellStyle name="Note 4 3 2 5_Table" xfId="6954"/>
    <cellStyle name="Note 4 3 2 6" xfId="3194"/>
    <cellStyle name="Note 4 3 2 6 2" xfId="12522"/>
    <cellStyle name="Note 4 3 2 6 2 2" xfId="25828"/>
    <cellStyle name="Note 4 3 2 6 3" xfId="16932"/>
    <cellStyle name="Note 4 3 2 6 3 2" xfId="30238"/>
    <cellStyle name="Note 4 3 2 6 4" xfId="21418"/>
    <cellStyle name="Note 4 3 2 6_Table" xfId="6955"/>
    <cellStyle name="Note 4 3 2 7" xfId="3786"/>
    <cellStyle name="Note 4 3 2 7 2" xfId="13114"/>
    <cellStyle name="Note 4 3 2 7 2 2" xfId="26420"/>
    <cellStyle name="Note 4 3 2 7 3" xfId="17524"/>
    <cellStyle name="Note 4 3 2 7 3 2" xfId="30830"/>
    <cellStyle name="Note 4 3 2 7 4" xfId="22010"/>
    <cellStyle name="Note 4 3 2 7_Table" xfId="6956"/>
    <cellStyle name="Note 4 3 2 8" xfId="4011"/>
    <cellStyle name="Note 4 3 2 8 2" xfId="13339"/>
    <cellStyle name="Note 4 3 2 8 2 2" xfId="26645"/>
    <cellStyle name="Note 4 3 2 8 3" xfId="17749"/>
    <cellStyle name="Note 4 3 2 8 3 2" xfId="31055"/>
    <cellStyle name="Note 4 3 2 8 4" xfId="22235"/>
    <cellStyle name="Note 4 3 2 8_Table" xfId="6957"/>
    <cellStyle name="Note 4 3 2 9" xfId="4372"/>
    <cellStyle name="Note 4 3 2 9 2" xfId="13700"/>
    <cellStyle name="Note 4 3 2 9 2 2" xfId="27006"/>
    <cellStyle name="Note 4 3 2 9 3" xfId="18110"/>
    <cellStyle name="Note 4 3 2 9 3 2" xfId="31416"/>
    <cellStyle name="Note 4 3 2 9 4" xfId="22596"/>
    <cellStyle name="Note 4 3 2 9_Table" xfId="6958"/>
    <cellStyle name="Note 4 3 2_Table" xfId="6949"/>
    <cellStyle name="Note 4 3 3" xfId="1285"/>
    <cellStyle name="Note 4 3 3 2" xfId="10613"/>
    <cellStyle name="Note 4 3 3 2 2" xfId="23919"/>
    <cellStyle name="Note 4 3 3 3" xfId="15023"/>
    <cellStyle name="Note 4 3 3 3 2" xfId="28329"/>
    <cellStyle name="Note 4 3 3 4" xfId="19509"/>
    <cellStyle name="Note 4 3 3_Table" xfId="6959"/>
    <cellStyle name="Note 4 3 4" xfId="932"/>
    <cellStyle name="Note 4 3 4 2" xfId="10260"/>
    <cellStyle name="Note 4 3 4 2 2" xfId="23566"/>
    <cellStyle name="Note 4 3 4 3" xfId="14670"/>
    <cellStyle name="Note 4 3 4 3 2" xfId="27976"/>
    <cellStyle name="Note 4 3 4 4" xfId="19156"/>
    <cellStyle name="Note 4 3 4_Table" xfId="6960"/>
    <cellStyle name="Note 4 3 5" xfId="2073"/>
    <cellStyle name="Note 4 3 5 2" xfId="11401"/>
    <cellStyle name="Note 4 3 5 2 2" xfId="24707"/>
    <cellStyle name="Note 4 3 5 3" xfId="15811"/>
    <cellStyle name="Note 4 3 5 3 2" xfId="29117"/>
    <cellStyle name="Note 4 3 5 4" xfId="20297"/>
    <cellStyle name="Note 4 3 5_Table" xfId="6961"/>
    <cellStyle name="Note 4 3 6" xfId="2505"/>
    <cellStyle name="Note 4 3 6 2" xfId="11833"/>
    <cellStyle name="Note 4 3 6 2 2" xfId="25139"/>
    <cellStyle name="Note 4 3 6 3" xfId="16243"/>
    <cellStyle name="Note 4 3 6 3 2" xfId="29549"/>
    <cellStyle name="Note 4 3 6 4" xfId="20729"/>
    <cellStyle name="Note 4 3 6_Table" xfId="6962"/>
    <cellStyle name="Note 4 3 7" xfId="2933"/>
    <cellStyle name="Note 4 3 7 2" xfId="12261"/>
    <cellStyle name="Note 4 3 7 2 2" xfId="25567"/>
    <cellStyle name="Note 4 3 7 3" xfId="16671"/>
    <cellStyle name="Note 4 3 7 3 2" xfId="29977"/>
    <cellStyle name="Note 4 3 7 4" xfId="21157"/>
    <cellStyle name="Note 4 3 7_Table" xfId="6963"/>
    <cellStyle name="Note 4 3 8" xfId="3346"/>
    <cellStyle name="Note 4 3 8 2" xfId="12674"/>
    <cellStyle name="Note 4 3 8 2 2" xfId="25980"/>
    <cellStyle name="Note 4 3 8 3" xfId="17084"/>
    <cellStyle name="Note 4 3 8 3 2" xfId="30390"/>
    <cellStyle name="Note 4 3 8 4" xfId="21570"/>
    <cellStyle name="Note 4 3 8_Table" xfId="6964"/>
    <cellStyle name="Note 4 3 9" xfId="3432"/>
    <cellStyle name="Note 4 3 9 2" xfId="12760"/>
    <cellStyle name="Note 4 3 9 2 2" xfId="26066"/>
    <cellStyle name="Note 4 3 9 3" xfId="17170"/>
    <cellStyle name="Note 4 3 9 3 2" xfId="30476"/>
    <cellStyle name="Note 4 3 9 4" xfId="21656"/>
    <cellStyle name="Note 4 3 9_Table" xfId="6965"/>
    <cellStyle name="Note 4 3_Table" xfId="6946"/>
    <cellStyle name="Note 4 4" xfId="546"/>
    <cellStyle name="Note 4 4 10" xfId="4192"/>
    <cellStyle name="Note 4 4 10 2" xfId="13520"/>
    <cellStyle name="Note 4 4 10 2 2" xfId="26826"/>
    <cellStyle name="Note 4 4 10 3" xfId="17930"/>
    <cellStyle name="Note 4 4 10 3 2" xfId="31236"/>
    <cellStyle name="Note 4 4 10 4" xfId="22416"/>
    <cellStyle name="Note 4 4 10_Table" xfId="6967"/>
    <cellStyle name="Note 4 4 11" xfId="4553"/>
    <cellStyle name="Note 4 4 11 2" xfId="13881"/>
    <cellStyle name="Note 4 4 11 2 2" xfId="27187"/>
    <cellStyle name="Note 4 4 11 3" xfId="18291"/>
    <cellStyle name="Note 4 4 11 3 2" xfId="31597"/>
    <cellStyle name="Note 4 4 11 4" xfId="22777"/>
    <cellStyle name="Note 4 4 11_Table" xfId="6968"/>
    <cellStyle name="Note 4 4 12" xfId="9874"/>
    <cellStyle name="Note 4 4 12 2" xfId="23227"/>
    <cellStyle name="Note 4 4 13" xfId="14331"/>
    <cellStyle name="Note 4 4 13 2" xfId="27637"/>
    <cellStyle name="Note 4 4 14" xfId="18817"/>
    <cellStyle name="Note 4 4 2" xfId="818"/>
    <cellStyle name="Note 4 4 2 10" xfId="4778"/>
    <cellStyle name="Note 4 4 2 10 2" xfId="14106"/>
    <cellStyle name="Note 4 4 2 10 2 2" xfId="27412"/>
    <cellStyle name="Note 4 4 2 10 3" xfId="18516"/>
    <cellStyle name="Note 4 4 2 10 3 2" xfId="31822"/>
    <cellStyle name="Note 4 4 2 10 4" xfId="23002"/>
    <cellStyle name="Note 4 4 2 10_Table" xfId="6970"/>
    <cellStyle name="Note 4 4 2 11" xfId="10146"/>
    <cellStyle name="Note 4 4 2 11 2" xfId="23452"/>
    <cellStyle name="Note 4 4 2 12" xfId="14556"/>
    <cellStyle name="Note 4 4 2 12 2" xfId="27862"/>
    <cellStyle name="Note 4 4 2 13" xfId="19042"/>
    <cellStyle name="Note 4 4 2 2" xfId="1604"/>
    <cellStyle name="Note 4 4 2 2 2" xfId="10932"/>
    <cellStyle name="Note 4 4 2 2 2 2" xfId="24238"/>
    <cellStyle name="Note 4 4 2 2 3" xfId="15342"/>
    <cellStyle name="Note 4 4 2 2 3 2" xfId="28648"/>
    <cellStyle name="Note 4 4 2 2 4" xfId="19828"/>
    <cellStyle name="Note 4 4 2 2_Table" xfId="6971"/>
    <cellStyle name="Note 4 4 2 3" xfId="1964"/>
    <cellStyle name="Note 4 4 2 3 2" xfId="11292"/>
    <cellStyle name="Note 4 4 2 3 2 2" xfId="24598"/>
    <cellStyle name="Note 4 4 2 3 3" xfId="15702"/>
    <cellStyle name="Note 4 4 2 3 3 2" xfId="29008"/>
    <cellStyle name="Note 4 4 2 3 4" xfId="20188"/>
    <cellStyle name="Note 4 4 2 3_Table" xfId="6972"/>
    <cellStyle name="Note 4 4 2 4" xfId="2394"/>
    <cellStyle name="Note 4 4 2 4 2" xfId="11722"/>
    <cellStyle name="Note 4 4 2 4 2 2" xfId="25028"/>
    <cellStyle name="Note 4 4 2 4 3" xfId="16132"/>
    <cellStyle name="Note 4 4 2 4 3 2" xfId="29438"/>
    <cellStyle name="Note 4 4 2 4 4" xfId="20618"/>
    <cellStyle name="Note 4 4 2 4_Table" xfId="6973"/>
    <cellStyle name="Note 4 4 2 5" xfId="2832"/>
    <cellStyle name="Note 4 4 2 5 2" xfId="12160"/>
    <cellStyle name="Note 4 4 2 5 2 2" xfId="25466"/>
    <cellStyle name="Note 4 4 2 5 3" xfId="16570"/>
    <cellStyle name="Note 4 4 2 5 3 2" xfId="29876"/>
    <cellStyle name="Note 4 4 2 5 4" xfId="21056"/>
    <cellStyle name="Note 4 4 2 5_Table" xfId="6974"/>
    <cellStyle name="Note 4 4 2 6" xfId="3239"/>
    <cellStyle name="Note 4 4 2 6 2" xfId="12567"/>
    <cellStyle name="Note 4 4 2 6 2 2" xfId="25873"/>
    <cellStyle name="Note 4 4 2 6 3" xfId="16977"/>
    <cellStyle name="Note 4 4 2 6 3 2" xfId="30283"/>
    <cellStyle name="Note 4 4 2 6 4" xfId="21463"/>
    <cellStyle name="Note 4 4 2 6_Table" xfId="6975"/>
    <cellStyle name="Note 4 4 2 7" xfId="3831"/>
    <cellStyle name="Note 4 4 2 7 2" xfId="13159"/>
    <cellStyle name="Note 4 4 2 7 2 2" xfId="26465"/>
    <cellStyle name="Note 4 4 2 7 3" xfId="17569"/>
    <cellStyle name="Note 4 4 2 7 3 2" xfId="30875"/>
    <cellStyle name="Note 4 4 2 7 4" xfId="22055"/>
    <cellStyle name="Note 4 4 2 7_Table" xfId="6976"/>
    <cellStyle name="Note 4 4 2 8" xfId="4056"/>
    <cellStyle name="Note 4 4 2 8 2" xfId="13384"/>
    <cellStyle name="Note 4 4 2 8 2 2" xfId="26690"/>
    <cellStyle name="Note 4 4 2 8 3" xfId="17794"/>
    <cellStyle name="Note 4 4 2 8 3 2" xfId="31100"/>
    <cellStyle name="Note 4 4 2 8 4" xfId="22280"/>
    <cellStyle name="Note 4 4 2 8_Table" xfId="6977"/>
    <cellStyle name="Note 4 4 2 9" xfId="4417"/>
    <cellStyle name="Note 4 4 2 9 2" xfId="13745"/>
    <cellStyle name="Note 4 4 2 9 2 2" xfId="27051"/>
    <cellStyle name="Note 4 4 2 9 3" xfId="18155"/>
    <cellStyle name="Note 4 4 2 9 3 2" xfId="31461"/>
    <cellStyle name="Note 4 4 2 9 4" xfId="22641"/>
    <cellStyle name="Note 4 4 2 9_Table" xfId="6978"/>
    <cellStyle name="Note 4 4 2_Table" xfId="6969"/>
    <cellStyle name="Note 4 4 3" xfId="1341"/>
    <cellStyle name="Note 4 4 3 2" xfId="10669"/>
    <cellStyle name="Note 4 4 3 2 2" xfId="23975"/>
    <cellStyle name="Note 4 4 3 3" xfId="15079"/>
    <cellStyle name="Note 4 4 3 3 2" xfId="28385"/>
    <cellStyle name="Note 4 4 3 4" xfId="19565"/>
    <cellStyle name="Note 4 4 3_Table" xfId="6979"/>
    <cellStyle name="Note 4 4 4" xfId="1698"/>
    <cellStyle name="Note 4 4 4 2" xfId="11026"/>
    <cellStyle name="Note 4 4 4 2 2" xfId="24332"/>
    <cellStyle name="Note 4 4 4 3" xfId="15436"/>
    <cellStyle name="Note 4 4 4 3 2" xfId="28742"/>
    <cellStyle name="Note 4 4 4 4" xfId="19922"/>
    <cellStyle name="Note 4 4 4_Table" xfId="6980"/>
    <cellStyle name="Note 4 4 5" xfId="2132"/>
    <cellStyle name="Note 4 4 5 2" xfId="11460"/>
    <cellStyle name="Note 4 4 5 2 2" xfId="24766"/>
    <cellStyle name="Note 4 4 5 3" xfId="15870"/>
    <cellStyle name="Note 4 4 5 3 2" xfId="29176"/>
    <cellStyle name="Note 4 4 5 4" xfId="20356"/>
    <cellStyle name="Note 4 4 5_Table" xfId="6981"/>
    <cellStyle name="Note 4 4 6" xfId="2564"/>
    <cellStyle name="Note 4 4 6 2" xfId="11892"/>
    <cellStyle name="Note 4 4 6 2 2" xfId="25198"/>
    <cellStyle name="Note 4 4 6 3" xfId="16302"/>
    <cellStyle name="Note 4 4 6 3 2" xfId="29608"/>
    <cellStyle name="Note 4 4 6 4" xfId="20788"/>
    <cellStyle name="Note 4 4 6_Table" xfId="6982"/>
    <cellStyle name="Note 4 4 7" xfId="2990"/>
    <cellStyle name="Note 4 4 7 2" xfId="12318"/>
    <cellStyle name="Note 4 4 7 2 2" xfId="25624"/>
    <cellStyle name="Note 4 4 7 3" xfId="16728"/>
    <cellStyle name="Note 4 4 7 3 2" xfId="30034"/>
    <cellStyle name="Note 4 4 7 4" xfId="21214"/>
    <cellStyle name="Note 4 4 7_Table" xfId="6983"/>
    <cellStyle name="Note 4 4 8" xfId="3404"/>
    <cellStyle name="Note 4 4 8 2" xfId="12732"/>
    <cellStyle name="Note 4 4 8 2 2" xfId="26038"/>
    <cellStyle name="Note 4 4 8 3" xfId="17142"/>
    <cellStyle name="Note 4 4 8 3 2" xfId="30448"/>
    <cellStyle name="Note 4 4 8 4" xfId="21628"/>
    <cellStyle name="Note 4 4 8_Table" xfId="6984"/>
    <cellStyle name="Note 4 4 9" xfId="3562"/>
    <cellStyle name="Note 4 4 9 2" xfId="12890"/>
    <cellStyle name="Note 4 4 9 2 2" xfId="26196"/>
    <cellStyle name="Note 4 4 9 3" xfId="17300"/>
    <cellStyle name="Note 4 4 9 3 2" xfId="30606"/>
    <cellStyle name="Note 4 4 9 4" xfId="21786"/>
    <cellStyle name="Note 4 4 9_Table" xfId="6985"/>
    <cellStyle name="Note 4 4_Table" xfId="6966"/>
    <cellStyle name="Note 4 5" xfId="621"/>
    <cellStyle name="Note 4 5 10" xfId="4237"/>
    <cellStyle name="Note 4 5 10 2" xfId="13565"/>
    <cellStyle name="Note 4 5 10 2 2" xfId="26871"/>
    <cellStyle name="Note 4 5 10 3" xfId="17975"/>
    <cellStyle name="Note 4 5 10 3 2" xfId="31281"/>
    <cellStyle name="Note 4 5 10 4" xfId="22461"/>
    <cellStyle name="Note 4 5 10_Table" xfId="6987"/>
    <cellStyle name="Note 4 5 11" xfId="4598"/>
    <cellStyle name="Note 4 5 11 2" xfId="13926"/>
    <cellStyle name="Note 4 5 11 2 2" xfId="27232"/>
    <cellStyle name="Note 4 5 11 3" xfId="18336"/>
    <cellStyle name="Note 4 5 11 3 2" xfId="31642"/>
    <cellStyle name="Note 4 5 11 4" xfId="22822"/>
    <cellStyle name="Note 4 5 11_Table" xfId="6988"/>
    <cellStyle name="Note 4 5 12" xfId="9949"/>
    <cellStyle name="Note 4 5 12 2" xfId="23272"/>
    <cellStyle name="Note 4 5 13" xfId="14376"/>
    <cellStyle name="Note 4 5 13 2" xfId="27682"/>
    <cellStyle name="Note 4 5 14" xfId="18862"/>
    <cellStyle name="Note 4 5 2" xfId="863"/>
    <cellStyle name="Note 4 5 2 10" xfId="4823"/>
    <cellStyle name="Note 4 5 2 10 2" xfId="14151"/>
    <cellStyle name="Note 4 5 2 10 2 2" xfId="27457"/>
    <cellStyle name="Note 4 5 2 10 3" xfId="18561"/>
    <cellStyle name="Note 4 5 2 10 3 2" xfId="31867"/>
    <cellStyle name="Note 4 5 2 10 4" xfId="23047"/>
    <cellStyle name="Note 4 5 2 10_Table" xfId="6990"/>
    <cellStyle name="Note 4 5 2 11" xfId="10191"/>
    <cellStyle name="Note 4 5 2 11 2" xfId="23497"/>
    <cellStyle name="Note 4 5 2 12" xfId="14601"/>
    <cellStyle name="Note 4 5 2 12 2" xfId="27907"/>
    <cellStyle name="Note 4 5 2 13" xfId="19087"/>
    <cellStyle name="Note 4 5 2 2" xfId="1649"/>
    <cellStyle name="Note 4 5 2 2 2" xfId="10977"/>
    <cellStyle name="Note 4 5 2 2 2 2" xfId="24283"/>
    <cellStyle name="Note 4 5 2 2 3" xfId="15387"/>
    <cellStyle name="Note 4 5 2 2 3 2" xfId="28693"/>
    <cellStyle name="Note 4 5 2 2 4" xfId="19873"/>
    <cellStyle name="Note 4 5 2 2_Table" xfId="6991"/>
    <cellStyle name="Note 4 5 2 3" xfId="2009"/>
    <cellStyle name="Note 4 5 2 3 2" xfId="11337"/>
    <cellStyle name="Note 4 5 2 3 2 2" xfId="24643"/>
    <cellStyle name="Note 4 5 2 3 3" xfId="15747"/>
    <cellStyle name="Note 4 5 2 3 3 2" xfId="29053"/>
    <cellStyle name="Note 4 5 2 3 4" xfId="20233"/>
    <cellStyle name="Note 4 5 2 3_Table" xfId="6992"/>
    <cellStyle name="Note 4 5 2 4" xfId="2439"/>
    <cellStyle name="Note 4 5 2 4 2" xfId="11767"/>
    <cellStyle name="Note 4 5 2 4 2 2" xfId="25073"/>
    <cellStyle name="Note 4 5 2 4 3" xfId="16177"/>
    <cellStyle name="Note 4 5 2 4 3 2" xfId="29483"/>
    <cellStyle name="Note 4 5 2 4 4" xfId="20663"/>
    <cellStyle name="Note 4 5 2 4_Table" xfId="6993"/>
    <cellStyle name="Note 4 5 2 5" xfId="2877"/>
    <cellStyle name="Note 4 5 2 5 2" xfId="12205"/>
    <cellStyle name="Note 4 5 2 5 2 2" xfId="25511"/>
    <cellStyle name="Note 4 5 2 5 3" xfId="16615"/>
    <cellStyle name="Note 4 5 2 5 3 2" xfId="29921"/>
    <cellStyle name="Note 4 5 2 5 4" xfId="21101"/>
    <cellStyle name="Note 4 5 2 5_Table" xfId="6994"/>
    <cellStyle name="Note 4 5 2 6" xfId="3284"/>
    <cellStyle name="Note 4 5 2 6 2" xfId="12612"/>
    <cellStyle name="Note 4 5 2 6 2 2" xfId="25918"/>
    <cellStyle name="Note 4 5 2 6 3" xfId="17022"/>
    <cellStyle name="Note 4 5 2 6 3 2" xfId="30328"/>
    <cellStyle name="Note 4 5 2 6 4" xfId="21508"/>
    <cellStyle name="Note 4 5 2 6_Table" xfId="6995"/>
    <cellStyle name="Note 4 5 2 7" xfId="3876"/>
    <cellStyle name="Note 4 5 2 7 2" xfId="13204"/>
    <cellStyle name="Note 4 5 2 7 2 2" xfId="26510"/>
    <cellStyle name="Note 4 5 2 7 3" xfId="17614"/>
    <cellStyle name="Note 4 5 2 7 3 2" xfId="30920"/>
    <cellStyle name="Note 4 5 2 7 4" xfId="22100"/>
    <cellStyle name="Note 4 5 2 7_Table" xfId="6996"/>
    <cellStyle name="Note 4 5 2 8" xfId="4101"/>
    <cellStyle name="Note 4 5 2 8 2" xfId="13429"/>
    <cellStyle name="Note 4 5 2 8 2 2" xfId="26735"/>
    <cellStyle name="Note 4 5 2 8 3" xfId="17839"/>
    <cellStyle name="Note 4 5 2 8 3 2" xfId="31145"/>
    <cellStyle name="Note 4 5 2 8 4" xfId="22325"/>
    <cellStyle name="Note 4 5 2 8_Table" xfId="6997"/>
    <cellStyle name="Note 4 5 2 9" xfId="4462"/>
    <cellStyle name="Note 4 5 2 9 2" xfId="13790"/>
    <cellStyle name="Note 4 5 2 9 2 2" xfId="27096"/>
    <cellStyle name="Note 4 5 2 9 3" xfId="18200"/>
    <cellStyle name="Note 4 5 2 9 3 2" xfId="31506"/>
    <cellStyle name="Note 4 5 2 9 4" xfId="22686"/>
    <cellStyle name="Note 4 5 2 9_Table" xfId="6998"/>
    <cellStyle name="Note 4 5 2_Table" xfId="6989"/>
    <cellStyle name="Note 4 5 3" xfId="1408"/>
    <cellStyle name="Note 4 5 3 2" xfId="10736"/>
    <cellStyle name="Note 4 5 3 2 2" xfId="24042"/>
    <cellStyle name="Note 4 5 3 3" xfId="15146"/>
    <cellStyle name="Note 4 5 3 3 2" xfId="28452"/>
    <cellStyle name="Note 4 5 3 4" xfId="19632"/>
    <cellStyle name="Note 4 5 3_Table" xfId="6999"/>
    <cellStyle name="Note 4 5 4" xfId="1768"/>
    <cellStyle name="Note 4 5 4 2" xfId="11096"/>
    <cellStyle name="Note 4 5 4 2 2" xfId="24402"/>
    <cellStyle name="Note 4 5 4 3" xfId="15506"/>
    <cellStyle name="Note 4 5 4 3 2" xfId="28812"/>
    <cellStyle name="Note 4 5 4 4" xfId="19992"/>
    <cellStyle name="Note 4 5 4_Table" xfId="7000"/>
    <cellStyle name="Note 4 5 5" xfId="2201"/>
    <cellStyle name="Note 4 5 5 2" xfId="11529"/>
    <cellStyle name="Note 4 5 5 2 2" xfId="24835"/>
    <cellStyle name="Note 4 5 5 3" xfId="15939"/>
    <cellStyle name="Note 4 5 5 3 2" xfId="29245"/>
    <cellStyle name="Note 4 5 5 4" xfId="20425"/>
    <cellStyle name="Note 4 5 5_Table" xfId="7001"/>
    <cellStyle name="Note 4 5 6" xfId="2636"/>
    <cellStyle name="Note 4 5 6 2" xfId="11964"/>
    <cellStyle name="Note 4 5 6 2 2" xfId="25270"/>
    <cellStyle name="Note 4 5 6 3" xfId="16374"/>
    <cellStyle name="Note 4 5 6 3 2" xfId="29680"/>
    <cellStyle name="Note 4 5 6 4" xfId="20860"/>
    <cellStyle name="Note 4 5 6_Table" xfId="7002"/>
    <cellStyle name="Note 4 5 7" xfId="3049"/>
    <cellStyle name="Note 4 5 7 2" xfId="12377"/>
    <cellStyle name="Note 4 5 7 2 2" xfId="25683"/>
    <cellStyle name="Note 4 5 7 3" xfId="16787"/>
    <cellStyle name="Note 4 5 7 3 2" xfId="30093"/>
    <cellStyle name="Note 4 5 7 4" xfId="21273"/>
    <cellStyle name="Note 4 5 7_Table" xfId="7003"/>
    <cellStyle name="Note 4 5 8" xfId="3475"/>
    <cellStyle name="Note 4 5 8 2" xfId="12803"/>
    <cellStyle name="Note 4 5 8 2 2" xfId="26109"/>
    <cellStyle name="Note 4 5 8 3" xfId="17213"/>
    <cellStyle name="Note 4 5 8 3 2" xfId="30519"/>
    <cellStyle name="Note 4 5 8 4" xfId="21699"/>
    <cellStyle name="Note 4 5 8_Table" xfId="7004"/>
    <cellStyle name="Note 4 5 9" xfId="3572"/>
    <cellStyle name="Note 4 5 9 2" xfId="12900"/>
    <cellStyle name="Note 4 5 9 2 2" xfId="26206"/>
    <cellStyle name="Note 4 5 9 3" xfId="17310"/>
    <cellStyle name="Note 4 5 9 3 2" xfId="30616"/>
    <cellStyle name="Note 4 5 9 4" xfId="21796"/>
    <cellStyle name="Note 4 5 9_Table" xfId="7005"/>
    <cellStyle name="Note 4 5_Table" xfId="6986"/>
    <cellStyle name="Note 4 6" xfId="683"/>
    <cellStyle name="Note 4 6 10" xfId="4643"/>
    <cellStyle name="Note 4 6 10 2" xfId="13971"/>
    <cellStyle name="Note 4 6 10 2 2" xfId="27277"/>
    <cellStyle name="Note 4 6 10 3" xfId="18381"/>
    <cellStyle name="Note 4 6 10 3 2" xfId="31687"/>
    <cellStyle name="Note 4 6 10 4" xfId="22867"/>
    <cellStyle name="Note 4 6 10_Table" xfId="7007"/>
    <cellStyle name="Note 4 6 11" xfId="10011"/>
    <cellStyle name="Note 4 6 11 2" xfId="23317"/>
    <cellStyle name="Note 4 6 12" xfId="14421"/>
    <cellStyle name="Note 4 6 12 2" xfId="27727"/>
    <cellStyle name="Note 4 6 13" xfId="18907"/>
    <cellStyle name="Note 4 6 2" xfId="1469"/>
    <cellStyle name="Note 4 6 2 2" xfId="10797"/>
    <cellStyle name="Note 4 6 2 2 2" xfId="24103"/>
    <cellStyle name="Note 4 6 2 3" xfId="15207"/>
    <cellStyle name="Note 4 6 2 3 2" xfId="28513"/>
    <cellStyle name="Note 4 6 2 4" xfId="19693"/>
    <cellStyle name="Note 4 6 2_Table" xfId="7008"/>
    <cellStyle name="Note 4 6 3" xfId="1829"/>
    <cellStyle name="Note 4 6 3 2" xfId="11157"/>
    <cellStyle name="Note 4 6 3 2 2" xfId="24463"/>
    <cellStyle name="Note 4 6 3 3" xfId="15567"/>
    <cellStyle name="Note 4 6 3 3 2" xfId="28873"/>
    <cellStyle name="Note 4 6 3 4" xfId="20053"/>
    <cellStyle name="Note 4 6 3_Table" xfId="7009"/>
    <cellStyle name="Note 4 6 4" xfId="2259"/>
    <cellStyle name="Note 4 6 4 2" xfId="11587"/>
    <cellStyle name="Note 4 6 4 2 2" xfId="24893"/>
    <cellStyle name="Note 4 6 4 3" xfId="15997"/>
    <cellStyle name="Note 4 6 4 3 2" xfId="29303"/>
    <cellStyle name="Note 4 6 4 4" xfId="20483"/>
    <cellStyle name="Note 4 6 4_Table" xfId="7010"/>
    <cellStyle name="Note 4 6 5" xfId="2697"/>
    <cellStyle name="Note 4 6 5 2" xfId="12025"/>
    <cellStyle name="Note 4 6 5 2 2" xfId="25331"/>
    <cellStyle name="Note 4 6 5 3" xfId="16435"/>
    <cellStyle name="Note 4 6 5 3 2" xfId="29741"/>
    <cellStyle name="Note 4 6 5 4" xfId="20921"/>
    <cellStyle name="Note 4 6 5_Table" xfId="7011"/>
    <cellStyle name="Note 4 6 6" xfId="3104"/>
    <cellStyle name="Note 4 6 6 2" xfId="12432"/>
    <cellStyle name="Note 4 6 6 2 2" xfId="25738"/>
    <cellStyle name="Note 4 6 6 3" xfId="16842"/>
    <cellStyle name="Note 4 6 6 3 2" xfId="30148"/>
    <cellStyle name="Note 4 6 6 4" xfId="21328"/>
    <cellStyle name="Note 4 6 6_Table" xfId="7012"/>
    <cellStyle name="Note 4 6 7" xfId="3696"/>
    <cellStyle name="Note 4 6 7 2" xfId="13024"/>
    <cellStyle name="Note 4 6 7 2 2" xfId="26330"/>
    <cellStyle name="Note 4 6 7 3" xfId="17434"/>
    <cellStyle name="Note 4 6 7 3 2" xfId="30740"/>
    <cellStyle name="Note 4 6 7 4" xfId="21920"/>
    <cellStyle name="Note 4 6 7_Table" xfId="7013"/>
    <cellStyle name="Note 4 6 8" xfId="3921"/>
    <cellStyle name="Note 4 6 8 2" xfId="13249"/>
    <cellStyle name="Note 4 6 8 2 2" xfId="26555"/>
    <cellStyle name="Note 4 6 8 3" xfId="17659"/>
    <cellStyle name="Note 4 6 8 3 2" xfId="30965"/>
    <cellStyle name="Note 4 6 8 4" xfId="22145"/>
    <cellStyle name="Note 4 6 8_Table" xfId="7014"/>
    <cellStyle name="Note 4 6 9" xfId="4282"/>
    <cellStyle name="Note 4 6 9 2" xfId="13610"/>
    <cellStyle name="Note 4 6 9 2 2" xfId="26916"/>
    <cellStyle name="Note 4 6 9 3" xfId="18020"/>
    <cellStyle name="Note 4 6 9 3 2" xfId="31326"/>
    <cellStyle name="Note 4 6 9 4" xfId="22506"/>
    <cellStyle name="Note 4 6 9_Table" xfId="7015"/>
    <cellStyle name="Note 4 6_Table" xfId="7006"/>
    <cellStyle name="Note 4 7" xfId="1177"/>
    <cellStyle name="Note 4 7 2" xfId="10505"/>
    <cellStyle name="Note 4 7 2 2" xfId="23811"/>
    <cellStyle name="Note 4 7 3" xfId="14915"/>
    <cellStyle name="Note 4 7 3 2" xfId="28221"/>
    <cellStyle name="Note 4 7 4" xfId="19401"/>
    <cellStyle name="Note 4 7_Table" xfId="7016"/>
    <cellStyle name="Note 4 8" xfId="1067"/>
    <cellStyle name="Note 4 8 2" xfId="10395"/>
    <cellStyle name="Note 4 8 2 2" xfId="23701"/>
    <cellStyle name="Note 4 8 3" xfId="14805"/>
    <cellStyle name="Note 4 8 3 2" xfId="28111"/>
    <cellStyle name="Note 4 8 4" xfId="19291"/>
    <cellStyle name="Note 4 8_Table" xfId="7017"/>
    <cellStyle name="Note 4 9" xfId="1389"/>
    <cellStyle name="Note 4 9 2" xfId="10717"/>
    <cellStyle name="Note 4 9 2 2" xfId="24023"/>
    <cellStyle name="Note 4 9 3" xfId="15127"/>
    <cellStyle name="Note 4 9 3 2" xfId="28433"/>
    <cellStyle name="Note 4 9 4" xfId="19613"/>
    <cellStyle name="Note 4 9_Table" xfId="7018"/>
    <cellStyle name="Note 4_Table" xfId="6919"/>
    <cellStyle name="Note 5" xfId="344"/>
    <cellStyle name="Note 5 10" xfId="901"/>
    <cellStyle name="Note 5 10 2" xfId="10229"/>
    <cellStyle name="Note 5 10 2 2" xfId="23535"/>
    <cellStyle name="Note 5 10 3" xfId="14639"/>
    <cellStyle name="Note 5 10 3 2" xfId="27945"/>
    <cellStyle name="Note 5 10 4" xfId="19125"/>
    <cellStyle name="Note 5 10_Table" xfId="7020"/>
    <cellStyle name="Note 5 11" xfId="2103"/>
    <cellStyle name="Note 5 11 2" xfId="11431"/>
    <cellStyle name="Note 5 11 2 2" xfId="24737"/>
    <cellStyle name="Note 5 11 3" xfId="15841"/>
    <cellStyle name="Note 5 11 3 2" xfId="29147"/>
    <cellStyle name="Note 5 11 4" xfId="20327"/>
    <cellStyle name="Note 5 11_Table" xfId="7021"/>
    <cellStyle name="Note 5 12" xfId="2534"/>
    <cellStyle name="Note 5 12 2" xfId="11862"/>
    <cellStyle name="Note 5 12 2 2" xfId="25168"/>
    <cellStyle name="Note 5 12 3" xfId="16272"/>
    <cellStyle name="Note 5 12 3 2" xfId="29578"/>
    <cellStyle name="Note 5 12 4" xfId="20758"/>
    <cellStyle name="Note 5 12_Table" xfId="7022"/>
    <cellStyle name="Note 5 13" xfId="3619"/>
    <cellStyle name="Note 5 13 2" xfId="12947"/>
    <cellStyle name="Note 5 13 2 2" xfId="26253"/>
    <cellStyle name="Note 5 13 3" xfId="17357"/>
    <cellStyle name="Note 5 13 3 2" xfId="30663"/>
    <cellStyle name="Note 5 13 4" xfId="21843"/>
    <cellStyle name="Note 5 13_Table" xfId="7023"/>
    <cellStyle name="Note 5 14" xfId="2909"/>
    <cellStyle name="Note 5 14 2" xfId="12237"/>
    <cellStyle name="Note 5 14 2 2" xfId="25543"/>
    <cellStyle name="Note 5 14 3" xfId="16647"/>
    <cellStyle name="Note 5 14 3 2" xfId="29953"/>
    <cellStyle name="Note 5 14 4" xfId="21133"/>
    <cellStyle name="Note 5 14_Table" xfId="7024"/>
    <cellStyle name="Note 5 15" xfId="2158"/>
    <cellStyle name="Note 5 15 2" xfId="11486"/>
    <cellStyle name="Note 5 15 2 2" xfId="24792"/>
    <cellStyle name="Note 5 15 3" xfId="15896"/>
    <cellStyle name="Note 5 15 3 2" xfId="29202"/>
    <cellStyle name="Note 5 15 4" xfId="20382"/>
    <cellStyle name="Note 5 15_Table" xfId="7025"/>
    <cellStyle name="Note 5 16" xfId="9672"/>
    <cellStyle name="Note 5 16 2" xfId="23093"/>
    <cellStyle name="Note 5 17" xfId="14197"/>
    <cellStyle name="Note 5 17 2" xfId="27503"/>
    <cellStyle name="Note 5 18" xfId="18683"/>
    <cellStyle name="Note 5 2" xfId="415"/>
    <cellStyle name="Note 5 2 10" xfId="3025"/>
    <cellStyle name="Note 5 2 10 2" xfId="12353"/>
    <cellStyle name="Note 5 2 10 2 2" xfId="25659"/>
    <cellStyle name="Note 5 2 10 3" xfId="16763"/>
    <cellStyle name="Note 5 2 10 3 2" xfId="30069"/>
    <cellStyle name="Note 5 2 10 4" xfId="21249"/>
    <cellStyle name="Note 5 2 10_Table" xfId="7027"/>
    <cellStyle name="Note 5 2 11" xfId="3536"/>
    <cellStyle name="Note 5 2 11 2" xfId="12864"/>
    <cellStyle name="Note 5 2 11 2 2" xfId="26170"/>
    <cellStyle name="Note 5 2 11 3" xfId="17274"/>
    <cellStyle name="Note 5 2 11 3 2" xfId="30580"/>
    <cellStyle name="Note 5 2 11 4" xfId="21760"/>
    <cellStyle name="Note 5 2 11_Table" xfId="7028"/>
    <cellStyle name="Note 5 2 12" xfId="9743"/>
    <cellStyle name="Note 5 2 12 2" xfId="23138"/>
    <cellStyle name="Note 5 2 13" xfId="14242"/>
    <cellStyle name="Note 5 2 13 2" xfId="27548"/>
    <cellStyle name="Note 5 2 14" xfId="18728"/>
    <cellStyle name="Note 5 2 2" xfId="729"/>
    <cellStyle name="Note 5 2 2 10" xfId="4689"/>
    <cellStyle name="Note 5 2 2 10 2" xfId="14017"/>
    <cellStyle name="Note 5 2 2 10 2 2" xfId="27323"/>
    <cellStyle name="Note 5 2 2 10 3" xfId="18427"/>
    <cellStyle name="Note 5 2 2 10 3 2" xfId="31733"/>
    <cellStyle name="Note 5 2 2 10 4" xfId="22913"/>
    <cellStyle name="Note 5 2 2 10_Table" xfId="7030"/>
    <cellStyle name="Note 5 2 2 11" xfId="10057"/>
    <cellStyle name="Note 5 2 2 11 2" xfId="23363"/>
    <cellStyle name="Note 5 2 2 12" xfId="14467"/>
    <cellStyle name="Note 5 2 2 12 2" xfId="27773"/>
    <cellStyle name="Note 5 2 2 13" xfId="18953"/>
    <cellStyle name="Note 5 2 2 2" xfId="1515"/>
    <cellStyle name="Note 5 2 2 2 2" xfId="10843"/>
    <cellStyle name="Note 5 2 2 2 2 2" xfId="24149"/>
    <cellStyle name="Note 5 2 2 2 3" xfId="15253"/>
    <cellStyle name="Note 5 2 2 2 3 2" xfId="28559"/>
    <cellStyle name="Note 5 2 2 2 4" xfId="19739"/>
    <cellStyle name="Note 5 2 2 2_Table" xfId="7031"/>
    <cellStyle name="Note 5 2 2 3" xfId="1875"/>
    <cellStyle name="Note 5 2 2 3 2" xfId="11203"/>
    <cellStyle name="Note 5 2 2 3 2 2" xfId="24509"/>
    <cellStyle name="Note 5 2 2 3 3" xfId="15613"/>
    <cellStyle name="Note 5 2 2 3 3 2" xfId="28919"/>
    <cellStyle name="Note 5 2 2 3 4" xfId="20099"/>
    <cellStyle name="Note 5 2 2 3_Table" xfId="7032"/>
    <cellStyle name="Note 5 2 2 4" xfId="2305"/>
    <cellStyle name="Note 5 2 2 4 2" xfId="11633"/>
    <cellStyle name="Note 5 2 2 4 2 2" xfId="24939"/>
    <cellStyle name="Note 5 2 2 4 3" xfId="16043"/>
    <cellStyle name="Note 5 2 2 4 3 2" xfId="29349"/>
    <cellStyle name="Note 5 2 2 4 4" xfId="20529"/>
    <cellStyle name="Note 5 2 2 4_Table" xfId="7033"/>
    <cellStyle name="Note 5 2 2 5" xfId="2743"/>
    <cellStyle name="Note 5 2 2 5 2" xfId="12071"/>
    <cellStyle name="Note 5 2 2 5 2 2" xfId="25377"/>
    <cellStyle name="Note 5 2 2 5 3" xfId="16481"/>
    <cellStyle name="Note 5 2 2 5 3 2" xfId="29787"/>
    <cellStyle name="Note 5 2 2 5 4" xfId="20967"/>
    <cellStyle name="Note 5 2 2 5_Table" xfId="7034"/>
    <cellStyle name="Note 5 2 2 6" xfId="3150"/>
    <cellStyle name="Note 5 2 2 6 2" xfId="12478"/>
    <cellStyle name="Note 5 2 2 6 2 2" xfId="25784"/>
    <cellStyle name="Note 5 2 2 6 3" xfId="16888"/>
    <cellStyle name="Note 5 2 2 6 3 2" xfId="30194"/>
    <cellStyle name="Note 5 2 2 6 4" xfId="21374"/>
    <cellStyle name="Note 5 2 2 6_Table" xfId="7035"/>
    <cellStyle name="Note 5 2 2 7" xfId="3742"/>
    <cellStyle name="Note 5 2 2 7 2" xfId="13070"/>
    <cellStyle name="Note 5 2 2 7 2 2" xfId="26376"/>
    <cellStyle name="Note 5 2 2 7 3" xfId="17480"/>
    <cellStyle name="Note 5 2 2 7 3 2" xfId="30786"/>
    <cellStyle name="Note 5 2 2 7 4" xfId="21966"/>
    <cellStyle name="Note 5 2 2 7_Table" xfId="7036"/>
    <cellStyle name="Note 5 2 2 8" xfId="3967"/>
    <cellStyle name="Note 5 2 2 8 2" xfId="13295"/>
    <cellStyle name="Note 5 2 2 8 2 2" xfId="26601"/>
    <cellStyle name="Note 5 2 2 8 3" xfId="17705"/>
    <cellStyle name="Note 5 2 2 8 3 2" xfId="31011"/>
    <cellStyle name="Note 5 2 2 8 4" xfId="22191"/>
    <cellStyle name="Note 5 2 2 8_Table" xfId="7037"/>
    <cellStyle name="Note 5 2 2 9" xfId="4328"/>
    <cellStyle name="Note 5 2 2 9 2" xfId="13656"/>
    <cellStyle name="Note 5 2 2 9 2 2" xfId="26962"/>
    <cellStyle name="Note 5 2 2 9 3" xfId="18066"/>
    <cellStyle name="Note 5 2 2 9 3 2" xfId="31372"/>
    <cellStyle name="Note 5 2 2 9 4" xfId="22552"/>
    <cellStyle name="Note 5 2 2 9_Table" xfId="7038"/>
    <cellStyle name="Note 5 2 2_Table" xfId="7029"/>
    <cellStyle name="Note 5 2 3" xfId="1229"/>
    <cellStyle name="Note 5 2 3 2" xfId="10557"/>
    <cellStyle name="Note 5 2 3 2 2" xfId="23863"/>
    <cellStyle name="Note 5 2 3 3" xfId="14967"/>
    <cellStyle name="Note 5 2 3 3 2" xfId="28273"/>
    <cellStyle name="Note 5 2 3 4" xfId="19453"/>
    <cellStyle name="Note 5 2 3_Table" xfId="7039"/>
    <cellStyle name="Note 5 2 4" xfId="997"/>
    <cellStyle name="Note 5 2 4 2" xfId="10325"/>
    <cellStyle name="Note 5 2 4 2 2" xfId="23631"/>
    <cellStyle name="Note 5 2 4 3" xfId="14735"/>
    <cellStyle name="Note 5 2 4 3 2" xfId="28041"/>
    <cellStyle name="Note 5 2 4 4" xfId="19221"/>
    <cellStyle name="Note 5 2 4_Table" xfId="7040"/>
    <cellStyle name="Note 5 2 5" xfId="1255"/>
    <cellStyle name="Note 5 2 5 2" xfId="10583"/>
    <cellStyle name="Note 5 2 5 2 2" xfId="23889"/>
    <cellStyle name="Note 5 2 5 3" xfId="14993"/>
    <cellStyle name="Note 5 2 5 3 2" xfId="28299"/>
    <cellStyle name="Note 5 2 5 4" xfId="19479"/>
    <cellStyle name="Note 5 2 5_Table" xfId="7041"/>
    <cellStyle name="Note 5 2 6" xfId="1743"/>
    <cellStyle name="Note 5 2 6 2" xfId="11071"/>
    <cellStyle name="Note 5 2 6 2 2" xfId="24377"/>
    <cellStyle name="Note 5 2 6 3" xfId="15481"/>
    <cellStyle name="Note 5 2 6 3 2" xfId="28787"/>
    <cellStyle name="Note 5 2 6 4" xfId="19967"/>
    <cellStyle name="Note 5 2 6_Table" xfId="7042"/>
    <cellStyle name="Note 5 2 7" xfId="2177"/>
    <cellStyle name="Note 5 2 7 2" xfId="11505"/>
    <cellStyle name="Note 5 2 7 2 2" xfId="24811"/>
    <cellStyle name="Note 5 2 7 3" xfId="15915"/>
    <cellStyle name="Note 5 2 7 3 2" xfId="29221"/>
    <cellStyle name="Note 5 2 7 4" xfId="20401"/>
    <cellStyle name="Note 5 2 7_Table" xfId="7043"/>
    <cellStyle name="Note 5 2 8" xfId="2610"/>
    <cellStyle name="Note 5 2 8 2" xfId="11938"/>
    <cellStyle name="Note 5 2 8 2 2" xfId="25244"/>
    <cellStyle name="Note 5 2 8 3" xfId="16348"/>
    <cellStyle name="Note 5 2 8 3 2" xfId="29654"/>
    <cellStyle name="Note 5 2 8 4" xfId="20834"/>
    <cellStyle name="Note 5 2 8_Table" xfId="7044"/>
    <cellStyle name="Note 5 2 9" xfId="3021"/>
    <cellStyle name="Note 5 2 9 2" xfId="12349"/>
    <cellStyle name="Note 5 2 9 2 2" xfId="25655"/>
    <cellStyle name="Note 5 2 9 3" xfId="16759"/>
    <cellStyle name="Note 5 2 9 3 2" xfId="30065"/>
    <cellStyle name="Note 5 2 9 4" xfId="21245"/>
    <cellStyle name="Note 5 2 9_Table" xfId="7045"/>
    <cellStyle name="Note 5 2_Table" xfId="7026"/>
    <cellStyle name="Note 5 3" xfId="483"/>
    <cellStyle name="Note 5 3 10" xfId="4148"/>
    <cellStyle name="Note 5 3 10 2" xfId="13476"/>
    <cellStyle name="Note 5 3 10 2 2" xfId="26782"/>
    <cellStyle name="Note 5 3 10 3" xfId="17886"/>
    <cellStyle name="Note 5 3 10 3 2" xfId="31192"/>
    <cellStyle name="Note 5 3 10 4" xfId="22372"/>
    <cellStyle name="Note 5 3 10_Table" xfId="7047"/>
    <cellStyle name="Note 5 3 11" xfId="4509"/>
    <cellStyle name="Note 5 3 11 2" xfId="13837"/>
    <cellStyle name="Note 5 3 11 2 2" xfId="27143"/>
    <cellStyle name="Note 5 3 11 3" xfId="18247"/>
    <cellStyle name="Note 5 3 11 3 2" xfId="31553"/>
    <cellStyle name="Note 5 3 11 4" xfId="22733"/>
    <cellStyle name="Note 5 3 11_Table" xfId="7048"/>
    <cellStyle name="Note 5 3 12" xfId="9811"/>
    <cellStyle name="Note 5 3 12 2" xfId="23183"/>
    <cellStyle name="Note 5 3 13" xfId="14287"/>
    <cellStyle name="Note 5 3 13 2" xfId="27593"/>
    <cellStyle name="Note 5 3 14" xfId="18773"/>
    <cellStyle name="Note 5 3 2" xfId="774"/>
    <cellStyle name="Note 5 3 2 10" xfId="4734"/>
    <cellStyle name="Note 5 3 2 10 2" xfId="14062"/>
    <cellStyle name="Note 5 3 2 10 2 2" xfId="27368"/>
    <cellStyle name="Note 5 3 2 10 3" xfId="18472"/>
    <cellStyle name="Note 5 3 2 10 3 2" xfId="31778"/>
    <cellStyle name="Note 5 3 2 10 4" xfId="22958"/>
    <cellStyle name="Note 5 3 2 10_Table" xfId="7050"/>
    <cellStyle name="Note 5 3 2 11" xfId="10102"/>
    <cellStyle name="Note 5 3 2 11 2" xfId="23408"/>
    <cellStyle name="Note 5 3 2 12" xfId="14512"/>
    <cellStyle name="Note 5 3 2 12 2" xfId="27818"/>
    <cellStyle name="Note 5 3 2 13" xfId="18998"/>
    <cellStyle name="Note 5 3 2 2" xfId="1560"/>
    <cellStyle name="Note 5 3 2 2 2" xfId="10888"/>
    <cellStyle name="Note 5 3 2 2 2 2" xfId="24194"/>
    <cellStyle name="Note 5 3 2 2 3" xfId="15298"/>
    <cellStyle name="Note 5 3 2 2 3 2" xfId="28604"/>
    <cellStyle name="Note 5 3 2 2 4" xfId="19784"/>
    <cellStyle name="Note 5 3 2 2_Table" xfId="7051"/>
    <cellStyle name="Note 5 3 2 3" xfId="1920"/>
    <cellStyle name="Note 5 3 2 3 2" xfId="11248"/>
    <cellStyle name="Note 5 3 2 3 2 2" xfId="24554"/>
    <cellStyle name="Note 5 3 2 3 3" xfId="15658"/>
    <cellStyle name="Note 5 3 2 3 3 2" xfId="28964"/>
    <cellStyle name="Note 5 3 2 3 4" xfId="20144"/>
    <cellStyle name="Note 5 3 2 3_Table" xfId="7052"/>
    <cellStyle name="Note 5 3 2 4" xfId="2350"/>
    <cellStyle name="Note 5 3 2 4 2" xfId="11678"/>
    <cellStyle name="Note 5 3 2 4 2 2" xfId="24984"/>
    <cellStyle name="Note 5 3 2 4 3" xfId="16088"/>
    <cellStyle name="Note 5 3 2 4 3 2" xfId="29394"/>
    <cellStyle name="Note 5 3 2 4 4" xfId="20574"/>
    <cellStyle name="Note 5 3 2 4_Table" xfId="7053"/>
    <cellStyle name="Note 5 3 2 5" xfId="2788"/>
    <cellStyle name="Note 5 3 2 5 2" xfId="12116"/>
    <cellStyle name="Note 5 3 2 5 2 2" xfId="25422"/>
    <cellStyle name="Note 5 3 2 5 3" xfId="16526"/>
    <cellStyle name="Note 5 3 2 5 3 2" xfId="29832"/>
    <cellStyle name="Note 5 3 2 5 4" xfId="21012"/>
    <cellStyle name="Note 5 3 2 5_Table" xfId="7054"/>
    <cellStyle name="Note 5 3 2 6" xfId="3195"/>
    <cellStyle name="Note 5 3 2 6 2" xfId="12523"/>
    <cellStyle name="Note 5 3 2 6 2 2" xfId="25829"/>
    <cellStyle name="Note 5 3 2 6 3" xfId="16933"/>
    <cellStyle name="Note 5 3 2 6 3 2" xfId="30239"/>
    <cellStyle name="Note 5 3 2 6 4" xfId="21419"/>
    <cellStyle name="Note 5 3 2 6_Table" xfId="7055"/>
    <cellStyle name="Note 5 3 2 7" xfId="3787"/>
    <cellStyle name="Note 5 3 2 7 2" xfId="13115"/>
    <cellStyle name="Note 5 3 2 7 2 2" xfId="26421"/>
    <cellStyle name="Note 5 3 2 7 3" xfId="17525"/>
    <cellStyle name="Note 5 3 2 7 3 2" xfId="30831"/>
    <cellStyle name="Note 5 3 2 7 4" xfId="22011"/>
    <cellStyle name="Note 5 3 2 7_Table" xfId="7056"/>
    <cellStyle name="Note 5 3 2 8" xfId="4012"/>
    <cellStyle name="Note 5 3 2 8 2" xfId="13340"/>
    <cellStyle name="Note 5 3 2 8 2 2" xfId="26646"/>
    <cellStyle name="Note 5 3 2 8 3" xfId="17750"/>
    <cellStyle name="Note 5 3 2 8 3 2" xfId="31056"/>
    <cellStyle name="Note 5 3 2 8 4" xfId="22236"/>
    <cellStyle name="Note 5 3 2 8_Table" xfId="7057"/>
    <cellStyle name="Note 5 3 2 9" xfId="4373"/>
    <cellStyle name="Note 5 3 2 9 2" xfId="13701"/>
    <cellStyle name="Note 5 3 2 9 2 2" xfId="27007"/>
    <cellStyle name="Note 5 3 2 9 3" xfId="18111"/>
    <cellStyle name="Note 5 3 2 9 3 2" xfId="31417"/>
    <cellStyle name="Note 5 3 2 9 4" xfId="22597"/>
    <cellStyle name="Note 5 3 2 9_Table" xfId="7058"/>
    <cellStyle name="Note 5 3 2_Table" xfId="7049"/>
    <cellStyle name="Note 5 3 3" xfId="1286"/>
    <cellStyle name="Note 5 3 3 2" xfId="10614"/>
    <cellStyle name="Note 5 3 3 2 2" xfId="23920"/>
    <cellStyle name="Note 5 3 3 3" xfId="15024"/>
    <cellStyle name="Note 5 3 3 3 2" xfId="28330"/>
    <cellStyle name="Note 5 3 3 4" xfId="19510"/>
    <cellStyle name="Note 5 3 3_Table" xfId="7059"/>
    <cellStyle name="Note 5 3 4" xfId="931"/>
    <cellStyle name="Note 5 3 4 2" xfId="10259"/>
    <cellStyle name="Note 5 3 4 2 2" xfId="23565"/>
    <cellStyle name="Note 5 3 4 3" xfId="14669"/>
    <cellStyle name="Note 5 3 4 3 2" xfId="27975"/>
    <cellStyle name="Note 5 3 4 4" xfId="19155"/>
    <cellStyle name="Note 5 3 4_Table" xfId="7060"/>
    <cellStyle name="Note 5 3 5" xfId="2074"/>
    <cellStyle name="Note 5 3 5 2" xfId="11402"/>
    <cellStyle name="Note 5 3 5 2 2" xfId="24708"/>
    <cellStyle name="Note 5 3 5 3" xfId="15812"/>
    <cellStyle name="Note 5 3 5 3 2" xfId="29118"/>
    <cellStyle name="Note 5 3 5 4" xfId="20298"/>
    <cellStyle name="Note 5 3 5_Table" xfId="7061"/>
    <cellStyle name="Note 5 3 6" xfId="2506"/>
    <cellStyle name="Note 5 3 6 2" xfId="11834"/>
    <cellStyle name="Note 5 3 6 2 2" xfId="25140"/>
    <cellStyle name="Note 5 3 6 3" xfId="16244"/>
    <cellStyle name="Note 5 3 6 3 2" xfId="29550"/>
    <cellStyle name="Note 5 3 6 4" xfId="20730"/>
    <cellStyle name="Note 5 3 6_Table" xfId="7062"/>
    <cellStyle name="Note 5 3 7" xfId="2934"/>
    <cellStyle name="Note 5 3 7 2" xfId="12262"/>
    <cellStyle name="Note 5 3 7 2 2" xfId="25568"/>
    <cellStyle name="Note 5 3 7 3" xfId="16672"/>
    <cellStyle name="Note 5 3 7 3 2" xfId="29978"/>
    <cellStyle name="Note 5 3 7 4" xfId="21158"/>
    <cellStyle name="Note 5 3 7_Table" xfId="7063"/>
    <cellStyle name="Note 5 3 8" xfId="3347"/>
    <cellStyle name="Note 5 3 8 2" xfId="12675"/>
    <cellStyle name="Note 5 3 8 2 2" xfId="25981"/>
    <cellStyle name="Note 5 3 8 3" xfId="17085"/>
    <cellStyle name="Note 5 3 8 3 2" xfId="30391"/>
    <cellStyle name="Note 5 3 8 4" xfId="21571"/>
    <cellStyle name="Note 5 3 8_Table" xfId="7064"/>
    <cellStyle name="Note 5 3 9" xfId="3503"/>
    <cellStyle name="Note 5 3 9 2" xfId="12831"/>
    <cellStyle name="Note 5 3 9 2 2" xfId="26137"/>
    <cellStyle name="Note 5 3 9 3" xfId="17241"/>
    <cellStyle name="Note 5 3 9 3 2" xfId="30547"/>
    <cellStyle name="Note 5 3 9 4" xfId="21727"/>
    <cellStyle name="Note 5 3 9_Table" xfId="7065"/>
    <cellStyle name="Note 5 3_Table" xfId="7046"/>
    <cellStyle name="Note 5 4" xfId="547"/>
    <cellStyle name="Note 5 4 10" xfId="4193"/>
    <cellStyle name="Note 5 4 10 2" xfId="13521"/>
    <cellStyle name="Note 5 4 10 2 2" xfId="26827"/>
    <cellStyle name="Note 5 4 10 3" xfId="17931"/>
    <cellStyle name="Note 5 4 10 3 2" xfId="31237"/>
    <cellStyle name="Note 5 4 10 4" xfId="22417"/>
    <cellStyle name="Note 5 4 10_Table" xfId="7067"/>
    <cellStyle name="Note 5 4 11" xfId="4554"/>
    <cellStyle name="Note 5 4 11 2" xfId="13882"/>
    <cellStyle name="Note 5 4 11 2 2" xfId="27188"/>
    <cellStyle name="Note 5 4 11 3" xfId="18292"/>
    <cellStyle name="Note 5 4 11 3 2" xfId="31598"/>
    <cellStyle name="Note 5 4 11 4" xfId="22778"/>
    <cellStyle name="Note 5 4 11_Table" xfId="7068"/>
    <cellStyle name="Note 5 4 12" xfId="9875"/>
    <cellStyle name="Note 5 4 12 2" xfId="23228"/>
    <cellStyle name="Note 5 4 13" xfId="14332"/>
    <cellStyle name="Note 5 4 13 2" xfId="27638"/>
    <cellStyle name="Note 5 4 14" xfId="18818"/>
    <cellStyle name="Note 5 4 2" xfId="819"/>
    <cellStyle name="Note 5 4 2 10" xfId="4779"/>
    <cellStyle name="Note 5 4 2 10 2" xfId="14107"/>
    <cellStyle name="Note 5 4 2 10 2 2" xfId="27413"/>
    <cellStyle name="Note 5 4 2 10 3" xfId="18517"/>
    <cellStyle name="Note 5 4 2 10 3 2" xfId="31823"/>
    <cellStyle name="Note 5 4 2 10 4" xfId="23003"/>
    <cellStyle name="Note 5 4 2 10_Table" xfId="7070"/>
    <cellStyle name="Note 5 4 2 11" xfId="10147"/>
    <cellStyle name="Note 5 4 2 11 2" xfId="23453"/>
    <cellStyle name="Note 5 4 2 12" xfId="14557"/>
    <cellStyle name="Note 5 4 2 12 2" xfId="27863"/>
    <cellStyle name="Note 5 4 2 13" xfId="19043"/>
    <cellStyle name="Note 5 4 2 2" xfId="1605"/>
    <cellStyle name="Note 5 4 2 2 2" xfId="10933"/>
    <cellStyle name="Note 5 4 2 2 2 2" xfId="24239"/>
    <cellStyle name="Note 5 4 2 2 3" xfId="15343"/>
    <cellStyle name="Note 5 4 2 2 3 2" xfId="28649"/>
    <cellStyle name="Note 5 4 2 2 4" xfId="19829"/>
    <cellStyle name="Note 5 4 2 2_Table" xfId="7071"/>
    <cellStyle name="Note 5 4 2 3" xfId="1965"/>
    <cellStyle name="Note 5 4 2 3 2" xfId="11293"/>
    <cellStyle name="Note 5 4 2 3 2 2" xfId="24599"/>
    <cellStyle name="Note 5 4 2 3 3" xfId="15703"/>
    <cellStyle name="Note 5 4 2 3 3 2" xfId="29009"/>
    <cellStyle name="Note 5 4 2 3 4" xfId="20189"/>
    <cellStyle name="Note 5 4 2 3_Table" xfId="7072"/>
    <cellStyle name="Note 5 4 2 4" xfId="2395"/>
    <cellStyle name="Note 5 4 2 4 2" xfId="11723"/>
    <cellStyle name="Note 5 4 2 4 2 2" xfId="25029"/>
    <cellStyle name="Note 5 4 2 4 3" xfId="16133"/>
    <cellStyle name="Note 5 4 2 4 3 2" xfId="29439"/>
    <cellStyle name="Note 5 4 2 4 4" xfId="20619"/>
    <cellStyle name="Note 5 4 2 4_Table" xfId="7073"/>
    <cellStyle name="Note 5 4 2 5" xfId="2833"/>
    <cellStyle name="Note 5 4 2 5 2" xfId="12161"/>
    <cellStyle name="Note 5 4 2 5 2 2" xfId="25467"/>
    <cellStyle name="Note 5 4 2 5 3" xfId="16571"/>
    <cellStyle name="Note 5 4 2 5 3 2" xfId="29877"/>
    <cellStyle name="Note 5 4 2 5 4" xfId="21057"/>
    <cellStyle name="Note 5 4 2 5_Table" xfId="7074"/>
    <cellStyle name="Note 5 4 2 6" xfId="3240"/>
    <cellStyle name="Note 5 4 2 6 2" xfId="12568"/>
    <cellStyle name="Note 5 4 2 6 2 2" xfId="25874"/>
    <cellStyle name="Note 5 4 2 6 3" xfId="16978"/>
    <cellStyle name="Note 5 4 2 6 3 2" xfId="30284"/>
    <cellStyle name="Note 5 4 2 6 4" xfId="21464"/>
    <cellStyle name="Note 5 4 2 6_Table" xfId="7075"/>
    <cellStyle name="Note 5 4 2 7" xfId="3832"/>
    <cellStyle name="Note 5 4 2 7 2" xfId="13160"/>
    <cellStyle name="Note 5 4 2 7 2 2" xfId="26466"/>
    <cellStyle name="Note 5 4 2 7 3" xfId="17570"/>
    <cellStyle name="Note 5 4 2 7 3 2" xfId="30876"/>
    <cellStyle name="Note 5 4 2 7 4" xfId="22056"/>
    <cellStyle name="Note 5 4 2 7_Table" xfId="7076"/>
    <cellStyle name="Note 5 4 2 8" xfId="4057"/>
    <cellStyle name="Note 5 4 2 8 2" xfId="13385"/>
    <cellStyle name="Note 5 4 2 8 2 2" xfId="26691"/>
    <cellStyle name="Note 5 4 2 8 3" xfId="17795"/>
    <cellStyle name="Note 5 4 2 8 3 2" xfId="31101"/>
    <cellStyle name="Note 5 4 2 8 4" xfId="22281"/>
    <cellStyle name="Note 5 4 2 8_Table" xfId="7077"/>
    <cellStyle name="Note 5 4 2 9" xfId="4418"/>
    <cellStyle name="Note 5 4 2 9 2" xfId="13746"/>
    <cellStyle name="Note 5 4 2 9 2 2" xfId="27052"/>
    <cellStyle name="Note 5 4 2 9 3" xfId="18156"/>
    <cellStyle name="Note 5 4 2 9 3 2" xfId="31462"/>
    <cellStyle name="Note 5 4 2 9 4" xfId="22642"/>
    <cellStyle name="Note 5 4 2 9_Table" xfId="7078"/>
    <cellStyle name="Note 5 4 2_Table" xfId="7069"/>
    <cellStyle name="Note 5 4 3" xfId="1342"/>
    <cellStyle name="Note 5 4 3 2" xfId="10670"/>
    <cellStyle name="Note 5 4 3 2 2" xfId="23976"/>
    <cellStyle name="Note 5 4 3 3" xfId="15080"/>
    <cellStyle name="Note 5 4 3 3 2" xfId="28386"/>
    <cellStyle name="Note 5 4 3 4" xfId="19566"/>
    <cellStyle name="Note 5 4 3_Table" xfId="7079"/>
    <cellStyle name="Note 5 4 4" xfId="1699"/>
    <cellStyle name="Note 5 4 4 2" xfId="11027"/>
    <cellStyle name="Note 5 4 4 2 2" xfId="24333"/>
    <cellStyle name="Note 5 4 4 3" xfId="15437"/>
    <cellStyle name="Note 5 4 4 3 2" xfId="28743"/>
    <cellStyle name="Note 5 4 4 4" xfId="19923"/>
    <cellStyle name="Note 5 4 4_Table" xfId="7080"/>
    <cellStyle name="Note 5 4 5" xfId="2133"/>
    <cellStyle name="Note 5 4 5 2" xfId="11461"/>
    <cellStyle name="Note 5 4 5 2 2" xfId="24767"/>
    <cellStyle name="Note 5 4 5 3" xfId="15871"/>
    <cellStyle name="Note 5 4 5 3 2" xfId="29177"/>
    <cellStyle name="Note 5 4 5 4" xfId="20357"/>
    <cellStyle name="Note 5 4 5_Table" xfId="7081"/>
    <cellStyle name="Note 5 4 6" xfId="2565"/>
    <cellStyle name="Note 5 4 6 2" xfId="11893"/>
    <cellStyle name="Note 5 4 6 2 2" xfId="25199"/>
    <cellStyle name="Note 5 4 6 3" xfId="16303"/>
    <cellStyle name="Note 5 4 6 3 2" xfId="29609"/>
    <cellStyle name="Note 5 4 6 4" xfId="20789"/>
    <cellStyle name="Note 5 4 6_Table" xfId="7082"/>
    <cellStyle name="Note 5 4 7" xfId="2991"/>
    <cellStyle name="Note 5 4 7 2" xfId="12319"/>
    <cellStyle name="Note 5 4 7 2 2" xfId="25625"/>
    <cellStyle name="Note 5 4 7 3" xfId="16729"/>
    <cellStyle name="Note 5 4 7 3 2" xfId="30035"/>
    <cellStyle name="Note 5 4 7 4" xfId="21215"/>
    <cellStyle name="Note 5 4 7_Table" xfId="7083"/>
    <cellStyle name="Note 5 4 8" xfId="3405"/>
    <cellStyle name="Note 5 4 8 2" xfId="12733"/>
    <cellStyle name="Note 5 4 8 2 2" xfId="26039"/>
    <cellStyle name="Note 5 4 8 3" xfId="17143"/>
    <cellStyle name="Note 5 4 8 3 2" xfId="30449"/>
    <cellStyle name="Note 5 4 8 4" xfId="21629"/>
    <cellStyle name="Note 5 4 8_Table" xfId="7084"/>
    <cellStyle name="Note 5 4 9" xfId="3595"/>
    <cellStyle name="Note 5 4 9 2" xfId="12923"/>
    <cellStyle name="Note 5 4 9 2 2" xfId="26229"/>
    <cellStyle name="Note 5 4 9 3" xfId="17333"/>
    <cellStyle name="Note 5 4 9 3 2" xfId="30639"/>
    <cellStyle name="Note 5 4 9 4" xfId="21819"/>
    <cellStyle name="Note 5 4 9_Table" xfId="7085"/>
    <cellStyle name="Note 5 4_Table" xfId="7066"/>
    <cellStyle name="Note 5 5" xfId="622"/>
    <cellStyle name="Note 5 5 10" xfId="4238"/>
    <cellStyle name="Note 5 5 10 2" xfId="13566"/>
    <cellStyle name="Note 5 5 10 2 2" xfId="26872"/>
    <cellStyle name="Note 5 5 10 3" xfId="17976"/>
    <cellStyle name="Note 5 5 10 3 2" xfId="31282"/>
    <cellStyle name="Note 5 5 10 4" xfId="22462"/>
    <cellStyle name="Note 5 5 10_Table" xfId="7087"/>
    <cellStyle name="Note 5 5 11" xfId="4599"/>
    <cellStyle name="Note 5 5 11 2" xfId="13927"/>
    <cellStyle name="Note 5 5 11 2 2" xfId="27233"/>
    <cellStyle name="Note 5 5 11 3" xfId="18337"/>
    <cellStyle name="Note 5 5 11 3 2" xfId="31643"/>
    <cellStyle name="Note 5 5 11 4" xfId="22823"/>
    <cellStyle name="Note 5 5 11_Table" xfId="7088"/>
    <cellStyle name="Note 5 5 12" xfId="9950"/>
    <cellStyle name="Note 5 5 12 2" xfId="23273"/>
    <cellStyle name="Note 5 5 13" xfId="14377"/>
    <cellStyle name="Note 5 5 13 2" xfId="27683"/>
    <cellStyle name="Note 5 5 14" xfId="18863"/>
    <cellStyle name="Note 5 5 2" xfId="864"/>
    <cellStyle name="Note 5 5 2 10" xfId="4824"/>
    <cellStyle name="Note 5 5 2 10 2" xfId="14152"/>
    <cellStyle name="Note 5 5 2 10 2 2" xfId="27458"/>
    <cellStyle name="Note 5 5 2 10 3" xfId="18562"/>
    <cellStyle name="Note 5 5 2 10 3 2" xfId="31868"/>
    <cellStyle name="Note 5 5 2 10 4" xfId="23048"/>
    <cellStyle name="Note 5 5 2 10_Table" xfId="7090"/>
    <cellStyle name="Note 5 5 2 11" xfId="10192"/>
    <cellStyle name="Note 5 5 2 11 2" xfId="23498"/>
    <cellStyle name="Note 5 5 2 12" xfId="14602"/>
    <cellStyle name="Note 5 5 2 12 2" xfId="27908"/>
    <cellStyle name="Note 5 5 2 13" xfId="19088"/>
    <cellStyle name="Note 5 5 2 2" xfId="1650"/>
    <cellStyle name="Note 5 5 2 2 2" xfId="10978"/>
    <cellStyle name="Note 5 5 2 2 2 2" xfId="24284"/>
    <cellStyle name="Note 5 5 2 2 3" xfId="15388"/>
    <cellStyle name="Note 5 5 2 2 3 2" xfId="28694"/>
    <cellStyle name="Note 5 5 2 2 4" xfId="19874"/>
    <cellStyle name="Note 5 5 2 2_Table" xfId="7091"/>
    <cellStyle name="Note 5 5 2 3" xfId="2010"/>
    <cellStyle name="Note 5 5 2 3 2" xfId="11338"/>
    <cellStyle name="Note 5 5 2 3 2 2" xfId="24644"/>
    <cellStyle name="Note 5 5 2 3 3" xfId="15748"/>
    <cellStyle name="Note 5 5 2 3 3 2" xfId="29054"/>
    <cellStyle name="Note 5 5 2 3 4" xfId="20234"/>
    <cellStyle name="Note 5 5 2 3_Table" xfId="7092"/>
    <cellStyle name="Note 5 5 2 4" xfId="2440"/>
    <cellStyle name="Note 5 5 2 4 2" xfId="11768"/>
    <cellStyle name="Note 5 5 2 4 2 2" xfId="25074"/>
    <cellStyle name="Note 5 5 2 4 3" xfId="16178"/>
    <cellStyle name="Note 5 5 2 4 3 2" xfId="29484"/>
    <cellStyle name="Note 5 5 2 4 4" xfId="20664"/>
    <cellStyle name="Note 5 5 2 4_Table" xfId="7093"/>
    <cellStyle name="Note 5 5 2 5" xfId="2878"/>
    <cellStyle name="Note 5 5 2 5 2" xfId="12206"/>
    <cellStyle name="Note 5 5 2 5 2 2" xfId="25512"/>
    <cellStyle name="Note 5 5 2 5 3" xfId="16616"/>
    <cellStyle name="Note 5 5 2 5 3 2" xfId="29922"/>
    <cellStyle name="Note 5 5 2 5 4" xfId="21102"/>
    <cellStyle name="Note 5 5 2 5_Table" xfId="7094"/>
    <cellStyle name="Note 5 5 2 6" xfId="3285"/>
    <cellStyle name="Note 5 5 2 6 2" xfId="12613"/>
    <cellStyle name="Note 5 5 2 6 2 2" xfId="25919"/>
    <cellStyle name="Note 5 5 2 6 3" xfId="17023"/>
    <cellStyle name="Note 5 5 2 6 3 2" xfId="30329"/>
    <cellStyle name="Note 5 5 2 6 4" xfId="21509"/>
    <cellStyle name="Note 5 5 2 6_Table" xfId="7095"/>
    <cellStyle name="Note 5 5 2 7" xfId="3877"/>
    <cellStyle name="Note 5 5 2 7 2" xfId="13205"/>
    <cellStyle name="Note 5 5 2 7 2 2" xfId="26511"/>
    <cellStyle name="Note 5 5 2 7 3" xfId="17615"/>
    <cellStyle name="Note 5 5 2 7 3 2" xfId="30921"/>
    <cellStyle name="Note 5 5 2 7 4" xfId="22101"/>
    <cellStyle name="Note 5 5 2 7_Table" xfId="7096"/>
    <cellStyle name="Note 5 5 2 8" xfId="4102"/>
    <cellStyle name="Note 5 5 2 8 2" xfId="13430"/>
    <cellStyle name="Note 5 5 2 8 2 2" xfId="26736"/>
    <cellStyle name="Note 5 5 2 8 3" xfId="17840"/>
    <cellStyle name="Note 5 5 2 8 3 2" xfId="31146"/>
    <cellStyle name="Note 5 5 2 8 4" xfId="22326"/>
    <cellStyle name="Note 5 5 2 8_Table" xfId="7097"/>
    <cellStyle name="Note 5 5 2 9" xfId="4463"/>
    <cellStyle name="Note 5 5 2 9 2" xfId="13791"/>
    <cellStyle name="Note 5 5 2 9 2 2" xfId="27097"/>
    <cellStyle name="Note 5 5 2 9 3" xfId="18201"/>
    <cellStyle name="Note 5 5 2 9 3 2" xfId="31507"/>
    <cellStyle name="Note 5 5 2 9 4" xfId="22687"/>
    <cellStyle name="Note 5 5 2 9_Table" xfId="7098"/>
    <cellStyle name="Note 5 5 2_Table" xfId="7089"/>
    <cellStyle name="Note 5 5 3" xfId="1409"/>
    <cellStyle name="Note 5 5 3 2" xfId="10737"/>
    <cellStyle name="Note 5 5 3 2 2" xfId="24043"/>
    <cellStyle name="Note 5 5 3 3" xfId="15147"/>
    <cellStyle name="Note 5 5 3 3 2" xfId="28453"/>
    <cellStyle name="Note 5 5 3 4" xfId="19633"/>
    <cellStyle name="Note 5 5 3_Table" xfId="7099"/>
    <cellStyle name="Note 5 5 4" xfId="1769"/>
    <cellStyle name="Note 5 5 4 2" xfId="11097"/>
    <cellStyle name="Note 5 5 4 2 2" xfId="24403"/>
    <cellStyle name="Note 5 5 4 3" xfId="15507"/>
    <cellStyle name="Note 5 5 4 3 2" xfId="28813"/>
    <cellStyle name="Note 5 5 4 4" xfId="19993"/>
    <cellStyle name="Note 5 5 4_Table" xfId="7100"/>
    <cellStyle name="Note 5 5 5" xfId="2202"/>
    <cellStyle name="Note 5 5 5 2" xfId="11530"/>
    <cellStyle name="Note 5 5 5 2 2" xfId="24836"/>
    <cellStyle name="Note 5 5 5 3" xfId="15940"/>
    <cellStyle name="Note 5 5 5 3 2" xfId="29246"/>
    <cellStyle name="Note 5 5 5 4" xfId="20426"/>
    <cellStyle name="Note 5 5 5_Table" xfId="7101"/>
    <cellStyle name="Note 5 5 6" xfId="2637"/>
    <cellStyle name="Note 5 5 6 2" xfId="11965"/>
    <cellStyle name="Note 5 5 6 2 2" xfId="25271"/>
    <cellStyle name="Note 5 5 6 3" xfId="16375"/>
    <cellStyle name="Note 5 5 6 3 2" xfId="29681"/>
    <cellStyle name="Note 5 5 6 4" xfId="20861"/>
    <cellStyle name="Note 5 5 6_Table" xfId="7102"/>
    <cellStyle name="Note 5 5 7" xfId="3050"/>
    <cellStyle name="Note 5 5 7 2" xfId="12378"/>
    <cellStyle name="Note 5 5 7 2 2" xfId="25684"/>
    <cellStyle name="Note 5 5 7 3" xfId="16788"/>
    <cellStyle name="Note 5 5 7 3 2" xfId="30094"/>
    <cellStyle name="Note 5 5 7 4" xfId="21274"/>
    <cellStyle name="Note 5 5 7_Table" xfId="7103"/>
    <cellStyle name="Note 5 5 8" xfId="3476"/>
    <cellStyle name="Note 5 5 8 2" xfId="12804"/>
    <cellStyle name="Note 5 5 8 2 2" xfId="26110"/>
    <cellStyle name="Note 5 5 8 3" xfId="17214"/>
    <cellStyle name="Note 5 5 8 3 2" xfId="30520"/>
    <cellStyle name="Note 5 5 8 4" xfId="21700"/>
    <cellStyle name="Note 5 5 8_Table" xfId="7104"/>
    <cellStyle name="Note 5 5 9" xfId="3605"/>
    <cellStyle name="Note 5 5 9 2" xfId="12933"/>
    <cellStyle name="Note 5 5 9 2 2" xfId="26239"/>
    <cellStyle name="Note 5 5 9 3" xfId="17343"/>
    <cellStyle name="Note 5 5 9 3 2" xfId="30649"/>
    <cellStyle name="Note 5 5 9 4" xfId="21829"/>
    <cellStyle name="Note 5 5 9_Table" xfId="7105"/>
    <cellStyle name="Note 5 5_Table" xfId="7086"/>
    <cellStyle name="Note 5 6" xfId="684"/>
    <cellStyle name="Note 5 6 10" xfId="4644"/>
    <cellStyle name="Note 5 6 10 2" xfId="13972"/>
    <cellStyle name="Note 5 6 10 2 2" xfId="27278"/>
    <cellStyle name="Note 5 6 10 3" xfId="18382"/>
    <cellStyle name="Note 5 6 10 3 2" xfId="31688"/>
    <cellStyle name="Note 5 6 10 4" xfId="22868"/>
    <cellStyle name="Note 5 6 10_Table" xfId="7107"/>
    <cellStyle name="Note 5 6 11" xfId="10012"/>
    <cellStyle name="Note 5 6 11 2" xfId="23318"/>
    <cellStyle name="Note 5 6 12" xfId="14422"/>
    <cellStyle name="Note 5 6 12 2" xfId="27728"/>
    <cellStyle name="Note 5 6 13" xfId="18908"/>
    <cellStyle name="Note 5 6 2" xfId="1470"/>
    <cellStyle name="Note 5 6 2 2" xfId="10798"/>
    <cellStyle name="Note 5 6 2 2 2" xfId="24104"/>
    <cellStyle name="Note 5 6 2 3" xfId="15208"/>
    <cellStyle name="Note 5 6 2 3 2" xfId="28514"/>
    <cellStyle name="Note 5 6 2 4" xfId="19694"/>
    <cellStyle name="Note 5 6 2_Table" xfId="7108"/>
    <cellStyle name="Note 5 6 3" xfId="1830"/>
    <cellStyle name="Note 5 6 3 2" xfId="11158"/>
    <cellStyle name="Note 5 6 3 2 2" xfId="24464"/>
    <cellStyle name="Note 5 6 3 3" xfId="15568"/>
    <cellStyle name="Note 5 6 3 3 2" xfId="28874"/>
    <cellStyle name="Note 5 6 3 4" xfId="20054"/>
    <cellStyle name="Note 5 6 3_Table" xfId="7109"/>
    <cellStyle name="Note 5 6 4" xfId="2260"/>
    <cellStyle name="Note 5 6 4 2" xfId="11588"/>
    <cellStyle name="Note 5 6 4 2 2" xfId="24894"/>
    <cellStyle name="Note 5 6 4 3" xfId="15998"/>
    <cellStyle name="Note 5 6 4 3 2" xfId="29304"/>
    <cellStyle name="Note 5 6 4 4" xfId="20484"/>
    <cellStyle name="Note 5 6 4_Table" xfId="7110"/>
    <cellStyle name="Note 5 6 5" xfId="2698"/>
    <cellStyle name="Note 5 6 5 2" xfId="12026"/>
    <cellStyle name="Note 5 6 5 2 2" xfId="25332"/>
    <cellStyle name="Note 5 6 5 3" xfId="16436"/>
    <cellStyle name="Note 5 6 5 3 2" xfId="29742"/>
    <cellStyle name="Note 5 6 5 4" xfId="20922"/>
    <cellStyle name="Note 5 6 5_Table" xfId="7111"/>
    <cellStyle name="Note 5 6 6" xfId="3105"/>
    <cellStyle name="Note 5 6 6 2" xfId="12433"/>
    <cellStyle name="Note 5 6 6 2 2" xfId="25739"/>
    <cellStyle name="Note 5 6 6 3" xfId="16843"/>
    <cellStyle name="Note 5 6 6 3 2" xfId="30149"/>
    <cellStyle name="Note 5 6 6 4" xfId="21329"/>
    <cellStyle name="Note 5 6 6_Table" xfId="7112"/>
    <cellStyle name="Note 5 6 7" xfId="3697"/>
    <cellStyle name="Note 5 6 7 2" xfId="13025"/>
    <cellStyle name="Note 5 6 7 2 2" xfId="26331"/>
    <cellStyle name="Note 5 6 7 3" xfId="17435"/>
    <cellStyle name="Note 5 6 7 3 2" xfId="30741"/>
    <cellStyle name="Note 5 6 7 4" xfId="21921"/>
    <cellStyle name="Note 5 6 7_Table" xfId="7113"/>
    <cellStyle name="Note 5 6 8" xfId="3922"/>
    <cellStyle name="Note 5 6 8 2" xfId="13250"/>
    <cellStyle name="Note 5 6 8 2 2" xfId="26556"/>
    <cellStyle name="Note 5 6 8 3" xfId="17660"/>
    <cellStyle name="Note 5 6 8 3 2" xfId="30966"/>
    <cellStyle name="Note 5 6 8 4" xfId="22146"/>
    <cellStyle name="Note 5 6 8_Table" xfId="7114"/>
    <cellStyle name="Note 5 6 9" xfId="4283"/>
    <cellStyle name="Note 5 6 9 2" xfId="13611"/>
    <cellStyle name="Note 5 6 9 2 2" xfId="26917"/>
    <cellStyle name="Note 5 6 9 3" xfId="18021"/>
    <cellStyle name="Note 5 6 9 3 2" xfId="31327"/>
    <cellStyle name="Note 5 6 9 4" xfId="22507"/>
    <cellStyle name="Note 5 6 9_Table" xfId="7115"/>
    <cellStyle name="Note 5 6_Table" xfId="7106"/>
    <cellStyle name="Note 5 7" xfId="1178"/>
    <cellStyle name="Note 5 7 2" xfId="10506"/>
    <cellStyle name="Note 5 7 2 2" xfId="23812"/>
    <cellStyle name="Note 5 7 3" xfId="14916"/>
    <cellStyle name="Note 5 7 3 2" xfId="28222"/>
    <cellStyle name="Note 5 7 4" xfId="19402"/>
    <cellStyle name="Note 5 7_Table" xfId="7116"/>
    <cellStyle name="Note 5 8" xfId="1066"/>
    <cellStyle name="Note 5 8 2" xfId="10394"/>
    <cellStyle name="Note 5 8 2 2" xfId="23700"/>
    <cellStyle name="Note 5 8 3" xfId="14804"/>
    <cellStyle name="Note 5 8 3 2" xfId="28110"/>
    <cellStyle name="Note 5 8 4" xfId="19290"/>
    <cellStyle name="Note 5 8_Table" xfId="7117"/>
    <cellStyle name="Note 5 9" xfId="1381"/>
    <cellStyle name="Note 5 9 2" xfId="10709"/>
    <cellStyle name="Note 5 9 2 2" xfId="24015"/>
    <cellStyle name="Note 5 9 3" xfId="15119"/>
    <cellStyle name="Note 5 9 3 2" xfId="28425"/>
    <cellStyle name="Note 5 9 4" xfId="19605"/>
    <cellStyle name="Note 5 9_Table" xfId="7118"/>
    <cellStyle name="Note 5_Table" xfId="7019"/>
    <cellStyle name="Note 6" xfId="345"/>
    <cellStyle name="Note 6 10" xfId="1739"/>
    <cellStyle name="Note 6 10 2" xfId="11067"/>
    <cellStyle name="Note 6 10 2 2" xfId="24373"/>
    <cellStyle name="Note 6 10 3" xfId="15477"/>
    <cellStyle name="Note 6 10 3 2" xfId="28783"/>
    <cellStyle name="Note 6 10 4" xfId="19963"/>
    <cellStyle name="Note 6 10_Table" xfId="7120"/>
    <cellStyle name="Note 6 11" xfId="2173"/>
    <cellStyle name="Note 6 11 2" xfId="11501"/>
    <cellStyle name="Note 6 11 2 2" xfId="24807"/>
    <cellStyle name="Note 6 11 3" xfId="15911"/>
    <cellStyle name="Note 6 11 3 2" xfId="29217"/>
    <cellStyle name="Note 6 11 4" xfId="20397"/>
    <cellStyle name="Note 6 11_Table" xfId="7121"/>
    <cellStyle name="Note 6 12" xfId="2606"/>
    <cellStyle name="Note 6 12 2" xfId="11934"/>
    <cellStyle name="Note 6 12 2 2" xfId="25240"/>
    <cellStyle name="Note 6 12 3" xfId="16344"/>
    <cellStyle name="Note 6 12 3 2" xfId="29650"/>
    <cellStyle name="Note 6 12 4" xfId="20830"/>
    <cellStyle name="Note 6 12_Table" xfId="7122"/>
    <cellStyle name="Note 6 13" xfId="3651"/>
    <cellStyle name="Note 6 13 2" xfId="12979"/>
    <cellStyle name="Note 6 13 2 2" xfId="26285"/>
    <cellStyle name="Note 6 13 3" xfId="17389"/>
    <cellStyle name="Note 6 13 3 2" xfId="30695"/>
    <cellStyle name="Note 6 13 4" xfId="21875"/>
    <cellStyle name="Note 6 13_Table" xfId="7123"/>
    <cellStyle name="Note 6 14" xfId="2176"/>
    <cellStyle name="Note 6 14 2" xfId="11504"/>
    <cellStyle name="Note 6 14 2 2" xfId="24810"/>
    <cellStyle name="Note 6 14 3" xfId="15914"/>
    <cellStyle name="Note 6 14 3 2" xfId="29220"/>
    <cellStyle name="Note 6 14 4" xfId="20400"/>
    <cellStyle name="Note 6 14_Table" xfId="7124"/>
    <cellStyle name="Note 6 15" xfId="3569"/>
    <cellStyle name="Note 6 15 2" xfId="12897"/>
    <cellStyle name="Note 6 15 2 2" xfId="26203"/>
    <cellStyle name="Note 6 15 3" xfId="17307"/>
    <cellStyle name="Note 6 15 3 2" xfId="30613"/>
    <cellStyle name="Note 6 15 4" xfId="21793"/>
    <cellStyle name="Note 6 15_Table" xfId="7125"/>
    <cellStyle name="Note 6 16" xfId="9673"/>
    <cellStyle name="Note 6 16 2" xfId="23094"/>
    <cellStyle name="Note 6 17" xfId="14198"/>
    <cellStyle name="Note 6 17 2" xfId="27504"/>
    <cellStyle name="Note 6 18" xfId="18684"/>
    <cellStyle name="Note 6 2" xfId="416"/>
    <cellStyle name="Note 6 2 10" xfId="1327"/>
    <cellStyle name="Note 6 2 10 2" xfId="10655"/>
    <cellStyle name="Note 6 2 10 2 2" xfId="23961"/>
    <cellStyle name="Note 6 2 10 3" xfId="15065"/>
    <cellStyle name="Note 6 2 10 3 2" xfId="28371"/>
    <cellStyle name="Note 6 2 10 4" xfId="19551"/>
    <cellStyle name="Note 6 2 10_Table" xfId="7127"/>
    <cellStyle name="Note 6 2 11" xfId="3370"/>
    <cellStyle name="Note 6 2 11 2" xfId="12698"/>
    <cellStyle name="Note 6 2 11 2 2" xfId="26004"/>
    <cellStyle name="Note 6 2 11 3" xfId="17108"/>
    <cellStyle name="Note 6 2 11 3 2" xfId="30414"/>
    <cellStyle name="Note 6 2 11 4" xfId="21594"/>
    <cellStyle name="Note 6 2 11_Table" xfId="7128"/>
    <cellStyle name="Note 6 2 12" xfId="9744"/>
    <cellStyle name="Note 6 2 12 2" xfId="23139"/>
    <cellStyle name="Note 6 2 13" xfId="14243"/>
    <cellStyle name="Note 6 2 13 2" xfId="27549"/>
    <cellStyle name="Note 6 2 14" xfId="18729"/>
    <cellStyle name="Note 6 2 2" xfId="730"/>
    <cellStyle name="Note 6 2 2 10" xfId="4690"/>
    <cellStyle name="Note 6 2 2 10 2" xfId="14018"/>
    <cellStyle name="Note 6 2 2 10 2 2" xfId="27324"/>
    <cellStyle name="Note 6 2 2 10 3" xfId="18428"/>
    <cellStyle name="Note 6 2 2 10 3 2" xfId="31734"/>
    <cellStyle name="Note 6 2 2 10 4" xfId="22914"/>
    <cellStyle name="Note 6 2 2 10_Table" xfId="7130"/>
    <cellStyle name="Note 6 2 2 11" xfId="10058"/>
    <cellStyle name="Note 6 2 2 11 2" xfId="23364"/>
    <cellStyle name="Note 6 2 2 12" xfId="14468"/>
    <cellStyle name="Note 6 2 2 12 2" xfId="27774"/>
    <cellStyle name="Note 6 2 2 13" xfId="18954"/>
    <cellStyle name="Note 6 2 2 2" xfId="1516"/>
    <cellStyle name="Note 6 2 2 2 2" xfId="10844"/>
    <cellStyle name="Note 6 2 2 2 2 2" xfId="24150"/>
    <cellStyle name="Note 6 2 2 2 3" xfId="15254"/>
    <cellStyle name="Note 6 2 2 2 3 2" xfId="28560"/>
    <cellStyle name="Note 6 2 2 2 4" xfId="19740"/>
    <cellStyle name="Note 6 2 2 2_Table" xfId="7131"/>
    <cellStyle name="Note 6 2 2 3" xfId="1876"/>
    <cellStyle name="Note 6 2 2 3 2" xfId="11204"/>
    <cellStyle name="Note 6 2 2 3 2 2" xfId="24510"/>
    <cellStyle name="Note 6 2 2 3 3" xfId="15614"/>
    <cellStyle name="Note 6 2 2 3 3 2" xfId="28920"/>
    <cellStyle name="Note 6 2 2 3 4" xfId="20100"/>
    <cellStyle name="Note 6 2 2 3_Table" xfId="7132"/>
    <cellStyle name="Note 6 2 2 4" xfId="2306"/>
    <cellStyle name="Note 6 2 2 4 2" xfId="11634"/>
    <cellStyle name="Note 6 2 2 4 2 2" xfId="24940"/>
    <cellStyle name="Note 6 2 2 4 3" xfId="16044"/>
    <cellStyle name="Note 6 2 2 4 3 2" xfId="29350"/>
    <cellStyle name="Note 6 2 2 4 4" xfId="20530"/>
    <cellStyle name="Note 6 2 2 4_Table" xfId="7133"/>
    <cellStyle name="Note 6 2 2 5" xfId="2744"/>
    <cellStyle name="Note 6 2 2 5 2" xfId="12072"/>
    <cellStyle name="Note 6 2 2 5 2 2" xfId="25378"/>
    <cellStyle name="Note 6 2 2 5 3" xfId="16482"/>
    <cellStyle name="Note 6 2 2 5 3 2" xfId="29788"/>
    <cellStyle name="Note 6 2 2 5 4" xfId="20968"/>
    <cellStyle name="Note 6 2 2 5_Table" xfId="7134"/>
    <cellStyle name="Note 6 2 2 6" xfId="3151"/>
    <cellStyle name="Note 6 2 2 6 2" xfId="12479"/>
    <cellStyle name="Note 6 2 2 6 2 2" xfId="25785"/>
    <cellStyle name="Note 6 2 2 6 3" xfId="16889"/>
    <cellStyle name="Note 6 2 2 6 3 2" xfId="30195"/>
    <cellStyle name="Note 6 2 2 6 4" xfId="21375"/>
    <cellStyle name="Note 6 2 2 6_Table" xfId="7135"/>
    <cellStyle name="Note 6 2 2 7" xfId="3743"/>
    <cellStyle name="Note 6 2 2 7 2" xfId="13071"/>
    <cellStyle name="Note 6 2 2 7 2 2" xfId="26377"/>
    <cellStyle name="Note 6 2 2 7 3" xfId="17481"/>
    <cellStyle name="Note 6 2 2 7 3 2" xfId="30787"/>
    <cellStyle name="Note 6 2 2 7 4" xfId="21967"/>
    <cellStyle name="Note 6 2 2 7_Table" xfId="7136"/>
    <cellStyle name="Note 6 2 2 8" xfId="3968"/>
    <cellStyle name="Note 6 2 2 8 2" xfId="13296"/>
    <cellStyle name="Note 6 2 2 8 2 2" xfId="26602"/>
    <cellStyle name="Note 6 2 2 8 3" xfId="17706"/>
    <cellStyle name="Note 6 2 2 8 3 2" xfId="31012"/>
    <cellStyle name="Note 6 2 2 8 4" xfId="22192"/>
    <cellStyle name="Note 6 2 2 8_Table" xfId="7137"/>
    <cellStyle name="Note 6 2 2 9" xfId="4329"/>
    <cellStyle name="Note 6 2 2 9 2" xfId="13657"/>
    <cellStyle name="Note 6 2 2 9 2 2" xfId="26963"/>
    <cellStyle name="Note 6 2 2 9 3" xfId="18067"/>
    <cellStyle name="Note 6 2 2 9 3 2" xfId="31373"/>
    <cellStyle name="Note 6 2 2 9 4" xfId="22553"/>
    <cellStyle name="Note 6 2 2 9_Table" xfId="7138"/>
    <cellStyle name="Note 6 2 2_Table" xfId="7129"/>
    <cellStyle name="Note 6 2 3" xfId="1230"/>
    <cellStyle name="Note 6 2 3 2" xfId="10558"/>
    <cellStyle name="Note 6 2 3 2 2" xfId="23864"/>
    <cellStyle name="Note 6 2 3 3" xfId="14968"/>
    <cellStyle name="Note 6 2 3 3 2" xfId="28274"/>
    <cellStyle name="Note 6 2 3 4" xfId="19454"/>
    <cellStyle name="Note 6 2 3_Table" xfId="7139"/>
    <cellStyle name="Note 6 2 4" xfId="996"/>
    <cellStyle name="Note 6 2 4 2" xfId="10324"/>
    <cellStyle name="Note 6 2 4 2 2" xfId="23630"/>
    <cellStyle name="Note 6 2 4 3" xfId="14734"/>
    <cellStyle name="Note 6 2 4 3 2" xfId="28040"/>
    <cellStyle name="Note 6 2 4 4" xfId="19220"/>
    <cellStyle name="Note 6 2 4_Table" xfId="7140"/>
    <cellStyle name="Note 6 2 5" xfId="1312"/>
    <cellStyle name="Note 6 2 5 2" xfId="10640"/>
    <cellStyle name="Note 6 2 5 2 2" xfId="23946"/>
    <cellStyle name="Note 6 2 5 3" xfId="15050"/>
    <cellStyle name="Note 6 2 5 3 2" xfId="28356"/>
    <cellStyle name="Note 6 2 5 4" xfId="19536"/>
    <cellStyle name="Note 6 2 5_Table" xfId="7141"/>
    <cellStyle name="Note 6 2 6" xfId="908"/>
    <cellStyle name="Note 6 2 6 2" xfId="10236"/>
    <cellStyle name="Note 6 2 6 2 2" xfId="23542"/>
    <cellStyle name="Note 6 2 6 3" xfId="14646"/>
    <cellStyle name="Note 6 2 6 3 2" xfId="27952"/>
    <cellStyle name="Note 6 2 6 4" xfId="19132"/>
    <cellStyle name="Note 6 2 6_Table" xfId="7142"/>
    <cellStyle name="Note 6 2 7" xfId="2097"/>
    <cellStyle name="Note 6 2 7 2" xfId="11425"/>
    <cellStyle name="Note 6 2 7 2 2" xfId="24731"/>
    <cellStyle name="Note 6 2 7 3" xfId="15835"/>
    <cellStyle name="Note 6 2 7 3 2" xfId="29141"/>
    <cellStyle name="Note 6 2 7 4" xfId="20321"/>
    <cellStyle name="Note 6 2 7_Table" xfId="7143"/>
    <cellStyle name="Note 6 2 8" xfId="2529"/>
    <cellStyle name="Note 6 2 8 2" xfId="11857"/>
    <cellStyle name="Note 6 2 8 2 2" xfId="25163"/>
    <cellStyle name="Note 6 2 8 3" xfId="16267"/>
    <cellStyle name="Note 6 2 8 3 2" xfId="29573"/>
    <cellStyle name="Note 6 2 8 4" xfId="20753"/>
    <cellStyle name="Note 6 2 8_Table" xfId="7144"/>
    <cellStyle name="Note 6 2 9" xfId="2178"/>
    <cellStyle name="Note 6 2 9 2" xfId="11506"/>
    <cellStyle name="Note 6 2 9 2 2" xfId="24812"/>
    <cellStyle name="Note 6 2 9 3" xfId="15916"/>
    <cellStyle name="Note 6 2 9 3 2" xfId="29222"/>
    <cellStyle name="Note 6 2 9 4" xfId="20402"/>
    <cellStyle name="Note 6 2 9_Table" xfId="7145"/>
    <cellStyle name="Note 6 2_Table" xfId="7126"/>
    <cellStyle name="Note 6 3" xfId="484"/>
    <cellStyle name="Note 6 3 10" xfId="4149"/>
    <cellStyle name="Note 6 3 10 2" xfId="13477"/>
    <cellStyle name="Note 6 3 10 2 2" xfId="26783"/>
    <cellStyle name="Note 6 3 10 3" xfId="17887"/>
    <cellStyle name="Note 6 3 10 3 2" xfId="31193"/>
    <cellStyle name="Note 6 3 10 4" xfId="22373"/>
    <cellStyle name="Note 6 3 10_Table" xfId="7147"/>
    <cellStyle name="Note 6 3 11" xfId="4510"/>
    <cellStyle name="Note 6 3 11 2" xfId="13838"/>
    <cellStyle name="Note 6 3 11 2 2" xfId="27144"/>
    <cellStyle name="Note 6 3 11 3" xfId="18248"/>
    <cellStyle name="Note 6 3 11 3 2" xfId="31554"/>
    <cellStyle name="Note 6 3 11 4" xfId="22734"/>
    <cellStyle name="Note 6 3 11_Table" xfId="7148"/>
    <cellStyle name="Note 6 3 12" xfId="9812"/>
    <cellStyle name="Note 6 3 12 2" xfId="23184"/>
    <cellStyle name="Note 6 3 13" xfId="14288"/>
    <cellStyle name="Note 6 3 13 2" xfId="27594"/>
    <cellStyle name="Note 6 3 14" xfId="18774"/>
    <cellStyle name="Note 6 3 2" xfId="775"/>
    <cellStyle name="Note 6 3 2 10" xfId="4735"/>
    <cellStyle name="Note 6 3 2 10 2" xfId="14063"/>
    <cellStyle name="Note 6 3 2 10 2 2" xfId="27369"/>
    <cellStyle name="Note 6 3 2 10 3" xfId="18473"/>
    <cellStyle name="Note 6 3 2 10 3 2" xfId="31779"/>
    <cellStyle name="Note 6 3 2 10 4" xfId="22959"/>
    <cellStyle name="Note 6 3 2 10_Table" xfId="7150"/>
    <cellStyle name="Note 6 3 2 11" xfId="10103"/>
    <cellStyle name="Note 6 3 2 11 2" xfId="23409"/>
    <cellStyle name="Note 6 3 2 12" xfId="14513"/>
    <cellStyle name="Note 6 3 2 12 2" xfId="27819"/>
    <cellStyle name="Note 6 3 2 13" xfId="18999"/>
    <cellStyle name="Note 6 3 2 2" xfId="1561"/>
    <cellStyle name="Note 6 3 2 2 2" xfId="10889"/>
    <cellStyle name="Note 6 3 2 2 2 2" xfId="24195"/>
    <cellStyle name="Note 6 3 2 2 3" xfId="15299"/>
    <cellStyle name="Note 6 3 2 2 3 2" xfId="28605"/>
    <cellStyle name="Note 6 3 2 2 4" xfId="19785"/>
    <cellStyle name="Note 6 3 2 2_Table" xfId="7151"/>
    <cellStyle name="Note 6 3 2 3" xfId="1921"/>
    <cellStyle name="Note 6 3 2 3 2" xfId="11249"/>
    <cellStyle name="Note 6 3 2 3 2 2" xfId="24555"/>
    <cellStyle name="Note 6 3 2 3 3" xfId="15659"/>
    <cellStyle name="Note 6 3 2 3 3 2" xfId="28965"/>
    <cellStyle name="Note 6 3 2 3 4" xfId="20145"/>
    <cellStyle name="Note 6 3 2 3_Table" xfId="7152"/>
    <cellStyle name="Note 6 3 2 4" xfId="2351"/>
    <cellStyle name="Note 6 3 2 4 2" xfId="11679"/>
    <cellStyle name="Note 6 3 2 4 2 2" xfId="24985"/>
    <cellStyle name="Note 6 3 2 4 3" xfId="16089"/>
    <cellStyle name="Note 6 3 2 4 3 2" xfId="29395"/>
    <cellStyle name="Note 6 3 2 4 4" xfId="20575"/>
    <cellStyle name="Note 6 3 2 4_Table" xfId="7153"/>
    <cellStyle name="Note 6 3 2 5" xfId="2789"/>
    <cellStyle name="Note 6 3 2 5 2" xfId="12117"/>
    <cellStyle name="Note 6 3 2 5 2 2" xfId="25423"/>
    <cellStyle name="Note 6 3 2 5 3" xfId="16527"/>
    <cellStyle name="Note 6 3 2 5 3 2" xfId="29833"/>
    <cellStyle name="Note 6 3 2 5 4" xfId="21013"/>
    <cellStyle name="Note 6 3 2 5_Table" xfId="7154"/>
    <cellStyle name="Note 6 3 2 6" xfId="3196"/>
    <cellStyle name="Note 6 3 2 6 2" xfId="12524"/>
    <cellStyle name="Note 6 3 2 6 2 2" xfId="25830"/>
    <cellStyle name="Note 6 3 2 6 3" xfId="16934"/>
    <cellStyle name="Note 6 3 2 6 3 2" xfId="30240"/>
    <cellStyle name="Note 6 3 2 6 4" xfId="21420"/>
    <cellStyle name="Note 6 3 2 6_Table" xfId="7155"/>
    <cellStyle name="Note 6 3 2 7" xfId="3788"/>
    <cellStyle name="Note 6 3 2 7 2" xfId="13116"/>
    <cellStyle name="Note 6 3 2 7 2 2" xfId="26422"/>
    <cellStyle name="Note 6 3 2 7 3" xfId="17526"/>
    <cellStyle name="Note 6 3 2 7 3 2" xfId="30832"/>
    <cellStyle name="Note 6 3 2 7 4" xfId="22012"/>
    <cellStyle name="Note 6 3 2 7_Table" xfId="7156"/>
    <cellStyle name="Note 6 3 2 8" xfId="4013"/>
    <cellStyle name="Note 6 3 2 8 2" xfId="13341"/>
    <cellStyle name="Note 6 3 2 8 2 2" xfId="26647"/>
    <cellStyle name="Note 6 3 2 8 3" xfId="17751"/>
    <cellStyle name="Note 6 3 2 8 3 2" xfId="31057"/>
    <cellStyle name="Note 6 3 2 8 4" xfId="22237"/>
    <cellStyle name="Note 6 3 2 8_Table" xfId="7157"/>
    <cellStyle name="Note 6 3 2 9" xfId="4374"/>
    <cellStyle name="Note 6 3 2 9 2" xfId="13702"/>
    <cellStyle name="Note 6 3 2 9 2 2" xfId="27008"/>
    <cellStyle name="Note 6 3 2 9 3" xfId="18112"/>
    <cellStyle name="Note 6 3 2 9 3 2" xfId="31418"/>
    <cellStyle name="Note 6 3 2 9 4" xfId="22598"/>
    <cellStyle name="Note 6 3 2 9_Table" xfId="7158"/>
    <cellStyle name="Note 6 3 2_Table" xfId="7149"/>
    <cellStyle name="Note 6 3 3" xfId="1287"/>
    <cellStyle name="Note 6 3 3 2" xfId="10615"/>
    <cellStyle name="Note 6 3 3 2 2" xfId="23921"/>
    <cellStyle name="Note 6 3 3 3" xfId="15025"/>
    <cellStyle name="Note 6 3 3 3 2" xfId="28331"/>
    <cellStyle name="Note 6 3 3 4" xfId="19511"/>
    <cellStyle name="Note 6 3 3_Table" xfId="7159"/>
    <cellStyle name="Note 6 3 4" xfId="930"/>
    <cellStyle name="Note 6 3 4 2" xfId="10258"/>
    <cellStyle name="Note 6 3 4 2 2" xfId="23564"/>
    <cellStyle name="Note 6 3 4 3" xfId="14668"/>
    <cellStyle name="Note 6 3 4 3 2" xfId="27974"/>
    <cellStyle name="Note 6 3 4 4" xfId="19154"/>
    <cellStyle name="Note 6 3 4_Table" xfId="7160"/>
    <cellStyle name="Note 6 3 5" xfId="2075"/>
    <cellStyle name="Note 6 3 5 2" xfId="11403"/>
    <cellStyle name="Note 6 3 5 2 2" xfId="24709"/>
    <cellStyle name="Note 6 3 5 3" xfId="15813"/>
    <cellStyle name="Note 6 3 5 3 2" xfId="29119"/>
    <cellStyle name="Note 6 3 5 4" xfId="20299"/>
    <cellStyle name="Note 6 3 5_Table" xfId="7161"/>
    <cellStyle name="Note 6 3 6" xfId="2507"/>
    <cellStyle name="Note 6 3 6 2" xfId="11835"/>
    <cellStyle name="Note 6 3 6 2 2" xfId="25141"/>
    <cellStyle name="Note 6 3 6 3" xfId="16245"/>
    <cellStyle name="Note 6 3 6 3 2" xfId="29551"/>
    <cellStyle name="Note 6 3 6 4" xfId="20731"/>
    <cellStyle name="Note 6 3 6_Table" xfId="7162"/>
    <cellStyle name="Note 6 3 7" xfId="2935"/>
    <cellStyle name="Note 6 3 7 2" xfId="12263"/>
    <cellStyle name="Note 6 3 7 2 2" xfId="25569"/>
    <cellStyle name="Note 6 3 7 3" xfId="16673"/>
    <cellStyle name="Note 6 3 7 3 2" xfId="29979"/>
    <cellStyle name="Note 6 3 7 4" xfId="21159"/>
    <cellStyle name="Note 6 3 7_Table" xfId="7163"/>
    <cellStyle name="Note 6 3 8" xfId="3348"/>
    <cellStyle name="Note 6 3 8 2" xfId="12676"/>
    <cellStyle name="Note 6 3 8 2 2" xfId="25982"/>
    <cellStyle name="Note 6 3 8 3" xfId="17086"/>
    <cellStyle name="Note 6 3 8 3 2" xfId="30392"/>
    <cellStyle name="Note 6 3 8 4" xfId="21572"/>
    <cellStyle name="Note 6 3 8_Table" xfId="7164"/>
    <cellStyle name="Note 6 3 9" xfId="2591"/>
    <cellStyle name="Note 6 3 9 2" xfId="11919"/>
    <cellStyle name="Note 6 3 9 2 2" xfId="25225"/>
    <cellStyle name="Note 6 3 9 3" xfId="16329"/>
    <cellStyle name="Note 6 3 9 3 2" xfId="29635"/>
    <cellStyle name="Note 6 3 9 4" xfId="20815"/>
    <cellStyle name="Note 6 3 9_Table" xfId="7165"/>
    <cellStyle name="Note 6 3_Table" xfId="7146"/>
    <cellStyle name="Note 6 4" xfId="548"/>
    <cellStyle name="Note 6 4 10" xfId="4194"/>
    <cellStyle name="Note 6 4 10 2" xfId="13522"/>
    <cellStyle name="Note 6 4 10 2 2" xfId="26828"/>
    <cellStyle name="Note 6 4 10 3" xfId="17932"/>
    <cellStyle name="Note 6 4 10 3 2" xfId="31238"/>
    <cellStyle name="Note 6 4 10 4" xfId="22418"/>
    <cellStyle name="Note 6 4 10_Table" xfId="7167"/>
    <cellStyle name="Note 6 4 11" xfId="4555"/>
    <cellStyle name="Note 6 4 11 2" xfId="13883"/>
    <cellStyle name="Note 6 4 11 2 2" xfId="27189"/>
    <cellStyle name="Note 6 4 11 3" xfId="18293"/>
    <cellStyle name="Note 6 4 11 3 2" xfId="31599"/>
    <cellStyle name="Note 6 4 11 4" xfId="22779"/>
    <cellStyle name="Note 6 4 11_Table" xfId="7168"/>
    <cellStyle name="Note 6 4 12" xfId="9876"/>
    <cellStyle name="Note 6 4 12 2" xfId="23229"/>
    <cellStyle name="Note 6 4 13" xfId="14333"/>
    <cellStyle name="Note 6 4 13 2" xfId="27639"/>
    <cellStyle name="Note 6 4 14" xfId="18819"/>
    <cellStyle name="Note 6 4 2" xfId="820"/>
    <cellStyle name="Note 6 4 2 10" xfId="4780"/>
    <cellStyle name="Note 6 4 2 10 2" xfId="14108"/>
    <cellStyle name="Note 6 4 2 10 2 2" xfId="27414"/>
    <cellStyle name="Note 6 4 2 10 3" xfId="18518"/>
    <cellStyle name="Note 6 4 2 10 3 2" xfId="31824"/>
    <cellStyle name="Note 6 4 2 10 4" xfId="23004"/>
    <cellStyle name="Note 6 4 2 10_Table" xfId="7170"/>
    <cellStyle name="Note 6 4 2 11" xfId="10148"/>
    <cellStyle name="Note 6 4 2 11 2" xfId="23454"/>
    <cellStyle name="Note 6 4 2 12" xfId="14558"/>
    <cellStyle name="Note 6 4 2 12 2" xfId="27864"/>
    <cellStyle name="Note 6 4 2 13" xfId="19044"/>
    <cellStyle name="Note 6 4 2 2" xfId="1606"/>
    <cellStyle name="Note 6 4 2 2 2" xfId="10934"/>
    <cellStyle name="Note 6 4 2 2 2 2" xfId="24240"/>
    <cellStyle name="Note 6 4 2 2 3" xfId="15344"/>
    <cellStyle name="Note 6 4 2 2 3 2" xfId="28650"/>
    <cellStyle name="Note 6 4 2 2 4" xfId="19830"/>
    <cellStyle name="Note 6 4 2 2_Table" xfId="7171"/>
    <cellStyle name="Note 6 4 2 3" xfId="1966"/>
    <cellStyle name="Note 6 4 2 3 2" xfId="11294"/>
    <cellStyle name="Note 6 4 2 3 2 2" xfId="24600"/>
    <cellStyle name="Note 6 4 2 3 3" xfId="15704"/>
    <cellStyle name="Note 6 4 2 3 3 2" xfId="29010"/>
    <cellStyle name="Note 6 4 2 3 4" xfId="20190"/>
    <cellStyle name="Note 6 4 2 3_Table" xfId="7172"/>
    <cellStyle name="Note 6 4 2 4" xfId="2396"/>
    <cellStyle name="Note 6 4 2 4 2" xfId="11724"/>
    <cellStyle name="Note 6 4 2 4 2 2" xfId="25030"/>
    <cellStyle name="Note 6 4 2 4 3" xfId="16134"/>
    <cellStyle name="Note 6 4 2 4 3 2" xfId="29440"/>
    <cellStyle name="Note 6 4 2 4 4" xfId="20620"/>
    <cellStyle name="Note 6 4 2 4_Table" xfId="7173"/>
    <cellStyle name="Note 6 4 2 5" xfId="2834"/>
    <cellStyle name="Note 6 4 2 5 2" xfId="12162"/>
    <cellStyle name="Note 6 4 2 5 2 2" xfId="25468"/>
    <cellStyle name="Note 6 4 2 5 3" xfId="16572"/>
    <cellStyle name="Note 6 4 2 5 3 2" xfId="29878"/>
    <cellStyle name="Note 6 4 2 5 4" xfId="21058"/>
    <cellStyle name="Note 6 4 2 5_Table" xfId="7174"/>
    <cellStyle name="Note 6 4 2 6" xfId="3241"/>
    <cellStyle name="Note 6 4 2 6 2" xfId="12569"/>
    <cellStyle name="Note 6 4 2 6 2 2" xfId="25875"/>
    <cellStyle name="Note 6 4 2 6 3" xfId="16979"/>
    <cellStyle name="Note 6 4 2 6 3 2" xfId="30285"/>
    <cellStyle name="Note 6 4 2 6 4" xfId="21465"/>
    <cellStyle name="Note 6 4 2 6_Table" xfId="7175"/>
    <cellStyle name="Note 6 4 2 7" xfId="3833"/>
    <cellStyle name="Note 6 4 2 7 2" xfId="13161"/>
    <cellStyle name="Note 6 4 2 7 2 2" xfId="26467"/>
    <cellStyle name="Note 6 4 2 7 3" xfId="17571"/>
    <cellStyle name="Note 6 4 2 7 3 2" xfId="30877"/>
    <cellStyle name="Note 6 4 2 7 4" xfId="22057"/>
    <cellStyle name="Note 6 4 2 7_Table" xfId="7176"/>
    <cellStyle name="Note 6 4 2 8" xfId="4058"/>
    <cellStyle name="Note 6 4 2 8 2" xfId="13386"/>
    <cellStyle name="Note 6 4 2 8 2 2" xfId="26692"/>
    <cellStyle name="Note 6 4 2 8 3" xfId="17796"/>
    <cellStyle name="Note 6 4 2 8 3 2" xfId="31102"/>
    <cellStyle name="Note 6 4 2 8 4" xfId="22282"/>
    <cellStyle name="Note 6 4 2 8_Table" xfId="7177"/>
    <cellStyle name="Note 6 4 2 9" xfId="4419"/>
    <cellStyle name="Note 6 4 2 9 2" xfId="13747"/>
    <cellStyle name="Note 6 4 2 9 2 2" xfId="27053"/>
    <cellStyle name="Note 6 4 2 9 3" xfId="18157"/>
    <cellStyle name="Note 6 4 2 9 3 2" xfId="31463"/>
    <cellStyle name="Note 6 4 2 9 4" xfId="22643"/>
    <cellStyle name="Note 6 4 2 9_Table" xfId="7178"/>
    <cellStyle name="Note 6 4 2_Table" xfId="7169"/>
    <cellStyle name="Note 6 4 3" xfId="1343"/>
    <cellStyle name="Note 6 4 3 2" xfId="10671"/>
    <cellStyle name="Note 6 4 3 2 2" xfId="23977"/>
    <cellStyle name="Note 6 4 3 3" xfId="15081"/>
    <cellStyle name="Note 6 4 3 3 2" xfId="28387"/>
    <cellStyle name="Note 6 4 3 4" xfId="19567"/>
    <cellStyle name="Note 6 4 3_Table" xfId="7179"/>
    <cellStyle name="Note 6 4 4" xfId="1700"/>
    <cellStyle name="Note 6 4 4 2" xfId="11028"/>
    <cellStyle name="Note 6 4 4 2 2" xfId="24334"/>
    <cellStyle name="Note 6 4 4 3" xfId="15438"/>
    <cellStyle name="Note 6 4 4 3 2" xfId="28744"/>
    <cellStyle name="Note 6 4 4 4" xfId="19924"/>
    <cellStyle name="Note 6 4 4_Table" xfId="7180"/>
    <cellStyle name="Note 6 4 5" xfId="2134"/>
    <cellStyle name="Note 6 4 5 2" xfId="11462"/>
    <cellStyle name="Note 6 4 5 2 2" xfId="24768"/>
    <cellStyle name="Note 6 4 5 3" xfId="15872"/>
    <cellStyle name="Note 6 4 5 3 2" xfId="29178"/>
    <cellStyle name="Note 6 4 5 4" xfId="20358"/>
    <cellStyle name="Note 6 4 5_Table" xfId="7181"/>
    <cellStyle name="Note 6 4 6" xfId="2566"/>
    <cellStyle name="Note 6 4 6 2" xfId="11894"/>
    <cellStyle name="Note 6 4 6 2 2" xfId="25200"/>
    <cellStyle name="Note 6 4 6 3" xfId="16304"/>
    <cellStyle name="Note 6 4 6 3 2" xfId="29610"/>
    <cellStyle name="Note 6 4 6 4" xfId="20790"/>
    <cellStyle name="Note 6 4 6_Table" xfId="7182"/>
    <cellStyle name="Note 6 4 7" xfId="2992"/>
    <cellStyle name="Note 6 4 7 2" xfId="12320"/>
    <cellStyle name="Note 6 4 7 2 2" xfId="25626"/>
    <cellStyle name="Note 6 4 7 3" xfId="16730"/>
    <cellStyle name="Note 6 4 7 3 2" xfId="30036"/>
    <cellStyle name="Note 6 4 7 4" xfId="21216"/>
    <cellStyle name="Note 6 4 7_Table" xfId="7183"/>
    <cellStyle name="Note 6 4 8" xfId="3406"/>
    <cellStyle name="Note 6 4 8 2" xfId="12734"/>
    <cellStyle name="Note 6 4 8 2 2" xfId="26040"/>
    <cellStyle name="Note 6 4 8 3" xfId="17144"/>
    <cellStyle name="Note 6 4 8 3 2" xfId="30450"/>
    <cellStyle name="Note 6 4 8 4" xfId="21630"/>
    <cellStyle name="Note 6 4 8_Table" xfId="7184"/>
    <cellStyle name="Note 6 4 9" xfId="3626"/>
    <cellStyle name="Note 6 4 9 2" xfId="12954"/>
    <cellStyle name="Note 6 4 9 2 2" xfId="26260"/>
    <cellStyle name="Note 6 4 9 3" xfId="17364"/>
    <cellStyle name="Note 6 4 9 3 2" xfId="30670"/>
    <cellStyle name="Note 6 4 9 4" xfId="21850"/>
    <cellStyle name="Note 6 4 9_Table" xfId="7185"/>
    <cellStyle name="Note 6 4_Table" xfId="7166"/>
    <cellStyle name="Note 6 5" xfId="623"/>
    <cellStyle name="Note 6 5 10" xfId="4239"/>
    <cellStyle name="Note 6 5 10 2" xfId="13567"/>
    <cellStyle name="Note 6 5 10 2 2" xfId="26873"/>
    <cellStyle name="Note 6 5 10 3" xfId="17977"/>
    <cellStyle name="Note 6 5 10 3 2" xfId="31283"/>
    <cellStyle name="Note 6 5 10 4" xfId="22463"/>
    <cellStyle name="Note 6 5 10_Table" xfId="7187"/>
    <cellStyle name="Note 6 5 11" xfId="4600"/>
    <cellStyle name="Note 6 5 11 2" xfId="13928"/>
    <cellStyle name="Note 6 5 11 2 2" xfId="27234"/>
    <cellStyle name="Note 6 5 11 3" xfId="18338"/>
    <cellStyle name="Note 6 5 11 3 2" xfId="31644"/>
    <cellStyle name="Note 6 5 11 4" xfId="22824"/>
    <cellStyle name="Note 6 5 11_Table" xfId="7188"/>
    <cellStyle name="Note 6 5 12" xfId="9951"/>
    <cellStyle name="Note 6 5 12 2" xfId="23274"/>
    <cellStyle name="Note 6 5 13" xfId="14378"/>
    <cellStyle name="Note 6 5 13 2" xfId="27684"/>
    <cellStyle name="Note 6 5 14" xfId="18864"/>
    <cellStyle name="Note 6 5 2" xfId="865"/>
    <cellStyle name="Note 6 5 2 10" xfId="4825"/>
    <cellStyle name="Note 6 5 2 10 2" xfId="14153"/>
    <cellStyle name="Note 6 5 2 10 2 2" xfId="27459"/>
    <cellStyle name="Note 6 5 2 10 3" xfId="18563"/>
    <cellStyle name="Note 6 5 2 10 3 2" xfId="31869"/>
    <cellStyle name="Note 6 5 2 10 4" xfId="23049"/>
    <cellStyle name="Note 6 5 2 10_Table" xfId="7190"/>
    <cellStyle name="Note 6 5 2 11" xfId="10193"/>
    <cellStyle name="Note 6 5 2 11 2" xfId="23499"/>
    <cellStyle name="Note 6 5 2 12" xfId="14603"/>
    <cellStyle name="Note 6 5 2 12 2" xfId="27909"/>
    <cellStyle name="Note 6 5 2 13" xfId="19089"/>
    <cellStyle name="Note 6 5 2 2" xfId="1651"/>
    <cellStyle name="Note 6 5 2 2 2" xfId="10979"/>
    <cellStyle name="Note 6 5 2 2 2 2" xfId="24285"/>
    <cellStyle name="Note 6 5 2 2 3" xfId="15389"/>
    <cellStyle name="Note 6 5 2 2 3 2" xfId="28695"/>
    <cellStyle name="Note 6 5 2 2 4" xfId="19875"/>
    <cellStyle name="Note 6 5 2 2_Table" xfId="7191"/>
    <cellStyle name="Note 6 5 2 3" xfId="2011"/>
    <cellStyle name="Note 6 5 2 3 2" xfId="11339"/>
    <cellStyle name="Note 6 5 2 3 2 2" xfId="24645"/>
    <cellStyle name="Note 6 5 2 3 3" xfId="15749"/>
    <cellStyle name="Note 6 5 2 3 3 2" xfId="29055"/>
    <cellStyle name="Note 6 5 2 3 4" xfId="20235"/>
    <cellStyle name="Note 6 5 2 3_Table" xfId="7192"/>
    <cellStyle name="Note 6 5 2 4" xfId="2441"/>
    <cellStyle name="Note 6 5 2 4 2" xfId="11769"/>
    <cellStyle name="Note 6 5 2 4 2 2" xfId="25075"/>
    <cellStyle name="Note 6 5 2 4 3" xfId="16179"/>
    <cellStyle name="Note 6 5 2 4 3 2" xfId="29485"/>
    <cellStyle name="Note 6 5 2 4 4" xfId="20665"/>
    <cellStyle name="Note 6 5 2 4_Table" xfId="7193"/>
    <cellStyle name="Note 6 5 2 5" xfId="2879"/>
    <cellStyle name="Note 6 5 2 5 2" xfId="12207"/>
    <cellStyle name="Note 6 5 2 5 2 2" xfId="25513"/>
    <cellStyle name="Note 6 5 2 5 3" xfId="16617"/>
    <cellStyle name="Note 6 5 2 5 3 2" xfId="29923"/>
    <cellStyle name="Note 6 5 2 5 4" xfId="21103"/>
    <cellStyle name="Note 6 5 2 5_Table" xfId="7194"/>
    <cellStyle name="Note 6 5 2 6" xfId="3286"/>
    <cellStyle name="Note 6 5 2 6 2" xfId="12614"/>
    <cellStyle name="Note 6 5 2 6 2 2" xfId="25920"/>
    <cellStyle name="Note 6 5 2 6 3" xfId="17024"/>
    <cellStyle name="Note 6 5 2 6 3 2" xfId="30330"/>
    <cellStyle name="Note 6 5 2 6 4" xfId="21510"/>
    <cellStyle name="Note 6 5 2 6_Table" xfId="7195"/>
    <cellStyle name="Note 6 5 2 7" xfId="3878"/>
    <cellStyle name="Note 6 5 2 7 2" xfId="13206"/>
    <cellStyle name="Note 6 5 2 7 2 2" xfId="26512"/>
    <cellStyle name="Note 6 5 2 7 3" xfId="17616"/>
    <cellStyle name="Note 6 5 2 7 3 2" xfId="30922"/>
    <cellStyle name="Note 6 5 2 7 4" xfId="22102"/>
    <cellStyle name="Note 6 5 2 7_Table" xfId="7196"/>
    <cellStyle name="Note 6 5 2 8" xfId="4103"/>
    <cellStyle name="Note 6 5 2 8 2" xfId="13431"/>
    <cellStyle name="Note 6 5 2 8 2 2" xfId="26737"/>
    <cellStyle name="Note 6 5 2 8 3" xfId="17841"/>
    <cellStyle name="Note 6 5 2 8 3 2" xfId="31147"/>
    <cellStyle name="Note 6 5 2 8 4" xfId="22327"/>
    <cellStyle name="Note 6 5 2 8_Table" xfId="7197"/>
    <cellStyle name="Note 6 5 2 9" xfId="4464"/>
    <cellStyle name="Note 6 5 2 9 2" xfId="13792"/>
    <cellStyle name="Note 6 5 2 9 2 2" xfId="27098"/>
    <cellStyle name="Note 6 5 2 9 3" xfId="18202"/>
    <cellStyle name="Note 6 5 2 9 3 2" xfId="31508"/>
    <cellStyle name="Note 6 5 2 9 4" xfId="22688"/>
    <cellStyle name="Note 6 5 2 9_Table" xfId="7198"/>
    <cellStyle name="Note 6 5 2_Table" xfId="7189"/>
    <cellStyle name="Note 6 5 3" xfId="1410"/>
    <cellStyle name="Note 6 5 3 2" xfId="10738"/>
    <cellStyle name="Note 6 5 3 2 2" xfId="24044"/>
    <cellStyle name="Note 6 5 3 3" xfId="15148"/>
    <cellStyle name="Note 6 5 3 3 2" xfId="28454"/>
    <cellStyle name="Note 6 5 3 4" xfId="19634"/>
    <cellStyle name="Note 6 5 3_Table" xfId="7199"/>
    <cellStyle name="Note 6 5 4" xfId="1770"/>
    <cellStyle name="Note 6 5 4 2" xfId="11098"/>
    <cellStyle name="Note 6 5 4 2 2" xfId="24404"/>
    <cellStyle name="Note 6 5 4 3" xfId="15508"/>
    <cellStyle name="Note 6 5 4 3 2" xfId="28814"/>
    <cellStyle name="Note 6 5 4 4" xfId="19994"/>
    <cellStyle name="Note 6 5 4_Table" xfId="7200"/>
    <cellStyle name="Note 6 5 5" xfId="2203"/>
    <cellStyle name="Note 6 5 5 2" xfId="11531"/>
    <cellStyle name="Note 6 5 5 2 2" xfId="24837"/>
    <cellStyle name="Note 6 5 5 3" xfId="15941"/>
    <cellStyle name="Note 6 5 5 3 2" xfId="29247"/>
    <cellStyle name="Note 6 5 5 4" xfId="20427"/>
    <cellStyle name="Note 6 5 5_Table" xfId="7201"/>
    <cellStyle name="Note 6 5 6" xfId="2638"/>
    <cellStyle name="Note 6 5 6 2" xfId="11966"/>
    <cellStyle name="Note 6 5 6 2 2" xfId="25272"/>
    <cellStyle name="Note 6 5 6 3" xfId="16376"/>
    <cellStyle name="Note 6 5 6 3 2" xfId="29682"/>
    <cellStyle name="Note 6 5 6 4" xfId="20862"/>
    <cellStyle name="Note 6 5 6_Table" xfId="7202"/>
    <cellStyle name="Note 6 5 7" xfId="3051"/>
    <cellStyle name="Note 6 5 7 2" xfId="12379"/>
    <cellStyle name="Note 6 5 7 2 2" xfId="25685"/>
    <cellStyle name="Note 6 5 7 3" xfId="16789"/>
    <cellStyle name="Note 6 5 7 3 2" xfId="30095"/>
    <cellStyle name="Note 6 5 7 4" xfId="21275"/>
    <cellStyle name="Note 6 5 7_Table" xfId="7203"/>
    <cellStyle name="Note 6 5 8" xfId="3477"/>
    <cellStyle name="Note 6 5 8 2" xfId="12805"/>
    <cellStyle name="Note 6 5 8 2 2" xfId="26111"/>
    <cellStyle name="Note 6 5 8 3" xfId="17215"/>
    <cellStyle name="Note 6 5 8 3 2" xfId="30521"/>
    <cellStyle name="Note 6 5 8 4" xfId="21701"/>
    <cellStyle name="Note 6 5 8_Table" xfId="7204"/>
    <cellStyle name="Note 6 5 9" xfId="3637"/>
    <cellStyle name="Note 6 5 9 2" xfId="12965"/>
    <cellStyle name="Note 6 5 9 2 2" xfId="26271"/>
    <cellStyle name="Note 6 5 9 3" xfId="17375"/>
    <cellStyle name="Note 6 5 9 3 2" xfId="30681"/>
    <cellStyle name="Note 6 5 9 4" xfId="21861"/>
    <cellStyle name="Note 6 5 9_Table" xfId="7205"/>
    <cellStyle name="Note 6 5_Table" xfId="7186"/>
    <cellStyle name="Note 6 6" xfId="685"/>
    <cellStyle name="Note 6 6 10" xfId="4645"/>
    <cellStyle name="Note 6 6 10 2" xfId="13973"/>
    <cellStyle name="Note 6 6 10 2 2" xfId="27279"/>
    <cellStyle name="Note 6 6 10 3" xfId="18383"/>
    <cellStyle name="Note 6 6 10 3 2" xfId="31689"/>
    <cellStyle name="Note 6 6 10 4" xfId="22869"/>
    <cellStyle name="Note 6 6 10_Table" xfId="7207"/>
    <cellStyle name="Note 6 6 11" xfId="10013"/>
    <cellStyle name="Note 6 6 11 2" xfId="23319"/>
    <cellStyle name="Note 6 6 12" xfId="14423"/>
    <cellStyle name="Note 6 6 12 2" xfId="27729"/>
    <cellStyle name="Note 6 6 13" xfId="18909"/>
    <cellStyle name="Note 6 6 2" xfId="1471"/>
    <cellStyle name="Note 6 6 2 2" xfId="10799"/>
    <cellStyle name="Note 6 6 2 2 2" xfId="24105"/>
    <cellStyle name="Note 6 6 2 3" xfId="15209"/>
    <cellStyle name="Note 6 6 2 3 2" xfId="28515"/>
    <cellStyle name="Note 6 6 2 4" xfId="19695"/>
    <cellStyle name="Note 6 6 2_Table" xfId="7208"/>
    <cellStyle name="Note 6 6 3" xfId="1831"/>
    <cellStyle name="Note 6 6 3 2" xfId="11159"/>
    <cellStyle name="Note 6 6 3 2 2" xfId="24465"/>
    <cellStyle name="Note 6 6 3 3" xfId="15569"/>
    <cellStyle name="Note 6 6 3 3 2" xfId="28875"/>
    <cellStyle name="Note 6 6 3 4" xfId="20055"/>
    <cellStyle name="Note 6 6 3_Table" xfId="7209"/>
    <cellStyle name="Note 6 6 4" xfId="2261"/>
    <cellStyle name="Note 6 6 4 2" xfId="11589"/>
    <cellStyle name="Note 6 6 4 2 2" xfId="24895"/>
    <cellStyle name="Note 6 6 4 3" xfId="15999"/>
    <cellStyle name="Note 6 6 4 3 2" xfId="29305"/>
    <cellStyle name="Note 6 6 4 4" xfId="20485"/>
    <cellStyle name="Note 6 6 4_Table" xfId="7210"/>
    <cellStyle name="Note 6 6 5" xfId="2699"/>
    <cellStyle name="Note 6 6 5 2" xfId="12027"/>
    <cellStyle name="Note 6 6 5 2 2" xfId="25333"/>
    <cellStyle name="Note 6 6 5 3" xfId="16437"/>
    <cellStyle name="Note 6 6 5 3 2" xfId="29743"/>
    <cellStyle name="Note 6 6 5 4" xfId="20923"/>
    <cellStyle name="Note 6 6 5_Table" xfId="7211"/>
    <cellStyle name="Note 6 6 6" xfId="3106"/>
    <cellStyle name="Note 6 6 6 2" xfId="12434"/>
    <cellStyle name="Note 6 6 6 2 2" xfId="25740"/>
    <cellStyle name="Note 6 6 6 3" xfId="16844"/>
    <cellStyle name="Note 6 6 6 3 2" xfId="30150"/>
    <cellStyle name="Note 6 6 6 4" xfId="21330"/>
    <cellStyle name="Note 6 6 6_Table" xfId="7212"/>
    <cellStyle name="Note 6 6 7" xfId="3698"/>
    <cellStyle name="Note 6 6 7 2" xfId="13026"/>
    <cellStyle name="Note 6 6 7 2 2" xfId="26332"/>
    <cellStyle name="Note 6 6 7 3" xfId="17436"/>
    <cellStyle name="Note 6 6 7 3 2" xfId="30742"/>
    <cellStyle name="Note 6 6 7 4" xfId="21922"/>
    <cellStyle name="Note 6 6 7_Table" xfId="7213"/>
    <cellStyle name="Note 6 6 8" xfId="3923"/>
    <cellStyle name="Note 6 6 8 2" xfId="13251"/>
    <cellStyle name="Note 6 6 8 2 2" xfId="26557"/>
    <cellStyle name="Note 6 6 8 3" xfId="17661"/>
    <cellStyle name="Note 6 6 8 3 2" xfId="30967"/>
    <cellStyle name="Note 6 6 8 4" xfId="22147"/>
    <cellStyle name="Note 6 6 8_Table" xfId="7214"/>
    <cellStyle name="Note 6 6 9" xfId="4284"/>
    <cellStyle name="Note 6 6 9 2" xfId="13612"/>
    <cellStyle name="Note 6 6 9 2 2" xfId="26918"/>
    <cellStyle name="Note 6 6 9 3" xfId="18022"/>
    <cellStyle name="Note 6 6 9 3 2" xfId="31328"/>
    <cellStyle name="Note 6 6 9 4" xfId="22508"/>
    <cellStyle name="Note 6 6 9_Table" xfId="7215"/>
    <cellStyle name="Note 6 6_Table" xfId="7206"/>
    <cellStyle name="Note 6 7" xfId="1179"/>
    <cellStyle name="Note 6 7 2" xfId="10507"/>
    <cellStyle name="Note 6 7 2 2" xfId="23813"/>
    <cellStyle name="Note 6 7 3" xfId="14917"/>
    <cellStyle name="Note 6 7 3 2" xfId="28223"/>
    <cellStyle name="Note 6 7 4" xfId="19403"/>
    <cellStyle name="Note 6 7_Table" xfId="7216"/>
    <cellStyle name="Note 6 8" xfId="1065"/>
    <cellStyle name="Note 6 8 2" xfId="10393"/>
    <cellStyle name="Note 6 8 2 2" xfId="23699"/>
    <cellStyle name="Note 6 8 3" xfId="14803"/>
    <cellStyle name="Note 6 8 3 2" xfId="28109"/>
    <cellStyle name="Note 6 8 4" xfId="19289"/>
    <cellStyle name="Note 6 8_Table" xfId="7217"/>
    <cellStyle name="Note 6 9" xfId="1446"/>
    <cellStyle name="Note 6 9 2" xfId="10774"/>
    <cellStyle name="Note 6 9 2 2" xfId="24080"/>
    <cellStyle name="Note 6 9 3" xfId="15184"/>
    <cellStyle name="Note 6 9 3 2" xfId="28490"/>
    <cellStyle name="Note 6 9 4" xfId="19670"/>
    <cellStyle name="Note 6 9_Table" xfId="7218"/>
    <cellStyle name="Note 6_Table" xfId="7119"/>
    <cellStyle name="Note 7" xfId="346"/>
    <cellStyle name="Note 7 10" xfId="1728"/>
    <cellStyle name="Note 7 10 2" xfId="11056"/>
    <cellStyle name="Note 7 10 2 2" xfId="24362"/>
    <cellStyle name="Note 7 10 3" xfId="15466"/>
    <cellStyle name="Note 7 10 3 2" xfId="28772"/>
    <cellStyle name="Note 7 10 4" xfId="19952"/>
    <cellStyle name="Note 7 10_Table" xfId="7220"/>
    <cellStyle name="Note 7 11" xfId="2163"/>
    <cellStyle name="Note 7 11 2" xfId="11491"/>
    <cellStyle name="Note 7 11 2 2" xfId="24797"/>
    <cellStyle name="Note 7 11 3" xfId="15901"/>
    <cellStyle name="Note 7 11 3 2" xfId="29207"/>
    <cellStyle name="Note 7 11 4" xfId="20387"/>
    <cellStyle name="Note 7 11_Table" xfId="7221"/>
    <cellStyle name="Note 7 12" xfId="2595"/>
    <cellStyle name="Note 7 12 2" xfId="11923"/>
    <cellStyle name="Note 7 12 2 2" xfId="25229"/>
    <cellStyle name="Note 7 12 3" xfId="16333"/>
    <cellStyle name="Note 7 12 3 2" xfId="29639"/>
    <cellStyle name="Note 7 12 4" xfId="20819"/>
    <cellStyle name="Note 7 12_Table" xfId="7222"/>
    <cellStyle name="Note 7 13" xfId="3522"/>
    <cellStyle name="Note 7 13 2" xfId="12850"/>
    <cellStyle name="Note 7 13 2 2" xfId="26156"/>
    <cellStyle name="Note 7 13 3" xfId="17260"/>
    <cellStyle name="Note 7 13 3 2" xfId="30566"/>
    <cellStyle name="Note 7 13 4" xfId="21746"/>
    <cellStyle name="Note 7 13_Table" xfId="7223"/>
    <cellStyle name="Note 7 14" xfId="1096"/>
    <cellStyle name="Note 7 14 2" xfId="10424"/>
    <cellStyle name="Note 7 14 2 2" xfId="23730"/>
    <cellStyle name="Note 7 14 3" xfId="14834"/>
    <cellStyle name="Note 7 14 3 2" xfId="28140"/>
    <cellStyle name="Note 7 14 4" xfId="19320"/>
    <cellStyle name="Note 7 14_Table" xfId="7224"/>
    <cellStyle name="Note 7 15" xfId="3631"/>
    <cellStyle name="Note 7 15 2" xfId="12959"/>
    <cellStyle name="Note 7 15 2 2" xfId="26265"/>
    <cellStyle name="Note 7 15 3" xfId="17369"/>
    <cellStyle name="Note 7 15 3 2" xfId="30675"/>
    <cellStyle name="Note 7 15 4" xfId="21855"/>
    <cellStyle name="Note 7 15_Table" xfId="7225"/>
    <cellStyle name="Note 7 16" xfId="9674"/>
    <cellStyle name="Note 7 16 2" xfId="23095"/>
    <cellStyle name="Note 7 17" xfId="14199"/>
    <cellStyle name="Note 7 17 2" xfId="27505"/>
    <cellStyle name="Note 7 18" xfId="18685"/>
    <cellStyle name="Note 7 2" xfId="417"/>
    <cellStyle name="Note 7 2 10" xfId="3546"/>
    <cellStyle name="Note 7 2 10 2" xfId="12874"/>
    <cellStyle name="Note 7 2 10 2 2" xfId="26180"/>
    <cellStyle name="Note 7 2 10 3" xfId="17284"/>
    <cellStyle name="Note 7 2 10 3 2" xfId="30590"/>
    <cellStyle name="Note 7 2 10 4" xfId="21770"/>
    <cellStyle name="Note 7 2 10_Table" xfId="7227"/>
    <cellStyle name="Note 7 2 11" xfId="3567"/>
    <cellStyle name="Note 7 2 11 2" xfId="12895"/>
    <cellStyle name="Note 7 2 11 2 2" xfId="26201"/>
    <cellStyle name="Note 7 2 11 3" xfId="17305"/>
    <cellStyle name="Note 7 2 11 3 2" xfId="30611"/>
    <cellStyle name="Note 7 2 11 4" xfId="21791"/>
    <cellStyle name="Note 7 2 11_Table" xfId="7228"/>
    <cellStyle name="Note 7 2 12" xfId="9745"/>
    <cellStyle name="Note 7 2 12 2" xfId="23140"/>
    <cellStyle name="Note 7 2 13" xfId="14244"/>
    <cellStyle name="Note 7 2 13 2" xfId="27550"/>
    <cellStyle name="Note 7 2 14" xfId="18730"/>
    <cellStyle name="Note 7 2 2" xfId="731"/>
    <cellStyle name="Note 7 2 2 10" xfId="4691"/>
    <cellStyle name="Note 7 2 2 10 2" xfId="14019"/>
    <cellStyle name="Note 7 2 2 10 2 2" xfId="27325"/>
    <cellStyle name="Note 7 2 2 10 3" xfId="18429"/>
    <cellStyle name="Note 7 2 2 10 3 2" xfId="31735"/>
    <cellStyle name="Note 7 2 2 10 4" xfId="22915"/>
    <cellStyle name="Note 7 2 2 10_Table" xfId="7230"/>
    <cellStyle name="Note 7 2 2 11" xfId="10059"/>
    <cellStyle name="Note 7 2 2 11 2" xfId="23365"/>
    <cellStyle name="Note 7 2 2 12" xfId="14469"/>
    <cellStyle name="Note 7 2 2 12 2" xfId="27775"/>
    <cellStyle name="Note 7 2 2 13" xfId="18955"/>
    <cellStyle name="Note 7 2 2 2" xfId="1517"/>
    <cellStyle name="Note 7 2 2 2 2" xfId="10845"/>
    <cellStyle name="Note 7 2 2 2 2 2" xfId="24151"/>
    <cellStyle name="Note 7 2 2 2 3" xfId="15255"/>
    <cellStyle name="Note 7 2 2 2 3 2" xfId="28561"/>
    <cellStyle name="Note 7 2 2 2 4" xfId="19741"/>
    <cellStyle name="Note 7 2 2 2_Table" xfId="7231"/>
    <cellStyle name="Note 7 2 2 3" xfId="1877"/>
    <cellStyle name="Note 7 2 2 3 2" xfId="11205"/>
    <cellStyle name="Note 7 2 2 3 2 2" xfId="24511"/>
    <cellStyle name="Note 7 2 2 3 3" xfId="15615"/>
    <cellStyle name="Note 7 2 2 3 3 2" xfId="28921"/>
    <cellStyle name="Note 7 2 2 3 4" xfId="20101"/>
    <cellStyle name="Note 7 2 2 3_Table" xfId="7232"/>
    <cellStyle name="Note 7 2 2 4" xfId="2307"/>
    <cellStyle name="Note 7 2 2 4 2" xfId="11635"/>
    <cellStyle name="Note 7 2 2 4 2 2" xfId="24941"/>
    <cellStyle name="Note 7 2 2 4 3" xfId="16045"/>
    <cellStyle name="Note 7 2 2 4 3 2" xfId="29351"/>
    <cellStyle name="Note 7 2 2 4 4" xfId="20531"/>
    <cellStyle name="Note 7 2 2 4_Table" xfId="7233"/>
    <cellStyle name="Note 7 2 2 5" xfId="2745"/>
    <cellStyle name="Note 7 2 2 5 2" xfId="12073"/>
    <cellStyle name="Note 7 2 2 5 2 2" xfId="25379"/>
    <cellStyle name="Note 7 2 2 5 3" xfId="16483"/>
    <cellStyle name="Note 7 2 2 5 3 2" xfId="29789"/>
    <cellStyle name="Note 7 2 2 5 4" xfId="20969"/>
    <cellStyle name="Note 7 2 2 5_Table" xfId="7234"/>
    <cellStyle name="Note 7 2 2 6" xfId="3152"/>
    <cellStyle name="Note 7 2 2 6 2" xfId="12480"/>
    <cellStyle name="Note 7 2 2 6 2 2" xfId="25786"/>
    <cellStyle name="Note 7 2 2 6 3" xfId="16890"/>
    <cellStyle name="Note 7 2 2 6 3 2" xfId="30196"/>
    <cellStyle name="Note 7 2 2 6 4" xfId="21376"/>
    <cellStyle name="Note 7 2 2 6_Table" xfId="7235"/>
    <cellStyle name="Note 7 2 2 7" xfId="3744"/>
    <cellStyle name="Note 7 2 2 7 2" xfId="13072"/>
    <cellStyle name="Note 7 2 2 7 2 2" xfId="26378"/>
    <cellStyle name="Note 7 2 2 7 3" xfId="17482"/>
    <cellStyle name="Note 7 2 2 7 3 2" xfId="30788"/>
    <cellStyle name="Note 7 2 2 7 4" xfId="21968"/>
    <cellStyle name="Note 7 2 2 7_Table" xfId="7236"/>
    <cellStyle name="Note 7 2 2 8" xfId="3969"/>
    <cellStyle name="Note 7 2 2 8 2" xfId="13297"/>
    <cellStyle name="Note 7 2 2 8 2 2" xfId="26603"/>
    <cellStyle name="Note 7 2 2 8 3" xfId="17707"/>
    <cellStyle name="Note 7 2 2 8 3 2" xfId="31013"/>
    <cellStyle name="Note 7 2 2 8 4" xfId="22193"/>
    <cellStyle name="Note 7 2 2 8_Table" xfId="7237"/>
    <cellStyle name="Note 7 2 2 9" xfId="4330"/>
    <cellStyle name="Note 7 2 2 9 2" xfId="13658"/>
    <cellStyle name="Note 7 2 2 9 2 2" xfId="26964"/>
    <cellStyle name="Note 7 2 2 9 3" xfId="18068"/>
    <cellStyle name="Note 7 2 2 9 3 2" xfId="31374"/>
    <cellStyle name="Note 7 2 2 9 4" xfId="22554"/>
    <cellStyle name="Note 7 2 2 9_Table" xfId="7238"/>
    <cellStyle name="Note 7 2 2_Table" xfId="7229"/>
    <cellStyle name="Note 7 2 3" xfId="1231"/>
    <cellStyle name="Note 7 2 3 2" xfId="10559"/>
    <cellStyle name="Note 7 2 3 2 2" xfId="23865"/>
    <cellStyle name="Note 7 2 3 3" xfId="14969"/>
    <cellStyle name="Note 7 2 3 3 2" xfId="28275"/>
    <cellStyle name="Note 7 2 3 4" xfId="19455"/>
    <cellStyle name="Note 7 2 3_Table" xfId="7239"/>
    <cellStyle name="Note 7 2 4" xfId="995"/>
    <cellStyle name="Note 7 2 4 2" xfId="10323"/>
    <cellStyle name="Note 7 2 4 2 2" xfId="23629"/>
    <cellStyle name="Note 7 2 4 3" xfId="14733"/>
    <cellStyle name="Note 7 2 4 3 2" xfId="28039"/>
    <cellStyle name="Note 7 2 4 4" xfId="19219"/>
    <cellStyle name="Note 7 2 4_Table" xfId="7240"/>
    <cellStyle name="Note 7 2 5" xfId="1369"/>
    <cellStyle name="Note 7 2 5 2" xfId="10697"/>
    <cellStyle name="Note 7 2 5 2 2" xfId="24003"/>
    <cellStyle name="Note 7 2 5 3" xfId="15107"/>
    <cellStyle name="Note 7 2 5 3 2" xfId="28413"/>
    <cellStyle name="Note 7 2 5 4" xfId="19593"/>
    <cellStyle name="Note 7 2 5_Table" xfId="7241"/>
    <cellStyle name="Note 7 2 6" xfId="1722"/>
    <cellStyle name="Note 7 2 6 2" xfId="11050"/>
    <cellStyle name="Note 7 2 6 2 2" xfId="24356"/>
    <cellStyle name="Note 7 2 6 3" xfId="15460"/>
    <cellStyle name="Note 7 2 6 3 2" xfId="28766"/>
    <cellStyle name="Note 7 2 6 4" xfId="19946"/>
    <cellStyle name="Note 7 2 6_Table" xfId="7242"/>
    <cellStyle name="Note 7 2 7" xfId="2157"/>
    <cellStyle name="Note 7 2 7 2" xfId="11485"/>
    <cellStyle name="Note 7 2 7 2 2" xfId="24791"/>
    <cellStyle name="Note 7 2 7 3" xfId="15895"/>
    <cellStyle name="Note 7 2 7 3 2" xfId="29201"/>
    <cellStyle name="Note 7 2 7 4" xfId="20381"/>
    <cellStyle name="Note 7 2 7_Table" xfId="7243"/>
    <cellStyle name="Note 7 2 8" xfId="2589"/>
    <cellStyle name="Note 7 2 8 2" xfId="11917"/>
    <cellStyle name="Note 7 2 8 2 2" xfId="25223"/>
    <cellStyle name="Note 7 2 8 3" xfId="16327"/>
    <cellStyle name="Note 7 2 8 3 2" xfId="29633"/>
    <cellStyle name="Note 7 2 8 4" xfId="20813"/>
    <cellStyle name="Note 7 2 8_Table" xfId="7244"/>
    <cellStyle name="Note 7 2 9" xfId="1147"/>
    <cellStyle name="Note 7 2 9 2" xfId="10475"/>
    <cellStyle name="Note 7 2 9 2 2" xfId="23781"/>
    <cellStyle name="Note 7 2 9 3" xfId="14885"/>
    <cellStyle name="Note 7 2 9 3 2" xfId="28191"/>
    <cellStyle name="Note 7 2 9 4" xfId="19371"/>
    <cellStyle name="Note 7 2 9_Table" xfId="7245"/>
    <cellStyle name="Note 7 2_Table" xfId="7226"/>
    <cellStyle name="Note 7 3" xfId="485"/>
    <cellStyle name="Note 7 3 10" xfId="4150"/>
    <cellStyle name="Note 7 3 10 2" xfId="13478"/>
    <cellStyle name="Note 7 3 10 2 2" xfId="26784"/>
    <cellStyle name="Note 7 3 10 3" xfId="17888"/>
    <cellStyle name="Note 7 3 10 3 2" xfId="31194"/>
    <cellStyle name="Note 7 3 10 4" xfId="22374"/>
    <cellStyle name="Note 7 3 10_Table" xfId="7247"/>
    <cellStyle name="Note 7 3 11" xfId="4511"/>
    <cellStyle name="Note 7 3 11 2" xfId="13839"/>
    <cellStyle name="Note 7 3 11 2 2" xfId="27145"/>
    <cellStyle name="Note 7 3 11 3" xfId="18249"/>
    <cellStyle name="Note 7 3 11 3 2" xfId="31555"/>
    <cellStyle name="Note 7 3 11 4" xfId="22735"/>
    <cellStyle name="Note 7 3 11_Table" xfId="7248"/>
    <cellStyle name="Note 7 3 12" xfId="9813"/>
    <cellStyle name="Note 7 3 12 2" xfId="23185"/>
    <cellStyle name="Note 7 3 13" xfId="14289"/>
    <cellStyle name="Note 7 3 13 2" xfId="27595"/>
    <cellStyle name="Note 7 3 14" xfId="18775"/>
    <cellStyle name="Note 7 3 2" xfId="776"/>
    <cellStyle name="Note 7 3 2 10" xfId="4736"/>
    <cellStyle name="Note 7 3 2 10 2" xfId="14064"/>
    <cellStyle name="Note 7 3 2 10 2 2" xfId="27370"/>
    <cellStyle name="Note 7 3 2 10 3" xfId="18474"/>
    <cellStyle name="Note 7 3 2 10 3 2" xfId="31780"/>
    <cellStyle name="Note 7 3 2 10 4" xfId="22960"/>
    <cellStyle name="Note 7 3 2 10_Table" xfId="7250"/>
    <cellStyle name="Note 7 3 2 11" xfId="10104"/>
    <cellStyle name="Note 7 3 2 11 2" xfId="23410"/>
    <cellStyle name="Note 7 3 2 12" xfId="14514"/>
    <cellStyle name="Note 7 3 2 12 2" xfId="27820"/>
    <cellStyle name="Note 7 3 2 13" xfId="19000"/>
    <cellStyle name="Note 7 3 2 2" xfId="1562"/>
    <cellStyle name="Note 7 3 2 2 2" xfId="10890"/>
    <cellStyle name="Note 7 3 2 2 2 2" xfId="24196"/>
    <cellStyle name="Note 7 3 2 2 3" xfId="15300"/>
    <cellStyle name="Note 7 3 2 2 3 2" xfId="28606"/>
    <cellStyle name="Note 7 3 2 2 4" xfId="19786"/>
    <cellStyle name="Note 7 3 2 2_Table" xfId="7251"/>
    <cellStyle name="Note 7 3 2 3" xfId="1922"/>
    <cellStyle name="Note 7 3 2 3 2" xfId="11250"/>
    <cellStyle name="Note 7 3 2 3 2 2" xfId="24556"/>
    <cellStyle name="Note 7 3 2 3 3" xfId="15660"/>
    <cellStyle name="Note 7 3 2 3 3 2" xfId="28966"/>
    <cellStyle name="Note 7 3 2 3 4" xfId="20146"/>
    <cellStyle name="Note 7 3 2 3_Table" xfId="7252"/>
    <cellStyle name="Note 7 3 2 4" xfId="2352"/>
    <cellStyle name="Note 7 3 2 4 2" xfId="11680"/>
    <cellStyle name="Note 7 3 2 4 2 2" xfId="24986"/>
    <cellStyle name="Note 7 3 2 4 3" xfId="16090"/>
    <cellStyle name="Note 7 3 2 4 3 2" xfId="29396"/>
    <cellStyle name="Note 7 3 2 4 4" xfId="20576"/>
    <cellStyle name="Note 7 3 2 4_Table" xfId="7253"/>
    <cellStyle name="Note 7 3 2 5" xfId="2790"/>
    <cellStyle name="Note 7 3 2 5 2" xfId="12118"/>
    <cellStyle name="Note 7 3 2 5 2 2" xfId="25424"/>
    <cellStyle name="Note 7 3 2 5 3" xfId="16528"/>
    <cellStyle name="Note 7 3 2 5 3 2" xfId="29834"/>
    <cellStyle name="Note 7 3 2 5 4" xfId="21014"/>
    <cellStyle name="Note 7 3 2 5_Table" xfId="7254"/>
    <cellStyle name="Note 7 3 2 6" xfId="3197"/>
    <cellStyle name="Note 7 3 2 6 2" xfId="12525"/>
    <cellStyle name="Note 7 3 2 6 2 2" xfId="25831"/>
    <cellStyle name="Note 7 3 2 6 3" xfId="16935"/>
    <cellStyle name="Note 7 3 2 6 3 2" xfId="30241"/>
    <cellStyle name="Note 7 3 2 6 4" xfId="21421"/>
    <cellStyle name="Note 7 3 2 6_Table" xfId="7255"/>
    <cellStyle name="Note 7 3 2 7" xfId="3789"/>
    <cellStyle name="Note 7 3 2 7 2" xfId="13117"/>
    <cellStyle name="Note 7 3 2 7 2 2" xfId="26423"/>
    <cellStyle name="Note 7 3 2 7 3" xfId="17527"/>
    <cellStyle name="Note 7 3 2 7 3 2" xfId="30833"/>
    <cellStyle name="Note 7 3 2 7 4" xfId="22013"/>
    <cellStyle name="Note 7 3 2 7_Table" xfId="7256"/>
    <cellStyle name="Note 7 3 2 8" xfId="4014"/>
    <cellStyle name="Note 7 3 2 8 2" xfId="13342"/>
    <cellStyle name="Note 7 3 2 8 2 2" xfId="26648"/>
    <cellStyle name="Note 7 3 2 8 3" xfId="17752"/>
    <cellStyle name="Note 7 3 2 8 3 2" xfId="31058"/>
    <cellStyle name="Note 7 3 2 8 4" xfId="22238"/>
    <cellStyle name="Note 7 3 2 8_Table" xfId="7257"/>
    <cellStyle name="Note 7 3 2 9" xfId="4375"/>
    <cellStyle name="Note 7 3 2 9 2" xfId="13703"/>
    <cellStyle name="Note 7 3 2 9 2 2" xfId="27009"/>
    <cellStyle name="Note 7 3 2 9 3" xfId="18113"/>
    <cellStyle name="Note 7 3 2 9 3 2" xfId="31419"/>
    <cellStyle name="Note 7 3 2 9 4" xfId="22599"/>
    <cellStyle name="Note 7 3 2 9_Table" xfId="7258"/>
    <cellStyle name="Note 7 3 2_Table" xfId="7249"/>
    <cellStyle name="Note 7 3 3" xfId="1288"/>
    <cellStyle name="Note 7 3 3 2" xfId="10616"/>
    <cellStyle name="Note 7 3 3 2 2" xfId="23922"/>
    <cellStyle name="Note 7 3 3 3" xfId="15026"/>
    <cellStyle name="Note 7 3 3 3 2" xfId="28332"/>
    <cellStyle name="Note 7 3 3 4" xfId="19512"/>
    <cellStyle name="Note 7 3 3_Table" xfId="7259"/>
    <cellStyle name="Note 7 3 4" xfId="929"/>
    <cellStyle name="Note 7 3 4 2" xfId="10257"/>
    <cellStyle name="Note 7 3 4 2 2" xfId="23563"/>
    <cellStyle name="Note 7 3 4 3" xfId="14667"/>
    <cellStyle name="Note 7 3 4 3 2" xfId="27973"/>
    <cellStyle name="Note 7 3 4 4" xfId="19153"/>
    <cellStyle name="Note 7 3 4_Table" xfId="7260"/>
    <cellStyle name="Note 7 3 5" xfId="2076"/>
    <cellStyle name="Note 7 3 5 2" xfId="11404"/>
    <cellStyle name="Note 7 3 5 2 2" xfId="24710"/>
    <cellStyle name="Note 7 3 5 3" xfId="15814"/>
    <cellStyle name="Note 7 3 5 3 2" xfId="29120"/>
    <cellStyle name="Note 7 3 5 4" xfId="20300"/>
    <cellStyle name="Note 7 3 5_Table" xfId="7261"/>
    <cellStyle name="Note 7 3 6" xfId="2508"/>
    <cellStyle name="Note 7 3 6 2" xfId="11836"/>
    <cellStyle name="Note 7 3 6 2 2" xfId="25142"/>
    <cellStyle name="Note 7 3 6 3" xfId="16246"/>
    <cellStyle name="Note 7 3 6 3 2" xfId="29552"/>
    <cellStyle name="Note 7 3 6 4" xfId="20732"/>
    <cellStyle name="Note 7 3 6_Table" xfId="7262"/>
    <cellStyle name="Note 7 3 7" xfId="2936"/>
    <cellStyle name="Note 7 3 7 2" xfId="12264"/>
    <cellStyle name="Note 7 3 7 2 2" xfId="25570"/>
    <cellStyle name="Note 7 3 7 3" xfId="16674"/>
    <cellStyle name="Note 7 3 7 3 2" xfId="29980"/>
    <cellStyle name="Note 7 3 7 4" xfId="21160"/>
    <cellStyle name="Note 7 3 7_Table" xfId="7263"/>
    <cellStyle name="Note 7 3 8" xfId="3349"/>
    <cellStyle name="Note 7 3 8 2" xfId="12677"/>
    <cellStyle name="Note 7 3 8 2 2" xfId="25983"/>
    <cellStyle name="Note 7 3 8 3" xfId="17087"/>
    <cellStyle name="Note 7 3 8 3 2" xfId="30393"/>
    <cellStyle name="Note 7 3 8 4" xfId="21573"/>
    <cellStyle name="Note 7 3 8_Table" xfId="7264"/>
    <cellStyle name="Note 7 3 9" xfId="3315"/>
    <cellStyle name="Note 7 3 9 2" xfId="12643"/>
    <cellStyle name="Note 7 3 9 2 2" xfId="25949"/>
    <cellStyle name="Note 7 3 9 3" xfId="17053"/>
    <cellStyle name="Note 7 3 9 3 2" xfId="30359"/>
    <cellStyle name="Note 7 3 9 4" xfId="21539"/>
    <cellStyle name="Note 7 3 9_Table" xfId="7265"/>
    <cellStyle name="Note 7 3_Table" xfId="7246"/>
    <cellStyle name="Note 7 4" xfId="549"/>
    <cellStyle name="Note 7 4 10" xfId="4195"/>
    <cellStyle name="Note 7 4 10 2" xfId="13523"/>
    <cellStyle name="Note 7 4 10 2 2" xfId="26829"/>
    <cellStyle name="Note 7 4 10 3" xfId="17933"/>
    <cellStyle name="Note 7 4 10 3 2" xfId="31239"/>
    <cellStyle name="Note 7 4 10 4" xfId="22419"/>
    <cellStyle name="Note 7 4 10_Table" xfId="7267"/>
    <cellStyle name="Note 7 4 11" xfId="4556"/>
    <cellStyle name="Note 7 4 11 2" xfId="13884"/>
    <cellStyle name="Note 7 4 11 2 2" xfId="27190"/>
    <cellStyle name="Note 7 4 11 3" xfId="18294"/>
    <cellStyle name="Note 7 4 11 3 2" xfId="31600"/>
    <cellStyle name="Note 7 4 11 4" xfId="22780"/>
    <cellStyle name="Note 7 4 11_Table" xfId="7268"/>
    <cellStyle name="Note 7 4 12" xfId="9877"/>
    <cellStyle name="Note 7 4 12 2" xfId="23230"/>
    <cellStyle name="Note 7 4 13" xfId="14334"/>
    <cellStyle name="Note 7 4 13 2" xfId="27640"/>
    <cellStyle name="Note 7 4 14" xfId="18820"/>
    <cellStyle name="Note 7 4 2" xfId="821"/>
    <cellStyle name="Note 7 4 2 10" xfId="4781"/>
    <cellStyle name="Note 7 4 2 10 2" xfId="14109"/>
    <cellStyle name="Note 7 4 2 10 2 2" xfId="27415"/>
    <cellStyle name="Note 7 4 2 10 3" xfId="18519"/>
    <cellStyle name="Note 7 4 2 10 3 2" xfId="31825"/>
    <cellStyle name="Note 7 4 2 10 4" xfId="23005"/>
    <cellStyle name="Note 7 4 2 10_Table" xfId="7270"/>
    <cellStyle name="Note 7 4 2 11" xfId="10149"/>
    <cellStyle name="Note 7 4 2 11 2" xfId="23455"/>
    <cellStyle name="Note 7 4 2 12" xfId="14559"/>
    <cellStyle name="Note 7 4 2 12 2" xfId="27865"/>
    <cellStyle name="Note 7 4 2 13" xfId="19045"/>
    <cellStyle name="Note 7 4 2 2" xfId="1607"/>
    <cellStyle name="Note 7 4 2 2 2" xfId="10935"/>
    <cellStyle name="Note 7 4 2 2 2 2" xfId="24241"/>
    <cellStyle name="Note 7 4 2 2 3" xfId="15345"/>
    <cellStyle name="Note 7 4 2 2 3 2" xfId="28651"/>
    <cellStyle name="Note 7 4 2 2 4" xfId="19831"/>
    <cellStyle name="Note 7 4 2 2_Table" xfId="7271"/>
    <cellStyle name="Note 7 4 2 3" xfId="1967"/>
    <cellStyle name="Note 7 4 2 3 2" xfId="11295"/>
    <cellStyle name="Note 7 4 2 3 2 2" xfId="24601"/>
    <cellStyle name="Note 7 4 2 3 3" xfId="15705"/>
    <cellStyle name="Note 7 4 2 3 3 2" xfId="29011"/>
    <cellStyle name="Note 7 4 2 3 4" xfId="20191"/>
    <cellStyle name="Note 7 4 2 3_Table" xfId="7272"/>
    <cellStyle name="Note 7 4 2 4" xfId="2397"/>
    <cellStyle name="Note 7 4 2 4 2" xfId="11725"/>
    <cellStyle name="Note 7 4 2 4 2 2" xfId="25031"/>
    <cellStyle name="Note 7 4 2 4 3" xfId="16135"/>
    <cellStyle name="Note 7 4 2 4 3 2" xfId="29441"/>
    <cellStyle name="Note 7 4 2 4 4" xfId="20621"/>
    <cellStyle name="Note 7 4 2 4_Table" xfId="7273"/>
    <cellStyle name="Note 7 4 2 5" xfId="2835"/>
    <cellStyle name="Note 7 4 2 5 2" xfId="12163"/>
    <cellStyle name="Note 7 4 2 5 2 2" xfId="25469"/>
    <cellStyle name="Note 7 4 2 5 3" xfId="16573"/>
    <cellStyle name="Note 7 4 2 5 3 2" xfId="29879"/>
    <cellStyle name="Note 7 4 2 5 4" xfId="21059"/>
    <cellStyle name="Note 7 4 2 5_Table" xfId="7274"/>
    <cellStyle name="Note 7 4 2 6" xfId="3242"/>
    <cellStyle name="Note 7 4 2 6 2" xfId="12570"/>
    <cellStyle name="Note 7 4 2 6 2 2" xfId="25876"/>
    <cellStyle name="Note 7 4 2 6 3" xfId="16980"/>
    <cellStyle name="Note 7 4 2 6 3 2" xfId="30286"/>
    <cellStyle name="Note 7 4 2 6 4" xfId="21466"/>
    <cellStyle name="Note 7 4 2 6_Table" xfId="7275"/>
    <cellStyle name="Note 7 4 2 7" xfId="3834"/>
    <cellStyle name="Note 7 4 2 7 2" xfId="13162"/>
    <cellStyle name="Note 7 4 2 7 2 2" xfId="26468"/>
    <cellStyle name="Note 7 4 2 7 3" xfId="17572"/>
    <cellStyle name="Note 7 4 2 7 3 2" xfId="30878"/>
    <cellStyle name="Note 7 4 2 7 4" xfId="22058"/>
    <cellStyle name="Note 7 4 2 7_Table" xfId="7276"/>
    <cellStyle name="Note 7 4 2 8" xfId="4059"/>
    <cellStyle name="Note 7 4 2 8 2" xfId="13387"/>
    <cellStyle name="Note 7 4 2 8 2 2" xfId="26693"/>
    <cellStyle name="Note 7 4 2 8 3" xfId="17797"/>
    <cellStyle name="Note 7 4 2 8 3 2" xfId="31103"/>
    <cellStyle name="Note 7 4 2 8 4" xfId="22283"/>
    <cellStyle name="Note 7 4 2 8_Table" xfId="7277"/>
    <cellStyle name="Note 7 4 2 9" xfId="4420"/>
    <cellStyle name="Note 7 4 2 9 2" xfId="13748"/>
    <cellStyle name="Note 7 4 2 9 2 2" xfId="27054"/>
    <cellStyle name="Note 7 4 2 9 3" xfId="18158"/>
    <cellStyle name="Note 7 4 2 9 3 2" xfId="31464"/>
    <cellStyle name="Note 7 4 2 9 4" xfId="22644"/>
    <cellStyle name="Note 7 4 2 9_Table" xfId="7278"/>
    <cellStyle name="Note 7 4 2_Table" xfId="7269"/>
    <cellStyle name="Note 7 4 3" xfId="1344"/>
    <cellStyle name="Note 7 4 3 2" xfId="10672"/>
    <cellStyle name="Note 7 4 3 2 2" xfId="23978"/>
    <cellStyle name="Note 7 4 3 3" xfId="15082"/>
    <cellStyle name="Note 7 4 3 3 2" xfId="28388"/>
    <cellStyle name="Note 7 4 3 4" xfId="19568"/>
    <cellStyle name="Note 7 4 3_Table" xfId="7279"/>
    <cellStyle name="Note 7 4 4" xfId="1701"/>
    <cellStyle name="Note 7 4 4 2" xfId="11029"/>
    <cellStyle name="Note 7 4 4 2 2" xfId="24335"/>
    <cellStyle name="Note 7 4 4 3" xfId="15439"/>
    <cellStyle name="Note 7 4 4 3 2" xfId="28745"/>
    <cellStyle name="Note 7 4 4 4" xfId="19925"/>
    <cellStyle name="Note 7 4 4_Table" xfId="7280"/>
    <cellStyle name="Note 7 4 5" xfId="2135"/>
    <cellStyle name="Note 7 4 5 2" xfId="11463"/>
    <cellStyle name="Note 7 4 5 2 2" xfId="24769"/>
    <cellStyle name="Note 7 4 5 3" xfId="15873"/>
    <cellStyle name="Note 7 4 5 3 2" xfId="29179"/>
    <cellStyle name="Note 7 4 5 4" xfId="20359"/>
    <cellStyle name="Note 7 4 5_Table" xfId="7281"/>
    <cellStyle name="Note 7 4 6" xfId="2567"/>
    <cellStyle name="Note 7 4 6 2" xfId="11895"/>
    <cellStyle name="Note 7 4 6 2 2" xfId="25201"/>
    <cellStyle name="Note 7 4 6 3" xfId="16305"/>
    <cellStyle name="Note 7 4 6 3 2" xfId="29611"/>
    <cellStyle name="Note 7 4 6 4" xfId="20791"/>
    <cellStyle name="Note 7 4 6_Table" xfId="7282"/>
    <cellStyle name="Note 7 4 7" xfId="2993"/>
    <cellStyle name="Note 7 4 7 2" xfId="12321"/>
    <cellStyle name="Note 7 4 7 2 2" xfId="25627"/>
    <cellStyle name="Note 7 4 7 3" xfId="16731"/>
    <cellStyle name="Note 7 4 7 3 2" xfId="30037"/>
    <cellStyle name="Note 7 4 7 4" xfId="21217"/>
    <cellStyle name="Note 7 4 7_Table" xfId="7283"/>
    <cellStyle name="Note 7 4 8" xfId="3407"/>
    <cellStyle name="Note 7 4 8 2" xfId="12735"/>
    <cellStyle name="Note 7 4 8 2 2" xfId="26041"/>
    <cellStyle name="Note 7 4 8 3" xfId="17145"/>
    <cellStyle name="Note 7 4 8 3 2" xfId="30451"/>
    <cellStyle name="Note 7 4 8 4" xfId="21631"/>
    <cellStyle name="Note 7 4 8_Table" xfId="7284"/>
    <cellStyle name="Note 7 4 9" xfId="3658"/>
    <cellStyle name="Note 7 4 9 2" xfId="12986"/>
    <cellStyle name="Note 7 4 9 2 2" xfId="26292"/>
    <cellStyle name="Note 7 4 9 3" xfId="17396"/>
    <cellStyle name="Note 7 4 9 3 2" xfId="30702"/>
    <cellStyle name="Note 7 4 9 4" xfId="21882"/>
    <cellStyle name="Note 7 4 9_Table" xfId="7285"/>
    <cellStyle name="Note 7 4_Table" xfId="7266"/>
    <cellStyle name="Note 7 5" xfId="624"/>
    <cellStyle name="Note 7 5 10" xfId="4240"/>
    <cellStyle name="Note 7 5 10 2" xfId="13568"/>
    <cellStyle name="Note 7 5 10 2 2" xfId="26874"/>
    <cellStyle name="Note 7 5 10 3" xfId="17978"/>
    <cellStyle name="Note 7 5 10 3 2" xfId="31284"/>
    <cellStyle name="Note 7 5 10 4" xfId="22464"/>
    <cellStyle name="Note 7 5 10_Table" xfId="7287"/>
    <cellStyle name="Note 7 5 11" xfId="4601"/>
    <cellStyle name="Note 7 5 11 2" xfId="13929"/>
    <cellStyle name="Note 7 5 11 2 2" xfId="27235"/>
    <cellStyle name="Note 7 5 11 3" xfId="18339"/>
    <cellStyle name="Note 7 5 11 3 2" xfId="31645"/>
    <cellStyle name="Note 7 5 11 4" xfId="22825"/>
    <cellStyle name="Note 7 5 11_Table" xfId="7288"/>
    <cellStyle name="Note 7 5 12" xfId="9952"/>
    <cellStyle name="Note 7 5 12 2" xfId="23275"/>
    <cellStyle name="Note 7 5 13" xfId="14379"/>
    <cellStyle name="Note 7 5 13 2" xfId="27685"/>
    <cellStyle name="Note 7 5 14" xfId="18865"/>
    <cellStyle name="Note 7 5 2" xfId="866"/>
    <cellStyle name="Note 7 5 2 10" xfId="4826"/>
    <cellStyle name="Note 7 5 2 10 2" xfId="14154"/>
    <cellStyle name="Note 7 5 2 10 2 2" xfId="27460"/>
    <cellStyle name="Note 7 5 2 10 3" xfId="18564"/>
    <cellStyle name="Note 7 5 2 10 3 2" xfId="31870"/>
    <cellStyle name="Note 7 5 2 10 4" xfId="23050"/>
    <cellStyle name="Note 7 5 2 10_Table" xfId="7290"/>
    <cellStyle name="Note 7 5 2 11" xfId="10194"/>
    <cellStyle name="Note 7 5 2 11 2" xfId="23500"/>
    <cellStyle name="Note 7 5 2 12" xfId="14604"/>
    <cellStyle name="Note 7 5 2 12 2" xfId="27910"/>
    <cellStyle name="Note 7 5 2 13" xfId="19090"/>
    <cellStyle name="Note 7 5 2 2" xfId="1652"/>
    <cellStyle name="Note 7 5 2 2 2" xfId="10980"/>
    <cellStyle name="Note 7 5 2 2 2 2" xfId="24286"/>
    <cellStyle name="Note 7 5 2 2 3" xfId="15390"/>
    <cellStyle name="Note 7 5 2 2 3 2" xfId="28696"/>
    <cellStyle name="Note 7 5 2 2 4" xfId="19876"/>
    <cellStyle name="Note 7 5 2 2_Table" xfId="7291"/>
    <cellStyle name="Note 7 5 2 3" xfId="2012"/>
    <cellStyle name="Note 7 5 2 3 2" xfId="11340"/>
    <cellStyle name="Note 7 5 2 3 2 2" xfId="24646"/>
    <cellStyle name="Note 7 5 2 3 3" xfId="15750"/>
    <cellStyle name="Note 7 5 2 3 3 2" xfId="29056"/>
    <cellStyle name="Note 7 5 2 3 4" xfId="20236"/>
    <cellStyle name="Note 7 5 2 3_Table" xfId="7292"/>
    <cellStyle name="Note 7 5 2 4" xfId="2442"/>
    <cellStyle name="Note 7 5 2 4 2" xfId="11770"/>
    <cellStyle name="Note 7 5 2 4 2 2" xfId="25076"/>
    <cellStyle name="Note 7 5 2 4 3" xfId="16180"/>
    <cellStyle name="Note 7 5 2 4 3 2" xfId="29486"/>
    <cellStyle name="Note 7 5 2 4 4" xfId="20666"/>
    <cellStyle name="Note 7 5 2 4_Table" xfId="7293"/>
    <cellStyle name="Note 7 5 2 5" xfId="2880"/>
    <cellStyle name="Note 7 5 2 5 2" xfId="12208"/>
    <cellStyle name="Note 7 5 2 5 2 2" xfId="25514"/>
    <cellStyle name="Note 7 5 2 5 3" xfId="16618"/>
    <cellStyle name="Note 7 5 2 5 3 2" xfId="29924"/>
    <cellStyle name="Note 7 5 2 5 4" xfId="21104"/>
    <cellStyle name="Note 7 5 2 5_Table" xfId="7294"/>
    <cellStyle name="Note 7 5 2 6" xfId="3287"/>
    <cellStyle name="Note 7 5 2 6 2" xfId="12615"/>
    <cellStyle name="Note 7 5 2 6 2 2" xfId="25921"/>
    <cellStyle name="Note 7 5 2 6 3" xfId="17025"/>
    <cellStyle name="Note 7 5 2 6 3 2" xfId="30331"/>
    <cellStyle name="Note 7 5 2 6 4" xfId="21511"/>
    <cellStyle name="Note 7 5 2 6_Table" xfId="7295"/>
    <cellStyle name="Note 7 5 2 7" xfId="3879"/>
    <cellStyle name="Note 7 5 2 7 2" xfId="13207"/>
    <cellStyle name="Note 7 5 2 7 2 2" xfId="26513"/>
    <cellStyle name="Note 7 5 2 7 3" xfId="17617"/>
    <cellStyle name="Note 7 5 2 7 3 2" xfId="30923"/>
    <cellStyle name="Note 7 5 2 7 4" xfId="22103"/>
    <cellStyle name="Note 7 5 2 7_Table" xfId="7296"/>
    <cellStyle name="Note 7 5 2 8" xfId="4104"/>
    <cellStyle name="Note 7 5 2 8 2" xfId="13432"/>
    <cellStyle name="Note 7 5 2 8 2 2" xfId="26738"/>
    <cellStyle name="Note 7 5 2 8 3" xfId="17842"/>
    <cellStyle name="Note 7 5 2 8 3 2" xfId="31148"/>
    <cellStyle name="Note 7 5 2 8 4" xfId="22328"/>
    <cellStyle name="Note 7 5 2 8_Table" xfId="7297"/>
    <cellStyle name="Note 7 5 2 9" xfId="4465"/>
    <cellStyle name="Note 7 5 2 9 2" xfId="13793"/>
    <cellStyle name="Note 7 5 2 9 2 2" xfId="27099"/>
    <cellStyle name="Note 7 5 2 9 3" xfId="18203"/>
    <cellStyle name="Note 7 5 2 9 3 2" xfId="31509"/>
    <cellStyle name="Note 7 5 2 9 4" xfId="22689"/>
    <cellStyle name="Note 7 5 2 9_Table" xfId="7298"/>
    <cellStyle name="Note 7 5 2_Table" xfId="7289"/>
    <cellStyle name="Note 7 5 3" xfId="1411"/>
    <cellStyle name="Note 7 5 3 2" xfId="10739"/>
    <cellStyle name="Note 7 5 3 2 2" xfId="24045"/>
    <cellStyle name="Note 7 5 3 3" xfId="15149"/>
    <cellStyle name="Note 7 5 3 3 2" xfId="28455"/>
    <cellStyle name="Note 7 5 3 4" xfId="19635"/>
    <cellStyle name="Note 7 5 3_Table" xfId="7299"/>
    <cellStyle name="Note 7 5 4" xfId="1771"/>
    <cellStyle name="Note 7 5 4 2" xfId="11099"/>
    <cellStyle name="Note 7 5 4 2 2" xfId="24405"/>
    <cellStyle name="Note 7 5 4 3" xfId="15509"/>
    <cellStyle name="Note 7 5 4 3 2" xfId="28815"/>
    <cellStyle name="Note 7 5 4 4" xfId="19995"/>
    <cellStyle name="Note 7 5 4_Table" xfId="7300"/>
    <cellStyle name="Note 7 5 5" xfId="2204"/>
    <cellStyle name="Note 7 5 5 2" xfId="11532"/>
    <cellStyle name="Note 7 5 5 2 2" xfId="24838"/>
    <cellStyle name="Note 7 5 5 3" xfId="15942"/>
    <cellStyle name="Note 7 5 5 3 2" xfId="29248"/>
    <cellStyle name="Note 7 5 5 4" xfId="20428"/>
    <cellStyle name="Note 7 5 5_Table" xfId="7301"/>
    <cellStyle name="Note 7 5 6" xfId="2639"/>
    <cellStyle name="Note 7 5 6 2" xfId="11967"/>
    <cellStyle name="Note 7 5 6 2 2" xfId="25273"/>
    <cellStyle name="Note 7 5 6 3" xfId="16377"/>
    <cellStyle name="Note 7 5 6 3 2" xfId="29683"/>
    <cellStyle name="Note 7 5 6 4" xfId="20863"/>
    <cellStyle name="Note 7 5 6_Table" xfId="7302"/>
    <cellStyle name="Note 7 5 7" xfId="3052"/>
    <cellStyle name="Note 7 5 7 2" xfId="12380"/>
    <cellStyle name="Note 7 5 7 2 2" xfId="25686"/>
    <cellStyle name="Note 7 5 7 3" xfId="16790"/>
    <cellStyle name="Note 7 5 7 3 2" xfId="30096"/>
    <cellStyle name="Note 7 5 7 4" xfId="21276"/>
    <cellStyle name="Note 7 5 7_Table" xfId="7303"/>
    <cellStyle name="Note 7 5 8" xfId="3478"/>
    <cellStyle name="Note 7 5 8 2" xfId="12806"/>
    <cellStyle name="Note 7 5 8 2 2" xfId="26112"/>
    <cellStyle name="Note 7 5 8 3" xfId="17216"/>
    <cellStyle name="Note 7 5 8 3 2" xfId="30522"/>
    <cellStyle name="Note 7 5 8 4" xfId="21702"/>
    <cellStyle name="Note 7 5 8_Table" xfId="7304"/>
    <cellStyle name="Note 7 5 9" xfId="3667"/>
    <cellStyle name="Note 7 5 9 2" xfId="12995"/>
    <cellStyle name="Note 7 5 9 2 2" xfId="26301"/>
    <cellStyle name="Note 7 5 9 3" xfId="17405"/>
    <cellStyle name="Note 7 5 9 3 2" xfId="30711"/>
    <cellStyle name="Note 7 5 9 4" xfId="21891"/>
    <cellStyle name="Note 7 5 9_Table" xfId="7305"/>
    <cellStyle name="Note 7 5_Table" xfId="7286"/>
    <cellStyle name="Note 7 6" xfId="686"/>
    <cellStyle name="Note 7 6 10" xfId="4646"/>
    <cellStyle name="Note 7 6 10 2" xfId="13974"/>
    <cellStyle name="Note 7 6 10 2 2" xfId="27280"/>
    <cellStyle name="Note 7 6 10 3" xfId="18384"/>
    <cellStyle name="Note 7 6 10 3 2" xfId="31690"/>
    <cellStyle name="Note 7 6 10 4" xfId="22870"/>
    <cellStyle name="Note 7 6 10_Table" xfId="7307"/>
    <cellStyle name="Note 7 6 11" xfId="10014"/>
    <cellStyle name="Note 7 6 11 2" xfId="23320"/>
    <cellStyle name="Note 7 6 12" xfId="14424"/>
    <cellStyle name="Note 7 6 12 2" xfId="27730"/>
    <cellStyle name="Note 7 6 13" xfId="18910"/>
    <cellStyle name="Note 7 6 2" xfId="1472"/>
    <cellStyle name="Note 7 6 2 2" xfId="10800"/>
    <cellStyle name="Note 7 6 2 2 2" xfId="24106"/>
    <cellStyle name="Note 7 6 2 3" xfId="15210"/>
    <cellStyle name="Note 7 6 2 3 2" xfId="28516"/>
    <cellStyle name="Note 7 6 2 4" xfId="19696"/>
    <cellStyle name="Note 7 6 2_Table" xfId="7308"/>
    <cellStyle name="Note 7 6 3" xfId="1832"/>
    <cellStyle name="Note 7 6 3 2" xfId="11160"/>
    <cellStyle name="Note 7 6 3 2 2" xfId="24466"/>
    <cellStyle name="Note 7 6 3 3" xfId="15570"/>
    <cellStyle name="Note 7 6 3 3 2" xfId="28876"/>
    <cellStyle name="Note 7 6 3 4" xfId="20056"/>
    <cellStyle name="Note 7 6 3_Table" xfId="7309"/>
    <cellStyle name="Note 7 6 4" xfId="2262"/>
    <cellStyle name="Note 7 6 4 2" xfId="11590"/>
    <cellStyle name="Note 7 6 4 2 2" xfId="24896"/>
    <cellStyle name="Note 7 6 4 3" xfId="16000"/>
    <cellStyle name="Note 7 6 4 3 2" xfId="29306"/>
    <cellStyle name="Note 7 6 4 4" xfId="20486"/>
    <cellStyle name="Note 7 6 4_Table" xfId="7310"/>
    <cellStyle name="Note 7 6 5" xfId="2700"/>
    <cellStyle name="Note 7 6 5 2" xfId="12028"/>
    <cellStyle name="Note 7 6 5 2 2" xfId="25334"/>
    <cellStyle name="Note 7 6 5 3" xfId="16438"/>
    <cellStyle name="Note 7 6 5 3 2" xfId="29744"/>
    <cellStyle name="Note 7 6 5 4" xfId="20924"/>
    <cellStyle name="Note 7 6 5_Table" xfId="7311"/>
    <cellStyle name="Note 7 6 6" xfId="3107"/>
    <cellStyle name="Note 7 6 6 2" xfId="12435"/>
    <cellStyle name="Note 7 6 6 2 2" xfId="25741"/>
    <cellStyle name="Note 7 6 6 3" xfId="16845"/>
    <cellStyle name="Note 7 6 6 3 2" xfId="30151"/>
    <cellStyle name="Note 7 6 6 4" xfId="21331"/>
    <cellStyle name="Note 7 6 6_Table" xfId="7312"/>
    <cellStyle name="Note 7 6 7" xfId="3699"/>
    <cellStyle name="Note 7 6 7 2" xfId="13027"/>
    <cellStyle name="Note 7 6 7 2 2" xfId="26333"/>
    <cellStyle name="Note 7 6 7 3" xfId="17437"/>
    <cellStyle name="Note 7 6 7 3 2" xfId="30743"/>
    <cellStyle name="Note 7 6 7 4" xfId="21923"/>
    <cellStyle name="Note 7 6 7_Table" xfId="7313"/>
    <cellStyle name="Note 7 6 8" xfId="3924"/>
    <cellStyle name="Note 7 6 8 2" xfId="13252"/>
    <cellStyle name="Note 7 6 8 2 2" xfId="26558"/>
    <cellStyle name="Note 7 6 8 3" xfId="17662"/>
    <cellStyle name="Note 7 6 8 3 2" xfId="30968"/>
    <cellStyle name="Note 7 6 8 4" xfId="22148"/>
    <cellStyle name="Note 7 6 8_Table" xfId="7314"/>
    <cellStyle name="Note 7 6 9" xfId="4285"/>
    <cellStyle name="Note 7 6 9 2" xfId="13613"/>
    <cellStyle name="Note 7 6 9 2 2" xfId="26919"/>
    <cellStyle name="Note 7 6 9 3" xfId="18023"/>
    <cellStyle name="Note 7 6 9 3 2" xfId="31329"/>
    <cellStyle name="Note 7 6 9 4" xfId="22509"/>
    <cellStyle name="Note 7 6 9_Table" xfId="7315"/>
    <cellStyle name="Note 7 6_Table" xfId="7306"/>
    <cellStyle name="Note 7 7" xfId="1180"/>
    <cellStyle name="Note 7 7 2" xfId="10508"/>
    <cellStyle name="Note 7 7 2 2" xfId="23814"/>
    <cellStyle name="Note 7 7 3" xfId="14918"/>
    <cellStyle name="Note 7 7 3 2" xfId="28224"/>
    <cellStyle name="Note 7 7 4" xfId="19404"/>
    <cellStyle name="Note 7 7_Table" xfId="7316"/>
    <cellStyle name="Note 7 8" xfId="1064"/>
    <cellStyle name="Note 7 8 2" xfId="10392"/>
    <cellStyle name="Note 7 8 2 2" xfId="23698"/>
    <cellStyle name="Note 7 8 3" xfId="14802"/>
    <cellStyle name="Note 7 8 3 2" xfId="28108"/>
    <cellStyle name="Note 7 8 4" xfId="19288"/>
    <cellStyle name="Note 7 8_Table" xfId="7317"/>
    <cellStyle name="Note 7 9" xfId="1317"/>
    <cellStyle name="Note 7 9 2" xfId="10645"/>
    <cellStyle name="Note 7 9 2 2" xfId="23951"/>
    <cellStyle name="Note 7 9 3" xfId="15055"/>
    <cellStyle name="Note 7 9 3 2" xfId="28361"/>
    <cellStyle name="Note 7 9 4" xfId="19541"/>
    <cellStyle name="Note 7 9_Table" xfId="7318"/>
    <cellStyle name="Note 7_Table" xfId="7219"/>
    <cellStyle name="Note 8" xfId="347"/>
    <cellStyle name="Note 8 10" xfId="1799"/>
    <cellStyle name="Note 8 10 2" xfId="11127"/>
    <cellStyle name="Note 8 10 2 2" xfId="24433"/>
    <cellStyle name="Note 8 10 3" xfId="15537"/>
    <cellStyle name="Note 8 10 3 2" xfId="28843"/>
    <cellStyle name="Note 8 10 4" xfId="20023"/>
    <cellStyle name="Note 8 10_Table" xfId="7320"/>
    <cellStyle name="Note 8 11" xfId="2231"/>
    <cellStyle name="Note 8 11 2" xfId="11559"/>
    <cellStyle name="Note 8 11 2 2" xfId="24865"/>
    <cellStyle name="Note 8 11 3" xfId="15969"/>
    <cellStyle name="Note 8 11 3 2" xfId="29275"/>
    <cellStyle name="Note 8 11 4" xfId="20455"/>
    <cellStyle name="Note 8 11_Table" xfId="7321"/>
    <cellStyle name="Note 8 12" xfId="2666"/>
    <cellStyle name="Note 8 12 2" xfId="11994"/>
    <cellStyle name="Note 8 12 2 2" xfId="25300"/>
    <cellStyle name="Note 8 12 3" xfId="16404"/>
    <cellStyle name="Note 8 12 3 2" xfId="29710"/>
    <cellStyle name="Note 8 12 4" xfId="20890"/>
    <cellStyle name="Note 8 12_Table" xfId="7322"/>
    <cellStyle name="Note 8 13" xfId="3557"/>
    <cellStyle name="Note 8 13 2" xfId="12885"/>
    <cellStyle name="Note 8 13 2 2" xfId="26191"/>
    <cellStyle name="Note 8 13 3" xfId="17295"/>
    <cellStyle name="Note 8 13 3 2" xfId="30601"/>
    <cellStyle name="Note 8 13 4" xfId="21781"/>
    <cellStyle name="Note 8 13_Table" xfId="7323"/>
    <cellStyle name="Note 8 14" xfId="3614"/>
    <cellStyle name="Note 8 14 2" xfId="12942"/>
    <cellStyle name="Note 8 14 2 2" xfId="26248"/>
    <cellStyle name="Note 8 14 3" xfId="17352"/>
    <cellStyle name="Note 8 14 3 2" xfId="30658"/>
    <cellStyle name="Note 8 14 4" xfId="21838"/>
    <cellStyle name="Note 8 14_Table" xfId="7324"/>
    <cellStyle name="Note 8 15" xfId="3610"/>
    <cellStyle name="Note 8 15 2" xfId="12938"/>
    <cellStyle name="Note 8 15 2 2" xfId="26244"/>
    <cellStyle name="Note 8 15 3" xfId="17348"/>
    <cellStyle name="Note 8 15 3 2" xfId="30654"/>
    <cellStyle name="Note 8 15 4" xfId="21834"/>
    <cellStyle name="Note 8 15_Table" xfId="7325"/>
    <cellStyle name="Note 8 16" xfId="9675"/>
    <cellStyle name="Note 8 16 2" xfId="23096"/>
    <cellStyle name="Note 8 17" xfId="14200"/>
    <cellStyle name="Note 8 17 2" xfId="27506"/>
    <cellStyle name="Note 8 18" xfId="18686"/>
    <cellStyle name="Note 8 2" xfId="418"/>
    <cellStyle name="Note 8 2 10" xfId="1155"/>
    <cellStyle name="Note 8 2 10 2" xfId="10483"/>
    <cellStyle name="Note 8 2 10 2 2" xfId="23789"/>
    <cellStyle name="Note 8 2 10 3" xfId="14893"/>
    <cellStyle name="Note 8 2 10 3 2" xfId="28199"/>
    <cellStyle name="Note 8 2 10 4" xfId="19379"/>
    <cellStyle name="Note 8 2 10_Table" xfId="7327"/>
    <cellStyle name="Note 8 2 11" xfId="3544"/>
    <cellStyle name="Note 8 2 11 2" xfId="12872"/>
    <cellStyle name="Note 8 2 11 2 2" xfId="26178"/>
    <cellStyle name="Note 8 2 11 3" xfId="17282"/>
    <cellStyle name="Note 8 2 11 3 2" xfId="30588"/>
    <cellStyle name="Note 8 2 11 4" xfId="21768"/>
    <cellStyle name="Note 8 2 11_Table" xfId="7328"/>
    <cellStyle name="Note 8 2 12" xfId="9746"/>
    <cellStyle name="Note 8 2 12 2" xfId="23141"/>
    <cellStyle name="Note 8 2 13" xfId="14245"/>
    <cellStyle name="Note 8 2 13 2" xfId="27551"/>
    <cellStyle name="Note 8 2 14" xfId="18731"/>
    <cellStyle name="Note 8 2 2" xfId="732"/>
    <cellStyle name="Note 8 2 2 10" xfId="4692"/>
    <cellStyle name="Note 8 2 2 10 2" xfId="14020"/>
    <cellStyle name="Note 8 2 2 10 2 2" xfId="27326"/>
    <cellStyle name="Note 8 2 2 10 3" xfId="18430"/>
    <cellStyle name="Note 8 2 2 10 3 2" xfId="31736"/>
    <cellStyle name="Note 8 2 2 10 4" xfId="22916"/>
    <cellStyle name="Note 8 2 2 10_Table" xfId="7330"/>
    <cellStyle name="Note 8 2 2 11" xfId="10060"/>
    <cellStyle name="Note 8 2 2 11 2" xfId="23366"/>
    <cellStyle name="Note 8 2 2 12" xfId="14470"/>
    <cellStyle name="Note 8 2 2 12 2" xfId="27776"/>
    <cellStyle name="Note 8 2 2 13" xfId="18956"/>
    <cellStyle name="Note 8 2 2 2" xfId="1518"/>
    <cellStyle name="Note 8 2 2 2 2" xfId="10846"/>
    <cellStyle name="Note 8 2 2 2 2 2" xfId="24152"/>
    <cellStyle name="Note 8 2 2 2 3" xfId="15256"/>
    <cellStyle name="Note 8 2 2 2 3 2" xfId="28562"/>
    <cellStyle name="Note 8 2 2 2 4" xfId="19742"/>
    <cellStyle name="Note 8 2 2 2_Table" xfId="7331"/>
    <cellStyle name="Note 8 2 2 3" xfId="1878"/>
    <cellStyle name="Note 8 2 2 3 2" xfId="11206"/>
    <cellStyle name="Note 8 2 2 3 2 2" xfId="24512"/>
    <cellStyle name="Note 8 2 2 3 3" xfId="15616"/>
    <cellStyle name="Note 8 2 2 3 3 2" xfId="28922"/>
    <cellStyle name="Note 8 2 2 3 4" xfId="20102"/>
    <cellStyle name="Note 8 2 2 3_Table" xfId="7332"/>
    <cellStyle name="Note 8 2 2 4" xfId="2308"/>
    <cellStyle name="Note 8 2 2 4 2" xfId="11636"/>
    <cellStyle name="Note 8 2 2 4 2 2" xfId="24942"/>
    <cellStyle name="Note 8 2 2 4 3" xfId="16046"/>
    <cellStyle name="Note 8 2 2 4 3 2" xfId="29352"/>
    <cellStyle name="Note 8 2 2 4 4" xfId="20532"/>
    <cellStyle name="Note 8 2 2 4_Table" xfId="7333"/>
    <cellStyle name="Note 8 2 2 5" xfId="2746"/>
    <cellStyle name="Note 8 2 2 5 2" xfId="12074"/>
    <cellStyle name="Note 8 2 2 5 2 2" xfId="25380"/>
    <cellStyle name="Note 8 2 2 5 3" xfId="16484"/>
    <cellStyle name="Note 8 2 2 5 3 2" xfId="29790"/>
    <cellStyle name="Note 8 2 2 5 4" xfId="20970"/>
    <cellStyle name="Note 8 2 2 5_Table" xfId="7334"/>
    <cellStyle name="Note 8 2 2 6" xfId="3153"/>
    <cellStyle name="Note 8 2 2 6 2" xfId="12481"/>
    <cellStyle name="Note 8 2 2 6 2 2" xfId="25787"/>
    <cellStyle name="Note 8 2 2 6 3" xfId="16891"/>
    <cellStyle name="Note 8 2 2 6 3 2" xfId="30197"/>
    <cellStyle name="Note 8 2 2 6 4" xfId="21377"/>
    <cellStyle name="Note 8 2 2 6_Table" xfId="7335"/>
    <cellStyle name="Note 8 2 2 7" xfId="3745"/>
    <cellStyle name="Note 8 2 2 7 2" xfId="13073"/>
    <cellStyle name="Note 8 2 2 7 2 2" xfId="26379"/>
    <cellStyle name="Note 8 2 2 7 3" xfId="17483"/>
    <cellStyle name="Note 8 2 2 7 3 2" xfId="30789"/>
    <cellStyle name="Note 8 2 2 7 4" xfId="21969"/>
    <cellStyle name="Note 8 2 2 7_Table" xfId="7336"/>
    <cellStyle name="Note 8 2 2 8" xfId="3970"/>
    <cellStyle name="Note 8 2 2 8 2" xfId="13298"/>
    <cellStyle name="Note 8 2 2 8 2 2" xfId="26604"/>
    <cellStyle name="Note 8 2 2 8 3" xfId="17708"/>
    <cellStyle name="Note 8 2 2 8 3 2" xfId="31014"/>
    <cellStyle name="Note 8 2 2 8 4" xfId="22194"/>
    <cellStyle name="Note 8 2 2 8_Table" xfId="7337"/>
    <cellStyle name="Note 8 2 2 9" xfId="4331"/>
    <cellStyle name="Note 8 2 2 9 2" xfId="13659"/>
    <cellStyle name="Note 8 2 2 9 2 2" xfId="26965"/>
    <cellStyle name="Note 8 2 2 9 3" xfId="18069"/>
    <cellStyle name="Note 8 2 2 9 3 2" xfId="31375"/>
    <cellStyle name="Note 8 2 2 9 4" xfId="22555"/>
    <cellStyle name="Note 8 2 2 9_Table" xfId="7338"/>
    <cellStyle name="Note 8 2 2_Table" xfId="7329"/>
    <cellStyle name="Note 8 2 3" xfId="1232"/>
    <cellStyle name="Note 8 2 3 2" xfId="10560"/>
    <cellStyle name="Note 8 2 3 2 2" xfId="23866"/>
    <cellStyle name="Note 8 2 3 3" xfId="14970"/>
    <cellStyle name="Note 8 2 3 3 2" xfId="28276"/>
    <cellStyle name="Note 8 2 3 4" xfId="19456"/>
    <cellStyle name="Note 8 2 3_Table" xfId="7339"/>
    <cellStyle name="Note 8 2 4" xfId="994"/>
    <cellStyle name="Note 8 2 4 2" xfId="10322"/>
    <cellStyle name="Note 8 2 4 2 2" xfId="23628"/>
    <cellStyle name="Note 8 2 4 3" xfId="14732"/>
    <cellStyle name="Note 8 2 4 3 2" xfId="28038"/>
    <cellStyle name="Note 8 2 4 4" xfId="19218"/>
    <cellStyle name="Note 8 2 4_Table" xfId="7340"/>
    <cellStyle name="Note 8 2 5" xfId="1434"/>
    <cellStyle name="Note 8 2 5 2" xfId="10762"/>
    <cellStyle name="Note 8 2 5 2 2" xfId="24068"/>
    <cellStyle name="Note 8 2 5 3" xfId="15172"/>
    <cellStyle name="Note 8 2 5 3 2" xfId="28478"/>
    <cellStyle name="Note 8 2 5 4" xfId="19658"/>
    <cellStyle name="Note 8 2 5_Table" xfId="7341"/>
    <cellStyle name="Note 8 2 6" xfId="1792"/>
    <cellStyle name="Note 8 2 6 2" xfId="11120"/>
    <cellStyle name="Note 8 2 6 2 2" xfId="24426"/>
    <cellStyle name="Note 8 2 6 3" xfId="15530"/>
    <cellStyle name="Note 8 2 6 3 2" xfId="28836"/>
    <cellStyle name="Note 8 2 6 4" xfId="20016"/>
    <cellStyle name="Note 8 2 6_Table" xfId="7342"/>
    <cellStyle name="Note 8 2 7" xfId="2225"/>
    <cellStyle name="Note 8 2 7 2" xfId="11553"/>
    <cellStyle name="Note 8 2 7 2 2" xfId="24859"/>
    <cellStyle name="Note 8 2 7 3" xfId="15963"/>
    <cellStyle name="Note 8 2 7 3 2" xfId="29269"/>
    <cellStyle name="Note 8 2 7 4" xfId="20449"/>
    <cellStyle name="Note 8 2 7_Table" xfId="7343"/>
    <cellStyle name="Note 8 2 8" xfId="2660"/>
    <cellStyle name="Note 8 2 8 2" xfId="11988"/>
    <cellStyle name="Note 8 2 8 2 2" xfId="25294"/>
    <cellStyle name="Note 8 2 8 3" xfId="16398"/>
    <cellStyle name="Note 8 2 8 3 2" xfId="29704"/>
    <cellStyle name="Note 8 2 8 4" xfId="20884"/>
    <cellStyle name="Note 8 2 8_Table" xfId="7344"/>
    <cellStyle name="Note 8 2 9" xfId="3517"/>
    <cellStyle name="Note 8 2 9 2" xfId="12845"/>
    <cellStyle name="Note 8 2 9 2 2" xfId="26151"/>
    <cellStyle name="Note 8 2 9 3" xfId="17255"/>
    <cellStyle name="Note 8 2 9 3 2" xfId="30561"/>
    <cellStyle name="Note 8 2 9 4" xfId="21741"/>
    <cellStyle name="Note 8 2 9_Table" xfId="7345"/>
    <cellStyle name="Note 8 2_Table" xfId="7326"/>
    <cellStyle name="Note 8 3" xfId="486"/>
    <cellStyle name="Note 8 3 10" xfId="4151"/>
    <cellStyle name="Note 8 3 10 2" xfId="13479"/>
    <cellStyle name="Note 8 3 10 2 2" xfId="26785"/>
    <cellStyle name="Note 8 3 10 3" xfId="17889"/>
    <cellStyle name="Note 8 3 10 3 2" xfId="31195"/>
    <cellStyle name="Note 8 3 10 4" xfId="22375"/>
    <cellStyle name="Note 8 3 10_Table" xfId="7347"/>
    <cellStyle name="Note 8 3 11" xfId="4512"/>
    <cellStyle name="Note 8 3 11 2" xfId="13840"/>
    <cellStyle name="Note 8 3 11 2 2" xfId="27146"/>
    <cellStyle name="Note 8 3 11 3" xfId="18250"/>
    <cellStyle name="Note 8 3 11 3 2" xfId="31556"/>
    <cellStyle name="Note 8 3 11 4" xfId="22736"/>
    <cellStyle name="Note 8 3 11_Table" xfId="7348"/>
    <cellStyle name="Note 8 3 12" xfId="9814"/>
    <cellStyle name="Note 8 3 12 2" xfId="23186"/>
    <cellStyle name="Note 8 3 13" xfId="14290"/>
    <cellStyle name="Note 8 3 13 2" xfId="27596"/>
    <cellStyle name="Note 8 3 14" xfId="18776"/>
    <cellStyle name="Note 8 3 2" xfId="777"/>
    <cellStyle name="Note 8 3 2 10" xfId="4737"/>
    <cellStyle name="Note 8 3 2 10 2" xfId="14065"/>
    <cellStyle name="Note 8 3 2 10 2 2" xfId="27371"/>
    <cellStyle name="Note 8 3 2 10 3" xfId="18475"/>
    <cellStyle name="Note 8 3 2 10 3 2" xfId="31781"/>
    <cellStyle name="Note 8 3 2 10 4" xfId="22961"/>
    <cellStyle name="Note 8 3 2 10_Table" xfId="7350"/>
    <cellStyle name="Note 8 3 2 11" xfId="10105"/>
    <cellStyle name="Note 8 3 2 11 2" xfId="23411"/>
    <cellStyle name="Note 8 3 2 12" xfId="14515"/>
    <cellStyle name="Note 8 3 2 12 2" xfId="27821"/>
    <cellStyle name="Note 8 3 2 13" xfId="19001"/>
    <cellStyle name="Note 8 3 2 2" xfId="1563"/>
    <cellStyle name="Note 8 3 2 2 2" xfId="10891"/>
    <cellStyle name="Note 8 3 2 2 2 2" xfId="24197"/>
    <cellStyle name="Note 8 3 2 2 3" xfId="15301"/>
    <cellStyle name="Note 8 3 2 2 3 2" xfId="28607"/>
    <cellStyle name="Note 8 3 2 2 4" xfId="19787"/>
    <cellStyle name="Note 8 3 2 2_Table" xfId="7351"/>
    <cellStyle name="Note 8 3 2 3" xfId="1923"/>
    <cellStyle name="Note 8 3 2 3 2" xfId="11251"/>
    <cellStyle name="Note 8 3 2 3 2 2" xfId="24557"/>
    <cellStyle name="Note 8 3 2 3 3" xfId="15661"/>
    <cellStyle name="Note 8 3 2 3 3 2" xfId="28967"/>
    <cellStyle name="Note 8 3 2 3 4" xfId="20147"/>
    <cellStyle name="Note 8 3 2 3_Table" xfId="7352"/>
    <cellStyle name="Note 8 3 2 4" xfId="2353"/>
    <cellStyle name="Note 8 3 2 4 2" xfId="11681"/>
    <cellStyle name="Note 8 3 2 4 2 2" xfId="24987"/>
    <cellStyle name="Note 8 3 2 4 3" xfId="16091"/>
    <cellStyle name="Note 8 3 2 4 3 2" xfId="29397"/>
    <cellStyle name="Note 8 3 2 4 4" xfId="20577"/>
    <cellStyle name="Note 8 3 2 4_Table" xfId="7353"/>
    <cellStyle name="Note 8 3 2 5" xfId="2791"/>
    <cellStyle name="Note 8 3 2 5 2" xfId="12119"/>
    <cellStyle name="Note 8 3 2 5 2 2" xfId="25425"/>
    <cellStyle name="Note 8 3 2 5 3" xfId="16529"/>
    <cellStyle name="Note 8 3 2 5 3 2" xfId="29835"/>
    <cellStyle name="Note 8 3 2 5 4" xfId="21015"/>
    <cellStyle name="Note 8 3 2 5_Table" xfId="7354"/>
    <cellStyle name="Note 8 3 2 6" xfId="3198"/>
    <cellStyle name="Note 8 3 2 6 2" xfId="12526"/>
    <cellStyle name="Note 8 3 2 6 2 2" xfId="25832"/>
    <cellStyle name="Note 8 3 2 6 3" xfId="16936"/>
    <cellStyle name="Note 8 3 2 6 3 2" xfId="30242"/>
    <cellStyle name="Note 8 3 2 6 4" xfId="21422"/>
    <cellStyle name="Note 8 3 2 6_Table" xfId="7355"/>
    <cellStyle name="Note 8 3 2 7" xfId="3790"/>
    <cellStyle name="Note 8 3 2 7 2" xfId="13118"/>
    <cellStyle name="Note 8 3 2 7 2 2" xfId="26424"/>
    <cellStyle name="Note 8 3 2 7 3" xfId="17528"/>
    <cellStyle name="Note 8 3 2 7 3 2" xfId="30834"/>
    <cellStyle name="Note 8 3 2 7 4" xfId="22014"/>
    <cellStyle name="Note 8 3 2 7_Table" xfId="7356"/>
    <cellStyle name="Note 8 3 2 8" xfId="4015"/>
    <cellStyle name="Note 8 3 2 8 2" xfId="13343"/>
    <cellStyle name="Note 8 3 2 8 2 2" xfId="26649"/>
    <cellStyle name="Note 8 3 2 8 3" xfId="17753"/>
    <cellStyle name="Note 8 3 2 8 3 2" xfId="31059"/>
    <cellStyle name="Note 8 3 2 8 4" xfId="22239"/>
    <cellStyle name="Note 8 3 2 8_Table" xfId="7357"/>
    <cellStyle name="Note 8 3 2 9" xfId="4376"/>
    <cellStyle name="Note 8 3 2 9 2" xfId="13704"/>
    <cellStyle name="Note 8 3 2 9 2 2" xfId="27010"/>
    <cellStyle name="Note 8 3 2 9 3" xfId="18114"/>
    <cellStyle name="Note 8 3 2 9 3 2" xfId="31420"/>
    <cellStyle name="Note 8 3 2 9 4" xfId="22600"/>
    <cellStyle name="Note 8 3 2 9_Table" xfId="7358"/>
    <cellStyle name="Note 8 3 2_Table" xfId="7349"/>
    <cellStyle name="Note 8 3 3" xfId="1289"/>
    <cellStyle name="Note 8 3 3 2" xfId="10617"/>
    <cellStyle name="Note 8 3 3 2 2" xfId="23923"/>
    <cellStyle name="Note 8 3 3 3" xfId="15027"/>
    <cellStyle name="Note 8 3 3 3 2" xfId="28333"/>
    <cellStyle name="Note 8 3 3 4" xfId="19513"/>
    <cellStyle name="Note 8 3 3_Table" xfId="7359"/>
    <cellStyle name="Note 8 3 4" xfId="928"/>
    <cellStyle name="Note 8 3 4 2" xfId="10256"/>
    <cellStyle name="Note 8 3 4 2 2" xfId="23562"/>
    <cellStyle name="Note 8 3 4 3" xfId="14666"/>
    <cellStyle name="Note 8 3 4 3 2" xfId="27972"/>
    <cellStyle name="Note 8 3 4 4" xfId="19152"/>
    <cellStyle name="Note 8 3 4_Table" xfId="7360"/>
    <cellStyle name="Note 8 3 5" xfId="2077"/>
    <cellStyle name="Note 8 3 5 2" xfId="11405"/>
    <cellStyle name="Note 8 3 5 2 2" xfId="24711"/>
    <cellStyle name="Note 8 3 5 3" xfId="15815"/>
    <cellStyle name="Note 8 3 5 3 2" xfId="29121"/>
    <cellStyle name="Note 8 3 5 4" xfId="20301"/>
    <cellStyle name="Note 8 3 5_Table" xfId="7361"/>
    <cellStyle name="Note 8 3 6" xfId="2509"/>
    <cellStyle name="Note 8 3 6 2" xfId="11837"/>
    <cellStyle name="Note 8 3 6 2 2" xfId="25143"/>
    <cellStyle name="Note 8 3 6 3" xfId="16247"/>
    <cellStyle name="Note 8 3 6 3 2" xfId="29553"/>
    <cellStyle name="Note 8 3 6 4" xfId="20733"/>
    <cellStyle name="Note 8 3 6_Table" xfId="7362"/>
    <cellStyle name="Note 8 3 7" xfId="2937"/>
    <cellStyle name="Note 8 3 7 2" xfId="12265"/>
    <cellStyle name="Note 8 3 7 2 2" xfId="25571"/>
    <cellStyle name="Note 8 3 7 3" xfId="16675"/>
    <cellStyle name="Note 8 3 7 3 2" xfId="29981"/>
    <cellStyle name="Note 8 3 7 4" xfId="21161"/>
    <cellStyle name="Note 8 3 7_Table" xfId="7363"/>
    <cellStyle name="Note 8 3 8" xfId="3350"/>
    <cellStyle name="Note 8 3 8 2" xfId="12678"/>
    <cellStyle name="Note 8 3 8 2 2" xfId="25984"/>
    <cellStyle name="Note 8 3 8 3" xfId="17088"/>
    <cellStyle name="Note 8 3 8 3 2" xfId="30394"/>
    <cellStyle name="Note 8 3 8 4" xfId="21574"/>
    <cellStyle name="Note 8 3 8_Table" xfId="7364"/>
    <cellStyle name="Note 8 3 9" xfId="3375"/>
    <cellStyle name="Note 8 3 9 2" xfId="12703"/>
    <cellStyle name="Note 8 3 9 2 2" xfId="26009"/>
    <cellStyle name="Note 8 3 9 3" xfId="17113"/>
    <cellStyle name="Note 8 3 9 3 2" xfId="30419"/>
    <cellStyle name="Note 8 3 9 4" xfId="21599"/>
    <cellStyle name="Note 8 3 9_Table" xfId="7365"/>
    <cellStyle name="Note 8 3_Table" xfId="7346"/>
    <cellStyle name="Note 8 4" xfId="550"/>
    <cellStyle name="Note 8 4 10" xfId="4196"/>
    <cellStyle name="Note 8 4 10 2" xfId="13524"/>
    <cellStyle name="Note 8 4 10 2 2" xfId="26830"/>
    <cellStyle name="Note 8 4 10 3" xfId="17934"/>
    <cellStyle name="Note 8 4 10 3 2" xfId="31240"/>
    <cellStyle name="Note 8 4 10 4" xfId="22420"/>
    <cellStyle name="Note 8 4 10_Table" xfId="7367"/>
    <cellStyle name="Note 8 4 11" xfId="4557"/>
    <cellStyle name="Note 8 4 11 2" xfId="13885"/>
    <cellStyle name="Note 8 4 11 2 2" xfId="27191"/>
    <cellStyle name="Note 8 4 11 3" xfId="18295"/>
    <cellStyle name="Note 8 4 11 3 2" xfId="31601"/>
    <cellStyle name="Note 8 4 11 4" xfId="22781"/>
    <cellStyle name="Note 8 4 11_Table" xfId="7368"/>
    <cellStyle name="Note 8 4 12" xfId="9878"/>
    <cellStyle name="Note 8 4 12 2" xfId="23231"/>
    <cellStyle name="Note 8 4 13" xfId="14335"/>
    <cellStyle name="Note 8 4 13 2" xfId="27641"/>
    <cellStyle name="Note 8 4 14" xfId="18821"/>
    <cellStyle name="Note 8 4 2" xfId="822"/>
    <cellStyle name="Note 8 4 2 10" xfId="4782"/>
    <cellStyle name="Note 8 4 2 10 2" xfId="14110"/>
    <cellStyle name="Note 8 4 2 10 2 2" xfId="27416"/>
    <cellStyle name="Note 8 4 2 10 3" xfId="18520"/>
    <cellStyle name="Note 8 4 2 10 3 2" xfId="31826"/>
    <cellStyle name="Note 8 4 2 10 4" xfId="23006"/>
    <cellStyle name="Note 8 4 2 10_Table" xfId="7370"/>
    <cellStyle name="Note 8 4 2 11" xfId="10150"/>
    <cellStyle name="Note 8 4 2 11 2" xfId="23456"/>
    <cellStyle name="Note 8 4 2 12" xfId="14560"/>
    <cellStyle name="Note 8 4 2 12 2" xfId="27866"/>
    <cellStyle name="Note 8 4 2 13" xfId="19046"/>
    <cellStyle name="Note 8 4 2 2" xfId="1608"/>
    <cellStyle name="Note 8 4 2 2 2" xfId="10936"/>
    <cellStyle name="Note 8 4 2 2 2 2" xfId="24242"/>
    <cellStyle name="Note 8 4 2 2 3" xfId="15346"/>
    <cellStyle name="Note 8 4 2 2 3 2" xfId="28652"/>
    <cellStyle name="Note 8 4 2 2 4" xfId="19832"/>
    <cellStyle name="Note 8 4 2 2_Table" xfId="7371"/>
    <cellStyle name="Note 8 4 2 3" xfId="1968"/>
    <cellStyle name="Note 8 4 2 3 2" xfId="11296"/>
    <cellStyle name="Note 8 4 2 3 2 2" xfId="24602"/>
    <cellStyle name="Note 8 4 2 3 3" xfId="15706"/>
    <cellStyle name="Note 8 4 2 3 3 2" xfId="29012"/>
    <cellStyle name="Note 8 4 2 3 4" xfId="20192"/>
    <cellStyle name="Note 8 4 2 3_Table" xfId="7372"/>
    <cellStyle name="Note 8 4 2 4" xfId="2398"/>
    <cellStyle name="Note 8 4 2 4 2" xfId="11726"/>
    <cellStyle name="Note 8 4 2 4 2 2" xfId="25032"/>
    <cellStyle name="Note 8 4 2 4 3" xfId="16136"/>
    <cellStyle name="Note 8 4 2 4 3 2" xfId="29442"/>
    <cellStyle name="Note 8 4 2 4 4" xfId="20622"/>
    <cellStyle name="Note 8 4 2 4_Table" xfId="7373"/>
    <cellStyle name="Note 8 4 2 5" xfId="2836"/>
    <cellStyle name="Note 8 4 2 5 2" xfId="12164"/>
    <cellStyle name="Note 8 4 2 5 2 2" xfId="25470"/>
    <cellStyle name="Note 8 4 2 5 3" xfId="16574"/>
    <cellStyle name="Note 8 4 2 5 3 2" xfId="29880"/>
    <cellStyle name="Note 8 4 2 5 4" xfId="21060"/>
    <cellStyle name="Note 8 4 2 5_Table" xfId="7374"/>
    <cellStyle name="Note 8 4 2 6" xfId="3243"/>
    <cellStyle name="Note 8 4 2 6 2" xfId="12571"/>
    <cellStyle name="Note 8 4 2 6 2 2" xfId="25877"/>
    <cellStyle name="Note 8 4 2 6 3" xfId="16981"/>
    <cellStyle name="Note 8 4 2 6 3 2" xfId="30287"/>
    <cellStyle name="Note 8 4 2 6 4" xfId="21467"/>
    <cellStyle name="Note 8 4 2 6_Table" xfId="7375"/>
    <cellStyle name="Note 8 4 2 7" xfId="3835"/>
    <cellStyle name="Note 8 4 2 7 2" xfId="13163"/>
    <cellStyle name="Note 8 4 2 7 2 2" xfId="26469"/>
    <cellStyle name="Note 8 4 2 7 3" xfId="17573"/>
    <cellStyle name="Note 8 4 2 7 3 2" xfId="30879"/>
    <cellStyle name="Note 8 4 2 7 4" xfId="22059"/>
    <cellStyle name="Note 8 4 2 7_Table" xfId="7376"/>
    <cellStyle name="Note 8 4 2 8" xfId="4060"/>
    <cellStyle name="Note 8 4 2 8 2" xfId="13388"/>
    <cellStyle name="Note 8 4 2 8 2 2" xfId="26694"/>
    <cellStyle name="Note 8 4 2 8 3" xfId="17798"/>
    <cellStyle name="Note 8 4 2 8 3 2" xfId="31104"/>
    <cellStyle name="Note 8 4 2 8 4" xfId="22284"/>
    <cellStyle name="Note 8 4 2 8_Table" xfId="7377"/>
    <cellStyle name="Note 8 4 2 9" xfId="4421"/>
    <cellStyle name="Note 8 4 2 9 2" xfId="13749"/>
    <cellStyle name="Note 8 4 2 9 2 2" xfId="27055"/>
    <cellStyle name="Note 8 4 2 9 3" xfId="18159"/>
    <cellStyle name="Note 8 4 2 9 3 2" xfId="31465"/>
    <cellStyle name="Note 8 4 2 9 4" xfId="22645"/>
    <cellStyle name="Note 8 4 2 9_Table" xfId="7378"/>
    <cellStyle name="Note 8 4 2_Table" xfId="7369"/>
    <cellStyle name="Note 8 4 3" xfId="1345"/>
    <cellStyle name="Note 8 4 3 2" xfId="10673"/>
    <cellStyle name="Note 8 4 3 2 2" xfId="23979"/>
    <cellStyle name="Note 8 4 3 3" xfId="15083"/>
    <cellStyle name="Note 8 4 3 3 2" xfId="28389"/>
    <cellStyle name="Note 8 4 3 4" xfId="19569"/>
    <cellStyle name="Note 8 4 3_Table" xfId="7379"/>
    <cellStyle name="Note 8 4 4" xfId="1702"/>
    <cellStyle name="Note 8 4 4 2" xfId="11030"/>
    <cellStyle name="Note 8 4 4 2 2" xfId="24336"/>
    <cellStyle name="Note 8 4 4 3" xfId="15440"/>
    <cellStyle name="Note 8 4 4 3 2" xfId="28746"/>
    <cellStyle name="Note 8 4 4 4" xfId="19926"/>
    <cellStyle name="Note 8 4 4_Table" xfId="7380"/>
    <cellStyle name="Note 8 4 5" xfId="2136"/>
    <cellStyle name="Note 8 4 5 2" xfId="11464"/>
    <cellStyle name="Note 8 4 5 2 2" xfId="24770"/>
    <cellStyle name="Note 8 4 5 3" xfId="15874"/>
    <cellStyle name="Note 8 4 5 3 2" xfId="29180"/>
    <cellStyle name="Note 8 4 5 4" xfId="20360"/>
    <cellStyle name="Note 8 4 5_Table" xfId="7381"/>
    <cellStyle name="Note 8 4 6" xfId="2568"/>
    <cellStyle name="Note 8 4 6 2" xfId="11896"/>
    <cellStyle name="Note 8 4 6 2 2" xfId="25202"/>
    <cellStyle name="Note 8 4 6 3" xfId="16306"/>
    <cellStyle name="Note 8 4 6 3 2" xfId="29612"/>
    <cellStyle name="Note 8 4 6 4" xfId="20792"/>
    <cellStyle name="Note 8 4 6_Table" xfId="7382"/>
    <cellStyle name="Note 8 4 7" xfId="2994"/>
    <cellStyle name="Note 8 4 7 2" xfId="12322"/>
    <cellStyle name="Note 8 4 7 2 2" xfId="25628"/>
    <cellStyle name="Note 8 4 7 3" xfId="16732"/>
    <cellStyle name="Note 8 4 7 3 2" xfId="30038"/>
    <cellStyle name="Note 8 4 7 4" xfId="21218"/>
    <cellStyle name="Note 8 4 7_Table" xfId="7383"/>
    <cellStyle name="Note 8 4 8" xfId="3408"/>
    <cellStyle name="Note 8 4 8 2" xfId="12736"/>
    <cellStyle name="Note 8 4 8 2 2" xfId="26042"/>
    <cellStyle name="Note 8 4 8 3" xfId="17146"/>
    <cellStyle name="Note 8 4 8 3 2" xfId="30452"/>
    <cellStyle name="Note 8 4 8 4" xfId="21632"/>
    <cellStyle name="Note 8 4 8_Table" xfId="7384"/>
    <cellStyle name="Note 8 4 9" xfId="3529"/>
    <cellStyle name="Note 8 4 9 2" xfId="12857"/>
    <cellStyle name="Note 8 4 9 2 2" xfId="26163"/>
    <cellStyle name="Note 8 4 9 3" xfId="17267"/>
    <cellStyle name="Note 8 4 9 3 2" xfId="30573"/>
    <cellStyle name="Note 8 4 9 4" xfId="21753"/>
    <cellStyle name="Note 8 4 9_Table" xfId="7385"/>
    <cellStyle name="Note 8 4_Table" xfId="7366"/>
    <cellStyle name="Note 8 5" xfId="625"/>
    <cellStyle name="Note 8 5 10" xfId="4241"/>
    <cellStyle name="Note 8 5 10 2" xfId="13569"/>
    <cellStyle name="Note 8 5 10 2 2" xfId="26875"/>
    <cellStyle name="Note 8 5 10 3" xfId="17979"/>
    <cellStyle name="Note 8 5 10 3 2" xfId="31285"/>
    <cellStyle name="Note 8 5 10 4" xfId="22465"/>
    <cellStyle name="Note 8 5 10_Table" xfId="7387"/>
    <cellStyle name="Note 8 5 11" xfId="4602"/>
    <cellStyle name="Note 8 5 11 2" xfId="13930"/>
    <cellStyle name="Note 8 5 11 2 2" xfId="27236"/>
    <cellStyle name="Note 8 5 11 3" xfId="18340"/>
    <cellStyle name="Note 8 5 11 3 2" xfId="31646"/>
    <cellStyle name="Note 8 5 11 4" xfId="22826"/>
    <cellStyle name="Note 8 5 11_Table" xfId="7388"/>
    <cellStyle name="Note 8 5 12" xfId="9953"/>
    <cellStyle name="Note 8 5 12 2" xfId="23276"/>
    <cellStyle name="Note 8 5 13" xfId="14380"/>
    <cellStyle name="Note 8 5 13 2" xfId="27686"/>
    <cellStyle name="Note 8 5 14" xfId="18866"/>
    <cellStyle name="Note 8 5 2" xfId="867"/>
    <cellStyle name="Note 8 5 2 10" xfId="4827"/>
    <cellStyle name="Note 8 5 2 10 2" xfId="14155"/>
    <cellStyle name="Note 8 5 2 10 2 2" xfId="27461"/>
    <cellStyle name="Note 8 5 2 10 3" xfId="18565"/>
    <cellStyle name="Note 8 5 2 10 3 2" xfId="31871"/>
    <cellStyle name="Note 8 5 2 10 4" xfId="23051"/>
    <cellStyle name="Note 8 5 2 10_Table" xfId="7390"/>
    <cellStyle name="Note 8 5 2 11" xfId="10195"/>
    <cellStyle name="Note 8 5 2 11 2" xfId="23501"/>
    <cellStyle name="Note 8 5 2 12" xfId="14605"/>
    <cellStyle name="Note 8 5 2 12 2" xfId="27911"/>
    <cellStyle name="Note 8 5 2 13" xfId="19091"/>
    <cellStyle name="Note 8 5 2 2" xfId="1653"/>
    <cellStyle name="Note 8 5 2 2 2" xfId="10981"/>
    <cellStyle name="Note 8 5 2 2 2 2" xfId="24287"/>
    <cellStyle name="Note 8 5 2 2 3" xfId="15391"/>
    <cellStyle name="Note 8 5 2 2 3 2" xfId="28697"/>
    <cellStyle name="Note 8 5 2 2 4" xfId="19877"/>
    <cellStyle name="Note 8 5 2 2_Table" xfId="7391"/>
    <cellStyle name="Note 8 5 2 3" xfId="2013"/>
    <cellStyle name="Note 8 5 2 3 2" xfId="11341"/>
    <cellStyle name="Note 8 5 2 3 2 2" xfId="24647"/>
    <cellStyle name="Note 8 5 2 3 3" xfId="15751"/>
    <cellStyle name="Note 8 5 2 3 3 2" xfId="29057"/>
    <cellStyle name="Note 8 5 2 3 4" xfId="20237"/>
    <cellStyle name="Note 8 5 2 3_Table" xfId="7392"/>
    <cellStyle name="Note 8 5 2 4" xfId="2443"/>
    <cellStyle name="Note 8 5 2 4 2" xfId="11771"/>
    <cellStyle name="Note 8 5 2 4 2 2" xfId="25077"/>
    <cellStyle name="Note 8 5 2 4 3" xfId="16181"/>
    <cellStyle name="Note 8 5 2 4 3 2" xfId="29487"/>
    <cellStyle name="Note 8 5 2 4 4" xfId="20667"/>
    <cellStyle name="Note 8 5 2 4_Table" xfId="7393"/>
    <cellStyle name="Note 8 5 2 5" xfId="2881"/>
    <cellStyle name="Note 8 5 2 5 2" xfId="12209"/>
    <cellStyle name="Note 8 5 2 5 2 2" xfId="25515"/>
    <cellStyle name="Note 8 5 2 5 3" xfId="16619"/>
    <cellStyle name="Note 8 5 2 5 3 2" xfId="29925"/>
    <cellStyle name="Note 8 5 2 5 4" xfId="21105"/>
    <cellStyle name="Note 8 5 2 5_Table" xfId="7394"/>
    <cellStyle name="Note 8 5 2 6" xfId="3288"/>
    <cellStyle name="Note 8 5 2 6 2" xfId="12616"/>
    <cellStyle name="Note 8 5 2 6 2 2" xfId="25922"/>
    <cellStyle name="Note 8 5 2 6 3" xfId="17026"/>
    <cellStyle name="Note 8 5 2 6 3 2" xfId="30332"/>
    <cellStyle name="Note 8 5 2 6 4" xfId="21512"/>
    <cellStyle name="Note 8 5 2 6_Table" xfId="7395"/>
    <cellStyle name="Note 8 5 2 7" xfId="3880"/>
    <cellStyle name="Note 8 5 2 7 2" xfId="13208"/>
    <cellStyle name="Note 8 5 2 7 2 2" xfId="26514"/>
    <cellStyle name="Note 8 5 2 7 3" xfId="17618"/>
    <cellStyle name="Note 8 5 2 7 3 2" xfId="30924"/>
    <cellStyle name="Note 8 5 2 7 4" xfId="22104"/>
    <cellStyle name="Note 8 5 2 7_Table" xfId="7396"/>
    <cellStyle name="Note 8 5 2 8" xfId="4105"/>
    <cellStyle name="Note 8 5 2 8 2" xfId="13433"/>
    <cellStyle name="Note 8 5 2 8 2 2" xfId="26739"/>
    <cellStyle name="Note 8 5 2 8 3" xfId="17843"/>
    <cellStyle name="Note 8 5 2 8 3 2" xfId="31149"/>
    <cellStyle name="Note 8 5 2 8 4" xfId="22329"/>
    <cellStyle name="Note 8 5 2 8_Table" xfId="7397"/>
    <cellStyle name="Note 8 5 2 9" xfId="4466"/>
    <cellStyle name="Note 8 5 2 9 2" xfId="13794"/>
    <cellStyle name="Note 8 5 2 9 2 2" xfId="27100"/>
    <cellStyle name="Note 8 5 2 9 3" xfId="18204"/>
    <cellStyle name="Note 8 5 2 9 3 2" xfId="31510"/>
    <cellStyle name="Note 8 5 2 9 4" xfId="22690"/>
    <cellStyle name="Note 8 5 2 9_Table" xfId="7398"/>
    <cellStyle name="Note 8 5 2_Table" xfId="7389"/>
    <cellStyle name="Note 8 5 3" xfId="1412"/>
    <cellStyle name="Note 8 5 3 2" xfId="10740"/>
    <cellStyle name="Note 8 5 3 2 2" xfId="24046"/>
    <cellStyle name="Note 8 5 3 3" xfId="15150"/>
    <cellStyle name="Note 8 5 3 3 2" xfId="28456"/>
    <cellStyle name="Note 8 5 3 4" xfId="19636"/>
    <cellStyle name="Note 8 5 3_Table" xfId="7399"/>
    <cellStyle name="Note 8 5 4" xfId="1772"/>
    <cellStyle name="Note 8 5 4 2" xfId="11100"/>
    <cellStyle name="Note 8 5 4 2 2" xfId="24406"/>
    <cellStyle name="Note 8 5 4 3" xfId="15510"/>
    <cellStyle name="Note 8 5 4 3 2" xfId="28816"/>
    <cellStyle name="Note 8 5 4 4" xfId="19996"/>
    <cellStyle name="Note 8 5 4_Table" xfId="7400"/>
    <cellStyle name="Note 8 5 5" xfId="2205"/>
    <cellStyle name="Note 8 5 5 2" xfId="11533"/>
    <cellStyle name="Note 8 5 5 2 2" xfId="24839"/>
    <cellStyle name="Note 8 5 5 3" xfId="15943"/>
    <cellStyle name="Note 8 5 5 3 2" xfId="29249"/>
    <cellStyle name="Note 8 5 5 4" xfId="20429"/>
    <cellStyle name="Note 8 5 5_Table" xfId="7401"/>
    <cellStyle name="Note 8 5 6" xfId="2640"/>
    <cellStyle name="Note 8 5 6 2" xfId="11968"/>
    <cellStyle name="Note 8 5 6 2 2" xfId="25274"/>
    <cellStyle name="Note 8 5 6 3" xfId="16378"/>
    <cellStyle name="Note 8 5 6 3 2" xfId="29684"/>
    <cellStyle name="Note 8 5 6 4" xfId="20864"/>
    <cellStyle name="Note 8 5 6_Table" xfId="7402"/>
    <cellStyle name="Note 8 5 7" xfId="3053"/>
    <cellStyle name="Note 8 5 7 2" xfId="12381"/>
    <cellStyle name="Note 8 5 7 2 2" xfId="25687"/>
    <cellStyle name="Note 8 5 7 3" xfId="16791"/>
    <cellStyle name="Note 8 5 7 3 2" xfId="30097"/>
    <cellStyle name="Note 8 5 7 4" xfId="21277"/>
    <cellStyle name="Note 8 5 7_Table" xfId="7403"/>
    <cellStyle name="Note 8 5 8" xfId="3479"/>
    <cellStyle name="Note 8 5 8 2" xfId="12807"/>
    <cellStyle name="Note 8 5 8 2 2" xfId="26113"/>
    <cellStyle name="Note 8 5 8 3" xfId="17217"/>
    <cellStyle name="Note 8 5 8 3 2" xfId="30523"/>
    <cellStyle name="Note 8 5 8 4" xfId="21703"/>
    <cellStyle name="Note 8 5 8_Table" xfId="7404"/>
    <cellStyle name="Note 8 5 9" xfId="3540"/>
    <cellStyle name="Note 8 5 9 2" xfId="12868"/>
    <cellStyle name="Note 8 5 9 2 2" xfId="26174"/>
    <cellStyle name="Note 8 5 9 3" xfId="17278"/>
    <cellStyle name="Note 8 5 9 3 2" xfId="30584"/>
    <cellStyle name="Note 8 5 9 4" xfId="21764"/>
    <cellStyle name="Note 8 5 9_Table" xfId="7405"/>
    <cellStyle name="Note 8 5_Table" xfId="7386"/>
    <cellStyle name="Note 8 6" xfId="687"/>
    <cellStyle name="Note 8 6 10" xfId="4647"/>
    <cellStyle name="Note 8 6 10 2" xfId="13975"/>
    <cellStyle name="Note 8 6 10 2 2" xfId="27281"/>
    <cellStyle name="Note 8 6 10 3" xfId="18385"/>
    <cellStyle name="Note 8 6 10 3 2" xfId="31691"/>
    <cellStyle name="Note 8 6 10 4" xfId="22871"/>
    <cellStyle name="Note 8 6 10_Table" xfId="7407"/>
    <cellStyle name="Note 8 6 11" xfId="10015"/>
    <cellStyle name="Note 8 6 11 2" xfId="23321"/>
    <cellStyle name="Note 8 6 12" xfId="14425"/>
    <cellStyle name="Note 8 6 12 2" xfId="27731"/>
    <cellStyle name="Note 8 6 13" xfId="18911"/>
    <cellStyle name="Note 8 6 2" xfId="1473"/>
    <cellStyle name="Note 8 6 2 2" xfId="10801"/>
    <cellStyle name="Note 8 6 2 2 2" xfId="24107"/>
    <cellStyle name="Note 8 6 2 3" xfId="15211"/>
    <cellStyle name="Note 8 6 2 3 2" xfId="28517"/>
    <cellStyle name="Note 8 6 2 4" xfId="19697"/>
    <cellStyle name="Note 8 6 2_Table" xfId="7408"/>
    <cellStyle name="Note 8 6 3" xfId="1833"/>
    <cellStyle name="Note 8 6 3 2" xfId="11161"/>
    <cellStyle name="Note 8 6 3 2 2" xfId="24467"/>
    <cellStyle name="Note 8 6 3 3" xfId="15571"/>
    <cellStyle name="Note 8 6 3 3 2" xfId="28877"/>
    <cellStyle name="Note 8 6 3 4" xfId="20057"/>
    <cellStyle name="Note 8 6 3_Table" xfId="7409"/>
    <cellStyle name="Note 8 6 4" xfId="2263"/>
    <cellStyle name="Note 8 6 4 2" xfId="11591"/>
    <cellStyle name="Note 8 6 4 2 2" xfId="24897"/>
    <cellStyle name="Note 8 6 4 3" xfId="16001"/>
    <cellStyle name="Note 8 6 4 3 2" xfId="29307"/>
    <cellStyle name="Note 8 6 4 4" xfId="20487"/>
    <cellStyle name="Note 8 6 4_Table" xfId="7410"/>
    <cellStyle name="Note 8 6 5" xfId="2701"/>
    <cellStyle name="Note 8 6 5 2" xfId="12029"/>
    <cellStyle name="Note 8 6 5 2 2" xfId="25335"/>
    <cellStyle name="Note 8 6 5 3" xfId="16439"/>
    <cellStyle name="Note 8 6 5 3 2" xfId="29745"/>
    <cellStyle name="Note 8 6 5 4" xfId="20925"/>
    <cellStyle name="Note 8 6 5_Table" xfId="7411"/>
    <cellStyle name="Note 8 6 6" xfId="3108"/>
    <cellStyle name="Note 8 6 6 2" xfId="12436"/>
    <cellStyle name="Note 8 6 6 2 2" xfId="25742"/>
    <cellStyle name="Note 8 6 6 3" xfId="16846"/>
    <cellStyle name="Note 8 6 6 3 2" xfId="30152"/>
    <cellStyle name="Note 8 6 6 4" xfId="21332"/>
    <cellStyle name="Note 8 6 6_Table" xfId="7412"/>
    <cellStyle name="Note 8 6 7" xfId="3700"/>
    <cellStyle name="Note 8 6 7 2" xfId="13028"/>
    <cellStyle name="Note 8 6 7 2 2" xfId="26334"/>
    <cellStyle name="Note 8 6 7 3" xfId="17438"/>
    <cellStyle name="Note 8 6 7 3 2" xfId="30744"/>
    <cellStyle name="Note 8 6 7 4" xfId="21924"/>
    <cellStyle name="Note 8 6 7_Table" xfId="7413"/>
    <cellStyle name="Note 8 6 8" xfId="3925"/>
    <cellStyle name="Note 8 6 8 2" xfId="13253"/>
    <cellStyle name="Note 8 6 8 2 2" xfId="26559"/>
    <cellStyle name="Note 8 6 8 3" xfId="17663"/>
    <cellStyle name="Note 8 6 8 3 2" xfId="30969"/>
    <cellStyle name="Note 8 6 8 4" xfId="22149"/>
    <cellStyle name="Note 8 6 8_Table" xfId="7414"/>
    <cellStyle name="Note 8 6 9" xfId="4286"/>
    <cellStyle name="Note 8 6 9 2" xfId="13614"/>
    <cellStyle name="Note 8 6 9 2 2" xfId="26920"/>
    <cellStyle name="Note 8 6 9 3" xfId="18024"/>
    <cellStyle name="Note 8 6 9 3 2" xfId="31330"/>
    <cellStyle name="Note 8 6 9 4" xfId="22510"/>
    <cellStyle name="Note 8 6 9_Table" xfId="7415"/>
    <cellStyle name="Note 8 6_Table" xfId="7406"/>
    <cellStyle name="Note 8 7" xfId="1181"/>
    <cellStyle name="Note 8 7 2" xfId="10509"/>
    <cellStyle name="Note 8 7 2 2" xfId="23815"/>
    <cellStyle name="Note 8 7 3" xfId="14919"/>
    <cellStyle name="Note 8 7 3 2" xfId="28225"/>
    <cellStyle name="Note 8 7 4" xfId="19405"/>
    <cellStyle name="Note 8 7_Table" xfId="7416"/>
    <cellStyle name="Note 8 8" xfId="1063"/>
    <cellStyle name="Note 8 8 2" xfId="10391"/>
    <cellStyle name="Note 8 8 2 2" xfId="23697"/>
    <cellStyle name="Note 8 8 3" xfId="14801"/>
    <cellStyle name="Note 8 8 3 2" xfId="28107"/>
    <cellStyle name="Note 8 8 4" xfId="19287"/>
    <cellStyle name="Note 8 8_Table" xfId="7417"/>
    <cellStyle name="Note 8 9" xfId="1388"/>
    <cellStyle name="Note 8 9 2" xfId="10716"/>
    <cellStyle name="Note 8 9 2 2" xfId="24022"/>
    <cellStyle name="Note 8 9 3" xfId="15126"/>
    <cellStyle name="Note 8 9 3 2" xfId="28432"/>
    <cellStyle name="Note 8 9 4" xfId="19612"/>
    <cellStyle name="Note 8 9_Table" xfId="7418"/>
    <cellStyle name="Note 8_Table" xfId="7319"/>
    <cellStyle name="Note 9" xfId="348"/>
    <cellStyle name="Note 9 10" xfId="972"/>
    <cellStyle name="Note 9 10 2" xfId="10300"/>
    <cellStyle name="Note 9 10 2 2" xfId="23606"/>
    <cellStyle name="Note 9 10 3" xfId="14710"/>
    <cellStyle name="Note 9 10 3 2" xfId="28016"/>
    <cellStyle name="Note 9 10 4" xfId="19196"/>
    <cellStyle name="Note 9 10_Table" xfId="7420"/>
    <cellStyle name="Note 9 11" xfId="2036"/>
    <cellStyle name="Note 9 11 2" xfId="11364"/>
    <cellStyle name="Note 9 11 2 2" xfId="24670"/>
    <cellStyle name="Note 9 11 3" xfId="15774"/>
    <cellStyle name="Note 9 11 3 2" xfId="29080"/>
    <cellStyle name="Note 9 11 4" xfId="20260"/>
    <cellStyle name="Note 9 11_Table" xfId="7421"/>
    <cellStyle name="Note 9 12" xfId="2466"/>
    <cellStyle name="Note 9 12 2" xfId="11794"/>
    <cellStyle name="Note 9 12 2 2" xfId="25100"/>
    <cellStyle name="Note 9 12 3" xfId="16204"/>
    <cellStyle name="Note 9 12 3 2" xfId="29510"/>
    <cellStyle name="Note 9 12 4" xfId="20690"/>
    <cellStyle name="Note 9 12_Table" xfId="7422"/>
    <cellStyle name="Note 9 13" xfId="3589"/>
    <cellStyle name="Note 9 13 2" xfId="12917"/>
    <cellStyle name="Note 9 13 2 2" xfId="26223"/>
    <cellStyle name="Note 9 13 3" xfId="17327"/>
    <cellStyle name="Note 9 13 3 2" xfId="30633"/>
    <cellStyle name="Note 9 13 4" xfId="21813"/>
    <cellStyle name="Note 9 13_Table" xfId="7423"/>
    <cellStyle name="Note 9 14" xfId="1333"/>
    <cellStyle name="Note 9 14 2" xfId="10661"/>
    <cellStyle name="Note 9 14 2 2" xfId="23967"/>
    <cellStyle name="Note 9 14 3" xfId="15071"/>
    <cellStyle name="Note 9 14 3 2" xfId="28377"/>
    <cellStyle name="Note 9 14 4" xfId="19557"/>
    <cellStyle name="Note 9 14_Table" xfId="7424"/>
    <cellStyle name="Note 9 15" xfId="3319"/>
    <cellStyle name="Note 9 15 2" xfId="12647"/>
    <cellStyle name="Note 9 15 2 2" xfId="25953"/>
    <cellStyle name="Note 9 15 3" xfId="17057"/>
    <cellStyle name="Note 9 15 3 2" xfId="30363"/>
    <cellStyle name="Note 9 15 4" xfId="21543"/>
    <cellStyle name="Note 9 15_Table" xfId="7425"/>
    <cellStyle name="Note 9 16" xfId="9676"/>
    <cellStyle name="Note 9 16 2" xfId="23097"/>
    <cellStyle name="Note 9 17" xfId="14201"/>
    <cellStyle name="Note 9 17 2" xfId="27507"/>
    <cellStyle name="Note 9 18" xfId="18687"/>
    <cellStyle name="Note 9 2" xfId="419"/>
    <cellStyle name="Note 9 2 10" xfId="3017"/>
    <cellStyle name="Note 9 2 10 2" xfId="12345"/>
    <cellStyle name="Note 9 2 10 2 2" xfId="25651"/>
    <cellStyle name="Note 9 2 10 3" xfId="16755"/>
    <cellStyle name="Note 9 2 10 3 2" xfId="30061"/>
    <cellStyle name="Note 9 2 10 4" xfId="21241"/>
    <cellStyle name="Note 9 2 10_Table" xfId="7427"/>
    <cellStyle name="Note 9 2 11" xfId="1273"/>
    <cellStyle name="Note 9 2 11 2" xfId="10601"/>
    <cellStyle name="Note 9 2 11 2 2" xfId="23907"/>
    <cellStyle name="Note 9 2 11 3" xfId="15011"/>
    <cellStyle name="Note 9 2 11 3 2" xfId="28317"/>
    <cellStyle name="Note 9 2 11 4" xfId="19497"/>
    <cellStyle name="Note 9 2 11_Table" xfId="7428"/>
    <cellStyle name="Note 9 2 12" xfId="9747"/>
    <cellStyle name="Note 9 2 12 2" xfId="23142"/>
    <cellStyle name="Note 9 2 13" xfId="14246"/>
    <cellStyle name="Note 9 2 13 2" xfId="27552"/>
    <cellStyle name="Note 9 2 14" xfId="18732"/>
    <cellStyle name="Note 9 2 2" xfId="733"/>
    <cellStyle name="Note 9 2 2 10" xfId="4693"/>
    <cellStyle name="Note 9 2 2 10 2" xfId="14021"/>
    <cellStyle name="Note 9 2 2 10 2 2" xfId="27327"/>
    <cellStyle name="Note 9 2 2 10 3" xfId="18431"/>
    <cellStyle name="Note 9 2 2 10 3 2" xfId="31737"/>
    <cellStyle name="Note 9 2 2 10 4" xfId="22917"/>
    <cellStyle name="Note 9 2 2 10_Table" xfId="7430"/>
    <cellStyle name="Note 9 2 2 11" xfId="10061"/>
    <cellStyle name="Note 9 2 2 11 2" xfId="23367"/>
    <cellStyle name="Note 9 2 2 12" xfId="14471"/>
    <cellStyle name="Note 9 2 2 12 2" xfId="27777"/>
    <cellStyle name="Note 9 2 2 13" xfId="18957"/>
    <cellStyle name="Note 9 2 2 2" xfId="1519"/>
    <cellStyle name="Note 9 2 2 2 2" xfId="10847"/>
    <cellStyle name="Note 9 2 2 2 2 2" xfId="24153"/>
    <cellStyle name="Note 9 2 2 2 3" xfId="15257"/>
    <cellStyle name="Note 9 2 2 2 3 2" xfId="28563"/>
    <cellStyle name="Note 9 2 2 2 4" xfId="19743"/>
    <cellStyle name="Note 9 2 2 2_Table" xfId="7431"/>
    <cellStyle name="Note 9 2 2 3" xfId="1879"/>
    <cellStyle name="Note 9 2 2 3 2" xfId="11207"/>
    <cellStyle name="Note 9 2 2 3 2 2" xfId="24513"/>
    <cellStyle name="Note 9 2 2 3 3" xfId="15617"/>
    <cellStyle name="Note 9 2 2 3 3 2" xfId="28923"/>
    <cellStyle name="Note 9 2 2 3 4" xfId="20103"/>
    <cellStyle name="Note 9 2 2 3_Table" xfId="7432"/>
    <cellStyle name="Note 9 2 2 4" xfId="2309"/>
    <cellStyle name="Note 9 2 2 4 2" xfId="11637"/>
    <cellStyle name="Note 9 2 2 4 2 2" xfId="24943"/>
    <cellStyle name="Note 9 2 2 4 3" xfId="16047"/>
    <cellStyle name="Note 9 2 2 4 3 2" xfId="29353"/>
    <cellStyle name="Note 9 2 2 4 4" xfId="20533"/>
    <cellStyle name="Note 9 2 2 4_Table" xfId="7433"/>
    <cellStyle name="Note 9 2 2 5" xfId="2747"/>
    <cellStyle name="Note 9 2 2 5 2" xfId="12075"/>
    <cellStyle name="Note 9 2 2 5 2 2" xfId="25381"/>
    <cellStyle name="Note 9 2 2 5 3" xfId="16485"/>
    <cellStyle name="Note 9 2 2 5 3 2" xfId="29791"/>
    <cellStyle name="Note 9 2 2 5 4" xfId="20971"/>
    <cellStyle name="Note 9 2 2 5_Table" xfId="7434"/>
    <cellStyle name="Note 9 2 2 6" xfId="3154"/>
    <cellStyle name="Note 9 2 2 6 2" xfId="12482"/>
    <cellStyle name="Note 9 2 2 6 2 2" xfId="25788"/>
    <cellStyle name="Note 9 2 2 6 3" xfId="16892"/>
    <cellStyle name="Note 9 2 2 6 3 2" xfId="30198"/>
    <cellStyle name="Note 9 2 2 6 4" xfId="21378"/>
    <cellStyle name="Note 9 2 2 6_Table" xfId="7435"/>
    <cellStyle name="Note 9 2 2 7" xfId="3746"/>
    <cellStyle name="Note 9 2 2 7 2" xfId="13074"/>
    <cellStyle name="Note 9 2 2 7 2 2" xfId="26380"/>
    <cellStyle name="Note 9 2 2 7 3" xfId="17484"/>
    <cellStyle name="Note 9 2 2 7 3 2" xfId="30790"/>
    <cellStyle name="Note 9 2 2 7 4" xfId="21970"/>
    <cellStyle name="Note 9 2 2 7_Table" xfId="7436"/>
    <cellStyle name="Note 9 2 2 8" xfId="3971"/>
    <cellStyle name="Note 9 2 2 8 2" xfId="13299"/>
    <cellStyle name="Note 9 2 2 8 2 2" xfId="26605"/>
    <cellStyle name="Note 9 2 2 8 3" xfId="17709"/>
    <cellStyle name="Note 9 2 2 8 3 2" xfId="31015"/>
    <cellStyle name="Note 9 2 2 8 4" xfId="22195"/>
    <cellStyle name="Note 9 2 2 8_Table" xfId="7437"/>
    <cellStyle name="Note 9 2 2 9" xfId="4332"/>
    <cellStyle name="Note 9 2 2 9 2" xfId="13660"/>
    <cellStyle name="Note 9 2 2 9 2 2" xfId="26966"/>
    <cellStyle name="Note 9 2 2 9 3" xfId="18070"/>
    <cellStyle name="Note 9 2 2 9 3 2" xfId="31376"/>
    <cellStyle name="Note 9 2 2 9 4" xfId="22556"/>
    <cellStyle name="Note 9 2 2 9_Table" xfId="7438"/>
    <cellStyle name="Note 9 2 2_Table" xfId="7429"/>
    <cellStyle name="Note 9 2 3" xfId="1233"/>
    <cellStyle name="Note 9 2 3 2" xfId="10561"/>
    <cellStyle name="Note 9 2 3 2 2" xfId="23867"/>
    <cellStyle name="Note 9 2 3 3" xfId="14971"/>
    <cellStyle name="Note 9 2 3 3 2" xfId="28277"/>
    <cellStyle name="Note 9 2 3 4" xfId="19457"/>
    <cellStyle name="Note 9 2 3_Table" xfId="7439"/>
    <cellStyle name="Note 9 2 4" xfId="993"/>
    <cellStyle name="Note 9 2 4 2" xfId="10321"/>
    <cellStyle name="Note 9 2 4 2 2" xfId="23627"/>
    <cellStyle name="Note 9 2 4 3" xfId="14731"/>
    <cellStyle name="Note 9 2 4 3 2" xfId="28037"/>
    <cellStyle name="Note 9 2 4 4" xfId="19217"/>
    <cellStyle name="Note 9 2 4_Table" xfId="7440"/>
    <cellStyle name="Note 9 2 5" xfId="1252"/>
    <cellStyle name="Note 9 2 5 2" xfId="10580"/>
    <cellStyle name="Note 9 2 5 2 2" xfId="23886"/>
    <cellStyle name="Note 9 2 5 3" xfId="14990"/>
    <cellStyle name="Note 9 2 5 3 2" xfId="28296"/>
    <cellStyle name="Note 9 2 5 4" xfId="19476"/>
    <cellStyle name="Note 9 2 5_Table" xfId="7441"/>
    <cellStyle name="Note 9 2 6" xfId="1194"/>
    <cellStyle name="Note 9 2 6 2" xfId="10522"/>
    <cellStyle name="Note 9 2 6 2 2" xfId="23828"/>
    <cellStyle name="Note 9 2 6 3" xfId="14932"/>
    <cellStyle name="Note 9 2 6 3 2" xfId="28238"/>
    <cellStyle name="Note 9 2 6 4" xfId="19418"/>
    <cellStyle name="Note 9 2 6_Table" xfId="7442"/>
    <cellStyle name="Note 9 2 7" xfId="1034"/>
    <cellStyle name="Note 9 2 7 2" xfId="10362"/>
    <cellStyle name="Note 9 2 7 2 2" xfId="23668"/>
    <cellStyle name="Note 9 2 7 3" xfId="14772"/>
    <cellStyle name="Note 9 2 7 3 2" xfId="28078"/>
    <cellStyle name="Note 9 2 7 4" xfId="19258"/>
    <cellStyle name="Note 9 2 7_Table" xfId="7443"/>
    <cellStyle name="Note 9 2 8" xfId="1320"/>
    <cellStyle name="Note 9 2 8 2" xfId="10648"/>
    <cellStyle name="Note 9 2 8 2 2" xfId="23954"/>
    <cellStyle name="Note 9 2 8 3" xfId="15058"/>
    <cellStyle name="Note 9 2 8 3 2" xfId="28364"/>
    <cellStyle name="Note 9 2 8 4" xfId="19544"/>
    <cellStyle name="Note 9 2 8_Table" xfId="7444"/>
    <cellStyle name="Note 9 2 9" xfId="3436"/>
    <cellStyle name="Note 9 2 9 2" xfId="12764"/>
    <cellStyle name="Note 9 2 9 2 2" xfId="26070"/>
    <cellStyle name="Note 9 2 9 3" xfId="17174"/>
    <cellStyle name="Note 9 2 9 3 2" xfId="30480"/>
    <cellStyle name="Note 9 2 9 4" xfId="21660"/>
    <cellStyle name="Note 9 2 9_Table" xfId="7445"/>
    <cellStyle name="Note 9 2_Table" xfId="7426"/>
    <cellStyle name="Note 9 3" xfId="487"/>
    <cellStyle name="Note 9 3 10" xfId="4152"/>
    <cellStyle name="Note 9 3 10 2" xfId="13480"/>
    <cellStyle name="Note 9 3 10 2 2" xfId="26786"/>
    <cellStyle name="Note 9 3 10 3" xfId="17890"/>
    <cellStyle name="Note 9 3 10 3 2" xfId="31196"/>
    <cellStyle name="Note 9 3 10 4" xfId="22376"/>
    <cellStyle name="Note 9 3 10_Table" xfId="7447"/>
    <cellStyle name="Note 9 3 11" xfId="4513"/>
    <cellStyle name="Note 9 3 11 2" xfId="13841"/>
    <cellStyle name="Note 9 3 11 2 2" xfId="27147"/>
    <cellStyle name="Note 9 3 11 3" xfId="18251"/>
    <cellStyle name="Note 9 3 11 3 2" xfId="31557"/>
    <cellStyle name="Note 9 3 11 4" xfId="22737"/>
    <cellStyle name="Note 9 3 11_Table" xfId="7448"/>
    <cellStyle name="Note 9 3 12" xfId="9815"/>
    <cellStyle name="Note 9 3 12 2" xfId="23187"/>
    <cellStyle name="Note 9 3 13" xfId="14291"/>
    <cellStyle name="Note 9 3 13 2" xfId="27597"/>
    <cellStyle name="Note 9 3 14" xfId="18777"/>
    <cellStyle name="Note 9 3 2" xfId="778"/>
    <cellStyle name="Note 9 3 2 10" xfId="4738"/>
    <cellStyle name="Note 9 3 2 10 2" xfId="14066"/>
    <cellStyle name="Note 9 3 2 10 2 2" xfId="27372"/>
    <cellStyle name="Note 9 3 2 10 3" xfId="18476"/>
    <cellStyle name="Note 9 3 2 10 3 2" xfId="31782"/>
    <cellStyle name="Note 9 3 2 10 4" xfId="22962"/>
    <cellStyle name="Note 9 3 2 10_Table" xfId="7450"/>
    <cellStyle name="Note 9 3 2 11" xfId="10106"/>
    <cellStyle name="Note 9 3 2 11 2" xfId="23412"/>
    <cellStyle name="Note 9 3 2 12" xfId="14516"/>
    <cellStyle name="Note 9 3 2 12 2" xfId="27822"/>
    <cellStyle name="Note 9 3 2 13" xfId="19002"/>
    <cellStyle name="Note 9 3 2 2" xfId="1564"/>
    <cellStyle name="Note 9 3 2 2 2" xfId="10892"/>
    <cellStyle name="Note 9 3 2 2 2 2" xfId="24198"/>
    <cellStyle name="Note 9 3 2 2 3" xfId="15302"/>
    <cellStyle name="Note 9 3 2 2 3 2" xfId="28608"/>
    <cellStyle name="Note 9 3 2 2 4" xfId="19788"/>
    <cellStyle name="Note 9 3 2 2_Table" xfId="7451"/>
    <cellStyle name="Note 9 3 2 3" xfId="1924"/>
    <cellStyle name="Note 9 3 2 3 2" xfId="11252"/>
    <cellStyle name="Note 9 3 2 3 2 2" xfId="24558"/>
    <cellStyle name="Note 9 3 2 3 3" xfId="15662"/>
    <cellStyle name="Note 9 3 2 3 3 2" xfId="28968"/>
    <cellStyle name="Note 9 3 2 3 4" xfId="20148"/>
    <cellStyle name="Note 9 3 2 3_Table" xfId="7452"/>
    <cellStyle name="Note 9 3 2 4" xfId="2354"/>
    <cellStyle name="Note 9 3 2 4 2" xfId="11682"/>
    <cellStyle name="Note 9 3 2 4 2 2" xfId="24988"/>
    <cellStyle name="Note 9 3 2 4 3" xfId="16092"/>
    <cellStyle name="Note 9 3 2 4 3 2" xfId="29398"/>
    <cellStyle name="Note 9 3 2 4 4" xfId="20578"/>
    <cellStyle name="Note 9 3 2 4_Table" xfId="7453"/>
    <cellStyle name="Note 9 3 2 5" xfId="2792"/>
    <cellStyle name="Note 9 3 2 5 2" xfId="12120"/>
    <cellStyle name="Note 9 3 2 5 2 2" xfId="25426"/>
    <cellStyle name="Note 9 3 2 5 3" xfId="16530"/>
    <cellStyle name="Note 9 3 2 5 3 2" xfId="29836"/>
    <cellStyle name="Note 9 3 2 5 4" xfId="21016"/>
    <cellStyle name="Note 9 3 2 5_Table" xfId="7454"/>
    <cellStyle name="Note 9 3 2 6" xfId="3199"/>
    <cellStyle name="Note 9 3 2 6 2" xfId="12527"/>
    <cellStyle name="Note 9 3 2 6 2 2" xfId="25833"/>
    <cellStyle name="Note 9 3 2 6 3" xfId="16937"/>
    <cellStyle name="Note 9 3 2 6 3 2" xfId="30243"/>
    <cellStyle name="Note 9 3 2 6 4" xfId="21423"/>
    <cellStyle name="Note 9 3 2 6_Table" xfId="7455"/>
    <cellStyle name="Note 9 3 2 7" xfId="3791"/>
    <cellStyle name="Note 9 3 2 7 2" xfId="13119"/>
    <cellStyle name="Note 9 3 2 7 2 2" xfId="26425"/>
    <cellStyle name="Note 9 3 2 7 3" xfId="17529"/>
    <cellStyle name="Note 9 3 2 7 3 2" xfId="30835"/>
    <cellStyle name="Note 9 3 2 7 4" xfId="22015"/>
    <cellStyle name="Note 9 3 2 7_Table" xfId="7456"/>
    <cellStyle name="Note 9 3 2 8" xfId="4016"/>
    <cellStyle name="Note 9 3 2 8 2" xfId="13344"/>
    <cellStyle name="Note 9 3 2 8 2 2" xfId="26650"/>
    <cellStyle name="Note 9 3 2 8 3" xfId="17754"/>
    <cellStyle name="Note 9 3 2 8 3 2" xfId="31060"/>
    <cellStyle name="Note 9 3 2 8 4" xfId="22240"/>
    <cellStyle name="Note 9 3 2 8_Table" xfId="7457"/>
    <cellStyle name="Note 9 3 2 9" xfId="4377"/>
    <cellStyle name="Note 9 3 2 9 2" xfId="13705"/>
    <cellStyle name="Note 9 3 2 9 2 2" xfId="27011"/>
    <cellStyle name="Note 9 3 2 9 3" xfId="18115"/>
    <cellStyle name="Note 9 3 2 9 3 2" xfId="31421"/>
    <cellStyle name="Note 9 3 2 9 4" xfId="22601"/>
    <cellStyle name="Note 9 3 2 9_Table" xfId="7458"/>
    <cellStyle name="Note 9 3 2_Table" xfId="7449"/>
    <cellStyle name="Note 9 3 3" xfId="1290"/>
    <cellStyle name="Note 9 3 3 2" xfId="10618"/>
    <cellStyle name="Note 9 3 3 2 2" xfId="23924"/>
    <cellStyle name="Note 9 3 3 3" xfId="15028"/>
    <cellStyle name="Note 9 3 3 3 2" xfId="28334"/>
    <cellStyle name="Note 9 3 3 4" xfId="19514"/>
    <cellStyle name="Note 9 3 3_Table" xfId="7459"/>
    <cellStyle name="Note 9 3 4" xfId="927"/>
    <cellStyle name="Note 9 3 4 2" xfId="10255"/>
    <cellStyle name="Note 9 3 4 2 2" xfId="23561"/>
    <cellStyle name="Note 9 3 4 3" xfId="14665"/>
    <cellStyle name="Note 9 3 4 3 2" xfId="27971"/>
    <cellStyle name="Note 9 3 4 4" xfId="19151"/>
    <cellStyle name="Note 9 3 4_Table" xfId="7460"/>
    <cellStyle name="Note 9 3 5" xfId="2078"/>
    <cellStyle name="Note 9 3 5 2" xfId="11406"/>
    <cellStyle name="Note 9 3 5 2 2" xfId="24712"/>
    <cellStyle name="Note 9 3 5 3" xfId="15816"/>
    <cellStyle name="Note 9 3 5 3 2" xfId="29122"/>
    <cellStyle name="Note 9 3 5 4" xfId="20302"/>
    <cellStyle name="Note 9 3 5_Table" xfId="7461"/>
    <cellStyle name="Note 9 3 6" xfId="2510"/>
    <cellStyle name="Note 9 3 6 2" xfId="11838"/>
    <cellStyle name="Note 9 3 6 2 2" xfId="25144"/>
    <cellStyle name="Note 9 3 6 3" xfId="16248"/>
    <cellStyle name="Note 9 3 6 3 2" xfId="29554"/>
    <cellStyle name="Note 9 3 6 4" xfId="20734"/>
    <cellStyle name="Note 9 3 6_Table" xfId="7462"/>
    <cellStyle name="Note 9 3 7" xfId="2938"/>
    <cellStyle name="Note 9 3 7 2" xfId="12266"/>
    <cellStyle name="Note 9 3 7 2 2" xfId="25572"/>
    <cellStyle name="Note 9 3 7 3" xfId="16676"/>
    <cellStyle name="Note 9 3 7 3 2" xfId="29982"/>
    <cellStyle name="Note 9 3 7 4" xfId="21162"/>
    <cellStyle name="Note 9 3 7_Table" xfId="7463"/>
    <cellStyle name="Note 9 3 8" xfId="3351"/>
    <cellStyle name="Note 9 3 8 2" xfId="12679"/>
    <cellStyle name="Note 9 3 8 2 2" xfId="25985"/>
    <cellStyle name="Note 9 3 8 3" xfId="17089"/>
    <cellStyle name="Note 9 3 8 3 2" xfId="30395"/>
    <cellStyle name="Note 9 3 8 4" xfId="21575"/>
    <cellStyle name="Note 9 3 8_Table" xfId="7464"/>
    <cellStyle name="Note 9 3 9" xfId="3434"/>
    <cellStyle name="Note 9 3 9 2" xfId="12762"/>
    <cellStyle name="Note 9 3 9 2 2" xfId="26068"/>
    <cellStyle name="Note 9 3 9 3" xfId="17172"/>
    <cellStyle name="Note 9 3 9 3 2" xfId="30478"/>
    <cellStyle name="Note 9 3 9 4" xfId="21658"/>
    <cellStyle name="Note 9 3 9_Table" xfId="7465"/>
    <cellStyle name="Note 9 3_Table" xfId="7446"/>
    <cellStyle name="Note 9 4" xfId="551"/>
    <cellStyle name="Note 9 4 10" xfId="4197"/>
    <cellStyle name="Note 9 4 10 2" xfId="13525"/>
    <cellStyle name="Note 9 4 10 2 2" xfId="26831"/>
    <cellStyle name="Note 9 4 10 3" xfId="17935"/>
    <cellStyle name="Note 9 4 10 3 2" xfId="31241"/>
    <cellStyle name="Note 9 4 10 4" xfId="22421"/>
    <cellStyle name="Note 9 4 10_Table" xfId="7467"/>
    <cellStyle name="Note 9 4 11" xfId="4558"/>
    <cellStyle name="Note 9 4 11 2" xfId="13886"/>
    <cellStyle name="Note 9 4 11 2 2" xfId="27192"/>
    <cellStyle name="Note 9 4 11 3" xfId="18296"/>
    <cellStyle name="Note 9 4 11 3 2" xfId="31602"/>
    <cellStyle name="Note 9 4 11 4" xfId="22782"/>
    <cellStyle name="Note 9 4 11_Table" xfId="7468"/>
    <cellStyle name="Note 9 4 12" xfId="9879"/>
    <cellStyle name="Note 9 4 12 2" xfId="23232"/>
    <cellStyle name="Note 9 4 13" xfId="14336"/>
    <cellStyle name="Note 9 4 13 2" xfId="27642"/>
    <cellStyle name="Note 9 4 14" xfId="18822"/>
    <cellStyle name="Note 9 4 2" xfId="823"/>
    <cellStyle name="Note 9 4 2 10" xfId="4783"/>
    <cellStyle name="Note 9 4 2 10 2" xfId="14111"/>
    <cellStyle name="Note 9 4 2 10 2 2" xfId="27417"/>
    <cellStyle name="Note 9 4 2 10 3" xfId="18521"/>
    <cellStyle name="Note 9 4 2 10 3 2" xfId="31827"/>
    <cellStyle name="Note 9 4 2 10 4" xfId="23007"/>
    <cellStyle name="Note 9 4 2 10_Table" xfId="7470"/>
    <cellStyle name="Note 9 4 2 11" xfId="10151"/>
    <cellStyle name="Note 9 4 2 11 2" xfId="23457"/>
    <cellStyle name="Note 9 4 2 12" xfId="14561"/>
    <cellStyle name="Note 9 4 2 12 2" xfId="27867"/>
    <cellStyle name="Note 9 4 2 13" xfId="19047"/>
    <cellStyle name="Note 9 4 2 2" xfId="1609"/>
    <cellStyle name="Note 9 4 2 2 2" xfId="10937"/>
    <cellStyle name="Note 9 4 2 2 2 2" xfId="24243"/>
    <cellStyle name="Note 9 4 2 2 3" xfId="15347"/>
    <cellStyle name="Note 9 4 2 2 3 2" xfId="28653"/>
    <cellStyle name="Note 9 4 2 2 4" xfId="19833"/>
    <cellStyle name="Note 9 4 2 2_Table" xfId="7471"/>
    <cellStyle name="Note 9 4 2 3" xfId="1969"/>
    <cellStyle name="Note 9 4 2 3 2" xfId="11297"/>
    <cellStyle name="Note 9 4 2 3 2 2" xfId="24603"/>
    <cellStyle name="Note 9 4 2 3 3" xfId="15707"/>
    <cellStyle name="Note 9 4 2 3 3 2" xfId="29013"/>
    <cellStyle name="Note 9 4 2 3 4" xfId="20193"/>
    <cellStyle name="Note 9 4 2 3_Table" xfId="7472"/>
    <cellStyle name="Note 9 4 2 4" xfId="2399"/>
    <cellStyle name="Note 9 4 2 4 2" xfId="11727"/>
    <cellStyle name="Note 9 4 2 4 2 2" xfId="25033"/>
    <cellStyle name="Note 9 4 2 4 3" xfId="16137"/>
    <cellStyle name="Note 9 4 2 4 3 2" xfId="29443"/>
    <cellStyle name="Note 9 4 2 4 4" xfId="20623"/>
    <cellStyle name="Note 9 4 2 4_Table" xfId="7473"/>
    <cellStyle name="Note 9 4 2 5" xfId="2837"/>
    <cellStyle name="Note 9 4 2 5 2" xfId="12165"/>
    <cellStyle name="Note 9 4 2 5 2 2" xfId="25471"/>
    <cellStyle name="Note 9 4 2 5 3" xfId="16575"/>
    <cellStyle name="Note 9 4 2 5 3 2" xfId="29881"/>
    <cellStyle name="Note 9 4 2 5 4" xfId="21061"/>
    <cellStyle name="Note 9 4 2 5_Table" xfId="7474"/>
    <cellStyle name="Note 9 4 2 6" xfId="3244"/>
    <cellStyle name="Note 9 4 2 6 2" xfId="12572"/>
    <cellStyle name="Note 9 4 2 6 2 2" xfId="25878"/>
    <cellStyle name="Note 9 4 2 6 3" xfId="16982"/>
    <cellStyle name="Note 9 4 2 6 3 2" xfId="30288"/>
    <cellStyle name="Note 9 4 2 6 4" xfId="21468"/>
    <cellStyle name="Note 9 4 2 6_Table" xfId="7475"/>
    <cellStyle name="Note 9 4 2 7" xfId="3836"/>
    <cellStyle name="Note 9 4 2 7 2" xfId="13164"/>
    <cellStyle name="Note 9 4 2 7 2 2" xfId="26470"/>
    <cellStyle name="Note 9 4 2 7 3" xfId="17574"/>
    <cellStyle name="Note 9 4 2 7 3 2" xfId="30880"/>
    <cellStyle name="Note 9 4 2 7 4" xfId="22060"/>
    <cellStyle name="Note 9 4 2 7_Table" xfId="7476"/>
    <cellStyle name="Note 9 4 2 8" xfId="4061"/>
    <cellStyle name="Note 9 4 2 8 2" xfId="13389"/>
    <cellStyle name="Note 9 4 2 8 2 2" xfId="26695"/>
    <cellStyle name="Note 9 4 2 8 3" xfId="17799"/>
    <cellStyle name="Note 9 4 2 8 3 2" xfId="31105"/>
    <cellStyle name="Note 9 4 2 8 4" xfId="22285"/>
    <cellStyle name="Note 9 4 2 8_Table" xfId="7477"/>
    <cellStyle name="Note 9 4 2 9" xfId="4422"/>
    <cellStyle name="Note 9 4 2 9 2" xfId="13750"/>
    <cellStyle name="Note 9 4 2 9 2 2" xfId="27056"/>
    <cellStyle name="Note 9 4 2 9 3" xfId="18160"/>
    <cellStyle name="Note 9 4 2 9 3 2" xfId="31466"/>
    <cellStyle name="Note 9 4 2 9 4" xfId="22646"/>
    <cellStyle name="Note 9 4 2 9_Table" xfId="7478"/>
    <cellStyle name="Note 9 4 2_Table" xfId="7469"/>
    <cellStyle name="Note 9 4 3" xfId="1346"/>
    <cellStyle name="Note 9 4 3 2" xfId="10674"/>
    <cellStyle name="Note 9 4 3 2 2" xfId="23980"/>
    <cellStyle name="Note 9 4 3 3" xfId="15084"/>
    <cellStyle name="Note 9 4 3 3 2" xfId="28390"/>
    <cellStyle name="Note 9 4 3 4" xfId="19570"/>
    <cellStyle name="Note 9 4 3_Table" xfId="7479"/>
    <cellStyle name="Note 9 4 4" xfId="1703"/>
    <cellStyle name="Note 9 4 4 2" xfId="11031"/>
    <cellStyle name="Note 9 4 4 2 2" xfId="24337"/>
    <cellStyle name="Note 9 4 4 3" xfId="15441"/>
    <cellStyle name="Note 9 4 4 3 2" xfId="28747"/>
    <cellStyle name="Note 9 4 4 4" xfId="19927"/>
    <cellStyle name="Note 9 4 4_Table" xfId="7480"/>
    <cellStyle name="Note 9 4 5" xfId="2137"/>
    <cellStyle name="Note 9 4 5 2" xfId="11465"/>
    <cellStyle name="Note 9 4 5 2 2" xfId="24771"/>
    <cellStyle name="Note 9 4 5 3" xfId="15875"/>
    <cellStyle name="Note 9 4 5 3 2" xfId="29181"/>
    <cellStyle name="Note 9 4 5 4" xfId="20361"/>
    <cellStyle name="Note 9 4 5_Table" xfId="7481"/>
    <cellStyle name="Note 9 4 6" xfId="2569"/>
    <cellStyle name="Note 9 4 6 2" xfId="11897"/>
    <cellStyle name="Note 9 4 6 2 2" xfId="25203"/>
    <cellStyle name="Note 9 4 6 3" xfId="16307"/>
    <cellStyle name="Note 9 4 6 3 2" xfId="29613"/>
    <cellStyle name="Note 9 4 6 4" xfId="20793"/>
    <cellStyle name="Note 9 4 6_Table" xfId="7482"/>
    <cellStyle name="Note 9 4 7" xfId="2995"/>
    <cellStyle name="Note 9 4 7 2" xfId="12323"/>
    <cellStyle name="Note 9 4 7 2 2" xfId="25629"/>
    <cellStyle name="Note 9 4 7 3" xfId="16733"/>
    <cellStyle name="Note 9 4 7 3 2" xfId="30039"/>
    <cellStyle name="Note 9 4 7 4" xfId="21219"/>
    <cellStyle name="Note 9 4 7_Table" xfId="7483"/>
    <cellStyle name="Note 9 4 8" xfId="3409"/>
    <cellStyle name="Note 9 4 8 2" xfId="12737"/>
    <cellStyle name="Note 9 4 8 2 2" xfId="26043"/>
    <cellStyle name="Note 9 4 8 3" xfId="17147"/>
    <cellStyle name="Note 9 4 8 3 2" xfId="30453"/>
    <cellStyle name="Note 9 4 8 4" xfId="21633"/>
    <cellStyle name="Note 9 4 8_Table" xfId="7484"/>
    <cellStyle name="Note 9 4 9" xfId="3563"/>
    <cellStyle name="Note 9 4 9 2" xfId="12891"/>
    <cellStyle name="Note 9 4 9 2 2" xfId="26197"/>
    <cellStyle name="Note 9 4 9 3" xfId="17301"/>
    <cellStyle name="Note 9 4 9 3 2" xfId="30607"/>
    <cellStyle name="Note 9 4 9 4" xfId="21787"/>
    <cellStyle name="Note 9 4 9_Table" xfId="7485"/>
    <cellStyle name="Note 9 4_Table" xfId="7466"/>
    <cellStyle name="Note 9 5" xfId="626"/>
    <cellStyle name="Note 9 5 10" xfId="4242"/>
    <cellStyle name="Note 9 5 10 2" xfId="13570"/>
    <cellStyle name="Note 9 5 10 2 2" xfId="26876"/>
    <cellStyle name="Note 9 5 10 3" xfId="17980"/>
    <cellStyle name="Note 9 5 10 3 2" xfId="31286"/>
    <cellStyle name="Note 9 5 10 4" xfId="22466"/>
    <cellStyle name="Note 9 5 10_Table" xfId="7487"/>
    <cellStyle name="Note 9 5 11" xfId="4603"/>
    <cellStyle name="Note 9 5 11 2" xfId="13931"/>
    <cellStyle name="Note 9 5 11 2 2" xfId="27237"/>
    <cellStyle name="Note 9 5 11 3" xfId="18341"/>
    <cellStyle name="Note 9 5 11 3 2" xfId="31647"/>
    <cellStyle name="Note 9 5 11 4" xfId="22827"/>
    <cellStyle name="Note 9 5 11_Table" xfId="7488"/>
    <cellStyle name="Note 9 5 12" xfId="9954"/>
    <cellStyle name="Note 9 5 12 2" xfId="23277"/>
    <cellStyle name="Note 9 5 13" xfId="14381"/>
    <cellStyle name="Note 9 5 13 2" xfId="27687"/>
    <cellStyle name="Note 9 5 14" xfId="18867"/>
    <cellStyle name="Note 9 5 2" xfId="868"/>
    <cellStyle name="Note 9 5 2 10" xfId="4828"/>
    <cellStyle name="Note 9 5 2 10 2" xfId="14156"/>
    <cellStyle name="Note 9 5 2 10 2 2" xfId="27462"/>
    <cellStyle name="Note 9 5 2 10 3" xfId="18566"/>
    <cellStyle name="Note 9 5 2 10 3 2" xfId="31872"/>
    <cellStyle name="Note 9 5 2 10 4" xfId="23052"/>
    <cellStyle name="Note 9 5 2 10_Table" xfId="7490"/>
    <cellStyle name="Note 9 5 2 11" xfId="10196"/>
    <cellStyle name="Note 9 5 2 11 2" xfId="23502"/>
    <cellStyle name="Note 9 5 2 12" xfId="14606"/>
    <cellStyle name="Note 9 5 2 12 2" xfId="27912"/>
    <cellStyle name="Note 9 5 2 13" xfId="19092"/>
    <cellStyle name="Note 9 5 2 2" xfId="1654"/>
    <cellStyle name="Note 9 5 2 2 2" xfId="10982"/>
    <cellStyle name="Note 9 5 2 2 2 2" xfId="24288"/>
    <cellStyle name="Note 9 5 2 2 3" xfId="15392"/>
    <cellStyle name="Note 9 5 2 2 3 2" xfId="28698"/>
    <cellStyle name="Note 9 5 2 2 4" xfId="19878"/>
    <cellStyle name="Note 9 5 2 2_Table" xfId="7491"/>
    <cellStyle name="Note 9 5 2 3" xfId="2014"/>
    <cellStyle name="Note 9 5 2 3 2" xfId="11342"/>
    <cellStyle name="Note 9 5 2 3 2 2" xfId="24648"/>
    <cellStyle name="Note 9 5 2 3 3" xfId="15752"/>
    <cellStyle name="Note 9 5 2 3 3 2" xfId="29058"/>
    <cellStyle name="Note 9 5 2 3 4" xfId="20238"/>
    <cellStyle name="Note 9 5 2 3_Table" xfId="7492"/>
    <cellStyle name="Note 9 5 2 4" xfId="2444"/>
    <cellStyle name="Note 9 5 2 4 2" xfId="11772"/>
    <cellStyle name="Note 9 5 2 4 2 2" xfId="25078"/>
    <cellStyle name="Note 9 5 2 4 3" xfId="16182"/>
    <cellStyle name="Note 9 5 2 4 3 2" xfId="29488"/>
    <cellStyle name="Note 9 5 2 4 4" xfId="20668"/>
    <cellStyle name="Note 9 5 2 4_Table" xfId="7493"/>
    <cellStyle name="Note 9 5 2 5" xfId="2882"/>
    <cellStyle name="Note 9 5 2 5 2" xfId="12210"/>
    <cellStyle name="Note 9 5 2 5 2 2" xfId="25516"/>
    <cellStyle name="Note 9 5 2 5 3" xfId="16620"/>
    <cellStyle name="Note 9 5 2 5 3 2" xfId="29926"/>
    <cellStyle name="Note 9 5 2 5 4" xfId="21106"/>
    <cellStyle name="Note 9 5 2 5_Table" xfId="7494"/>
    <cellStyle name="Note 9 5 2 6" xfId="3289"/>
    <cellStyle name="Note 9 5 2 6 2" xfId="12617"/>
    <cellStyle name="Note 9 5 2 6 2 2" xfId="25923"/>
    <cellStyle name="Note 9 5 2 6 3" xfId="17027"/>
    <cellStyle name="Note 9 5 2 6 3 2" xfId="30333"/>
    <cellStyle name="Note 9 5 2 6 4" xfId="21513"/>
    <cellStyle name="Note 9 5 2 6_Table" xfId="7495"/>
    <cellStyle name="Note 9 5 2 7" xfId="3881"/>
    <cellStyle name="Note 9 5 2 7 2" xfId="13209"/>
    <cellStyle name="Note 9 5 2 7 2 2" xfId="26515"/>
    <cellStyle name="Note 9 5 2 7 3" xfId="17619"/>
    <cellStyle name="Note 9 5 2 7 3 2" xfId="30925"/>
    <cellStyle name="Note 9 5 2 7 4" xfId="22105"/>
    <cellStyle name="Note 9 5 2 7_Table" xfId="7496"/>
    <cellStyle name="Note 9 5 2 8" xfId="4106"/>
    <cellStyle name="Note 9 5 2 8 2" xfId="13434"/>
    <cellStyle name="Note 9 5 2 8 2 2" xfId="26740"/>
    <cellStyle name="Note 9 5 2 8 3" xfId="17844"/>
    <cellStyle name="Note 9 5 2 8 3 2" xfId="31150"/>
    <cellStyle name="Note 9 5 2 8 4" xfId="22330"/>
    <cellStyle name="Note 9 5 2 8_Table" xfId="7497"/>
    <cellStyle name="Note 9 5 2 9" xfId="4467"/>
    <cellStyle name="Note 9 5 2 9 2" xfId="13795"/>
    <cellStyle name="Note 9 5 2 9 2 2" xfId="27101"/>
    <cellStyle name="Note 9 5 2 9 3" xfId="18205"/>
    <cellStyle name="Note 9 5 2 9 3 2" xfId="31511"/>
    <cellStyle name="Note 9 5 2 9 4" xfId="22691"/>
    <cellStyle name="Note 9 5 2 9_Table" xfId="7498"/>
    <cellStyle name="Note 9 5 2_Table" xfId="7489"/>
    <cellStyle name="Note 9 5 3" xfId="1413"/>
    <cellStyle name="Note 9 5 3 2" xfId="10741"/>
    <cellStyle name="Note 9 5 3 2 2" xfId="24047"/>
    <cellStyle name="Note 9 5 3 3" xfId="15151"/>
    <cellStyle name="Note 9 5 3 3 2" xfId="28457"/>
    <cellStyle name="Note 9 5 3 4" xfId="19637"/>
    <cellStyle name="Note 9 5 3_Table" xfId="7499"/>
    <cellStyle name="Note 9 5 4" xfId="1773"/>
    <cellStyle name="Note 9 5 4 2" xfId="11101"/>
    <cellStyle name="Note 9 5 4 2 2" xfId="24407"/>
    <cellStyle name="Note 9 5 4 3" xfId="15511"/>
    <cellStyle name="Note 9 5 4 3 2" xfId="28817"/>
    <cellStyle name="Note 9 5 4 4" xfId="19997"/>
    <cellStyle name="Note 9 5 4_Table" xfId="7500"/>
    <cellStyle name="Note 9 5 5" xfId="2206"/>
    <cellStyle name="Note 9 5 5 2" xfId="11534"/>
    <cellStyle name="Note 9 5 5 2 2" xfId="24840"/>
    <cellStyle name="Note 9 5 5 3" xfId="15944"/>
    <cellStyle name="Note 9 5 5 3 2" xfId="29250"/>
    <cellStyle name="Note 9 5 5 4" xfId="20430"/>
    <cellStyle name="Note 9 5 5_Table" xfId="7501"/>
    <cellStyle name="Note 9 5 6" xfId="2641"/>
    <cellStyle name="Note 9 5 6 2" xfId="11969"/>
    <cellStyle name="Note 9 5 6 2 2" xfId="25275"/>
    <cellStyle name="Note 9 5 6 3" xfId="16379"/>
    <cellStyle name="Note 9 5 6 3 2" xfId="29685"/>
    <cellStyle name="Note 9 5 6 4" xfId="20865"/>
    <cellStyle name="Note 9 5 6_Table" xfId="7502"/>
    <cellStyle name="Note 9 5 7" xfId="3054"/>
    <cellStyle name="Note 9 5 7 2" xfId="12382"/>
    <cellStyle name="Note 9 5 7 2 2" xfId="25688"/>
    <cellStyle name="Note 9 5 7 3" xfId="16792"/>
    <cellStyle name="Note 9 5 7 3 2" xfId="30098"/>
    <cellStyle name="Note 9 5 7 4" xfId="21278"/>
    <cellStyle name="Note 9 5 7_Table" xfId="7503"/>
    <cellStyle name="Note 9 5 8" xfId="3480"/>
    <cellStyle name="Note 9 5 8 2" xfId="12808"/>
    <cellStyle name="Note 9 5 8 2 2" xfId="26114"/>
    <cellStyle name="Note 9 5 8 3" xfId="17218"/>
    <cellStyle name="Note 9 5 8 3 2" xfId="30524"/>
    <cellStyle name="Note 9 5 8 4" xfId="21704"/>
    <cellStyle name="Note 9 5 8_Table" xfId="7504"/>
    <cellStyle name="Note 9 5 9" xfId="3573"/>
    <cellStyle name="Note 9 5 9 2" xfId="12901"/>
    <cellStyle name="Note 9 5 9 2 2" xfId="26207"/>
    <cellStyle name="Note 9 5 9 3" xfId="17311"/>
    <cellStyle name="Note 9 5 9 3 2" xfId="30617"/>
    <cellStyle name="Note 9 5 9 4" xfId="21797"/>
    <cellStyle name="Note 9 5 9_Table" xfId="7505"/>
    <cellStyle name="Note 9 5_Table" xfId="7486"/>
    <cellStyle name="Note 9 6" xfId="688"/>
    <cellStyle name="Note 9 6 10" xfId="4648"/>
    <cellStyle name="Note 9 6 10 2" xfId="13976"/>
    <cellStyle name="Note 9 6 10 2 2" xfId="27282"/>
    <cellStyle name="Note 9 6 10 3" xfId="18386"/>
    <cellStyle name="Note 9 6 10 3 2" xfId="31692"/>
    <cellStyle name="Note 9 6 10 4" xfId="22872"/>
    <cellStyle name="Note 9 6 10_Table" xfId="7507"/>
    <cellStyle name="Note 9 6 11" xfId="10016"/>
    <cellStyle name="Note 9 6 11 2" xfId="23322"/>
    <cellStyle name="Note 9 6 12" xfId="14426"/>
    <cellStyle name="Note 9 6 12 2" xfId="27732"/>
    <cellStyle name="Note 9 6 13" xfId="18912"/>
    <cellStyle name="Note 9 6 2" xfId="1474"/>
    <cellStyle name="Note 9 6 2 2" xfId="10802"/>
    <cellStyle name="Note 9 6 2 2 2" xfId="24108"/>
    <cellStyle name="Note 9 6 2 3" xfId="15212"/>
    <cellStyle name="Note 9 6 2 3 2" xfId="28518"/>
    <cellStyle name="Note 9 6 2 4" xfId="19698"/>
    <cellStyle name="Note 9 6 2_Table" xfId="7508"/>
    <cellStyle name="Note 9 6 3" xfId="1834"/>
    <cellStyle name="Note 9 6 3 2" xfId="11162"/>
    <cellStyle name="Note 9 6 3 2 2" xfId="24468"/>
    <cellStyle name="Note 9 6 3 3" xfId="15572"/>
    <cellStyle name="Note 9 6 3 3 2" xfId="28878"/>
    <cellStyle name="Note 9 6 3 4" xfId="20058"/>
    <cellStyle name="Note 9 6 3_Table" xfId="7509"/>
    <cellStyle name="Note 9 6 4" xfId="2264"/>
    <cellStyle name="Note 9 6 4 2" xfId="11592"/>
    <cellStyle name="Note 9 6 4 2 2" xfId="24898"/>
    <cellStyle name="Note 9 6 4 3" xfId="16002"/>
    <cellStyle name="Note 9 6 4 3 2" xfId="29308"/>
    <cellStyle name="Note 9 6 4 4" xfId="20488"/>
    <cellStyle name="Note 9 6 4_Table" xfId="7510"/>
    <cellStyle name="Note 9 6 5" xfId="2702"/>
    <cellStyle name="Note 9 6 5 2" xfId="12030"/>
    <cellStyle name="Note 9 6 5 2 2" xfId="25336"/>
    <cellStyle name="Note 9 6 5 3" xfId="16440"/>
    <cellStyle name="Note 9 6 5 3 2" xfId="29746"/>
    <cellStyle name="Note 9 6 5 4" xfId="20926"/>
    <cellStyle name="Note 9 6 5_Table" xfId="7511"/>
    <cellStyle name="Note 9 6 6" xfId="3109"/>
    <cellStyle name="Note 9 6 6 2" xfId="12437"/>
    <cellStyle name="Note 9 6 6 2 2" xfId="25743"/>
    <cellStyle name="Note 9 6 6 3" xfId="16847"/>
    <cellStyle name="Note 9 6 6 3 2" xfId="30153"/>
    <cellStyle name="Note 9 6 6 4" xfId="21333"/>
    <cellStyle name="Note 9 6 6_Table" xfId="7512"/>
    <cellStyle name="Note 9 6 7" xfId="3701"/>
    <cellStyle name="Note 9 6 7 2" xfId="13029"/>
    <cellStyle name="Note 9 6 7 2 2" xfId="26335"/>
    <cellStyle name="Note 9 6 7 3" xfId="17439"/>
    <cellStyle name="Note 9 6 7 3 2" xfId="30745"/>
    <cellStyle name="Note 9 6 7 4" xfId="21925"/>
    <cellStyle name="Note 9 6 7_Table" xfId="7513"/>
    <cellStyle name="Note 9 6 8" xfId="3926"/>
    <cellStyle name="Note 9 6 8 2" xfId="13254"/>
    <cellStyle name="Note 9 6 8 2 2" xfId="26560"/>
    <cellStyle name="Note 9 6 8 3" xfId="17664"/>
    <cellStyle name="Note 9 6 8 3 2" xfId="30970"/>
    <cellStyle name="Note 9 6 8 4" xfId="22150"/>
    <cellStyle name="Note 9 6 8_Table" xfId="7514"/>
    <cellStyle name="Note 9 6 9" xfId="4287"/>
    <cellStyle name="Note 9 6 9 2" xfId="13615"/>
    <cellStyle name="Note 9 6 9 2 2" xfId="26921"/>
    <cellStyle name="Note 9 6 9 3" xfId="18025"/>
    <cellStyle name="Note 9 6 9 3 2" xfId="31331"/>
    <cellStyle name="Note 9 6 9 4" xfId="22511"/>
    <cellStyle name="Note 9 6 9_Table" xfId="7515"/>
    <cellStyle name="Note 9 6_Table" xfId="7506"/>
    <cellStyle name="Note 9 7" xfId="1182"/>
    <cellStyle name="Note 9 7 2" xfId="10510"/>
    <cellStyle name="Note 9 7 2 2" xfId="23816"/>
    <cellStyle name="Note 9 7 3" xfId="14920"/>
    <cellStyle name="Note 9 7 3 2" xfId="28226"/>
    <cellStyle name="Note 9 7 4" xfId="19406"/>
    <cellStyle name="Note 9 7_Table" xfId="7516"/>
    <cellStyle name="Note 9 8" xfId="1062"/>
    <cellStyle name="Note 9 8 2" xfId="10390"/>
    <cellStyle name="Note 9 8 2 2" xfId="23696"/>
    <cellStyle name="Note 9 8 3" xfId="14800"/>
    <cellStyle name="Note 9 8 3 2" xfId="28106"/>
    <cellStyle name="Note 9 8 4" xfId="19286"/>
    <cellStyle name="Note 9 8_Table" xfId="7517"/>
    <cellStyle name="Note 9 9" xfId="1374"/>
    <cellStyle name="Note 9 9 2" xfId="10702"/>
    <cellStyle name="Note 9 9 2 2" xfId="24008"/>
    <cellStyle name="Note 9 9 3" xfId="15112"/>
    <cellStyle name="Note 9 9 3 2" xfId="28418"/>
    <cellStyle name="Note 9 9 4" xfId="19598"/>
    <cellStyle name="Note 9 9_Table" xfId="7518"/>
    <cellStyle name="Note 9_Table" xfId="7419"/>
    <cellStyle name="Output 10" xfId="349"/>
    <cellStyle name="Output 10 10" xfId="963"/>
    <cellStyle name="Output 10 10 2" xfId="10291"/>
    <cellStyle name="Output 10 10 2 2" xfId="23597"/>
    <cellStyle name="Output 10 10 3" xfId="14701"/>
    <cellStyle name="Output 10 10 3 2" xfId="28007"/>
    <cellStyle name="Output 10 10 4" xfId="19187"/>
    <cellStyle name="Output 10 10_Table" xfId="7520"/>
    <cellStyle name="Output 10 11" xfId="2042"/>
    <cellStyle name="Output 10 11 2" xfId="11370"/>
    <cellStyle name="Output 10 11 2 2" xfId="24676"/>
    <cellStyle name="Output 10 11 3" xfId="15780"/>
    <cellStyle name="Output 10 11 3 2" xfId="29086"/>
    <cellStyle name="Output 10 11 4" xfId="20266"/>
    <cellStyle name="Output 10 11_Table" xfId="7521"/>
    <cellStyle name="Output 10 12" xfId="2474"/>
    <cellStyle name="Output 10 12 2" xfId="11802"/>
    <cellStyle name="Output 10 12 2 2" xfId="25108"/>
    <cellStyle name="Output 10 12 3" xfId="16212"/>
    <cellStyle name="Output 10 12 3 2" xfId="29518"/>
    <cellStyle name="Output 10 12 4" xfId="20698"/>
    <cellStyle name="Output 10 12_Table" xfId="7522"/>
    <cellStyle name="Output 10 13" xfId="3620"/>
    <cellStyle name="Output 10 13 2" xfId="12948"/>
    <cellStyle name="Output 10 13 2 2" xfId="26254"/>
    <cellStyle name="Output 10 13 3" xfId="17358"/>
    <cellStyle name="Output 10 13 3 2" xfId="30664"/>
    <cellStyle name="Output 10 13 4" xfId="21844"/>
    <cellStyle name="Output 10 13_Table" xfId="7523"/>
    <cellStyle name="Output 10 14" xfId="2910"/>
    <cellStyle name="Output 10 14 2" xfId="12238"/>
    <cellStyle name="Output 10 14 2 2" xfId="25544"/>
    <cellStyle name="Output 10 14 3" xfId="16648"/>
    <cellStyle name="Output 10 14 3 2" xfId="29954"/>
    <cellStyle name="Output 10 14 4" xfId="21134"/>
    <cellStyle name="Output 10 14_Table" xfId="7524"/>
    <cellStyle name="Output 10 15" xfId="3430"/>
    <cellStyle name="Output 10 15 2" xfId="12758"/>
    <cellStyle name="Output 10 15 2 2" xfId="26064"/>
    <cellStyle name="Output 10 15 3" xfId="17168"/>
    <cellStyle name="Output 10 15 3 2" xfId="30474"/>
    <cellStyle name="Output 10 15 4" xfId="21654"/>
    <cellStyle name="Output 10 15_Table" xfId="7525"/>
    <cellStyle name="Output 10 16" xfId="9677"/>
    <cellStyle name="Output 10 16 2" xfId="23098"/>
    <cellStyle name="Output 10 17" xfId="14202"/>
    <cellStyle name="Output 10 17 2" xfId="27508"/>
    <cellStyle name="Output 10 18" xfId="18688"/>
    <cellStyle name="Output 10 2" xfId="420"/>
    <cellStyle name="Output 10 2 10" xfId="2957"/>
    <cellStyle name="Output 10 2 10 2" xfId="12285"/>
    <cellStyle name="Output 10 2 10 2 2" xfId="25591"/>
    <cellStyle name="Output 10 2 10 3" xfId="16695"/>
    <cellStyle name="Output 10 2 10 3 2" xfId="30001"/>
    <cellStyle name="Output 10 2 10 4" xfId="21181"/>
    <cellStyle name="Output 10 2 10_Table" xfId="7527"/>
    <cellStyle name="Output 10 2 11" xfId="3451"/>
    <cellStyle name="Output 10 2 11 2" xfId="12779"/>
    <cellStyle name="Output 10 2 11 2 2" xfId="26085"/>
    <cellStyle name="Output 10 2 11 3" xfId="17189"/>
    <cellStyle name="Output 10 2 11 3 2" xfId="30495"/>
    <cellStyle name="Output 10 2 11 4" xfId="21675"/>
    <cellStyle name="Output 10 2 11_Table" xfId="7528"/>
    <cellStyle name="Output 10 2 12" xfId="9748"/>
    <cellStyle name="Output 10 2 12 2" xfId="23143"/>
    <cellStyle name="Output 10 2 13" xfId="14247"/>
    <cellStyle name="Output 10 2 13 2" xfId="27553"/>
    <cellStyle name="Output 10 2 14" xfId="18733"/>
    <cellStyle name="Output 10 2 2" xfId="734"/>
    <cellStyle name="Output 10 2 2 10" xfId="4694"/>
    <cellStyle name="Output 10 2 2 10 2" xfId="14022"/>
    <cellStyle name="Output 10 2 2 10 2 2" xfId="27328"/>
    <cellStyle name="Output 10 2 2 10 3" xfId="18432"/>
    <cellStyle name="Output 10 2 2 10 3 2" xfId="31738"/>
    <cellStyle name="Output 10 2 2 10 4" xfId="22918"/>
    <cellStyle name="Output 10 2 2 10_Table" xfId="7530"/>
    <cellStyle name="Output 10 2 2 11" xfId="10062"/>
    <cellStyle name="Output 10 2 2 11 2" xfId="23368"/>
    <cellStyle name="Output 10 2 2 12" xfId="14472"/>
    <cellStyle name="Output 10 2 2 12 2" xfId="27778"/>
    <cellStyle name="Output 10 2 2 13" xfId="18958"/>
    <cellStyle name="Output 10 2 2 2" xfId="1520"/>
    <cellStyle name="Output 10 2 2 2 2" xfId="10848"/>
    <cellStyle name="Output 10 2 2 2 2 2" xfId="24154"/>
    <cellStyle name="Output 10 2 2 2 3" xfId="15258"/>
    <cellStyle name="Output 10 2 2 2 3 2" xfId="28564"/>
    <cellStyle name="Output 10 2 2 2 4" xfId="19744"/>
    <cellStyle name="Output 10 2 2 2_Table" xfId="7531"/>
    <cellStyle name="Output 10 2 2 3" xfId="1880"/>
    <cellStyle name="Output 10 2 2 3 2" xfId="11208"/>
    <cellStyle name="Output 10 2 2 3 2 2" xfId="24514"/>
    <cellStyle name="Output 10 2 2 3 3" xfId="15618"/>
    <cellStyle name="Output 10 2 2 3 3 2" xfId="28924"/>
    <cellStyle name="Output 10 2 2 3 4" xfId="20104"/>
    <cellStyle name="Output 10 2 2 3_Table" xfId="7532"/>
    <cellStyle name="Output 10 2 2 4" xfId="2310"/>
    <cellStyle name="Output 10 2 2 4 2" xfId="11638"/>
    <cellStyle name="Output 10 2 2 4 2 2" xfId="24944"/>
    <cellStyle name="Output 10 2 2 4 3" xfId="16048"/>
    <cellStyle name="Output 10 2 2 4 3 2" xfId="29354"/>
    <cellStyle name="Output 10 2 2 4 4" xfId="20534"/>
    <cellStyle name="Output 10 2 2 4_Table" xfId="7533"/>
    <cellStyle name="Output 10 2 2 5" xfId="2748"/>
    <cellStyle name="Output 10 2 2 5 2" xfId="12076"/>
    <cellStyle name="Output 10 2 2 5 2 2" xfId="25382"/>
    <cellStyle name="Output 10 2 2 5 3" xfId="16486"/>
    <cellStyle name="Output 10 2 2 5 3 2" xfId="29792"/>
    <cellStyle name="Output 10 2 2 5 4" xfId="20972"/>
    <cellStyle name="Output 10 2 2 5_Table" xfId="7534"/>
    <cellStyle name="Output 10 2 2 6" xfId="3155"/>
    <cellStyle name="Output 10 2 2 6 2" xfId="12483"/>
    <cellStyle name="Output 10 2 2 6 2 2" xfId="25789"/>
    <cellStyle name="Output 10 2 2 6 3" xfId="16893"/>
    <cellStyle name="Output 10 2 2 6 3 2" xfId="30199"/>
    <cellStyle name="Output 10 2 2 6 4" xfId="21379"/>
    <cellStyle name="Output 10 2 2 6_Table" xfId="7535"/>
    <cellStyle name="Output 10 2 2 7" xfId="3747"/>
    <cellStyle name="Output 10 2 2 7 2" xfId="13075"/>
    <cellStyle name="Output 10 2 2 7 2 2" xfId="26381"/>
    <cellStyle name="Output 10 2 2 7 3" xfId="17485"/>
    <cellStyle name="Output 10 2 2 7 3 2" xfId="30791"/>
    <cellStyle name="Output 10 2 2 7 4" xfId="21971"/>
    <cellStyle name="Output 10 2 2 7_Table" xfId="7536"/>
    <cellStyle name="Output 10 2 2 8" xfId="3972"/>
    <cellStyle name="Output 10 2 2 8 2" xfId="13300"/>
    <cellStyle name="Output 10 2 2 8 2 2" xfId="26606"/>
    <cellStyle name="Output 10 2 2 8 3" xfId="17710"/>
    <cellStyle name="Output 10 2 2 8 3 2" xfId="31016"/>
    <cellStyle name="Output 10 2 2 8 4" xfId="22196"/>
    <cellStyle name="Output 10 2 2 8_Table" xfId="7537"/>
    <cellStyle name="Output 10 2 2 9" xfId="4333"/>
    <cellStyle name="Output 10 2 2 9 2" xfId="13661"/>
    <cellStyle name="Output 10 2 2 9 2 2" xfId="26967"/>
    <cellStyle name="Output 10 2 2 9 3" xfId="18071"/>
    <cellStyle name="Output 10 2 2 9 3 2" xfId="31377"/>
    <cellStyle name="Output 10 2 2 9 4" xfId="22557"/>
    <cellStyle name="Output 10 2 2 9_Table" xfId="7538"/>
    <cellStyle name="Output 10 2 2_Table" xfId="7529"/>
    <cellStyle name="Output 10 2 3" xfId="1234"/>
    <cellStyle name="Output 10 2 3 2" xfId="10562"/>
    <cellStyle name="Output 10 2 3 2 2" xfId="23868"/>
    <cellStyle name="Output 10 2 3 3" xfId="14972"/>
    <cellStyle name="Output 10 2 3 3 2" xfId="28278"/>
    <cellStyle name="Output 10 2 3 4" xfId="19458"/>
    <cellStyle name="Output 10 2 3_Table" xfId="7539"/>
    <cellStyle name="Output 10 2 4" xfId="992"/>
    <cellStyle name="Output 10 2 4 2" xfId="10320"/>
    <cellStyle name="Output 10 2 4 2 2" xfId="23626"/>
    <cellStyle name="Output 10 2 4 3" xfId="14730"/>
    <cellStyle name="Output 10 2 4 3 2" xfId="28036"/>
    <cellStyle name="Output 10 2 4 4" xfId="19216"/>
    <cellStyle name="Output 10 2 4_Table" xfId="7540"/>
    <cellStyle name="Output 10 2 5" xfId="1387"/>
    <cellStyle name="Output 10 2 5 2" xfId="10715"/>
    <cellStyle name="Output 10 2 5 2 2" xfId="24021"/>
    <cellStyle name="Output 10 2 5 3" xfId="15125"/>
    <cellStyle name="Output 10 2 5 3 2" xfId="28431"/>
    <cellStyle name="Output 10 2 5 4" xfId="19611"/>
    <cellStyle name="Output 10 2 5_Table" xfId="7541"/>
    <cellStyle name="Output 10 2 6" xfId="1026"/>
    <cellStyle name="Output 10 2 6 2" xfId="10354"/>
    <cellStyle name="Output 10 2 6 2 2" xfId="23660"/>
    <cellStyle name="Output 10 2 6 3" xfId="14764"/>
    <cellStyle name="Output 10 2 6 3 2" xfId="28070"/>
    <cellStyle name="Output 10 2 6 4" xfId="19250"/>
    <cellStyle name="Output 10 2 6_Table" xfId="7542"/>
    <cellStyle name="Output 10 2 7" xfId="1367"/>
    <cellStyle name="Output 10 2 7 2" xfId="10695"/>
    <cellStyle name="Output 10 2 7 2 2" xfId="24001"/>
    <cellStyle name="Output 10 2 7 3" xfId="15105"/>
    <cellStyle name="Output 10 2 7 3 2" xfId="28411"/>
    <cellStyle name="Output 10 2 7 4" xfId="19591"/>
    <cellStyle name="Output 10 2 7_Table" xfId="7543"/>
    <cellStyle name="Output 10 2 8" xfId="896"/>
    <cellStyle name="Output 10 2 8 2" xfId="10224"/>
    <cellStyle name="Output 10 2 8 2 2" xfId="23530"/>
    <cellStyle name="Output 10 2 8 3" xfId="14634"/>
    <cellStyle name="Output 10 2 8 3 2" xfId="27940"/>
    <cellStyle name="Output 10 2 8 4" xfId="19120"/>
    <cellStyle name="Output 10 2 8_Table" xfId="7544"/>
    <cellStyle name="Output 10 2 9" xfId="2958"/>
    <cellStyle name="Output 10 2 9 2" xfId="12286"/>
    <cellStyle name="Output 10 2 9 2 2" xfId="25592"/>
    <cellStyle name="Output 10 2 9 3" xfId="16696"/>
    <cellStyle name="Output 10 2 9 3 2" xfId="30002"/>
    <cellStyle name="Output 10 2 9 4" xfId="21182"/>
    <cellStyle name="Output 10 2 9_Table" xfId="7545"/>
    <cellStyle name="Output 10 2_Table" xfId="7526"/>
    <cellStyle name="Output 10 3" xfId="488"/>
    <cellStyle name="Output 10 3 10" xfId="4153"/>
    <cellStyle name="Output 10 3 10 2" xfId="13481"/>
    <cellStyle name="Output 10 3 10 2 2" xfId="26787"/>
    <cellStyle name="Output 10 3 10 3" xfId="17891"/>
    <cellStyle name="Output 10 3 10 3 2" xfId="31197"/>
    <cellStyle name="Output 10 3 10 4" xfId="22377"/>
    <cellStyle name="Output 10 3 10_Table" xfId="7547"/>
    <cellStyle name="Output 10 3 11" xfId="4514"/>
    <cellStyle name="Output 10 3 11 2" xfId="13842"/>
    <cellStyle name="Output 10 3 11 2 2" xfId="27148"/>
    <cellStyle name="Output 10 3 11 3" xfId="18252"/>
    <cellStyle name="Output 10 3 11 3 2" xfId="31558"/>
    <cellStyle name="Output 10 3 11 4" xfId="22738"/>
    <cellStyle name="Output 10 3 11_Table" xfId="7548"/>
    <cellStyle name="Output 10 3 12" xfId="9816"/>
    <cellStyle name="Output 10 3 12 2" xfId="23188"/>
    <cellStyle name="Output 10 3 13" xfId="14292"/>
    <cellStyle name="Output 10 3 13 2" xfId="27598"/>
    <cellStyle name="Output 10 3 14" xfId="18778"/>
    <cellStyle name="Output 10 3 2" xfId="779"/>
    <cellStyle name="Output 10 3 2 10" xfId="4739"/>
    <cellStyle name="Output 10 3 2 10 2" xfId="14067"/>
    <cellStyle name="Output 10 3 2 10 2 2" xfId="27373"/>
    <cellStyle name="Output 10 3 2 10 3" xfId="18477"/>
    <cellStyle name="Output 10 3 2 10 3 2" xfId="31783"/>
    <cellStyle name="Output 10 3 2 10 4" xfId="22963"/>
    <cellStyle name="Output 10 3 2 10_Table" xfId="7550"/>
    <cellStyle name="Output 10 3 2 11" xfId="10107"/>
    <cellStyle name="Output 10 3 2 11 2" xfId="23413"/>
    <cellStyle name="Output 10 3 2 12" xfId="14517"/>
    <cellStyle name="Output 10 3 2 12 2" xfId="27823"/>
    <cellStyle name="Output 10 3 2 13" xfId="19003"/>
    <cellStyle name="Output 10 3 2 2" xfId="1565"/>
    <cellStyle name="Output 10 3 2 2 2" xfId="10893"/>
    <cellStyle name="Output 10 3 2 2 2 2" xfId="24199"/>
    <cellStyle name="Output 10 3 2 2 3" xfId="15303"/>
    <cellStyle name="Output 10 3 2 2 3 2" xfId="28609"/>
    <cellStyle name="Output 10 3 2 2 4" xfId="19789"/>
    <cellStyle name="Output 10 3 2 2_Table" xfId="7551"/>
    <cellStyle name="Output 10 3 2 3" xfId="1925"/>
    <cellStyle name="Output 10 3 2 3 2" xfId="11253"/>
    <cellStyle name="Output 10 3 2 3 2 2" xfId="24559"/>
    <cellStyle name="Output 10 3 2 3 3" xfId="15663"/>
    <cellStyle name="Output 10 3 2 3 3 2" xfId="28969"/>
    <cellStyle name="Output 10 3 2 3 4" xfId="20149"/>
    <cellStyle name="Output 10 3 2 3_Table" xfId="7552"/>
    <cellStyle name="Output 10 3 2 4" xfId="2355"/>
    <cellStyle name="Output 10 3 2 4 2" xfId="11683"/>
    <cellStyle name="Output 10 3 2 4 2 2" xfId="24989"/>
    <cellStyle name="Output 10 3 2 4 3" xfId="16093"/>
    <cellStyle name="Output 10 3 2 4 3 2" xfId="29399"/>
    <cellStyle name="Output 10 3 2 4 4" xfId="20579"/>
    <cellStyle name="Output 10 3 2 4_Table" xfId="7553"/>
    <cellStyle name="Output 10 3 2 5" xfId="2793"/>
    <cellStyle name="Output 10 3 2 5 2" xfId="12121"/>
    <cellStyle name="Output 10 3 2 5 2 2" xfId="25427"/>
    <cellStyle name="Output 10 3 2 5 3" xfId="16531"/>
    <cellStyle name="Output 10 3 2 5 3 2" xfId="29837"/>
    <cellStyle name="Output 10 3 2 5 4" xfId="21017"/>
    <cellStyle name="Output 10 3 2 5_Table" xfId="7554"/>
    <cellStyle name="Output 10 3 2 6" xfId="3200"/>
    <cellStyle name="Output 10 3 2 6 2" xfId="12528"/>
    <cellStyle name="Output 10 3 2 6 2 2" xfId="25834"/>
    <cellStyle name="Output 10 3 2 6 3" xfId="16938"/>
    <cellStyle name="Output 10 3 2 6 3 2" xfId="30244"/>
    <cellStyle name="Output 10 3 2 6 4" xfId="21424"/>
    <cellStyle name="Output 10 3 2 6_Table" xfId="7555"/>
    <cellStyle name="Output 10 3 2 7" xfId="3792"/>
    <cellStyle name="Output 10 3 2 7 2" xfId="13120"/>
    <cellStyle name="Output 10 3 2 7 2 2" xfId="26426"/>
    <cellStyle name="Output 10 3 2 7 3" xfId="17530"/>
    <cellStyle name="Output 10 3 2 7 3 2" xfId="30836"/>
    <cellStyle name="Output 10 3 2 7 4" xfId="22016"/>
    <cellStyle name="Output 10 3 2 7_Table" xfId="7556"/>
    <cellStyle name="Output 10 3 2 8" xfId="4017"/>
    <cellStyle name="Output 10 3 2 8 2" xfId="13345"/>
    <cellStyle name="Output 10 3 2 8 2 2" xfId="26651"/>
    <cellStyle name="Output 10 3 2 8 3" xfId="17755"/>
    <cellStyle name="Output 10 3 2 8 3 2" xfId="31061"/>
    <cellStyle name="Output 10 3 2 8 4" xfId="22241"/>
    <cellStyle name="Output 10 3 2 8_Table" xfId="7557"/>
    <cellStyle name="Output 10 3 2 9" xfId="4378"/>
    <cellStyle name="Output 10 3 2 9 2" xfId="13706"/>
    <cellStyle name="Output 10 3 2 9 2 2" xfId="27012"/>
    <cellStyle name="Output 10 3 2 9 3" xfId="18116"/>
    <cellStyle name="Output 10 3 2 9 3 2" xfId="31422"/>
    <cellStyle name="Output 10 3 2 9 4" xfId="22602"/>
    <cellStyle name="Output 10 3 2 9_Table" xfId="7558"/>
    <cellStyle name="Output 10 3 2_Table" xfId="7549"/>
    <cellStyle name="Output 10 3 3" xfId="1291"/>
    <cellStyle name="Output 10 3 3 2" xfId="10619"/>
    <cellStyle name="Output 10 3 3 2 2" xfId="23925"/>
    <cellStyle name="Output 10 3 3 3" xfId="15029"/>
    <cellStyle name="Output 10 3 3 3 2" xfId="28335"/>
    <cellStyle name="Output 10 3 3 4" xfId="19515"/>
    <cellStyle name="Output 10 3 3_Table" xfId="7559"/>
    <cellStyle name="Output 10 3 4" xfId="926"/>
    <cellStyle name="Output 10 3 4 2" xfId="10254"/>
    <cellStyle name="Output 10 3 4 2 2" xfId="23560"/>
    <cellStyle name="Output 10 3 4 3" xfId="14664"/>
    <cellStyle name="Output 10 3 4 3 2" xfId="27970"/>
    <cellStyle name="Output 10 3 4 4" xfId="19150"/>
    <cellStyle name="Output 10 3 4_Table" xfId="7560"/>
    <cellStyle name="Output 10 3 5" xfId="2079"/>
    <cellStyle name="Output 10 3 5 2" xfId="11407"/>
    <cellStyle name="Output 10 3 5 2 2" xfId="24713"/>
    <cellStyle name="Output 10 3 5 3" xfId="15817"/>
    <cellStyle name="Output 10 3 5 3 2" xfId="29123"/>
    <cellStyle name="Output 10 3 5 4" xfId="20303"/>
    <cellStyle name="Output 10 3 5_Table" xfId="7561"/>
    <cellStyle name="Output 10 3 6" xfId="2511"/>
    <cellStyle name="Output 10 3 6 2" xfId="11839"/>
    <cellStyle name="Output 10 3 6 2 2" xfId="25145"/>
    <cellStyle name="Output 10 3 6 3" xfId="16249"/>
    <cellStyle name="Output 10 3 6 3 2" xfId="29555"/>
    <cellStyle name="Output 10 3 6 4" xfId="20735"/>
    <cellStyle name="Output 10 3 6_Table" xfId="7562"/>
    <cellStyle name="Output 10 3 7" xfId="2939"/>
    <cellStyle name="Output 10 3 7 2" xfId="12267"/>
    <cellStyle name="Output 10 3 7 2 2" xfId="25573"/>
    <cellStyle name="Output 10 3 7 3" xfId="16677"/>
    <cellStyle name="Output 10 3 7 3 2" xfId="29983"/>
    <cellStyle name="Output 10 3 7 4" xfId="21163"/>
    <cellStyle name="Output 10 3 7_Table" xfId="7563"/>
    <cellStyle name="Output 10 3 8" xfId="3352"/>
    <cellStyle name="Output 10 3 8 2" xfId="12680"/>
    <cellStyle name="Output 10 3 8 2 2" xfId="25986"/>
    <cellStyle name="Output 10 3 8 3" xfId="17090"/>
    <cellStyle name="Output 10 3 8 3 2" xfId="30396"/>
    <cellStyle name="Output 10 3 8 4" xfId="21576"/>
    <cellStyle name="Output 10 3 8_Table" xfId="7564"/>
    <cellStyle name="Output 10 3 9" xfId="3505"/>
    <cellStyle name="Output 10 3 9 2" xfId="12833"/>
    <cellStyle name="Output 10 3 9 2 2" xfId="26139"/>
    <cellStyle name="Output 10 3 9 3" xfId="17243"/>
    <cellStyle name="Output 10 3 9 3 2" xfId="30549"/>
    <cellStyle name="Output 10 3 9 4" xfId="21729"/>
    <cellStyle name="Output 10 3 9_Table" xfId="7565"/>
    <cellStyle name="Output 10 3_Table" xfId="7546"/>
    <cellStyle name="Output 10 4" xfId="552"/>
    <cellStyle name="Output 10 4 10" xfId="4198"/>
    <cellStyle name="Output 10 4 10 2" xfId="13526"/>
    <cellStyle name="Output 10 4 10 2 2" xfId="26832"/>
    <cellStyle name="Output 10 4 10 3" xfId="17936"/>
    <cellStyle name="Output 10 4 10 3 2" xfId="31242"/>
    <cellStyle name="Output 10 4 10 4" xfId="22422"/>
    <cellStyle name="Output 10 4 10_Table" xfId="7567"/>
    <cellStyle name="Output 10 4 11" xfId="4559"/>
    <cellStyle name="Output 10 4 11 2" xfId="13887"/>
    <cellStyle name="Output 10 4 11 2 2" xfId="27193"/>
    <cellStyle name="Output 10 4 11 3" xfId="18297"/>
    <cellStyle name="Output 10 4 11 3 2" xfId="31603"/>
    <cellStyle name="Output 10 4 11 4" xfId="22783"/>
    <cellStyle name="Output 10 4 11_Table" xfId="7568"/>
    <cellStyle name="Output 10 4 12" xfId="9880"/>
    <cellStyle name="Output 10 4 12 2" xfId="23233"/>
    <cellStyle name="Output 10 4 13" xfId="14337"/>
    <cellStyle name="Output 10 4 13 2" xfId="27643"/>
    <cellStyle name="Output 10 4 14" xfId="18823"/>
    <cellStyle name="Output 10 4 2" xfId="824"/>
    <cellStyle name="Output 10 4 2 10" xfId="4784"/>
    <cellStyle name="Output 10 4 2 10 2" xfId="14112"/>
    <cellStyle name="Output 10 4 2 10 2 2" xfId="27418"/>
    <cellStyle name="Output 10 4 2 10 3" xfId="18522"/>
    <cellStyle name="Output 10 4 2 10 3 2" xfId="31828"/>
    <cellStyle name="Output 10 4 2 10 4" xfId="23008"/>
    <cellStyle name="Output 10 4 2 10_Table" xfId="7570"/>
    <cellStyle name="Output 10 4 2 11" xfId="10152"/>
    <cellStyle name="Output 10 4 2 11 2" xfId="23458"/>
    <cellStyle name="Output 10 4 2 12" xfId="14562"/>
    <cellStyle name="Output 10 4 2 12 2" xfId="27868"/>
    <cellStyle name="Output 10 4 2 13" xfId="19048"/>
    <cellStyle name="Output 10 4 2 2" xfId="1610"/>
    <cellStyle name="Output 10 4 2 2 2" xfId="10938"/>
    <cellStyle name="Output 10 4 2 2 2 2" xfId="24244"/>
    <cellStyle name="Output 10 4 2 2 3" xfId="15348"/>
    <cellStyle name="Output 10 4 2 2 3 2" xfId="28654"/>
    <cellStyle name="Output 10 4 2 2 4" xfId="19834"/>
    <cellStyle name="Output 10 4 2 2_Table" xfId="7571"/>
    <cellStyle name="Output 10 4 2 3" xfId="1970"/>
    <cellStyle name="Output 10 4 2 3 2" xfId="11298"/>
    <cellStyle name="Output 10 4 2 3 2 2" xfId="24604"/>
    <cellStyle name="Output 10 4 2 3 3" xfId="15708"/>
    <cellStyle name="Output 10 4 2 3 3 2" xfId="29014"/>
    <cellStyle name="Output 10 4 2 3 4" xfId="20194"/>
    <cellStyle name="Output 10 4 2 3_Table" xfId="7572"/>
    <cellStyle name="Output 10 4 2 4" xfId="2400"/>
    <cellStyle name="Output 10 4 2 4 2" xfId="11728"/>
    <cellStyle name="Output 10 4 2 4 2 2" xfId="25034"/>
    <cellStyle name="Output 10 4 2 4 3" xfId="16138"/>
    <cellStyle name="Output 10 4 2 4 3 2" xfId="29444"/>
    <cellStyle name="Output 10 4 2 4 4" xfId="20624"/>
    <cellStyle name="Output 10 4 2 4_Table" xfId="7573"/>
    <cellStyle name="Output 10 4 2 5" xfId="2838"/>
    <cellStyle name="Output 10 4 2 5 2" xfId="12166"/>
    <cellStyle name="Output 10 4 2 5 2 2" xfId="25472"/>
    <cellStyle name="Output 10 4 2 5 3" xfId="16576"/>
    <cellStyle name="Output 10 4 2 5 3 2" xfId="29882"/>
    <cellStyle name="Output 10 4 2 5 4" xfId="21062"/>
    <cellStyle name="Output 10 4 2 5_Table" xfId="7574"/>
    <cellStyle name="Output 10 4 2 6" xfId="3245"/>
    <cellStyle name="Output 10 4 2 6 2" xfId="12573"/>
    <cellStyle name="Output 10 4 2 6 2 2" xfId="25879"/>
    <cellStyle name="Output 10 4 2 6 3" xfId="16983"/>
    <cellStyle name="Output 10 4 2 6 3 2" xfId="30289"/>
    <cellStyle name="Output 10 4 2 6 4" xfId="21469"/>
    <cellStyle name="Output 10 4 2 6_Table" xfId="7575"/>
    <cellStyle name="Output 10 4 2 7" xfId="3837"/>
    <cellStyle name="Output 10 4 2 7 2" xfId="13165"/>
    <cellStyle name="Output 10 4 2 7 2 2" xfId="26471"/>
    <cellStyle name="Output 10 4 2 7 3" xfId="17575"/>
    <cellStyle name="Output 10 4 2 7 3 2" xfId="30881"/>
    <cellStyle name="Output 10 4 2 7 4" xfId="22061"/>
    <cellStyle name="Output 10 4 2 7_Table" xfId="7576"/>
    <cellStyle name="Output 10 4 2 8" xfId="4062"/>
    <cellStyle name="Output 10 4 2 8 2" xfId="13390"/>
    <cellStyle name="Output 10 4 2 8 2 2" xfId="26696"/>
    <cellStyle name="Output 10 4 2 8 3" xfId="17800"/>
    <cellStyle name="Output 10 4 2 8 3 2" xfId="31106"/>
    <cellStyle name="Output 10 4 2 8 4" xfId="22286"/>
    <cellStyle name="Output 10 4 2 8_Table" xfId="7577"/>
    <cellStyle name="Output 10 4 2 9" xfId="4423"/>
    <cellStyle name="Output 10 4 2 9 2" xfId="13751"/>
    <cellStyle name="Output 10 4 2 9 2 2" xfId="27057"/>
    <cellStyle name="Output 10 4 2 9 3" xfId="18161"/>
    <cellStyle name="Output 10 4 2 9 3 2" xfId="31467"/>
    <cellStyle name="Output 10 4 2 9 4" xfId="22647"/>
    <cellStyle name="Output 10 4 2 9_Table" xfId="7578"/>
    <cellStyle name="Output 10 4 2_Table" xfId="7569"/>
    <cellStyle name="Output 10 4 3" xfId="1347"/>
    <cellStyle name="Output 10 4 3 2" xfId="10675"/>
    <cellStyle name="Output 10 4 3 2 2" xfId="23981"/>
    <cellStyle name="Output 10 4 3 3" xfId="15085"/>
    <cellStyle name="Output 10 4 3 3 2" xfId="28391"/>
    <cellStyle name="Output 10 4 3 4" xfId="19571"/>
    <cellStyle name="Output 10 4 3_Table" xfId="7579"/>
    <cellStyle name="Output 10 4 4" xfId="1704"/>
    <cellStyle name="Output 10 4 4 2" xfId="11032"/>
    <cellStyle name="Output 10 4 4 2 2" xfId="24338"/>
    <cellStyle name="Output 10 4 4 3" xfId="15442"/>
    <cellStyle name="Output 10 4 4 3 2" xfId="28748"/>
    <cellStyle name="Output 10 4 4 4" xfId="19928"/>
    <cellStyle name="Output 10 4 4_Table" xfId="7580"/>
    <cellStyle name="Output 10 4 5" xfId="2138"/>
    <cellStyle name="Output 10 4 5 2" xfId="11466"/>
    <cellStyle name="Output 10 4 5 2 2" xfId="24772"/>
    <cellStyle name="Output 10 4 5 3" xfId="15876"/>
    <cellStyle name="Output 10 4 5 3 2" xfId="29182"/>
    <cellStyle name="Output 10 4 5 4" xfId="20362"/>
    <cellStyle name="Output 10 4 5_Table" xfId="7581"/>
    <cellStyle name="Output 10 4 6" xfId="2570"/>
    <cellStyle name="Output 10 4 6 2" xfId="11898"/>
    <cellStyle name="Output 10 4 6 2 2" xfId="25204"/>
    <cellStyle name="Output 10 4 6 3" xfId="16308"/>
    <cellStyle name="Output 10 4 6 3 2" xfId="29614"/>
    <cellStyle name="Output 10 4 6 4" xfId="20794"/>
    <cellStyle name="Output 10 4 6_Table" xfId="7582"/>
    <cellStyle name="Output 10 4 7" xfId="2996"/>
    <cellStyle name="Output 10 4 7 2" xfId="12324"/>
    <cellStyle name="Output 10 4 7 2 2" xfId="25630"/>
    <cellStyle name="Output 10 4 7 3" xfId="16734"/>
    <cellStyle name="Output 10 4 7 3 2" xfId="30040"/>
    <cellStyle name="Output 10 4 7 4" xfId="21220"/>
    <cellStyle name="Output 10 4 7_Table" xfId="7583"/>
    <cellStyle name="Output 10 4 8" xfId="3410"/>
    <cellStyle name="Output 10 4 8 2" xfId="12738"/>
    <cellStyle name="Output 10 4 8 2 2" xfId="26044"/>
    <cellStyle name="Output 10 4 8 3" xfId="17148"/>
    <cellStyle name="Output 10 4 8 3 2" xfId="30454"/>
    <cellStyle name="Output 10 4 8 4" xfId="21634"/>
    <cellStyle name="Output 10 4 8_Table" xfId="7584"/>
    <cellStyle name="Output 10 4 9" xfId="3596"/>
    <cellStyle name="Output 10 4 9 2" xfId="12924"/>
    <cellStyle name="Output 10 4 9 2 2" xfId="26230"/>
    <cellStyle name="Output 10 4 9 3" xfId="17334"/>
    <cellStyle name="Output 10 4 9 3 2" xfId="30640"/>
    <cellStyle name="Output 10 4 9 4" xfId="21820"/>
    <cellStyle name="Output 10 4 9_Table" xfId="7585"/>
    <cellStyle name="Output 10 4_Table" xfId="7566"/>
    <cellStyle name="Output 10 5" xfId="627"/>
    <cellStyle name="Output 10 5 10" xfId="4243"/>
    <cellStyle name="Output 10 5 10 2" xfId="13571"/>
    <cellStyle name="Output 10 5 10 2 2" xfId="26877"/>
    <cellStyle name="Output 10 5 10 3" xfId="17981"/>
    <cellStyle name="Output 10 5 10 3 2" xfId="31287"/>
    <cellStyle name="Output 10 5 10 4" xfId="22467"/>
    <cellStyle name="Output 10 5 10_Table" xfId="7587"/>
    <cellStyle name="Output 10 5 11" xfId="4604"/>
    <cellStyle name="Output 10 5 11 2" xfId="13932"/>
    <cellStyle name="Output 10 5 11 2 2" xfId="27238"/>
    <cellStyle name="Output 10 5 11 3" xfId="18342"/>
    <cellStyle name="Output 10 5 11 3 2" xfId="31648"/>
    <cellStyle name="Output 10 5 11 4" xfId="22828"/>
    <cellStyle name="Output 10 5 11_Table" xfId="7588"/>
    <cellStyle name="Output 10 5 12" xfId="9955"/>
    <cellStyle name="Output 10 5 12 2" xfId="23278"/>
    <cellStyle name="Output 10 5 13" xfId="14382"/>
    <cellStyle name="Output 10 5 13 2" xfId="27688"/>
    <cellStyle name="Output 10 5 14" xfId="18868"/>
    <cellStyle name="Output 10 5 2" xfId="869"/>
    <cellStyle name="Output 10 5 2 10" xfId="4829"/>
    <cellStyle name="Output 10 5 2 10 2" xfId="14157"/>
    <cellStyle name="Output 10 5 2 10 2 2" xfId="27463"/>
    <cellStyle name="Output 10 5 2 10 3" xfId="18567"/>
    <cellStyle name="Output 10 5 2 10 3 2" xfId="31873"/>
    <cellStyle name="Output 10 5 2 10 4" xfId="23053"/>
    <cellStyle name="Output 10 5 2 10_Table" xfId="7590"/>
    <cellStyle name="Output 10 5 2 11" xfId="10197"/>
    <cellStyle name="Output 10 5 2 11 2" xfId="23503"/>
    <cellStyle name="Output 10 5 2 12" xfId="14607"/>
    <cellStyle name="Output 10 5 2 12 2" xfId="27913"/>
    <cellStyle name="Output 10 5 2 13" xfId="19093"/>
    <cellStyle name="Output 10 5 2 2" xfId="1655"/>
    <cellStyle name="Output 10 5 2 2 2" xfId="10983"/>
    <cellStyle name="Output 10 5 2 2 2 2" xfId="24289"/>
    <cellStyle name="Output 10 5 2 2 3" xfId="15393"/>
    <cellStyle name="Output 10 5 2 2 3 2" xfId="28699"/>
    <cellStyle name="Output 10 5 2 2 4" xfId="19879"/>
    <cellStyle name="Output 10 5 2 2_Table" xfId="7591"/>
    <cellStyle name="Output 10 5 2 3" xfId="2015"/>
    <cellStyle name="Output 10 5 2 3 2" xfId="11343"/>
    <cellStyle name="Output 10 5 2 3 2 2" xfId="24649"/>
    <cellStyle name="Output 10 5 2 3 3" xfId="15753"/>
    <cellStyle name="Output 10 5 2 3 3 2" xfId="29059"/>
    <cellStyle name="Output 10 5 2 3 4" xfId="20239"/>
    <cellStyle name="Output 10 5 2 3_Table" xfId="7592"/>
    <cellStyle name="Output 10 5 2 4" xfId="2445"/>
    <cellStyle name="Output 10 5 2 4 2" xfId="11773"/>
    <cellStyle name="Output 10 5 2 4 2 2" xfId="25079"/>
    <cellStyle name="Output 10 5 2 4 3" xfId="16183"/>
    <cellStyle name="Output 10 5 2 4 3 2" xfId="29489"/>
    <cellStyle name="Output 10 5 2 4 4" xfId="20669"/>
    <cellStyle name="Output 10 5 2 4_Table" xfId="7593"/>
    <cellStyle name="Output 10 5 2 5" xfId="2883"/>
    <cellStyle name="Output 10 5 2 5 2" xfId="12211"/>
    <cellStyle name="Output 10 5 2 5 2 2" xfId="25517"/>
    <cellStyle name="Output 10 5 2 5 3" xfId="16621"/>
    <cellStyle name="Output 10 5 2 5 3 2" xfId="29927"/>
    <cellStyle name="Output 10 5 2 5 4" xfId="21107"/>
    <cellStyle name="Output 10 5 2 5_Table" xfId="7594"/>
    <cellStyle name="Output 10 5 2 6" xfId="3290"/>
    <cellStyle name="Output 10 5 2 6 2" xfId="12618"/>
    <cellStyle name="Output 10 5 2 6 2 2" xfId="25924"/>
    <cellStyle name="Output 10 5 2 6 3" xfId="17028"/>
    <cellStyle name="Output 10 5 2 6 3 2" xfId="30334"/>
    <cellStyle name="Output 10 5 2 6 4" xfId="21514"/>
    <cellStyle name="Output 10 5 2 6_Table" xfId="7595"/>
    <cellStyle name="Output 10 5 2 7" xfId="3882"/>
    <cellStyle name="Output 10 5 2 7 2" xfId="13210"/>
    <cellStyle name="Output 10 5 2 7 2 2" xfId="26516"/>
    <cellStyle name="Output 10 5 2 7 3" xfId="17620"/>
    <cellStyle name="Output 10 5 2 7 3 2" xfId="30926"/>
    <cellStyle name="Output 10 5 2 7 4" xfId="22106"/>
    <cellStyle name="Output 10 5 2 7_Table" xfId="7596"/>
    <cellStyle name="Output 10 5 2 8" xfId="4107"/>
    <cellStyle name="Output 10 5 2 8 2" xfId="13435"/>
    <cellStyle name="Output 10 5 2 8 2 2" xfId="26741"/>
    <cellStyle name="Output 10 5 2 8 3" xfId="17845"/>
    <cellStyle name="Output 10 5 2 8 3 2" xfId="31151"/>
    <cellStyle name="Output 10 5 2 8 4" xfId="22331"/>
    <cellStyle name="Output 10 5 2 8_Table" xfId="7597"/>
    <cellStyle name="Output 10 5 2 9" xfId="4468"/>
    <cellStyle name="Output 10 5 2 9 2" xfId="13796"/>
    <cellStyle name="Output 10 5 2 9 2 2" xfId="27102"/>
    <cellStyle name="Output 10 5 2 9 3" xfId="18206"/>
    <cellStyle name="Output 10 5 2 9 3 2" xfId="31512"/>
    <cellStyle name="Output 10 5 2 9 4" xfId="22692"/>
    <cellStyle name="Output 10 5 2 9_Table" xfId="7598"/>
    <cellStyle name="Output 10 5 2_Table" xfId="7589"/>
    <cellStyle name="Output 10 5 3" xfId="1414"/>
    <cellStyle name="Output 10 5 3 2" xfId="10742"/>
    <cellStyle name="Output 10 5 3 2 2" xfId="24048"/>
    <cellStyle name="Output 10 5 3 3" xfId="15152"/>
    <cellStyle name="Output 10 5 3 3 2" xfId="28458"/>
    <cellStyle name="Output 10 5 3 4" xfId="19638"/>
    <cellStyle name="Output 10 5 3_Table" xfId="7599"/>
    <cellStyle name="Output 10 5 4" xfId="1774"/>
    <cellStyle name="Output 10 5 4 2" xfId="11102"/>
    <cellStyle name="Output 10 5 4 2 2" xfId="24408"/>
    <cellStyle name="Output 10 5 4 3" xfId="15512"/>
    <cellStyle name="Output 10 5 4 3 2" xfId="28818"/>
    <cellStyle name="Output 10 5 4 4" xfId="19998"/>
    <cellStyle name="Output 10 5 4_Table" xfId="7600"/>
    <cellStyle name="Output 10 5 5" xfId="2207"/>
    <cellStyle name="Output 10 5 5 2" xfId="11535"/>
    <cellStyle name="Output 10 5 5 2 2" xfId="24841"/>
    <cellStyle name="Output 10 5 5 3" xfId="15945"/>
    <cellStyle name="Output 10 5 5 3 2" xfId="29251"/>
    <cellStyle name="Output 10 5 5 4" xfId="20431"/>
    <cellStyle name="Output 10 5 5_Table" xfId="7601"/>
    <cellStyle name="Output 10 5 6" xfId="2642"/>
    <cellStyle name="Output 10 5 6 2" xfId="11970"/>
    <cellStyle name="Output 10 5 6 2 2" xfId="25276"/>
    <cellStyle name="Output 10 5 6 3" xfId="16380"/>
    <cellStyle name="Output 10 5 6 3 2" xfId="29686"/>
    <cellStyle name="Output 10 5 6 4" xfId="20866"/>
    <cellStyle name="Output 10 5 6_Table" xfId="7602"/>
    <cellStyle name="Output 10 5 7" xfId="3055"/>
    <cellStyle name="Output 10 5 7 2" xfId="12383"/>
    <cellStyle name="Output 10 5 7 2 2" xfId="25689"/>
    <cellStyle name="Output 10 5 7 3" xfId="16793"/>
    <cellStyle name="Output 10 5 7 3 2" xfId="30099"/>
    <cellStyle name="Output 10 5 7 4" xfId="21279"/>
    <cellStyle name="Output 10 5 7_Table" xfId="7603"/>
    <cellStyle name="Output 10 5 8" xfId="3481"/>
    <cellStyle name="Output 10 5 8 2" xfId="12809"/>
    <cellStyle name="Output 10 5 8 2 2" xfId="26115"/>
    <cellStyle name="Output 10 5 8 3" xfId="17219"/>
    <cellStyle name="Output 10 5 8 3 2" xfId="30525"/>
    <cellStyle name="Output 10 5 8 4" xfId="21705"/>
    <cellStyle name="Output 10 5 8_Table" xfId="7604"/>
    <cellStyle name="Output 10 5 9" xfId="3606"/>
    <cellStyle name="Output 10 5 9 2" xfId="12934"/>
    <cellStyle name="Output 10 5 9 2 2" xfId="26240"/>
    <cellStyle name="Output 10 5 9 3" xfId="17344"/>
    <cellStyle name="Output 10 5 9 3 2" xfId="30650"/>
    <cellStyle name="Output 10 5 9 4" xfId="21830"/>
    <cellStyle name="Output 10 5 9_Table" xfId="7605"/>
    <cellStyle name="Output 10 5_Table" xfId="7586"/>
    <cellStyle name="Output 10 6" xfId="689"/>
    <cellStyle name="Output 10 6 10" xfId="4649"/>
    <cellStyle name="Output 10 6 10 2" xfId="13977"/>
    <cellStyle name="Output 10 6 10 2 2" xfId="27283"/>
    <cellStyle name="Output 10 6 10 3" xfId="18387"/>
    <cellStyle name="Output 10 6 10 3 2" xfId="31693"/>
    <cellStyle name="Output 10 6 10 4" xfId="22873"/>
    <cellStyle name="Output 10 6 10_Table" xfId="7607"/>
    <cellStyle name="Output 10 6 11" xfId="10017"/>
    <cellStyle name="Output 10 6 11 2" xfId="23323"/>
    <cellStyle name="Output 10 6 12" xfId="14427"/>
    <cellStyle name="Output 10 6 12 2" xfId="27733"/>
    <cellStyle name="Output 10 6 13" xfId="18913"/>
    <cellStyle name="Output 10 6 2" xfId="1475"/>
    <cellStyle name="Output 10 6 2 2" xfId="10803"/>
    <cellStyle name="Output 10 6 2 2 2" xfId="24109"/>
    <cellStyle name="Output 10 6 2 3" xfId="15213"/>
    <cellStyle name="Output 10 6 2 3 2" xfId="28519"/>
    <cellStyle name="Output 10 6 2 4" xfId="19699"/>
    <cellStyle name="Output 10 6 2_Table" xfId="7608"/>
    <cellStyle name="Output 10 6 3" xfId="1835"/>
    <cellStyle name="Output 10 6 3 2" xfId="11163"/>
    <cellStyle name="Output 10 6 3 2 2" xfId="24469"/>
    <cellStyle name="Output 10 6 3 3" xfId="15573"/>
    <cellStyle name="Output 10 6 3 3 2" xfId="28879"/>
    <cellStyle name="Output 10 6 3 4" xfId="20059"/>
    <cellStyle name="Output 10 6 3_Table" xfId="7609"/>
    <cellStyle name="Output 10 6 4" xfId="2265"/>
    <cellStyle name="Output 10 6 4 2" xfId="11593"/>
    <cellStyle name="Output 10 6 4 2 2" xfId="24899"/>
    <cellStyle name="Output 10 6 4 3" xfId="16003"/>
    <cellStyle name="Output 10 6 4 3 2" xfId="29309"/>
    <cellStyle name="Output 10 6 4 4" xfId="20489"/>
    <cellStyle name="Output 10 6 4_Table" xfId="7610"/>
    <cellStyle name="Output 10 6 5" xfId="2703"/>
    <cellStyle name="Output 10 6 5 2" xfId="12031"/>
    <cellStyle name="Output 10 6 5 2 2" xfId="25337"/>
    <cellStyle name="Output 10 6 5 3" xfId="16441"/>
    <cellStyle name="Output 10 6 5 3 2" xfId="29747"/>
    <cellStyle name="Output 10 6 5 4" xfId="20927"/>
    <cellStyle name="Output 10 6 5_Table" xfId="7611"/>
    <cellStyle name="Output 10 6 6" xfId="3110"/>
    <cellStyle name="Output 10 6 6 2" xfId="12438"/>
    <cellStyle name="Output 10 6 6 2 2" xfId="25744"/>
    <cellStyle name="Output 10 6 6 3" xfId="16848"/>
    <cellStyle name="Output 10 6 6 3 2" xfId="30154"/>
    <cellStyle name="Output 10 6 6 4" xfId="21334"/>
    <cellStyle name="Output 10 6 6_Table" xfId="7612"/>
    <cellStyle name="Output 10 6 7" xfId="3702"/>
    <cellStyle name="Output 10 6 7 2" xfId="13030"/>
    <cellStyle name="Output 10 6 7 2 2" xfId="26336"/>
    <cellStyle name="Output 10 6 7 3" xfId="17440"/>
    <cellStyle name="Output 10 6 7 3 2" xfId="30746"/>
    <cellStyle name="Output 10 6 7 4" xfId="21926"/>
    <cellStyle name="Output 10 6 7_Table" xfId="7613"/>
    <cellStyle name="Output 10 6 8" xfId="3927"/>
    <cellStyle name="Output 10 6 8 2" xfId="13255"/>
    <cellStyle name="Output 10 6 8 2 2" xfId="26561"/>
    <cellStyle name="Output 10 6 8 3" xfId="17665"/>
    <cellStyle name="Output 10 6 8 3 2" xfId="30971"/>
    <cellStyle name="Output 10 6 8 4" xfId="22151"/>
    <cellStyle name="Output 10 6 8_Table" xfId="7614"/>
    <cellStyle name="Output 10 6 9" xfId="4288"/>
    <cellStyle name="Output 10 6 9 2" xfId="13616"/>
    <cellStyle name="Output 10 6 9 2 2" xfId="26922"/>
    <cellStyle name="Output 10 6 9 3" xfId="18026"/>
    <cellStyle name="Output 10 6 9 3 2" xfId="31332"/>
    <cellStyle name="Output 10 6 9 4" xfId="22512"/>
    <cellStyle name="Output 10 6 9_Table" xfId="7615"/>
    <cellStyle name="Output 10 6_Table" xfId="7606"/>
    <cellStyle name="Output 10 7" xfId="1183"/>
    <cellStyle name="Output 10 7 2" xfId="10511"/>
    <cellStyle name="Output 10 7 2 2" xfId="23817"/>
    <cellStyle name="Output 10 7 3" xfId="14921"/>
    <cellStyle name="Output 10 7 3 2" xfId="28227"/>
    <cellStyle name="Output 10 7 4" xfId="19407"/>
    <cellStyle name="Output 10 7_Table" xfId="7616"/>
    <cellStyle name="Output 10 8" xfId="1061"/>
    <cellStyle name="Output 10 8 2" xfId="10389"/>
    <cellStyle name="Output 10 8 2 2" xfId="23695"/>
    <cellStyle name="Output 10 8 3" xfId="14799"/>
    <cellStyle name="Output 10 8 3 2" xfId="28105"/>
    <cellStyle name="Output 10 8 4" xfId="19285"/>
    <cellStyle name="Output 10 8_Table" xfId="7617"/>
    <cellStyle name="Output 10 9" xfId="1439"/>
    <cellStyle name="Output 10 9 2" xfId="10767"/>
    <cellStyle name="Output 10 9 2 2" xfId="24073"/>
    <cellStyle name="Output 10 9 3" xfId="15177"/>
    <cellStyle name="Output 10 9 3 2" xfId="28483"/>
    <cellStyle name="Output 10 9 4" xfId="19663"/>
    <cellStyle name="Output 10 9_Table" xfId="7618"/>
    <cellStyle name="Output 10_Table" xfId="7519"/>
    <cellStyle name="Output 2" xfId="350"/>
    <cellStyle name="Output 2 10" xfId="959"/>
    <cellStyle name="Output 2 10 2" xfId="10287"/>
    <cellStyle name="Output 2 10 2 2" xfId="23593"/>
    <cellStyle name="Output 2 10 3" xfId="14697"/>
    <cellStyle name="Output 2 10 3 2" xfId="28003"/>
    <cellStyle name="Output 2 10 4" xfId="19183"/>
    <cellStyle name="Output 2 10_Table" xfId="7620"/>
    <cellStyle name="Output 2 11" xfId="2045"/>
    <cellStyle name="Output 2 11 2" xfId="11373"/>
    <cellStyle name="Output 2 11 2 2" xfId="24679"/>
    <cellStyle name="Output 2 11 3" xfId="15783"/>
    <cellStyle name="Output 2 11 3 2" xfId="29089"/>
    <cellStyle name="Output 2 11 4" xfId="20269"/>
    <cellStyle name="Output 2 11_Table" xfId="7621"/>
    <cellStyle name="Output 2 12" xfId="2477"/>
    <cellStyle name="Output 2 12 2" xfId="11805"/>
    <cellStyle name="Output 2 12 2 2" xfId="25111"/>
    <cellStyle name="Output 2 12 3" xfId="16215"/>
    <cellStyle name="Output 2 12 3 2" xfId="29521"/>
    <cellStyle name="Output 2 12 4" xfId="20701"/>
    <cellStyle name="Output 2 12_Table" xfId="7622"/>
    <cellStyle name="Output 2 13" xfId="3652"/>
    <cellStyle name="Output 2 13 2" xfId="12980"/>
    <cellStyle name="Output 2 13 2 2" xfId="26286"/>
    <cellStyle name="Output 2 13 3" xfId="17390"/>
    <cellStyle name="Output 2 13 3 2" xfId="30696"/>
    <cellStyle name="Output 2 13 4" xfId="21876"/>
    <cellStyle name="Output 2 13_Table" xfId="7623"/>
    <cellStyle name="Output 2 14" xfId="1793"/>
    <cellStyle name="Output 2 14 2" xfId="11121"/>
    <cellStyle name="Output 2 14 2 2" xfId="24427"/>
    <cellStyle name="Output 2 14 3" xfId="15531"/>
    <cellStyle name="Output 2 14 3 2" xfId="28837"/>
    <cellStyle name="Output 2 14 4" xfId="20017"/>
    <cellStyle name="Output 2 14_Table" xfId="7624"/>
    <cellStyle name="Output 2 15" xfId="3314"/>
    <cellStyle name="Output 2 15 2" xfId="12642"/>
    <cellStyle name="Output 2 15 2 2" xfId="25948"/>
    <cellStyle name="Output 2 15 3" xfId="17052"/>
    <cellStyle name="Output 2 15 3 2" xfId="30358"/>
    <cellStyle name="Output 2 15 4" xfId="21538"/>
    <cellStyle name="Output 2 15_Table" xfId="7625"/>
    <cellStyle name="Output 2 16" xfId="9678"/>
    <cellStyle name="Output 2 16 2" xfId="23099"/>
    <cellStyle name="Output 2 17" xfId="14203"/>
    <cellStyle name="Output 2 17 2" xfId="27509"/>
    <cellStyle name="Output 2 18" xfId="18689"/>
    <cellStyle name="Output 2 2" xfId="421"/>
    <cellStyle name="Output 2 2 10" xfId="1395"/>
    <cellStyle name="Output 2 2 10 2" xfId="10723"/>
    <cellStyle name="Output 2 2 10 2 2" xfId="24029"/>
    <cellStyle name="Output 2 2 10 3" xfId="15133"/>
    <cellStyle name="Output 2 2 10 3 2" xfId="28439"/>
    <cellStyle name="Output 2 2 10 4" xfId="19619"/>
    <cellStyle name="Output 2 2 10_Table" xfId="7627"/>
    <cellStyle name="Output 2 2 11" xfId="3587"/>
    <cellStyle name="Output 2 2 11 2" xfId="12915"/>
    <cellStyle name="Output 2 2 11 2 2" xfId="26221"/>
    <cellStyle name="Output 2 2 11 3" xfId="17325"/>
    <cellStyle name="Output 2 2 11 3 2" xfId="30631"/>
    <cellStyle name="Output 2 2 11 4" xfId="21811"/>
    <cellStyle name="Output 2 2 11_Table" xfId="7628"/>
    <cellStyle name="Output 2 2 12" xfId="9749"/>
    <cellStyle name="Output 2 2 12 2" xfId="23144"/>
    <cellStyle name="Output 2 2 13" xfId="14248"/>
    <cellStyle name="Output 2 2 13 2" xfId="27554"/>
    <cellStyle name="Output 2 2 14" xfId="18734"/>
    <cellStyle name="Output 2 2 2" xfId="735"/>
    <cellStyle name="Output 2 2 2 10" xfId="4695"/>
    <cellStyle name="Output 2 2 2 10 2" xfId="14023"/>
    <cellStyle name="Output 2 2 2 10 2 2" xfId="27329"/>
    <cellStyle name="Output 2 2 2 10 3" xfId="18433"/>
    <cellStyle name="Output 2 2 2 10 3 2" xfId="31739"/>
    <cellStyle name="Output 2 2 2 10 4" xfId="22919"/>
    <cellStyle name="Output 2 2 2 10_Table" xfId="7630"/>
    <cellStyle name="Output 2 2 2 11" xfId="10063"/>
    <cellStyle name="Output 2 2 2 11 2" xfId="23369"/>
    <cellStyle name="Output 2 2 2 12" xfId="14473"/>
    <cellStyle name="Output 2 2 2 12 2" xfId="27779"/>
    <cellStyle name="Output 2 2 2 13" xfId="18959"/>
    <cellStyle name="Output 2 2 2 2" xfId="1521"/>
    <cellStyle name="Output 2 2 2 2 2" xfId="10849"/>
    <cellStyle name="Output 2 2 2 2 2 2" xfId="24155"/>
    <cellStyle name="Output 2 2 2 2 3" xfId="15259"/>
    <cellStyle name="Output 2 2 2 2 3 2" xfId="28565"/>
    <cellStyle name="Output 2 2 2 2 4" xfId="19745"/>
    <cellStyle name="Output 2 2 2 2_Table" xfId="7631"/>
    <cellStyle name="Output 2 2 2 3" xfId="1881"/>
    <cellStyle name="Output 2 2 2 3 2" xfId="11209"/>
    <cellStyle name="Output 2 2 2 3 2 2" xfId="24515"/>
    <cellStyle name="Output 2 2 2 3 3" xfId="15619"/>
    <cellStyle name="Output 2 2 2 3 3 2" xfId="28925"/>
    <cellStyle name="Output 2 2 2 3 4" xfId="20105"/>
    <cellStyle name="Output 2 2 2 3_Table" xfId="7632"/>
    <cellStyle name="Output 2 2 2 4" xfId="2311"/>
    <cellStyle name="Output 2 2 2 4 2" xfId="11639"/>
    <cellStyle name="Output 2 2 2 4 2 2" xfId="24945"/>
    <cellStyle name="Output 2 2 2 4 3" xfId="16049"/>
    <cellStyle name="Output 2 2 2 4 3 2" xfId="29355"/>
    <cellStyle name="Output 2 2 2 4 4" xfId="20535"/>
    <cellStyle name="Output 2 2 2 4_Table" xfId="7633"/>
    <cellStyle name="Output 2 2 2 5" xfId="2749"/>
    <cellStyle name="Output 2 2 2 5 2" xfId="12077"/>
    <cellStyle name="Output 2 2 2 5 2 2" xfId="25383"/>
    <cellStyle name="Output 2 2 2 5 3" xfId="16487"/>
    <cellStyle name="Output 2 2 2 5 3 2" xfId="29793"/>
    <cellStyle name="Output 2 2 2 5 4" xfId="20973"/>
    <cellStyle name="Output 2 2 2 5_Table" xfId="7634"/>
    <cellStyle name="Output 2 2 2 6" xfId="3156"/>
    <cellStyle name="Output 2 2 2 6 2" xfId="12484"/>
    <cellStyle name="Output 2 2 2 6 2 2" xfId="25790"/>
    <cellStyle name="Output 2 2 2 6 3" xfId="16894"/>
    <cellStyle name="Output 2 2 2 6 3 2" xfId="30200"/>
    <cellStyle name="Output 2 2 2 6 4" xfId="21380"/>
    <cellStyle name="Output 2 2 2 6_Table" xfId="7635"/>
    <cellStyle name="Output 2 2 2 7" xfId="3748"/>
    <cellStyle name="Output 2 2 2 7 2" xfId="13076"/>
    <cellStyle name="Output 2 2 2 7 2 2" xfId="26382"/>
    <cellStyle name="Output 2 2 2 7 3" xfId="17486"/>
    <cellStyle name="Output 2 2 2 7 3 2" xfId="30792"/>
    <cellStyle name="Output 2 2 2 7 4" xfId="21972"/>
    <cellStyle name="Output 2 2 2 7_Table" xfId="7636"/>
    <cellStyle name="Output 2 2 2 8" xfId="3973"/>
    <cellStyle name="Output 2 2 2 8 2" xfId="13301"/>
    <cellStyle name="Output 2 2 2 8 2 2" xfId="26607"/>
    <cellStyle name="Output 2 2 2 8 3" xfId="17711"/>
    <cellStyle name="Output 2 2 2 8 3 2" xfId="31017"/>
    <cellStyle name="Output 2 2 2 8 4" xfId="22197"/>
    <cellStyle name="Output 2 2 2 8_Table" xfId="7637"/>
    <cellStyle name="Output 2 2 2 9" xfId="4334"/>
    <cellStyle name="Output 2 2 2 9 2" xfId="13662"/>
    <cellStyle name="Output 2 2 2 9 2 2" xfId="26968"/>
    <cellStyle name="Output 2 2 2 9 3" xfId="18072"/>
    <cellStyle name="Output 2 2 2 9 3 2" xfId="31378"/>
    <cellStyle name="Output 2 2 2 9 4" xfId="22558"/>
    <cellStyle name="Output 2 2 2 9_Table" xfId="7638"/>
    <cellStyle name="Output 2 2 2_Table" xfId="7629"/>
    <cellStyle name="Output 2 2 3" xfId="1235"/>
    <cellStyle name="Output 2 2 3 2" xfId="10563"/>
    <cellStyle name="Output 2 2 3 2 2" xfId="23869"/>
    <cellStyle name="Output 2 2 3 3" xfId="14973"/>
    <cellStyle name="Output 2 2 3 3 2" xfId="28279"/>
    <cellStyle name="Output 2 2 3 4" xfId="19459"/>
    <cellStyle name="Output 2 2 3_Table" xfId="7639"/>
    <cellStyle name="Output 2 2 4" xfId="991"/>
    <cellStyle name="Output 2 2 4 2" xfId="10319"/>
    <cellStyle name="Output 2 2 4 2 2" xfId="23625"/>
    <cellStyle name="Output 2 2 4 3" xfId="14729"/>
    <cellStyle name="Output 2 2 4 3 2" xfId="28035"/>
    <cellStyle name="Output 2 2 4 4" xfId="19215"/>
    <cellStyle name="Output 2 2 4_Table" xfId="7640"/>
    <cellStyle name="Output 2 2 5" xfId="1261"/>
    <cellStyle name="Output 2 2 5 2" xfId="10589"/>
    <cellStyle name="Output 2 2 5 2 2" xfId="23895"/>
    <cellStyle name="Output 2 2 5 3" xfId="14999"/>
    <cellStyle name="Output 2 2 5 3 2" xfId="28305"/>
    <cellStyle name="Output 2 2 5 4" xfId="19485"/>
    <cellStyle name="Output 2 2 5_Table" xfId="7641"/>
    <cellStyle name="Output 2 2 6" xfId="1072"/>
    <cellStyle name="Output 2 2 6 2" xfId="10400"/>
    <cellStyle name="Output 2 2 6 2 2" xfId="23706"/>
    <cellStyle name="Output 2 2 6 3" xfId="14810"/>
    <cellStyle name="Output 2 2 6 3 2" xfId="28116"/>
    <cellStyle name="Output 2 2 6 4" xfId="19296"/>
    <cellStyle name="Output 2 2 6_Table" xfId="7642"/>
    <cellStyle name="Output 2 2 7" xfId="1392"/>
    <cellStyle name="Output 2 2 7 2" xfId="10720"/>
    <cellStyle name="Output 2 2 7 2 2" xfId="24026"/>
    <cellStyle name="Output 2 2 7 3" xfId="15130"/>
    <cellStyle name="Output 2 2 7 3 2" xfId="28436"/>
    <cellStyle name="Output 2 2 7 4" xfId="19616"/>
    <cellStyle name="Output 2 2 7_Table" xfId="7643"/>
    <cellStyle name="Output 2 2 8" xfId="1807"/>
    <cellStyle name="Output 2 2 8 2" xfId="11135"/>
    <cellStyle name="Output 2 2 8 2 2" xfId="24441"/>
    <cellStyle name="Output 2 2 8 3" xfId="15545"/>
    <cellStyle name="Output 2 2 8 3 2" xfId="28851"/>
    <cellStyle name="Output 2 2 8 4" xfId="20031"/>
    <cellStyle name="Output 2 2 8_Table" xfId="7644"/>
    <cellStyle name="Output 2 2 9" xfId="2156"/>
    <cellStyle name="Output 2 2 9 2" xfId="11484"/>
    <cellStyle name="Output 2 2 9 2 2" xfId="24790"/>
    <cellStyle name="Output 2 2 9 3" xfId="15894"/>
    <cellStyle name="Output 2 2 9 3 2" xfId="29200"/>
    <cellStyle name="Output 2 2 9 4" xfId="20380"/>
    <cellStyle name="Output 2 2 9_Table" xfId="7645"/>
    <cellStyle name="Output 2 2_Table" xfId="7626"/>
    <cellStyle name="Output 2 3" xfId="489"/>
    <cellStyle name="Output 2 3 10" xfId="4154"/>
    <cellStyle name="Output 2 3 10 2" xfId="13482"/>
    <cellStyle name="Output 2 3 10 2 2" xfId="26788"/>
    <cellStyle name="Output 2 3 10 3" xfId="17892"/>
    <cellStyle name="Output 2 3 10 3 2" xfId="31198"/>
    <cellStyle name="Output 2 3 10 4" xfId="22378"/>
    <cellStyle name="Output 2 3 10_Table" xfId="7647"/>
    <cellStyle name="Output 2 3 11" xfId="4515"/>
    <cellStyle name="Output 2 3 11 2" xfId="13843"/>
    <cellStyle name="Output 2 3 11 2 2" xfId="27149"/>
    <cellStyle name="Output 2 3 11 3" xfId="18253"/>
    <cellStyle name="Output 2 3 11 3 2" xfId="31559"/>
    <cellStyle name="Output 2 3 11 4" xfId="22739"/>
    <cellStyle name="Output 2 3 11_Table" xfId="7648"/>
    <cellStyle name="Output 2 3 12" xfId="9817"/>
    <cellStyle name="Output 2 3 12 2" xfId="23189"/>
    <cellStyle name="Output 2 3 13" xfId="14293"/>
    <cellStyle name="Output 2 3 13 2" xfId="27599"/>
    <cellStyle name="Output 2 3 14" xfId="18779"/>
    <cellStyle name="Output 2 3 2" xfId="780"/>
    <cellStyle name="Output 2 3 2 10" xfId="4740"/>
    <cellStyle name="Output 2 3 2 10 2" xfId="14068"/>
    <cellStyle name="Output 2 3 2 10 2 2" xfId="27374"/>
    <cellStyle name="Output 2 3 2 10 3" xfId="18478"/>
    <cellStyle name="Output 2 3 2 10 3 2" xfId="31784"/>
    <cellStyle name="Output 2 3 2 10 4" xfId="22964"/>
    <cellStyle name="Output 2 3 2 10_Table" xfId="7650"/>
    <cellStyle name="Output 2 3 2 11" xfId="10108"/>
    <cellStyle name="Output 2 3 2 11 2" xfId="23414"/>
    <cellStyle name="Output 2 3 2 12" xfId="14518"/>
    <cellStyle name="Output 2 3 2 12 2" xfId="27824"/>
    <cellStyle name="Output 2 3 2 13" xfId="19004"/>
    <cellStyle name="Output 2 3 2 2" xfId="1566"/>
    <cellStyle name="Output 2 3 2 2 2" xfId="10894"/>
    <cellStyle name="Output 2 3 2 2 2 2" xfId="24200"/>
    <cellStyle name="Output 2 3 2 2 3" xfId="15304"/>
    <cellStyle name="Output 2 3 2 2 3 2" xfId="28610"/>
    <cellStyle name="Output 2 3 2 2 4" xfId="19790"/>
    <cellStyle name="Output 2 3 2 2_Table" xfId="7651"/>
    <cellStyle name="Output 2 3 2 3" xfId="1926"/>
    <cellStyle name="Output 2 3 2 3 2" xfId="11254"/>
    <cellStyle name="Output 2 3 2 3 2 2" xfId="24560"/>
    <cellStyle name="Output 2 3 2 3 3" xfId="15664"/>
    <cellStyle name="Output 2 3 2 3 3 2" xfId="28970"/>
    <cellStyle name="Output 2 3 2 3 4" xfId="20150"/>
    <cellStyle name="Output 2 3 2 3_Table" xfId="7652"/>
    <cellStyle name="Output 2 3 2 4" xfId="2356"/>
    <cellStyle name="Output 2 3 2 4 2" xfId="11684"/>
    <cellStyle name="Output 2 3 2 4 2 2" xfId="24990"/>
    <cellStyle name="Output 2 3 2 4 3" xfId="16094"/>
    <cellStyle name="Output 2 3 2 4 3 2" xfId="29400"/>
    <cellStyle name="Output 2 3 2 4 4" xfId="20580"/>
    <cellStyle name="Output 2 3 2 4_Table" xfId="7653"/>
    <cellStyle name="Output 2 3 2 5" xfId="2794"/>
    <cellStyle name="Output 2 3 2 5 2" xfId="12122"/>
    <cellStyle name="Output 2 3 2 5 2 2" xfId="25428"/>
    <cellStyle name="Output 2 3 2 5 3" xfId="16532"/>
    <cellStyle name="Output 2 3 2 5 3 2" xfId="29838"/>
    <cellStyle name="Output 2 3 2 5 4" xfId="21018"/>
    <cellStyle name="Output 2 3 2 5_Table" xfId="7654"/>
    <cellStyle name="Output 2 3 2 6" xfId="3201"/>
    <cellStyle name="Output 2 3 2 6 2" xfId="12529"/>
    <cellStyle name="Output 2 3 2 6 2 2" xfId="25835"/>
    <cellStyle name="Output 2 3 2 6 3" xfId="16939"/>
    <cellStyle name="Output 2 3 2 6 3 2" xfId="30245"/>
    <cellStyle name="Output 2 3 2 6 4" xfId="21425"/>
    <cellStyle name="Output 2 3 2 6_Table" xfId="7655"/>
    <cellStyle name="Output 2 3 2 7" xfId="3793"/>
    <cellStyle name="Output 2 3 2 7 2" xfId="13121"/>
    <cellStyle name="Output 2 3 2 7 2 2" xfId="26427"/>
    <cellStyle name="Output 2 3 2 7 3" xfId="17531"/>
    <cellStyle name="Output 2 3 2 7 3 2" xfId="30837"/>
    <cellStyle name="Output 2 3 2 7 4" xfId="22017"/>
    <cellStyle name="Output 2 3 2 7_Table" xfId="7656"/>
    <cellStyle name="Output 2 3 2 8" xfId="4018"/>
    <cellStyle name="Output 2 3 2 8 2" xfId="13346"/>
    <cellStyle name="Output 2 3 2 8 2 2" xfId="26652"/>
    <cellStyle name="Output 2 3 2 8 3" xfId="17756"/>
    <cellStyle name="Output 2 3 2 8 3 2" xfId="31062"/>
    <cellStyle name="Output 2 3 2 8 4" xfId="22242"/>
    <cellStyle name="Output 2 3 2 8_Table" xfId="7657"/>
    <cellStyle name="Output 2 3 2 9" xfId="4379"/>
    <cellStyle name="Output 2 3 2 9 2" xfId="13707"/>
    <cellStyle name="Output 2 3 2 9 2 2" xfId="27013"/>
    <cellStyle name="Output 2 3 2 9 3" xfId="18117"/>
    <cellStyle name="Output 2 3 2 9 3 2" xfId="31423"/>
    <cellStyle name="Output 2 3 2 9 4" xfId="22603"/>
    <cellStyle name="Output 2 3 2 9_Table" xfId="7658"/>
    <cellStyle name="Output 2 3 2_Table" xfId="7649"/>
    <cellStyle name="Output 2 3 3" xfId="1292"/>
    <cellStyle name="Output 2 3 3 2" xfId="10620"/>
    <cellStyle name="Output 2 3 3 2 2" xfId="23926"/>
    <cellStyle name="Output 2 3 3 3" xfId="15030"/>
    <cellStyle name="Output 2 3 3 3 2" xfId="28336"/>
    <cellStyle name="Output 2 3 3 4" xfId="19516"/>
    <cellStyle name="Output 2 3 3_Table" xfId="7659"/>
    <cellStyle name="Output 2 3 4" xfId="925"/>
    <cellStyle name="Output 2 3 4 2" xfId="10253"/>
    <cellStyle name="Output 2 3 4 2 2" xfId="23559"/>
    <cellStyle name="Output 2 3 4 3" xfId="14663"/>
    <cellStyle name="Output 2 3 4 3 2" xfId="27969"/>
    <cellStyle name="Output 2 3 4 4" xfId="19149"/>
    <cellStyle name="Output 2 3 4_Table" xfId="7660"/>
    <cellStyle name="Output 2 3 5" xfId="2080"/>
    <cellStyle name="Output 2 3 5 2" xfId="11408"/>
    <cellStyle name="Output 2 3 5 2 2" xfId="24714"/>
    <cellStyle name="Output 2 3 5 3" xfId="15818"/>
    <cellStyle name="Output 2 3 5 3 2" xfId="29124"/>
    <cellStyle name="Output 2 3 5 4" xfId="20304"/>
    <cellStyle name="Output 2 3 5_Table" xfId="7661"/>
    <cellStyle name="Output 2 3 6" xfId="2512"/>
    <cellStyle name="Output 2 3 6 2" xfId="11840"/>
    <cellStyle name="Output 2 3 6 2 2" xfId="25146"/>
    <cellStyle name="Output 2 3 6 3" xfId="16250"/>
    <cellStyle name="Output 2 3 6 3 2" xfId="29556"/>
    <cellStyle name="Output 2 3 6 4" xfId="20736"/>
    <cellStyle name="Output 2 3 6_Table" xfId="7662"/>
    <cellStyle name="Output 2 3 7" xfId="2940"/>
    <cellStyle name="Output 2 3 7 2" xfId="12268"/>
    <cellStyle name="Output 2 3 7 2 2" xfId="25574"/>
    <cellStyle name="Output 2 3 7 3" xfId="16678"/>
    <cellStyle name="Output 2 3 7 3 2" xfId="29984"/>
    <cellStyle name="Output 2 3 7 4" xfId="21164"/>
    <cellStyle name="Output 2 3 7_Table" xfId="7663"/>
    <cellStyle name="Output 2 3 8" xfId="3353"/>
    <cellStyle name="Output 2 3 8 2" xfId="12681"/>
    <cellStyle name="Output 2 3 8 2 2" xfId="25987"/>
    <cellStyle name="Output 2 3 8 3" xfId="17091"/>
    <cellStyle name="Output 2 3 8 3 2" xfId="30397"/>
    <cellStyle name="Output 2 3 8 4" xfId="21577"/>
    <cellStyle name="Output 2 3 8_Table" xfId="7664"/>
    <cellStyle name="Output 2 3 9" xfId="3342"/>
    <cellStyle name="Output 2 3 9 2" xfId="12670"/>
    <cellStyle name="Output 2 3 9 2 2" xfId="25976"/>
    <cellStyle name="Output 2 3 9 3" xfId="17080"/>
    <cellStyle name="Output 2 3 9 3 2" xfId="30386"/>
    <cellStyle name="Output 2 3 9 4" xfId="21566"/>
    <cellStyle name="Output 2 3 9_Table" xfId="7665"/>
    <cellStyle name="Output 2 3_Table" xfId="7646"/>
    <cellStyle name="Output 2 4" xfId="553"/>
    <cellStyle name="Output 2 4 10" xfId="4199"/>
    <cellStyle name="Output 2 4 10 2" xfId="13527"/>
    <cellStyle name="Output 2 4 10 2 2" xfId="26833"/>
    <cellStyle name="Output 2 4 10 3" xfId="17937"/>
    <cellStyle name="Output 2 4 10 3 2" xfId="31243"/>
    <cellStyle name="Output 2 4 10 4" xfId="22423"/>
    <cellStyle name="Output 2 4 10_Table" xfId="7667"/>
    <cellStyle name="Output 2 4 11" xfId="4560"/>
    <cellStyle name="Output 2 4 11 2" xfId="13888"/>
    <cellStyle name="Output 2 4 11 2 2" xfId="27194"/>
    <cellStyle name="Output 2 4 11 3" xfId="18298"/>
    <cellStyle name="Output 2 4 11 3 2" xfId="31604"/>
    <cellStyle name="Output 2 4 11 4" xfId="22784"/>
    <cellStyle name="Output 2 4 11_Table" xfId="7668"/>
    <cellStyle name="Output 2 4 12" xfId="9881"/>
    <cellStyle name="Output 2 4 12 2" xfId="23234"/>
    <cellStyle name="Output 2 4 13" xfId="14338"/>
    <cellStyle name="Output 2 4 13 2" xfId="27644"/>
    <cellStyle name="Output 2 4 14" xfId="18824"/>
    <cellStyle name="Output 2 4 2" xfId="825"/>
    <cellStyle name="Output 2 4 2 10" xfId="4785"/>
    <cellStyle name="Output 2 4 2 10 2" xfId="14113"/>
    <cellStyle name="Output 2 4 2 10 2 2" xfId="27419"/>
    <cellStyle name="Output 2 4 2 10 3" xfId="18523"/>
    <cellStyle name="Output 2 4 2 10 3 2" xfId="31829"/>
    <cellStyle name="Output 2 4 2 10 4" xfId="23009"/>
    <cellStyle name="Output 2 4 2 10_Table" xfId="7670"/>
    <cellStyle name="Output 2 4 2 11" xfId="10153"/>
    <cellStyle name="Output 2 4 2 11 2" xfId="23459"/>
    <cellStyle name="Output 2 4 2 12" xfId="14563"/>
    <cellStyle name="Output 2 4 2 12 2" xfId="27869"/>
    <cellStyle name="Output 2 4 2 13" xfId="19049"/>
    <cellStyle name="Output 2 4 2 2" xfId="1611"/>
    <cellStyle name="Output 2 4 2 2 2" xfId="10939"/>
    <cellStyle name="Output 2 4 2 2 2 2" xfId="24245"/>
    <cellStyle name="Output 2 4 2 2 3" xfId="15349"/>
    <cellStyle name="Output 2 4 2 2 3 2" xfId="28655"/>
    <cellStyle name="Output 2 4 2 2 4" xfId="19835"/>
    <cellStyle name="Output 2 4 2 2_Table" xfId="7671"/>
    <cellStyle name="Output 2 4 2 3" xfId="1971"/>
    <cellStyle name="Output 2 4 2 3 2" xfId="11299"/>
    <cellStyle name="Output 2 4 2 3 2 2" xfId="24605"/>
    <cellStyle name="Output 2 4 2 3 3" xfId="15709"/>
    <cellStyle name="Output 2 4 2 3 3 2" xfId="29015"/>
    <cellStyle name="Output 2 4 2 3 4" xfId="20195"/>
    <cellStyle name="Output 2 4 2 3_Table" xfId="7672"/>
    <cellStyle name="Output 2 4 2 4" xfId="2401"/>
    <cellStyle name="Output 2 4 2 4 2" xfId="11729"/>
    <cellStyle name="Output 2 4 2 4 2 2" xfId="25035"/>
    <cellStyle name="Output 2 4 2 4 3" xfId="16139"/>
    <cellStyle name="Output 2 4 2 4 3 2" xfId="29445"/>
    <cellStyle name="Output 2 4 2 4 4" xfId="20625"/>
    <cellStyle name="Output 2 4 2 4_Table" xfId="7673"/>
    <cellStyle name="Output 2 4 2 5" xfId="2839"/>
    <cellStyle name="Output 2 4 2 5 2" xfId="12167"/>
    <cellStyle name="Output 2 4 2 5 2 2" xfId="25473"/>
    <cellStyle name="Output 2 4 2 5 3" xfId="16577"/>
    <cellStyle name="Output 2 4 2 5 3 2" xfId="29883"/>
    <cellStyle name="Output 2 4 2 5 4" xfId="21063"/>
    <cellStyle name="Output 2 4 2 5_Table" xfId="7674"/>
    <cellStyle name="Output 2 4 2 6" xfId="3246"/>
    <cellStyle name="Output 2 4 2 6 2" xfId="12574"/>
    <cellStyle name="Output 2 4 2 6 2 2" xfId="25880"/>
    <cellStyle name="Output 2 4 2 6 3" xfId="16984"/>
    <cellStyle name="Output 2 4 2 6 3 2" xfId="30290"/>
    <cellStyle name="Output 2 4 2 6 4" xfId="21470"/>
    <cellStyle name="Output 2 4 2 6_Table" xfId="7675"/>
    <cellStyle name="Output 2 4 2 7" xfId="3838"/>
    <cellStyle name="Output 2 4 2 7 2" xfId="13166"/>
    <cellStyle name="Output 2 4 2 7 2 2" xfId="26472"/>
    <cellStyle name="Output 2 4 2 7 3" xfId="17576"/>
    <cellStyle name="Output 2 4 2 7 3 2" xfId="30882"/>
    <cellStyle name="Output 2 4 2 7 4" xfId="22062"/>
    <cellStyle name="Output 2 4 2 7_Table" xfId="7676"/>
    <cellStyle name="Output 2 4 2 8" xfId="4063"/>
    <cellStyle name="Output 2 4 2 8 2" xfId="13391"/>
    <cellStyle name="Output 2 4 2 8 2 2" xfId="26697"/>
    <cellStyle name="Output 2 4 2 8 3" xfId="17801"/>
    <cellStyle name="Output 2 4 2 8 3 2" xfId="31107"/>
    <cellStyle name="Output 2 4 2 8 4" xfId="22287"/>
    <cellStyle name="Output 2 4 2 8_Table" xfId="7677"/>
    <cellStyle name="Output 2 4 2 9" xfId="4424"/>
    <cellStyle name="Output 2 4 2 9 2" xfId="13752"/>
    <cellStyle name="Output 2 4 2 9 2 2" xfId="27058"/>
    <cellStyle name="Output 2 4 2 9 3" xfId="18162"/>
    <cellStyle name="Output 2 4 2 9 3 2" xfId="31468"/>
    <cellStyle name="Output 2 4 2 9 4" xfId="22648"/>
    <cellStyle name="Output 2 4 2 9_Table" xfId="7678"/>
    <cellStyle name="Output 2 4 2_Table" xfId="7669"/>
    <cellStyle name="Output 2 4 3" xfId="1348"/>
    <cellStyle name="Output 2 4 3 2" xfId="10676"/>
    <cellStyle name="Output 2 4 3 2 2" xfId="23982"/>
    <cellStyle name="Output 2 4 3 3" xfId="15086"/>
    <cellStyle name="Output 2 4 3 3 2" xfId="28392"/>
    <cellStyle name="Output 2 4 3 4" xfId="19572"/>
    <cellStyle name="Output 2 4 3_Table" xfId="7679"/>
    <cellStyle name="Output 2 4 4" xfId="1705"/>
    <cellStyle name="Output 2 4 4 2" xfId="11033"/>
    <cellStyle name="Output 2 4 4 2 2" xfId="24339"/>
    <cellStyle name="Output 2 4 4 3" xfId="15443"/>
    <cellStyle name="Output 2 4 4 3 2" xfId="28749"/>
    <cellStyle name="Output 2 4 4 4" xfId="19929"/>
    <cellStyle name="Output 2 4 4_Table" xfId="7680"/>
    <cellStyle name="Output 2 4 5" xfId="2139"/>
    <cellStyle name="Output 2 4 5 2" xfId="11467"/>
    <cellStyle name="Output 2 4 5 2 2" xfId="24773"/>
    <cellStyle name="Output 2 4 5 3" xfId="15877"/>
    <cellStyle name="Output 2 4 5 3 2" xfId="29183"/>
    <cellStyle name="Output 2 4 5 4" xfId="20363"/>
    <cellStyle name="Output 2 4 5_Table" xfId="7681"/>
    <cellStyle name="Output 2 4 6" xfId="2571"/>
    <cellStyle name="Output 2 4 6 2" xfId="11899"/>
    <cellStyle name="Output 2 4 6 2 2" xfId="25205"/>
    <cellStyle name="Output 2 4 6 3" xfId="16309"/>
    <cellStyle name="Output 2 4 6 3 2" xfId="29615"/>
    <cellStyle name="Output 2 4 6 4" xfId="20795"/>
    <cellStyle name="Output 2 4 6_Table" xfId="7682"/>
    <cellStyle name="Output 2 4 7" xfId="2997"/>
    <cellStyle name="Output 2 4 7 2" xfId="12325"/>
    <cellStyle name="Output 2 4 7 2 2" xfId="25631"/>
    <cellStyle name="Output 2 4 7 3" xfId="16735"/>
    <cellStyle name="Output 2 4 7 3 2" xfId="30041"/>
    <cellStyle name="Output 2 4 7 4" xfId="21221"/>
    <cellStyle name="Output 2 4 7_Table" xfId="7683"/>
    <cellStyle name="Output 2 4 8" xfId="3411"/>
    <cellStyle name="Output 2 4 8 2" xfId="12739"/>
    <cellStyle name="Output 2 4 8 2 2" xfId="26045"/>
    <cellStyle name="Output 2 4 8 3" xfId="17149"/>
    <cellStyle name="Output 2 4 8 3 2" xfId="30455"/>
    <cellStyle name="Output 2 4 8 4" xfId="21635"/>
    <cellStyle name="Output 2 4 8_Table" xfId="7684"/>
    <cellStyle name="Output 2 4 9" xfId="3627"/>
    <cellStyle name="Output 2 4 9 2" xfId="12955"/>
    <cellStyle name="Output 2 4 9 2 2" xfId="26261"/>
    <cellStyle name="Output 2 4 9 3" xfId="17365"/>
    <cellStyle name="Output 2 4 9 3 2" xfId="30671"/>
    <cellStyle name="Output 2 4 9 4" xfId="21851"/>
    <cellStyle name="Output 2 4 9_Table" xfId="7685"/>
    <cellStyle name="Output 2 4_Table" xfId="7666"/>
    <cellStyle name="Output 2 5" xfId="628"/>
    <cellStyle name="Output 2 5 10" xfId="4244"/>
    <cellStyle name="Output 2 5 10 2" xfId="13572"/>
    <cellStyle name="Output 2 5 10 2 2" xfId="26878"/>
    <cellStyle name="Output 2 5 10 3" xfId="17982"/>
    <cellStyle name="Output 2 5 10 3 2" xfId="31288"/>
    <cellStyle name="Output 2 5 10 4" xfId="22468"/>
    <cellStyle name="Output 2 5 10_Table" xfId="7687"/>
    <cellStyle name="Output 2 5 11" xfId="4605"/>
    <cellStyle name="Output 2 5 11 2" xfId="13933"/>
    <cellStyle name="Output 2 5 11 2 2" xfId="27239"/>
    <cellStyle name="Output 2 5 11 3" xfId="18343"/>
    <cellStyle name="Output 2 5 11 3 2" xfId="31649"/>
    <cellStyle name="Output 2 5 11 4" xfId="22829"/>
    <cellStyle name="Output 2 5 11_Table" xfId="7688"/>
    <cellStyle name="Output 2 5 12" xfId="9956"/>
    <cellStyle name="Output 2 5 12 2" xfId="23279"/>
    <cellStyle name="Output 2 5 13" xfId="14383"/>
    <cellStyle name="Output 2 5 13 2" xfId="27689"/>
    <cellStyle name="Output 2 5 14" xfId="18869"/>
    <cellStyle name="Output 2 5 2" xfId="870"/>
    <cellStyle name="Output 2 5 2 10" xfId="4830"/>
    <cellStyle name="Output 2 5 2 10 2" xfId="14158"/>
    <cellStyle name="Output 2 5 2 10 2 2" xfId="27464"/>
    <cellStyle name="Output 2 5 2 10 3" xfId="18568"/>
    <cellStyle name="Output 2 5 2 10 3 2" xfId="31874"/>
    <cellStyle name="Output 2 5 2 10 4" xfId="23054"/>
    <cellStyle name="Output 2 5 2 10_Table" xfId="7690"/>
    <cellStyle name="Output 2 5 2 11" xfId="10198"/>
    <cellStyle name="Output 2 5 2 11 2" xfId="23504"/>
    <cellStyle name="Output 2 5 2 12" xfId="14608"/>
    <cellStyle name="Output 2 5 2 12 2" xfId="27914"/>
    <cellStyle name="Output 2 5 2 13" xfId="19094"/>
    <cellStyle name="Output 2 5 2 2" xfId="1656"/>
    <cellStyle name="Output 2 5 2 2 2" xfId="10984"/>
    <cellStyle name="Output 2 5 2 2 2 2" xfId="24290"/>
    <cellStyle name="Output 2 5 2 2 3" xfId="15394"/>
    <cellStyle name="Output 2 5 2 2 3 2" xfId="28700"/>
    <cellStyle name="Output 2 5 2 2 4" xfId="19880"/>
    <cellStyle name="Output 2 5 2 2_Table" xfId="7691"/>
    <cellStyle name="Output 2 5 2 3" xfId="2016"/>
    <cellStyle name="Output 2 5 2 3 2" xfId="11344"/>
    <cellStyle name="Output 2 5 2 3 2 2" xfId="24650"/>
    <cellStyle name="Output 2 5 2 3 3" xfId="15754"/>
    <cellStyle name="Output 2 5 2 3 3 2" xfId="29060"/>
    <cellStyle name="Output 2 5 2 3 4" xfId="20240"/>
    <cellStyle name="Output 2 5 2 3_Table" xfId="7692"/>
    <cellStyle name="Output 2 5 2 4" xfId="2446"/>
    <cellStyle name="Output 2 5 2 4 2" xfId="11774"/>
    <cellStyle name="Output 2 5 2 4 2 2" xfId="25080"/>
    <cellStyle name="Output 2 5 2 4 3" xfId="16184"/>
    <cellStyle name="Output 2 5 2 4 3 2" xfId="29490"/>
    <cellStyle name="Output 2 5 2 4 4" xfId="20670"/>
    <cellStyle name="Output 2 5 2 4_Table" xfId="7693"/>
    <cellStyle name="Output 2 5 2 5" xfId="2884"/>
    <cellStyle name="Output 2 5 2 5 2" xfId="12212"/>
    <cellStyle name="Output 2 5 2 5 2 2" xfId="25518"/>
    <cellStyle name="Output 2 5 2 5 3" xfId="16622"/>
    <cellStyle name="Output 2 5 2 5 3 2" xfId="29928"/>
    <cellStyle name="Output 2 5 2 5 4" xfId="21108"/>
    <cellStyle name="Output 2 5 2 5_Table" xfId="7694"/>
    <cellStyle name="Output 2 5 2 6" xfId="3291"/>
    <cellStyle name="Output 2 5 2 6 2" xfId="12619"/>
    <cellStyle name="Output 2 5 2 6 2 2" xfId="25925"/>
    <cellStyle name="Output 2 5 2 6 3" xfId="17029"/>
    <cellStyle name="Output 2 5 2 6 3 2" xfId="30335"/>
    <cellStyle name="Output 2 5 2 6 4" xfId="21515"/>
    <cellStyle name="Output 2 5 2 6_Table" xfId="7695"/>
    <cellStyle name="Output 2 5 2 7" xfId="3883"/>
    <cellStyle name="Output 2 5 2 7 2" xfId="13211"/>
    <cellStyle name="Output 2 5 2 7 2 2" xfId="26517"/>
    <cellStyle name="Output 2 5 2 7 3" xfId="17621"/>
    <cellStyle name="Output 2 5 2 7 3 2" xfId="30927"/>
    <cellStyle name="Output 2 5 2 7 4" xfId="22107"/>
    <cellStyle name="Output 2 5 2 7_Table" xfId="7696"/>
    <cellStyle name="Output 2 5 2 8" xfId="4108"/>
    <cellStyle name="Output 2 5 2 8 2" xfId="13436"/>
    <cellStyle name="Output 2 5 2 8 2 2" xfId="26742"/>
    <cellStyle name="Output 2 5 2 8 3" xfId="17846"/>
    <cellStyle name="Output 2 5 2 8 3 2" xfId="31152"/>
    <cellStyle name="Output 2 5 2 8 4" xfId="22332"/>
    <cellStyle name="Output 2 5 2 8_Table" xfId="7697"/>
    <cellStyle name="Output 2 5 2 9" xfId="4469"/>
    <cellStyle name="Output 2 5 2 9 2" xfId="13797"/>
    <cellStyle name="Output 2 5 2 9 2 2" xfId="27103"/>
    <cellStyle name="Output 2 5 2 9 3" xfId="18207"/>
    <cellStyle name="Output 2 5 2 9 3 2" xfId="31513"/>
    <cellStyle name="Output 2 5 2 9 4" xfId="22693"/>
    <cellStyle name="Output 2 5 2 9_Table" xfId="7698"/>
    <cellStyle name="Output 2 5 2_Table" xfId="7689"/>
    <cellStyle name="Output 2 5 3" xfId="1415"/>
    <cellStyle name="Output 2 5 3 2" xfId="10743"/>
    <cellStyle name="Output 2 5 3 2 2" xfId="24049"/>
    <cellStyle name="Output 2 5 3 3" xfId="15153"/>
    <cellStyle name="Output 2 5 3 3 2" xfId="28459"/>
    <cellStyle name="Output 2 5 3 4" xfId="19639"/>
    <cellStyle name="Output 2 5 3_Table" xfId="7699"/>
    <cellStyle name="Output 2 5 4" xfId="1775"/>
    <cellStyle name="Output 2 5 4 2" xfId="11103"/>
    <cellStyle name="Output 2 5 4 2 2" xfId="24409"/>
    <cellStyle name="Output 2 5 4 3" xfId="15513"/>
    <cellStyle name="Output 2 5 4 3 2" xfId="28819"/>
    <cellStyle name="Output 2 5 4 4" xfId="19999"/>
    <cellStyle name="Output 2 5 4_Table" xfId="7700"/>
    <cellStyle name="Output 2 5 5" xfId="2208"/>
    <cellStyle name="Output 2 5 5 2" xfId="11536"/>
    <cellStyle name="Output 2 5 5 2 2" xfId="24842"/>
    <cellStyle name="Output 2 5 5 3" xfId="15946"/>
    <cellStyle name="Output 2 5 5 3 2" xfId="29252"/>
    <cellStyle name="Output 2 5 5 4" xfId="20432"/>
    <cellStyle name="Output 2 5 5_Table" xfId="7701"/>
    <cellStyle name="Output 2 5 6" xfId="2643"/>
    <cellStyle name="Output 2 5 6 2" xfId="11971"/>
    <cellStyle name="Output 2 5 6 2 2" xfId="25277"/>
    <cellStyle name="Output 2 5 6 3" xfId="16381"/>
    <cellStyle name="Output 2 5 6 3 2" xfId="29687"/>
    <cellStyle name="Output 2 5 6 4" xfId="20867"/>
    <cellStyle name="Output 2 5 6_Table" xfId="7702"/>
    <cellStyle name="Output 2 5 7" xfId="3056"/>
    <cellStyle name="Output 2 5 7 2" xfId="12384"/>
    <cellStyle name="Output 2 5 7 2 2" xfId="25690"/>
    <cellStyle name="Output 2 5 7 3" xfId="16794"/>
    <cellStyle name="Output 2 5 7 3 2" xfId="30100"/>
    <cellStyle name="Output 2 5 7 4" xfId="21280"/>
    <cellStyle name="Output 2 5 7_Table" xfId="7703"/>
    <cellStyle name="Output 2 5 8" xfId="3482"/>
    <cellStyle name="Output 2 5 8 2" xfId="12810"/>
    <cellStyle name="Output 2 5 8 2 2" xfId="26116"/>
    <cellStyle name="Output 2 5 8 3" xfId="17220"/>
    <cellStyle name="Output 2 5 8 3 2" xfId="30526"/>
    <cellStyle name="Output 2 5 8 4" xfId="21706"/>
    <cellStyle name="Output 2 5 8_Table" xfId="7704"/>
    <cellStyle name="Output 2 5 9" xfId="3638"/>
    <cellStyle name="Output 2 5 9 2" xfId="12966"/>
    <cellStyle name="Output 2 5 9 2 2" xfId="26272"/>
    <cellStyle name="Output 2 5 9 3" xfId="17376"/>
    <cellStyle name="Output 2 5 9 3 2" xfId="30682"/>
    <cellStyle name="Output 2 5 9 4" xfId="21862"/>
    <cellStyle name="Output 2 5 9_Table" xfId="7705"/>
    <cellStyle name="Output 2 5_Table" xfId="7686"/>
    <cellStyle name="Output 2 6" xfId="690"/>
    <cellStyle name="Output 2 6 10" xfId="4650"/>
    <cellStyle name="Output 2 6 10 2" xfId="13978"/>
    <cellStyle name="Output 2 6 10 2 2" xfId="27284"/>
    <cellStyle name="Output 2 6 10 3" xfId="18388"/>
    <cellStyle name="Output 2 6 10 3 2" xfId="31694"/>
    <cellStyle name="Output 2 6 10 4" xfId="22874"/>
    <cellStyle name="Output 2 6 10_Table" xfId="7707"/>
    <cellStyle name="Output 2 6 11" xfId="10018"/>
    <cellStyle name="Output 2 6 11 2" xfId="23324"/>
    <cellStyle name="Output 2 6 12" xfId="14428"/>
    <cellStyle name="Output 2 6 12 2" xfId="27734"/>
    <cellStyle name="Output 2 6 13" xfId="18914"/>
    <cellStyle name="Output 2 6 2" xfId="1476"/>
    <cellStyle name="Output 2 6 2 2" xfId="10804"/>
    <cellStyle name="Output 2 6 2 2 2" xfId="24110"/>
    <cellStyle name="Output 2 6 2 3" xfId="15214"/>
    <cellStyle name="Output 2 6 2 3 2" xfId="28520"/>
    <cellStyle name="Output 2 6 2 4" xfId="19700"/>
    <cellStyle name="Output 2 6 2_Table" xfId="7708"/>
    <cellStyle name="Output 2 6 3" xfId="1836"/>
    <cellStyle name="Output 2 6 3 2" xfId="11164"/>
    <cellStyle name="Output 2 6 3 2 2" xfId="24470"/>
    <cellStyle name="Output 2 6 3 3" xfId="15574"/>
    <cellStyle name="Output 2 6 3 3 2" xfId="28880"/>
    <cellStyle name="Output 2 6 3 4" xfId="20060"/>
    <cellStyle name="Output 2 6 3_Table" xfId="7709"/>
    <cellStyle name="Output 2 6 4" xfId="2266"/>
    <cellStyle name="Output 2 6 4 2" xfId="11594"/>
    <cellStyle name="Output 2 6 4 2 2" xfId="24900"/>
    <cellStyle name="Output 2 6 4 3" xfId="16004"/>
    <cellStyle name="Output 2 6 4 3 2" xfId="29310"/>
    <cellStyle name="Output 2 6 4 4" xfId="20490"/>
    <cellStyle name="Output 2 6 4_Table" xfId="7710"/>
    <cellStyle name="Output 2 6 5" xfId="2704"/>
    <cellStyle name="Output 2 6 5 2" xfId="12032"/>
    <cellStyle name="Output 2 6 5 2 2" xfId="25338"/>
    <cellStyle name="Output 2 6 5 3" xfId="16442"/>
    <cellStyle name="Output 2 6 5 3 2" xfId="29748"/>
    <cellStyle name="Output 2 6 5 4" xfId="20928"/>
    <cellStyle name="Output 2 6 5_Table" xfId="7711"/>
    <cellStyle name="Output 2 6 6" xfId="3111"/>
    <cellStyle name="Output 2 6 6 2" xfId="12439"/>
    <cellStyle name="Output 2 6 6 2 2" xfId="25745"/>
    <cellStyle name="Output 2 6 6 3" xfId="16849"/>
    <cellStyle name="Output 2 6 6 3 2" xfId="30155"/>
    <cellStyle name="Output 2 6 6 4" xfId="21335"/>
    <cellStyle name="Output 2 6 6_Table" xfId="7712"/>
    <cellStyle name="Output 2 6 7" xfId="3703"/>
    <cellStyle name="Output 2 6 7 2" xfId="13031"/>
    <cellStyle name="Output 2 6 7 2 2" xfId="26337"/>
    <cellStyle name="Output 2 6 7 3" xfId="17441"/>
    <cellStyle name="Output 2 6 7 3 2" xfId="30747"/>
    <cellStyle name="Output 2 6 7 4" xfId="21927"/>
    <cellStyle name="Output 2 6 7_Table" xfId="7713"/>
    <cellStyle name="Output 2 6 8" xfId="3928"/>
    <cellStyle name="Output 2 6 8 2" xfId="13256"/>
    <cellStyle name="Output 2 6 8 2 2" xfId="26562"/>
    <cellStyle name="Output 2 6 8 3" xfId="17666"/>
    <cellStyle name="Output 2 6 8 3 2" xfId="30972"/>
    <cellStyle name="Output 2 6 8 4" xfId="22152"/>
    <cellStyle name="Output 2 6 8_Table" xfId="7714"/>
    <cellStyle name="Output 2 6 9" xfId="4289"/>
    <cellStyle name="Output 2 6 9 2" xfId="13617"/>
    <cellStyle name="Output 2 6 9 2 2" xfId="26923"/>
    <cellStyle name="Output 2 6 9 3" xfId="18027"/>
    <cellStyle name="Output 2 6 9 3 2" xfId="31333"/>
    <cellStyle name="Output 2 6 9 4" xfId="22513"/>
    <cellStyle name="Output 2 6 9_Table" xfId="7715"/>
    <cellStyle name="Output 2 6_Table" xfId="7706"/>
    <cellStyle name="Output 2 7" xfId="1184"/>
    <cellStyle name="Output 2 7 2" xfId="10512"/>
    <cellStyle name="Output 2 7 2 2" xfId="23818"/>
    <cellStyle name="Output 2 7 3" xfId="14922"/>
    <cellStyle name="Output 2 7 3 2" xfId="28228"/>
    <cellStyle name="Output 2 7 4" xfId="19408"/>
    <cellStyle name="Output 2 7_Table" xfId="7716"/>
    <cellStyle name="Output 2 8" xfId="1060"/>
    <cellStyle name="Output 2 8 2" xfId="10388"/>
    <cellStyle name="Output 2 8 2 2" xfId="23694"/>
    <cellStyle name="Output 2 8 3" xfId="14798"/>
    <cellStyle name="Output 2 8 3 2" xfId="28104"/>
    <cellStyle name="Output 2 8 4" xfId="19284"/>
    <cellStyle name="Output 2 8_Table" xfId="7717"/>
    <cellStyle name="Output 2 9" xfId="1263"/>
    <cellStyle name="Output 2 9 2" xfId="10591"/>
    <cellStyle name="Output 2 9 2 2" xfId="23897"/>
    <cellStyle name="Output 2 9 3" xfId="15001"/>
    <cellStyle name="Output 2 9 3 2" xfId="28307"/>
    <cellStyle name="Output 2 9 4" xfId="19487"/>
    <cellStyle name="Output 2 9_Table" xfId="7718"/>
    <cellStyle name="Output 2_Table" xfId="7619"/>
    <cellStyle name="Output 3" xfId="351"/>
    <cellStyle name="Output 3 10" xfId="889"/>
    <cellStyle name="Output 3 10 2" xfId="10217"/>
    <cellStyle name="Output 3 10 2 2" xfId="23523"/>
    <cellStyle name="Output 3 10 3" xfId="14627"/>
    <cellStyle name="Output 3 10 3 2" xfId="27933"/>
    <cellStyle name="Output 3 10 4" xfId="19113"/>
    <cellStyle name="Output 3 10_Table" xfId="7720"/>
    <cellStyle name="Output 3 11" xfId="2106"/>
    <cellStyle name="Output 3 11 2" xfId="11434"/>
    <cellStyle name="Output 3 11 2 2" xfId="24740"/>
    <cellStyle name="Output 3 11 3" xfId="15844"/>
    <cellStyle name="Output 3 11 3 2" xfId="29150"/>
    <cellStyle name="Output 3 11 4" xfId="20330"/>
    <cellStyle name="Output 3 11_Table" xfId="7721"/>
    <cellStyle name="Output 3 12" xfId="2538"/>
    <cellStyle name="Output 3 12 2" xfId="11866"/>
    <cellStyle name="Output 3 12 2 2" xfId="25172"/>
    <cellStyle name="Output 3 12 3" xfId="16276"/>
    <cellStyle name="Output 3 12 3 2" xfId="29582"/>
    <cellStyle name="Output 3 12 4" xfId="20762"/>
    <cellStyle name="Output 3 12_Table" xfId="7722"/>
    <cellStyle name="Output 3 13" xfId="3523"/>
    <cellStyle name="Output 3 13 2" xfId="12851"/>
    <cellStyle name="Output 3 13 2 2" xfId="26157"/>
    <cellStyle name="Output 3 13 3" xfId="17261"/>
    <cellStyle name="Output 3 13 3 2" xfId="30567"/>
    <cellStyle name="Output 3 13 4" xfId="21747"/>
    <cellStyle name="Output 3 13_Table" xfId="7723"/>
    <cellStyle name="Output 3 14" xfId="1097"/>
    <cellStyle name="Output 3 14 2" xfId="10425"/>
    <cellStyle name="Output 3 14 2 2" xfId="23731"/>
    <cellStyle name="Output 3 14 3" xfId="14835"/>
    <cellStyle name="Output 3 14 3 2" xfId="28141"/>
    <cellStyle name="Output 3 14 4" xfId="19321"/>
    <cellStyle name="Output 3 14_Table" xfId="7724"/>
    <cellStyle name="Output 3 15" xfId="3621"/>
    <cellStyle name="Output 3 15 2" xfId="12949"/>
    <cellStyle name="Output 3 15 2 2" xfId="26255"/>
    <cellStyle name="Output 3 15 3" xfId="17359"/>
    <cellStyle name="Output 3 15 3 2" xfId="30665"/>
    <cellStyle name="Output 3 15 4" xfId="21845"/>
    <cellStyle name="Output 3 15_Table" xfId="7725"/>
    <cellStyle name="Output 3 16" xfId="9679"/>
    <cellStyle name="Output 3 16 2" xfId="23100"/>
    <cellStyle name="Output 3 17" xfId="14204"/>
    <cellStyle name="Output 3 17 2" xfId="27510"/>
    <cellStyle name="Output 3 18" xfId="18690"/>
    <cellStyle name="Output 3 2" xfId="422"/>
    <cellStyle name="Output 3 2 10" xfId="1118"/>
    <cellStyle name="Output 3 2 10 2" xfId="10446"/>
    <cellStyle name="Output 3 2 10 2 2" xfId="23752"/>
    <cellStyle name="Output 3 2 10 3" xfId="14856"/>
    <cellStyle name="Output 3 2 10 3 2" xfId="28162"/>
    <cellStyle name="Output 3 2 10 4" xfId="19342"/>
    <cellStyle name="Output 3 2 10_Table" xfId="7727"/>
    <cellStyle name="Output 3 2 11" xfId="3618"/>
    <cellStyle name="Output 3 2 11 2" xfId="12946"/>
    <cellStyle name="Output 3 2 11 2 2" xfId="26252"/>
    <cellStyle name="Output 3 2 11 3" xfId="17356"/>
    <cellStyle name="Output 3 2 11 3 2" xfId="30662"/>
    <cellStyle name="Output 3 2 11 4" xfId="21842"/>
    <cellStyle name="Output 3 2 11_Table" xfId="7728"/>
    <cellStyle name="Output 3 2 12" xfId="9750"/>
    <cellStyle name="Output 3 2 12 2" xfId="23145"/>
    <cellStyle name="Output 3 2 13" xfId="14249"/>
    <cellStyle name="Output 3 2 13 2" xfId="27555"/>
    <cellStyle name="Output 3 2 14" xfId="18735"/>
    <cellStyle name="Output 3 2 2" xfId="736"/>
    <cellStyle name="Output 3 2 2 10" xfId="4696"/>
    <cellStyle name="Output 3 2 2 10 2" xfId="14024"/>
    <cellStyle name="Output 3 2 2 10 2 2" xfId="27330"/>
    <cellStyle name="Output 3 2 2 10 3" xfId="18434"/>
    <cellStyle name="Output 3 2 2 10 3 2" xfId="31740"/>
    <cellStyle name="Output 3 2 2 10 4" xfId="22920"/>
    <cellStyle name="Output 3 2 2 10_Table" xfId="7730"/>
    <cellStyle name="Output 3 2 2 11" xfId="10064"/>
    <cellStyle name="Output 3 2 2 11 2" xfId="23370"/>
    <cellStyle name="Output 3 2 2 12" xfId="14474"/>
    <cellStyle name="Output 3 2 2 12 2" xfId="27780"/>
    <cellStyle name="Output 3 2 2 13" xfId="18960"/>
    <cellStyle name="Output 3 2 2 2" xfId="1522"/>
    <cellStyle name="Output 3 2 2 2 2" xfId="10850"/>
    <cellStyle name="Output 3 2 2 2 2 2" xfId="24156"/>
    <cellStyle name="Output 3 2 2 2 3" xfId="15260"/>
    <cellStyle name="Output 3 2 2 2 3 2" xfId="28566"/>
    <cellStyle name="Output 3 2 2 2 4" xfId="19746"/>
    <cellStyle name="Output 3 2 2 2_Table" xfId="7731"/>
    <cellStyle name="Output 3 2 2 3" xfId="1882"/>
    <cellStyle name="Output 3 2 2 3 2" xfId="11210"/>
    <cellStyle name="Output 3 2 2 3 2 2" xfId="24516"/>
    <cellStyle name="Output 3 2 2 3 3" xfId="15620"/>
    <cellStyle name="Output 3 2 2 3 3 2" xfId="28926"/>
    <cellStyle name="Output 3 2 2 3 4" xfId="20106"/>
    <cellStyle name="Output 3 2 2 3_Table" xfId="7732"/>
    <cellStyle name="Output 3 2 2 4" xfId="2312"/>
    <cellStyle name="Output 3 2 2 4 2" xfId="11640"/>
    <cellStyle name="Output 3 2 2 4 2 2" xfId="24946"/>
    <cellStyle name="Output 3 2 2 4 3" xfId="16050"/>
    <cellStyle name="Output 3 2 2 4 3 2" xfId="29356"/>
    <cellStyle name="Output 3 2 2 4 4" xfId="20536"/>
    <cellStyle name="Output 3 2 2 4_Table" xfId="7733"/>
    <cellStyle name="Output 3 2 2 5" xfId="2750"/>
    <cellStyle name="Output 3 2 2 5 2" xfId="12078"/>
    <cellStyle name="Output 3 2 2 5 2 2" xfId="25384"/>
    <cellStyle name="Output 3 2 2 5 3" xfId="16488"/>
    <cellStyle name="Output 3 2 2 5 3 2" xfId="29794"/>
    <cellStyle name="Output 3 2 2 5 4" xfId="20974"/>
    <cellStyle name="Output 3 2 2 5_Table" xfId="7734"/>
    <cellStyle name="Output 3 2 2 6" xfId="3157"/>
    <cellStyle name="Output 3 2 2 6 2" xfId="12485"/>
    <cellStyle name="Output 3 2 2 6 2 2" xfId="25791"/>
    <cellStyle name="Output 3 2 2 6 3" xfId="16895"/>
    <cellStyle name="Output 3 2 2 6 3 2" xfId="30201"/>
    <cellStyle name="Output 3 2 2 6 4" xfId="21381"/>
    <cellStyle name="Output 3 2 2 6_Table" xfId="7735"/>
    <cellStyle name="Output 3 2 2 7" xfId="3749"/>
    <cellStyle name="Output 3 2 2 7 2" xfId="13077"/>
    <cellStyle name="Output 3 2 2 7 2 2" xfId="26383"/>
    <cellStyle name="Output 3 2 2 7 3" xfId="17487"/>
    <cellStyle name="Output 3 2 2 7 3 2" xfId="30793"/>
    <cellStyle name="Output 3 2 2 7 4" xfId="21973"/>
    <cellStyle name="Output 3 2 2 7_Table" xfId="7736"/>
    <cellStyle name="Output 3 2 2 8" xfId="3974"/>
    <cellStyle name="Output 3 2 2 8 2" xfId="13302"/>
    <cellStyle name="Output 3 2 2 8 2 2" xfId="26608"/>
    <cellStyle name="Output 3 2 2 8 3" xfId="17712"/>
    <cellStyle name="Output 3 2 2 8 3 2" xfId="31018"/>
    <cellStyle name="Output 3 2 2 8 4" xfId="22198"/>
    <cellStyle name="Output 3 2 2 8_Table" xfId="7737"/>
    <cellStyle name="Output 3 2 2 9" xfId="4335"/>
    <cellStyle name="Output 3 2 2 9 2" xfId="13663"/>
    <cellStyle name="Output 3 2 2 9 2 2" xfId="26969"/>
    <cellStyle name="Output 3 2 2 9 3" xfId="18073"/>
    <cellStyle name="Output 3 2 2 9 3 2" xfId="31379"/>
    <cellStyle name="Output 3 2 2 9 4" xfId="22559"/>
    <cellStyle name="Output 3 2 2 9_Table" xfId="7738"/>
    <cellStyle name="Output 3 2 2_Table" xfId="7729"/>
    <cellStyle name="Output 3 2 3" xfId="1236"/>
    <cellStyle name="Output 3 2 3 2" xfId="10564"/>
    <cellStyle name="Output 3 2 3 2 2" xfId="23870"/>
    <cellStyle name="Output 3 2 3 3" xfId="14974"/>
    <cellStyle name="Output 3 2 3 3 2" xfId="28280"/>
    <cellStyle name="Output 3 2 3 4" xfId="19460"/>
    <cellStyle name="Output 3 2 3_Table" xfId="7739"/>
    <cellStyle name="Output 3 2 4" xfId="990"/>
    <cellStyle name="Output 3 2 4 2" xfId="10318"/>
    <cellStyle name="Output 3 2 4 2 2" xfId="23624"/>
    <cellStyle name="Output 3 2 4 3" xfId="14728"/>
    <cellStyle name="Output 3 2 4 3 2" xfId="28034"/>
    <cellStyle name="Output 3 2 4 4" xfId="19214"/>
    <cellStyle name="Output 3 2 4_Table" xfId="7740"/>
    <cellStyle name="Output 3 2 5" xfId="1390"/>
    <cellStyle name="Output 3 2 5 2" xfId="10718"/>
    <cellStyle name="Output 3 2 5 2 2" xfId="24024"/>
    <cellStyle name="Output 3 2 5 3" xfId="15128"/>
    <cellStyle name="Output 3 2 5 3 2" xfId="28434"/>
    <cellStyle name="Output 3 2 5 4" xfId="19614"/>
    <cellStyle name="Output 3 2 5_Table" xfId="7741"/>
    <cellStyle name="Output 3 2 6" xfId="1071"/>
    <cellStyle name="Output 3 2 6 2" xfId="10399"/>
    <cellStyle name="Output 3 2 6 2 2" xfId="23705"/>
    <cellStyle name="Output 3 2 6 3" xfId="14809"/>
    <cellStyle name="Output 3 2 6 3 2" xfId="28115"/>
    <cellStyle name="Output 3 2 6 4" xfId="19295"/>
    <cellStyle name="Output 3 2 6_Table" xfId="7742"/>
    <cellStyle name="Output 3 2 7" xfId="1325"/>
    <cellStyle name="Output 3 2 7 2" xfId="10653"/>
    <cellStyle name="Output 3 2 7 2 2" xfId="23959"/>
    <cellStyle name="Output 3 2 7 3" xfId="15063"/>
    <cellStyle name="Output 3 2 7 3 2" xfId="28369"/>
    <cellStyle name="Output 3 2 7 4" xfId="19549"/>
    <cellStyle name="Output 3 2 7_Table" xfId="7743"/>
    <cellStyle name="Output 3 2 8" xfId="900"/>
    <cellStyle name="Output 3 2 8 2" xfId="10228"/>
    <cellStyle name="Output 3 2 8 2 2" xfId="23534"/>
    <cellStyle name="Output 3 2 8 3" xfId="14638"/>
    <cellStyle name="Output 3 2 8 3 2" xfId="27944"/>
    <cellStyle name="Output 3 2 8 4" xfId="19124"/>
    <cellStyle name="Output 3 2 8_Table" xfId="7744"/>
    <cellStyle name="Output 3 2 9" xfId="1146"/>
    <cellStyle name="Output 3 2 9 2" xfId="10474"/>
    <cellStyle name="Output 3 2 9 2 2" xfId="23780"/>
    <cellStyle name="Output 3 2 9 3" xfId="14884"/>
    <cellStyle name="Output 3 2 9 3 2" xfId="28190"/>
    <cellStyle name="Output 3 2 9 4" xfId="19370"/>
    <cellStyle name="Output 3 2 9_Table" xfId="7745"/>
    <cellStyle name="Output 3 2_Table" xfId="7726"/>
    <cellStyle name="Output 3 3" xfId="490"/>
    <cellStyle name="Output 3 3 10" xfId="4155"/>
    <cellStyle name="Output 3 3 10 2" xfId="13483"/>
    <cellStyle name="Output 3 3 10 2 2" xfId="26789"/>
    <cellStyle name="Output 3 3 10 3" xfId="17893"/>
    <cellStyle name="Output 3 3 10 3 2" xfId="31199"/>
    <cellStyle name="Output 3 3 10 4" xfId="22379"/>
    <cellStyle name="Output 3 3 10_Table" xfId="7747"/>
    <cellStyle name="Output 3 3 11" xfId="4516"/>
    <cellStyle name="Output 3 3 11 2" xfId="13844"/>
    <cellStyle name="Output 3 3 11 2 2" xfId="27150"/>
    <cellStyle name="Output 3 3 11 3" xfId="18254"/>
    <cellStyle name="Output 3 3 11 3 2" xfId="31560"/>
    <cellStyle name="Output 3 3 11 4" xfId="22740"/>
    <cellStyle name="Output 3 3 11_Table" xfId="7748"/>
    <cellStyle name="Output 3 3 12" xfId="9818"/>
    <cellStyle name="Output 3 3 12 2" xfId="23190"/>
    <cellStyle name="Output 3 3 13" xfId="14294"/>
    <cellStyle name="Output 3 3 13 2" xfId="27600"/>
    <cellStyle name="Output 3 3 14" xfId="18780"/>
    <cellStyle name="Output 3 3 2" xfId="781"/>
    <cellStyle name="Output 3 3 2 10" xfId="4741"/>
    <cellStyle name="Output 3 3 2 10 2" xfId="14069"/>
    <cellStyle name="Output 3 3 2 10 2 2" xfId="27375"/>
    <cellStyle name="Output 3 3 2 10 3" xfId="18479"/>
    <cellStyle name="Output 3 3 2 10 3 2" xfId="31785"/>
    <cellStyle name="Output 3 3 2 10 4" xfId="22965"/>
    <cellStyle name="Output 3 3 2 10_Table" xfId="7750"/>
    <cellStyle name="Output 3 3 2 11" xfId="10109"/>
    <cellStyle name="Output 3 3 2 11 2" xfId="23415"/>
    <cellStyle name="Output 3 3 2 12" xfId="14519"/>
    <cellStyle name="Output 3 3 2 12 2" xfId="27825"/>
    <cellStyle name="Output 3 3 2 13" xfId="19005"/>
    <cellStyle name="Output 3 3 2 2" xfId="1567"/>
    <cellStyle name="Output 3 3 2 2 2" xfId="10895"/>
    <cellStyle name="Output 3 3 2 2 2 2" xfId="24201"/>
    <cellStyle name="Output 3 3 2 2 3" xfId="15305"/>
    <cellStyle name="Output 3 3 2 2 3 2" xfId="28611"/>
    <cellStyle name="Output 3 3 2 2 4" xfId="19791"/>
    <cellStyle name="Output 3 3 2 2_Table" xfId="7751"/>
    <cellStyle name="Output 3 3 2 3" xfId="1927"/>
    <cellStyle name="Output 3 3 2 3 2" xfId="11255"/>
    <cellStyle name="Output 3 3 2 3 2 2" xfId="24561"/>
    <cellStyle name="Output 3 3 2 3 3" xfId="15665"/>
    <cellStyle name="Output 3 3 2 3 3 2" xfId="28971"/>
    <cellStyle name="Output 3 3 2 3 4" xfId="20151"/>
    <cellStyle name="Output 3 3 2 3_Table" xfId="7752"/>
    <cellStyle name="Output 3 3 2 4" xfId="2357"/>
    <cellStyle name="Output 3 3 2 4 2" xfId="11685"/>
    <cellStyle name="Output 3 3 2 4 2 2" xfId="24991"/>
    <cellStyle name="Output 3 3 2 4 3" xfId="16095"/>
    <cellStyle name="Output 3 3 2 4 3 2" xfId="29401"/>
    <cellStyle name="Output 3 3 2 4 4" xfId="20581"/>
    <cellStyle name="Output 3 3 2 4_Table" xfId="7753"/>
    <cellStyle name="Output 3 3 2 5" xfId="2795"/>
    <cellStyle name="Output 3 3 2 5 2" xfId="12123"/>
    <cellStyle name="Output 3 3 2 5 2 2" xfId="25429"/>
    <cellStyle name="Output 3 3 2 5 3" xfId="16533"/>
    <cellStyle name="Output 3 3 2 5 3 2" xfId="29839"/>
    <cellStyle name="Output 3 3 2 5 4" xfId="21019"/>
    <cellStyle name="Output 3 3 2 5_Table" xfId="7754"/>
    <cellStyle name="Output 3 3 2 6" xfId="3202"/>
    <cellStyle name="Output 3 3 2 6 2" xfId="12530"/>
    <cellStyle name="Output 3 3 2 6 2 2" xfId="25836"/>
    <cellStyle name="Output 3 3 2 6 3" xfId="16940"/>
    <cellStyle name="Output 3 3 2 6 3 2" xfId="30246"/>
    <cellStyle name="Output 3 3 2 6 4" xfId="21426"/>
    <cellStyle name="Output 3 3 2 6_Table" xfId="7755"/>
    <cellStyle name="Output 3 3 2 7" xfId="3794"/>
    <cellStyle name="Output 3 3 2 7 2" xfId="13122"/>
    <cellStyle name="Output 3 3 2 7 2 2" xfId="26428"/>
    <cellStyle name="Output 3 3 2 7 3" xfId="17532"/>
    <cellStyle name="Output 3 3 2 7 3 2" xfId="30838"/>
    <cellStyle name="Output 3 3 2 7 4" xfId="22018"/>
    <cellStyle name="Output 3 3 2 7_Table" xfId="7756"/>
    <cellStyle name="Output 3 3 2 8" xfId="4019"/>
    <cellStyle name="Output 3 3 2 8 2" xfId="13347"/>
    <cellStyle name="Output 3 3 2 8 2 2" xfId="26653"/>
    <cellStyle name="Output 3 3 2 8 3" xfId="17757"/>
    <cellStyle name="Output 3 3 2 8 3 2" xfId="31063"/>
    <cellStyle name="Output 3 3 2 8 4" xfId="22243"/>
    <cellStyle name="Output 3 3 2 8_Table" xfId="7757"/>
    <cellStyle name="Output 3 3 2 9" xfId="4380"/>
    <cellStyle name="Output 3 3 2 9 2" xfId="13708"/>
    <cellStyle name="Output 3 3 2 9 2 2" xfId="27014"/>
    <cellStyle name="Output 3 3 2 9 3" xfId="18118"/>
    <cellStyle name="Output 3 3 2 9 3 2" xfId="31424"/>
    <cellStyle name="Output 3 3 2 9 4" xfId="22604"/>
    <cellStyle name="Output 3 3 2 9_Table" xfId="7758"/>
    <cellStyle name="Output 3 3 2_Table" xfId="7749"/>
    <cellStyle name="Output 3 3 3" xfId="1293"/>
    <cellStyle name="Output 3 3 3 2" xfId="10621"/>
    <cellStyle name="Output 3 3 3 2 2" xfId="23927"/>
    <cellStyle name="Output 3 3 3 3" xfId="15031"/>
    <cellStyle name="Output 3 3 3 3 2" xfId="28337"/>
    <cellStyle name="Output 3 3 3 4" xfId="19517"/>
    <cellStyle name="Output 3 3 3_Table" xfId="7759"/>
    <cellStyle name="Output 3 3 4" xfId="924"/>
    <cellStyle name="Output 3 3 4 2" xfId="10252"/>
    <cellStyle name="Output 3 3 4 2 2" xfId="23558"/>
    <cellStyle name="Output 3 3 4 3" xfId="14662"/>
    <cellStyle name="Output 3 3 4 3 2" xfId="27968"/>
    <cellStyle name="Output 3 3 4 4" xfId="19148"/>
    <cellStyle name="Output 3 3 4_Table" xfId="7760"/>
    <cellStyle name="Output 3 3 5" xfId="2081"/>
    <cellStyle name="Output 3 3 5 2" xfId="11409"/>
    <cellStyle name="Output 3 3 5 2 2" xfId="24715"/>
    <cellStyle name="Output 3 3 5 3" xfId="15819"/>
    <cellStyle name="Output 3 3 5 3 2" xfId="29125"/>
    <cellStyle name="Output 3 3 5 4" xfId="20305"/>
    <cellStyle name="Output 3 3 5_Table" xfId="7761"/>
    <cellStyle name="Output 3 3 6" xfId="2513"/>
    <cellStyle name="Output 3 3 6 2" xfId="11841"/>
    <cellStyle name="Output 3 3 6 2 2" xfId="25147"/>
    <cellStyle name="Output 3 3 6 3" xfId="16251"/>
    <cellStyle name="Output 3 3 6 3 2" xfId="29557"/>
    <cellStyle name="Output 3 3 6 4" xfId="20737"/>
    <cellStyle name="Output 3 3 6_Table" xfId="7762"/>
    <cellStyle name="Output 3 3 7" xfId="2941"/>
    <cellStyle name="Output 3 3 7 2" xfId="12269"/>
    <cellStyle name="Output 3 3 7 2 2" xfId="25575"/>
    <cellStyle name="Output 3 3 7 3" xfId="16679"/>
    <cellStyle name="Output 3 3 7 3 2" xfId="29985"/>
    <cellStyle name="Output 3 3 7 4" xfId="21165"/>
    <cellStyle name="Output 3 3 7_Table" xfId="7763"/>
    <cellStyle name="Output 3 3 8" xfId="3354"/>
    <cellStyle name="Output 3 3 8 2" xfId="12682"/>
    <cellStyle name="Output 3 3 8 2 2" xfId="25988"/>
    <cellStyle name="Output 3 3 8 3" xfId="17092"/>
    <cellStyle name="Output 3 3 8 3 2" xfId="30398"/>
    <cellStyle name="Output 3 3 8 4" xfId="21578"/>
    <cellStyle name="Output 3 3 8_Table" xfId="7764"/>
    <cellStyle name="Output 3 3 9" xfId="3443"/>
    <cellStyle name="Output 3 3 9 2" xfId="12771"/>
    <cellStyle name="Output 3 3 9 2 2" xfId="26077"/>
    <cellStyle name="Output 3 3 9 3" xfId="17181"/>
    <cellStyle name="Output 3 3 9 3 2" xfId="30487"/>
    <cellStyle name="Output 3 3 9 4" xfId="21667"/>
    <cellStyle name="Output 3 3 9_Table" xfId="7765"/>
    <cellStyle name="Output 3 3_Table" xfId="7746"/>
    <cellStyle name="Output 3 4" xfId="554"/>
    <cellStyle name="Output 3 4 10" xfId="4200"/>
    <cellStyle name="Output 3 4 10 2" xfId="13528"/>
    <cellStyle name="Output 3 4 10 2 2" xfId="26834"/>
    <cellStyle name="Output 3 4 10 3" xfId="17938"/>
    <cellStyle name="Output 3 4 10 3 2" xfId="31244"/>
    <cellStyle name="Output 3 4 10 4" xfId="22424"/>
    <cellStyle name="Output 3 4 10_Table" xfId="7767"/>
    <cellStyle name="Output 3 4 11" xfId="4561"/>
    <cellStyle name="Output 3 4 11 2" xfId="13889"/>
    <cellStyle name="Output 3 4 11 2 2" xfId="27195"/>
    <cellStyle name="Output 3 4 11 3" xfId="18299"/>
    <cellStyle name="Output 3 4 11 3 2" xfId="31605"/>
    <cellStyle name="Output 3 4 11 4" xfId="22785"/>
    <cellStyle name="Output 3 4 11_Table" xfId="7768"/>
    <cellStyle name="Output 3 4 12" xfId="9882"/>
    <cellStyle name="Output 3 4 12 2" xfId="23235"/>
    <cellStyle name="Output 3 4 13" xfId="14339"/>
    <cellStyle name="Output 3 4 13 2" xfId="27645"/>
    <cellStyle name="Output 3 4 14" xfId="18825"/>
    <cellStyle name="Output 3 4 2" xfId="826"/>
    <cellStyle name="Output 3 4 2 10" xfId="4786"/>
    <cellStyle name="Output 3 4 2 10 2" xfId="14114"/>
    <cellStyle name="Output 3 4 2 10 2 2" xfId="27420"/>
    <cellStyle name="Output 3 4 2 10 3" xfId="18524"/>
    <cellStyle name="Output 3 4 2 10 3 2" xfId="31830"/>
    <cellStyle name="Output 3 4 2 10 4" xfId="23010"/>
    <cellStyle name="Output 3 4 2 10_Table" xfId="7770"/>
    <cellStyle name="Output 3 4 2 11" xfId="10154"/>
    <cellStyle name="Output 3 4 2 11 2" xfId="23460"/>
    <cellStyle name="Output 3 4 2 12" xfId="14564"/>
    <cellStyle name="Output 3 4 2 12 2" xfId="27870"/>
    <cellStyle name="Output 3 4 2 13" xfId="19050"/>
    <cellStyle name="Output 3 4 2 2" xfId="1612"/>
    <cellStyle name="Output 3 4 2 2 2" xfId="10940"/>
    <cellStyle name="Output 3 4 2 2 2 2" xfId="24246"/>
    <cellStyle name="Output 3 4 2 2 3" xfId="15350"/>
    <cellStyle name="Output 3 4 2 2 3 2" xfId="28656"/>
    <cellStyle name="Output 3 4 2 2 4" xfId="19836"/>
    <cellStyle name="Output 3 4 2 2_Table" xfId="7771"/>
    <cellStyle name="Output 3 4 2 3" xfId="1972"/>
    <cellStyle name="Output 3 4 2 3 2" xfId="11300"/>
    <cellStyle name="Output 3 4 2 3 2 2" xfId="24606"/>
    <cellStyle name="Output 3 4 2 3 3" xfId="15710"/>
    <cellStyle name="Output 3 4 2 3 3 2" xfId="29016"/>
    <cellStyle name="Output 3 4 2 3 4" xfId="20196"/>
    <cellStyle name="Output 3 4 2 3_Table" xfId="7772"/>
    <cellStyle name="Output 3 4 2 4" xfId="2402"/>
    <cellStyle name="Output 3 4 2 4 2" xfId="11730"/>
    <cellStyle name="Output 3 4 2 4 2 2" xfId="25036"/>
    <cellStyle name="Output 3 4 2 4 3" xfId="16140"/>
    <cellStyle name="Output 3 4 2 4 3 2" xfId="29446"/>
    <cellStyle name="Output 3 4 2 4 4" xfId="20626"/>
    <cellStyle name="Output 3 4 2 4_Table" xfId="7773"/>
    <cellStyle name="Output 3 4 2 5" xfId="2840"/>
    <cellStyle name="Output 3 4 2 5 2" xfId="12168"/>
    <cellStyle name="Output 3 4 2 5 2 2" xfId="25474"/>
    <cellStyle name="Output 3 4 2 5 3" xfId="16578"/>
    <cellStyle name="Output 3 4 2 5 3 2" xfId="29884"/>
    <cellStyle name="Output 3 4 2 5 4" xfId="21064"/>
    <cellStyle name="Output 3 4 2 5_Table" xfId="7774"/>
    <cellStyle name="Output 3 4 2 6" xfId="3247"/>
    <cellStyle name="Output 3 4 2 6 2" xfId="12575"/>
    <cellStyle name="Output 3 4 2 6 2 2" xfId="25881"/>
    <cellStyle name="Output 3 4 2 6 3" xfId="16985"/>
    <cellStyle name="Output 3 4 2 6 3 2" xfId="30291"/>
    <cellStyle name="Output 3 4 2 6 4" xfId="21471"/>
    <cellStyle name="Output 3 4 2 6_Table" xfId="7775"/>
    <cellStyle name="Output 3 4 2 7" xfId="3839"/>
    <cellStyle name="Output 3 4 2 7 2" xfId="13167"/>
    <cellStyle name="Output 3 4 2 7 2 2" xfId="26473"/>
    <cellStyle name="Output 3 4 2 7 3" xfId="17577"/>
    <cellStyle name="Output 3 4 2 7 3 2" xfId="30883"/>
    <cellStyle name="Output 3 4 2 7 4" xfId="22063"/>
    <cellStyle name="Output 3 4 2 7_Table" xfId="7776"/>
    <cellStyle name="Output 3 4 2 8" xfId="4064"/>
    <cellStyle name="Output 3 4 2 8 2" xfId="13392"/>
    <cellStyle name="Output 3 4 2 8 2 2" xfId="26698"/>
    <cellStyle name="Output 3 4 2 8 3" xfId="17802"/>
    <cellStyle name="Output 3 4 2 8 3 2" xfId="31108"/>
    <cellStyle name="Output 3 4 2 8 4" xfId="22288"/>
    <cellStyle name="Output 3 4 2 8_Table" xfId="7777"/>
    <cellStyle name="Output 3 4 2 9" xfId="4425"/>
    <cellStyle name="Output 3 4 2 9 2" xfId="13753"/>
    <cellStyle name="Output 3 4 2 9 2 2" xfId="27059"/>
    <cellStyle name="Output 3 4 2 9 3" xfId="18163"/>
    <cellStyle name="Output 3 4 2 9 3 2" xfId="31469"/>
    <cellStyle name="Output 3 4 2 9 4" xfId="22649"/>
    <cellStyle name="Output 3 4 2 9_Table" xfId="7778"/>
    <cellStyle name="Output 3 4 2_Table" xfId="7769"/>
    <cellStyle name="Output 3 4 3" xfId="1349"/>
    <cellStyle name="Output 3 4 3 2" xfId="10677"/>
    <cellStyle name="Output 3 4 3 2 2" xfId="23983"/>
    <cellStyle name="Output 3 4 3 3" xfId="15087"/>
    <cellStyle name="Output 3 4 3 3 2" xfId="28393"/>
    <cellStyle name="Output 3 4 3 4" xfId="19573"/>
    <cellStyle name="Output 3 4 3_Table" xfId="7779"/>
    <cellStyle name="Output 3 4 4" xfId="1706"/>
    <cellStyle name="Output 3 4 4 2" xfId="11034"/>
    <cellStyle name="Output 3 4 4 2 2" xfId="24340"/>
    <cellStyle name="Output 3 4 4 3" xfId="15444"/>
    <cellStyle name="Output 3 4 4 3 2" xfId="28750"/>
    <cellStyle name="Output 3 4 4 4" xfId="19930"/>
    <cellStyle name="Output 3 4 4_Table" xfId="7780"/>
    <cellStyle name="Output 3 4 5" xfId="2140"/>
    <cellStyle name="Output 3 4 5 2" xfId="11468"/>
    <cellStyle name="Output 3 4 5 2 2" xfId="24774"/>
    <cellStyle name="Output 3 4 5 3" xfId="15878"/>
    <cellStyle name="Output 3 4 5 3 2" xfId="29184"/>
    <cellStyle name="Output 3 4 5 4" xfId="20364"/>
    <cellStyle name="Output 3 4 5_Table" xfId="7781"/>
    <cellStyle name="Output 3 4 6" xfId="2572"/>
    <cellStyle name="Output 3 4 6 2" xfId="11900"/>
    <cellStyle name="Output 3 4 6 2 2" xfId="25206"/>
    <cellStyle name="Output 3 4 6 3" xfId="16310"/>
    <cellStyle name="Output 3 4 6 3 2" xfId="29616"/>
    <cellStyle name="Output 3 4 6 4" xfId="20796"/>
    <cellStyle name="Output 3 4 6_Table" xfId="7782"/>
    <cellStyle name="Output 3 4 7" xfId="2998"/>
    <cellStyle name="Output 3 4 7 2" xfId="12326"/>
    <cellStyle name="Output 3 4 7 2 2" xfId="25632"/>
    <cellStyle name="Output 3 4 7 3" xfId="16736"/>
    <cellStyle name="Output 3 4 7 3 2" xfId="30042"/>
    <cellStyle name="Output 3 4 7 4" xfId="21222"/>
    <cellStyle name="Output 3 4 7_Table" xfId="7783"/>
    <cellStyle name="Output 3 4 8" xfId="3412"/>
    <cellStyle name="Output 3 4 8 2" xfId="12740"/>
    <cellStyle name="Output 3 4 8 2 2" xfId="26046"/>
    <cellStyle name="Output 3 4 8 3" xfId="17150"/>
    <cellStyle name="Output 3 4 8 3 2" xfId="30456"/>
    <cellStyle name="Output 3 4 8 4" xfId="21636"/>
    <cellStyle name="Output 3 4 8_Table" xfId="7784"/>
    <cellStyle name="Output 3 4 9" xfId="3659"/>
    <cellStyle name="Output 3 4 9 2" xfId="12987"/>
    <cellStyle name="Output 3 4 9 2 2" xfId="26293"/>
    <cellStyle name="Output 3 4 9 3" xfId="17397"/>
    <cellStyle name="Output 3 4 9 3 2" xfId="30703"/>
    <cellStyle name="Output 3 4 9 4" xfId="21883"/>
    <cellStyle name="Output 3 4 9_Table" xfId="7785"/>
    <cellStyle name="Output 3 4_Table" xfId="7766"/>
    <cellStyle name="Output 3 5" xfId="629"/>
    <cellStyle name="Output 3 5 10" xfId="4245"/>
    <cellStyle name="Output 3 5 10 2" xfId="13573"/>
    <cellStyle name="Output 3 5 10 2 2" xfId="26879"/>
    <cellStyle name="Output 3 5 10 3" xfId="17983"/>
    <cellStyle name="Output 3 5 10 3 2" xfId="31289"/>
    <cellStyle name="Output 3 5 10 4" xfId="22469"/>
    <cellStyle name="Output 3 5 10_Table" xfId="7787"/>
    <cellStyle name="Output 3 5 11" xfId="4606"/>
    <cellStyle name="Output 3 5 11 2" xfId="13934"/>
    <cellStyle name="Output 3 5 11 2 2" xfId="27240"/>
    <cellStyle name="Output 3 5 11 3" xfId="18344"/>
    <cellStyle name="Output 3 5 11 3 2" xfId="31650"/>
    <cellStyle name="Output 3 5 11 4" xfId="22830"/>
    <cellStyle name="Output 3 5 11_Table" xfId="7788"/>
    <cellStyle name="Output 3 5 12" xfId="9957"/>
    <cellStyle name="Output 3 5 12 2" xfId="23280"/>
    <cellStyle name="Output 3 5 13" xfId="14384"/>
    <cellStyle name="Output 3 5 13 2" xfId="27690"/>
    <cellStyle name="Output 3 5 14" xfId="18870"/>
    <cellStyle name="Output 3 5 2" xfId="871"/>
    <cellStyle name="Output 3 5 2 10" xfId="4831"/>
    <cellStyle name="Output 3 5 2 10 2" xfId="14159"/>
    <cellStyle name="Output 3 5 2 10 2 2" xfId="27465"/>
    <cellStyle name="Output 3 5 2 10 3" xfId="18569"/>
    <cellStyle name="Output 3 5 2 10 3 2" xfId="31875"/>
    <cellStyle name="Output 3 5 2 10 4" xfId="23055"/>
    <cellStyle name="Output 3 5 2 10_Table" xfId="7790"/>
    <cellStyle name="Output 3 5 2 11" xfId="10199"/>
    <cellStyle name="Output 3 5 2 11 2" xfId="23505"/>
    <cellStyle name="Output 3 5 2 12" xfId="14609"/>
    <cellStyle name="Output 3 5 2 12 2" xfId="27915"/>
    <cellStyle name="Output 3 5 2 13" xfId="19095"/>
    <cellStyle name="Output 3 5 2 2" xfId="1657"/>
    <cellStyle name="Output 3 5 2 2 2" xfId="10985"/>
    <cellStyle name="Output 3 5 2 2 2 2" xfId="24291"/>
    <cellStyle name="Output 3 5 2 2 3" xfId="15395"/>
    <cellStyle name="Output 3 5 2 2 3 2" xfId="28701"/>
    <cellStyle name="Output 3 5 2 2 4" xfId="19881"/>
    <cellStyle name="Output 3 5 2 2_Table" xfId="7791"/>
    <cellStyle name="Output 3 5 2 3" xfId="2017"/>
    <cellStyle name="Output 3 5 2 3 2" xfId="11345"/>
    <cellStyle name="Output 3 5 2 3 2 2" xfId="24651"/>
    <cellStyle name="Output 3 5 2 3 3" xfId="15755"/>
    <cellStyle name="Output 3 5 2 3 3 2" xfId="29061"/>
    <cellStyle name="Output 3 5 2 3 4" xfId="20241"/>
    <cellStyle name="Output 3 5 2 3_Table" xfId="7792"/>
    <cellStyle name="Output 3 5 2 4" xfId="2447"/>
    <cellStyle name="Output 3 5 2 4 2" xfId="11775"/>
    <cellStyle name="Output 3 5 2 4 2 2" xfId="25081"/>
    <cellStyle name="Output 3 5 2 4 3" xfId="16185"/>
    <cellStyle name="Output 3 5 2 4 3 2" xfId="29491"/>
    <cellStyle name="Output 3 5 2 4 4" xfId="20671"/>
    <cellStyle name="Output 3 5 2 4_Table" xfId="7793"/>
    <cellStyle name="Output 3 5 2 5" xfId="2885"/>
    <cellStyle name="Output 3 5 2 5 2" xfId="12213"/>
    <cellStyle name="Output 3 5 2 5 2 2" xfId="25519"/>
    <cellStyle name="Output 3 5 2 5 3" xfId="16623"/>
    <cellStyle name="Output 3 5 2 5 3 2" xfId="29929"/>
    <cellStyle name="Output 3 5 2 5 4" xfId="21109"/>
    <cellStyle name="Output 3 5 2 5_Table" xfId="7794"/>
    <cellStyle name="Output 3 5 2 6" xfId="3292"/>
    <cellStyle name="Output 3 5 2 6 2" xfId="12620"/>
    <cellStyle name="Output 3 5 2 6 2 2" xfId="25926"/>
    <cellStyle name="Output 3 5 2 6 3" xfId="17030"/>
    <cellStyle name="Output 3 5 2 6 3 2" xfId="30336"/>
    <cellStyle name="Output 3 5 2 6 4" xfId="21516"/>
    <cellStyle name="Output 3 5 2 6_Table" xfId="7795"/>
    <cellStyle name="Output 3 5 2 7" xfId="3884"/>
    <cellStyle name="Output 3 5 2 7 2" xfId="13212"/>
    <cellStyle name="Output 3 5 2 7 2 2" xfId="26518"/>
    <cellStyle name="Output 3 5 2 7 3" xfId="17622"/>
    <cellStyle name="Output 3 5 2 7 3 2" xfId="30928"/>
    <cellStyle name="Output 3 5 2 7 4" xfId="22108"/>
    <cellStyle name="Output 3 5 2 7_Table" xfId="7796"/>
    <cellStyle name="Output 3 5 2 8" xfId="4109"/>
    <cellStyle name="Output 3 5 2 8 2" xfId="13437"/>
    <cellStyle name="Output 3 5 2 8 2 2" xfId="26743"/>
    <cellStyle name="Output 3 5 2 8 3" xfId="17847"/>
    <cellStyle name="Output 3 5 2 8 3 2" xfId="31153"/>
    <cellStyle name="Output 3 5 2 8 4" xfId="22333"/>
    <cellStyle name="Output 3 5 2 8_Table" xfId="7797"/>
    <cellStyle name="Output 3 5 2 9" xfId="4470"/>
    <cellStyle name="Output 3 5 2 9 2" xfId="13798"/>
    <cellStyle name="Output 3 5 2 9 2 2" xfId="27104"/>
    <cellStyle name="Output 3 5 2 9 3" xfId="18208"/>
    <cellStyle name="Output 3 5 2 9 3 2" xfId="31514"/>
    <cellStyle name="Output 3 5 2 9 4" xfId="22694"/>
    <cellStyle name="Output 3 5 2 9_Table" xfId="7798"/>
    <cellStyle name="Output 3 5 2_Table" xfId="7789"/>
    <cellStyle name="Output 3 5 3" xfId="1416"/>
    <cellStyle name="Output 3 5 3 2" xfId="10744"/>
    <cellStyle name="Output 3 5 3 2 2" xfId="24050"/>
    <cellStyle name="Output 3 5 3 3" xfId="15154"/>
    <cellStyle name="Output 3 5 3 3 2" xfId="28460"/>
    <cellStyle name="Output 3 5 3 4" xfId="19640"/>
    <cellStyle name="Output 3 5 3_Table" xfId="7799"/>
    <cellStyle name="Output 3 5 4" xfId="1776"/>
    <cellStyle name="Output 3 5 4 2" xfId="11104"/>
    <cellStyle name="Output 3 5 4 2 2" xfId="24410"/>
    <cellStyle name="Output 3 5 4 3" xfId="15514"/>
    <cellStyle name="Output 3 5 4 3 2" xfId="28820"/>
    <cellStyle name="Output 3 5 4 4" xfId="20000"/>
    <cellStyle name="Output 3 5 4_Table" xfId="7800"/>
    <cellStyle name="Output 3 5 5" xfId="2209"/>
    <cellStyle name="Output 3 5 5 2" xfId="11537"/>
    <cellStyle name="Output 3 5 5 2 2" xfId="24843"/>
    <cellStyle name="Output 3 5 5 3" xfId="15947"/>
    <cellStyle name="Output 3 5 5 3 2" xfId="29253"/>
    <cellStyle name="Output 3 5 5 4" xfId="20433"/>
    <cellStyle name="Output 3 5 5_Table" xfId="7801"/>
    <cellStyle name="Output 3 5 6" xfId="2644"/>
    <cellStyle name="Output 3 5 6 2" xfId="11972"/>
    <cellStyle name="Output 3 5 6 2 2" xfId="25278"/>
    <cellStyle name="Output 3 5 6 3" xfId="16382"/>
    <cellStyle name="Output 3 5 6 3 2" xfId="29688"/>
    <cellStyle name="Output 3 5 6 4" xfId="20868"/>
    <cellStyle name="Output 3 5 6_Table" xfId="7802"/>
    <cellStyle name="Output 3 5 7" xfId="3057"/>
    <cellStyle name="Output 3 5 7 2" xfId="12385"/>
    <cellStyle name="Output 3 5 7 2 2" xfId="25691"/>
    <cellStyle name="Output 3 5 7 3" xfId="16795"/>
    <cellStyle name="Output 3 5 7 3 2" xfId="30101"/>
    <cellStyle name="Output 3 5 7 4" xfId="21281"/>
    <cellStyle name="Output 3 5 7_Table" xfId="7803"/>
    <cellStyle name="Output 3 5 8" xfId="3483"/>
    <cellStyle name="Output 3 5 8 2" xfId="12811"/>
    <cellStyle name="Output 3 5 8 2 2" xfId="26117"/>
    <cellStyle name="Output 3 5 8 3" xfId="17221"/>
    <cellStyle name="Output 3 5 8 3 2" xfId="30527"/>
    <cellStyle name="Output 3 5 8 4" xfId="21707"/>
    <cellStyle name="Output 3 5 8_Table" xfId="7804"/>
    <cellStyle name="Output 3 5 9" xfId="3668"/>
    <cellStyle name="Output 3 5 9 2" xfId="12996"/>
    <cellStyle name="Output 3 5 9 2 2" xfId="26302"/>
    <cellStyle name="Output 3 5 9 3" xfId="17406"/>
    <cellStyle name="Output 3 5 9 3 2" xfId="30712"/>
    <cellStyle name="Output 3 5 9 4" xfId="21892"/>
    <cellStyle name="Output 3 5 9_Table" xfId="7805"/>
    <cellStyle name="Output 3 5_Table" xfId="7786"/>
    <cellStyle name="Output 3 6" xfId="691"/>
    <cellStyle name="Output 3 6 10" xfId="4651"/>
    <cellStyle name="Output 3 6 10 2" xfId="13979"/>
    <cellStyle name="Output 3 6 10 2 2" xfId="27285"/>
    <cellStyle name="Output 3 6 10 3" xfId="18389"/>
    <cellStyle name="Output 3 6 10 3 2" xfId="31695"/>
    <cellStyle name="Output 3 6 10 4" xfId="22875"/>
    <cellStyle name="Output 3 6 10_Table" xfId="7807"/>
    <cellStyle name="Output 3 6 11" xfId="10019"/>
    <cellStyle name="Output 3 6 11 2" xfId="23325"/>
    <cellStyle name="Output 3 6 12" xfId="14429"/>
    <cellStyle name="Output 3 6 12 2" xfId="27735"/>
    <cellStyle name="Output 3 6 13" xfId="18915"/>
    <cellStyle name="Output 3 6 2" xfId="1477"/>
    <cellStyle name="Output 3 6 2 2" xfId="10805"/>
    <cellStyle name="Output 3 6 2 2 2" xfId="24111"/>
    <cellStyle name="Output 3 6 2 3" xfId="15215"/>
    <cellStyle name="Output 3 6 2 3 2" xfId="28521"/>
    <cellStyle name="Output 3 6 2 4" xfId="19701"/>
    <cellStyle name="Output 3 6 2_Table" xfId="7808"/>
    <cellStyle name="Output 3 6 3" xfId="1837"/>
    <cellStyle name="Output 3 6 3 2" xfId="11165"/>
    <cellStyle name="Output 3 6 3 2 2" xfId="24471"/>
    <cellStyle name="Output 3 6 3 3" xfId="15575"/>
    <cellStyle name="Output 3 6 3 3 2" xfId="28881"/>
    <cellStyle name="Output 3 6 3 4" xfId="20061"/>
    <cellStyle name="Output 3 6 3_Table" xfId="7809"/>
    <cellStyle name="Output 3 6 4" xfId="2267"/>
    <cellStyle name="Output 3 6 4 2" xfId="11595"/>
    <cellStyle name="Output 3 6 4 2 2" xfId="24901"/>
    <cellStyle name="Output 3 6 4 3" xfId="16005"/>
    <cellStyle name="Output 3 6 4 3 2" xfId="29311"/>
    <cellStyle name="Output 3 6 4 4" xfId="20491"/>
    <cellStyle name="Output 3 6 4_Table" xfId="7810"/>
    <cellStyle name="Output 3 6 5" xfId="2705"/>
    <cellStyle name="Output 3 6 5 2" xfId="12033"/>
    <cellStyle name="Output 3 6 5 2 2" xfId="25339"/>
    <cellStyle name="Output 3 6 5 3" xfId="16443"/>
    <cellStyle name="Output 3 6 5 3 2" xfId="29749"/>
    <cellStyle name="Output 3 6 5 4" xfId="20929"/>
    <cellStyle name="Output 3 6 5_Table" xfId="7811"/>
    <cellStyle name="Output 3 6 6" xfId="3112"/>
    <cellStyle name="Output 3 6 6 2" xfId="12440"/>
    <cellStyle name="Output 3 6 6 2 2" xfId="25746"/>
    <cellStyle name="Output 3 6 6 3" xfId="16850"/>
    <cellStyle name="Output 3 6 6 3 2" xfId="30156"/>
    <cellStyle name="Output 3 6 6 4" xfId="21336"/>
    <cellStyle name="Output 3 6 6_Table" xfId="7812"/>
    <cellStyle name="Output 3 6 7" xfId="3704"/>
    <cellStyle name="Output 3 6 7 2" xfId="13032"/>
    <cellStyle name="Output 3 6 7 2 2" xfId="26338"/>
    <cellStyle name="Output 3 6 7 3" xfId="17442"/>
    <cellStyle name="Output 3 6 7 3 2" xfId="30748"/>
    <cellStyle name="Output 3 6 7 4" xfId="21928"/>
    <cellStyle name="Output 3 6 7_Table" xfId="7813"/>
    <cellStyle name="Output 3 6 8" xfId="3929"/>
    <cellStyle name="Output 3 6 8 2" xfId="13257"/>
    <cellStyle name="Output 3 6 8 2 2" xfId="26563"/>
    <cellStyle name="Output 3 6 8 3" xfId="17667"/>
    <cellStyle name="Output 3 6 8 3 2" xfId="30973"/>
    <cellStyle name="Output 3 6 8 4" xfId="22153"/>
    <cellStyle name="Output 3 6 8_Table" xfId="7814"/>
    <cellStyle name="Output 3 6 9" xfId="4290"/>
    <cellStyle name="Output 3 6 9 2" xfId="13618"/>
    <cellStyle name="Output 3 6 9 2 2" xfId="26924"/>
    <cellStyle name="Output 3 6 9 3" xfId="18028"/>
    <cellStyle name="Output 3 6 9 3 2" xfId="31334"/>
    <cellStyle name="Output 3 6 9 4" xfId="22514"/>
    <cellStyle name="Output 3 6 9_Table" xfId="7815"/>
    <cellStyle name="Output 3 6_Table" xfId="7806"/>
    <cellStyle name="Output 3 7" xfId="1185"/>
    <cellStyle name="Output 3 7 2" xfId="10513"/>
    <cellStyle name="Output 3 7 2 2" xfId="23819"/>
    <cellStyle name="Output 3 7 3" xfId="14923"/>
    <cellStyle name="Output 3 7 3 2" xfId="28229"/>
    <cellStyle name="Output 3 7 4" xfId="19409"/>
    <cellStyle name="Output 3 7_Table" xfId="7816"/>
    <cellStyle name="Output 3 8" xfId="1059"/>
    <cellStyle name="Output 3 8 2" xfId="10387"/>
    <cellStyle name="Output 3 8 2 2" xfId="23693"/>
    <cellStyle name="Output 3 8 3" xfId="14797"/>
    <cellStyle name="Output 3 8 3 2" xfId="28103"/>
    <cellStyle name="Output 3 8 4" xfId="19283"/>
    <cellStyle name="Output 3 8_Table" xfId="7817"/>
    <cellStyle name="Output 3 9" xfId="1316"/>
    <cellStyle name="Output 3 9 2" xfId="10644"/>
    <cellStyle name="Output 3 9 2 2" xfId="23950"/>
    <cellStyle name="Output 3 9 3" xfId="15054"/>
    <cellStyle name="Output 3 9 3 2" xfId="28360"/>
    <cellStyle name="Output 3 9 4" xfId="19540"/>
    <cellStyle name="Output 3 9_Table" xfId="7818"/>
    <cellStyle name="Output 3_Table" xfId="7719"/>
    <cellStyle name="Output 4" xfId="352"/>
    <cellStyle name="Output 4 10" xfId="1733"/>
    <cellStyle name="Output 4 10 2" xfId="11061"/>
    <cellStyle name="Output 4 10 2 2" xfId="24367"/>
    <cellStyle name="Output 4 10 3" xfId="15471"/>
    <cellStyle name="Output 4 10 3 2" xfId="28777"/>
    <cellStyle name="Output 4 10 4" xfId="19957"/>
    <cellStyle name="Output 4 10_Table" xfId="7820"/>
    <cellStyle name="Output 4 11" xfId="2167"/>
    <cellStyle name="Output 4 11 2" xfId="11495"/>
    <cellStyle name="Output 4 11 2 2" xfId="24801"/>
    <cellStyle name="Output 4 11 3" xfId="15905"/>
    <cellStyle name="Output 4 11 3 2" xfId="29211"/>
    <cellStyle name="Output 4 11 4" xfId="20391"/>
    <cellStyle name="Output 4 11_Table" xfId="7821"/>
    <cellStyle name="Output 4 12" xfId="2599"/>
    <cellStyle name="Output 4 12 2" xfId="11927"/>
    <cellStyle name="Output 4 12 2 2" xfId="25233"/>
    <cellStyle name="Output 4 12 3" xfId="16337"/>
    <cellStyle name="Output 4 12 3 2" xfId="29643"/>
    <cellStyle name="Output 4 12 4" xfId="20823"/>
    <cellStyle name="Output 4 12_Table" xfId="7822"/>
    <cellStyle name="Output 4 13" xfId="1384"/>
    <cellStyle name="Output 4 13 2" xfId="10712"/>
    <cellStyle name="Output 4 13 2 2" xfId="24018"/>
    <cellStyle name="Output 4 13 3" xfId="15122"/>
    <cellStyle name="Output 4 13 3 2" xfId="28428"/>
    <cellStyle name="Output 4 13 4" xfId="19608"/>
    <cellStyle name="Output 4 13_Table" xfId="7823"/>
    <cellStyle name="Output 4 14" xfId="3580"/>
    <cellStyle name="Output 4 14 2" xfId="12908"/>
    <cellStyle name="Output 4 14 2 2" xfId="26214"/>
    <cellStyle name="Output 4 14 3" xfId="17318"/>
    <cellStyle name="Output 4 14 3 2" xfId="30624"/>
    <cellStyle name="Output 4 14 4" xfId="21804"/>
    <cellStyle name="Output 4 14_Table" xfId="7824"/>
    <cellStyle name="Output 4 15" xfId="3632"/>
    <cellStyle name="Output 4 15 2" xfId="12960"/>
    <cellStyle name="Output 4 15 2 2" xfId="26266"/>
    <cellStyle name="Output 4 15 3" xfId="17370"/>
    <cellStyle name="Output 4 15 3 2" xfId="30676"/>
    <cellStyle name="Output 4 15 4" xfId="21856"/>
    <cellStyle name="Output 4 15_Table" xfId="7825"/>
    <cellStyle name="Output 4 16" xfId="9680"/>
    <cellStyle name="Output 4 16 2" xfId="23101"/>
    <cellStyle name="Output 4 17" xfId="14205"/>
    <cellStyle name="Output 4 17 2" xfId="27511"/>
    <cellStyle name="Output 4 18" xfId="18691"/>
    <cellStyle name="Output 4 2" xfId="423"/>
    <cellStyle name="Output 4 2 10" xfId="1223"/>
    <cellStyle name="Output 4 2 10 2" xfId="10551"/>
    <cellStyle name="Output 4 2 10 2 2" xfId="23857"/>
    <cellStyle name="Output 4 2 10 3" xfId="14961"/>
    <cellStyle name="Output 4 2 10 3 2" xfId="28267"/>
    <cellStyle name="Output 4 2 10 4" xfId="19447"/>
    <cellStyle name="Output 4 2 10_Table" xfId="7827"/>
    <cellStyle name="Output 4 2 11" xfId="1396"/>
    <cellStyle name="Output 4 2 11 2" xfId="10724"/>
    <cellStyle name="Output 4 2 11 2 2" xfId="24030"/>
    <cellStyle name="Output 4 2 11 3" xfId="15134"/>
    <cellStyle name="Output 4 2 11 3 2" xfId="28440"/>
    <cellStyle name="Output 4 2 11 4" xfId="19620"/>
    <cellStyle name="Output 4 2 11_Table" xfId="7828"/>
    <cellStyle name="Output 4 2 12" xfId="9751"/>
    <cellStyle name="Output 4 2 12 2" xfId="23146"/>
    <cellStyle name="Output 4 2 13" xfId="14250"/>
    <cellStyle name="Output 4 2 13 2" xfId="27556"/>
    <cellStyle name="Output 4 2 14" xfId="18736"/>
    <cellStyle name="Output 4 2 2" xfId="737"/>
    <cellStyle name="Output 4 2 2 10" xfId="4697"/>
    <cellStyle name="Output 4 2 2 10 2" xfId="14025"/>
    <cellStyle name="Output 4 2 2 10 2 2" xfId="27331"/>
    <cellStyle name="Output 4 2 2 10 3" xfId="18435"/>
    <cellStyle name="Output 4 2 2 10 3 2" xfId="31741"/>
    <cellStyle name="Output 4 2 2 10 4" xfId="22921"/>
    <cellStyle name="Output 4 2 2 10_Table" xfId="7830"/>
    <cellStyle name="Output 4 2 2 11" xfId="10065"/>
    <cellStyle name="Output 4 2 2 11 2" xfId="23371"/>
    <cellStyle name="Output 4 2 2 12" xfId="14475"/>
    <cellStyle name="Output 4 2 2 12 2" xfId="27781"/>
    <cellStyle name="Output 4 2 2 13" xfId="18961"/>
    <cellStyle name="Output 4 2 2 2" xfId="1523"/>
    <cellStyle name="Output 4 2 2 2 2" xfId="10851"/>
    <cellStyle name="Output 4 2 2 2 2 2" xfId="24157"/>
    <cellStyle name="Output 4 2 2 2 3" xfId="15261"/>
    <cellStyle name="Output 4 2 2 2 3 2" xfId="28567"/>
    <cellStyle name="Output 4 2 2 2 4" xfId="19747"/>
    <cellStyle name="Output 4 2 2 2_Table" xfId="7831"/>
    <cellStyle name="Output 4 2 2 3" xfId="1883"/>
    <cellStyle name="Output 4 2 2 3 2" xfId="11211"/>
    <cellStyle name="Output 4 2 2 3 2 2" xfId="24517"/>
    <cellStyle name="Output 4 2 2 3 3" xfId="15621"/>
    <cellStyle name="Output 4 2 2 3 3 2" xfId="28927"/>
    <cellStyle name="Output 4 2 2 3 4" xfId="20107"/>
    <cellStyle name="Output 4 2 2 3_Table" xfId="7832"/>
    <cellStyle name="Output 4 2 2 4" xfId="2313"/>
    <cellStyle name="Output 4 2 2 4 2" xfId="11641"/>
    <cellStyle name="Output 4 2 2 4 2 2" xfId="24947"/>
    <cellStyle name="Output 4 2 2 4 3" xfId="16051"/>
    <cellStyle name="Output 4 2 2 4 3 2" xfId="29357"/>
    <cellStyle name="Output 4 2 2 4 4" xfId="20537"/>
    <cellStyle name="Output 4 2 2 4_Table" xfId="7833"/>
    <cellStyle name="Output 4 2 2 5" xfId="2751"/>
    <cellStyle name="Output 4 2 2 5 2" xfId="12079"/>
    <cellStyle name="Output 4 2 2 5 2 2" xfId="25385"/>
    <cellStyle name="Output 4 2 2 5 3" xfId="16489"/>
    <cellStyle name="Output 4 2 2 5 3 2" xfId="29795"/>
    <cellStyle name="Output 4 2 2 5 4" xfId="20975"/>
    <cellStyle name="Output 4 2 2 5_Table" xfId="7834"/>
    <cellStyle name="Output 4 2 2 6" xfId="3158"/>
    <cellStyle name="Output 4 2 2 6 2" xfId="12486"/>
    <cellStyle name="Output 4 2 2 6 2 2" xfId="25792"/>
    <cellStyle name="Output 4 2 2 6 3" xfId="16896"/>
    <cellStyle name="Output 4 2 2 6 3 2" xfId="30202"/>
    <cellStyle name="Output 4 2 2 6 4" xfId="21382"/>
    <cellStyle name="Output 4 2 2 6_Table" xfId="7835"/>
    <cellStyle name="Output 4 2 2 7" xfId="3750"/>
    <cellStyle name="Output 4 2 2 7 2" xfId="13078"/>
    <cellStyle name="Output 4 2 2 7 2 2" xfId="26384"/>
    <cellStyle name="Output 4 2 2 7 3" xfId="17488"/>
    <cellStyle name="Output 4 2 2 7 3 2" xfId="30794"/>
    <cellStyle name="Output 4 2 2 7 4" xfId="21974"/>
    <cellStyle name="Output 4 2 2 7_Table" xfId="7836"/>
    <cellStyle name="Output 4 2 2 8" xfId="3975"/>
    <cellStyle name="Output 4 2 2 8 2" xfId="13303"/>
    <cellStyle name="Output 4 2 2 8 2 2" xfId="26609"/>
    <cellStyle name="Output 4 2 2 8 3" xfId="17713"/>
    <cellStyle name="Output 4 2 2 8 3 2" xfId="31019"/>
    <cellStyle name="Output 4 2 2 8 4" xfId="22199"/>
    <cellStyle name="Output 4 2 2 8_Table" xfId="7837"/>
    <cellStyle name="Output 4 2 2 9" xfId="4336"/>
    <cellStyle name="Output 4 2 2 9 2" xfId="13664"/>
    <cellStyle name="Output 4 2 2 9 2 2" xfId="26970"/>
    <cellStyle name="Output 4 2 2 9 3" xfId="18074"/>
    <cellStyle name="Output 4 2 2 9 3 2" xfId="31380"/>
    <cellStyle name="Output 4 2 2 9 4" xfId="22560"/>
    <cellStyle name="Output 4 2 2 9_Table" xfId="7838"/>
    <cellStyle name="Output 4 2 2_Table" xfId="7829"/>
    <cellStyle name="Output 4 2 3" xfId="1237"/>
    <cellStyle name="Output 4 2 3 2" xfId="10565"/>
    <cellStyle name="Output 4 2 3 2 2" xfId="23871"/>
    <cellStyle name="Output 4 2 3 3" xfId="14975"/>
    <cellStyle name="Output 4 2 3 3 2" xfId="28281"/>
    <cellStyle name="Output 4 2 3 4" xfId="19461"/>
    <cellStyle name="Output 4 2 3_Table" xfId="7839"/>
    <cellStyle name="Output 4 2 4" xfId="989"/>
    <cellStyle name="Output 4 2 4 2" xfId="10317"/>
    <cellStyle name="Output 4 2 4 2 2" xfId="23623"/>
    <cellStyle name="Output 4 2 4 3" xfId="14727"/>
    <cellStyle name="Output 4 2 4 3 2" xfId="28033"/>
    <cellStyle name="Output 4 2 4 4" xfId="19213"/>
    <cellStyle name="Output 4 2 4_Table" xfId="7840"/>
    <cellStyle name="Output 4 2 5" xfId="1309"/>
    <cellStyle name="Output 4 2 5 2" xfId="10637"/>
    <cellStyle name="Output 4 2 5 2 2" xfId="23943"/>
    <cellStyle name="Output 4 2 5 3" xfId="15047"/>
    <cellStyle name="Output 4 2 5 3 2" xfId="28353"/>
    <cellStyle name="Output 4 2 5 4" xfId="19533"/>
    <cellStyle name="Output 4 2 5_Table" xfId="7841"/>
    <cellStyle name="Output 4 2 6" xfId="1196"/>
    <cellStyle name="Output 4 2 6 2" xfId="10524"/>
    <cellStyle name="Output 4 2 6 2 2" xfId="23830"/>
    <cellStyle name="Output 4 2 6 3" xfId="14934"/>
    <cellStyle name="Output 4 2 6 3 2" xfId="28240"/>
    <cellStyle name="Output 4 2 6 4" xfId="19420"/>
    <cellStyle name="Output 4 2 6_Table" xfId="7842"/>
    <cellStyle name="Output 4 2 7" xfId="1032"/>
    <cellStyle name="Output 4 2 7 2" xfId="10360"/>
    <cellStyle name="Output 4 2 7 2 2" xfId="23666"/>
    <cellStyle name="Output 4 2 7 3" xfId="14770"/>
    <cellStyle name="Output 4 2 7 3 2" xfId="28076"/>
    <cellStyle name="Output 4 2 7 4" xfId="19256"/>
    <cellStyle name="Output 4 2 7_Table" xfId="7843"/>
    <cellStyle name="Output 4 2 8" xfId="1442"/>
    <cellStyle name="Output 4 2 8 2" xfId="10770"/>
    <cellStyle name="Output 4 2 8 2 2" xfId="24076"/>
    <cellStyle name="Output 4 2 8 3" xfId="15180"/>
    <cellStyle name="Output 4 2 8 3 2" xfId="28486"/>
    <cellStyle name="Output 4 2 8 4" xfId="19666"/>
    <cellStyle name="Output 4 2 8_Table" xfId="7844"/>
    <cellStyle name="Output 4 2 9" xfId="3552"/>
    <cellStyle name="Output 4 2 9 2" xfId="12880"/>
    <cellStyle name="Output 4 2 9 2 2" xfId="26186"/>
    <cellStyle name="Output 4 2 9 3" xfId="17290"/>
    <cellStyle name="Output 4 2 9 3 2" xfId="30596"/>
    <cellStyle name="Output 4 2 9 4" xfId="21776"/>
    <cellStyle name="Output 4 2 9_Table" xfId="7845"/>
    <cellStyle name="Output 4 2_Table" xfId="7826"/>
    <cellStyle name="Output 4 3" xfId="491"/>
    <cellStyle name="Output 4 3 10" xfId="4156"/>
    <cellStyle name="Output 4 3 10 2" xfId="13484"/>
    <cellStyle name="Output 4 3 10 2 2" xfId="26790"/>
    <cellStyle name="Output 4 3 10 3" xfId="17894"/>
    <cellStyle name="Output 4 3 10 3 2" xfId="31200"/>
    <cellStyle name="Output 4 3 10 4" xfId="22380"/>
    <cellStyle name="Output 4 3 10_Table" xfId="7847"/>
    <cellStyle name="Output 4 3 11" xfId="4517"/>
    <cellStyle name="Output 4 3 11 2" xfId="13845"/>
    <cellStyle name="Output 4 3 11 2 2" xfId="27151"/>
    <cellStyle name="Output 4 3 11 3" xfId="18255"/>
    <cellStyle name="Output 4 3 11 3 2" xfId="31561"/>
    <cellStyle name="Output 4 3 11 4" xfId="22741"/>
    <cellStyle name="Output 4 3 11_Table" xfId="7848"/>
    <cellStyle name="Output 4 3 12" xfId="9819"/>
    <cellStyle name="Output 4 3 12 2" xfId="23191"/>
    <cellStyle name="Output 4 3 13" xfId="14295"/>
    <cellStyle name="Output 4 3 13 2" xfId="27601"/>
    <cellStyle name="Output 4 3 14" xfId="18781"/>
    <cellStyle name="Output 4 3 2" xfId="782"/>
    <cellStyle name="Output 4 3 2 10" xfId="4742"/>
    <cellStyle name="Output 4 3 2 10 2" xfId="14070"/>
    <cellStyle name="Output 4 3 2 10 2 2" xfId="27376"/>
    <cellStyle name="Output 4 3 2 10 3" xfId="18480"/>
    <cellStyle name="Output 4 3 2 10 3 2" xfId="31786"/>
    <cellStyle name="Output 4 3 2 10 4" xfId="22966"/>
    <cellStyle name="Output 4 3 2 10_Table" xfId="7850"/>
    <cellStyle name="Output 4 3 2 11" xfId="10110"/>
    <cellStyle name="Output 4 3 2 11 2" xfId="23416"/>
    <cellStyle name="Output 4 3 2 12" xfId="14520"/>
    <cellStyle name="Output 4 3 2 12 2" xfId="27826"/>
    <cellStyle name="Output 4 3 2 13" xfId="19006"/>
    <cellStyle name="Output 4 3 2 2" xfId="1568"/>
    <cellStyle name="Output 4 3 2 2 2" xfId="10896"/>
    <cellStyle name="Output 4 3 2 2 2 2" xfId="24202"/>
    <cellStyle name="Output 4 3 2 2 3" xfId="15306"/>
    <cellStyle name="Output 4 3 2 2 3 2" xfId="28612"/>
    <cellStyle name="Output 4 3 2 2 4" xfId="19792"/>
    <cellStyle name="Output 4 3 2 2_Table" xfId="7851"/>
    <cellStyle name="Output 4 3 2 3" xfId="1928"/>
    <cellStyle name="Output 4 3 2 3 2" xfId="11256"/>
    <cellStyle name="Output 4 3 2 3 2 2" xfId="24562"/>
    <cellStyle name="Output 4 3 2 3 3" xfId="15666"/>
    <cellStyle name="Output 4 3 2 3 3 2" xfId="28972"/>
    <cellStyle name="Output 4 3 2 3 4" xfId="20152"/>
    <cellStyle name="Output 4 3 2 3_Table" xfId="7852"/>
    <cellStyle name="Output 4 3 2 4" xfId="2358"/>
    <cellStyle name="Output 4 3 2 4 2" xfId="11686"/>
    <cellStyle name="Output 4 3 2 4 2 2" xfId="24992"/>
    <cellStyle name="Output 4 3 2 4 3" xfId="16096"/>
    <cellStyle name="Output 4 3 2 4 3 2" xfId="29402"/>
    <cellStyle name="Output 4 3 2 4 4" xfId="20582"/>
    <cellStyle name="Output 4 3 2 4_Table" xfId="7853"/>
    <cellStyle name="Output 4 3 2 5" xfId="2796"/>
    <cellStyle name="Output 4 3 2 5 2" xfId="12124"/>
    <cellStyle name="Output 4 3 2 5 2 2" xfId="25430"/>
    <cellStyle name="Output 4 3 2 5 3" xfId="16534"/>
    <cellStyle name="Output 4 3 2 5 3 2" xfId="29840"/>
    <cellStyle name="Output 4 3 2 5 4" xfId="21020"/>
    <cellStyle name="Output 4 3 2 5_Table" xfId="7854"/>
    <cellStyle name="Output 4 3 2 6" xfId="3203"/>
    <cellStyle name="Output 4 3 2 6 2" xfId="12531"/>
    <cellStyle name="Output 4 3 2 6 2 2" xfId="25837"/>
    <cellStyle name="Output 4 3 2 6 3" xfId="16941"/>
    <cellStyle name="Output 4 3 2 6 3 2" xfId="30247"/>
    <cellStyle name="Output 4 3 2 6 4" xfId="21427"/>
    <cellStyle name="Output 4 3 2 6_Table" xfId="7855"/>
    <cellStyle name="Output 4 3 2 7" xfId="3795"/>
    <cellStyle name="Output 4 3 2 7 2" xfId="13123"/>
    <cellStyle name="Output 4 3 2 7 2 2" xfId="26429"/>
    <cellStyle name="Output 4 3 2 7 3" xfId="17533"/>
    <cellStyle name="Output 4 3 2 7 3 2" xfId="30839"/>
    <cellStyle name="Output 4 3 2 7 4" xfId="22019"/>
    <cellStyle name="Output 4 3 2 7_Table" xfId="7856"/>
    <cellStyle name="Output 4 3 2 8" xfId="4020"/>
    <cellStyle name="Output 4 3 2 8 2" xfId="13348"/>
    <cellStyle name="Output 4 3 2 8 2 2" xfId="26654"/>
    <cellStyle name="Output 4 3 2 8 3" xfId="17758"/>
    <cellStyle name="Output 4 3 2 8 3 2" xfId="31064"/>
    <cellStyle name="Output 4 3 2 8 4" xfId="22244"/>
    <cellStyle name="Output 4 3 2 8_Table" xfId="7857"/>
    <cellStyle name="Output 4 3 2 9" xfId="4381"/>
    <cellStyle name="Output 4 3 2 9 2" xfId="13709"/>
    <cellStyle name="Output 4 3 2 9 2 2" xfId="27015"/>
    <cellStyle name="Output 4 3 2 9 3" xfId="18119"/>
    <cellStyle name="Output 4 3 2 9 3 2" xfId="31425"/>
    <cellStyle name="Output 4 3 2 9 4" xfId="22605"/>
    <cellStyle name="Output 4 3 2 9_Table" xfId="7858"/>
    <cellStyle name="Output 4 3 2_Table" xfId="7849"/>
    <cellStyle name="Output 4 3 3" xfId="1294"/>
    <cellStyle name="Output 4 3 3 2" xfId="10622"/>
    <cellStyle name="Output 4 3 3 2 2" xfId="23928"/>
    <cellStyle name="Output 4 3 3 3" xfId="15032"/>
    <cellStyle name="Output 4 3 3 3 2" xfId="28338"/>
    <cellStyle name="Output 4 3 3 4" xfId="19518"/>
    <cellStyle name="Output 4 3 3_Table" xfId="7859"/>
    <cellStyle name="Output 4 3 4" xfId="923"/>
    <cellStyle name="Output 4 3 4 2" xfId="10251"/>
    <cellStyle name="Output 4 3 4 2 2" xfId="23557"/>
    <cellStyle name="Output 4 3 4 3" xfId="14661"/>
    <cellStyle name="Output 4 3 4 3 2" xfId="27967"/>
    <cellStyle name="Output 4 3 4 4" xfId="19147"/>
    <cellStyle name="Output 4 3 4_Table" xfId="7860"/>
    <cellStyle name="Output 4 3 5" xfId="2082"/>
    <cellStyle name="Output 4 3 5 2" xfId="11410"/>
    <cellStyle name="Output 4 3 5 2 2" xfId="24716"/>
    <cellStyle name="Output 4 3 5 3" xfId="15820"/>
    <cellStyle name="Output 4 3 5 3 2" xfId="29126"/>
    <cellStyle name="Output 4 3 5 4" xfId="20306"/>
    <cellStyle name="Output 4 3 5_Table" xfId="7861"/>
    <cellStyle name="Output 4 3 6" xfId="2514"/>
    <cellStyle name="Output 4 3 6 2" xfId="11842"/>
    <cellStyle name="Output 4 3 6 2 2" xfId="25148"/>
    <cellStyle name="Output 4 3 6 3" xfId="16252"/>
    <cellStyle name="Output 4 3 6 3 2" xfId="29558"/>
    <cellStyle name="Output 4 3 6 4" xfId="20738"/>
    <cellStyle name="Output 4 3 6_Table" xfId="7862"/>
    <cellStyle name="Output 4 3 7" xfId="2942"/>
    <cellStyle name="Output 4 3 7 2" xfId="12270"/>
    <cellStyle name="Output 4 3 7 2 2" xfId="25576"/>
    <cellStyle name="Output 4 3 7 3" xfId="16680"/>
    <cellStyle name="Output 4 3 7 3 2" xfId="29986"/>
    <cellStyle name="Output 4 3 7 4" xfId="21166"/>
    <cellStyle name="Output 4 3 7_Table" xfId="7863"/>
    <cellStyle name="Output 4 3 8" xfId="3355"/>
    <cellStyle name="Output 4 3 8 2" xfId="12683"/>
    <cellStyle name="Output 4 3 8 2 2" xfId="25989"/>
    <cellStyle name="Output 4 3 8 3" xfId="17093"/>
    <cellStyle name="Output 4 3 8 3 2" xfId="30399"/>
    <cellStyle name="Output 4 3 8 4" xfId="21579"/>
    <cellStyle name="Output 4 3 8_Table" xfId="7864"/>
    <cellStyle name="Output 4 3 9" xfId="3400"/>
    <cellStyle name="Output 4 3 9 2" xfId="12728"/>
    <cellStyle name="Output 4 3 9 2 2" xfId="26034"/>
    <cellStyle name="Output 4 3 9 3" xfId="17138"/>
    <cellStyle name="Output 4 3 9 3 2" xfId="30444"/>
    <cellStyle name="Output 4 3 9 4" xfId="21624"/>
    <cellStyle name="Output 4 3 9_Table" xfId="7865"/>
    <cellStyle name="Output 4 3_Table" xfId="7846"/>
    <cellStyle name="Output 4 4" xfId="555"/>
    <cellStyle name="Output 4 4 10" xfId="4201"/>
    <cellStyle name="Output 4 4 10 2" xfId="13529"/>
    <cellStyle name="Output 4 4 10 2 2" xfId="26835"/>
    <cellStyle name="Output 4 4 10 3" xfId="17939"/>
    <cellStyle name="Output 4 4 10 3 2" xfId="31245"/>
    <cellStyle name="Output 4 4 10 4" xfId="22425"/>
    <cellStyle name="Output 4 4 10_Table" xfId="7867"/>
    <cellStyle name="Output 4 4 11" xfId="4562"/>
    <cellStyle name="Output 4 4 11 2" xfId="13890"/>
    <cellStyle name="Output 4 4 11 2 2" xfId="27196"/>
    <cellStyle name="Output 4 4 11 3" xfId="18300"/>
    <cellStyle name="Output 4 4 11 3 2" xfId="31606"/>
    <cellStyle name="Output 4 4 11 4" xfId="22786"/>
    <cellStyle name="Output 4 4 11_Table" xfId="7868"/>
    <cellStyle name="Output 4 4 12" xfId="9883"/>
    <cellStyle name="Output 4 4 12 2" xfId="23236"/>
    <cellStyle name="Output 4 4 13" xfId="14340"/>
    <cellStyle name="Output 4 4 13 2" xfId="27646"/>
    <cellStyle name="Output 4 4 14" xfId="18826"/>
    <cellStyle name="Output 4 4 2" xfId="827"/>
    <cellStyle name="Output 4 4 2 10" xfId="4787"/>
    <cellStyle name="Output 4 4 2 10 2" xfId="14115"/>
    <cellStyle name="Output 4 4 2 10 2 2" xfId="27421"/>
    <cellStyle name="Output 4 4 2 10 3" xfId="18525"/>
    <cellStyle name="Output 4 4 2 10 3 2" xfId="31831"/>
    <cellStyle name="Output 4 4 2 10 4" xfId="23011"/>
    <cellStyle name="Output 4 4 2 10_Table" xfId="7870"/>
    <cellStyle name="Output 4 4 2 11" xfId="10155"/>
    <cellStyle name="Output 4 4 2 11 2" xfId="23461"/>
    <cellStyle name="Output 4 4 2 12" xfId="14565"/>
    <cellStyle name="Output 4 4 2 12 2" xfId="27871"/>
    <cellStyle name="Output 4 4 2 13" xfId="19051"/>
    <cellStyle name="Output 4 4 2 2" xfId="1613"/>
    <cellStyle name="Output 4 4 2 2 2" xfId="10941"/>
    <cellStyle name="Output 4 4 2 2 2 2" xfId="24247"/>
    <cellStyle name="Output 4 4 2 2 3" xfId="15351"/>
    <cellStyle name="Output 4 4 2 2 3 2" xfId="28657"/>
    <cellStyle name="Output 4 4 2 2 4" xfId="19837"/>
    <cellStyle name="Output 4 4 2 2_Table" xfId="7871"/>
    <cellStyle name="Output 4 4 2 3" xfId="1973"/>
    <cellStyle name="Output 4 4 2 3 2" xfId="11301"/>
    <cellStyle name="Output 4 4 2 3 2 2" xfId="24607"/>
    <cellStyle name="Output 4 4 2 3 3" xfId="15711"/>
    <cellStyle name="Output 4 4 2 3 3 2" xfId="29017"/>
    <cellStyle name="Output 4 4 2 3 4" xfId="20197"/>
    <cellStyle name="Output 4 4 2 3_Table" xfId="7872"/>
    <cellStyle name="Output 4 4 2 4" xfId="2403"/>
    <cellStyle name="Output 4 4 2 4 2" xfId="11731"/>
    <cellStyle name="Output 4 4 2 4 2 2" xfId="25037"/>
    <cellStyle name="Output 4 4 2 4 3" xfId="16141"/>
    <cellStyle name="Output 4 4 2 4 3 2" xfId="29447"/>
    <cellStyle name="Output 4 4 2 4 4" xfId="20627"/>
    <cellStyle name="Output 4 4 2 4_Table" xfId="7873"/>
    <cellStyle name="Output 4 4 2 5" xfId="2841"/>
    <cellStyle name="Output 4 4 2 5 2" xfId="12169"/>
    <cellStyle name="Output 4 4 2 5 2 2" xfId="25475"/>
    <cellStyle name="Output 4 4 2 5 3" xfId="16579"/>
    <cellStyle name="Output 4 4 2 5 3 2" xfId="29885"/>
    <cellStyle name="Output 4 4 2 5 4" xfId="21065"/>
    <cellStyle name="Output 4 4 2 5_Table" xfId="7874"/>
    <cellStyle name="Output 4 4 2 6" xfId="3248"/>
    <cellStyle name="Output 4 4 2 6 2" xfId="12576"/>
    <cellStyle name="Output 4 4 2 6 2 2" xfId="25882"/>
    <cellStyle name="Output 4 4 2 6 3" xfId="16986"/>
    <cellStyle name="Output 4 4 2 6 3 2" xfId="30292"/>
    <cellStyle name="Output 4 4 2 6 4" xfId="21472"/>
    <cellStyle name="Output 4 4 2 6_Table" xfId="7875"/>
    <cellStyle name="Output 4 4 2 7" xfId="3840"/>
    <cellStyle name="Output 4 4 2 7 2" xfId="13168"/>
    <cellStyle name="Output 4 4 2 7 2 2" xfId="26474"/>
    <cellStyle name="Output 4 4 2 7 3" xfId="17578"/>
    <cellStyle name="Output 4 4 2 7 3 2" xfId="30884"/>
    <cellStyle name="Output 4 4 2 7 4" xfId="22064"/>
    <cellStyle name="Output 4 4 2 7_Table" xfId="7876"/>
    <cellStyle name="Output 4 4 2 8" xfId="4065"/>
    <cellStyle name="Output 4 4 2 8 2" xfId="13393"/>
    <cellStyle name="Output 4 4 2 8 2 2" xfId="26699"/>
    <cellStyle name="Output 4 4 2 8 3" xfId="17803"/>
    <cellStyle name="Output 4 4 2 8 3 2" xfId="31109"/>
    <cellStyle name="Output 4 4 2 8 4" xfId="22289"/>
    <cellStyle name="Output 4 4 2 8_Table" xfId="7877"/>
    <cellStyle name="Output 4 4 2 9" xfId="4426"/>
    <cellStyle name="Output 4 4 2 9 2" xfId="13754"/>
    <cellStyle name="Output 4 4 2 9 2 2" xfId="27060"/>
    <cellStyle name="Output 4 4 2 9 3" xfId="18164"/>
    <cellStyle name="Output 4 4 2 9 3 2" xfId="31470"/>
    <cellStyle name="Output 4 4 2 9 4" xfId="22650"/>
    <cellStyle name="Output 4 4 2 9_Table" xfId="7878"/>
    <cellStyle name="Output 4 4 2_Table" xfId="7869"/>
    <cellStyle name="Output 4 4 3" xfId="1350"/>
    <cellStyle name="Output 4 4 3 2" xfId="10678"/>
    <cellStyle name="Output 4 4 3 2 2" xfId="23984"/>
    <cellStyle name="Output 4 4 3 3" xfId="15088"/>
    <cellStyle name="Output 4 4 3 3 2" xfId="28394"/>
    <cellStyle name="Output 4 4 3 4" xfId="19574"/>
    <cellStyle name="Output 4 4 3_Table" xfId="7879"/>
    <cellStyle name="Output 4 4 4" xfId="1707"/>
    <cellStyle name="Output 4 4 4 2" xfId="11035"/>
    <cellStyle name="Output 4 4 4 2 2" xfId="24341"/>
    <cellStyle name="Output 4 4 4 3" xfId="15445"/>
    <cellStyle name="Output 4 4 4 3 2" xfId="28751"/>
    <cellStyle name="Output 4 4 4 4" xfId="19931"/>
    <cellStyle name="Output 4 4 4_Table" xfId="7880"/>
    <cellStyle name="Output 4 4 5" xfId="2141"/>
    <cellStyle name="Output 4 4 5 2" xfId="11469"/>
    <cellStyle name="Output 4 4 5 2 2" xfId="24775"/>
    <cellStyle name="Output 4 4 5 3" xfId="15879"/>
    <cellStyle name="Output 4 4 5 3 2" xfId="29185"/>
    <cellStyle name="Output 4 4 5 4" xfId="20365"/>
    <cellStyle name="Output 4 4 5_Table" xfId="7881"/>
    <cellStyle name="Output 4 4 6" xfId="2573"/>
    <cellStyle name="Output 4 4 6 2" xfId="11901"/>
    <cellStyle name="Output 4 4 6 2 2" xfId="25207"/>
    <cellStyle name="Output 4 4 6 3" xfId="16311"/>
    <cellStyle name="Output 4 4 6 3 2" xfId="29617"/>
    <cellStyle name="Output 4 4 6 4" xfId="20797"/>
    <cellStyle name="Output 4 4 6_Table" xfId="7882"/>
    <cellStyle name="Output 4 4 7" xfId="2999"/>
    <cellStyle name="Output 4 4 7 2" xfId="12327"/>
    <cellStyle name="Output 4 4 7 2 2" xfId="25633"/>
    <cellStyle name="Output 4 4 7 3" xfId="16737"/>
    <cellStyle name="Output 4 4 7 3 2" xfId="30043"/>
    <cellStyle name="Output 4 4 7 4" xfId="21223"/>
    <cellStyle name="Output 4 4 7_Table" xfId="7883"/>
    <cellStyle name="Output 4 4 8" xfId="3413"/>
    <cellStyle name="Output 4 4 8 2" xfId="12741"/>
    <cellStyle name="Output 4 4 8 2 2" xfId="26047"/>
    <cellStyle name="Output 4 4 8 3" xfId="17151"/>
    <cellStyle name="Output 4 4 8 3 2" xfId="30457"/>
    <cellStyle name="Output 4 4 8 4" xfId="21637"/>
    <cellStyle name="Output 4 4 8_Table" xfId="7884"/>
    <cellStyle name="Output 4 4 9" xfId="3530"/>
    <cellStyle name="Output 4 4 9 2" xfId="12858"/>
    <cellStyle name="Output 4 4 9 2 2" xfId="26164"/>
    <cellStyle name="Output 4 4 9 3" xfId="17268"/>
    <cellStyle name="Output 4 4 9 3 2" xfId="30574"/>
    <cellStyle name="Output 4 4 9 4" xfId="21754"/>
    <cellStyle name="Output 4 4 9_Table" xfId="7885"/>
    <cellStyle name="Output 4 4_Table" xfId="7866"/>
    <cellStyle name="Output 4 5" xfId="630"/>
    <cellStyle name="Output 4 5 10" xfId="4246"/>
    <cellStyle name="Output 4 5 10 2" xfId="13574"/>
    <cellStyle name="Output 4 5 10 2 2" xfId="26880"/>
    <cellStyle name="Output 4 5 10 3" xfId="17984"/>
    <cellStyle name="Output 4 5 10 3 2" xfId="31290"/>
    <cellStyle name="Output 4 5 10 4" xfId="22470"/>
    <cellStyle name="Output 4 5 10_Table" xfId="7887"/>
    <cellStyle name="Output 4 5 11" xfId="4607"/>
    <cellStyle name="Output 4 5 11 2" xfId="13935"/>
    <cellStyle name="Output 4 5 11 2 2" xfId="27241"/>
    <cellStyle name="Output 4 5 11 3" xfId="18345"/>
    <cellStyle name="Output 4 5 11 3 2" xfId="31651"/>
    <cellStyle name="Output 4 5 11 4" xfId="22831"/>
    <cellStyle name="Output 4 5 11_Table" xfId="7888"/>
    <cellStyle name="Output 4 5 12" xfId="9958"/>
    <cellStyle name="Output 4 5 12 2" xfId="23281"/>
    <cellStyle name="Output 4 5 13" xfId="14385"/>
    <cellStyle name="Output 4 5 13 2" xfId="27691"/>
    <cellStyle name="Output 4 5 14" xfId="18871"/>
    <cellStyle name="Output 4 5 2" xfId="872"/>
    <cellStyle name="Output 4 5 2 10" xfId="4832"/>
    <cellStyle name="Output 4 5 2 10 2" xfId="14160"/>
    <cellStyle name="Output 4 5 2 10 2 2" xfId="27466"/>
    <cellStyle name="Output 4 5 2 10 3" xfId="18570"/>
    <cellStyle name="Output 4 5 2 10 3 2" xfId="31876"/>
    <cellStyle name="Output 4 5 2 10 4" xfId="23056"/>
    <cellStyle name="Output 4 5 2 10_Table" xfId="7890"/>
    <cellStyle name="Output 4 5 2 11" xfId="10200"/>
    <cellStyle name="Output 4 5 2 11 2" xfId="23506"/>
    <cellStyle name="Output 4 5 2 12" xfId="14610"/>
    <cellStyle name="Output 4 5 2 12 2" xfId="27916"/>
    <cellStyle name="Output 4 5 2 13" xfId="19096"/>
    <cellStyle name="Output 4 5 2 2" xfId="1658"/>
    <cellStyle name="Output 4 5 2 2 2" xfId="10986"/>
    <cellStyle name="Output 4 5 2 2 2 2" xfId="24292"/>
    <cellStyle name="Output 4 5 2 2 3" xfId="15396"/>
    <cellStyle name="Output 4 5 2 2 3 2" xfId="28702"/>
    <cellStyle name="Output 4 5 2 2 4" xfId="19882"/>
    <cellStyle name="Output 4 5 2 2_Table" xfId="7891"/>
    <cellStyle name="Output 4 5 2 3" xfId="2018"/>
    <cellStyle name="Output 4 5 2 3 2" xfId="11346"/>
    <cellStyle name="Output 4 5 2 3 2 2" xfId="24652"/>
    <cellStyle name="Output 4 5 2 3 3" xfId="15756"/>
    <cellStyle name="Output 4 5 2 3 3 2" xfId="29062"/>
    <cellStyle name="Output 4 5 2 3 4" xfId="20242"/>
    <cellStyle name="Output 4 5 2 3_Table" xfId="7892"/>
    <cellStyle name="Output 4 5 2 4" xfId="2448"/>
    <cellStyle name="Output 4 5 2 4 2" xfId="11776"/>
    <cellStyle name="Output 4 5 2 4 2 2" xfId="25082"/>
    <cellStyle name="Output 4 5 2 4 3" xfId="16186"/>
    <cellStyle name="Output 4 5 2 4 3 2" xfId="29492"/>
    <cellStyle name="Output 4 5 2 4 4" xfId="20672"/>
    <cellStyle name="Output 4 5 2 4_Table" xfId="7893"/>
    <cellStyle name="Output 4 5 2 5" xfId="2886"/>
    <cellStyle name="Output 4 5 2 5 2" xfId="12214"/>
    <cellStyle name="Output 4 5 2 5 2 2" xfId="25520"/>
    <cellStyle name="Output 4 5 2 5 3" xfId="16624"/>
    <cellStyle name="Output 4 5 2 5 3 2" xfId="29930"/>
    <cellStyle name="Output 4 5 2 5 4" xfId="21110"/>
    <cellStyle name="Output 4 5 2 5_Table" xfId="7894"/>
    <cellStyle name="Output 4 5 2 6" xfId="3293"/>
    <cellStyle name="Output 4 5 2 6 2" xfId="12621"/>
    <cellStyle name="Output 4 5 2 6 2 2" xfId="25927"/>
    <cellStyle name="Output 4 5 2 6 3" xfId="17031"/>
    <cellStyle name="Output 4 5 2 6 3 2" xfId="30337"/>
    <cellStyle name="Output 4 5 2 6 4" xfId="21517"/>
    <cellStyle name="Output 4 5 2 6_Table" xfId="7895"/>
    <cellStyle name="Output 4 5 2 7" xfId="3885"/>
    <cellStyle name="Output 4 5 2 7 2" xfId="13213"/>
    <cellStyle name="Output 4 5 2 7 2 2" xfId="26519"/>
    <cellStyle name="Output 4 5 2 7 3" xfId="17623"/>
    <cellStyle name="Output 4 5 2 7 3 2" xfId="30929"/>
    <cellStyle name="Output 4 5 2 7 4" xfId="22109"/>
    <cellStyle name="Output 4 5 2 7_Table" xfId="7896"/>
    <cellStyle name="Output 4 5 2 8" xfId="4110"/>
    <cellStyle name="Output 4 5 2 8 2" xfId="13438"/>
    <cellStyle name="Output 4 5 2 8 2 2" xfId="26744"/>
    <cellStyle name="Output 4 5 2 8 3" xfId="17848"/>
    <cellStyle name="Output 4 5 2 8 3 2" xfId="31154"/>
    <cellStyle name="Output 4 5 2 8 4" xfId="22334"/>
    <cellStyle name="Output 4 5 2 8_Table" xfId="7897"/>
    <cellStyle name="Output 4 5 2 9" xfId="4471"/>
    <cellStyle name="Output 4 5 2 9 2" xfId="13799"/>
    <cellStyle name="Output 4 5 2 9 2 2" xfId="27105"/>
    <cellStyle name="Output 4 5 2 9 3" xfId="18209"/>
    <cellStyle name="Output 4 5 2 9 3 2" xfId="31515"/>
    <cellStyle name="Output 4 5 2 9 4" xfId="22695"/>
    <cellStyle name="Output 4 5 2 9_Table" xfId="7898"/>
    <cellStyle name="Output 4 5 2_Table" xfId="7889"/>
    <cellStyle name="Output 4 5 3" xfId="1417"/>
    <cellStyle name="Output 4 5 3 2" xfId="10745"/>
    <cellStyle name="Output 4 5 3 2 2" xfId="24051"/>
    <cellStyle name="Output 4 5 3 3" xfId="15155"/>
    <cellStyle name="Output 4 5 3 3 2" xfId="28461"/>
    <cellStyle name="Output 4 5 3 4" xfId="19641"/>
    <cellStyle name="Output 4 5 3_Table" xfId="7899"/>
    <cellStyle name="Output 4 5 4" xfId="1777"/>
    <cellStyle name="Output 4 5 4 2" xfId="11105"/>
    <cellStyle name="Output 4 5 4 2 2" xfId="24411"/>
    <cellStyle name="Output 4 5 4 3" xfId="15515"/>
    <cellStyle name="Output 4 5 4 3 2" xfId="28821"/>
    <cellStyle name="Output 4 5 4 4" xfId="20001"/>
    <cellStyle name="Output 4 5 4_Table" xfId="7900"/>
    <cellStyle name="Output 4 5 5" xfId="2210"/>
    <cellStyle name="Output 4 5 5 2" xfId="11538"/>
    <cellStyle name="Output 4 5 5 2 2" xfId="24844"/>
    <cellStyle name="Output 4 5 5 3" xfId="15948"/>
    <cellStyle name="Output 4 5 5 3 2" xfId="29254"/>
    <cellStyle name="Output 4 5 5 4" xfId="20434"/>
    <cellStyle name="Output 4 5 5_Table" xfId="7901"/>
    <cellStyle name="Output 4 5 6" xfId="2645"/>
    <cellStyle name="Output 4 5 6 2" xfId="11973"/>
    <cellStyle name="Output 4 5 6 2 2" xfId="25279"/>
    <cellStyle name="Output 4 5 6 3" xfId="16383"/>
    <cellStyle name="Output 4 5 6 3 2" xfId="29689"/>
    <cellStyle name="Output 4 5 6 4" xfId="20869"/>
    <cellStyle name="Output 4 5 6_Table" xfId="7902"/>
    <cellStyle name="Output 4 5 7" xfId="3058"/>
    <cellStyle name="Output 4 5 7 2" xfId="12386"/>
    <cellStyle name="Output 4 5 7 2 2" xfId="25692"/>
    <cellStyle name="Output 4 5 7 3" xfId="16796"/>
    <cellStyle name="Output 4 5 7 3 2" xfId="30102"/>
    <cellStyle name="Output 4 5 7 4" xfId="21282"/>
    <cellStyle name="Output 4 5 7_Table" xfId="7903"/>
    <cellStyle name="Output 4 5 8" xfId="3484"/>
    <cellStyle name="Output 4 5 8 2" xfId="12812"/>
    <cellStyle name="Output 4 5 8 2 2" xfId="26118"/>
    <cellStyle name="Output 4 5 8 3" xfId="17222"/>
    <cellStyle name="Output 4 5 8 3 2" xfId="30528"/>
    <cellStyle name="Output 4 5 8 4" xfId="21708"/>
    <cellStyle name="Output 4 5 8_Table" xfId="7904"/>
    <cellStyle name="Output 4 5 9" xfId="3541"/>
    <cellStyle name="Output 4 5 9 2" xfId="12869"/>
    <cellStyle name="Output 4 5 9 2 2" xfId="26175"/>
    <cellStyle name="Output 4 5 9 3" xfId="17279"/>
    <cellStyle name="Output 4 5 9 3 2" xfId="30585"/>
    <cellStyle name="Output 4 5 9 4" xfId="21765"/>
    <cellStyle name="Output 4 5 9_Table" xfId="7905"/>
    <cellStyle name="Output 4 5_Table" xfId="7886"/>
    <cellStyle name="Output 4 6" xfId="692"/>
    <cellStyle name="Output 4 6 10" xfId="4652"/>
    <cellStyle name="Output 4 6 10 2" xfId="13980"/>
    <cellStyle name="Output 4 6 10 2 2" xfId="27286"/>
    <cellStyle name="Output 4 6 10 3" xfId="18390"/>
    <cellStyle name="Output 4 6 10 3 2" xfId="31696"/>
    <cellStyle name="Output 4 6 10 4" xfId="22876"/>
    <cellStyle name="Output 4 6 10_Table" xfId="7907"/>
    <cellStyle name="Output 4 6 11" xfId="10020"/>
    <cellStyle name="Output 4 6 11 2" xfId="23326"/>
    <cellStyle name="Output 4 6 12" xfId="14430"/>
    <cellStyle name="Output 4 6 12 2" xfId="27736"/>
    <cellStyle name="Output 4 6 13" xfId="18916"/>
    <cellStyle name="Output 4 6 2" xfId="1478"/>
    <cellStyle name="Output 4 6 2 2" xfId="10806"/>
    <cellStyle name="Output 4 6 2 2 2" xfId="24112"/>
    <cellStyle name="Output 4 6 2 3" xfId="15216"/>
    <cellStyle name="Output 4 6 2 3 2" xfId="28522"/>
    <cellStyle name="Output 4 6 2 4" xfId="19702"/>
    <cellStyle name="Output 4 6 2_Table" xfId="7908"/>
    <cellStyle name="Output 4 6 3" xfId="1838"/>
    <cellStyle name="Output 4 6 3 2" xfId="11166"/>
    <cellStyle name="Output 4 6 3 2 2" xfId="24472"/>
    <cellStyle name="Output 4 6 3 3" xfId="15576"/>
    <cellStyle name="Output 4 6 3 3 2" xfId="28882"/>
    <cellStyle name="Output 4 6 3 4" xfId="20062"/>
    <cellStyle name="Output 4 6 3_Table" xfId="7909"/>
    <cellStyle name="Output 4 6 4" xfId="2268"/>
    <cellStyle name="Output 4 6 4 2" xfId="11596"/>
    <cellStyle name="Output 4 6 4 2 2" xfId="24902"/>
    <cellStyle name="Output 4 6 4 3" xfId="16006"/>
    <cellStyle name="Output 4 6 4 3 2" xfId="29312"/>
    <cellStyle name="Output 4 6 4 4" xfId="20492"/>
    <cellStyle name="Output 4 6 4_Table" xfId="7910"/>
    <cellStyle name="Output 4 6 5" xfId="2706"/>
    <cellStyle name="Output 4 6 5 2" xfId="12034"/>
    <cellStyle name="Output 4 6 5 2 2" xfId="25340"/>
    <cellStyle name="Output 4 6 5 3" xfId="16444"/>
    <cellStyle name="Output 4 6 5 3 2" xfId="29750"/>
    <cellStyle name="Output 4 6 5 4" xfId="20930"/>
    <cellStyle name="Output 4 6 5_Table" xfId="7911"/>
    <cellStyle name="Output 4 6 6" xfId="3113"/>
    <cellStyle name="Output 4 6 6 2" xfId="12441"/>
    <cellStyle name="Output 4 6 6 2 2" xfId="25747"/>
    <cellStyle name="Output 4 6 6 3" xfId="16851"/>
    <cellStyle name="Output 4 6 6 3 2" xfId="30157"/>
    <cellStyle name="Output 4 6 6 4" xfId="21337"/>
    <cellStyle name="Output 4 6 6_Table" xfId="7912"/>
    <cellStyle name="Output 4 6 7" xfId="3705"/>
    <cellStyle name="Output 4 6 7 2" xfId="13033"/>
    <cellStyle name="Output 4 6 7 2 2" xfId="26339"/>
    <cellStyle name="Output 4 6 7 3" xfId="17443"/>
    <cellStyle name="Output 4 6 7 3 2" xfId="30749"/>
    <cellStyle name="Output 4 6 7 4" xfId="21929"/>
    <cellStyle name="Output 4 6 7_Table" xfId="7913"/>
    <cellStyle name="Output 4 6 8" xfId="3930"/>
    <cellStyle name="Output 4 6 8 2" xfId="13258"/>
    <cellStyle name="Output 4 6 8 2 2" xfId="26564"/>
    <cellStyle name="Output 4 6 8 3" xfId="17668"/>
    <cellStyle name="Output 4 6 8 3 2" xfId="30974"/>
    <cellStyle name="Output 4 6 8 4" xfId="22154"/>
    <cellStyle name="Output 4 6 8_Table" xfId="7914"/>
    <cellStyle name="Output 4 6 9" xfId="4291"/>
    <cellStyle name="Output 4 6 9 2" xfId="13619"/>
    <cellStyle name="Output 4 6 9 2 2" xfId="26925"/>
    <cellStyle name="Output 4 6 9 3" xfId="18029"/>
    <cellStyle name="Output 4 6 9 3 2" xfId="31335"/>
    <cellStyle name="Output 4 6 9 4" xfId="22515"/>
    <cellStyle name="Output 4 6 9_Table" xfId="7915"/>
    <cellStyle name="Output 4 6_Table" xfId="7906"/>
    <cellStyle name="Output 4 7" xfId="1186"/>
    <cellStyle name="Output 4 7 2" xfId="10514"/>
    <cellStyle name="Output 4 7 2 2" xfId="23820"/>
    <cellStyle name="Output 4 7 3" xfId="14924"/>
    <cellStyle name="Output 4 7 3 2" xfId="28230"/>
    <cellStyle name="Output 4 7 4" xfId="19410"/>
    <cellStyle name="Output 4 7_Table" xfId="7916"/>
    <cellStyle name="Output 4 8" xfId="1058"/>
    <cellStyle name="Output 4 8 2" xfId="10386"/>
    <cellStyle name="Output 4 8 2 2" xfId="23692"/>
    <cellStyle name="Output 4 8 3" xfId="14796"/>
    <cellStyle name="Output 4 8 3 2" xfId="28102"/>
    <cellStyle name="Output 4 8 4" xfId="19282"/>
    <cellStyle name="Output 4 8_Table" xfId="7917"/>
    <cellStyle name="Output 4 9" xfId="1386"/>
    <cellStyle name="Output 4 9 2" xfId="10714"/>
    <cellStyle name="Output 4 9 2 2" xfId="24020"/>
    <cellStyle name="Output 4 9 3" xfId="15124"/>
    <cellStyle name="Output 4 9 3 2" xfId="28430"/>
    <cellStyle name="Output 4 9 4" xfId="19610"/>
    <cellStyle name="Output 4 9_Table" xfId="7918"/>
    <cellStyle name="Output 4_Table" xfId="7819"/>
    <cellStyle name="Output 5" xfId="353"/>
    <cellStyle name="Output 5 10" xfId="1804"/>
    <cellStyle name="Output 5 10 2" xfId="11132"/>
    <cellStyle name="Output 5 10 2 2" xfId="24438"/>
    <cellStyle name="Output 5 10 3" xfId="15542"/>
    <cellStyle name="Output 5 10 3 2" xfId="28848"/>
    <cellStyle name="Output 5 10 4" xfId="20028"/>
    <cellStyle name="Output 5 10_Table" xfId="7920"/>
    <cellStyle name="Output 5 11" xfId="2235"/>
    <cellStyle name="Output 5 11 2" xfId="11563"/>
    <cellStyle name="Output 5 11 2 2" xfId="24869"/>
    <cellStyle name="Output 5 11 3" xfId="15973"/>
    <cellStyle name="Output 5 11 3 2" xfId="29279"/>
    <cellStyle name="Output 5 11 4" xfId="20459"/>
    <cellStyle name="Output 5 11_Table" xfId="7921"/>
    <cellStyle name="Output 5 12" xfId="2671"/>
    <cellStyle name="Output 5 12 2" xfId="11999"/>
    <cellStyle name="Output 5 12 2 2" xfId="25305"/>
    <cellStyle name="Output 5 12 3" xfId="16409"/>
    <cellStyle name="Output 5 12 3 2" xfId="29715"/>
    <cellStyle name="Output 5 12 4" xfId="20895"/>
    <cellStyle name="Output 5 12_Table" xfId="7922"/>
    <cellStyle name="Output 5 13" xfId="2482"/>
    <cellStyle name="Output 5 13 2" xfId="11810"/>
    <cellStyle name="Output 5 13 2 2" xfId="25116"/>
    <cellStyle name="Output 5 13 3" xfId="16220"/>
    <cellStyle name="Output 5 13 3 2" xfId="29526"/>
    <cellStyle name="Output 5 13 4" xfId="20706"/>
    <cellStyle name="Output 5 13_Table" xfId="7923"/>
    <cellStyle name="Output 5 14" xfId="1401"/>
    <cellStyle name="Output 5 14 2" xfId="10729"/>
    <cellStyle name="Output 5 14 2 2" xfId="24035"/>
    <cellStyle name="Output 5 14 3" xfId="15139"/>
    <cellStyle name="Output 5 14 3 2" xfId="28445"/>
    <cellStyle name="Output 5 14 4" xfId="19625"/>
    <cellStyle name="Output 5 14_Table" xfId="7924"/>
    <cellStyle name="Output 5 15" xfId="3611"/>
    <cellStyle name="Output 5 15 2" xfId="12939"/>
    <cellStyle name="Output 5 15 2 2" xfId="26245"/>
    <cellStyle name="Output 5 15 3" xfId="17349"/>
    <cellStyle name="Output 5 15 3 2" xfId="30655"/>
    <cellStyle name="Output 5 15 4" xfId="21835"/>
    <cellStyle name="Output 5 15_Table" xfId="7925"/>
    <cellStyle name="Output 5 16" xfId="9681"/>
    <cellStyle name="Output 5 16 2" xfId="23102"/>
    <cellStyle name="Output 5 17" xfId="14206"/>
    <cellStyle name="Output 5 17 2" xfId="27512"/>
    <cellStyle name="Output 5 18" xfId="18692"/>
    <cellStyle name="Output 5 2" xfId="424"/>
    <cellStyle name="Output 5 2 10" xfId="3078"/>
    <cellStyle name="Output 5 2 10 2" xfId="12406"/>
    <cellStyle name="Output 5 2 10 2 2" xfId="25712"/>
    <cellStyle name="Output 5 2 10 3" xfId="16816"/>
    <cellStyle name="Output 5 2 10 3 2" xfId="30122"/>
    <cellStyle name="Output 5 2 10 4" xfId="21302"/>
    <cellStyle name="Output 5 2 10_Table" xfId="7927"/>
    <cellStyle name="Output 5 2 11" xfId="1256"/>
    <cellStyle name="Output 5 2 11 2" xfId="10584"/>
    <cellStyle name="Output 5 2 11 2 2" xfId="23890"/>
    <cellStyle name="Output 5 2 11 3" xfId="14994"/>
    <cellStyle name="Output 5 2 11 3 2" xfId="28300"/>
    <cellStyle name="Output 5 2 11 4" xfId="19480"/>
    <cellStyle name="Output 5 2 11_Table" xfId="7928"/>
    <cellStyle name="Output 5 2 12" xfId="9752"/>
    <cellStyle name="Output 5 2 12 2" xfId="23147"/>
    <cellStyle name="Output 5 2 13" xfId="14251"/>
    <cellStyle name="Output 5 2 13 2" xfId="27557"/>
    <cellStyle name="Output 5 2 14" xfId="18737"/>
    <cellStyle name="Output 5 2 2" xfId="738"/>
    <cellStyle name="Output 5 2 2 10" xfId="4698"/>
    <cellStyle name="Output 5 2 2 10 2" xfId="14026"/>
    <cellStyle name="Output 5 2 2 10 2 2" xfId="27332"/>
    <cellStyle name="Output 5 2 2 10 3" xfId="18436"/>
    <cellStyle name="Output 5 2 2 10 3 2" xfId="31742"/>
    <cellStyle name="Output 5 2 2 10 4" xfId="22922"/>
    <cellStyle name="Output 5 2 2 10_Table" xfId="7930"/>
    <cellStyle name="Output 5 2 2 11" xfId="10066"/>
    <cellStyle name="Output 5 2 2 11 2" xfId="23372"/>
    <cellStyle name="Output 5 2 2 12" xfId="14476"/>
    <cellStyle name="Output 5 2 2 12 2" xfId="27782"/>
    <cellStyle name="Output 5 2 2 13" xfId="18962"/>
    <cellStyle name="Output 5 2 2 2" xfId="1524"/>
    <cellStyle name="Output 5 2 2 2 2" xfId="10852"/>
    <cellStyle name="Output 5 2 2 2 2 2" xfId="24158"/>
    <cellStyle name="Output 5 2 2 2 3" xfId="15262"/>
    <cellStyle name="Output 5 2 2 2 3 2" xfId="28568"/>
    <cellStyle name="Output 5 2 2 2 4" xfId="19748"/>
    <cellStyle name="Output 5 2 2 2_Table" xfId="7931"/>
    <cellStyle name="Output 5 2 2 3" xfId="1884"/>
    <cellStyle name="Output 5 2 2 3 2" xfId="11212"/>
    <cellStyle name="Output 5 2 2 3 2 2" xfId="24518"/>
    <cellStyle name="Output 5 2 2 3 3" xfId="15622"/>
    <cellStyle name="Output 5 2 2 3 3 2" xfId="28928"/>
    <cellStyle name="Output 5 2 2 3 4" xfId="20108"/>
    <cellStyle name="Output 5 2 2 3_Table" xfId="7932"/>
    <cellStyle name="Output 5 2 2 4" xfId="2314"/>
    <cellStyle name="Output 5 2 2 4 2" xfId="11642"/>
    <cellStyle name="Output 5 2 2 4 2 2" xfId="24948"/>
    <cellStyle name="Output 5 2 2 4 3" xfId="16052"/>
    <cellStyle name="Output 5 2 2 4 3 2" xfId="29358"/>
    <cellStyle name="Output 5 2 2 4 4" xfId="20538"/>
    <cellStyle name="Output 5 2 2 4_Table" xfId="7933"/>
    <cellStyle name="Output 5 2 2 5" xfId="2752"/>
    <cellStyle name="Output 5 2 2 5 2" xfId="12080"/>
    <cellStyle name="Output 5 2 2 5 2 2" xfId="25386"/>
    <cellStyle name="Output 5 2 2 5 3" xfId="16490"/>
    <cellStyle name="Output 5 2 2 5 3 2" xfId="29796"/>
    <cellStyle name="Output 5 2 2 5 4" xfId="20976"/>
    <cellStyle name="Output 5 2 2 5_Table" xfId="7934"/>
    <cellStyle name="Output 5 2 2 6" xfId="3159"/>
    <cellStyle name="Output 5 2 2 6 2" xfId="12487"/>
    <cellStyle name="Output 5 2 2 6 2 2" xfId="25793"/>
    <cellStyle name="Output 5 2 2 6 3" xfId="16897"/>
    <cellStyle name="Output 5 2 2 6 3 2" xfId="30203"/>
    <cellStyle name="Output 5 2 2 6 4" xfId="21383"/>
    <cellStyle name="Output 5 2 2 6_Table" xfId="7935"/>
    <cellStyle name="Output 5 2 2 7" xfId="3751"/>
    <cellStyle name="Output 5 2 2 7 2" xfId="13079"/>
    <cellStyle name="Output 5 2 2 7 2 2" xfId="26385"/>
    <cellStyle name="Output 5 2 2 7 3" xfId="17489"/>
    <cellStyle name="Output 5 2 2 7 3 2" xfId="30795"/>
    <cellStyle name="Output 5 2 2 7 4" xfId="21975"/>
    <cellStyle name="Output 5 2 2 7_Table" xfId="7936"/>
    <cellStyle name="Output 5 2 2 8" xfId="3976"/>
    <cellStyle name="Output 5 2 2 8 2" xfId="13304"/>
    <cellStyle name="Output 5 2 2 8 2 2" xfId="26610"/>
    <cellStyle name="Output 5 2 2 8 3" xfId="17714"/>
    <cellStyle name="Output 5 2 2 8 3 2" xfId="31020"/>
    <cellStyle name="Output 5 2 2 8 4" xfId="22200"/>
    <cellStyle name="Output 5 2 2 8_Table" xfId="7937"/>
    <cellStyle name="Output 5 2 2 9" xfId="4337"/>
    <cellStyle name="Output 5 2 2 9 2" xfId="13665"/>
    <cellStyle name="Output 5 2 2 9 2 2" xfId="26971"/>
    <cellStyle name="Output 5 2 2 9 3" xfId="18075"/>
    <cellStyle name="Output 5 2 2 9 3 2" xfId="31381"/>
    <cellStyle name="Output 5 2 2 9 4" xfId="22561"/>
    <cellStyle name="Output 5 2 2 9_Table" xfId="7938"/>
    <cellStyle name="Output 5 2 2_Table" xfId="7929"/>
    <cellStyle name="Output 5 2 3" xfId="1238"/>
    <cellStyle name="Output 5 2 3 2" xfId="10566"/>
    <cellStyle name="Output 5 2 3 2 2" xfId="23872"/>
    <cellStyle name="Output 5 2 3 3" xfId="14976"/>
    <cellStyle name="Output 5 2 3 3 2" xfId="28282"/>
    <cellStyle name="Output 5 2 3 4" xfId="19462"/>
    <cellStyle name="Output 5 2 3_Table" xfId="7939"/>
    <cellStyle name="Output 5 2 4" xfId="988"/>
    <cellStyle name="Output 5 2 4 2" xfId="10316"/>
    <cellStyle name="Output 5 2 4 2 2" xfId="23622"/>
    <cellStyle name="Output 5 2 4 3" xfId="14726"/>
    <cellStyle name="Output 5 2 4 3 2" xfId="28032"/>
    <cellStyle name="Output 5 2 4 4" xfId="19212"/>
    <cellStyle name="Output 5 2 4_Table" xfId="7940"/>
    <cellStyle name="Output 5 2 5" xfId="1366"/>
    <cellStyle name="Output 5 2 5 2" xfId="10694"/>
    <cellStyle name="Output 5 2 5 2 2" xfId="24000"/>
    <cellStyle name="Output 5 2 5 3" xfId="15104"/>
    <cellStyle name="Output 5 2 5 3 2" xfId="28410"/>
    <cellStyle name="Output 5 2 5 4" xfId="19590"/>
    <cellStyle name="Output 5 2 5_Table" xfId="7941"/>
    <cellStyle name="Output 5 2 6" xfId="1021"/>
    <cellStyle name="Output 5 2 6 2" xfId="10349"/>
    <cellStyle name="Output 5 2 6 2 2" xfId="23655"/>
    <cellStyle name="Output 5 2 6 3" xfId="14759"/>
    <cellStyle name="Output 5 2 6 3 2" xfId="28065"/>
    <cellStyle name="Output 5 2 6 4" xfId="19245"/>
    <cellStyle name="Output 5 2 6_Table" xfId="7942"/>
    <cellStyle name="Output 5 2 7" xfId="1267"/>
    <cellStyle name="Output 5 2 7 2" xfId="10595"/>
    <cellStyle name="Output 5 2 7 2 2" xfId="23901"/>
    <cellStyle name="Output 5 2 7 3" xfId="15005"/>
    <cellStyle name="Output 5 2 7 3 2" xfId="28311"/>
    <cellStyle name="Output 5 2 7 4" xfId="19491"/>
    <cellStyle name="Output 5 2 7_Table" xfId="7943"/>
    <cellStyle name="Output 5 2 8" xfId="904"/>
    <cellStyle name="Output 5 2 8 2" xfId="10232"/>
    <cellStyle name="Output 5 2 8 2 2" xfId="23538"/>
    <cellStyle name="Output 5 2 8 3" xfId="14642"/>
    <cellStyle name="Output 5 2 8 3 2" xfId="27948"/>
    <cellStyle name="Output 5 2 8 4" xfId="19128"/>
    <cellStyle name="Output 5 2 8_Table" xfId="7944"/>
    <cellStyle name="Output 5 2 9" xfId="3507"/>
    <cellStyle name="Output 5 2 9 2" xfId="12835"/>
    <cellStyle name="Output 5 2 9 2 2" xfId="26141"/>
    <cellStyle name="Output 5 2 9 3" xfId="17245"/>
    <cellStyle name="Output 5 2 9 3 2" xfId="30551"/>
    <cellStyle name="Output 5 2 9 4" xfId="21731"/>
    <cellStyle name="Output 5 2 9_Table" xfId="7945"/>
    <cellStyle name="Output 5 2_Table" xfId="7926"/>
    <cellStyle name="Output 5 3" xfId="492"/>
    <cellStyle name="Output 5 3 10" xfId="4157"/>
    <cellStyle name="Output 5 3 10 2" xfId="13485"/>
    <cellStyle name="Output 5 3 10 2 2" xfId="26791"/>
    <cellStyle name="Output 5 3 10 3" xfId="17895"/>
    <cellStyle name="Output 5 3 10 3 2" xfId="31201"/>
    <cellStyle name="Output 5 3 10 4" xfId="22381"/>
    <cellStyle name="Output 5 3 10_Table" xfId="7947"/>
    <cellStyle name="Output 5 3 11" xfId="4518"/>
    <cellStyle name="Output 5 3 11 2" xfId="13846"/>
    <cellStyle name="Output 5 3 11 2 2" xfId="27152"/>
    <cellStyle name="Output 5 3 11 3" xfId="18256"/>
    <cellStyle name="Output 5 3 11 3 2" xfId="31562"/>
    <cellStyle name="Output 5 3 11 4" xfId="22742"/>
    <cellStyle name="Output 5 3 11_Table" xfId="7948"/>
    <cellStyle name="Output 5 3 12" xfId="9820"/>
    <cellStyle name="Output 5 3 12 2" xfId="23192"/>
    <cellStyle name="Output 5 3 13" xfId="14296"/>
    <cellStyle name="Output 5 3 13 2" xfId="27602"/>
    <cellStyle name="Output 5 3 14" xfId="18782"/>
    <cellStyle name="Output 5 3 2" xfId="783"/>
    <cellStyle name="Output 5 3 2 10" xfId="4743"/>
    <cellStyle name="Output 5 3 2 10 2" xfId="14071"/>
    <cellStyle name="Output 5 3 2 10 2 2" xfId="27377"/>
    <cellStyle name="Output 5 3 2 10 3" xfId="18481"/>
    <cellStyle name="Output 5 3 2 10 3 2" xfId="31787"/>
    <cellStyle name="Output 5 3 2 10 4" xfId="22967"/>
    <cellStyle name="Output 5 3 2 10_Table" xfId="7950"/>
    <cellStyle name="Output 5 3 2 11" xfId="10111"/>
    <cellStyle name="Output 5 3 2 11 2" xfId="23417"/>
    <cellStyle name="Output 5 3 2 12" xfId="14521"/>
    <cellStyle name="Output 5 3 2 12 2" xfId="27827"/>
    <cellStyle name="Output 5 3 2 13" xfId="19007"/>
    <cellStyle name="Output 5 3 2 2" xfId="1569"/>
    <cellStyle name="Output 5 3 2 2 2" xfId="10897"/>
    <cellStyle name="Output 5 3 2 2 2 2" xfId="24203"/>
    <cellStyle name="Output 5 3 2 2 3" xfId="15307"/>
    <cellStyle name="Output 5 3 2 2 3 2" xfId="28613"/>
    <cellStyle name="Output 5 3 2 2 4" xfId="19793"/>
    <cellStyle name="Output 5 3 2 2_Table" xfId="7951"/>
    <cellStyle name="Output 5 3 2 3" xfId="1929"/>
    <cellStyle name="Output 5 3 2 3 2" xfId="11257"/>
    <cellStyle name="Output 5 3 2 3 2 2" xfId="24563"/>
    <cellStyle name="Output 5 3 2 3 3" xfId="15667"/>
    <cellStyle name="Output 5 3 2 3 3 2" xfId="28973"/>
    <cellStyle name="Output 5 3 2 3 4" xfId="20153"/>
    <cellStyle name="Output 5 3 2 3_Table" xfId="7952"/>
    <cellStyle name="Output 5 3 2 4" xfId="2359"/>
    <cellStyle name="Output 5 3 2 4 2" xfId="11687"/>
    <cellStyle name="Output 5 3 2 4 2 2" xfId="24993"/>
    <cellStyle name="Output 5 3 2 4 3" xfId="16097"/>
    <cellStyle name="Output 5 3 2 4 3 2" xfId="29403"/>
    <cellStyle name="Output 5 3 2 4 4" xfId="20583"/>
    <cellStyle name="Output 5 3 2 4_Table" xfId="7953"/>
    <cellStyle name="Output 5 3 2 5" xfId="2797"/>
    <cellStyle name="Output 5 3 2 5 2" xfId="12125"/>
    <cellStyle name="Output 5 3 2 5 2 2" xfId="25431"/>
    <cellStyle name="Output 5 3 2 5 3" xfId="16535"/>
    <cellStyle name="Output 5 3 2 5 3 2" xfId="29841"/>
    <cellStyle name="Output 5 3 2 5 4" xfId="21021"/>
    <cellStyle name="Output 5 3 2 5_Table" xfId="7954"/>
    <cellStyle name="Output 5 3 2 6" xfId="3204"/>
    <cellStyle name="Output 5 3 2 6 2" xfId="12532"/>
    <cellStyle name="Output 5 3 2 6 2 2" xfId="25838"/>
    <cellStyle name="Output 5 3 2 6 3" xfId="16942"/>
    <cellStyle name="Output 5 3 2 6 3 2" xfId="30248"/>
    <cellStyle name="Output 5 3 2 6 4" xfId="21428"/>
    <cellStyle name="Output 5 3 2 6_Table" xfId="7955"/>
    <cellStyle name="Output 5 3 2 7" xfId="3796"/>
    <cellStyle name="Output 5 3 2 7 2" xfId="13124"/>
    <cellStyle name="Output 5 3 2 7 2 2" xfId="26430"/>
    <cellStyle name="Output 5 3 2 7 3" xfId="17534"/>
    <cellStyle name="Output 5 3 2 7 3 2" xfId="30840"/>
    <cellStyle name="Output 5 3 2 7 4" xfId="22020"/>
    <cellStyle name="Output 5 3 2 7_Table" xfId="7956"/>
    <cellStyle name="Output 5 3 2 8" xfId="4021"/>
    <cellStyle name="Output 5 3 2 8 2" xfId="13349"/>
    <cellStyle name="Output 5 3 2 8 2 2" xfId="26655"/>
    <cellStyle name="Output 5 3 2 8 3" xfId="17759"/>
    <cellStyle name="Output 5 3 2 8 3 2" xfId="31065"/>
    <cellStyle name="Output 5 3 2 8 4" xfId="22245"/>
    <cellStyle name="Output 5 3 2 8_Table" xfId="7957"/>
    <cellStyle name="Output 5 3 2 9" xfId="4382"/>
    <cellStyle name="Output 5 3 2 9 2" xfId="13710"/>
    <cellStyle name="Output 5 3 2 9 2 2" xfId="27016"/>
    <cellStyle name="Output 5 3 2 9 3" xfId="18120"/>
    <cellStyle name="Output 5 3 2 9 3 2" xfId="31426"/>
    <cellStyle name="Output 5 3 2 9 4" xfId="22606"/>
    <cellStyle name="Output 5 3 2 9_Table" xfId="7958"/>
    <cellStyle name="Output 5 3 2_Table" xfId="7949"/>
    <cellStyle name="Output 5 3 3" xfId="1295"/>
    <cellStyle name="Output 5 3 3 2" xfId="10623"/>
    <cellStyle name="Output 5 3 3 2 2" xfId="23929"/>
    <cellStyle name="Output 5 3 3 3" xfId="15033"/>
    <cellStyle name="Output 5 3 3 3 2" xfId="28339"/>
    <cellStyle name="Output 5 3 3 4" xfId="19519"/>
    <cellStyle name="Output 5 3 3_Table" xfId="7959"/>
    <cellStyle name="Output 5 3 4" xfId="922"/>
    <cellStyle name="Output 5 3 4 2" xfId="10250"/>
    <cellStyle name="Output 5 3 4 2 2" xfId="23556"/>
    <cellStyle name="Output 5 3 4 3" xfId="14660"/>
    <cellStyle name="Output 5 3 4 3 2" xfId="27966"/>
    <cellStyle name="Output 5 3 4 4" xfId="19146"/>
    <cellStyle name="Output 5 3 4_Table" xfId="7960"/>
    <cellStyle name="Output 5 3 5" xfId="2083"/>
    <cellStyle name="Output 5 3 5 2" xfId="11411"/>
    <cellStyle name="Output 5 3 5 2 2" xfId="24717"/>
    <cellStyle name="Output 5 3 5 3" xfId="15821"/>
    <cellStyle name="Output 5 3 5 3 2" xfId="29127"/>
    <cellStyle name="Output 5 3 5 4" xfId="20307"/>
    <cellStyle name="Output 5 3 5_Table" xfId="7961"/>
    <cellStyle name="Output 5 3 6" xfId="2515"/>
    <cellStyle name="Output 5 3 6 2" xfId="11843"/>
    <cellStyle name="Output 5 3 6 2 2" xfId="25149"/>
    <cellStyle name="Output 5 3 6 3" xfId="16253"/>
    <cellStyle name="Output 5 3 6 3 2" xfId="29559"/>
    <cellStyle name="Output 5 3 6 4" xfId="20739"/>
    <cellStyle name="Output 5 3 6_Table" xfId="7962"/>
    <cellStyle name="Output 5 3 7" xfId="2943"/>
    <cellStyle name="Output 5 3 7 2" xfId="12271"/>
    <cellStyle name="Output 5 3 7 2 2" xfId="25577"/>
    <cellStyle name="Output 5 3 7 3" xfId="16681"/>
    <cellStyle name="Output 5 3 7 3 2" xfId="29987"/>
    <cellStyle name="Output 5 3 7 4" xfId="21167"/>
    <cellStyle name="Output 5 3 7_Table" xfId="7963"/>
    <cellStyle name="Output 5 3 8" xfId="3356"/>
    <cellStyle name="Output 5 3 8 2" xfId="12684"/>
    <cellStyle name="Output 5 3 8 2 2" xfId="25990"/>
    <cellStyle name="Output 5 3 8 3" xfId="17094"/>
    <cellStyle name="Output 5 3 8 3 2" xfId="30400"/>
    <cellStyle name="Output 5 3 8 4" xfId="21580"/>
    <cellStyle name="Output 5 3 8_Table" xfId="7964"/>
    <cellStyle name="Output 5 3 9" xfId="3471"/>
    <cellStyle name="Output 5 3 9 2" xfId="12799"/>
    <cellStyle name="Output 5 3 9 2 2" xfId="26105"/>
    <cellStyle name="Output 5 3 9 3" xfId="17209"/>
    <cellStyle name="Output 5 3 9 3 2" xfId="30515"/>
    <cellStyle name="Output 5 3 9 4" xfId="21695"/>
    <cellStyle name="Output 5 3 9_Table" xfId="7965"/>
    <cellStyle name="Output 5 3_Table" xfId="7946"/>
    <cellStyle name="Output 5 4" xfId="556"/>
    <cellStyle name="Output 5 4 10" xfId="4202"/>
    <cellStyle name="Output 5 4 10 2" xfId="13530"/>
    <cellStyle name="Output 5 4 10 2 2" xfId="26836"/>
    <cellStyle name="Output 5 4 10 3" xfId="17940"/>
    <cellStyle name="Output 5 4 10 3 2" xfId="31246"/>
    <cellStyle name="Output 5 4 10 4" xfId="22426"/>
    <cellStyle name="Output 5 4 10_Table" xfId="7967"/>
    <cellStyle name="Output 5 4 11" xfId="4563"/>
    <cellStyle name="Output 5 4 11 2" xfId="13891"/>
    <cellStyle name="Output 5 4 11 2 2" xfId="27197"/>
    <cellStyle name="Output 5 4 11 3" xfId="18301"/>
    <cellStyle name="Output 5 4 11 3 2" xfId="31607"/>
    <cellStyle name="Output 5 4 11 4" xfId="22787"/>
    <cellStyle name="Output 5 4 11_Table" xfId="7968"/>
    <cellStyle name="Output 5 4 12" xfId="9884"/>
    <cellStyle name="Output 5 4 12 2" xfId="23237"/>
    <cellStyle name="Output 5 4 13" xfId="14341"/>
    <cellStyle name="Output 5 4 13 2" xfId="27647"/>
    <cellStyle name="Output 5 4 14" xfId="18827"/>
    <cellStyle name="Output 5 4 2" xfId="828"/>
    <cellStyle name="Output 5 4 2 10" xfId="4788"/>
    <cellStyle name="Output 5 4 2 10 2" xfId="14116"/>
    <cellStyle name="Output 5 4 2 10 2 2" xfId="27422"/>
    <cellStyle name="Output 5 4 2 10 3" xfId="18526"/>
    <cellStyle name="Output 5 4 2 10 3 2" xfId="31832"/>
    <cellStyle name="Output 5 4 2 10 4" xfId="23012"/>
    <cellStyle name="Output 5 4 2 10_Table" xfId="7970"/>
    <cellStyle name="Output 5 4 2 11" xfId="10156"/>
    <cellStyle name="Output 5 4 2 11 2" xfId="23462"/>
    <cellStyle name="Output 5 4 2 12" xfId="14566"/>
    <cellStyle name="Output 5 4 2 12 2" xfId="27872"/>
    <cellStyle name="Output 5 4 2 13" xfId="19052"/>
    <cellStyle name="Output 5 4 2 2" xfId="1614"/>
    <cellStyle name="Output 5 4 2 2 2" xfId="10942"/>
    <cellStyle name="Output 5 4 2 2 2 2" xfId="24248"/>
    <cellStyle name="Output 5 4 2 2 3" xfId="15352"/>
    <cellStyle name="Output 5 4 2 2 3 2" xfId="28658"/>
    <cellStyle name="Output 5 4 2 2 4" xfId="19838"/>
    <cellStyle name="Output 5 4 2 2_Table" xfId="7971"/>
    <cellStyle name="Output 5 4 2 3" xfId="1974"/>
    <cellStyle name="Output 5 4 2 3 2" xfId="11302"/>
    <cellStyle name="Output 5 4 2 3 2 2" xfId="24608"/>
    <cellStyle name="Output 5 4 2 3 3" xfId="15712"/>
    <cellStyle name="Output 5 4 2 3 3 2" xfId="29018"/>
    <cellStyle name="Output 5 4 2 3 4" xfId="20198"/>
    <cellStyle name="Output 5 4 2 3_Table" xfId="7972"/>
    <cellStyle name="Output 5 4 2 4" xfId="2404"/>
    <cellStyle name="Output 5 4 2 4 2" xfId="11732"/>
    <cellStyle name="Output 5 4 2 4 2 2" xfId="25038"/>
    <cellStyle name="Output 5 4 2 4 3" xfId="16142"/>
    <cellStyle name="Output 5 4 2 4 3 2" xfId="29448"/>
    <cellStyle name="Output 5 4 2 4 4" xfId="20628"/>
    <cellStyle name="Output 5 4 2 4_Table" xfId="7973"/>
    <cellStyle name="Output 5 4 2 5" xfId="2842"/>
    <cellStyle name="Output 5 4 2 5 2" xfId="12170"/>
    <cellStyle name="Output 5 4 2 5 2 2" xfId="25476"/>
    <cellStyle name="Output 5 4 2 5 3" xfId="16580"/>
    <cellStyle name="Output 5 4 2 5 3 2" xfId="29886"/>
    <cellStyle name="Output 5 4 2 5 4" xfId="21066"/>
    <cellStyle name="Output 5 4 2 5_Table" xfId="7974"/>
    <cellStyle name="Output 5 4 2 6" xfId="3249"/>
    <cellStyle name="Output 5 4 2 6 2" xfId="12577"/>
    <cellStyle name="Output 5 4 2 6 2 2" xfId="25883"/>
    <cellStyle name="Output 5 4 2 6 3" xfId="16987"/>
    <cellStyle name="Output 5 4 2 6 3 2" xfId="30293"/>
    <cellStyle name="Output 5 4 2 6 4" xfId="21473"/>
    <cellStyle name="Output 5 4 2 6_Table" xfId="7975"/>
    <cellStyle name="Output 5 4 2 7" xfId="3841"/>
    <cellStyle name="Output 5 4 2 7 2" xfId="13169"/>
    <cellStyle name="Output 5 4 2 7 2 2" xfId="26475"/>
    <cellStyle name="Output 5 4 2 7 3" xfId="17579"/>
    <cellStyle name="Output 5 4 2 7 3 2" xfId="30885"/>
    <cellStyle name="Output 5 4 2 7 4" xfId="22065"/>
    <cellStyle name="Output 5 4 2 7_Table" xfId="7976"/>
    <cellStyle name="Output 5 4 2 8" xfId="4066"/>
    <cellStyle name="Output 5 4 2 8 2" xfId="13394"/>
    <cellStyle name="Output 5 4 2 8 2 2" xfId="26700"/>
    <cellStyle name="Output 5 4 2 8 3" xfId="17804"/>
    <cellStyle name="Output 5 4 2 8 3 2" xfId="31110"/>
    <cellStyle name="Output 5 4 2 8 4" xfId="22290"/>
    <cellStyle name="Output 5 4 2 8_Table" xfId="7977"/>
    <cellStyle name="Output 5 4 2 9" xfId="4427"/>
    <cellStyle name="Output 5 4 2 9 2" xfId="13755"/>
    <cellStyle name="Output 5 4 2 9 2 2" xfId="27061"/>
    <cellStyle name="Output 5 4 2 9 3" xfId="18165"/>
    <cellStyle name="Output 5 4 2 9 3 2" xfId="31471"/>
    <cellStyle name="Output 5 4 2 9 4" xfId="22651"/>
    <cellStyle name="Output 5 4 2 9_Table" xfId="7978"/>
    <cellStyle name="Output 5 4 2_Table" xfId="7969"/>
    <cellStyle name="Output 5 4 3" xfId="1351"/>
    <cellStyle name="Output 5 4 3 2" xfId="10679"/>
    <cellStyle name="Output 5 4 3 2 2" xfId="23985"/>
    <cellStyle name="Output 5 4 3 3" xfId="15089"/>
    <cellStyle name="Output 5 4 3 3 2" xfId="28395"/>
    <cellStyle name="Output 5 4 3 4" xfId="19575"/>
    <cellStyle name="Output 5 4 3_Table" xfId="7979"/>
    <cellStyle name="Output 5 4 4" xfId="1708"/>
    <cellStyle name="Output 5 4 4 2" xfId="11036"/>
    <cellStyle name="Output 5 4 4 2 2" xfId="24342"/>
    <cellStyle name="Output 5 4 4 3" xfId="15446"/>
    <cellStyle name="Output 5 4 4 3 2" xfId="28752"/>
    <cellStyle name="Output 5 4 4 4" xfId="19932"/>
    <cellStyle name="Output 5 4 4_Table" xfId="7980"/>
    <cellStyle name="Output 5 4 5" xfId="2142"/>
    <cellStyle name="Output 5 4 5 2" xfId="11470"/>
    <cellStyle name="Output 5 4 5 2 2" xfId="24776"/>
    <cellStyle name="Output 5 4 5 3" xfId="15880"/>
    <cellStyle name="Output 5 4 5 3 2" xfId="29186"/>
    <cellStyle name="Output 5 4 5 4" xfId="20366"/>
    <cellStyle name="Output 5 4 5_Table" xfId="7981"/>
    <cellStyle name="Output 5 4 6" xfId="2574"/>
    <cellStyle name="Output 5 4 6 2" xfId="11902"/>
    <cellStyle name="Output 5 4 6 2 2" xfId="25208"/>
    <cellStyle name="Output 5 4 6 3" xfId="16312"/>
    <cellStyle name="Output 5 4 6 3 2" xfId="29618"/>
    <cellStyle name="Output 5 4 6 4" xfId="20798"/>
    <cellStyle name="Output 5 4 6_Table" xfId="7982"/>
    <cellStyle name="Output 5 4 7" xfId="3000"/>
    <cellStyle name="Output 5 4 7 2" xfId="12328"/>
    <cellStyle name="Output 5 4 7 2 2" xfId="25634"/>
    <cellStyle name="Output 5 4 7 3" xfId="16738"/>
    <cellStyle name="Output 5 4 7 3 2" xfId="30044"/>
    <cellStyle name="Output 5 4 7 4" xfId="21224"/>
    <cellStyle name="Output 5 4 7_Table" xfId="7983"/>
    <cellStyle name="Output 5 4 8" xfId="3414"/>
    <cellStyle name="Output 5 4 8 2" xfId="12742"/>
    <cellStyle name="Output 5 4 8 2 2" xfId="26048"/>
    <cellStyle name="Output 5 4 8 3" xfId="17152"/>
    <cellStyle name="Output 5 4 8 3 2" xfId="30458"/>
    <cellStyle name="Output 5 4 8 4" xfId="21638"/>
    <cellStyle name="Output 5 4 8_Table" xfId="7984"/>
    <cellStyle name="Output 5 4 9" xfId="3564"/>
    <cellStyle name="Output 5 4 9 2" xfId="12892"/>
    <cellStyle name="Output 5 4 9 2 2" xfId="26198"/>
    <cellStyle name="Output 5 4 9 3" xfId="17302"/>
    <cellStyle name="Output 5 4 9 3 2" xfId="30608"/>
    <cellStyle name="Output 5 4 9 4" xfId="21788"/>
    <cellStyle name="Output 5 4 9_Table" xfId="7985"/>
    <cellStyle name="Output 5 4_Table" xfId="7966"/>
    <cellStyle name="Output 5 5" xfId="631"/>
    <cellStyle name="Output 5 5 10" xfId="4247"/>
    <cellStyle name="Output 5 5 10 2" xfId="13575"/>
    <cellStyle name="Output 5 5 10 2 2" xfId="26881"/>
    <cellStyle name="Output 5 5 10 3" xfId="17985"/>
    <cellStyle name="Output 5 5 10 3 2" xfId="31291"/>
    <cellStyle name="Output 5 5 10 4" xfId="22471"/>
    <cellStyle name="Output 5 5 10_Table" xfId="7987"/>
    <cellStyle name="Output 5 5 11" xfId="4608"/>
    <cellStyle name="Output 5 5 11 2" xfId="13936"/>
    <cellStyle name="Output 5 5 11 2 2" xfId="27242"/>
    <cellStyle name="Output 5 5 11 3" xfId="18346"/>
    <cellStyle name="Output 5 5 11 3 2" xfId="31652"/>
    <cellStyle name="Output 5 5 11 4" xfId="22832"/>
    <cellStyle name="Output 5 5 11_Table" xfId="7988"/>
    <cellStyle name="Output 5 5 12" xfId="9959"/>
    <cellStyle name="Output 5 5 12 2" xfId="23282"/>
    <cellStyle name="Output 5 5 13" xfId="14386"/>
    <cellStyle name="Output 5 5 13 2" xfId="27692"/>
    <cellStyle name="Output 5 5 14" xfId="18872"/>
    <cellStyle name="Output 5 5 2" xfId="873"/>
    <cellStyle name="Output 5 5 2 10" xfId="4833"/>
    <cellStyle name="Output 5 5 2 10 2" xfId="14161"/>
    <cellStyle name="Output 5 5 2 10 2 2" xfId="27467"/>
    <cellStyle name="Output 5 5 2 10 3" xfId="18571"/>
    <cellStyle name="Output 5 5 2 10 3 2" xfId="31877"/>
    <cellStyle name="Output 5 5 2 10 4" xfId="23057"/>
    <cellStyle name="Output 5 5 2 10_Table" xfId="7990"/>
    <cellStyle name="Output 5 5 2 11" xfId="10201"/>
    <cellStyle name="Output 5 5 2 11 2" xfId="23507"/>
    <cellStyle name="Output 5 5 2 12" xfId="14611"/>
    <cellStyle name="Output 5 5 2 12 2" xfId="27917"/>
    <cellStyle name="Output 5 5 2 13" xfId="19097"/>
    <cellStyle name="Output 5 5 2 2" xfId="1659"/>
    <cellStyle name="Output 5 5 2 2 2" xfId="10987"/>
    <cellStyle name="Output 5 5 2 2 2 2" xfId="24293"/>
    <cellStyle name="Output 5 5 2 2 3" xfId="15397"/>
    <cellStyle name="Output 5 5 2 2 3 2" xfId="28703"/>
    <cellStyle name="Output 5 5 2 2 4" xfId="19883"/>
    <cellStyle name="Output 5 5 2 2_Table" xfId="7991"/>
    <cellStyle name="Output 5 5 2 3" xfId="2019"/>
    <cellStyle name="Output 5 5 2 3 2" xfId="11347"/>
    <cellStyle name="Output 5 5 2 3 2 2" xfId="24653"/>
    <cellStyle name="Output 5 5 2 3 3" xfId="15757"/>
    <cellStyle name="Output 5 5 2 3 3 2" xfId="29063"/>
    <cellStyle name="Output 5 5 2 3 4" xfId="20243"/>
    <cellStyle name="Output 5 5 2 3_Table" xfId="7992"/>
    <cellStyle name="Output 5 5 2 4" xfId="2449"/>
    <cellStyle name="Output 5 5 2 4 2" xfId="11777"/>
    <cellStyle name="Output 5 5 2 4 2 2" xfId="25083"/>
    <cellStyle name="Output 5 5 2 4 3" xfId="16187"/>
    <cellStyle name="Output 5 5 2 4 3 2" xfId="29493"/>
    <cellStyle name="Output 5 5 2 4 4" xfId="20673"/>
    <cellStyle name="Output 5 5 2 4_Table" xfId="7993"/>
    <cellStyle name="Output 5 5 2 5" xfId="2887"/>
    <cellStyle name="Output 5 5 2 5 2" xfId="12215"/>
    <cellStyle name="Output 5 5 2 5 2 2" xfId="25521"/>
    <cellStyle name="Output 5 5 2 5 3" xfId="16625"/>
    <cellStyle name="Output 5 5 2 5 3 2" xfId="29931"/>
    <cellStyle name="Output 5 5 2 5 4" xfId="21111"/>
    <cellStyle name="Output 5 5 2 5_Table" xfId="7994"/>
    <cellStyle name="Output 5 5 2 6" xfId="3294"/>
    <cellStyle name="Output 5 5 2 6 2" xfId="12622"/>
    <cellStyle name="Output 5 5 2 6 2 2" xfId="25928"/>
    <cellStyle name="Output 5 5 2 6 3" xfId="17032"/>
    <cellStyle name="Output 5 5 2 6 3 2" xfId="30338"/>
    <cellStyle name="Output 5 5 2 6 4" xfId="21518"/>
    <cellStyle name="Output 5 5 2 6_Table" xfId="7995"/>
    <cellStyle name="Output 5 5 2 7" xfId="3886"/>
    <cellStyle name="Output 5 5 2 7 2" xfId="13214"/>
    <cellStyle name="Output 5 5 2 7 2 2" xfId="26520"/>
    <cellStyle name="Output 5 5 2 7 3" xfId="17624"/>
    <cellStyle name="Output 5 5 2 7 3 2" xfId="30930"/>
    <cellStyle name="Output 5 5 2 7 4" xfId="22110"/>
    <cellStyle name="Output 5 5 2 7_Table" xfId="7996"/>
    <cellStyle name="Output 5 5 2 8" xfId="4111"/>
    <cellStyle name="Output 5 5 2 8 2" xfId="13439"/>
    <cellStyle name="Output 5 5 2 8 2 2" xfId="26745"/>
    <cellStyle name="Output 5 5 2 8 3" xfId="17849"/>
    <cellStyle name="Output 5 5 2 8 3 2" xfId="31155"/>
    <cellStyle name="Output 5 5 2 8 4" xfId="22335"/>
    <cellStyle name="Output 5 5 2 8_Table" xfId="7997"/>
    <cellStyle name="Output 5 5 2 9" xfId="4472"/>
    <cellStyle name="Output 5 5 2 9 2" xfId="13800"/>
    <cellStyle name="Output 5 5 2 9 2 2" xfId="27106"/>
    <cellStyle name="Output 5 5 2 9 3" xfId="18210"/>
    <cellStyle name="Output 5 5 2 9 3 2" xfId="31516"/>
    <cellStyle name="Output 5 5 2 9 4" xfId="22696"/>
    <cellStyle name="Output 5 5 2 9_Table" xfId="7998"/>
    <cellStyle name="Output 5 5 2_Table" xfId="7989"/>
    <cellStyle name="Output 5 5 3" xfId="1418"/>
    <cellStyle name="Output 5 5 3 2" xfId="10746"/>
    <cellStyle name="Output 5 5 3 2 2" xfId="24052"/>
    <cellStyle name="Output 5 5 3 3" xfId="15156"/>
    <cellStyle name="Output 5 5 3 3 2" xfId="28462"/>
    <cellStyle name="Output 5 5 3 4" xfId="19642"/>
    <cellStyle name="Output 5 5 3_Table" xfId="7999"/>
    <cellStyle name="Output 5 5 4" xfId="1778"/>
    <cellStyle name="Output 5 5 4 2" xfId="11106"/>
    <cellStyle name="Output 5 5 4 2 2" xfId="24412"/>
    <cellStyle name="Output 5 5 4 3" xfId="15516"/>
    <cellStyle name="Output 5 5 4 3 2" xfId="28822"/>
    <cellStyle name="Output 5 5 4 4" xfId="20002"/>
    <cellStyle name="Output 5 5 4_Table" xfId="8000"/>
    <cellStyle name="Output 5 5 5" xfId="2211"/>
    <cellStyle name="Output 5 5 5 2" xfId="11539"/>
    <cellStyle name="Output 5 5 5 2 2" xfId="24845"/>
    <cellStyle name="Output 5 5 5 3" xfId="15949"/>
    <cellStyle name="Output 5 5 5 3 2" xfId="29255"/>
    <cellStyle name="Output 5 5 5 4" xfId="20435"/>
    <cellStyle name="Output 5 5 5_Table" xfId="8001"/>
    <cellStyle name="Output 5 5 6" xfId="2646"/>
    <cellStyle name="Output 5 5 6 2" xfId="11974"/>
    <cellStyle name="Output 5 5 6 2 2" xfId="25280"/>
    <cellStyle name="Output 5 5 6 3" xfId="16384"/>
    <cellStyle name="Output 5 5 6 3 2" xfId="29690"/>
    <cellStyle name="Output 5 5 6 4" xfId="20870"/>
    <cellStyle name="Output 5 5 6_Table" xfId="8002"/>
    <cellStyle name="Output 5 5 7" xfId="3059"/>
    <cellStyle name="Output 5 5 7 2" xfId="12387"/>
    <cellStyle name="Output 5 5 7 2 2" xfId="25693"/>
    <cellStyle name="Output 5 5 7 3" xfId="16797"/>
    <cellStyle name="Output 5 5 7 3 2" xfId="30103"/>
    <cellStyle name="Output 5 5 7 4" xfId="21283"/>
    <cellStyle name="Output 5 5 7_Table" xfId="8003"/>
    <cellStyle name="Output 5 5 8" xfId="3485"/>
    <cellStyle name="Output 5 5 8 2" xfId="12813"/>
    <cellStyle name="Output 5 5 8 2 2" xfId="26119"/>
    <cellStyle name="Output 5 5 8 3" xfId="17223"/>
    <cellStyle name="Output 5 5 8 3 2" xfId="30529"/>
    <cellStyle name="Output 5 5 8 4" xfId="21709"/>
    <cellStyle name="Output 5 5 8_Table" xfId="8004"/>
    <cellStyle name="Output 5 5 9" xfId="3574"/>
    <cellStyle name="Output 5 5 9 2" xfId="12902"/>
    <cellStyle name="Output 5 5 9 2 2" xfId="26208"/>
    <cellStyle name="Output 5 5 9 3" xfId="17312"/>
    <cellStyle name="Output 5 5 9 3 2" xfId="30618"/>
    <cellStyle name="Output 5 5 9 4" xfId="21798"/>
    <cellStyle name="Output 5 5 9_Table" xfId="8005"/>
    <cellStyle name="Output 5 5_Table" xfId="7986"/>
    <cellStyle name="Output 5 6" xfId="693"/>
    <cellStyle name="Output 5 6 10" xfId="4653"/>
    <cellStyle name="Output 5 6 10 2" xfId="13981"/>
    <cellStyle name="Output 5 6 10 2 2" xfId="27287"/>
    <cellStyle name="Output 5 6 10 3" xfId="18391"/>
    <cellStyle name="Output 5 6 10 3 2" xfId="31697"/>
    <cellStyle name="Output 5 6 10 4" xfId="22877"/>
    <cellStyle name="Output 5 6 10_Table" xfId="8007"/>
    <cellStyle name="Output 5 6 11" xfId="10021"/>
    <cellStyle name="Output 5 6 11 2" xfId="23327"/>
    <cellStyle name="Output 5 6 12" xfId="14431"/>
    <cellStyle name="Output 5 6 12 2" xfId="27737"/>
    <cellStyle name="Output 5 6 13" xfId="18917"/>
    <cellStyle name="Output 5 6 2" xfId="1479"/>
    <cellStyle name="Output 5 6 2 2" xfId="10807"/>
    <cellStyle name="Output 5 6 2 2 2" xfId="24113"/>
    <cellStyle name="Output 5 6 2 3" xfId="15217"/>
    <cellStyle name="Output 5 6 2 3 2" xfId="28523"/>
    <cellStyle name="Output 5 6 2 4" xfId="19703"/>
    <cellStyle name="Output 5 6 2_Table" xfId="8008"/>
    <cellStyle name="Output 5 6 3" xfId="1839"/>
    <cellStyle name="Output 5 6 3 2" xfId="11167"/>
    <cellStyle name="Output 5 6 3 2 2" xfId="24473"/>
    <cellStyle name="Output 5 6 3 3" xfId="15577"/>
    <cellStyle name="Output 5 6 3 3 2" xfId="28883"/>
    <cellStyle name="Output 5 6 3 4" xfId="20063"/>
    <cellStyle name="Output 5 6 3_Table" xfId="8009"/>
    <cellStyle name="Output 5 6 4" xfId="2269"/>
    <cellStyle name="Output 5 6 4 2" xfId="11597"/>
    <cellStyle name="Output 5 6 4 2 2" xfId="24903"/>
    <cellStyle name="Output 5 6 4 3" xfId="16007"/>
    <cellStyle name="Output 5 6 4 3 2" xfId="29313"/>
    <cellStyle name="Output 5 6 4 4" xfId="20493"/>
    <cellStyle name="Output 5 6 4_Table" xfId="8010"/>
    <cellStyle name="Output 5 6 5" xfId="2707"/>
    <cellStyle name="Output 5 6 5 2" xfId="12035"/>
    <cellStyle name="Output 5 6 5 2 2" xfId="25341"/>
    <cellStyle name="Output 5 6 5 3" xfId="16445"/>
    <cellStyle name="Output 5 6 5 3 2" xfId="29751"/>
    <cellStyle name="Output 5 6 5 4" xfId="20931"/>
    <cellStyle name="Output 5 6 5_Table" xfId="8011"/>
    <cellStyle name="Output 5 6 6" xfId="3114"/>
    <cellStyle name="Output 5 6 6 2" xfId="12442"/>
    <cellStyle name="Output 5 6 6 2 2" xfId="25748"/>
    <cellStyle name="Output 5 6 6 3" xfId="16852"/>
    <cellStyle name="Output 5 6 6 3 2" xfId="30158"/>
    <cellStyle name="Output 5 6 6 4" xfId="21338"/>
    <cellStyle name="Output 5 6 6_Table" xfId="8012"/>
    <cellStyle name="Output 5 6 7" xfId="3706"/>
    <cellStyle name="Output 5 6 7 2" xfId="13034"/>
    <cellStyle name="Output 5 6 7 2 2" xfId="26340"/>
    <cellStyle name="Output 5 6 7 3" xfId="17444"/>
    <cellStyle name="Output 5 6 7 3 2" xfId="30750"/>
    <cellStyle name="Output 5 6 7 4" xfId="21930"/>
    <cellStyle name="Output 5 6 7_Table" xfId="8013"/>
    <cellStyle name="Output 5 6 8" xfId="3931"/>
    <cellStyle name="Output 5 6 8 2" xfId="13259"/>
    <cellStyle name="Output 5 6 8 2 2" xfId="26565"/>
    <cellStyle name="Output 5 6 8 3" xfId="17669"/>
    <cellStyle name="Output 5 6 8 3 2" xfId="30975"/>
    <cellStyle name="Output 5 6 8 4" xfId="22155"/>
    <cellStyle name="Output 5 6 8_Table" xfId="8014"/>
    <cellStyle name="Output 5 6 9" xfId="4292"/>
    <cellStyle name="Output 5 6 9 2" xfId="13620"/>
    <cellStyle name="Output 5 6 9 2 2" xfId="26926"/>
    <cellStyle name="Output 5 6 9 3" xfId="18030"/>
    <cellStyle name="Output 5 6 9 3 2" xfId="31336"/>
    <cellStyle name="Output 5 6 9 4" xfId="22516"/>
    <cellStyle name="Output 5 6 9_Table" xfId="8015"/>
    <cellStyle name="Output 5 6_Table" xfId="8006"/>
    <cellStyle name="Output 5 7" xfId="1187"/>
    <cellStyle name="Output 5 7 2" xfId="10515"/>
    <cellStyle name="Output 5 7 2 2" xfId="23821"/>
    <cellStyle name="Output 5 7 3" xfId="14925"/>
    <cellStyle name="Output 5 7 3 2" xfId="28231"/>
    <cellStyle name="Output 5 7 4" xfId="19411"/>
    <cellStyle name="Output 5 7_Table" xfId="8016"/>
    <cellStyle name="Output 5 8" xfId="1057"/>
    <cellStyle name="Output 5 8 2" xfId="10385"/>
    <cellStyle name="Output 5 8 2 2" xfId="23691"/>
    <cellStyle name="Output 5 8 3" xfId="14795"/>
    <cellStyle name="Output 5 8 3 2" xfId="28101"/>
    <cellStyle name="Output 5 8 4" xfId="19281"/>
    <cellStyle name="Output 5 8_Table" xfId="8017"/>
    <cellStyle name="Output 5 9" xfId="1373"/>
    <cellStyle name="Output 5 9 2" xfId="10701"/>
    <cellStyle name="Output 5 9 2 2" xfId="24007"/>
    <cellStyle name="Output 5 9 3" xfId="15111"/>
    <cellStyle name="Output 5 9 3 2" xfId="28417"/>
    <cellStyle name="Output 5 9 4" xfId="19597"/>
    <cellStyle name="Output 5 9_Table" xfId="8018"/>
    <cellStyle name="Output 5_Table" xfId="7919"/>
    <cellStyle name="Output 6" xfId="354"/>
    <cellStyle name="Output 6 10" xfId="899"/>
    <cellStyle name="Output 6 10 2" xfId="10227"/>
    <cellStyle name="Output 6 10 2 2" xfId="23533"/>
    <cellStyle name="Output 6 10 3" xfId="14637"/>
    <cellStyle name="Output 6 10 3 2" xfId="27943"/>
    <cellStyle name="Output 6 10 4" xfId="19123"/>
    <cellStyle name="Output 6 10_Table" xfId="8020"/>
    <cellStyle name="Output 6 11" xfId="2104"/>
    <cellStyle name="Output 6 11 2" xfId="11432"/>
    <cellStyle name="Output 6 11 2 2" xfId="24738"/>
    <cellStyle name="Output 6 11 3" xfId="15842"/>
    <cellStyle name="Output 6 11 3 2" xfId="29148"/>
    <cellStyle name="Output 6 11 4" xfId="20328"/>
    <cellStyle name="Output 6 11_Table" xfId="8021"/>
    <cellStyle name="Output 6 12" xfId="2536"/>
    <cellStyle name="Output 6 12 2" xfId="11864"/>
    <cellStyle name="Output 6 12 2 2" xfId="25170"/>
    <cellStyle name="Output 6 12 3" xfId="16274"/>
    <cellStyle name="Output 6 12 3 2" xfId="29580"/>
    <cellStyle name="Output 6 12 4" xfId="20760"/>
    <cellStyle name="Output 6 12_Table" xfId="8022"/>
    <cellStyle name="Output 6 13" xfId="2541"/>
    <cellStyle name="Output 6 13 2" xfId="11869"/>
    <cellStyle name="Output 6 13 2 2" xfId="25175"/>
    <cellStyle name="Output 6 13 3" xfId="16279"/>
    <cellStyle name="Output 6 13 3 2" xfId="29585"/>
    <cellStyle name="Output 6 13 4" xfId="20765"/>
    <cellStyle name="Output 6 13_Table" xfId="8023"/>
    <cellStyle name="Output 6 14" xfId="3026"/>
    <cellStyle name="Output 6 14 2" xfId="12354"/>
    <cellStyle name="Output 6 14 2 2" xfId="25660"/>
    <cellStyle name="Output 6 14 3" xfId="16764"/>
    <cellStyle name="Output 6 14 3 2" xfId="30070"/>
    <cellStyle name="Output 6 14 4" xfId="21250"/>
    <cellStyle name="Output 6 14_Table" xfId="8024"/>
    <cellStyle name="Output 6 15" xfId="3322"/>
    <cellStyle name="Output 6 15 2" xfId="12650"/>
    <cellStyle name="Output 6 15 2 2" xfId="25956"/>
    <cellStyle name="Output 6 15 3" xfId="17060"/>
    <cellStyle name="Output 6 15 3 2" xfId="30366"/>
    <cellStyle name="Output 6 15 4" xfId="21546"/>
    <cellStyle name="Output 6 15_Table" xfId="8025"/>
    <cellStyle name="Output 6 16" xfId="9682"/>
    <cellStyle name="Output 6 16 2" xfId="23103"/>
    <cellStyle name="Output 6 17" xfId="14207"/>
    <cellStyle name="Output 6 17 2" xfId="27513"/>
    <cellStyle name="Output 6 18" xfId="18693"/>
    <cellStyle name="Output 6 2" xfId="425"/>
    <cellStyle name="Output 6 2 10" xfId="3014"/>
    <cellStyle name="Output 6 2 10 2" xfId="12342"/>
    <cellStyle name="Output 6 2 10 2 2" xfId="25648"/>
    <cellStyle name="Output 6 2 10 3" xfId="16752"/>
    <cellStyle name="Output 6 2 10 3 2" xfId="30058"/>
    <cellStyle name="Output 6 2 10 4" xfId="21238"/>
    <cellStyle name="Output 6 2 10_Table" xfId="8027"/>
    <cellStyle name="Output 6 2 11" xfId="3512"/>
    <cellStyle name="Output 6 2 11 2" xfId="12840"/>
    <cellStyle name="Output 6 2 11 2 2" xfId="26146"/>
    <cellStyle name="Output 6 2 11 3" xfId="17250"/>
    <cellStyle name="Output 6 2 11 3 2" xfId="30556"/>
    <cellStyle name="Output 6 2 11 4" xfId="21736"/>
    <cellStyle name="Output 6 2 11_Table" xfId="8028"/>
    <cellStyle name="Output 6 2 12" xfId="9753"/>
    <cellStyle name="Output 6 2 12 2" xfId="23148"/>
    <cellStyle name="Output 6 2 13" xfId="14252"/>
    <cellStyle name="Output 6 2 13 2" xfId="27558"/>
    <cellStyle name="Output 6 2 14" xfId="18738"/>
    <cellStyle name="Output 6 2 2" xfId="739"/>
    <cellStyle name="Output 6 2 2 10" xfId="4699"/>
    <cellStyle name="Output 6 2 2 10 2" xfId="14027"/>
    <cellStyle name="Output 6 2 2 10 2 2" xfId="27333"/>
    <cellStyle name="Output 6 2 2 10 3" xfId="18437"/>
    <cellStyle name="Output 6 2 2 10 3 2" xfId="31743"/>
    <cellStyle name="Output 6 2 2 10 4" xfId="22923"/>
    <cellStyle name="Output 6 2 2 10_Table" xfId="8030"/>
    <cellStyle name="Output 6 2 2 11" xfId="10067"/>
    <cellStyle name="Output 6 2 2 11 2" xfId="23373"/>
    <cellStyle name="Output 6 2 2 12" xfId="14477"/>
    <cellStyle name="Output 6 2 2 12 2" xfId="27783"/>
    <cellStyle name="Output 6 2 2 13" xfId="18963"/>
    <cellStyle name="Output 6 2 2 2" xfId="1525"/>
    <cellStyle name="Output 6 2 2 2 2" xfId="10853"/>
    <cellStyle name="Output 6 2 2 2 2 2" xfId="24159"/>
    <cellStyle name="Output 6 2 2 2 3" xfId="15263"/>
    <cellStyle name="Output 6 2 2 2 3 2" xfId="28569"/>
    <cellStyle name="Output 6 2 2 2 4" xfId="19749"/>
    <cellStyle name="Output 6 2 2 2_Table" xfId="8031"/>
    <cellStyle name="Output 6 2 2 3" xfId="1885"/>
    <cellStyle name="Output 6 2 2 3 2" xfId="11213"/>
    <cellStyle name="Output 6 2 2 3 2 2" xfId="24519"/>
    <cellStyle name="Output 6 2 2 3 3" xfId="15623"/>
    <cellStyle name="Output 6 2 2 3 3 2" xfId="28929"/>
    <cellStyle name="Output 6 2 2 3 4" xfId="20109"/>
    <cellStyle name="Output 6 2 2 3_Table" xfId="8032"/>
    <cellStyle name="Output 6 2 2 4" xfId="2315"/>
    <cellStyle name="Output 6 2 2 4 2" xfId="11643"/>
    <cellStyle name="Output 6 2 2 4 2 2" xfId="24949"/>
    <cellStyle name="Output 6 2 2 4 3" xfId="16053"/>
    <cellStyle name="Output 6 2 2 4 3 2" xfId="29359"/>
    <cellStyle name="Output 6 2 2 4 4" xfId="20539"/>
    <cellStyle name="Output 6 2 2 4_Table" xfId="8033"/>
    <cellStyle name="Output 6 2 2 5" xfId="2753"/>
    <cellStyle name="Output 6 2 2 5 2" xfId="12081"/>
    <cellStyle name="Output 6 2 2 5 2 2" xfId="25387"/>
    <cellStyle name="Output 6 2 2 5 3" xfId="16491"/>
    <cellStyle name="Output 6 2 2 5 3 2" xfId="29797"/>
    <cellStyle name="Output 6 2 2 5 4" xfId="20977"/>
    <cellStyle name="Output 6 2 2 5_Table" xfId="8034"/>
    <cellStyle name="Output 6 2 2 6" xfId="3160"/>
    <cellStyle name="Output 6 2 2 6 2" xfId="12488"/>
    <cellStyle name="Output 6 2 2 6 2 2" xfId="25794"/>
    <cellStyle name="Output 6 2 2 6 3" xfId="16898"/>
    <cellStyle name="Output 6 2 2 6 3 2" xfId="30204"/>
    <cellStyle name="Output 6 2 2 6 4" xfId="21384"/>
    <cellStyle name="Output 6 2 2 6_Table" xfId="8035"/>
    <cellStyle name="Output 6 2 2 7" xfId="3752"/>
    <cellStyle name="Output 6 2 2 7 2" xfId="13080"/>
    <cellStyle name="Output 6 2 2 7 2 2" xfId="26386"/>
    <cellStyle name="Output 6 2 2 7 3" xfId="17490"/>
    <cellStyle name="Output 6 2 2 7 3 2" xfId="30796"/>
    <cellStyle name="Output 6 2 2 7 4" xfId="21976"/>
    <cellStyle name="Output 6 2 2 7_Table" xfId="8036"/>
    <cellStyle name="Output 6 2 2 8" xfId="3977"/>
    <cellStyle name="Output 6 2 2 8 2" xfId="13305"/>
    <cellStyle name="Output 6 2 2 8 2 2" xfId="26611"/>
    <cellStyle name="Output 6 2 2 8 3" xfId="17715"/>
    <cellStyle name="Output 6 2 2 8 3 2" xfId="31021"/>
    <cellStyle name="Output 6 2 2 8 4" xfId="22201"/>
    <cellStyle name="Output 6 2 2 8_Table" xfId="8037"/>
    <cellStyle name="Output 6 2 2 9" xfId="4338"/>
    <cellStyle name="Output 6 2 2 9 2" xfId="13666"/>
    <cellStyle name="Output 6 2 2 9 2 2" xfId="26972"/>
    <cellStyle name="Output 6 2 2 9 3" xfId="18076"/>
    <cellStyle name="Output 6 2 2 9 3 2" xfId="31382"/>
    <cellStyle name="Output 6 2 2 9 4" xfId="22562"/>
    <cellStyle name="Output 6 2 2 9_Table" xfId="8038"/>
    <cellStyle name="Output 6 2 2_Table" xfId="8029"/>
    <cellStyle name="Output 6 2 3" xfId="1239"/>
    <cellStyle name="Output 6 2 3 2" xfId="10567"/>
    <cellStyle name="Output 6 2 3 2 2" xfId="23873"/>
    <cellStyle name="Output 6 2 3 3" xfId="14977"/>
    <cellStyle name="Output 6 2 3 3 2" xfId="28283"/>
    <cellStyle name="Output 6 2 3 4" xfId="19463"/>
    <cellStyle name="Output 6 2 3_Table" xfId="8039"/>
    <cellStyle name="Output 6 2 4" xfId="987"/>
    <cellStyle name="Output 6 2 4 2" xfId="10315"/>
    <cellStyle name="Output 6 2 4 2 2" xfId="23621"/>
    <cellStyle name="Output 6 2 4 3" xfId="14725"/>
    <cellStyle name="Output 6 2 4 3 2" xfId="28031"/>
    <cellStyle name="Output 6 2 4 4" xfId="19211"/>
    <cellStyle name="Output 6 2 4_Table" xfId="8040"/>
    <cellStyle name="Output 6 2 5" xfId="1432"/>
    <cellStyle name="Output 6 2 5 2" xfId="10760"/>
    <cellStyle name="Output 6 2 5 2 2" xfId="24066"/>
    <cellStyle name="Output 6 2 5 3" xfId="15170"/>
    <cellStyle name="Output 6 2 5 3 2" xfId="28476"/>
    <cellStyle name="Output 6 2 5 4" xfId="19656"/>
    <cellStyle name="Output 6 2 5_Table" xfId="8041"/>
    <cellStyle name="Output 6 2 6" xfId="955"/>
    <cellStyle name="Output 6 2 6 2" xfId="10283"/>
    <cellStyle name="Output 6 2 6 2 2" xfId="23589"/>
    <cellStyle name="Output 6 2 6 3" xfId="14693"/>
    <cellStyle name="Output 6 2 6 3 2" xfId="27999"/>
    <cellStyle name="Output 6 2 6 4" xfId="19179"/>
    <cellStyle name="Output 6 2 6_Table" xfId="8042"/>
    <cellStyle name="Output 6 2 7" xfId="2049"/>
    <cellStyle name="Output 6 2 7 2" xfId="11377"/>
    <cellStyle name="Output 6 2 7 2 2" xfId="24683"/>
    <cellStyle name="Output 6 2 7 3" xfId="15787"/>
    <cellStyle name="Output 6 2 7 3 2" xfId="29093"/>
    <cellStyle name="Output 6 2 7 4" xfId="20273"/>
    <cellStyle name="Output 6 2 7_Table" xfId="8043"/>
    <cellStyle name="Output 6 2 8" xfId="2481"/>
    <cellStyle name="Output 6 2 8 2" xfId="11809"/>
    <cellStyle name="Output 6 2 8 2 2" xfId="25115"/>
    <cellStyle name="Output 6 2 8 3" xfId="16219"/>
    <cellStyle name="Output 6 2 8 3 2" xfId="29525"/>
    <cellStyle name="Output 6 2 8 4" xfId="20705"/>
    <cellStyle name="Output 6 2 8_Table" xfId="8044"/>
    <cellStyle name="Output 6 2 9" xfId="2906"/>
    <cellStyle name="Output 6 2 9 2" xfId="12234"/>
    <cellStyle name="Output 6 2 9 2 2" xfId="25540"/>
    <cellStyle name="Output 6 2 9 3" xfId="16644"/>
    <cellStyle name="Output 6 2 9 3 2" xfId="29950"/>
    <cellStyle name="Output 6 2 9 4" xfId="21130"/>
    <cellStyle name="Output 6 2 9_Table" xfId="8045"/>
    <cellStyle name="Output 6 2_Table" xfId="8026"/>
    <cellStyle name="Output 6 3" xfId="493"/>
    <cellStyle name="Output 6 3 10" xfId="4158"/>
    <cellStyle name="Output 6 3 10 2" xfId="13486"/>
    <cellStyle name="Output 6 3 10 2 2" xfId="26792"/>
    <cellStyle name="Output 6 3 10 3" xfId="17896"/>
    <cellStyle name="Output 6 3 10 3 2" xfId="31202"/>
    <cellStyle name="Output 6 3 10 4" xfId="22382"/>
    <cellStyle name="Output 6 3 10_Table" xfId="8047"/>
    <cellStyle name="Output 6 3 11" xfId="4519"/>
    <cellStyle name="Output 6 3 11 2" xfId="13847"/>
    <cellStyle name="Output 6 3 11 2 2" xfId="27153"/>
    <cellStyle name="Output 6 3 11 3" xfId="18257"/>
    <cellStyle name="Output 6 3 11 3 2" xfId="31563"/>
    <cellStyle name="Output 6 3 11 4" xfId="22743"/>
    <cellStyle name="Output 6 3 11_Table" xfId="8048"/>
    <cellStyle name="Output 6 3 12" xfId="9821"/>
    <cellStyle name="Output 6 3 12 2" xfId="23193"/>
    <cellStyle name="Output 6 3 13" xfId="14297"/>
    <cellStyle name="Output 6 3 13 2" xfId="27603"/>
    <cellStyle name="Output 6 3 14" xfId="18783"/>
    <cellStyle name="Output 6 3 2" xfId="784"/>
    <cellStyle name="Output 6 3 2 10" xfId="4744"/>
    <cellStyle name="Output 6 3 2 10 2" xfId="14072"/>
    <cellStyle name="Output 6 3 2 10 2 2" xfId="27378"/>
    <cellStyle name="Output 6 3 2 10 3" xfId="18482"/>
    <cellStyle name="Output 6 3 2 10 3 2" xfId="31788"/>
    <cellStyle name="Output 6 3 2 10 4" xfId="22968"/>
    <cellStyle name="Output 6 3 2 10_Table" xfId="8050"/>
    <cellStyle name="Output 6 3 2 11" xfId="10112"/>
    <cellStyle name="Output 6 3 2 11 2" xfId="23418"/>
    <cellStyle name="Output 6 3 2 12" xfId="14522"/>
    <cellStyle name="Output 6 3 2 12 2" xfId="27828"/>
    <cellStyle name="Output 6 3 2 13" xfId="19008"/>
    <cellStyle name="Output 6 3 2 2" xfId="1570"/>
    <cellStyle name="Output 6 3 2 2 2" xfId="10898"/>
    <cellStyle name="Output 6 3 2 2 2 2" xfId="24204"/>
    <cellStyle name="Output 6 3 2 2 3" xfId="15308"/>
    <cellStyle name="Output 6 3 2 2 3 2" xfId="28614"/>
    <cellStyle name="Output 6 3 2 2 4" xfId="19794"/>
    <cellStyle name="Output 6 3 2 2_Table" xfId="8051"/>
    <cellStyle name="Output 6 3 2 3" xfId="1930"/>
    <cellStyle name="Output 6 3 2 3 2" xfId="11258"/>
    <cellStyle name="Output 6 3 2 3 2 2" xfId="24564"/>
    <cellStyle name="Output 6 3 2 3 3" xfId="15668"/>
    <cellStyle name="Output 6 3 2 3 3 2" xfId="28974"/>
    <cellStyle name="Output 6 3 2 3 4" xfId="20154"/>
    <cellStyle name="Output 6 3 2 3_Table" xfId="8052"/>
    <cellStyle name="Output 6 3 2 4" xfId="2360"/>
    <cellStyle name="Output 6 3 2 4 2" xfId="11688"/>
    <cellStyle name="Output 6 3 2 4 2 2" xfId="24994"/>
    <cellStyle name="Output 6 3 2 4 3" xfId="16098"/>
    <cellStyle name="Output 6 3 2 4 3 2" xfId="29404"/>
    <cellStyle name="Output 6 3 2 4 4" xfId="20584"/>
    <cellStyle name="Output 6 3 2 4_Table" xfId="8053"/>
    <cellStyle name="Output 6 3 2 5" xfId="2798"/>
    <cellStyle name="Output 6 3 2 5 2" xfId="12126"/>
    <cellStyle name="Output 6 3 2 5 2 2" xfId="25432"/>
    <cellStyle name="Output 6 3 2 5 3" xfId="16536"/>
    <cellStyle name="Output 6 3 2 5 3 2" xfId="29842"/>
    <cellStyle name="Output 6 3 2 5 4" xfId="21022"/>
    <cellStyle name="Output 6 3 2 5_Table" xfId="8054"/>
    <cellStyle name="Output 6 3 2 6" xfId="3205"/>
    <cellStyle name="Output 6 3 2 6 2" xfId="12533"/>
    <cellStyle name="Output 6 3 2 6 2 2" xfId="25839"/>
    <cellStyle name="Output 6 3 2 6 3" xfId="16943"/>
    <cellStyle name="Output 6 3 2 6 3 2" xfId="30249"/>
    <cellStyle name="Output 6 3 2 6 4" xfId="21429"/>
    <cellStyle name="Output 6 3 2 6_Table" xfId="8055"/>
    <cellStyle name="Output 6 3 2 7" xfId="3797"/>
    <cellStyle name="Output 6 3 2 7 2" xfId="13125"/>
    <cellStyle name="Output 6 3 2 7 2 2" xfId="26431"/>
    <cellStyle name="Output 6 3 2 7 3" xfId="17535"/>
    <cellStyle name="Output 6 3 2 7 3 2" xfId="30841"/>
    <cellStyle name="Output 6 3 2 7 4" xfId="22021"/>
    <cellStyle name="Output 6 3 2 7_Table" xfId="8056"/>
    <cellStyle name="Output 6 3 2 8" xfId="4022"/>
    <cellStyle name="Output 6 3 2 8 2" xfId="13350"/>
    <cellStyle name="Output 6 3 2 8 2 2" xfId="26656"/>
    <cellStyle name="Output 6 3 2 8 3" xfId="17760"/>
    <cellStyle name="Output 6 3 2 8 3 2" xfId="31066"/>
    <cellStyle name="Output 6 3 2 8 4" xfId="22246"/>
    <cellStyle name="Output 6 3 2 8_Table" xfId="8057"/>
    <cellStyle name="Output 6 3 2 9" xfId="4383"/>
    <cellStyle name="Output 6 3 2 9 2" xfId="13711"/>
    <cellStyle name="Output 6 3 2 9 2 2" xfId="27017"/>
    <cellStyle name="Output 6 3 2 9 3" xfId="18121"/>
    <cellStyle name="Output 6 3 2 9 3 2" xfId="31427"/>
    <cellStyle name="Output 6 3 2 9 4" xfId="22607"/>
    <cellStyle name="Output 6 3 2 9_Table" xfId="8058"/>
    <cellStyle name="Output 6 3 2_Table" xfId="8049"/>
    <cellStyle name="Output 6 3 3" xfId="1296"/>
    <cellStyle name="Output 6 3 3 2" xfId="10624"/>
    <cellStyle name="Output 6 3 3 2 2" xfId="23930"/>
    <cellStyle name="Output 6 3 3 3" xfId="15034"/>
    <cellStyle name="Output 6 3 3 3 2" xfId="28340"/>
    <cellStyle name="Output 6 3 3 4" xfId="19520"/>
    <cellStyle name="Output 6 3 3_Table" xfId="8059"/>
    <cellStyle name="Output 6 3 4" xfId="921"/>
    <cellStyle name="Output 6 3 4 2" xfId="10249"/>
    <cellStyle name="Output 6 3 4 2 2" xfId="23555"/>
    <cellStyle name="Output 6 3 4 3" xfId="14659"/>
    <cellStyle name="Output 6 3 4 3 2" xfId="27965"/>
    <cellStyle name="Output 6 3 4 4" xfId="19145"/>
    <cellStyle name="Output 6 3 4_Table" xfId="8060"/>
    <cellStyle name="Output 6 3 5" xfId="2084"/>
    <cellStyle name="Output 6 3 5 2" xfId="11412"/>
    <cellStyle name="Output 6 3 5 2 2" xfId="24718"/>
    <cellStyle name="Output 6 3 5 3" xfId="15822"/>
    <cellStyle name="Output 6 3 5 3 2" xfId="29128"/>
    <cellStyle name="Output 6 3 5 4" xfId="20308"/>
    <cellStyle name="Output 6 3 5_Table" xfId="8061"/>
    <cellStyle name="Output 6 3 6" xfId="2516"/>
    <cellStyle name="Output 6 3 6 2" xfId="11844"/>
    <cellStyle name="Output 6 3 6 2 2" xfId="25150"/>
    <cellStyle name="Output 6 3 6 3" xfId="16254"/>
    <cellStyle name="Output 6 3 6 3 2" xfId="29560"/>
    <cellStyle name="Output 6 3 6 4" xfId="20740"/>
    <cellStyle name="Output 6 3 6_Table" xfId="8062"/>
    <cellStyle name="Output 6 3 7" xfId="2944"/>
    <cellStyle name="Output 6 3 7 2" xfId="12272"/>
    <cellStyle name="Output 6 3 7 2 2" xfId="25578"/>
    <cellStyle name="Output 6 3 7 3" xfId="16682"/>
    <cellStyle name="Output 6 3 7 3 2" xfId="29988"/>
    <cellStyle name="Output 6 3 7 4" xfId="21168"/>
    <cellStyle name="Output 6 3 7_Table" xfId="8063"/>
    <cellStyle name="Output 6 3 8" xfId="3357"/>
    <cellStyle name="Output 6 3 8 2" xfId="12685"/>
    <cellStyle name="Output 6 3 8 2 2" xfId="25991"/>
    <cellStyle name="Output 6 3 8 3" xfId="17095"/>
    <cellStyle name="Output 6 3 8 3 2" xfId="30401"/>
    <cellStyle name="Output 6 3 8 4" xfId="21581"/>
    <cellStyle name="Output 6 3 8_Table" xfId="8064"/>
    <cellStyle name="Output 6 3 9" xfId="2609"/>
    <cellStyle name="Output 6 3 9 2" xfId="11937"/>
    <cellStyle name="Output 6 3 9 2 2" xfId="25243"/>
    <cellStyle name="Output 6 3 9 3" xfId="16347"/>
    <cellStyle name="Output 6 3 9 3 2" xfId="29653"/>
    <cellStyle name="Output 6 3 9 4" xfId="20833"/>
    <cellStyle name="Output 6 3 9_Table" xfId="8065"/>
    <cellStyle name="Output 6 3_Table" xfId="8046"/>
    <cellStyle name="Output 6 4" xfId="557"/>
    <cellStyle name="Output 6 4 10" xfId="4203"/>
    <cellStyle name="Output 6 4 10 2" xfId="13531"/>
    <cellStyle name="Output 6 4 10 2 2" xfId="26837"/>
    <cellStyle name="Output 6 4 10 3" xfId="17941"/>
    <cellStyle name="Output 6 4 10 3 2" xfId="31247"/>
    <cellStyle name="Output 6 4 10 4" xfId="22427"/>
    <cellStyle name="Output 6 4 10_Table" xfId="8067"/>
    <cellStyle name="Output 6 4 11" xfId="4564"/>
    <cellStyle name="Output 6 4 11 2" xfId="13892"/>
    <cellStyle name="Output 6 4 11 2 2" xfId="27198"/>
    <cellStyle name="Output 6 4 11 3" xfId="18302"/>
    <cellStyle name="Output 6 4 11 3 2" xfId="31608"/>
    <cellStyle name="Output 6 4 11 4" xfId="22788"/>
    <cellStyle name="Output 6 4 11_Table" xfId="8068"/>
    <cellStyle name="Output 6 4 12" xfId="9885"/>
    <cellStyle name="Output 6 4 12 2" xfId="23238"/>
    <cellStyle name="Output 6 4 13" xfId="14342"/>
    <cellStyle name="Output 6 4 13 2" xfId="27648"/>
    <cellStyle name="Output 6 4 14" xfId="18828"/>
    <cellStyle name="Output 6 4 2" xfId="829"/>
    <cellStyle name="Output 6 4 2 10" xfId="4789"/>
    <cellStyle name="Output 6 4 2 10 2" xfId="14117"/>
    <cellStyle name="Output 6 4 2 10 2 2" xfId="27423"/>
    <cellStyle name="Output 6 4 2 10 3" xfId="18527"/>
    <cellStyle name="Output 6 4 2 10 3 2" xfId="31833"/>
    <cellStyle name="Output 6 4 2 10 4" xfId="23013"/>
    <cellStyle name="Output 6 4 2 10_Table" xfId="8070"/>
    <cellStyle name="Output 6 4 2 11" xfId="10157"/>
    <cellStyle name="Output 6 4 2 11 2" xfId="23463"/>
    <cellStyle name="Output 6 4 2 12" xfId="14567"/>
    <cellStyle name="Output 6 4 2 12 2" xfId="27873"/>
    <cellStyle name="Output 6 4 2 13" xfId="19053"/>
    <cellStyle name="Output 6 4 2 2" xfId="1615"/>
    <cellStyle name="Output 6 4 2 2 2" xfId="10943"/>
    <cellStyle name="Output 6 4 2 2 2 2" xfId="24249"/>
    <cellStyle name="Output 6 4 2 2 3" xfId="15353"/>
    <cellStyle name="Output 6 4 2 2 3 2" xfId="28659"/>
    <cellStyle name="Output 6 4 2 2 4" xfId="19839"/>
    <cellStyle name="Output 6 4 2 2_Table" xfId="8071"/>
    <cellStyle name="Output 6 4 2 3" xfId="1975"/>
    <cellStyle name="Output 6 4 2 3 2" xfId="11303"/>
    <cellStyle name="Output 6 4 2 3 2 2" xfId="24609"/>
    <cellStyle name="Output 6 4 2 3 3" xfId="15713"/>
    <cellStyle name="Output 6 4 2 3 3 2" xfId="29019"/>
    <cellStyle name="Output 6 4 2 3 4" xfId="20199"/>
    <cellStyle name="Output 6 4 2 3_Table" xfId="8072"/>
    <cellStyle name="Output 6 4 2 4" xfId="2405"/>
    <cellStyle name="Output 6 4 2 4 2" xfId="11733"/>
    <cellStyle name="Output 6 4 2 4 2 2" xfId="25039"/>
    <cellStyle name="Output 6 4 2 4 3" xfId="16143"/>
    <cellStyle name="Output 6 4 2 4 3 2" xfId="29449"/>
    <cellStyle name="Output 6 4 2 4 4" xfId="20629"/>
    <cellStyle name="Output 6 4 2 4_Table" xfId="8073"/>
    <cellStyle name="Output 6 4 2 5" xfId="2843"/>
    <cellStyle name="Output 6 4 2 5 2" xfId="12171"/>
    <cellStyle name="Output 6 4 2 5 2 2" xfId="25477"/>
    <cellStyle name="Output 6 4 2 5 3" xfId="16581"/>
    <cellStyle name="Output 6 4 2 5 3 2" xfId="29887"/>
    <cellStyle name="Output 6 4 2 5 4" xfId="21067"/>
    <cellStyle name="Output 6 4 2 5_Table" xfId="8074"/>
    <cellStyle name="Output 6 4 2 6" xfId="3250"/>
    <cellStyle name="Output 6 4 2 6 2" xfId="12578"/>
    <cellStyle name="Output 6 4 2 6 2 2" xfId="25884"/>
    <cellStyle name="Output 6 4 2 6 3" xfId="16988"/>
    <cellStyle name="Output 6 4 2 6 3 2" xfId="30294"/>
    <cellStyle name="Output 6 4 2 6 4" xfId="21474"/>
    <cellStyle name="Output 6 4 2 6_Table" xfId="8075"/>
    <cellStyle name="Output 6 4 2 7" xfId="3842"/>
    <cellStyle name="Output 6 4 2 7 2" xfId="13170"/>
    <cellStyle name="Output 6 4 2 7 2 2" xfId="26476"/>
    <cellStyle name="Output 6 4 2 7 3" xfId="17580"/>
    <cellStyle name="Output 6 4 2 7 3 2" xfId="30886"/>
    <cellStyle name="Output 6 4 2 7 4" xfId="22066"/>
    <cellStyle name="Output 6 4 2 7_Table" xfId="8076"/>
    <cellStyle name="Output 6 4 2 8" xfId="4067"/>
    <cellStyle name="Output 6 4 2 8 2" xfId="13395"/>
    <cellStyle name="Output 6 4 2 8 2 2" xfId="26701"/>
    <cellStyle name="Output 6 4 2 8 3" xfId="17805"/>
    <cellStyle name="Output 6 4 2 8 3 2" xfId="31111"/>
    <cellStyle name="Output 6 4 2 8 4" xfId="22291"/>
    <cellStyle name="Output 6 4 2 8_Table" xfId="8077"/>
    <cellStyle name="Output 6 4 2 9" xfId="4428"/>
    <cellStyle name="Output 6 4 2 9 2" xfId="13756"/>
    <cellStyle name="Output 6 4 2 9 2 2" xfId="27062"/>
    <cellStyle name="Output 6 4 2 9 3" xfId="18166"/>
    <cellStyle name="Output 6 4 2 9 3 2" xfId="31472"/>
    <cellStyle name="Output 6 4 2 9 4" xfId="22652"/>
    <cellStyle name="Output 6 4 2 9_Table" xfId="8078"/>
    <cellStyle name="Output 6 4 2_Table" xfId="8069"/>
    <cellStyle name="Output 6 4 3" xfId="1352"/>
    <cellStyle name="Output 6 4 3 2" xfId="10680"/>
    <cellStyle name="Output 6 4 3 2 2" xfId="23986"/>
    <cellStyle name="Output 6 4 3 3" xfId="15090"/>
    <cellStyle name="Output 6 4 3 3 2" xfId="28396"/>
    <cellStyle name="Output 6 4 3 4" xfId="19576"/>
    <cellStyle name="Output 6 4 3_Table" xfId="8079"/>
    <cellStyle name="Output 6 4 4" xfId="1709"/>
    <cellStyle name="Output 6 4 4 2" xfId="11037"/>
    <cellStyle name="Output 6 4 4 2 2" xfId="24343"/>
    <cellStyle name="Output 6 4 4 3" xfId="15447"/>
    <cellStyle name="Output 6 4 4 3 2" xfId="28753"/>
    <cellStyle name="Output 6 4 4 4" xfId="19933"/>
    <cellStyle name="Output 6 4 4_Table" xfId="8080"/>
    <cellStyle name="Output 6 4 5" xfId="2143"/>
    <cellStyle name="Output 6 4 5 2" xfId="11471"/>
    <cellStyle name="Output 6 4 5 2 2" xfId="24777"/>
    <cellStyle name="Output 6 4 5 3" xfId="15881"/>
    <cellStyle name="Output 6 4 5 3 2" xfId="29187"/>
    <cellStyle name="Output 6 4 5 4" xfId="20367"/>
    <cellStyle name="Output 6 4 5_Table" xfId="8081"/>
    <cellStyle name="Output 6 4 6" xfId="2575"/>
    <cellStyle name="Output 6 4 6 2" xfId="11903"/>
    <cellStyle name="Output 6 4 6 2 2" xfId="25209"/>
    <cellStyle name="Output 6 4 6 3" xfId="16313"/>
    <cellStyle name="Output 6 4 6 3 2" xfId="29619"/>
    <cellStyle name="Output 6 4 6 4" xfId="20799"/>
    <cellStyle name="Output 6 4 6_Table" xfId="8082"/>
    <cellStyle name="Output 6 4 7" xfId="3001"/>
    <cellStyle name="Output 6 4 7 2" xfId="12329"/>
    <cellStyle name="Output 6 4 7 2 2" xfId="25635"/>
    <cellStyle name="Output 6 4 7 3" xfId="16739"/>
    <cellStyle name="Output 6 4 7 3 2" xfId="30045"/>
    <cellStyle name="Output 6 4 7 4" xfId="21225"/>
    <cellStyle name="Output 6 4 7_Table" xfId="8083"/>
    <cellStyle name="Output 6 4 8" xfId="3415"/>
    <cellStyle name="Output 6 4 8 2" xfId="12743"/>
    <cellStyle name="Output 6 4 8 2 2" xfId="26049"/>
    <cellStyle name="Output 6 4 8 3" xfId="17153"/>
    <cellStyle name="Output 6 4 8 3 2" xfId="30459"/>
    <cellStyle name="Output 6 4 8 4" xfId="21639"/>
    <cellStyle name="Output 6 4 8_Table" xfId="8084"/>
    <cellStyle name="Output 6 4 9" xfId="3597"/>
    <cellStyle name="Output 6 4 9 2" xfId="12925"/>
    <cellStyle name="Output 6 4 9 2 2" xfId="26231"/>
    <cellStyle name="Output 6 4 9 3" xfId="17335"/>
    <cellStyle name="Output 6 4 9 3 2" xfId="30641"/>
    <cellStyle name="Output 6 4 9 4" xfId="21821"/>
    <cellStyle name="Output 6 4 9_Table" xfId="8085"/>
    <cellStyle name="Output 6 4_Table" xfId="8066"/>
    <cellStyle name="Output 6 5" xfId="632"/>
    <cellStyle name="Output 6 5 10" xfId="4248"/>
    <cellStyle name="Output 6 5 10 2" xfId="13576"/>
    <cellStyle name="Output 6 5 10 2 2" xfId="26882"/>
    <cellStyle name="Output 6 5 10 3" xfId="17986"/>
    <cellStyle name="Output 6 5 10 3 2" xfId="31292"/>
    <cellStyle name="Output 6 5 10 4" xfId="22472"/>
    <cellStyle name="Output 6 5 10_Table" xfId="8087"/>
    <cellStyle name="Output 6 5 11" xfId="4609"/>
    <cellStyle name="Output 6 5 11 2" xfId="13937"/>
    <cellStyle name="Output 6 5 11 2 2" xfId="27243"/>
    <cellStyle name="Output 6 5 11 3" xfId="18347"/>
    <cellStyle name="Output 6 5 11 3 2" xfId="31653"/>
    <cellStyle name="Output 6 5 11 4" xfId="22833"/>
    <cellStyle name="Output 6 5 11_Table" xfId="8088"/>
    <cellStyle name="Output 6 5 12" xfId="9960"/>
    <cellStyle name="Output 6 5 12 2" xfId="23283"/>
    <cellStyle name="Output 6 5 13" xfId="14387"/>
    <cellStyle name="Output 6 5 13 2" xfId="27693"/>
    <cellStyle name="Output 6 5 14" xfId="18873"/>
    <cellStyle name="Output 6 5 2" xfId="874"/>
    <cellStyle name="Output 6 5 2 10" xfId="4834"/>
    <cellStyle name="Output 6 5 2 10 2" xfId="14162"/>
    <cellStyle name="Output 6 5 2 10 2 2" xfId="27468"/>
    <cellStyle name="Output 6 5 2 10 3" xfId="18572"/>
    <cellStyle name="Output 6 5 2 10 3 2" xfId="31878"/>
    <cellStyle name="Output 6 5 2 10 4" xfId="23058"/>
    <cellStyle name="Output 6 5 2 10_Table" xfId="8090"/>
    <cellStyle name="Output 6 5 2 11" xfId="10202"/>
    <cellStyle name="Output 6 5 2 11 2" xfId="23508"/>
    <cellStyle name="Output 6 5 2 12" xfId="14612"/>
    <cellStyle name="Output 6 5 2 12 2" xfId="27918"/>
    <cellStyle name="Output 6 5 2 13" xfId="19098"/>
    <cellStyle name="Output 6 5 2 2" xfId="1660"/>
    <cellStyle name="Output 6 5 2 2 2" xfId="10988"/>
    <cellStyle name="Output 6 5 2 2 2 2" xfId="24294"/>
    <cellStyle name="Output 6 5 2 2 3" xfId="15398"/>
    <cellStyle name="Output 6 5 2 2 3 2" xfId="28704"/>
    <cellStyle name="Output 6 5 2 2 4" xfId="19884"/>
    <cellStyle name="Output 6 5 2 2_Table" xfId="8091"/>
    <cellStyle name="Output 6 5 2 3" xfId="2020"/>
    <cellStyle name="Output 6 5 2 3 2" xfId="11348"/>
    <cellStyle name="Output 6 5 2 3 2 2" xfId="24654"/>
    <cellStyle name="Output 6 5 2 3 3" xfId="15758"/>
    <cellStyle name="Output 6 5 2 3 3 2" xfId="29064"/>
    <cellStyle name="Output 6 5 2 3 4" xfId="20244"/>
    <cellStyle name="Output 6 5 2 3_Table" xfId="8092"/>
    <cellStyle name="Output 6 5 2 4" xfId="2450"/>
    <cellStyle name="Output 6 5 2 4 2" xfId="11778"/>
    <cellStyle name="Output 6 5 2 4 2 2" xfId="25084"/>
    <cellStyle name="Output 6 5 2 4 3" xfId="16188"/>
    <cellStyle name="Output 6 5 2 4 3 2" xfId="29494"/>
    <cellStyle name="Output 6 5 2 4 4" xfId="20674"/>
    <cellStyle name="Output 6 5 2 4_Table" xfId="8093"/>
    <cellStyle name="Output 6 5 2 5" xfId="2888"/>
    <cellStyle name="Output 6 5 2 5 2" xfId="12216"/>
    <cellStyle name="Output 6 5 2 5 2 2" xfId="25522"/>
    <cellStyle name="Output 6 5 2 5 3" xfId="16626"/>
    <cellStyle name="Output 6 5 2 5 3 2" xfId="29932"/>
    <cellStyle name="Output 6 5 2 5 4" xfId="21112"/>
    <cellStyle name="Output 6 5 2 5_Table" xfId="8094"/>
    <cellStyle name="Output 6 5 2 6" xfId="3295"/>
    <cellStyle name="Output 6 5 2 6 2" xfId="12623"/>
    <cellStyle name="Output 6 5 2 6 2 2" xfId="25929"/>
    <cellStyle name="Output 6 5 2 6 3" xfId="17033"/>
    <cellStyle name="Output 6 5 2 6 3 2" xfId="30339"/>
    <cellStyle name="Output 6 5 2 6 4" xfId="21519"/>
    <cellStyle name="Output 6 5 2 6_Table" xfId="8095"/>
    <cellStyle name="Output 6 5 2 7" xfId="3887"/>
    <cellStyle name="Output 6 5 2 7 2" xfId="13215"/>
    <cellStyle name="Output 6 5 2 7 2 2" xfId="26521"/>
    <cellStyle name="Output 6 5 2 7 3" xfId="17625"/>
    <cellStyle name="Output 6 5 2 7 3 2" xfId="30931"/>
    <cellStyle name="Output 6 5 2 7 4" xfId="22111"/>
    <cellStyle name="Output 6 5 2 7_Table" xfId="8096"/>
    <cellStyle name="Output 6 5 2 8" xfId="4112"/>
    <cellStyle name="Output 6 5 2 8 2" xfId="13440"/>
    <cellStyle name="Output 6 5 2 8 2 2" xfId="26746"/>
    <cellStyle name="Output 6 5 2 8 3" xfId="17850"/>
    <cellStyle name="Output 6 5 2 8 3 2" xfId="31156"/>
    <cellStyle name="Output 6 5 2 8 4" xfId="22336"/>
    <cellStyle name="Output 6 5 2 8_Table" xfId="8097"/>
    <cellStyle name="Output 6 5 2 9" xfId="4473"/>
    <cellStyle name="Output 6 5 2 9 2" xfId="13801"/>
    <cellStyle name="Output 6 5 2 9 2 2" xfId="27107"/>
    <cellStyle name="Output 6 5 2 9 3" xfId="18211"/>
    <cellStyle name="Output 6 5 2 9 3 2" xfId="31517"/>
    <cellStyle name="Output 6 5 2 9 4" xfId="22697"/>
    <cellStyle name="Output 6 5 2 9_Table" xfId="8098"/>
    <cellStyle name="Output 6 5 2_Table" xfId="8089"/>
    <cellStyle name="Output 6 5 3" xfId="1419"/>
    <cellStyle name="Output 6 5 3 2" xfId="10747"/>
    <cellStyle name="Output 6 5 3 2 2" xfId="24053"/>
    <cellStyle name="Output 6 5 3 3" xfId="15157"/>
    <cellStyle name="Output 6 5 3 3 2" xfId="28463"/>
    <cellStyle name="Output 6 5 3 4" xfId="19643"/>
    <cellStyle name="Output 6 5 3_Table" xfId="8099"/>
    <cellStyle name="Output 6 5 4" xfId="1779"/>
    <cellStyle name="Output 6 5 4 2" xfId="11107"/>
    <cellStyle name="Output 6 5 4 2 2" xfId="24413"/>
    <cellStyle name="Output 6 5 4 3" xfId="15517"/>
    <cellStyle name="Output 6 5 4 3 2" xfId="28823"/>
    <cellStyle name="Output 6 5 4 4" xfId="20003"/>
    <cellStyle name="Output 6 5 4_Table" xfId="8100"/>
    <cellStyle name="Output 6 5 5" xfId="2212"/>
    <cellStyle name="Output 6 5 5 2" xfId="11540"/>
    <cellStyle name="Output 6 5 5 2 2" xfId="24846"/>
    <cellStyle name="Output 6 5 5 3" xfId="15950"/>
    <cellStyle name="Output 6 5 5 3 2" xfId="29256"/>
    <cellStyle name="Output 6 5 5 4" xfId="20436"/>
    <cellStyle name="Output 6 5 5_Table" xfId="8101"/>
    <cellStyle name="Output 6 5 6" xfId="2647"/>
    <cellStyle name="Output 6 5 6 2" xfId="11975"/>
    <cellStyle name="Output 6 5 6 2 2" xfId="25281"/>
    <cellStyle name="Output 6 5 6 3" xfId="16385"/>
    <cellStyle name="Output 6 5 6 3 2" xfId="29691"/>
    <cellStyle name="Output 6 5 6 4" xfId="20871"/>
    <cellStyle name="Output 6 5 6_Table" xfId="8102"/>
    <cellStyle name="Output 6 5 7" xfId="3060"/>
    <cellStyle name="Output 6 5 7 2" xfId="12388"/>
    <cellStyle name="Output 6 5 7 2 2" xfId="25694"/>
    <cellStyle name="Output 6 5 7 3" xfId="16798"/>
    <cellStyle name="Output 6 5 7 3 2" xfId="30104"/>
    <cellStyle name="Output 6 5 7 4" xfId="21284"/>
    <cellStyle name="Output 6 5 7_Table" xfId="8103"/>
    <cellStyle name="Output 6 5 8" xfId="3486"/>
    <cellStyle name="Output 6 5 8 2" xfId="12814"/>
    <cellStyle name="Output 6 5 8 2 2" xfId="26120"/>
    <cellStyle name="Output 6 5 8 3" xfId="17224"/>
    <cellStyle name="Output 6 5 8 3 2" xfId="30530"/>
    <cellStyle name="Output 6 5 8 4" xfId="21710"/>
    <cellStyle name="Output 6 5 8_Table" xfId="8104"/>
    <cellStyle name="Output 6 5 9" xfId="3607"/>
    <cellStyle name="Output 6 5 9 2" xfId="12935"/>
    <cellStyle name="Output 6 5 9 2 2" xfId="26241"/>
    <cellStyle name="Output 6 5 9 3" xfId="17345"/>
    <cellStyle name="Output 6 5 9 3 2" xfId="30651"/>
    <cellStyle name="Output 6 5 9 4" xfId="21831"/>
    <cellStyle name="Output 6 5 9_Table" xfId="8105"/>
    <cellStyle name="Output 6 5_Table" xfId="8086"/>
    <cellStyle name="Output 6 6" xfId="694"/>
    <cellStyle name="Output 6 6 10" xfId="4654"/>
    <cellStyle name="Output 6 6 10 2" xfId="13982"/>
    <cellStyle name="Output 6 6 10 2 2" xfId="27288"/>
    <cellStyle name="Output 6 6 10 3" xfId="18392"/>
    <cellStyle name="Output 6 6 10 3 2" xfId="31698"/>
    <cellStyle name="Output 6 6 10 4" xfId="22878"/>
    <cellStyle name="Output 6 6 10_Table" xfId="8107"/>
    <cellStyle name="Output 6 6 11" xfId="10022"/>
    <cellStyle name="Output 6 6 11 2" xfId="23328"/>
    <cellStyle name="Output 6 6 12" xfId="14432"/>
    <cellStyle name="Output 6 6 12 2" xfId="27738"/>
    <cellStyle name="Output 6 6 13" xfId="18918"/>
    <cellStyle name="Output 6 6 2" xfId="1480"/>
    <cellStyle name="Output 6 6 2 2" xfId="10808"/>
    <cellStyle name="Output 6 6 2 2 2" xfId="24114"/>
    <cellStyle name="Output 6 6 2 3" xfId="15218"/>
    <cellStyle name="Output 6 6 2 3 2" xfId="28524"/>
    <cellStyle name="Output 6 6 2 4" xfId="19704"/>
    <cellStyle name="Output 6 6 2_Table" xfId="8108"/>
    <cellStyle name="Output 6 6 3" xfId="1840"/>
    <cellStyle name="Output 6 6 3 2" xfId="11168"/>
    <cellStyle name="Output 6 6 3 2 2" xfId="24474"/>
    <cellStyle name="Output 6 6 3 3" xfId="15578"/>
    <cellStyle name="Output 6 6 3 3 2" xfId="28884"/>
    <cellStyle name="Output 6 6 3 4" xfId="20064"/>
    <cellStyle name="Output 6 6 3_Table" xfId="8109"/>
    <cellStyle name="Output 6 6 4" xfId="2270"/>
    <cellStyle name="Output 6 6 4 2" xfId="11598"/>
    <cellStyle name="Output 6 6 4 2 2" xfId="24904"/>
    <cellStyle name="Output 6 6 4 3" xfId="16008"/>
    <cellStyle name="Output 6 6 4 3 2" xfId="29314"/>
    <cellStyle name="Output 6 6 4 4" xfId="20494"/>
    <cellStyle name="Output 6 6 4_Table" xfId="8110"/>
    <cellStyle name="Output 6 6 5" xfId="2708"/>
    <cellStyle name="Output 6 6 5 2" xfId="12036"/>
    <cellStyle name="Output 6 6 5 2 2" xfId="25342"/>
    <cellStyle name="Output 6 6 5 3" xfId="16446"/>
    <cellStyle name="Output 6 6 5 3 2" xfId="29752"/>
    <cellStyle name="Output 6 6 5 4" xfId="20932"/>
    <cellStyle name="Output 6 6 5_Table" xfId="8111"/>
    <cellStyle name="Output 6 6 6" xfId="3115"/>
    <cellStyle name="Output 6 6 6 2" xfId="12443"/>
    <cellStyle name="Output 6 6 6 2 2" xfId="25749"/>
    <cellStyle name="Output 6 6 6 3" xfId="16853"/>
    <cellStyle name="Output 6 6 6 3 2" xfId="30159"/>
    <cellStyle name="Output 6 6 6 4" xfId="21339"/>
    <cellStyle name="Output 6 6 6_Table" xfId="8112"/>
    <cellStyle name="Output 6 6 7" xfId="3707"/>
    <cellStyle name="Output 6 6 7 2" xfId="13035"/>
    <cellStyle name="Output 6 6 7 2 2" xfId="26341"/>
    <cellStyle name="Output 6 6 7 3" xfId="17445"/>
    <cellStyle name="Output 6 6 7 3 2" xfId="30751"/>
    <cellStyle name="Output 6 6 7 4" xfId="21931"/>
    <cellStyle name="Output 6 6 7_Table" xfId="8113"/>
    <cellStyle name="Output 6 6 8" xfId="3932"/>
    <cellStyle name="Output 6 6 8 2" xfId="13260"/>
    <cellStyle name="Output 6 6 8 2 2" xfId="26566"/>
    <cellStyle name="Output 6 6 8 3" xfId="17670"/>
    <cellStyle name="Output 6 6 8 3 2" xfId="30976"/>
    <cellStyle name="Output 6 6 8 4" xfId="22156"/>
    <cellStyle name="Output 6 6 8_Table" xfId="8114"/>
    <cellStyle name="Output 6 6 9" xfId="4293"/>
    <cellStyle name="Output 6 6 9 2" xfId="13621"/>
    <cellStyle name="Output 6 6 9 2 2" xfId="26927"/>
    <cellStyle name="Output 6 6 9 3" xfId="18031"/>
    <cellStyle name="Output 6 6 9 3 2" xfId="31337"/>
    <cellStyle name="Output 6 6 9 4" xfId="22517"/>
    <cellStyle name="Output 6 6 9_Table" xfId="8115"/>
    <cellStyle name="Output 6 6_Table" xfId="8106"/>
    <cellStyle name="Output 6 7" xfId="1188"/>
    <cellStyle name="Output 6 7 2" xfId="10516"/>
    <cellStyle name="Output 6 7 2 2" xfId="23822"/>
    <cellStyle name="Output 6 7 3" xfId="14926"/>
    <cellStyle name="Output 6 7 3 2" xfId="28232"/>
    <cellStyle name="Output 6 7 4" xfId="19412"/>
    <cellStyle name="Output 6 7_Table" xfId="8116"/>
    <cellStyle name="Output 6 8" xfId="1056"/>
    <cellStyle name="Output 6 8 2" xfId="10384"/>
    <cellStyle name="Output 6 8 2 2" xfId="23690"/>
    <cellStyle name="Output 6 8 3" xfId="14794"/>
    <cellStyle name="Output 6 8 3 2" xfId="28100"/>
    <cellStyle name="Output 6 8 4" xfId="19280"/>
    <cellStyle name="Output 6 8_Table" xfId="8117"/>
    <cellStyle name="Output 6 9" xfId="1438"/>
    <cellStyle name="Output 6 9 2" xfId="10766"/>
    <cellStyle name="Output 6 9 2 2" xfId="24072"/>
    <cellStyle name="Output 6 9 3" xfId="15176"/>
    <cellStyle name="Output 6 9 3 2" xfId="28482"/>
    <cellStyle name="Output 6 9 4" xfId="19662"/>
    <cellStyle name="Output 6 9_Table" xfId="8118"/>
    <cellStyle name="Output 6_Table" xfId="8019"/>
    <cellStyle name="Output 7" xfId="355"/>
    <cellStyle name="Output 7 10" xfId="1730"/>
    <cellStyle name="Output 7 10 2" xfId="11058"/>
    <cellStyle name="Output 7 10 2 2" xfId="24364"/>
    <cellStyle name="Output 7 10 3" xfId="15468"/>
    <cellStyle name="Output 7 10 3 2" xfId="28774"/>
    <cellStyle name="Output 7 10 4" xfId="19954"/>
    <cellStyle name="Output 7 10_Table" xfId="8120"/>
    <cellStyle name="Output 7 11" xfId="2165"/>
    <cellStyle name="Output 7 11 2" xfId="11493"/>
    <cellStyle name="Output 7 11 2 2" xfId="24799"/>
    <cellStyle name="Output 7 11 3" xfId="15903"/>
    <cellStyle name="Output 7 11 3 2" xfId="29209"/>
    <cellStyle name="Output 7 11 4" xfId="20389"/>
    <cellStyle name="Output 7 11_Table" xfId="8121"/>
    <cellStyle name="Output 7 12" xfId="2597"/>
    <cellStyle name="Output 7 12 2" xfId="11925"/>
    <cellStyle name="Output 7 12 2 2" xfId="25231"/>
    <cellStyle name="Output 7 12 3" xfId="16335"/>
    <cellStyle name="Output 7 12 3 2" xfId="29641"/>
    <cellStyle name="Output 7 12 4" xfId="20821"/>
    <cellStyle name="Output 7 12_Table" xfId="8122"/>
    <cellStyle name="Output 7 13" xfId="2588"/>
    <cellStyle name="Output 7 13 2" xfId="11916"/>
    <cellStyle name="Output 7 13 2 2" xfId="25222"/>
    <cellStyle name="Output 7 13 3" xfId="16326"/>
    <cellStyle name="Output 7 13 3 2" xfId="29632"/>
    <cellStyle name="Output 7 13 4" xfId="20812"/>
    <cellStyle name="Output 7 13_Table" xfId="8123"/>
    <cellStyle name="Output 7 14" xfId="2170"/>
    <cellStyle name="Output 7 14 2" xfId="11498"/>
    <cellStyle name="Output 7 14 2 2" xfId="24804"/>
    <cellStyle name="Output 7 14 3" xfId="15908"/>
    <cellStyle name="Output 7 14 3 2" xfId="29214"/>
    <cellStyle name="Output 7 14 4" xfId="20394"/>
    <cellStyle name="Output 7 14_Table" xfId="8124"/>
    <cellStyle name="Output 7 15" xfId="3534"/>
    <cellStyle name="Output 7 15 2" xfId="12862"/>
    <cellStyle name="Output 7 15 2 2" xfId="26168"/>
    <cellStyle name="Output 7 15 3" xfId="17272"/>
    <cellStyle name="Output 7 15 3 2" xfId="30578"/>
    <cellStyle name="Output 7 15 4" xfId="21758"/>
    <cellStyle name="Output 7 15_Table" xfId="8125"/>
    <cellStyle name="Output 7 16" xfId="9683"/>
    <cellStyle name="Output 7 16 2" xfId="23104"/>
    <cellStyle name="Output 7 17" xfId="14208"/>
    <cellStyle name="Output 7 17 2" xfId="27514"/>
    <cellStyle name="Output 7 18" xfId="18694"/>
    <cellStyle name="Output 7 2" xfId="426"/>
    <cellStyle name="Output 7 2 10" xfId="1101"/>
    <cellStyle name="Output 7 2 10 2" xfId="10429"/>
    <cellStyle name="Output 7 2 10 2 2" xfId="23735"/>
    <cellStyle name="Output 7 2 10 3" xfId="14839"/>
    <cellStyle name="Output 7 2 10 3 2" xfId="28145"/>
    <cellStyle name="Output 7 2 10 4" xfId="19325"/>
    <cellStyle name="Output 7 2 10_Table" xfId="8127"/>
    <cellStyle name="Output 7 2 11" xfId="1328"/>
    <cellStyle name="Output 7 2 11 2" xfId="10656"/>
    <cellStyle name="Output 7 2 11 2 2" xfId="23962"/>
    <cellStyle name="Output 7 2 11 3" xfId="15066"/>
    <cellStyle name="Output 7 2 11 3 2" xfId="28372"/>
    <cellStyle name="Output 7 2 11 4" xfId="19552"/>
    <cellStyle name="Output 7 2 11_Table" xfId="8128"/>
    <cellStyle name="Output 7 2 12" xfId="9754"/>
    <cellStyle name="Output 7 2 12 2" xfId="23149"/>
    <cellStyle name="Output 7 2 13" xfId="14253"/>
    <cellStyle name="Output 7 2 13 2" xfId="27559"/>
    <cellStyle name="Output 7 2 14" xfId="18739"/>
    <cellStyle name="Output 7 2 2" xfId="740"/>
    <cellStyle name="Output 7 2 2 10" xfId="4700"/>
    <cellStyle name="Output 7 2 2 10 2" xfId="14028"/>
    <cellStyle name="Output 7 2 2 10 2 2" xfId="27334"/>
    <cellStyle name="Output 7 2 2 10 3" xfId="18438"/>
    <cellStyle name="Output 7 2 2 10 3 2" xfId="31744"/>
    <cellStyle name="Output 7 2 2 10 4" xfId="22924"/>
    <cellStyle name="Output 7 2 2 10_Table" xfId="8130"/>
    <cellStyle name="Output 7 2 2 11" xfId="10068"/>
    <cellStyle name="Output 7 2 2 11 2" xfId="23374"/>
    <cellStyle name="Output 7 2 2 12" xfId="14478"/>
    <cellStyle name="Output 7 2 2 12 2" xfId="27784"/>
    <cellStyle name="Output 7 2 2 13" xfId="18964"/>
    <cellStyle name="Output 7 2 2 2" xfId="1526"/>
    <cellStyle name="Output 7 2 2 2 2" xfId="10854"/>
    <cellStyle name="Output 7 2 2 2 2 2" xfId="24160"/>
    <cellStyle name="Output 7 2 2 2 3" xfId="15264"/>
    <cellStyle name="Output 7 2 2 2 3 2" xfId="28570"/>
    <cellStyle name="Output 7 2 2 2 4" xfId="19750"/>
    <cellStyle name="Output 7 2 2 2_Table" xfId="8131"/>
    <cellStyle name="Output 7 2 2 3" xfId="1886"/>
    <cellStyle name="Output 7 2 2 3 2" xfId="11214"/>
    <cellStyle name="Output 7 2 2 3 2 2" xfId="24520"/>
    <cellStyle name="Output 7 2 2 3 3" xfId="15624"/>
    <cellStyle name="Output 7 2 2 3 3 2" xfId="28930"/>
    <cellStyle name="Output 7 2 2 3 4" xfId="20110"/>
    <cellStyle name="Output 7 2 2 3_Table" xfId="8132"/>
    <cellStyle name="Output 7 2 2 4" xfId="2316"/>
    <cellStyle name="Output 7 2 2 4 2" xfId="11644"/>
    <cellStyle name="Output 7 2 2 4 2 2" xfId="24950"/>
    <cellStyle name="Output 7 2 2 4 3" xfId="16054"/>
    <cellStyle name="Output 7 2 2 4 3 2" xfId="29360"/>
    <cellStyle name="Output 7 2 2 4 4" xfId="20540"/>
    <cellStyle name="Output 7 2 2 4_Table" xfId="8133"/>
    <cellStyle name="Output 7 2 2 5" xfId="2754"/>
    <cellStyle name="Output 7 2 2 5 2" xfId="12082"/>
    <cellStyle name="Output 7 2 2 5 2 2" xfId="25388"/>
    <cellStyle name="Output 7 2 2 5 3" xfId="16492"/>
    <cellStyle name="Output 7 2 2 5 3 2" xfId="29798"/>
    <cellStyle name="Output 7 2 2 5 4" xfId="20978"/>
    <cellStyle name="Output 7 2 2 5_Table" xfId="8134"/>
    <cellStyle name="Output 7 2 2 6" xfId="3161"/>
    <cellStyle name="Output 7 2 2 6 2" xfId="12489"/>
    <cellStyle name="Output 7 2 2 6 2 2" xfId="25795"/>
    <cellStyle name="Output 7 2 2 6 3" xfId="16899"/>
    <cellStyle name="Output 7 2 2 6 3 2" xfId="30205"/>
    <cellStyle name="Output 7 2 2 6 4" xfId="21385"/>
    <cellStyle name="Output 7 2 2 6_Table" xfId="8135"/>
    <cellStyle name="Output 7 2 2 7" xfId="3753"/>
    <cellStyle name="Output 7 2 2 7 2" xfId="13081"/>
    <cellStyle name="Output 7 2 2 7 2 2" xfId="26387"/>
    <cellStyle name="Output 7 2 2 7 3" xfId="17491"/>
    <cellStyle name="Output 7 2 2 7 3 2" xfId="30797"/>
    <cellStyle name="Output 7 2 2 7 4" xfId="21977"/>
    <cellStyle name="Output 7 2 2 7_Table" xfId="8136"/>
    <cellStyle name="Output 7 2 2 8" xfId="3978"/>
    <cellStyle name="Output 7 2 2 8 2" xfId="13306"/>
    <cellStyle name="Output 7 2 2 8 2 2" xfId="26612"/>
    <cellStyle name="Output 7 2 2 8 3" xfId="17716"/>
    <cellStyle name="Output 7 2 2 8 3 2" xfId="31022"/>
    <cellStyle name="Output 7 2 2 8 4" xfId="22202"/>
    <cellStyle name="Output 7 2 2 8_Table" xfId="8137"/>
    <cellStyle name="Output 7 2 2 9" xfId="4339"/>
    <cellStyle name="Output 7 2 2 9 2" xfId="13667"/>
    <cellStyle name="Output 7 2 2 9 2 2" xfId="26973"/>
    <cellStyle name="Output 7 2 2 9 3" xfId="18077"/>
    <cellStyle name="Output 7 2 2 9 3 2" xfId="31383"/>
    <cellStyle name="Output 7 2 2 9 4" xfId="22563"/>
    <cellStyle name="Output 7 2 2 9_Table" xfId="8138"/>
    <cellStyle name="Output 7 2 2_Table" xfId="8129"/>
    <cellStyle name="Output 7 2 3" xfId="1240"/>
    <cellStyle name="Output 7 2 3 2" xfId="10568"/>
    <cellStyle name="Output 7 2 3 2 2" xfId="23874"/>
    <cellStyle name="Output 7 2 3 3" xfId="14978"/>
    <cellStyle name="Output 7 2 3 3 2" xfId="28284"/>
    <cellStyle name="Output 7 2 3 4" xfId="19464"/>
    <cellStyle name="Output 7 2 3_Table" xfId="8139"/>
    <cellStyle name="Output 7 2 4" xfId="986"/>
    <cellStyle name="Output 7 2 4 2" xfId="10314"/>
    <cellStyle name="Output 7 2 4 2 2" xfId="23620"/>
    <cellStyle name="Output 7 2 4 3" xfId="14724"/>
    <cellStyle name="Output 7 2 4 3 2" xfId="28030"/>
    <cellStyle name="Output 7 2 4 4" xfId="19210"/>
    <cellStyle name="Output 7 2 4_Table" xfId="8140"/>
    <cellStyle name="Output 7 2 5" xfId="895"/>
    <cellStyle name="Output 7 2 5 2" xfId="10223"/>
    <cellStyle name="Output 7 2 5 2 2" xfId="23529"/>
    <cellStyle name="Output 7 2 5 3" xfId="14633"/>
    <cellStyle name="Output 7 2 5 3 2" xfId="27939"/>
    <cellStyle name="Output 7 2 5 4" xfId="19119"/>
    <cellStyle name="Output 7 2 5_Table" xfId="8141"/>
    <cellStyle name="Output 7 2 6" xfId="1195"/>
    <cellStyle name="Output 7 2 6 2" xfId="10523"/>
    <cellStyle name="Output 7 2 6 2 2" xfId="23829"/>
    <cellStyle name="Output 7 2 6 3" xfId="14933"/>
    <cellStyle name="Output 7 2 6 3 2" xfId="28239"/>
    <cellStyle name="Output 7 2 6 4" xfId="19419"/>
    <cellStyle name="Output 7 2 6_Table" xfId="8142"/>
    <cellStyle name="Output 7 2 7" xfId="1033"/>
    <cellStyle name="Output 7 2 7 2" xfId="10361"/>
    <cellStyle name="Output 7 2 7 2 2" xfId="23667"/>
    <cellStyle name="Output 7 2 7 3" xfId="14771"/>
    <cellStyle name="Output 7 2 7 3 2" xfId="28077"/>
    <cellStyle name="Output 7 2 7 4" xfId="19257"/>
    <cellStyle name="Output 7 2 7_Table" xfId="8143"/>
    <cellStyle name="Output 7 2 8" xfId="1377"/>
    <cellStyle name="Output 7 2 8 2" xfId="10705"/>
    <cellStyle name="Output 7 2 8 2 2" xfId="24011"/>
    <cellStyle name="Output 7 2 8 3" xfId="15115"/>
    <cellStyle name="Output 7 2 8 3 2" xfId="28421"/>
    <cellStyle name="Output 7 2 8 4" xfId="19601"/>
    <cellStyle name="Output 7 2 8_Table" xfId="8144"/>
    <cellStyle name="Output 7 2 9" xfId="2109"/>
    <cellStyle name="Output 7 2 9 2" xfId="11437"/>
    <cellStyle name="Output 7 2 9 2 2" xfId="24743"/>
    <cellStyle name="Output 7 2 9 3" xfId="15847"/>
    <cellStyle name="Output 7 2 9 3 2" xfId="29153"/>
    <cellStyle name="Output 7 2 9 4" xfId="20333"/>
    <cellStyle name="Output 7 2 9_Table" xfId="8145"/>
    <cellStyle name="Output 7 2_Table" xfId="8126"/>
    <cellStyle name="Output 7 3" xfId="494"/>
    <cellStyle name="Output 7 3 10" xfId="4159"/>
    <cellStyle name="Output 7 3 10 2" xfId="13487"/>
    <cellStyle name="Output 7 3 10 2 2" xfId="26793"/>
    <cellStyle name="Output 7 3 10 3" xfId="17897"/>
    <cellStyle name="Output 7 3 10 3 2" xfId="31203"/>
    <cellStyle name="Output 7 3 10 4" xfId="22383"/>
    <cellStyle name="Output 7 3 10_Table" xfId="8147"/>
    <cellStyle name="Output 7 3 11" xfId="4520"/>
    <cellStyle name="Output 7 3 11 2" xfId="13848"/>
    <cellStyle name="Output 7 3 11 2 2" xfId="27154"/>
    <cellStyle name="Output 7 3 11 3" xfId="18258"/>
    <cellStyle name="Output 7 3 11 3 2" xfId="31564"/>
    <cellStyle name="Output 7 3 11 4" xfId="22744"/>
    <cellStyle name="Output 7 3 11_Table" xfId="8148"/>
    <cellStyle name="Output 7 3 12" xfId="9822"/>
    <cellStyle name="Output 7 3 12 2" xfId="23194"/>
    <cellStyle name="Output 7 3 13" xfId="14298"/>
    <cellStyle name="Output 7 3 13 2" xfId="27604"/>
    <cellStyle name="Output 7 3 14" xfId="18784"/>
    <cellStyle name="Output 7 3 2" xfId="785"/>
    <cellStyle name="Output 7 3 2 10" xfId="4745"/>
    <cellStyle name="Output 7 3 2 10 2" xfId="14073"/>
    <cellStyle name="Output 7 3 2 10 2 2" xfId="27379"/>
    <cellStyle name="Output 7 3 2 10 3" xfId="18483"/>
    <cellStyle name="Output 7 3 2 10 3 2" xfId="31789"/>
    <cellStyle name="Output 7 3 2 10 4" xfId="22969"/>
    <cellStyle name="Output 7 3 2 10_Table" xfId="8150"/>
    <cellStyle name="Output 7 3 2 11" xfId="10113"/>
    <cellStyle name="Output 7 3 2 11 2" xfId="23419"/>
    <cellStyle name="Output 7 3 2 12" xfId="14523"/>
    <cellStyle name="Output 7 3 2 12 2" xfId="27829"/>
    <cellStyle name="Output 7 3 2 13" xfId="19009"/>
    <cellStyle name="Output 7 3 2 2" xfId="1571"/>
    <cellStyle name="Output 7 3 2 2 2" xfId="10899"/>
    <cellStyle name="Output 7 3 2 2 2 2" xfId="24205"/>
    <cellStyle name="Output 7 3 2 2 3" xfId="15309"/>
    <cellStyle name="Output 7 3 2 2 3 2" xfId="28615"/>
    <cellStyle name="Output 7 3 2 2 4" xfId="19795"/>
    <cellStyle name="Output 7 3 2 2_Table" xfId="8151"/>
    <cellStyle name="Output 7 3 2 3" xfId="1931"/>
    <cellStyle name="Output 7 3 2 3 2" xfId="11259"/>
    <cellStyle name="Output 7 3 2 3 2 2" xfId="24565"/>
    <cellStyle name="Output 7 3 2 3 3" xfId="15669"/>
    <cellStyle name="Output 7 3 2 3 3 2" xfId="28975"/>
    <cellStyle name="Output 7 3 2 3 4" xfId="20155"/>
    <cellStyle name="Output 7 3 2 3_Table" xfId="8152"/>
    <cellStyle name="Output 7 3 2 4" xfId="2361"/>
    <cellStyle name="Output 7 3 2 4 2" xfId="11689"/>
    <cellStyle name="Output 7 3 2 4 2 2" xfId="24995"/>
    <cellStyle name="Output 7 3 2 4 3" xfId="16099"/>
    <cellStyle name="Output 7 3 2 4 3 2" xfId="29405"/>
    <cellStyle name="Output 7 3 2 4 4" xfId="20585"/>
    <cellStyle name="Output 7 3 2 4_Table" xfId="8153"/>
    <cellStyle name="Output 7 3 2 5" xfId="2799"/>
    <cellStyle name="Output 7 3 2 5 2" xfId="12127"/>
    <cellStyle name="Output 7 3 2 5 2 2" xfId="25433"/>
    <cellStyle name="Output 7 3 2 5 3" xfId="16537"/>
    <cellStyle name="Output 7 3 2 5 3 2" xfId="29843"/>
    <cellStyle name="Output 7 3 2 5 4" xfId="21023"/>
    <cellStyle name="Output 7 3 2 5_Table" xfId="8154"/>
    <cellStyle name="Output 7 3 2 6" xfId="3206"/>
    <cellStyle name="Output 7 3 2 6 2" xfId="12534"/>
    <cellStyle name="Output 7 3 2 6 2 2" xfId="25840"/>
    <cellStyle name="Output 7 3 2 6 3" xfId="16944"/>
    <cellStyle name="Output 7 3 2 6 3 2" xfId="30250"/>
    <cellStyle name="Output 7 3 2 6 4" xfId="21430"/>
    <cellStyle name="Output 7 3 2 6_Table" xfId="8155"/>
    <cellStyle name="Output 7 3 2 7" xfId="3798"/>
    <cellStyle name="Output 7 3 2 7 2" xfId="13126"/>
    <cellStyle name="Output 7 3 2 7 2 2" xfId="26432"/>
    <cellStyle name="Output 7 3 2 7 3" xfId="17536"/>
    <cellStyle name="Output 7 3 2 7 3 2" xfId="30842"/>
    <cellStyle name="Output 7 3 2 7 4" xfId="22022"/>
    <cellStyle name="Output 7 3 2 7_Table" xfId="8156"/>
    <cellStyle name="Output 7 3 2 8" xfId="4023"/>
    <cellStyle name="Output 7 3 2 8 2" xfId="13351"/>
    <cellStyle name="Output 7 3 2 8 2 2" xfId="26657"/>
    <cellStyle name="Output 7 3 2 8 3" xfId="17761"/>
    <cellStyle name="Output 7 3 2 8 3 2" xfId="31067"/>
    <cellStyle name="Output 7 3 2 8 4" xfId="22247"/>
    <cellStyle name="Output 7 3 2 8_Table" xfId="8157"/>
    <cellStyle name="Output 7 3 2 9" xfId="4384"/>
    <cellStyle name="Output 7 3 2 9 2" xfId="13712"/>
    <cellStyle name="Output 7 3 2 9 2 2" xfId="27018"/>
    <cellStyle name="Output 7 3 2 9 3" xfId="18122"/>
    <cellStyle name="Output 7 3 2 9 3 2" xfId="31428"/>
    <cellStyle name="Output 7 3 2 9 4" xfId="22608"/>
    <cellStyle name="Output 7 3 2 9_Table" xfId="8158"/>
    <cellStyle name="Output 7 3 2_Table" xfId="8149"/>
    <cellStyle name="Output 7 3 3" xfId="1297"/>
    <cellStyle name="Output 7 3 3 2" xfId="10625"/>
    <cellStyle name="Output 7 3 3 2 2" xfId="23931"/>
    <cellStyle name="Output 7 3 3 3" xfId="15035"/>
    <cellStyle name="Output 7 3 3 3 2" xfId="28341"/>
    <cellStyle name="Output 7 3 3 4" xfId="19521"/>
    <cellStyle name="Output 7 3 3_Table" xfId="8159"/>
    <cellStyle name="Output 7 3 4" xfId="920"/>
    <cellStyle name="Output 7 3 4 2" xfId="10248"/>
    <cellStyle name="Output 7 3 4 2 2" xfId="23554"/>
    <cellStyle name="Output 7 3 4 3" xfId="14658"/>
    <cellStyle name="Output 7 3 4 3 2" xfId="27964"/>
    <cellStyle name="Output 7 3 4 4" xfId="19144"/>
    <cellStyle name="Output 7 3 4_Table" xfId="8160"/>
    <cellStyle name="Output 7 3 5" xfId="2085"/>
    <cellStyle name="Output 7 3 5 2" xfId="11413"/>
    <cellStyle name="Output 7 3 5 2 2" xfId="24719"/>
    <cellStyle name="Output 7 3 5 3" xfId="15823"/>
    <cellStyle name="Output 7 3 5 3 2" xfId="29129"/>
    <cellStyle name="Output 7 3 5 4" xfId="20309"/>
    <cellStyle name="Output 7 3 5_Table" xfId="8161"/>
    <cellStyle name="Output 7 3 6" xfId="2517"/>
    <cellStyle name="Output 7 3 6 2" xfId="11845"/>
    <cellStyle name="Output 7 3 6 2 2" xfId="25151"/>
    <cellStyle name="Output 7 3 6 3" xfId="16255"/>
    <cellStyle name="Output 7 3 6 3 2" xfId="29561"/>
    <cellStyle name="Output 7 3 6 4" xfId="20741"/>
    <cellStyle name="Output 7 3 6_Table" xfId="8162"/>
    <cellStyle name="Output 7 3 7" xfId="2945"/>
    <cellStyle name="Output 7 3 7 2" xfId="12273"/>
    <cellStyle name="Output 7 3 7 2 2" xfId="25579"/>
    <cellStyle name="Output 7 3 7 3" xfId="16683"/>
    <cellStyle name="Output 7 3 7 3 2" xfId="29989"/>
    <cellStyle name="Output 7 3 7 4" xfId="21169"/>
    <cellStyle name="Output 7 3 7_Table" xfId="8163"/>
    <cellStyle name="Output 7 3 8" xfId="3358"/>
    <cellStyle name="Output 7 3 8 2" xfId="12686"/>
    <cellStyle name="Output 7 3 8 2 2" xfId="25992"/>
    <cellStyle name="Output 7 3 8 3" xfId="17096"/>
    <cellStyle name="Output 7 3 8 3 2" xfId="30402"/>
    <cellStyle name="Output 7 3 8 4" xfId="21582"/>
    <cellStyle name="Output 7 3 8_Table" xfId="8164"/>
    <cellStyle name="Output 7 3 9" xfId="2226"/>
    <cellStyle name="Output 7 3 9 2" xfId="11554"/>
    <cellStyle name="Output 7 3 9 2 2" xfId="24860"/>
    <cellStyle name="Output 7 3 9 3" xfId="15964"/>
    <cellStyle name="Output 7 3 9 3 2" xfId="29270"/>
    <cellStyle name="Output 7 3 9 4" xfId="20450"/>
    <cellStyle name="Output 7 3 9_Table" xfId="8165"/>
    <cellStyle name="Output 7 3_Table" xfId="8146"/>
    <cellStyle name="Output 7 4" xfId="558"/>
    <cellStyle name="Output 7 4 10" xfId="4204"/>
    <cellStyle name="Output 7 4 10 2" xfId="13532"/>
    <cellStyle name="Output 7 4 10 2 2" xfId="26838"/>
    <cellStyle name="Output 7 4 10 3" xfId="17942"/>
    <cellStyle name="Output 7 4 10 3 2" xfId="31248"/>
    <cellStyle name="Output 7 4 10 4" xfId="22428"/>
    <cellStyle name="Output 7 4 10_Table" xfId="8167"/>
    <cellStyle name="Output 7 4 11" xfId="4565"/>
    <cellStyle name="Output 7 4 11 2" xfId="13893"/>
    <cellStyle name="Output 7 4 11 2 2" xfId="27199"/>
    <cellStyle name="Output 7 4 11 3" xfId="18303"/>
    <cellStyle name="Output 7 4 11 3 2" xfId="31609"/>
    <cellStyle name="Output 7 4 11 4" xfId="22789"/>
    <cellStyle name="Output 7 4 11_Table" xfId="8168"/>
    <cellStyle name="Output 7 4 12" xfId="9886"/>
    <cellStyle name="Output 7 4 12 2" xfId="23239"/>
    <cellStyle name="Output 7 4 13" xfId="14343"/>
    <cellStyle name="Output 7 4 13 2" xfId="27649"/>
    <cellStyle name="Output 7 4 14" xfId="18829"/>
    <cellStyle name="Output 7 4 2" xfId="830"/>
    <cellStyle name="Output 7 4 2 10" xfId="4790"/>
    <cellStyle name="Output 7 4 2 10 2" xfId="14118"/>
    <cellStyle name="Output 7 4 2 10 2 2" xfId="27424"/>
    <cellStyle name="Output 7 4 2 10 3" xfId="18528"/>
    <cellStyle name="Output 7 4 2 10 3 2" xfId="31834"/>
    <cellStyle name="Output 7 4 2 10 4" xfId="23014"/>
    <cellStyle name="Output 7 4 2 10_Table" xfId="8170"/>
    <cellStyle name="Output 7 4 2 11" xfId="10158"/>
    <cellStyle name="Output 7 4 2 11 2" xfId="23464"/>
    <cellStyle name="Output 7 4 2 12" xfId="14568"/>
    <cellStyle name="Output 7 4 2 12 2" xfId="27874"/>
    <cellStyle name="Output 7 4 2 13" xfId="19054"/>
    <cellStyle name="Output 7 4 2 2" xfId="1616"/>
    <cellStyle name="Output 7 4 2 2 2" xfId="10944"/>
    <cellStyle name="Output 7 4 2 2 2 2" xfId="24250"/>
    <cellStyle name="Output 7 4 2 2 3" xfId="15354"/>
    <cellStyle name="Output 7 4 2 2 3 2" xfId="28660"/>
    <cellStyle name="Output 7 4 2 2 4" xfId="19840"/>
    <cellStyle name="Output 7 4 2 2_Table" xfId="8171"/>
    <cellStyle name="Output 7 4 2 3" xfId="1976"/>
    <cellStyle name="Output 7 4 2 3 2" xfId="11304"/>
    <cellStyle name="Output 7 4 2 3 2 2" xfId="24610"/>
    <cellStyle name="Output 7 4 2 3 3" xfId="15714"/>
    <cellStyle name="Output 7 4 2 3 3 2" xfId="29020"/>
    <cellStyle name="Output 7 4 2 3 4" xfId="20200"/>
    <cellStyle name="Output 7 4 2 3_Table" xfId="8172"/>
    <cellStyle name="Output 7 4 2 4" xfId="2406"/>
    <cellStyle name="Output 7 4 2 4 2" xfId="11734"/>
    <cellStyle name="Output 7 4 2 4 2 2" xfId="25040"/>
    <cellStyle name="Output 7 4 2 4 3" xfId="16144"/>
    <cellStyle name="Output 7 4 2 4 3 2" xfId="29450"/>
    <cellStyle name="Output 7 4 2 4 4" xfId="20630"/>
    <cellStyle name="Output 7 4 2 4_Table" xfId="8173"/>
    <cellStyle name="Output 7 4 2 5" xfId="2844"/>
    <cellStyle name="Output 7 4 2 5 2" xfId="12172"/>
    <cellStyle name="Output 7 4 2 5 2 2" xfId="25478"/>
    <cellStyle name="Output 7 4 2 5 3" xfId="16582"/>
    <cellStyle name="Output 7 4 2 5 3 2" xfId="29888"/>
    <cellStyle name="Output 7 4 2 5 4" xfId="21068"/>
    <cellStyle name="Output 7 4 2 5_Table" xfId="8174"/>
    <cellStyle name="Output 7 4 2 6" xfId="3251"/>
    <cellStyle name="Output 7 4 2 6 2" xfId="12579"/>
    <cellStyle name="Output 7 4 2 6 2 2" xfId="25885"/>
    <cellStyle name="Output 7 4 2 6 3" xfId="16989"/>
    <cellStyle name="Output 7 4 2 6 3 2" xfId="30295"/>
    <cellStyle name="Output 7 4 2 6 4" xfId="21475"/>
    <cellStyle name="Output 7 4 2 6_Table" xfId="8175"/>
    <cellStyle name="Output 7 4 2 7" xfId="3843"/>
    <cellStyle name="Output 7 4 2 7 2" xfId="13171"/>
    <cellStyle name="Output 7 4 2 7 2 2" xfId="26477"/>
    <cellStyle name="Output 7 4 2 7 3" xfId="17581"/>
    <cellStyle name="Output 7 4 2 7 3 2" xfId="30887"/>
    <cellStyle name="Output 7 4 2 7 4" xfId="22067"/>
    <cellStyle name="Output 7 4 2 7_Table" xfId="8176"/>
    <cellStyle name="Output 7 4 2 8" xfId="4068"/>
    <cellStyle name="Output 7 4 2 8 2" xfId="13396"/>
    <cellStyle name="Output 7 4 2 8 2 2" xfId="26702"/>
    <cellStyle name="Output 7 4 2 8 3" xfId="17806"/>
    <cellStyle name="Output 7 4 2 8 3 2" xfId="31112"/>
    <cellStyle name="Output 7 4 2 8 4" xfId="22292"/>
    <cellStyle name="Output 7 4 2 8_Table" xfId="8177"/>
    <cellStyle name="Output 7 4 2 9" xfId="4429"/>
    <cellStyle name="Output 7 4 2 9 2" xfId="13757"/>
    <cellStyle name="Output 7 4 2 9 2 2" xfId="27063"/>
    <cellStyle name="Output 7 4 2 9 3" xfId="18167"/>
    <cellStyle name="Output 7 4 2 9 3 2" xfId="31473"/>
    <cellStyle name="Output 7 4 2 9 4" xfId="22653"/>
    <cellStyle name="Output 7 4 2 9_Table" xfId="8178"/>
    <cellStyle name="Output 7 4 2_Table" xfId="8169"/>
    <cellStyle name="Output 7 4 3" xfId="1353"/>
    <cellStyle name="Output 7 4 3 2" xfId="10681"/>
    <cellStyle name="Output 7 4 3 2 2" xfId="23987"/>
    <cellStyle name="Output 7 4 3 3" xfId="15091"/>
    <cellStyle name="Output 7 4 3 3 2" xfId="28397"/>
    <cellStyle name="Output 7 4 3 4" xfId="19577"/>
    <cellStyle name="Output 7 4 3_Table" xfId="8179"/>
    <cellStyle name="Output 7 4 4" xfId="1710"/>
    <cellStyle name="Output 7 4 4 2" xfId="11038"/>
    <cellStyle name="Output 7 4 4 2 2" xfId="24344"/>
    <cellStyle name="Output 7 4 4 3" xfId="15448"/>
    <cellStyle name="Output 7 4 4 3 2" xfId="28754"/>
    <cellStyle name="Output 7 4 4 4" xfId="19934"/>
    <cellStyle name="Output 7 4 4_Table" xfId="8180"/>
    <cellStyle name="Output 7 4 5" xfId="2144"/>
    <cellStyle name="Output 7 4 5 2" xfId="11472"/>
    <cellStyle name="Output 7 4 5 2 2" xfId="24778"/>
    <cellStyle name="Output 7 4 5 3" xfId="15882"/>
    <cellStyle name="Output 7 4 5 3 2" xfId="29188"/>
    <cellStyle name="Output 7 4 5 4" xfId="20368"/>
    <cellStyle name="Output 7 4 5_Table" xfId="8181"/>
    <cellStyle name="Output 7 4 6" xfId="2576"/>
    <cellStyle name="Output 7 4 6 2" xfId="11904"/>
    <cellStyle name="Output 7 4 6 2 2" xfId="25210"/>
    <cellStyle name="Output 7 4 6 3" xfId="16314"/>
    <cellStyle name="Output 7 4 6 3 2" xfId="29620"/>
    <cellStyle name="Output 7 4 6 4" xfId="20800"/>
    <cellStyle name="Output 7 4 6_Table" xfId="8182"/>
    <cellStyle name="Output 7 4 7" xfId="3002"/>
    <cellStyle name="Output 7 4 7 2" xfId="12330"/>
    <cellStyle name="Output 7 4 7 2 2" xfId="25636"/>
    <cellStyle name="Output 7 4 7 3" xfId="16740"/>
    <cellStyle name="Output 7 4 7 3 2" xfId="30046"/>
    <cellStyle name="Output 7 4 7 4" xfId="21226"/>
    <cellStyle name="Output 7 4 7_Table" xfId="8183"/>
    <cellStyle name="Output 7 4 8" xfId="3416"/>
    <cellStyle name="Output 7 4 8 2" xfId="12744"/>
    <cellStyle name="Output 7 4 8 2 2" xfId="26050"/>
    <cellStyle name="Output 7 4 8 3" xfId="17154"/>
    <cellStyle name="Output 7 4 8 3 2" xfId="30460"/>
    <cellStyle name="Output 7 4 8 4" xfId="21640"/>
    <cellStyle name="Output 7 4 8_Table" xfId="8184"/>
    <cellStyle name="Output 7 4 9" xfId="3628"/>
    <cellStyle name="Output 7 4 9 2" xfId="12956"/>
    <cellStyle name="Output 7 4 9 2 2" xfId="26262"/>
    <cellStyle name="Output 7 4 9 3" xfId="17366"/>
    <cellStyle name="Output 7 4 9 3 2" xfId="30672"/>
    <cellStyle name="Output 7 4 9 4" xfId="21852"/>
    <cellStyle name="Output 7 4 9_Table" xfId="8185"/>
    <cellStyle name="Output 7 4_Table" xfId="8166"/>
    <cellStyle name="Output 7 5" xfId="633"/>
    <cellStyle name="Output 7 5 10" xfId="4249"/>
    <cellStyle name="Output 7 5 10 2" xfId="13577"/>
    <cellStyle name="Output 7 5 10 2 2" xfId="26883"/>
    <cellStyle name="Output 7 5 10 3" xfId="17987"/>
    <cellStyle name="Output 7 5 10 3 2" xfId="31293"/>
    <cellStyle name="Output 7 5 10 4" xfId="22473"/>
    <cellStyle name="Output 7 5 10_Table" xfId="8187"/>
    <cellStyle name="Output 7 5 11" xfId="4610"/>
    <cellStyle name="Output 7 5 11 2" xfId="13938"/>
    <cellStyle name="Output 7 5 11 2 2" xfId="27244"/>
    <cellStyle name="Output 7 5 11 3" xfId="18348"/>
    <cellStyle name="Output 7 5 11 3 2" xfId="31654"/>
    <cellStyle name="Output 7 5 11 4" xfId="22834"/>
    <cellStyle name="Output 7 5 11_Table" xfId="8188"/>
    <cellStyle name="Output 7 5 12" xfId="9961"/>
    <cellStyle name="Output 7 5 12 2" xfId="23284"/>
    <cellStyle name="Output 7 5 13" xfId="14388"/>
    <cellStyle name="Output 7 5 13 2" xfId="27694"/>
    <cellStyle name="Output 7 5 14" xfId="18874"/>
    <cellStyle name="Output 7 5 2" xfId="875"/>
    <cellStyle name="Output 7 5 2 10" xfId="4835"/>
    <cellStyle name="Output 7 5 2 10 2" xfId="14163"/>
    <cellStyle name="Output 7 5 2 10 2 2" xfId="27469"/>
    <cellStyle name="Output 7 5 2 10 3" xfId="18573"/>
    <cellStyle name="Output 7 5 2 10 3 2" xfId="31879"/>
    <cellStyle name="Output 7 5 2 10 4" xfId="23059"/>
    <cellStyle name="Output 7 5 2 10_Table" xfId="8190"/>
    <cellStyle name="Output 7 5 2 11" xfId="10203"/>
    <cellStyle name="Output 7 5 2 11 2" xfId="23509"/>
    <cellStyle name="Output 7 5 2 12" xfId="14613"/>
    <cellStyle name="Output 7 5 2 12 2" xfId="27919"/>
    <cellStyle name="Output 7 5 2 13" xfId="19099"/>
    <cellStyle name="Output 7 5 2 2" xfId="1661"/>
    <cellStyle name="Output 7 5 2 2 2" xfId="10989"/>
    <cellStyle name="Output 7 5 2 2 2 2" xfId="24295"/>
    <cellStyle name="Output 7 5 2 2 3" xfId="15399"/>
    <cellStyle name="Output 7 5 2 2 3 2" xfId="28705"/>
    <cellStyle name="Output 7 5 2 2 4" xfId="19885"/>
    <cellStyle name="Output 7 5 2 2_Table" xfId="8191"/>
    <cellStyle name="Output 7 5 2 3" xfId="2021"/>
    <cellStyle name="Output 7 5 2 3 2" xfId="11349"/>
    <cellStyle name="Output 7 5 2 3 2 2" xfId="24655"/>
    <cellStyle name="Output 7 5 2 3 3" xfId="15759"/>
    <cellStyle name="Output 7 5 2 3 3 2" xfId="29065"/>
    <cellStyle name="Output 7 5 2 3 4" xfId="20245"/>
    <cellStyle name="Output 7 5 2 3_Table" xfId="8192"/>
    <cellStyle name="Output 7 5 2 4" xfId="2451"/>
    <cellStyle name="Output 7 5 2 4 2" xfId="11779"/>
    <cellStyle name="Output 7 5 2 4 2 2" xfId="25085"/>
    <cellStyle name="Output 7 5 2 4 3" xfId="16189"/>
    <cellStyle name="Output 7 5 2 4 3 2" xfId="29495"/>
    <cellStyle name="Output 7 5 2 4 4" xfId="20675"/>
    <cellStyle name="Output 7 5 2 4_Table" xfId="8193"/>
    <cellStyle name="Output 7 5 2 5" xfId="2889"/>
    <cellStyle name="Output 7 5 2 5 2" xfId="12217"/>
    <cellStyle name="Output 7 5 2 5 2 2" xfId="25523"/>
    <cellStyle name="Output 7 5 2 5 3" xfId="16627"/>
    <cellStyle name="Output 7 5 2 5 3 2" xfId="29933"/>
    <cellStyle name="Output 7 5 2 5 4" xfId="21113"/>
    <cellStyle name="Output 7 5 2 5_Table" xfId="8194"/>
    <cellStyle name="Output 7 5 2 6" xfId="3296"/>
    <cellStyle name="Output 7 5 2 6 2" xfId="12624"/>
    <cellStyle name="Output 7 5 2 6 2 2" xfId="25930"/>
    <cellStyle name="Output 7 5 2 6 3" xfId="17034"/>
    <cellStyle name="Output 7 5 2 6 3 2" xfId="30340"/>
    <cellStyle name="Output 7 5 2 6 4" xfId="21520"/>
    <cellStyle name="Output 7 5 2 6_Table" xfId="8195"/>
    <cellStyle name="Output 7 5 2 7" xfId="3888"/>
    <cellStyle name="Output 7 5 2 7 2" xfId="13216"/>
    <cellStyle name="Output 7 5 2 7 2 2" xfId="26522"/>
    <cellStyle name="Output 7 5 2 7 3" xfId="17626"/>
    <cellStyle name="Output 7 5 2 7 3 2" xfId="30932"/>
    <cellStyle name="Output 7 5 2 7 4" xfId="22112"/>
    <cellStyle name="Output 7 5 2 7_Table" xfId="8196"/>
    <cellStyle name="Output 7 5 2 8" xfId="4113"/>
    <cellStyle name="Output 7 5 2 8 2" xfId="13441"/>
    <cellStyle name="Output 7 5 2 8 2 2" xfId="26747"/>
    <cellStyle name="Output 7 5 2 8 3" xfId="17851"/>
    <cellStyle name="Output 7 5 2 8 3 2" xfId="31157"/>
    <cellStyle name="Output 7 5 2 8 4" xfId="22337"/>
    <cellStyle name="Output 7 5 2 8_Table" xfId="8197"/>
    <cellStyle name="Output 7 5 2 9" xfId="4474"/>
    <cellStyle name="Output 7 5 2 9 2" xfId="13802"/>
    <cellStyle name="Output 7 5 2 9 2 2" xfId="27108"/>
    <cellStyle name="Output 7 5 2 9 3" xfId="18212"/>
    <cellStyle name="Output 7 5 2 9 3 2" xfId="31518"/>
    <cellStyle name="Output 7 5 2 9 4" xfId="22698"/>
    <cellStyle name="Output 7 5 2 9_Table" xfId="8198"/>
    <cellStyle name="Output 7 5 2_Table" xfId="8189"/>
    <cellStyle name="Output 7 5 3" xfId="1420"/>
    <cellStyle name="Output 7 5 3 2" xfId="10748"/>
    <cellStyle name="Output 7 5 3 2 2" xfId="24054"/>
    <cellStyle name="Output 7 5 3 3" xfId="15158"/>
    <cellStyle name="Output 7 5 3 3 2" xfId="28464"/>
    <cellStyle name="Output 7 5 3 4" xfId="19644"/>
    <cellStyle name="Output 7 5 3_Table" xfId="8199"/>
    <cellStyle name="Output 7 5 4" xfId="1780"/>
    <cellStyle name="Output 7 5 4 2" xfId="11108"/>
    <cellStyle name="Output 7 5 4 2 2" xfId="24414"/>
    <cellStyle name="Output 7 5 4 3" xfId="15518"/>
    <cellStyle name="Output 7 5 4 3 2" xfId="28824"/>
    <cellStyle name="Output 7 5 4 4" xfId="20004"/>
    <cellStyle name="Output 7 5 4_Table" xfId="8200"/>
    <cellStyle name="Output 7 5 5" xfId="2213"/>
    <cellStyle name="Output 7 5 5 2" xfId="11541"/>
    <cellStyle name="Output 7 5 5 2 2" xfId="24847"/>
    <cellStyle name="Output 7 5 5 3" xfId="15951"/>
    <cellStyle name="Output 7 5 5 3 2" xfId="29257"/>
    <cellStyle name="Output 7 5 5 4" xfId="20437"/>
    <cellStyle name="Output 7 5 5_Table" xfId="8201"/>
    <cellStyle name="Output 7 5 6" xfId="2648"/>
    <cellStyle name="Output 7 5 6 2" xfId="11976"/>
    <cellStyle name="Output 7 5 6 2 2" xfId="25282"/>
    <cellStyle name="Output 7 5 6 3" xfId="16386"/>
    <cellStyle name="Output 7 5 6 3 2" xfId="29692"/>
    <cellStyle name="Output 7 5 6 4" xfId="20872"/>
    <cellStyle name="Output 7 5 6_Table" xfId="8202"/>
    <cellStyle name="Output 7 5 7" xfId="3061"/>
    <cellStyle name="Output 7 5 7 2" xfId="12389"/>
    <cellStyle name="Output 7 5 7 2 2" xfId="25695"/>
    <cellStyle name="Output 7 5 7 3" xfId="16799"/>
    <cellStyle name="Output 7 5 7 3 2" xfId="30105"/>
    <cellStyle name="Output 7 5 7 4" xfId="21285"/>
    <cellStyle name="Output 7 5 7_Table" xfId="8203"/>
    <cellStyle name="Output 7 5 8" xfId="3487"/>
    <cellStyle name="Output 7 5 8 2" xfId="12815"/>
    <cellStyle name="Output 7 5 8 2 2" xfId="26121"/>
    <cellStyle name="Output 7 5 8 3" xfId="17225"/>
    <cellStyle name="Output 7 5 8 3 2" xfId="30531"/>
    <cellStyle name="Output 7 5 8 4" xfId="21711"/>
    <cellStyle name="Output 7 5 8_Table" xfId="8204"/>
    <cellStyle name="Output 7 5 9" xfId="3639"/>
    <cellStyle name="Output 7 5 9 2" xfId="12967"/>
    <cellStyle name="Output 7 5 9 2 2" xfId="26273"/>
    <cellStyle name="Output 7 5 9 3" xfId="17377"/>
    <cellStyle name="Output 7 5 9 3 2" xfId="30683"/>
    <cellStyle name="Output 7 5 9 4" xfId="21863"/>
    <cellStyle name="Output 7 5 9_Table" xfId="8205"/>
    <cellStyle name="Output 7 5_Table" xfId="8186"/>
    <cellStyle name="Output 7 6" xfId="695"/>
    <cellStyle name="Output 7 6 10" xfId="4655"/>
    <cellStyle name="Output 7 6 10 2" xfId="13983"/>
    <cellStyle name="Output 7 6 10 2 2" xfId="27289"/>
    <cellStyle name="Output 7 6 10 3" xfId="18393"/>
    <cellStyle name="Output 7 6 10 3 2" xfId="31699"/>
    <cellStyle name="Output 7 6 10 4" xfId="22879"/>
    <cellStyle name="Output 7 6 10_Table" xfId="8207"/>
    <cellStyle name="Output 7 6 11" xfId="10023"/>
    <cellStyle name="Output 7 6 11 2" xfId="23329"/>
    <cellStyle name="Output 7 6 12" xfId="14433"/>
    <cellStyle name="Output 7 6 12 2" xfId="27739"/>
    <cellStyle name="Output 7 6 13" xfId="18919"/>
    <cellStyle name="Output 7 6 2" xfId="1481"/>
    <cellStyle name="Output 7 6 2 2" xfId="10809"/>
    <cellStyle name="Output 7 6 2 2 2" xfId="24115"/>
    <cellStyle name="Output 7 6 2 3" xfId="15219"/>
    <cellStyle name="Output 7 6 2 3 2" xfId="28525"/>
    <cellStyle name="Output 7 6 2 4" xfId="19705"/>
    <cellStyle name="Output 7 6 2_Table" xfId="8208"/>
    <cellStyle name="Output 7 6 3" xfId="1841"/>
    <cellStyle name="Output 7 6 3 2" xfId="11169"/>
    <cellStyle name="Output 7 6 3 2 2" xfId="24475"/>
    <cellStyle name="Output 7 6 3 3" xfId="15579"/>
    <cellStyle name="Output 7 6 3 3 2" xfId="28885"/>
    <cellStyle name="Output 7 6 3 4" xfId="20065"/>
    <cellStyle name="Output 7 6 3_Table" xfId="8209"/>
    <cellStyle name="Output 7 6 4" xfId="2271"/>
    <cellStyle name="Output 7 6 4 2" xfId="11599"/>
    <cellStyle name="Output 7 6 4 2 2" xfId="24905"/>
    <cellStyle name="Output 7 6 4 3" xfId="16009"/>
    <cellStyle name="Output 7 6 4 3 2" xfId="29315"/>
    <cellStyle name="Output 7 6 4 4" xfId="20495"/>
    <cellStyle name="Output 7 6 4_Table" xfId="8210"/>
    <cellStyle name="Output 7 6 5" xfId="2709"/>
    <cellStyle name="Output 7 6 5 2" xfId="12037"/>
    <cellStyle name="Output 7 6 5 2 2" xfId="25343"/>
    <cellStyle name="Output 7 6 5 3" xfId="16447"/>
    <cellStyle name="Output 7 6 5 3 2" xfId="29753"/>
    <cellStyle name="Output 7 6 5 4" xfId="20933"/>
    <cellStyle name="Output 7 6 5_Table" xfId="8211"/>
    <cellStyle name="Output 7 6 6" xfId="3116"/>
    <cellStyle name="Output 7 6 6 2" xfId="12444"/>
    <cellStyle name="Output 7 6 6 2 2" xfId="25750"/>
    <cellStyle name="Output 7 6 6 3" xfId="16854"/>
    <cellStyle name="Output 7 6 6 3 2" xfId="30160"/>
    <cellStyle name="Output 7 6 6 4" xfId="21340"/>
    <cellStyle name="Output 7 6 6_Table" xfId="8212"/>
    <cellStyle name="Output 7 6 7" xfId="3708"/>
    <cellStyle name="Output 7 6 7 2" xfId="13036"/>
    <cellStyle name="Output 7 6 7 2 2" xfId="26342"/>
    <cellStyle name="Output 7 6 7 3" xfId="17446"/>
    <cellStyle name="Output 7 6 7 3 2" xfId="30752"/>
    <cellStyle name="Output 7 6 7 4" xfId="21932"/>
    <cellStyle name="Output 7 6 7_Table" xfId="8213"/>
    <cellStyle name="Output 7 6 8" xfId="3933"/>
    <cellStyle name="Output 7 6 8 2" xfId="13261"/>
    <cellStyle name="Output 7 6 8 2 2" xfId="26567"/>
    <cellStyle name="Output 7 6 8 3" xfId="17671"/>
    <cellStyle name="Output 7 6 8 3 2" xfId="30977"/>
    <cellStyle name="Output 7 6 8 4" xfId="22157"/>
    <cellStyle name="Output 7 6 8_Table" xfId="8214"/>
    <cellStyle name="Output 7 6 9" xfId="4294"/>
    <cellStyle name="Output 7 6 9 2" xfId="13622"/>
    <cellStyle name="Output 7 6 9 2 2" xfId="26928"/>
    <cellStyle name="Output 7 6 9 3" xfId="18032"/>
    <cellStyle name="Output 7 6 9 3 2" xfId="31338"/>
    <cellStyle name="Output 7 6 9 4" xfId="22518"/>
    <cellStyle name="Output 7 6 9_Table" xfId="8215"/>
    <cellStyle name="Output 7 6_Table" xfId="8206"/>
    <cellStyle name="Output 7 7" xfId="1189"/>
    <cellStyle name="Output 7 7 2" xfId="10517"/>
    <cellStyle name="Output 7 7 2 2" xfId="23823"/>
    <cellStyle name="Output 7 7 3" xfId="14927"/>
    <cellStyle name="Output 7 7 3 2" xfId="28233"/>
    <cellStyle name="Output 7 7 4" xfId="19413"/>
    <cellStyle name="Output 7 7_Table" xfId="8216"/>
    <cellStyle name="Output 7 8" xfId="1055"/>
    <cellStyle name="Output 7 8 2" xfId="10383"/>
    <cellStyle name="Output 7 8 2 2" xfId="23689"/>
    <cellStyle name="Output 7 8 3" xfId="14793"/>
    <cellStyle name="Output 7 8 3 2" xfId="28099"/>
    <cellStyle name="Output 7 8 4" xfId="19279"/>
    <cellStyle name="Output 7 8_Table" xfId="8217"/>
    <cellStyle name="Output 7 9" xfId="1254"/>
    <cellStyle name="Output 7 9 2" xfId="10582"/>
    <cellStyle name="Output 7 9 2 2" xfId="23888"/>
    <cellStyle name="Output 7 9 3" xfId="14992"/>
    <cellStyle name="Output 7 9 3 2" xfId="28298"/>
    <cellStyle name="Output 7 9 4" xfId="19478"/>
    <cellStyle name="Output 7 9_Table" xfId="8218"/>
    <cellStyle name="Output 7_Table" xfId="8119"/>
    <cellStyle name="Output 8" xfId="356"/>
    <cellStyle name="Output 8 10" xfId="1801"/>
    <cellStyle name="Output 8 10 2" xfId="11129"/>
    <cellStyle name="Output 8 10 2 2" xfId="24435"/>
    <cellStyle name="Output 8 10 3" xfId="15539"/>
    <cellStyle name="Output 8 10 3 2" xfId="28845"/>
    <cellStyle name="Output 8 10 4" xfId="20025"/>
    <cellStyle name="Output 8 10_Table" xfId="8220"/>
    <cellStyle name="Output 8 11" xfId="2233"/>
    <cellStyle name="Output 8 11 2" xfId="11561"/>
    <cellStyle name="Output 8 11 2 2" xfId="24867"/>
    <cellStyle name="Output 8 11 3" xfId="15971"/>
    <cellStyle name="Output 8 11 3 2" xfId="29277"/>
    <cellStyle name="Output 8 11 4" xfId="20457"/>
    <cellStyle name="Output 8 11_Table" xfId="8221"/>
    <cellStyle name="Output 8 12" xfId="2668"/>
    <cellStyle name="Output 8 12 2" xfId="11996"/>
    <cellStyle name="Output 8 12 2 2" xfId="25302"/>
    <cellStyle name="Output 8 12 3" xfId="16406"/>
    <cellStyle name="Output 8 12 3 2" xfId="29712"/>
    <cellStyle name="Output 8 12 4" xfId="20892"/>
    <cellStyle name="Output 8 12_Table" xfId="8222"/>
    <cellStyle name="Output 8 13" xfId="2613"/>
    <cellStyle name="Output 8 13 2" xfId="11941"/>
    <cellStyle name="Output 8 13 2 2" xfId="25247"/>
    <cellStyle name="Output 8 13 3" xfId="16351"/>
    <cellStyle name="Output 8 13 3 2" xfId="29657"/>
    <cellStyle name="Output 8 13 4" xfId="20837"/>
    <cellStyle name="Output 8 13_Table" xfId="8223"/>
    <cellStyle name="Output 8 14" xfId="1098"/>
    <cellStyle name="Output 8 14 2" xfId="10426"/>
    <cellStyle name="Output 8 14 2 2" xfId="23732"/>
    <cellStyle name="Output 8 14 3" xfId="14836"/>
    <cellStyle name="Output 8 14 3 2" xfId="28142"/>
    <cellStyle name="Output 8 14 4" xfId="19322"/>
    <cellStyle name="Output 8 14_Table" xfId="8224"/>
    <cellStyle name="Output 8 15" xfId="3673"/>
    <cellStyle name="Output 8 15 2" xfId="13001"/>
    <cellStyle name="Output 8 15 2 2" xfId="26307"/>
    <cellStyle name="Output 8 15 3" xfId="17411"/>
    <cellStyle name="Output 8 15 3 2" xfId="30717"/>
    <cellStyle name="Output 8 15 4" xfId="21897"/>
    <cellStyle name="Output 8 15_Table" xfId="8225"/>
    <cellStyle name="Output 8 16" xfId="9684"/>
    <cellStyle name="Output 8 16 2" xfId="23105"/>
    <cellStyle name="Output 8 17" xfId="14209"/>
    <cellStyle name="Output 8 17 2" xfId="27515"/>
    <cellStyle name="Output 8 18" xfId="18695"/>
    <cellStyle name="Output 8 2" xfId="427"/>
    <cellStyle name="Output 8 2 10" xfId="1119"/>
    <cellStyle name="Output 8 2 10 2" xfId="10447"/>
    <cellStyle name="Output 8 2 10 2 2" xfId="23753"/>
    <cellStyle name="Output 8 2 10 3" xfId="14857"/>
    <cellStyle name="Output 8 2 10 3 2" xfId="28163"/>
    <cellStyle name="Output 8 2 10 4" xfId="19343"/>
    <cellStyle name="Output 8 2 10_Table" xfId="8227"/>
    <cellStyle name="Output 8 2 11" xfId="1436"/>
    <cellStyle name="Output 8 2 11 2" xfId="10764"/>
    <cellStyle name="Output 8 2 11 2 2" xfId="24070"/>
    <cellStyle name="Output 8 2 11 3" xfId="15174"/>
    <cellStyle name="Output 8 2 11 3 2" xfId="28480"/>
    <cellStyle name="Output 8 2 11 4" xfId="19660"/>
    <cellStyle name="Output 8 2 11_Table" xfId="8228"/>
    <cellStyle name="Output 8 2 12" xfId="9755"/>
    <cellStyle name="Output 8 2 12 2" xfId="23150"/>
    <cellStyle name="Output 8 2 13" xfId="14254"/>
    <cellStyle name="Output 8 2 13 2" xfId="27560"/>
    <cellStyle name="Output 8 2 14" xfId="18740"/>
    <cellStyle name="Output 8 2 2" xfId="741"/>
    <cellStyle name="Output 8 2 2 10" xfId="4701"/>
    <cellStyle name="Output 8 2 2 10 2" xfId="14029"/>
    <cellStyle name="Output 8 2 2 10 2 2" xfId="27335"/>
    <cellStyle name="Output 8 2 2 10 3" xfId="18439"/>
    <cellStyle name="Output 8 2 2 10 3 2" xfId="31745"/>
    <cellStyle name="Output 8 2 2 10 4" xfId="22925"/>
    <cellStyle name="Output 8 2 2 10_Table" xfId="8230"/>
    <cellStyle name="Output 8 2 2 11" xfId="10069"/>
    <cellStyle name="Output 8 2 2 11 2" xfId="23375"/>
    <cellStyle name="Output 8 2 2 12" xfId="14479"/>
    <cellStyle name="Output 8 2 2 12 2" xfId="27785"/>
    <cellStyle name="Output 8 2 2 13" xfId="18965"/>
    <cellStyle name="Output 8 2 2 2" xfId="1527"/>
    <cellStyle name="Output 8 2 2 2 2" xfId="10855"/>
    <cellStyle name="Output 8 2 2 2 2 2" xfId="24161"/>
    <cellStyle name="Output 8 2 2 2 3" xfId="15265"/>
    <cellStyle name="Output 8 2 2 2 3 2" xfId="28571"/>
    <cellStyle name="Output 8 2 2 2 4" xfId="19751"/>
    <cellStyle name="Output 8 2 2 2_Table" xfId="8231"/>
    <cellStyle name="Output 8 2 2 3" xfId="1887"/>
    <cellStyle name="Output 8 2 2 3 2" xfId="11215"/>
    <cellStyle name="Output 8 2 2 3 2 2" xfId="24521"/>
    <cellStyle name="Output 8 2 2 3 3" xfId="15625"/>
    <cellStyle name="Output 8 2 2 3 3 2" xfId="28931"/>
    <cellStyle name="Output 8 2 2 3 4" xfId="20111"/>
    <cellStyle name="Output 8 2 2 3_Table" xfId="8232"/>
    <cellStyle name="Output 8 2 2 4" xfId="2317"/>
    <cellStyle name="Output 8 2 2 4 2" xfId="11645"/>
    <cellStyle name="Output 8 2 2 4 2 2" xfId="24951"/>
    <cellStyle name="Output 8 2 2 4 3" xfId="16055"/>
    <cellStyle name="Output 8 2 2 4 3 2" xfId="29361"/>
    <cellStyle name="Output 8 2 2 4 4" xfId="20541"/>
    <cellStyle name="Output 8 2 2 4_Table" xfId="8233"/>
    <cellStyle name="Output 8 2 2 5" xfId="2755"/>
    <cellStyle name="Output 8 2 2 5 2" xfId="12083"/>
    <cellStyle name="Output 8 2 2 5 2 2" xfId="25389"/>
    <cellStyle name="Output 8 2 2 5 3" xfId="16493"/>
    <cellStyle name="Output 8 2 2 5 3 2" xfId="29799"/>
    <cellStyle name="Output 8 2 2 5 4" xfId="20979"/>
    <cellStyle name="Output 8 2 2 5_Table" xfId="8234"/>
    <cellStyle name="Output 8 2 2 6" xfId="3162"/>
    <cellStyle name="Output 8 2 2 6 2" xfId="12490"/>
    <cellStyle name="Output 8 2 2 6 2 2" xfId="25796"/>
    <cellStyle name="Output 8 2 2 6 3" xfId="16900"/>
    <cellStyle name="Output 8 2 2 6 3 2" xfId="30206"/>
    <cellStyle name="Output 8 2 2 6 4" xfId="21386"/>
    <cellStyle name="Output 8 2 2 6_Table" xfId="8235"/>
    <cellStyle name="Output 8 2 2 7" xfId="3754"/>
    <cellStyle name="Output 8 2 2 7 2" xfId="13082"/>
    <cellStyle name="Output 8 2 2 7 2 2" xfId="26388"/>
    <cellStyle name="Output 8 2 2 7 3" xfId="17492"/>
    <cellStyle name="Output 8 2 2 7 3 2" xfId="30798"/>
    <cellStyle name="Output 8 2 2 7 4" xfId="21978"/>
    <cellStyle name="Output 8 2 2 7_Table" xfId="8236"/>
    <cellStyle name="Output 8 2 2 8" xfId="3979"/>
    <cellStyle name="Output 8 2 2 8 2" xfId="13307"/>
    <cellStyle name="Output 8 2 2 8 2 2" xfId="26613"/>
    <cellStyle name="Output 8 2 2 8 3" xfId="17717"/>
    <cellStyle name="Output 8 2 2 8 3 2" xfId="31023"/>
    <cellStyle name="Output 8 2 2 8 4" xfId="22203"/>
    <cellStyle name="Output 8 2 2 8_Table" xfId="8237"/>
    <cellStyle name="Output 8 2 2 9" xfId="4340"/>
    <cellStyle name="Output 8 2 2 9 2" xfId="13668"/>
    <cellStyle name="Output 8 2 2 9 2 2" xfId="26974"/>
    <cellStyle name="Output 8 2 2 9 3" xfId="18078"/>
    <cellStyle name="Output 8 2 2 9 3 2" xfId="31384"/>
    <cellStyle name="Output 8 2 2 9 4" xfId="22564"/>
    <cellStyle name="Output 8 2 2 9_Table" xfId="8238"/>
    <cellStyle name="Output 8 2 2_Table" xfId="8229"/>
    <cellStyle name="Output 8 2 3" xfId="1241"/>
    <cellStyle name="Output 8 2 3 2" xfId="10569"/>
    <cellStyle name="Output 8 2 3 2 2" xfId="23875"/>
    <cellStyle name="Output 8 2 3 3" xfId="14979"/>
    <cellStyle name="Output 8 2 3 3 2" xfId="28285"/>
    <cellStyle name="Output 8 2 3 4" xfId="19465"/>
    <cellStyle name="Output 8 2 3_Table" xfId="8239"/>
    <cellStyle name="Output 8 2 4" xfId="985"/>
    <cellStyle name="Output 8 2 4 2" xfId="10313"/>
    <cellStyle name="Output 8 2 4 2 2" xfId="23619"/>
    <cellStyle name="Output 8 2 4 3" xfId="14723"/>
    <cellStyle name="Output 8 2 4 3 2" xfId="28029"/>
    <cellStyle name="Output 8 2 4 4" xfId="19209"/>
    <cellStyle name="Output 8 2 4_Table" xfId="8240"/>
    <cellStyle name="Output 8 2 5" xfId="1208"/>
    <cellStyle name="Output 8 2 5 2" xfId="10536"/>
    <cellStyle name="Output 8 2 5 2 2" xfId="23842"/>
    <cellStyle name="Output 8 2 5 3" xfId="14946"/>
    <cellStyle name="Output 8 2 5 3 2" xfId="28252"/>
    <cellStyle name="Output 8 2 5 4" xfId="19432"/>
    <cellStyle name="Output 8 2 5_Table" xfId="8241"/>
    <cellStyle name="Output 8 2 6" xfId="1052"/>
    <cellStyle name="Output 8 2 6 2" xfId="10380"/>
    <cellStyle name="Output 8 2 6 2 2" xfId="23686"/>
    <cellStyle name="Output 8 2 6 3" xfId="14790"/>
    <cellStyle name="Output 8 2 6 3 2" xfId="28096"/>
    <cellStyle name="Output 8 2 6 4" xfId="19276"/>
    <cellStyle name="Output 8 2 6_Table" xfId="8242"/>
    <cellStyle name="Output 8 2 7" xfId="1321"/>
    <cellStyle name="Output 8 2 7 2" xfId="10649"/>
    <cellStyle name="Output 8 2 7 2 2" xfId="23955"/>
    <cellStyle name="Output 8 2 7 3" xfId="15059"/>
    <cellStyle name="Output 8 2 7 3 2" xfId="28365"/>
    <cellStyle name="Output 8 2 7 4" xfId="19545"/>
    <cellStyle name="Output 8 2 7_Table" xfId="8243"/>
    <cellStyle name="Output 8 2 8" xfId="1738"/>
    <cellStyle name="Output 8 2 8 2" xfId="11066"/>
    <cellStyle name="Output 8 2 8 2 2" xfId="24372"/>
    <cellStyle name="Output 8 2 8 3" xfId="15476"/>
    <cellStyle name="Output 8 2 8 3 2" xfId="28782"/>
    <cellStyle name="Output 8 2 8 4" xfId="19962"/>
    <cellStyle name="Output 8 2 8_Table" xfId="8244"/>
    <cellStyle name="Output 8 2 9" xfId="1145"/>
    <cellStyle name="Output 8 2 9 2" xfId="10473"/>
    <cellStyle name="Output 8 2 9 2 2" xfId="23779"/>
    <cellStyle name="Output 8 2 9 3" xfId="14883"/>
    <cellStyle name="Output 8 2 9 3 2" xfId="28189"/>
    <cellStyle name="Output 8 2 9 4" xfId="19369"/>
    <cellStyle name="Output 8 2 9_Table" xfId="8245"/>
    <cellStyle name="Output 8 2_Table" xfId="8226"/>
    <cellStyle name="Output 8 3" xfId="495"/>
    <cellStyle name="Output 8 3 10" xfId="4160"/>
    <cellStyle name="Output 8 3 10 2" xfId="13488"/>
    <cellStyle name="Output 8 3 10 2 2" xfId="26794"/>
    <cellStyle name="Output 8 3 10 3" xfId="17898"/>
    <cellStyle name="Output 8 3 10 3 2" xfId="31204"/>
    <cellStyle name="Output 8 3 10 4" xfId="22384"/>
    <cellStyle name="Output 8 3 10_Table" xfId="8247"/>
    <cellStyle name="Output 8 3 11" xfId="4521"/>
    <cellStyle name="Output 8 3 11 2" xfId="13849"/>
    <cellStyle name="Output 8 3 11 2 2" xfId="27155"/>
    <cellStyle name="Output 8 3 11 3" xfId="18259"/>
    <cellStyle name="Output 8 3 11 3 2" xfId="31565"/>
    <cellStyle name="Output 8 3 11 4" xfId="22745"/>
    <cellStyle name="Output 8 3 11_Table" xfId="8248"/>
    <cellStyle name="Output 8 3 12" xfId="9823"/>
    <cellStyle name="Output 8 3 12 2" xfId="23195"/>
    <cellStyle name="Output 8 3 13" xfId="14299"/>
    <cellStyle name="Output 8 3 13 2" xfId="27605"/>
    <cellStyle name="Output 8 3 14" xfId="18785"/>
    <cellStyle name="Output 8 3 2" xfId="786"/>
    <cellStyle name="Output 8 3 2 10" xfId="4746"/>
    <cellStyle name="Output 8 3 2 10 2" xfId="14074"/>
    <cellStyle name="Output 8 3 2 10 2 2" xfId="27380"/>
    <cellStyle name="Output 8 3 2 10 3" xfId="18484"/>
    <cellStyle name="Output 8 3 2 10 3 2" xfId="31790"/>
    <cellStyle name="Output 8 3 2 10 4" xfId="22970"/>
    <cellStyle name="Output 8 3 2 10_Table" xfId="8250"/>
    <cellStyle name="Output 8 3 2 11" xfId="10114"/>
    <cellStyle name="Output 8 3 2 11 2" xfId="23420"/>
    <cellStyle name="Output 8 3 2 12" xfId="14524"/>
    <cellStyle name="Output 8 3 2 12 2" xfId="27830"/>
    <cellStyle name="Output 8 3 2 13" xfId="19010"/>
    <cellStyle name="Output 8 3 2 2" xfId="1572"/>
    <cellStyle name="Output 8 3 2 2 2" xfId="10900"/>
    <cellStyle name="Output 8 3 2 2 2 2" xfId="24206"/>
    <cellStyle name="Output 8 3 2 2 3" xfId="15310"/>
    <cellStyle name="Output 8 3 2 2 3 2" xfId="28616"/>
    <cellStyle name="Output 8 3 2 2 4" xfId="19796"/>
    <cellStyle name="Output 8 3 2 2_Table" xfId="8251"/>
    <cellStyle name="Output 8 3 2 3" xfId="1932"/>
    <cellStyle name="Output 8 3 2 3 2" xfId="11260"/>
    <cellStyle name="Output 8 3 2 3 2 2" xfId="24566"/>
    <cellStyle name="Output 8 3 2 3 3" xfId="15670"/>
    <cellStyle name="Output 8 3 2 3 3 2" xfId="28976"/>
    <cellStyle name="Output 8 3 2 3 4" xfId="20156"/>
    <cellStyle name="Output 8 3 2 3_Table" xfId="8252"/>
    <cellStyle name="Output 8 3 2 4" xfId="2362"/>
    <cellStyle name="Output 8 3 2 4 2" xfId="11690"/>
    <cellStyle name="Output 8 3 2 4 2 2" xfId="24996"/>
    <cellStyle name="Output 8 3 2 4 3" xfId="16100"/>
    <cellStyle name="Output 8 3 2 4 3 2" xfId="29406"/>
    <cellStyle name="Output 8 3 2 4 4" xfId="20586"/>
    <cellStyle name="Output 8 3 2 4_Table" xfId="8253"/>
    <cellStyle name="Output 8 3 2 5" xfId="2800"/>
    <cellStyle name="Output 8 3 2 5 2" xfId="12128"/>
    <cellStyle name="Output 8 3 2 5 2 2" xfId="25434"/>
    <cellStyle name="Output 8 3 2 5 3" xfId="16538"/>
    <cellStyle name="Output 8 3 2 5 3 2" xfId="29844"/>
    <cellStyle name="Output 8 3 2 5 4" xfId="21024"/>
    <cellStyle name="Output 8 3 2 5_Table" xfId="8254"/>
    <cellStyle name="Output 8 3 2 6" xfId="3207"/>
    <cellStyle name="Output 8 3 2 6 2" xfId="12535"/>
    <cellStyle name="Output 8 3 2 6 2 2" xfId="25841"/>
    <cellStyle name="Output 8 3 2 6 3" xfId="16945"/>
    <cellStyle name="Output 8 3 2 6 3 2" xfId="30251"/>
    <cellStyle name="Output 8 3 2 6 4" xfId="21431"/>
    <cellStyle name="Output 8 3 2 6_Table" xfId="8255"/>
    <cellStyle name="Output 8 3 2 7" xfId="3799"/>
    <cellStyle name="Output 8 3 2 7 2" xfId="13127"/>
    <cellStyle name="Output 8 3 2 7 2 2" xfId="26433"/>
    <cellStyle name="Output 8 3 2 7 3" xfId="17537"/>
    <cellStyle name="Output 8 3 2 7 3 2" xfId="30843"/>
    <cellStyle name="Output 8 3 2 7 4" xfId="22023"/>
    <cellStyle name="Output 8 3 2 7_Table" xfId="8256"/>
    <cellStyle name="Output 8 3 2 8" xfId="4024"/>
    <cellStyle name="Output 8 3 2 8 2" xfId="13352"/>
    <cellStyle name="Output 8 3 2 8 2 2" xfId="26658"/>
    <cellStyle name="Output 8 3 2 8 3" xfId="17762"/>
    <cellStyle name="Output 8 3 2 8 3 2" xfId="31068"/>
    <cellStyle name="Output 8 3 2 8 4" xfId="22248"/>
    <cellStyle name="Output 8 3 2 8_Table" xfId="8257"/>
    <cellStyle name="Output 8 3 2 9" xfId="4385"/>
    <cellStyle name="Output 8 3 2 9 2" xfId="13713"/>
    <cellStyle name="Output 8 3 2 9 2 2" xfId="27019"/>
    <cellStyle name="Output 8 3 2 9 3" xfId="18123"/>
    <cellStyle name="Output 8 3 2 9 3 2" xfId="31429"/>
    <cellStyle name="Output 8 3 2 9 4" xfId="22609"/>
    <cellStyle name="Output 8 3 2 9_Table" xfId="8258"/>
    <cellStyle name="Output 8 3 2_Table" xfId="8249"/>
    <cellStyle name="Output 8 3 3" xfId="1298"/>
    <cellStyle name="Output 8 3 3 2" xfId="10626"/>
    <cellStyle name="Output 8 3 3 2 2" xfId="23932"/>
    <cellStyle name="Output 8 3 3 3" xfId="15036"/>
    <cellStyle name="Output 8 3 3 3 2" xfId="28342"/>
    <cellStyle name="Output 8 3 3 4" xfId="19522"/>
    <cellStyle name="Output 8 3 3_Table" xfId="8259"/>
    <cellStyle name="Output 8 3 4" xfId="919"/>
    <cellStyle name="Output 8 3 4 2" xfId="10247"/>
    <cellStyle name="Output 8 3 4 2 2" xfId="23553"/>
    <cellStyle name="Output 8 3 4 3" xfId="14657"/>
    <cellStyle name="Output 8 3 4 3 2" xfId="27963"/>
    <cellStyle name="Output 8 3 4 4" xfId="19143"/>
    <cellStyle name="Output 8 3 4_Table" xfId="8260"/>
    <cellStyle name="Output 8 3 5" xfId="2086"/>
    <cellStyle name="Output 8 3 5 2" xfId="11414"/>
    <cellStyle name="Output 8 3 5 2 2" xfId="24720"/>
    <cellStyle name="Output 8 3 5 3" xfId="15824"/>
    <cellStyle name="Output 8 3 5 3 2" xfId="29130"/>
    <cellStyle name="Output 8 3 5 4" xfId="20310"/>
    <cellStyle name="Output 8 3 5_Table" xfId="8261"/>
    <cellStyle name="Output 8 3 6" xfId="2518"/>
    <cellStyle name="Output 8 3 6 2" xfId="11846"/>
    <cellStyle name="Output 8 3 6 2 2" xfId="25152"/>
    <cellStyle name="Output 8 3 6 3" xfId="16256"/>
    <cellStyle name="Output 8 3 6 3 2" xfId="29562"/>
    <cellStyle name="Output 8 3 6 4" xfId="20742"/>
    <cellStyle name="Output 8 3 6_Table" xfId="8262"/>
    <cellStyle name="Output 8 3 7" xfId="2946"/>
    <cellStyle name="Output 8 3 7 2" xfId="12274"/>
    <cellStyle name="Output 8 3 7 2 2" xfId="25580"/>
    <cellStyle name="Output 8 3 7 3" xfId="16684"/>
    <cellStyle name="Output 8 3 7 3 2" xfId="29990"/>
    <cellStyle name="Output 8 3 7 4" xfId="21170"/>
    <cellStyle name="Output 8 3 7_Table" xfId="8263"/>
    <cellStyle name="Output 8 3 8" xfId="3359"/>
    <cellStyle name="Output 8 3 8 2" xfId="12687"/>
    <cellStyle name="Output 8 3 8 2 2" xfId="25993"/>
    <cellStyle name="Output 8 3 8 3" xfId="17097"/>
    <cellStyle name="Output 8 3 8 3 2" xfId="30403"/>
    <cellStyle name="Output 8 3 8 4" xfId="21583"/>
    <cellStyle name="Output 8 3 8_Table" xfId="8264"/>
    <cellStyle name="Output 8 3 9" xfId="2602"/>
    <cellStyle name="Output 8 3 9 2" xfId="11930"/>
    <cellStyle name="Output 8 3 9 2 2" xfId="25236"/>
    <cellStyle name="Output 8 3 9 3" xfId="16340"/>
    <cellStyle name="Output 8 3 9 3 2" xfId="29646"/>
    <cellStyle name="Output 8 3 9 4" xfId="20826"/>
    <cellStyle name="Output 8 3 9_Table" xfId="8265"/>
    <cellStyle name="Output 8 3_Table" xfId="8246"/>
    <cellStyle name="Output 8 4" xfId="559"/>
    <cellStyle name="Output 8 4 10" xfId="4205"/>
    <cellStyle name="Output 8 4 10 2" xfId="13533"/>
    <cellStyle name="Output 8 4 10 2 2" xfId="26839"/>
    <cellStyle name="Output 8 4 10 3" xfId="17943"/>
    <cellStyle name="Output 8 4 10 3 2" xfId="31249"/>
    <cellStyle name="Output 8 4 10 4" xfId="22429"/>
    <cellStyle name="Output 8 4 10_Table" xfId="8267"/>
    <cellStyle name="Output 8 4 11" xfId="4566"/>
    <cellStyle name="Output 8 4 11 2" xfId="13894"/>
    <cellStyle name="Output 8 4 11 2 2" xfId="27200"/>
    <cellStyle name="Output 8 4 11 3" xfId="18304"/>
    <cellStyle name="Output 8 4 11 3 2" xfId="31610"/>
    <cellStyle name="Output 8 4 11 4" xfId="22790"/>
    <cellStyle name="Output 8 4 11_Table" xfId="8268"/>
    <cellStyle name="Output 8 4 12" xfId="9887"/>
    <cellStyle name="Output 8 4 12 2" xfId="23240"/>
    <cellStyle name="Output 8 4 13" xfId="14344"/>
    <cellStyle name="Output 8 4 13 2" xfId="27650"/>
    <cellStyle name="Output 8 4 14" xfId="18830"/>
    <cellStyle name="Output 8 4 2" xfId="831"/>
    <cellStyle name="Output 8 4 2 10" xfId="4791"/>
    <cellStyle name="Output 8 4 2 10 2" xfId="14119"/>
    <cellStyle name="Output 8 4 2 10 2 2" xfId="27425"/>
    <cellStyle name="Output 8 4 2 10 3" xfId="18529"/>
    <cellStyle name="Output 8 4 2 10 3 2" xfId="31835"/>
    <cellStyle name="Output 8 4 2 10 4" xfId="23015"/>
    <cellStyle name="Output 8 4 2 10_Table" xfId="8270"/>
    <cellStyle name="Output 8 4 2 11" xfId="10159"/>
    <cellStyle name="Output 8 4 2 11 2" xfId="23465"/>
    <cellStyle name="Output 8 4 2 12" xfId="14569"/>
    <cellStyle name="Output 8 4 2 12 2" xfId="27875"/>
    <cellStyle name="Output 8 4 2 13" xfId="19055"/>
    <cellStyle name="Output 8 4 2 2" xfId="1617"/>
    <cellStyle name="Output 8 4 2 2 2" xfId="10945"/>
    <cellStyle name="Output 8 4 2 2 2 2" xfId="24251"/>
    <cellStyle name="Output 8 4 2 2 3" xfId="15355"/>
    <cellStyle name="Output 8 4 2 2 3 2" xfId="28661"/>
    <cellStyle name="Output 8 4 2 2 4" xfId="19841"/>
    <cellStyle name="Output 8 4 2 2_Table" xfId="8271"/>
    <cellStyle name="Output 8 4 2 3" xfId="1977"/>
    <cellStyle name="Output 8 4 2 3 2" xfId="11305"/>
    <cellStyle name="Output 8 4 2 3 2 2" xfId="24611"/>
    <cellStyle name="Output 8 4 2 3 3" xfId="15715"/>
    <cellStyle name="Output 8 4 2 3 3 2" xfId="29021"/>
    <cellStyle name="Output 8 4 2 3 4" xfId="20201"/>
    <cellStyle name="Output 8 4 2 3_Table" xfId="8272"/>
    <cellStyle name="Output 8 4 2 4" xfId="2407"/>
    <cellStyle name="Output 8 4 2 4 2" xfId="11735"/>
    <cellStyle name="Output 8 4 2 4 2 2" xfId="25041"/>
    <cellStyle name="Output 8 4 2 4 3" xfId="16145"/>
    <cellStyle name="Output 8 4 2 4 3 2" xfId="29451"/>
    <cellStyle name="Output 8 4 2 4 4" xfId="20631"/>
    <cellStyle name="Output 8 4 2 4_Table" xfId="8273"/>
    <cellStyle name="Output 8 4 2 5" xfId="2845"/>
    <cellStyle name="Output 8 4 2 5 2" xfId="12173"/>
    <cellStyle name="Output 8 4 2 5 2 2" xfId="25479"/>
    <cellStyle name="Output 8 4 2 5 3" xfId="16583"/>
    <cellStyle name="Output 8 4 2 5 3 2" xfId="29889"/>
    <cellStyle name="Output 8 4 2 5 4" xfId="21069"/>
    <cellStyle name="Output 8 4 2 5_Table" xfId="8274"/>
    <cellStyle name="Output 8 4 2 6" xfId="3252"/>
    <cellStyle name="Output 8 4 2 6 2" xfId="12580"/>
    <cellStyle name="Output 8 4 2 6 2 2" xfId="25886"/>
    <cellStyle name="Output 8 4 2 6 3" xfId="16990"/>
    <cellStyle name="Output 8 4 2 6 3 2" xfId="30296"/>
    <cellStyle name="Output 8 4 2 6 4" xfId="21476"/>
    <cellStyle name="Output 8 4 2 6_Table" xfId="8275"/>
    <cellStyle name="Output 8 4 2 7" xfId="3844"/>
    <cellStyle name="Output 8 4 2 7 2" xfId="13172"/>
    <cellStyle name="Output 8 4 2 7 2 2" xfId="26478"/>
    <cellStyle name="Output 8 4 2 7 3" xfId="17582"/>
    <cellStyle name="Output 8 4 2 7 3 2" xfId="30888"/>
    <cellStyle name="Output 8 4 2 7 4" xfId="22068"/>
    <cellStyle name="Output 8 4 2 7_Table" xfId="8276"/>
    <cellStyle name="Output 8 4 2 8" xfId="4069"/>
    <cellStyle name="Output 8 4 2 8 2" xfId="13397"/>
    <cellStyle name="Output 8 4 2 8 2 2" xfId="26703"/>
    <cellStyle name="Output 8 4 2 8 3" xfId="17807"/>
    <cellStyle name="Output 8 4 2 8 3 2" xfId="31113"/>
    <cellStyle name="Output 8 4 2 8 4" xfId="22293"/>
    <cellStyle name="Output 8 4 2 8_Table" xfId="8277"/>
    <cellStyle name="Output 8 4 2 9" xfId="4430"/>
    <cellStyle name="Output 8 4 2 9 2" xfId="13758"/>
    <cellStyle name="Output 8 4 2 9 2 2" xfId="27064"/>
    <cellStyle name="Output 8 4 2 9 3" xfId="18168"/>
    <cellStyle name="Output 8 4 2 9 3 2" xfId="31474"/>
    <cellStyle name="Output 8 4 2 9 4" xfId="22654"/>
    <cellStyle name="Output 8 4 2 9_Table" xfId="8278"/>
    <cellStyle name="Output 8 4 2_Table" xfId="8269"/>
    <cellStyle name="Output 8 4 3" xfId="1354"/>
    <cellStyle name="Output 8 4 3 2" xfId="10682"/>
    <cellStyle name="Output 8 4 3 2 2" xfId="23988"/>
    <cellStyle name="Output 8 4 3 3" xfId="15092"/>
    <cellStyle name="Output 8 4 3 3 2" xfId="28398"/>
    <cellStyle name="Output 8 4 3 4" xfId="19578"/>
    <cellStyle name="Output 8 4 3_Table" xfId="8279"/>
    <cellStyle name="Output 8 4 4" xfId="1711"/>
    <cellStyle name="Output 8 4 4 2" xfId="11039"/>
    <cellStyle name="Output 8 4 4 2 2" xfId="24345"/>
    <cellStyle name="Output 8 4 4 3" xfId="15449"/>
    <cellStyle name="Output 8 4 4 3 2" xfId="28755"/>
    <cellStyle name="Output 8 4 4 4" xfId="19935"/>
    <cellStyle name="Output 8 4 4_Table" xfId="8280"/>
    <cellStyle name="Output 8 4 5" xfId="2145"/>
    <cellStyle name="Output 8 4 5 2" xfId="11473"/>
    <cellStyle name="Output 8 4 5 2 2" xfId="24779"/>
    <cellStyle name="Output 8 4 5 3" xfId="15883"/>
    <cellStyle name="Output 8 4 5 3 2" xfId="29189"/>
    <cellStyle name="Output 8 4 5 4" xfId="20369"/>
    <cellStyle name="Output 8 4 5_Table" xfId="8281"/>
    <cellStyle name="Output 8 4 6" xfId="2577"/>
    <cellStyle name="Output 8 4 6 2" xfId="11905"/>
    <cellStyle name="Output 8 4 6 2 2" xfId="25211"/>
    <cellStyle name="Output 8 4 6 3" xfId="16315"/>
    <cellStyle name="Output 8 4 6 3 2" xfId="29621"/>
    <cellStyle name="Output 8 4 6 4" xfId="20801"/>
    <cellStyle name="Output 8 4 6_Table" xfId="8282"/>
    <cellStyle name="Output 8 4 7" xfId="3003"/>
    <cellStyle name="Output 8 4 7 2" xfId="12331"/>
    <cellStyle name="Output 8 4 7 2 2" xfId="25637"/>
    <cellStyle name="Output 8 4 7 3" xfId="16741"/>
    <cellStyle name="Output 8 4 7 3 2" xfId="30047"/>
    <cellStyle name="Output 8 4 7 4" xfId="21227"/>
    <cellStyle name="Output 8 4 7_Table" xfId="8283"/>
    <cellStyle name="Output 8 4 8" xfId="3417"/>
    <cellStyle name="Output 8 4 8 2" xfId="12745"/>
    <cellStyle name="Output 8 4 8 2 2" xfId="26051"/>
    <cellStyle name="Output 8 4 8 3" xfId="17155"/>
    <cellStyle name="Output 8 4 8 3 2" xfId="30461"/>
    <cellStyle name="Output 8 4 8 4" xfId="21641"/>
    <cellStyle name="Output 8 4 8_Table" xfId="8284"/>
    <cellStyle name="Output 8 4 9" xfId="3660"/>
    <cellStyle name="Output 8 4 9 2" xfId="12988"/>
    <cellStyle name="Output 8 4 9 2 2" xfId="26294"/>
    <cellStyle name="Output 8 4 9 3" xfId="17398"/>
    <cellStyle name="Output 8 4 9 3 2" xfId="30704"/>
    <cellStyle name="Output 8 4 9 4" xfId="21884"/>
    <cellStyle name="Output 8 4 9_Table" xfId="8285"/>
    <cellStyle name="Output 8 4_Table" xfId="8266"/>
    <cellStyle name="Output 8 5" xfId="634"/>
    <cellStyle name="Output 8 5 10" xfId="4250"/>
    <cellStyle name="Output 8 5 10 2" xfId="13578"/>
    <cellStyle name="Output 8 5 10 2 2" xfId="26884"/>
    <cellStyle name="Output 8 5 10 3" xfId="17988"/>
    <cellStyle name="Output 8 5 10 3 2" xfId="31294"/>
    <cellStyle name="Output 8 5 10 4" xfId="22474"/>
    <cellStyle name="Output 8 5 10_Table" xfId="8287"/>
    <cellStyle name="Output 8 5 11" xfId="4611"/>
    <cellStyle name="Output 8 5 11 2" xfId="13939"/>
    <cellStyle name="Output 8 5 11 2 2" xfId="27245"/>
    <cellStyle name="Output 8 5 11 3" xfId="18349"/>
    <cellStyle name="Output 8 5 11 3 2" xfId="31655"/>
    <cellStyle name="Output 8 5 11 4" xfId="22835"/>
    <cellStyle name="Output 8 5 11_Table" xfId="8288"/>
    <cellStyle name="Output 8 5 12" xfId="9962"/>
    <cellStyle name="Output 8 5 12 2" xfId="23285"/>
    <cellStyle name="Output 8 5 13" xfId="14389"/>
    <cellStyle name="Output 8 5 13 2" xfId="27695"/>
    <cellStyle name="Output 8 5 14" xfId="18875"/>
    <cellStyle name="Output 8 5 2" xfId="876"/>
    <cellStyle name="Output 8 5 2 10" xfId="4836"/>
    <cellStyle name="Output 8 5 2 10 2" xfId="14164"/>
    <cellStyle name="Output 8 5 2 10 2 2" xfId="27470"/>
    <cellStyle name="Output 8 5 2 10 3" xfId="18574"/>
    <cellStyle name="Output 8 5 2 10 3 2" xfId="31880"/>
    <cellStyle name="Output 8 5 2 10 4" xfId="23060"/>
    <cellStyle name="Output 8 5 2 10_Table" xfId="8290"/>
    <cellStyle name="Output 8 5 2 11" xfId="10204"/>
    <cellStyle name="Output 8 5 2 11 2" xfId="23510"/>
    <cellStyle name="Output 8 5 2 12" xfId="14614"/>
    <cellStyle name="Output 8 5 2 12 2" xfId="27920"/>
    <cellStyle name="Output 8 5 2 13" xfId="19100"/>
    <cellStyle name="Output 8 5 2 2" xfId="1662"/>
    <cellStyle name="Output 8 5 2 2 2" xfId="10990"/>
    <cellStyle name="Output 8 5 2 2 2 2" xfId="24296"/>
    <cellStyle name="Output 8 5 2 2 3" xfId="15400"/>
    <cellStyle name="Output 8 5 2 2 3 2" xfId="28706"/>
    <cellStyle name="Output 8 5 2 2 4" xfId="19886"/>
    <cellStyle name="Output 8 5 2 2_Table" xfId="8291"/>
    <cellStyle name="Output 8 5 2 3" xfId="2022"/>
    <cellStyle name="Output 8 5 2 3 2" xfId="11350"/>
    <cellStyle name="Output 8 5 2 3 2 2" xfId="24656"/>
    <cellStyle name="Output 8 5 2 3 3" xfId="15760"/>
    <cellStyle name="Output 8 5 2 3 3 2" xfId="29066"/>
    <cellStyle name="Output 8 5 2 3 4" xfId="20246"/>
    <cellStyle name="Output 8 5 2 3_Table" xfId="8292"/>
    <cellStyle name="Output 8 5 2 4" xfId="2452"/>
    <cellStyle name="Output 8 5 2 4 2" xfId="11780"/>
    <cellStyle name="Output 8 5 2 4 2 2" xfId="25086"/>
    <cellStyle name="Output 8 5 2 4 3" xfId="16190"/>
    <cellStyle name="Output 8 5 2 4 3 2" xfId="29496"/>
    <cellStyle name="Output 8 5 2 4 4" xfId="20676"/>
    <cellStyle name="Output 8 5 2 4_Table" xfId="8293"/>
    <cellStyle name="Output 8 5 2 5" xfId="2890"/>
    <cellStyle name="Output 8 5 2 5 2" xfId="12218"/>
    <cellStyle name="Output 8 5 2 5 2 2" xfId="25524"/>
    <cellStyle name="Output 8 5 2 5 3" xfId="16628"/>
    <cellStyle name="Output 8 5 2 5 3 2" xfId="29934"/>
    <cellStyle name="Output 8 5 2 5 4" xfId="21114"/>
    <cellStyle name="Output 8 5 2 5_Table" xfId="8294"/>
    <cellStyle name="Output 8 5 2 6" xfId="3297"/>
    <cellStyle name="Output 8 5 2 6 2" xfId="12625"/>
    <cellStyle name="Output 8 5 2 6 2 2" xfId="25931"/>
    <cellStyle name="Output 8 5 2 6 3" xfId="17035"/>
    <cellStyle name="Output 8 5 2 6 3 2" xfId="30341"/>
    <cellStyle name="Output 8 5 2 6 4" xfId="21521"/>
    <cellStyle name="Output 8 5 2 6_Table" xfId="8295"/>
    <cellStyle name="Output 8 5 2 7" xfId="3889"/>
    <cellStyle name="Output 8 5 2 7 2" xfId="13217"/>
    <cellStyle name="Output 8 5 2 7 2 2" xfId="26523"/>
    <cellStyle name="Output 8 5 2 7 3" xfId="17627"/>
    <cellStyle name="Output 8 5 2 7 3 2" xfId="30933"/>
    <cellStyle name="Output 8 5 2 7 4" xfId="22113"/>
    <cellStyle name="Output 8 5 2 7_Table" xfId="8296"/>
    <cellStyle name="Output 8 5 2 8" xfId="4114"/>
    <cellStyle name="Output 8 5 2 8 2" xfId="13442"/>
    <cellStyle name="Output 8 5 2 8 2 2" xfId="26748"/>
    <cellStyle name="Output 8 5 2 8 3" xfId="17852"/>
    <cellStyle name="Output 8 5 2 8 3 2" xfId="31158"/>
    <cellStyle name="Output 8 5 2 8 4" xfId="22338"/>
    <cellStyle name="Output 8 5 2 8_Table" xfId="8297"/>
    <cellStyle name="Output 8 5 2 9" xfId="4475"/>
    <cellStyle name="Output 8 5 2 9 2" xfId="13803"/>
    <cellStyle name="Output 8 5 2 9 2 2" xfId="27109"/>
    <cellStyle name="Output 8 5 2 9 3" xfId="18213"/>
    <cellStyle name="Output 8 5 2 9 3 2" xfId="31519"/>
    <cellStyle name="Output 8 5 2 9 4" xfId="22699"/>
    <cellStyle name="Output 8 5 2 9_Table" xfId="8298"/>
    <cellStyle name="Output 8 5 2_Table" xfId="8289"/>
    <cellStyle name="Output 8 5 3" xfId="1421"/>
    <cellStyle name="Output 8 5 3 2" xfId="10749"/>
    <cellStyle name="Output 8 5 3 2 2" xfId="24055"/>
    <cellStyle name="Output 8 5 3 3" xfId="15159"/>
    <cellStyle name="Output 8 5 3 3 2" xfId="28465"/>
    <cellStyle name="Output 8 5 3 4" xfId="19645"/>
    <cellStyle name="Output 8 5 3_Table" xfId="8299"/>
    <cellStyle name="Output 8 5 4" xfId="1781"/>
    <cellStyle name="Output 8 5 4 2" xfId="11109"/>
    <cellStyle name="Output 8 5 4 2 2" xfId="24415"/>
    <cellStyle name="Output 8 5 4 3" xfId="15519"/>
    <cellStyle name="Output 8 5 4 3 2" xfId="28825"/>
    <cellStyle name="Output 8 5 4 4" xfId="20005"/>
    <cellStyle name="Output 8 5 4_Table" xfId="8300"/>
    <cellStyle name="Output 8 5 5" xfId="2214"/>
    <cellStyle name="Output 8 5 5 2" xfId="11542"/>
    <cellStyle name="Output 8 5 5 2 2" xfId="24848"/>
    <cellStyle name="Output 8 5 5 3" xfId="15952"/>
    <cellStyle name="Output 8 5 5 3 2" xfId="29258"/>
    <cellStyle name="Output 8 5 5 4" xfId="20438"/>
    <cellStyle name="Output 8 5 5_Table" xfId="8301"/>
    <cellStyle name="Output 8 5 6" xfId="2649"/>
    <cellStyle name="Output 8 5 6 2" xfId="11977"/>
    <cellStyle name="Output 8 5 6 2 2" xfId="25283"/>
    <cellStyle name="Output 8 5 6 3" xfId="16387"/>
    <cellStyle name="Output 8 5 6 3 2" xfId="29693"/>
    <cellStyle name="Output 8 5 6 4" xfId="20873"/>
    <cellStyle name="Output 8 5 6_Table" xfId="8302"/>
    <cellStyle name="Output 8 5 7" xfId="3062"/>
    <cellStyle name="Output 8 5 7 2" xfId="12390"/>
    <cellStyle name="Output 8 5 7 2 2" xfId="25696"/>
    <cellStyle name="Output 8 5 7 3" xfId="16800"/>
    <cellStyle name="Output 8 5 7 3 2" xfId="30106"/>
    <cellStyle name="Output 8 5 7 4" xfId="21286"/>
    <cellStyle name="Output 8 5 7_Table" xfId="8303"/>
    <cellStyle name="Output 8 5 8" xfId="3488"/>
    <cellStyle name="Output 8 5 8 2" xfId="12816"/>
    <cellStyle name="Output 8 5 8 2 2" xfId="26122"/>
    <cellStyle name="Output 8 5 8 3" xfId="17226"/>
    <cellStyle name="Output 8 5 8 3 2" xfId="30532"/>
    <cellStyle name="Output 8 5 8 4" xfId="21712"/>
    <cellStyle name="Output 8 5 8_Table" xfId="8304"/>
    <cellStyle name="Output 8 5 9" xfId="3669"/>
    <cellStyle name="Output 8 5 9 2" xfId="12997"/>
    <cellStyle name="Output 8 5 9 2 2" xfId="26303"/>
    <cellStyle name="Output 8 5 9 3" xfId="17407"/>
    <cellStyle name="Output 8 5 9 3 2" xfId="30713"/>
    <cellStyle name="Output 8 5 9 4" xfId="21893"/>
    <cellStyle name="Output 8 5 9_Table" xfId="8305"/>
    <cellStyle name="Output 8 5_Table" xfId="8286"/>
    <cellStyle name="Output 8 6" xfId="696"/>
    <cellStyle name="Output 8 6 10" xfId="4656"/>
    <cellStyle name="Output 8 6 10 2" xfId="13984"/>
    <cellStyle name="Output 8 6 10 2 2" xfId="27290"/>
    <cellStyle name="Output 8 6 10 3" xfId="18394"/>
    <cellStyle name="Output 8 6 10 3 2" xfId="31700"/>
    <cellStyle name="Output 8 6 10 4" xfId="22880"/>
    <cellStyle name="Output 8 6 10_Table" xfId="8307"/>
    <cellStyle name="Output 8 6 11" xfId="10024"/>
    <cellStyle name="Output 8 6 11 2" xfId="23330"/>
    <cellStyle name="Output 8 6 12" xfId="14434"/>
    <cellStyle name="Output 8 6 12 2" xfId="27740"/>
    <cellStyle name="Output 8 6 13" xfId="18920"/>
    <cellStyle name="Output 8 6 2" xfId="1482"/>
    <cellStyle name="Output 8 6 2 2" xfId="10810"/>
    <cellStyle name="Output 8 6 2 2 2" xfId="24116"/>
    <cellStyle name="Output 8 6 2 3" xfId="15220"/>
    <cellStyle name="Output 8 6 2 3 2" xfId="28526"/>
    <cellStyle name="Output 8 6 2 4" xfId="19706"/>
    <cellStyle name="Output 8 6 2_Table" xfId="8308"/>
    <cellStyle name="Output 8 6 3" xfId="1842"/>
    <cellStyle name="Output 8 6 3 2" xfId="11170"/>
    <cellStyle name="Output 8 6 3 2 2" xfId="24476"/>
    <cellStyle name="Output 8 6 3 3" xfId="15580"/>
    <cellStyle name="Output 8 6 3 3 2" xfId="28886"/>
    <cellStyle name="Output 8 6 3 4" xfId="20066"/>
    <cellStyle name="Output 8 6 3_Table" xfId="8309"/>
    <cellStyle name="Output 8 6 4" xfId="2272"/>
    <cellStyle name="Output 8 6 4 2" xfId="11600"/>
    <cellStyle name="Output 8 6 4 2 2" xfId="24906"/>
    <cellStyle name="Output 8 6 4 3" xfId="16010"/>
    <cellStyle name="Output 8 6 4 3 2" xfId="29316"/>
    <cellStyle name="Output 8 6 4 4" xfId="20496"/>
    <cellStyle name="Output 8 6 4_Table" xfId="8310"/>
    <cellStyle name="Output 8 6 5" xfId="2710"/>
    <cellStyle name="Output 8 6 5 2" xfId="12038"/>
    <cellStyle name="Output 8 6 5 2 2" xfId="25344"/>
    <cellStyle name="Output 8 6 5 3" xfId="16448"/>
    <cellStyle name="Output 8 6 5 3 2" xfId="29754"/>
    <cellStyle name="Output 8 6 5 4" xfId="20934"/>
    <cellStyle name="Output 8 6 5_Table" xfId="8311"/>
    <cellStyle name="Output 8 6 6" xfId="3117"/>
    <cellStyle name="Output 8 6 6 2" xfId="12445"/>
    <cellStyle name="Output 8 6 6 2 2" xfId="25751"/>
    <cellStyle name="Output 8 6 6 3" xfId="16855"/>
    <cellStyle name="Output 8 6 6 3 2" xfId="30161"/>
    <cellStyle name="Output 8 6 6 4" xfId="21341"/>
    <cellStyle name="Output 8 6 6_Table" xfId="8312"/>
    <cellStyle name="Output 8 6 7" xfId="3709"/>
    <cellStyle name="Output 8 6 7 2" xfId="13037"/>
    <cellStyle name="Output 8 6 7 2 2" xfId="26343"/>
    <cellStyle name="Output 8 6 7 3" xfId="17447"/>
    <cellStyle name="Output 8 6 7 3 2" xfId="30753"/>
    <cellStyle name="Output 8 6 7 4" xfId="21933"/>
    <cellStyle name="Output 8 6 7_Table" xfId="8313"/>
    <cellStyle name="Output 8 6 8" xfId="3934"/>
    <cellStyle name="Output 8 6 8 2" xfId="13262"/>
    <cellStyle name="Output 8 6 8 2 2" xfId="26568"/>
    <cellStyle name="Output 8 6 8 3" xfId="17672"/>
    <cellStyle name="Output 8 6 8 3 2" xfId="30978"/>
    <cellStyle name="Output 8 6 8 4" xfId="22158"/>
    <cellStyle name="Output 8 6 8_Table" xfId="8314"/>
    <cellStyle name="Output 8 6 9" xfId="4295"/>
    <cellStyle name="Output 8 6 9 2" xfId="13623"/>
    <cellStyle name="Output 8 6 9 2 2" xfId="26929"/>
    <cellStyle name="Output 8 6 9 3" xfId="18033"/>
    <cellStyle name="Output 8 6 9 3 2" xfId="31339"/>
    <cellStyle name="Output 8 6 9 4" xfId="22519"/>
    <cellStyle name="Output 8 6 9_Table" xfId="8315"/>
    <cellStyle name="Output 8 6_Table" xfId="8306"/>
    <cellStyle name="Output 8 7" xfId="1190"/>
    <cellStyle name="Output 8 7 2" xfId="10518"/>
    <cellStyle name="Output 8 7 2 2" xfId="23824"/>
    <cellStyle name="Output 8 7 3" xfId="14928"/>
    <cellStyle name="Output 8 7 3 2" xfId="28234"/>
    <cellStyle name="Output 8 7 4" xfId="19414"/>
    <cellStyle name="Output 8 7_Table" xfId="8316"/>
    <cellStyle name="Output 8 8" xfId="1054"/>
    <cellStyle name="Output 8 8 2" xfId="10382"/>
    <cellStyle name="Output 8 8 2 2" xfId="23688"/>
    <cellStyle name="Output 8 8 3" xfId="14792"/>
    <cellStyle name="Output 8 8 3 2" xfId="28098"/>
    <cellStyle name="Output 8 8 4" xfId="19278"/>
    <cellStyle name="Output 8 8_Table" xfId="8317"/>
    <cellStyle name="Output 8 9" xfId="1262"/>
    <cellStyle name="Output 8 9 2" xfId="10590"/>
    <cellStyle name="Output 8 9 2 2" xfId="23896"/>
    <cellStyle name="Output 8 9 3" xfId="15000"/>
    <cellStyle name="Output 8 9 3 2" xfId="28306"/>
    <cellStyle name="Output 8 9 4" xfId="19486"/>
    <cellStyle name="Output 8 9_Table" xfId="8318"/>
    <cellStyle name="Output 8_Table" xfId="8219"/>
    <cellStyle name="Output 9" xfId="357"/>
    <cellStyle name="Output 9 10" xfId="906"/>
    <cellStyle name="Output 9 10 2" xfId="10234"/>
    <cellStyle name="Output 9 10 2 2" xfId="23540"/>
    <cellStyle name="Output 9 10 3" xfId="14644"/>
    <cellStyle name="Output 9 10 3 2" xfId="27950"/>
    <cellStyle name="Output 9 10 4" xfId="19130"/>
    <cellStyle name="Output 9 10_Table" xfId="8320"/>
    <cellStyle name="Output 9 11" xfId="2099"/>
    <cellStyle name="Output 9 11 2" xfId="11427"/>
    <cellStyle name="Output 9 11 2 2" xfId="24733"/>
    <cellStyle name="Output 9 11 3" xfId="15837"/>
    <cellStyle name="Output 9 11 3 2" xfId="29143"/>
    <cellStyle name="Output 9 11 4" xfId="20323"/>
    <cellStyle name="Output 9 11_Table" xfId="8321"/>
    <cellStyle name="Output 9 12" xfId="2530"/>
    <cellStyle name="Output 9 12 2" xfId="11858"/>
    <cellStyle name="Output 9 12 2 2" xfId="25164"/>
    <cellStyle name="Output 9 12 3" xfId="16268"/>
    <cellStyle name="Output 9 12 3 2" xfId="29574"/>
    <cellStyle name="Output 9 12 4" xfId="20754"/>
    <cellStyle name="Output 9 12_Table" xfId="8322"/>
    <cellStyle name="Output 9 13" xfId="1310"/>
    <cellStyle name="Output 9 13 2" xfId="10638"/>
    <cellStyle name="Output 9 13 2 2" xfId="23944"/>
    <cellStyle name="Output 9 13 3" xfId="15048"/>
    <cellStyle name="Output 9 13 3 2" xfId="28354"/>
    <cellStyle name="Output 9 13 4" xfId="19534"/>
    <cellStyle name="Output 9 13_Table" xfId="8323"/>
    <cellStyle name="Output 9 14" xfId="3548"/>
    <cellStyle name="Output 9 14 2" xfId="12876"/>
    <cellStyle name="Output 9 14 2 2" xfId="26182"/>
    <cellStyle name="Output 9 14 3" xfId="17286"/>
    <cellStyle name="Output 9 14 3 2" xfId="30592"/>
    <cellStyle name="Output 9 14 4" xfId="21772"/>
    <cellStyle name="Output 9 14_Table" xfId="8324"/>
    <cellStyle name="Output 9 15" xfId="3499"/>
    <cellStyle name="Output 9 15 2" xfId="12827"/>
    <cellStyle name="Output 9 15 2 2" xfId="26133"/>
    <cellStyle name="Output 9 15 3" xfId="17237"/>
    <cellStyle name="Output 9 15 3 2" xfId="30543"/>
    <cellStyle name="Output 9 15 4" xfId="21723"/>
    <cellStyle name="Output 9 15_Table" xfId="8325"/>
    <cellStyle name="Output 9 16" xfId="9685"/>
    <cellStyle name="Output 9 16 2" xfId="23106"/>
    <cellStyle name="Output 9 17" xfId="14210"/>
    <cellStyle name="Output 9 17 2" xfId="27516"/>
    <cellStyle name="Output 9 18" xfId="18696"/>
    <cellStyle name="Output 9 2" xfId="428"/>
    <cellStyle name="Output 9 2 10" xfId="1280"/>
    <cellStyle name="Output 9 2 10 2" xfId="10608"/>
    <cellStyle name="Output 9 2 10 2 2" xfId="23914"/>
    <cellStyle name="Output 9 2 10 3" xfId="15018"/>
    <cellStyle name="Output 9 2 10 3 2" xfId="28324"/>
    <cellStyle name="Output 9 2 10 4" xfId="19504"/>
    <cellStyle name="Output 9 2 10_Table" xfId="8327"/>
    <cellStyle name="Output 9 2 11" xfId="1371"/>
    <cellStyle name="Output 9 2 11 2" xfId="10699"/>
    <cellStyle name="Output 9 2 11 2 2" xfId="24005"/>
    <cellStyle name="Output 9 2 11 3" xfId="15109"/>
    <cellStyle name="Output 9 2 11 3 2" xfId="28415"/>
    <cellStyle name="Output 9 2 11 4" xfId="19595"/>
    <cellStyle name="Output 9 2 11_Table" xfId="8328"/>
    <cellStyle name="Output 9 2 12" xfId="9756"/>
    <cellStyle name="Output 9 2 12 2" xfId="23151"/>
    <cellStyle name="Output 9 2 13" xfId="14255"/>
    <cellStyle name="Output 9 2 13 2" xfId="27561"/>
    <cellStyle name="Output 9 2 14" xfId="18741"/>
    <cellStyle name="Output 9 2 2" xfId="742"/>
    <cellStyle name="Output 9 2 2 10" xfId="4702"/>
    <cellStyle name="Output 9 2 2 10 2" xfId="14030"/>
    <cellStyle name="Output 9 2 2 10 2 2" xfId="27336"/>
    <cellStyle name="Output 9 2 2 10 3" xfId="18440"/>
    <cellStyle name="Output 9 2 2 10 3 2" xfId="31746"/>
    <cellStyle name="Output 9 2 2 10 4" xfId="22926"/>
    <cellStyle name="Output 9 2 2 10_Table" xfId="8330"/>
    <cellStyle name="Output 9 2 2 11" xfId="10070"/>
    <cellStyle name="Output 9 2 2 11 2" xfId="23376"/>
    <cellStyle name="Output 9 2 2 12" xfId="14480"/>
    <cellStyle name="Output 9 2 2 12 2" xfId="27786"/>
    <cellStyle name="Output 9 2 2 13" xfId="18966"/>
    <cellStyle name="Output 9 2 2 2" xfId="1528"/>
    <cellStyle name="Output 9 2 2 2 2" xfId="10856"/>
    <cellStyle name="Output 9 2 2 2 2 2" xfId="24162"/>
    <cellStyle name="Output 9 2 2 2 3" xfId="15266"/>
    <cellStyle name="Output 9 2 2 2 3 2" xfId="28572"/>
    <cellStyle name="Output 9 2 2 2 4" xfId="19752"/>
    <cellStyle name="Output 9 2 2 2_Table" xfId="8331"/>
    <cellStyle name="Output 9 2 2 3" xfId="1888"/>
    <cellStyle name="Output 9 2 2 3 2" xfId="11216"/>
    <cellStyle name="Output 9 2 2 3 2 2" xfId="24522"/>
    <cellStyle name="Output 9 2 2 3 3" xfId="15626"/>
    <cellStyle name="Output 9 2 2 3 3 2" xfId="28932"/>
    <cellStyle name="Output 9 2 2 3 4" xfId="20112"/>
    <cellStyle name="Output 9 2 2 3_Table" xfId="8332"/>
    <cellStyle name="Output 9 2 2 4" xfId="2318"/>
    <cellStyle name="Output 9 2 2 4 2" xfId="11646"/>
    <cellStyle name="Output 9 2 2 4 2 2" xfId="24952"/>
    <cellStyle name="Output 9 2 2 4 3" xfId="16056"/>
    <cellStyle name="Output 9 2 2 4 3 2" xfId="29362"/>
    <cellStyle name="Output 9 2 2 4 4" xfId="20542"/>
    <cellStyle name="Output 9 2 2 4_Table" xfId="8333"/>
    <cellStyle name="Output 9 2 2 5" xfId="2756"/>
    <cellStyle name="Output 9 2 2 5 2" xfId="12084"/>
    <cellStyle name="Output 9 2 2 5 2 2" xfId="25390"/>
    <cellStyle name="Output 9 2 2 5 3" xfId="16494"/>
    <cellStyle name="Output 9 2 2 5 3 2" xfId="29800"/>
    <cellStyle name="Output 9 2 2 5 4" xfId="20980"/>
    <cellStyle name="Output 9 2 2 5_Table" xfId="8334"/>
    <cellStyle name="Output 9 2 2 6" xfId="3163"/>
    <cellStyle name="Output 9 2 2 6 2" xfId="12491"/>
    <cellStyle name="Output 9 2 2 6 2 2" xfId="25797"/>
    <cellStyle name="Output 9 2 2 6 3" xfId="16901"/>
    <cellStyle name="Output 9 2 2 6 3 2" xfId="30207"/>
    <cellStyle name="Output 9 2 2 6 4" xfId="21387"/>
    <cellStyle name="Output 9 2 2 6_Table" xfId="8335"/>
    <cellStyle name="Output 9 2 2 7" xfId="3755"/>
    <cellStyle name="Output 9 2 2 7 2" xfId="13083"/>
    <cellStyle name="Output 9 2 2 7 2 2" xfId="26389"/>
    <cellStyle name="Output 9 2 2 7 3" xfId="17493"/>
    <cellStyle name="Output 9 2 2 7 3 2" xfId="30799"/>
    <cellStyle name="Output 9 2 2 7 4" xfId="21979"/>
    <cellStyle name="Output 9 2 2 7_Table" xfId="8336"/>
    <cellStyle name="Output 9 2 2 8" xfId="3980"/>
    <cellStyle name="Output 9 2 2 8 2" xfId="13308"/>
    <cellStyle name="Output 9 2 2 8 2 2" xfId="26614"/>
    <cellStyle name="Output 9 2 2 8 3" xfId="17718"/>
    <cellStyle name="Output 9 2 2 8 3 2" xfId="31024"/>
    <cellStyle name="Output 9 2 2 8 4" xfId="22204"/>
    <cellStyle name="Output 9 2 2 8_Table" xfId="8337"/>
    <cellStyle name="Output 9 2 2 9" xfId="4341"/>
    <cellStyle name="Output 9 2 2 9 2" xfId="13669"/>
    <cellStyle name="Output 9 2 2 9 2 2" xfId="26975"/>
    <cellStyle name="Output 9 2 2 9 3" xfId="18079"/>
    <cellStyle name="Output 9 2 2 9 3 2" xfId="31385"/>
    <cellStyle name="Output 9 2 2 9 4" xfId="22565"/>
    <cellStyle name="Output 9 2 2 9_Table" xfId="8338"/>
    <cellStyle name="Output 9 2 2_Table" xfId="8329"/>
    <cellStyle name="Output 9 2 3" xfId="1242"/>
    <cellStyle name="Output 9 2 3 2" xfId="10570"/>
    <cellStyle name="Output 9 2 3 2 2" xfId="23876"/>
    <cellStyle name="Output 9 2 3 3" xfId="14980"/>
    <cellStyle name="Output 9 2 3 3 2" xfId="28286"/>
    <cellStyle name="Output 9 2 3 4" xfId="19466"/>
    <cellStyle name="Output 9 2 3_Table" xfId="8339"/>
    <cellStyle name="Output 9 2 4" xfId="984"/>
    <cellStyle name="Output 9 2 4 2" xfId="10312"/>
    <cellStyle name="Output 9 2 4 2 2" xfId="23618"/>
    <cellStyle name="Output 9 2 4 3" xfId="14722"/>
    <cellStyle name="Output 9 2 4 3 2" xfId="28028"/>
    <cellStyle name="Output 9 2 4 4" xfId="19208"/>
    <cellStyle name="Output 9 2 4_Table" xfId="8340"/>
    <cellStyle name="Output 9 2 5" xfId="1172"/>
    <cellStyle name="Output 9 2 5 2" xfId="10500"/>
    <cellStyle name="Output 9 2 5 2 2" xfId="23806"/>
    <cellStyle name="Output 9 2 5 3" xfId="14910"/>
    <cellStyle name="Output 9 2 5 3 2" xfId="28216"/>
    <cellStyle name="Output 9 2 5 4" xfId="19396"/>
    <cellStyle name="Output 9 2 5_Table" xfId="8341"/>
    <cellStyle name="Output 9 2 6" xfId="1051"/>
    <cellStyle name="Output 9 2 6 2" xfId="10379"/>
    <cellStyle name="Output 9 2 6 2 2" xfId="23685"/>
    <cellStyle name="Output 9 2 6 3" xfId="14789"/>
    <cellStyle name="Output 9 2 6 3 2" xfId="28095"/>
    <cellStyle name="Output 9 2 6 4" xfId="19275"/>
    <cellStyle name="Output 9 2 6_Table" xfId="8342"/>
    <cellStyle name="Output 9 2 7" xfId="1378"/>
    <cellStyle name="Output 9 2 7 2" xfId="10706"/>
    <cellStyle name="Output 9 2 7 2 2" xfId="24012"/>
    <cellStyle name="Output 9 2 7 3" xfId="15116"/>
    <cellStyle name="Output 9 2 7 3 2" xfId="28422"/>
    <cellStyle name="Output 9 2 7 4" xfId="19602"/>
    <cellStyle name="Output 9 2 7_Table" xfId="8343"/>
    <cellStyle name="Output 9 2 8" xfId="1723"/>
    <cellStyle name="Output 9 2 8 2" xfId="11051"/>
    <cellStyle name="Output 9 2 8 2 2" xfId="24357"/>
    <cellStyle name="Output 9 2 8 3" xfId="15461"/>
    <cellStyle name="Output 9 2 8 3 2" xfId="28767"/>
    <cellStyle name="Output 9 2 8 4" xfId="19947"/>
    <cellStyle name="Output 9 2 8_Table" xfId="8344"/>
    <cellStyle name="Output 9 2 9" xfId="3583"/>
    <cellStyle name="Output 9 2 9 2" xfId="12911"/>
    <cellStyle name="Output 9 2 9 2 2" xfId="26217"/>
    <cellStyle name="Output 9 2 9 3" xfId="17321"/>
    <cellStyle name="Output 9 2 9 3 2" xfId="30627"/>
    <cellStyle name="Output 9 2 9 4" xfId="21807"/>
    <cellStyle name="Output 9 2 9_Table" xfId="8345"/>
    <cellStyle name="Output 9 2_Table" xfId="8326"/>
    <cellStyle name="Output 9 3" xfId="496"/>
    <cellStyle name="Output 9 3 10" xfId="4161"/>
    <cellStyle name="Output 9 3 10 2" xfId="13489"/>
    <cellStyle name="Output 9 3 10 2 2" xfId="26795"/>
    <cellStyle name="Output 9 3 10 3" xfId="17899"/>
    <cellStyle name="Output 9 3 10 3 2" xfId="31205"/>
    <cellStyle name="Output 9 3 10 4" xfId="22385"/>
    <cellStyle name="Output 9 3 10_Table" xfId="8347"/>
    <cellStyle name="Output 9 3 11" xfId="4522"/>
    <cellStyle name="Output 9 3 11 2" xfId="13850"/>
    <cellStyle name="Output 9 3 11 2 2" xfId="27156"/>
    <cellStyle name="Output 9 3 11 3" xfId="18260"/>
    <cellStyle name="Output 9 3 11 3 2" xfId="31566"/>
    <cellStyle name="Output 9 3 11 4" xfId="22746"/>
    <cellStyle name="Output 9 3 11_Table" xfId="8348"/>
    <cellStyle name="Output 9 3 12" xfId="9824"/>
    <cellStyle name="Output 9 3 12 2" xfId="23196"/>
    <cellStyle name="Output 9 3 13" xfId="14300"/>
    <cellStyle name="Output 9 3 13 2" xfId="27606"/>
    <cellStyle name="Output 9 3 14" xfId="18786"/>
    <cellStyle name="Output 9 3 2" xfId="787"/>
    <cellStyle name="Output 9 3 2 10" xfId="4747"/>
    <cellStyle name="Output 9 3 2 10 2" xfId="14075"/>
    <cellStyle name="Output 9 3 2 10 2 2" xfId="27381"/>
    <cellStyle name="Output 9 3 2 10 3" xfId="18485"/>
    <cellStyle name="Output 9 3 2 10 3 2" xfId="31791"/>
    <cellStyle name="Output 9 3 2 10 4" xfId="22971"/>
    <cellStyle name="Output 9 3 2 10_Table" xfId="8350"/>
    <cellStyle name="Output 9 3 2 11" xfId="10115"/>
    <cellStyle name="Output 9 3 2 11 2" xfId="23421"/>
    <cellStyle name="Output 9 3 2 12" xfId="14525"/>
    <cellStyle name="Output 9 3 2 12 2" xfId="27831"/>
    <cellStyle name="Output 9 3 2 13" xfId="19011"/>
    <cellStyle name="Output 9 3 2 2" xfId="1573"/>
    <cellStyle name="Output 9 3 2 2 2" xfId="10901"/>
    <cellStyle name="Output 9 3 2 2 2 2" xfId="24207"/>
    <cellStyle name="Output 9 3 2 2 3" xfId="15311"/>
    <cellStyle name="Output 9 3 2 2 3 2" xfId="28617"/>
    <cellStyle name="Output 9 3 2 2 4" xfId="19797"/>
    <cellStyle name="Output 9 3 2 2_Table" xfId="8351"/>
    <cellStyle name="Output 9 3 2 3" xfId="1933"/>
    <cellStyle name="Output 9 3 2 3 2" xfId="11261"/>
    <cellStyle name="Output 9 3 2 3 2 2" xfId="24567"/>
    <cellStyle name="Output 9 3 2 3 3" xfId="15671"/>
    <cellStyle name="Output 9 3 2 3 3 2" xfId="28977"/>
    <cellStyle name="Output 9 3 2 3 4" xfId="20157"/>
    <cellStyle name="Output 9 3 2 3_Table" xfId="8352"/>
    <cellStyle name="Output 9 3 2 4" xfId="2363"/>
    <cellStyle name="Output 9 3 2 4 2" xfId="11691"/>
    <cellStyle name="Output 9 3 2 4 2 2" xfId="24997"/>
    <cellStyle name="Output 9 3 2 4 3" xfId="16101"/>
    <cellStyle name="Output 9 3 2 4 3 2" xfId="29407"/>
    <cellStyle name="Output 9 3 2 4 4" xfId="20587"/>
    <cellStyle name="Output 9 3 2 4_Table" xfId="8353"/>
    <cellStyle name="Output 9 3 2 5" xfId="2801"/>
    <cellStyle name="Output 9 3 2 5 2" xfId="12129"/>
    <cellStyle name="Output 9 3 2 5 2 2" xfId="25435"/>
    <cellStyle name="Output 9 3 2 5 3" xfId="16539"/>
    <cellStyle name="Output 9 3 2 5 3 2" xfId="29845"/>
    <cellStyle name="Output 9 3 2 5 4" xfId="21025"/>
    <cellStyle name="Output 9 3 2 5_Table" xfId="8354"/>
    <cellStyle name="Output 9 3 2 6" xfId="3208"/>
    <cellStyle name="Output 9 3 2 6 2" xfId="12536"/>
    <cellStyle name="Output 9 3 2 6 2 2" xfId="25842"/>
    <cellStyle name="Output 9 3 2 6 3" xfId="16946"/>
    <cellStyle name="Output 9 3 2 6 3 2" xfId="30252"/>
    <cellStyle name="Output 9 3 2 6 4" xfId="21432"/>
    <cellStyle name="Output 9 3 2 6_Table" xfId="8355"/>
    <cellStyle name="Output 9 3 2 7" xfId="3800"/>
    <cellStyle name="Output 9 3 2 7 2" xfId="13128"/>
    <cellStyle name="Output 9 3 2 7 2 2" xfId="26434"/>
    <cellStyle name="Output 9 3 2 7 3" xfId="17538"/>
    <cellStyle name="Output 9 3 2 7 3 2" xfId="30844"/>
    <cellStyle name="Output 9 3 2 7 4" xfId="22024"/>
    <cellStyle name="Output 9 3 2 7_Table" xfId="8356"/>
    <cellStyle name="Output 9 3 2 8" xfId="4025"/>
    <cellStyle name="Output 9 3 2 8 2" xfId="13353"/>
    <cellStyle name="Output 9 3 2 8 2 2" xfId="26659"/>
    <cellStyle name="Output 9 3 2 8 3" xfId="17763"/>
    <cellStyle name="Output 9 3 2 8 3 2" xfId="31069"/>
    <cellStyle name="Output 9 3 2 8 4" xfId="22249"/>
    <cellStyle name="Output 9 3 2 8_Table" xfId="8357"/>
    <cellStyle name="Output 9 3 2 9" xfId="4386"/>
    <cellStyle name="Output 9 3 2 9 2" xfId="13714"/>
    <cellStyle name="Output 9 3 2 9 2 2" xfId="27020"/>
    <cellStyle name="Output 9 3 2 9 3" xfId="18124"/>
    <cellStyle name="Output 9 3 2 9 3 2" xfId="31430"/>
    <cellStyle name="Output 9 3 2 9 4" xfId="22610"/>
    <cellStyle name="Output 9 3 2 9_Table" xfId="8358"/>
    <cellStyle name="Output 9 3 2_Table" xfId="8349"/>
    <cellStyle name="Output 9 3 3" xfId="1299"/>
    <cellStyle name="Output 9 3 3 2" xfId="10627"/>
    <cellStyle name="Output 9 3 3 2 2" xfId="23933"/>
    <cellStyle name="Output 9 3 3 3" xfId="15037"/>
    <cellStyle name="Output 9 3 3 3 2" xfId="28343"/>
    <cellStyle name="Output 9 3 3 4" xfId="19523"/>
    <cellStyle name="Output 9 3 3_Table" xfId="8359"/>
    <cellStyle name="Output 9 3 4" xfId="918"/>
    <cellStyle name="Output 9 3 4 2" xfId="10246"/>
    <cellStyle name="Output 9 3 4 2 2" xfId="23552"/>
    <cellStyle name="Output 9 3 4 3" xfId="14656"/>
    <cellStyle name="Output 9 3 4 3 2" xfId="27962"/>
    <cellStyle name="Output 9 3 4 4" xfId="19142"/>
    <cellStyle name="Output 9 3 4_Table" xfId="8360"/>
    <cellStyle name="Output 9 3 5" xfId="2087"/>
    <cellStyle name="Output 9 3 5 2" xfId="11415"/>
    <cellStyle name="Output 9 3 5 2 2" xfId="24721"/>
    <cellStyle name="Output 9 3 5 3" xfId="15825"/>
    <cellStyle name="Output 9 3 5 3 2" xfId="29131"/>
    <cellStyle name="Output 9 3 5 4" xfId="20311"/>
    <cellStyle name="Output 9 3 5_Table" xfId="8361"/>
    <cellStyle name="Output 9 3 6" xfId="2519"/>
    <cellStyle name="Output 9 3 6 2" xfId="11847"/>
    <cellStyle name="Output 9 3 6 2 2" xfId="25153"/>
    <cellStyle name="Output 9 3 6 3" xfId="16257"/>
    <cellStyle name="Output 9 3 6 3 2" xfId="29563"/>
    <cellStyle name="Output 9 3 6 4" xfId="20743"/>
    <cellStyle name="Output 9 3 6_Table" xfId="8362"/>
    <cellStyle name="Output 9 3 7" xfId="2947"/>
    <cellStyle name="Output 9 3 7 2" xfId="12275"/>
    <cellStyle name="Output 9 3 7 2 2" xfId="25581"/>
    <cellStyle name="Output 9 3 7 3" xfId="16685"/>
    <cellStyle name="Output 9 3 7 3 2" xfId="29991"/>
    <cellStyle name="Output 9 3 7 4" xfId="21171"/>
    <cellStyle name="Output 9 3 7_Table" xfId="8363"/>
    <cellStyle name="Output 9 3 8" xfId="3360"/>
    <cellStyle name="Output 9 3 8 2" xfId="12688"/>
    <cellStyle name="Output 9 3 8 2 2" xfId="25994"/>
    <cellStyle name="Output 9 3 8 3" xfId="17098"/>
    <cellStyle name="Output 9 3 8 3 2" xfId="30404"/>
    <cellStyle name="Output 9 3 8 4" xfId="21584"/>
    <cellStyle name="Output 9 3 8_Table" xfId="8364"/>
    <cellStyle name="Output 9 3 9" xfId="2672"/>
    <cellStyle name="Output 9 3 9 2" xfId="12000"/>
    <cellStyle name="Output 9 3 9 2 2" xfId="25306"/>
    <cellStyle name="Output 9 3 9 3" xfId="16410"/>
    <cellStyle name="Output 9 3 9 3 2" xfId="29716"/>
    <cellStyle name="Output 9 3 9 4" xfId="20896"/>
    <cellStyle name="Output 9 3 9_Table" xfId="8365"/>
    <cellStyle name="Output 9 3_Table" xfId="8346"/>
    <cellStyle name="Output 9 4" xfId="560"/>
    <cellStyle name="Output 9 4 10" xfId="4206"/>
    <cellStyle name="Output 9 4 10 2" xfId="13534"/>
    <cellStyle name="Output 9 4 10 2 2" xfId="26840"/>
    <cellStyle name="Output 9 4 10 3" xfId="17944"/>
    <cellStyle name="Output 9 4 10 3 2" xfId="31250"/>
    <cellStyle name="Output 9 4 10 4" xfId="22430"/>
    <cellStyle name="Output 9 4 10_Table" xfId="8367"/>
    <cellStyle name="Output 9 4 11" xfId="4567"/>
    <cellStyle name="Output 9 4 11 2" xfId="13895"/>
    <cellStyle name="Output 9 4 11 2 2" xfId="27201"/>
    <cellStyle name="Output 9 4 11 3" xfId="18305"/>
    <cellStyle name="Output 9 4 11 3 2" xfId="31611"/>
    <cellStyle name="Output 9 4 11 4" xfId="22791"/>
    <cellStyle name="Output 9 4 11_Table" xfId="8368"/>
    <cellStyle name="Output 9 4 12" xfId="9888"/>
    <cellStyle name="Output 9 4 12 2" xfId="23241"/>
    <cellStyle name="Output 9 4 13" xfId="14345"/>
    <cellStyle name="Output 9 4 13 2" xfId="27651"/>
    <cellStyle name="Output 9 4 14" xfId="18831"/>
    <cellStyle name="Output 9 4 2" xfId="832"/>
    <cellStyle name="Output 9 4 2 10" xfId="4792"/>
    <cellStyle name="Output 9 4 2 10 2" xfId="14120"/>
    <cellStyle name="Output 9 4 2 10 2 2" xfId="27426"/>
    <cellStyle name="Output 9 4 2 10 3" xfId="18530"/>
    <cellStyle name="Output 9 4 2 10 3 2" xfId="31836"/>
    <cellStyle name="Output 9 4 2 10 4" xfId="23016"/>
    <cellStyle name="Output 9 4 2 10_Table" xfId="8370"/>
    <cellStyle name="Output 9 4 2 11" xfId="10160"/>
    <cellStyle name="Output 9 4 2 11 2" xfId="23466"/>
    <cellStyle name="Output 9 4 2 12" xfId="14570"/>
    <cellStyle name="Output 9 4 2 12 2" xfId="27876"/>
    <cellStyle name="Output 9 4 2 13" xfId="19056"/>
    <cellStyle name="Output 9 4 2 2" xfId="1618"/>
    <cellStyle name="Output 9 4 2 2 2" xfId="10946"/>
    <cellStyle name="Output 9 4 2 2 2 2" xfId="24252"/>
    <cellStyle name="Output 9 4 2 2 3" xfId="15356"/>
    <cellStyle name="Output 9 4 2 2 3 2" xfId="28662"/>
    <cellStyle name="Output 9 4 2 2 4" xfId="19842"/>
    <cellStyle name="Output 9 4 2 2_Table" xfId="8371"/>
    <cellStyle name="Output 9 4 2 3" xfId="1978"/>
    <cellStyle name="Output 9 4 2 3 2" xfId="11306"/>
    <cellStyle name="Output 9 4 2 3 2 2" xfId="24612"/>
    <cellStyle name="Output 9 4 2 3 3" xfId="15716"/>
    <cellStyle name="Output 9 4 2 3 3 2" xfId="29022"/>
    <cellStyle name="Output 9 4 2 3 4" xfId="20202"/>
    <cellStyle name="Output 9 4 2 3_Table" xfId="8372"/>
    <cellStyle name="Output 9 4 2 4" xfId="2408"/>
    <cellStyle name="Output 9 4 2 4 2" xfId="11736"/>
    <cellStyle name="Output 9 4 2 4 2 2" xfId="25042"/>
    <cellStyle name="Output 9 4 2 4 3" xfId="16146"/>
    <cellStyle name="Output 9 4 2 4 3 2" xfId="29452"/>
    <cellStyle name="Output 9 4 2 4 4" xfId="20632"/>
    <cellStyle name="Output 9 4 2 4_Table" xfId="8373"/>
    <cellStyle name="Output 9 4 2 5" xfId="2846"/>
    <cellStyle name="Output 9 4 2 5 2" xfId="12174"/>
    <cellStyle name="Output 9 4 2 5 2 2" xfId="25480"/>
    <cellStyle name="Output 9 4 2 5 3" xfId="16584"/>
    <cellStyle name="Output 9 4 2 5 3 2" xfId="29890"/>
    <cellStyle name="Output 9 4 2 5 4" xfId="21070"/>
    <cellStyle name="Output 9 4 2 5_Table" xfId="8374"/>
    <cellStyle name="Output 9 4 2 6" xfId="3253"/>
    <cellStyle name="Output 9 4 2 6 2" xfId="12581"/>
    <cellStyle name="Output 9 4 2 6 2 2" xfId="25887"/>
    <cellStyle name="Output 9 4 2 6 3" xfId="16991"/>
    <cellStyle name="Output 9 4 2 6 3 2" xfId="30297"/>
    <cellStyle name="Output 9 4 2 6 4" xfId="21477"/>
    <cellStyle name="Output 9 4 2 6_Table" xfId="8375"/>
    <cellStyle name="Output 9 4 2 7" xfId="3845"/>
    <cellStyle name="Output 9 4 2 7 2" xfId="13173"/>
    <cellStyle name="Output 9 4 2 7 2 2" xfId="26479"/>
    <cellStyle name="Output 9 4 2 7 3" xfId="17583"/>
    <cellStyle name="Output 9 4 2 7 3 2" xfId="30889"/>
    <cellStyle name="Output 9 4 2 7 4" xfId="22069"/>
    <cellStyle name="Output 9 4 2 7_Table" xfId="8376"/>
    <cellStyle name="Output 9 4 2 8" xfId="4070"/>
    <cellStyle name="Output 9 4 2 8 2" xfId="13398"/>
    <cellStyle name="Output 9 4 2 8 2 2" xfId="26704"/>
    <cellStyle name="Output 9 4 2 8 3" xfId="17808"/>
    <cellStyle name="Output 9 4 2 8 3 2" xfId="31114"/>
    <cellStyle name="Output 9 4 2 8 4" xfId="22294"/>
    <cellStyle name="Output 9 4 2 8_Table" xfId="8377"/>
    <cellStyle name="Output 9 4 2 9" xfId="4431"/>
    <cellStyle name="Output 9 4 2 9 2" xfId="13759"/>
    <cellStyle name="Output 9 4 2 9 2 2" xfId="27065"/>
    <cellStyle name="Output 9 4 2 9 3" xfId="18169"/>
    <cellStyle name="Output 9 4 2 9 3 2" xfId="31475"/>
    <cellStyle name="Output 9 4 2 9 4" xfId="22655"/>
    <cellStyle name="Output 9 4 2 9_Table" xfId="8378"/>
    <cellStyle name="Output 9 4 2_Table" xfId="8369"/>
    <cellStyle name="Output 9 4 3" xfId="1355"/>
    <cellStyle name="Output 9 4 3 2" xfId="10683"/>
    <cellStyle name="Output 9 4 3 2 2" xfId="23989"/>
    <cellStyle name="Output 9 4 3 3" xfId="15093"/>
    <cellStyle name="Output 9 4 3 3 2" xfId="28399"/>
    <cellStyle name="Output 9 4 3 4" xfId="19579"/>
    <cellStyle name="Output 9 4 3_Table" xfId="8379"/>
    <cellStyle name="Output 9 4 4" xfId="1712"/>
    <cellStyle name="Output 9 4 4 2" xfId="11040"/>
    <cellStyle name="Output 9 4 4 2 2" xfId="24346"/>
    <cellStyle name="Output 9 4 4 3" xfId="15450"/>
    <cellStyle name="Output 9 4 4 3 2" xfId="28756"/>
    <cellStyle name="Output 9 4 4 4" xfId="19936"/>
    <cellStyle name="Output 9 4 4_Table" xfId="8380"/>
    <cellStyle name="Output 9 4 5" xfId="2146"/>
    <cellStyle name="Output 9 4 5 2" xfId="11474"/>
    <cellStyle name="Output 9 4 5 2 2" xfId="24780"/>
    <cellStyle name="Output 9 4 5 3" xfId="15884"/>
    <cellStyle name="Output 9 4 5 3 2" xfId="29190"/>
    <cellStyle name="Output 9 4 5 4" xfId="20370"/>
    <cellStyle name="Output 9 4 5_Table" xfId="8381"/>
    <cellStyle name="Output 9 4 6" xfId="2578"/>
    <cellStyle name="Output 9 4 6 2" xfId="11906"/>
    <cellStyle name="Output 9 4 6 2 2" xfId="25212"/>
    <cellStyle name="Output 9 4 6 3" xfId="16316"/>
    <cellStyle name="Output 9 4 6 3 2" xfId="29622"/>
    <cellStyle name="Output 9 4 6 4" xfId="20802"/>
    <cellStyle name="Output 9 4 6_Table" xfId="8382"/>
    <cellStyle name="Output 9 4 7" xfId="3004"/>
    <cellStyle name="Output 9 4 7 2" xfId="12332"/>
    <cellStyle name="Output 9 4 7 2 2" xfId="25638"/>
    <cellStyle name="Output 9 4 7 3" xfId="16742"/>
    <cellStyle name="Output 9 4 7 3 2" xfId="30048"/>
    <cellStyle name="Output 9 4 7 4" xfId="21228"/>
    <cellStyle name="Output 9 4 7_Table" xfId="8383"/>
    <cellStyle name="Output 9 4 8" xfId="3418"/>
    <cellStyle name="Output 9 4 8 2" xfId="12746"/>
    <cellStyle name="Output 9 4 8 2 2" xfId="26052"/>
    <cellStyle name="Output 9 4 8 3" xfId="17156"/>
    <cellStyle name="Output 9 4 8 3 2" xfId="30462"/>
    <cellStyle name="Output 9 4 8 4" xfId="21642"/>
    <cellStyle name="Output 9 4 8_Table" xfId="8384"/>
    <cellStyle name="Output 9 4 9" xfId="3531"/>
    <cellStyle name="Output 9 4 9 2" xfId="12859"/>
    <cellStyle name="Output 9 4 9 2 2" xfId="26165"/>
    <cellStyle name="Output 9 4 9 3" xfId="17269"/>
    <cellStyle name="Output 9 4 9 3 2" xfId="30575"/>
    <cellStyle name="Output 9 4 9 4" xfId="21755"/>
    <cellStyle name="Output 9 4 9_Table" xfId="8385"/>
    <cellStyle name="Output 9 4_Table" xfId="8366"/>
    <cellStyle name="Output 9 5" xfId="635"/>
    <cellStyle name="Output 9 5 10" xfId="4251"/>
    <cellStyle name="Output 9 5 10 2" xfId="13579"/>
    <cellStyle name="Output 9 5 10 2 2" xfId="26885"/>
    <cellStyle name="Output 9 5 10 3" xfId="17989"/>
    <cellStyle name="Output 9 5 10 3 2" xfId="31295"/>
    <cellStyle name="Output 9 5 10 4" xfId="22475"/>
    <cellStyle name="Output 9 5 10_Table" xfId="8387"/>
    <cellStyle name="Output 9 5 11" xfId="4612"/>
    <cellStyle name="Output 9 5 11 2" xfId="13940"/>
    <cellStyle name="Output 9 5 11 2 2" xfId="27246"/>
    <cellStyle name="Output 9 5 11 3" xfId="18350"/>
    <cellStyle name="Output 9 5 11 3 2" xfId="31656"/>
    <cellStyle name="Output 9 5 11 4" xfId="22836"/>
    <cellStyle name="Output 9 5 11_Table" xfId="8388"/>
    <cellStyle name="Output 9 5 12" xfId="9963"/>
    <cellStyle name="Output 9 5 12 2" xfId="23286"/>
    <cellStyle name="Output 9 5 13" xfId="14390"/>
    <cellStyle name="Output 9 5 13 2" xfId="27696"/>
    <cellStyle name="Output 9 5 14" xfId="18876"/>
    <cellStyle name="Output 9 5 2" xfId="877"/>
    <cellStyle name="Output 9 5 2 10" xfId="4837"/>
    <cellStyle name="Output 9 5 2 10 2" xfId="14165"/>
    <cellStyle name="Output 9 5 2 10 2 2" xfId="27471"/>
    <cellStyle name="Output 9 5 2 10 3" xfId="18575"/>
    <cellStyle name="Output 9 5 2 10 3 2" xfId="31881"/>
    <cellStyle name="Output 9 5 2 10 4" xfId="23061"/>
    <cellStyle name="Output 9 5 2 10_Table" xfId="8390"/>
    <cellStyle name="Output 9 5 2 11" xfId="10205"/>
    <cellStyle name="Output 9 5 2 11 2" xfId="23511"/>
    <cellStyle name="Output 9 5 2 12" xfId="14615"/>
    <cellStyle name="Output 9 5 2 12 2" xfId="27921"/>
    <cellStyle name="Output 9 5 2 13" xfId="19101"/>
    <cellStyle name="Output 9 5 2 2" xfId="1663"/>
    <cellStyle name="Output 9 5 2 2 2" xfId="10991"/>
    <cellStyle name="Output 9 5 2 2 2 2" xfId="24297"/>
    <cellStyle name="Output 9 5 2 2 3" xfId="15401"/>
    <cellStyle name="Output 9 5 2 2 3 2" xfId="28707"/>
    <cellStyle name="Output 9 5 2 2 4" xfId="19887"/>
    <cellStyle name="Output 9 5 2 2_Table" xfId="8391"/>
    <cellStyle name="Output 9 5 2 3" xfId="2023"/>
    <cellStyle name="Output 9 5 2 3 2" xfId="11351"/>
    <cellStyle name="Output 9 5 2 3 2 2" xfId="24657"/>
    <cellStyle name="Output 9 5 2 3 3" xfId="15761"/>
    <cellStyle name="Output 9 5 2 3 3 2" xfId="29067"/>
    <cellStyle name="Output 9 5 2 3 4" xfId="20247"/>
    <cellStyle name="Output 9 5 2 3_Table" xfId="8392"/>
    <cellStyle name="Output 9 5 2 4" xfId="2453"/>
    <cellStyle name="Output 9 5 2 4 2" xfId="11781"/>
    <cellStyle name="Output 9 5 2 4 2 2" xfId="25087"/>
    <cellStyle name="Output 9 5 2 4 3" xfId="16191"/>
    <cellStyle name="Output 9 5 2 4 3 2" xfId="29497"/>
    <cellStyle name="Output 9 5 2 4 4" xfId="20677"/>
    <cellStyle name="Output 9 5 2 4_Table" xfId="8393"/>
    <cellStyle name="Output 9 5 2 5" xfId="2891"/>
    <cellStyle name="Output 9 5 2 5 2" xfId="12219"/>
    <cellStyle name="Output 9 5 2 5 2 2" xfId="25525"/>
    <cellStyle name="Output 9 5 2 5 3" xfId="16629"/>
    <cellStyle name="Output 9 5 2 5 3 2" xfId="29935"/>
    <cellStyle name="Output 9 5 2 5 4" xfId="21115"/>
    <cellStyle name="Output 9 5 2 5_Table" xfId="8394"/>
    <cellStyle name="Output 9 5 2 6" xfId="3298"/>
    <cellStyle name="Output 9 5 2 6 2" xfId="12626"/>
    <cellStyle name="Output 9 5 2 6 2 2" xfId="25932"/>
    <cellStyle name="Output 9 5 2 6 3" xfId="17036"/>
    <cellStyle name="Output 9 5 2 6 3 2" xfId="30342"/>
    <cellStyle name="Output 9 5 2 6 4" xfId="21522"/>
    <cellStyle name="Output 9 5 2 6_Table" xfId="8395"/>
    <cellStyle name="Output 9 5 2 7" xfId="3890"/>
    <cellStyle name="Output 9 5 2 7 2" xfId="13218"/>
    <cellStyle name="Output 9 5 2 7 2 2" xfId="26524"/>
    <cellStyle name="Output 9 5 2 7 3" xfId="17628"/>
    <cellStyle name="Output 9 5 2 7 3 2" xfId="30934"/>
    <cellStyle name="Output 9 5 2 7 4" xfId="22114"/>
    <cellStyle name="Output 9 5 2 7_Table" xfId="8396"/>
    <cellStyle name="Output 9 5 2 8" xfId="4115"/>
    <cellStyle name="Output 9 5 2 8 2" xfId="13443"/>
    <cellStyle name="Output 9 5 2 8 2 2" xfId="26749"/>
    <cellStyle name="Output 9 5 2 8 3" xfId="17853"/>
    <cellStyle name="Output 9 5 2 8 3 2" xfId="31159"/>
    <cellStyle name="Output 9 5 2 8 4" xfId="22339"/>
    <cellStyle name="Output 9 5 2 8_Table" xfId="8397"/>
    <cellStyle name="Output 9 5 2 9" xfId="4476"/>
    <cellStyle name="Output 9 5 2 9 2" xfId="13804"/>
    <cellStyle name="Output 9 5 2 9 2 2" xfId="27110"/>
    <cellStyle name="Output 9 5 2 9 3" xfId="18214"/>
    <cellStyle name="Output 9 5 2 9 3 2" xfId="31520"/>
    <cellStyle name="Output 9 5 2 9 4" xfId="22700"/>
    <cellStyle name="Output 9 5 2 9_Table" xfId="8398"/>
    <cellStyle name="Output 9 5 2_Table" xfId="8389"/>
    <cellStyle name="Output 9 5 3" xfId="1422"/>
    <cellStyle name="Output 9 5 3 2" xfId="10750"/>
    <cellStyle name="Output 9 5 3 2 2" xfId="24056"/>
    <cellStyle name="Output 9 5 3 3" xfId="15160"/>
    <cellStyle name="Output 9 5 3 3 2" xfId="28466"/>
    <cellStyle name="Output 9 5 3 4" xfId="19646"/>
    <cellStyle name="Output 9 5 3_Table" xfId="8399"/>
    <cellStyle name="Output 9 5 4" xfId="1782"/>
    <cellStyle name="Output 9 5 4 2" xfId="11110"/>
    <cellStyle name="Output 9 5 4 2 2" xfId="24416"/>
    <cellStyle name="Output 9 5 4 3" xfId="15520"/>
    <cellStyle name="Output 9 5 4 3 2" xfId="28826"/>
    <cellStyle name="Output 9 5 4 4" xfId="20006"/>
    <cellStyle name="Output 9 5 4_Table" xfId="8400"/>
    <cellStyle name="Output 9 5 5" xfId="2215"/>
    <cellStyle name="Output 9 5 5 2" xfId="11543"/>
    <cellStyle name="Output 9 5 5 2 2" xfId="24849"/>
    <cellStyle name="Output 9 5 5 3" xfId="15953"/>
    <cellStyle name="Output 9 5 5 3 2" xfId="29259"/>
    <cellStyle name="Output 9 5 5 4" xfId="20439"/>
    <cellStyle name="Output 9 5 5_Table" xfId="8401"/>
    <cellStyle name="Output 9 5 6" xfId="2650"/>
    <cellStyle name="Output 9 5 6 2" xfId="11978"/>
    <cellStyle name="Output 9 5 6 2 2" xfId="25284"/>
    <cellStyle name="Output 9 5 6 3" xfId="16388"/>
    <cellStyle name="Output 9 5 6 3 2" xfId="29694"/>
    <cellStyle name="Output 9 5 6 4" xfId="20874"/>
    <cellStyle name="Output 9 5 6_Table" xfId="8402"/>
    <cellStyle name="Output 9 5 7" xfId="3063"/>
    <cellStyle name="Output 9 5 7 2" xfId="12391"/>
    <cellStyle name="Output 9 5 7 2 2" xfId="25697"/>
    <cellStyle name="Output 9 5 7 3" xfId="16801"/>
    <cellStyle name="Output 9 5 7 3 2" xfId="30107"/>
    <cellStyle name="Output 9 5 7 4" xfId="21287"/>
    <cellStyle name="Output 9 5 7_Table" xfId="8403"/>
    <cellStyle name="Output 9 5 8" xfId="3489"/>
    <cellStyle name="Output 9 5 8 2" xfId="12817"/>
    <cellStyle name="Output 9 5 8 2 2" xfId="26123"/>
    <cellStyle name="Output 9 5 8 3" xfId="17227"/>
    <cellStyle name="Output 9 5 8 3 2" xfId="30533"/>
    <cellStyle name="Output 9 5 8 4" xfId="21713"/>
    <cellStyle name="Output 9 5 8_Table" xfId="8404"/>
    <cellStyle name="Output 9 5 9" xfId="3542"/>
    <cellStyle name="Output 9 5 9 2" xfId="12870"/>
    <cellStyle name="Output 9 5 9 2 2" xfId="26176"/>
    <cellStyle name="Output 9 5 9 3" xfId="17280"/>
    <cellStyle name="Output 9 5 9 3 2" xfId="30586"/>
    <cellStyle name="Output 9 5 9 4" xfId="21766"/>
    <cellStyle name="Output 9 5 9_Table" xfId="8405"/>
    <cellStyle name="Output 9 5_Table" xfId="8386"/>
    <cellStyle name="Output 9 6" xfId="697"/>
    <cellStyle name="Output 9 6 10" xfId="4657"/>
    <cellStyle name="Output 9 6 10 2" xfId="13985"/>
    <cellStyle name="Output 9 6 10 2 2" xfId="27291"/>
    <cellStyle name="Output 9 6 10 3" xfId="18395"/>
    <cellStyle name="Output 9 6 10 3 2" xfId="31701"/>
    <cellStyle name="Output 9 6 10 4" xfId="22881"/>
    <cellStyle name="Output 9 6 10_Table" xfId="8407"/>
    <cellStyle name="Output 9 6 11" xfId="10025"/>
    <cellStyle name="Output 9 6 11 2" xfId="23331"/>
    <cellStyle name="Output 9 6 12" xfId="14435"/>
    <cellStyle name="Output 9 6 12 2" xfId="27741"/>
    <cellStyle name="Output 9 6 13" xfId="18921"/>
    <cellStyle name="Output 9 6 2" xfId="1483"/>
    <cellStyle name="Output 9 6 2 2" xfId="10811"/>
    <cellStyle name="Output 9 6 2 2 2" xfId="24117"/>
    <cellStyle name="Output 9 6 2 3" xfId="15221"/>
    <cellStyle name="Output 9 6 2 3 2" xfId="28527"/>
    <cellStyle name="Output 9 6 2 4" xfId="19707"/>
    <cellStyle name="Output 9 6 2_Table" xfId="8408"/>
    <cellStyle name="Output 9 6 3" xfId="1843"/>
    <cellStyle name="Output 9 6 3 2" xfId="11171"/>
    <cellStyle name="Output 9 6 3 2 2" xfId="24477"/>
    <cellStyle name="Output 9 6 3 3" xfId="15581"/>
    <cellStyle name="Output 9 6 3 3 2" xfId="28887"/>
    <cellStyle name="Output 9 6 3 4" xfId="20067"/>
    <cellStyle name="Output 9 6 3_Table" xfId="8409"/>
    <cellStyle name="Output 9 6 4" xfId="2273"/>
    <cellStyle name="Output 9 6 4 2" xfId="11601"/>
    <cellStyle name="Output 9 6 4 2 2" xfId="24907"/>
    <cellStyle name="Output 9 6 4 3" xfId="16011"/>
    <cellStyle name="Output 9 6 4 3 2" xfId="29317"/>
    <cellStyle name="Output 9 6 4 4" xfId="20497"/>
    <cellStyle name="Output 9 6 4_Table" xfId="8410"/>
    <cellStyle name="Output 9 6 5" xfId="2711"/>
    <cellStyle name="Output 9 6 5 2" xfId="12039"/>
    <cellStyle name="Output 9 6 5 2 2" xfId="25345"/>
    <cellStyle name="Output 9 6 5 3" xfId="16449"/>
    <cellStyle name="Output 9 6 5 3 2" xfId="29755"/>
    <cellStyle name="Output 9 6 5 4" xfId="20935"/>
    <cellStyle name="Output 9 6 5_Table" xfId="8411"/>
    <cellStyle name="Output 9 6 6" xfId="3118"/>
    <cellStyle name="Output 9 6 6 2" xfId="12446"/>
    <cellStyle name="Output 9 6 6 2 2" xfId="25752"/>
    <cellStyle name="Output 9 6 6 3" xfId="16856"/>
    <cellStyle name="Output 9 6 6 3 2" xfId="30162"/>
    <cellStyle name="Output 9 6 6 4" xfId="21342"/>
    <cellStyle name="Output 9 6 6_Table" xfId="8412"/>
    <cellStyle name="Output 9 6 7" xfId="3710"/>
    <cellStyle name="Output 9 6 7 2" xfId="13038"/>
    <cellStyle name="Output 9 6 7 2 2" xfId="26344"/>
    <cellStyle name="Output 9 6 7 3" xfId="17448"/>
    <cellStyle name="Output 9 6 7 3 2" xfId="30754"/>
    <cellStyle name="Output 9 6 7 4" xfId="21934"/>
    <cellStyle name="Output 9 6 7_Table" xfId="8413"/>
    <cellStyle name="Output 9 6 8" xfId="3935"/>
    <cellStyle name="Output 9 6 8 2" xfId="13263"/>
    <cellStyle name="Output 9 6 8 2 2" xfId="26569"/>
    <cellStyle name="Output 9 6 8 3" xfId="17673"/>
    <cellStyle name="Output 9 6 8 3 2" xfId="30979"/>
    <cellStyle name="Output 9 6 8 4" xfId="22159"/>
    <cellStyle name="Output 9 6 8_Table" xfId="8414"/>
    <cellStyle name="Output 9 6 9" xfId="4296"/>
    <cellStyle name="Output 9 6 9 2" xfId="13624"/>
    <cellStyle name="Output 9 6 9 2 2" xfId="26930"/>
    <cellStyle name="Output 9 6 9 3" xfId="18034"/>
    <cellStyle name="Output 9 6 9 3 2" xfId="31340"/>
    <cellStyle name="Output 9 6 9 4" xfId="22520"/>
    <cellStyle name="Output 9 6 9_Table" xfId="8415"/>
    <cellStyle name="Output 9 6_Table" xfId="8406"/>
    <cellStyle name="Output 9 7" xfId="1191"/>
    <cellStyle name="Output 9 7 2" xfId="10519"/>
    <cellStyle name="Output 9 7 2 2" xfId="23825"/>
    <cellStyle name="Output 9 7 3" xfId="14929"/>
    <cellStyle name="Output 9 7 3 2" xfId="28235"/>
    <cellStyle name="Output 9 7 4" xfId="19415"/>
    <cellStyle name="Output 9 7_Table" xfId="8416"/>
    <cellStyle name="Output 9 8" xfId="1053"/>
    <cellStyle name="Output 9 8 2" xfId="10381"/>
    <cellStyle name="Output 9 8 2 2" xfId="23687"/>
    <cellStyle name="Output 9 8 3" xfId="14791"/>
    <cellStyle name="Output 9 8 3 2" xfId="28097"/>
    <cellStyle name="Output 9 8 4" xfId="19277"/>
    <cellStyle name="Output 9 8_Table" xfId="8417"/>
    <cellStyle name="Output 9 9" xfId="1266"/>
    <cellStyle name="Output 9 9 2" xfId="10594"/>
    <cellStyle name="Output 9 9 2 2" xfId="23900"/>
    <cellStyle name="Output 9 9 3" xfId="15004"/>
    <cellStyle name="Output 9 9 3 2" xfId="28310"/>
    <cellStyle name="Output 9 9 4" xfId="19490"/>
    <cellStyle name="Output 9 9_Table" xfId="8418"/>
    <cellStyle name="Output 9_Table" xfId="8319"/>
    <cellStyle name="Percent" xfId="18585" builtinId="5"/>
    <cellStyle name="Style 1" xfId="7"/>
    <cellStyle name="Style 1 2" xfId="9335"/>
    <cellStyle name="Style 1_Table" xfId="18651"/>
    <cellStyle name="Title 10" xfId="358"/>
    <cellStyle name="Title 10 2" xfId="9686"/>
    <cellStyle name="Title 10_Table" xfId="18652"/>
    <cellStyle name="Title 2" xfId="359"/>
    <cellStyle name="Title 2 2" xfId="9687"/>
    <cellStyle name="Title 2_Table" xfId="18653"/>
    <cellStyle name="Title 3" xfId="360"/>
    <cellStyle name="Title 3 2" xfId="9688"/>
    <cellStyle name="Title 3_Table" xfId="18654"/>
    <cellStyle name="Title 4" xfId="361"/>
    <cellStyle name="Title 4 2" xfId="9689"/>
    <cellStyle name="Title 4_Table" xfId="18655"/>
    <cellStyle name="Title 5" xfId="362"/>
    <cellStyle name="Title 5 2" xfId="9690"/>
    <cellStyle name="Title 5_Table" xfId="18656"/>
    <cellStyle name="Title 6" xfId="363"/>
    <cellStyle name="Title 6 2" xfId="9691"/>
    <cellStyle name="Title 6_Table" xfId="18657"/>
    <cellStyle name="Title 7" xfId="364"/>
    <cellStyle name="Title 7 2" xfId="9692"/>
    <cellStyle name="Title 7_Table" xfId="18658"/>
    <cellStyle name="Title 8" xfId="365"/>
    <cellStyle name="Title 8 2" xfId="9693"/>
    <cellStyle name="Title 8_Table" xfId="18659"/>
    <cellStyle name="Title 9" xfId="366"/>
    <cellStyle name="Title 9 2" xfId="9694"/>
    <cellStyle name="Title 9_Table" xfId="18660"/>
    <cellStyle name="Total 10" xfId="367"/>
    <cellStyle name="Total 10 10" xfId="1734"/>
    <cellStyle name="Total 10 10 2" xfId="11062"/>
    <cellStyle name="Total 10 10 2 2" xfId="24368"/>
    <cellStyle name="Total 10 10 3" xfId="15472"/>
    <cellStyle name="Total 10 10 3 2" xfId="28778"/>
    <cellStyle name="Total 10 10 4" xfId="19958"/>
    <cellStyle name="Total 10 10_Table" xfId="8420"/>
    <cellStyle name="Total 10 11" xfId="2169"/>
    <cellStyle name="Total 10 11 2" xfId="11497"/>
    <cellStyle name="Total 10 11 2 2" xfId="24803"/>
    <cellStyle name="Total 10 11 3" xfId="15907"/>
    <cellStyle name="Total 10 11 3 2" xfId="29213"/>
    <cellStyle name="Total 10 11 4" xfId="20393"/>
    <cellStyle name="Total 10 11_Table" xfId="8421"/>
    <cellStyle name="Total 10 12" xfId="2601"/>
    <cellStyle name="Total 10 12 2" xfId="11929"/>
    <cellStyle name="Total 10 12 2 2" xfId="25235"/>
    <cellStyle name="Total 10 12 3" xfId="16339"/>
    <cellStyle name="Total 10 12 3 2" xfId="29645"/>
    <cellStyle name="Total 10 12 4" xfId="20825"/>
    <cellStyle name="Total 10 12_Table" xfId="8422"/>
    <cellStyle name="Total 10 13" xfId="2612"/>
    <cellStyle name="Total 10 13 2" xfId="11940"/>
    <cellStyle name="Total 10 13 2 2" xfId="25246"/>
    <cellStyle name="Total 10 13 3" xfId="16350"/>
    <cellStyle name="Total 10 13 3 2" xfId="29656"/>
    <cellStyle name="Total 10 13 4" xfId="20836"/>
    <cellStyle name="Total 10 13_Table" xfId="8423"/>
    <cellStyle name="Total 10 14" xfId="3645"/>
    <cellStyle name="Total 10 14 2" xfId="12973"/>
    <cellStyle name="Total 10 14 2 2" xfId="26279"/>
    <cellStyle name="Total 10 14 3" xfId="17383"/>
    <cellStyle name="Total 10 14 3 2" xfId="30689"/>
    <cellStyle name="Total 10 14 4" xfId="21869"/>
    <cellStyle name="Total 10 14_Table" xfId="8424"/>
    <cellStyle name="Total 10 15" xfId="3535"/>
    <cellStyle name="Total 10 15 2" xfId="12863"/>
    <cellStyle name="Total 10 15 2 2" xfId="26169"/>
    <cellStyle name="Total 10 15 3" xfId="17273"/>
    <cellStyle name="Total 10 15 3 2" xfId="30579"/>
    <cellStyle name="Total 10 15 4" xfId="21759"/>
    <cellStyle name="Total 10 15_Table" xfId="8425"/>
    <cellStyle name="Total 10 16" xfId="9695"/>
    <cellStyle name="Total 10 16 2" xfId="23107"/>
    <cellStyle name="Total 10 17" xfId="14211"/>
    <cellStyle name="Total 10 17 2" xfId="27517"/>
    <cellStyle name="Total 10 18" xfId="18697"/>
    <cellStyle name="Total 10 2" xfId="429"/>
    <cellStyle name="Total 10 2 10" xfId="2907"/>
    <cellStyle name="Total 10 2 10 2" xfId="12235"/>
    <cellStyle name="Total 10 2 10 2 2" xfId="25541"/>
    <cellStyle name="Total 10 2 10 3" xfId="16645"/>
    <cellStyle name="Total 10 2 10 3 2" xfId="29951"/>
    <cellStyle name="Total 10 2 10 4" xfId="21131"/>
    <cellStyle name="Total 10 2 10_Table" xfId="8427"/>
    <cellStyle name="Total 10 2 11" xfId="898"/>
    <cellStyle name="Total 10 2 11 2" xfId="10226"/>
    <cellStyle name="Total 10 2 11 2 2" xfId="23532"/>
    <cellStyle name="Total 10 2 11 3" xfId="14636"/>
    <cellStyle name="Total 10 2 11 3 2" xfId="27942"/>
    <cellStyle name="Total 10 2 11 4" xfId="19122"/>
    <cellStyle name="Total 10 2 11_Table" xfId="8428"/>
    <cellStyle name="Total 10 2 12" xfId="9757"/>
    <cellStyle name="Total 10 2 12 2" xfId="23152"/>
    <cellStyle name="Total 10 2 13" xfId="14256"/>
    <cellStyle name="Total 10 2 13 2" xfId="27562"/>
    <cellStyle name="Total 10 2 14" xfId="18742"/>
    <cellStyle name="Total 10 2 2" xfId="743"/>
    <cellStyle name="Total 10 2 2 10" xfId="4703"/>
    <cellStyle name="Total 10 2 2 10 2" xfId="14031"/>
    <cellStyle name="Total 10 2 2 10 2 2" xfId="27337"/>
    <cellStyle name="Total 10 2 2 10 3" xfId="18441"/>
    <cellStyle name="Total 10 2 2 10 3 2" xfId="31747"/>
    <cellStyle name="Total 10 2 2 10 4" xfId="22927"/>
    <cellStyle name="Total 10 2 2 10_Table" xfId="8430"/>
    <cellStyle name="Total 10 2 2 11" xfId="10071"/>
    <cellStyle name="Total 10 2 2 11 2" xfId="23377"/>
    <cellStyle name="Total 10 2 2 12" xfId="14481"/>
    <cellStyle name="Total 10 2 2 12 2" xfId="27787"/>
    <cellStyle name="Total 10 2 2 13" xfId="18967"/>
    <cellStyle name="Total 10 2 2 2" xfId="1529"/>
    <cellStyle name="Total 10 2 2 2 2" xfId="10857"/>
    <cellStyle name="Total 10 2 2 2 2 2" xfId="24163"/>
    <cellStyle name="Total 10 2 2 2 3" xfId="15267"/>
    <cellStyle name="Total 10 2 2 2 3 2" xfId="28573"/>
    <cellStyle name="Total 10 2 2 2 4" xfId="19753"/>
    <cellStyle name="Total 10 2 2 2_Table" xfId="8431"/>
    <cellStyle name="Total 10 2 2 3" xfId="1889"/>
    <cellStyle name="Total 10 2 2 3 2" xfId="11217"/>
    <cellStyle name="Total 10 2 2 3 2 2" xfId="24523"/>
    <cellStyle name="Total 10 2 2 3 3" xfId="15627"/>
    <cellStyle name="Total 10 2 2 3 3 2" xfId="28933"/>
    <cellStyle name="Total 10 2 2 3 4" xfId="20113"/>
    <cellStyle name="Total 10 2 2 3_Table" xfId="8432"/>
    <cellStyle name="Total 10 2 2 4" xfId="2319"/>
    <cellStyle name="Total 10 2 2 4 2" xfId="11647"/>
    <cellStyle name="Total 10 2 2 4 2 2" xfId="24953"/>
    <cellStyle name="Total 10 2 2 4 3" xfId="16057"/>
    <cellStyle name="Total 10 2 2 4 3 2" xfId="29363"/>
    <cellStyle name="Total 10 2 2 4 4" xfId="20543"/>
    <cellStyle name="Total 10 2 2 4_Table" xfId="8433"/>
    <cellStyle name="Total 10 2 2 5" xfId="2757"/>
    <cellStyle name="Total 10 2 2 5 2" xfId="12085"/>
    <cellStyle name="Total 10 2 2 5 2 2" xfId="25391"/>
    <cellStyle name="Total 10 2 2 5 3" xfId="16495"/>
    <cellStyle name="Total 10 2 2 5 3 2" xfId="29801"/>
    <cellStyle name="Total 10 2 2 5 4" xfId="20981"/>
    <cellStyle name="Total 10 2 2 5_Table" xfId="8434"/>
    <cellStyle name="Total 10 2 2 6" xfId="3164"/>
    <cellStyle name="Total 10 2 2 6 2" xfId="12492"/>
    <cellStyle name="Total 10 2 2 6 2 2" xfId="25798"/>
    <cellStyle name="Total 10 2 2 6 3" xfId="16902"/>
    <cellStyle name="Total 10 2 2 6 3 2" xfId="30208"/>
    <cellStyle name="Total 10 2 2 6 4" xfId="21388"/>
    <cellStyle name="Total 10 2 2 6_Table" xfId="8435"/>
    <cellStyle name="Total 10 2 2 7" xfId="3756"/>
    <cellStyle name="Total 10 2 2 7 2" xfId="13084"/>
    <cellStyle name="Total 10 2 2 7 2 2" xfId="26390"/>
    <cellStyle name="Total 10 2 2 7 3" xfId="17494"/>
    <cellStyle name="Total 10 2 2 7 3 2" xfId="30800"/>
    <cellStyle name="Total 10 2 2 7 4" xfId="21980"/>
    <cellStyle name="Total 10 2 2 7_Table" xfId="8436"/>
    <cellStyle name="Total 10 2 2 8" xfId="3981"/>
    <cellStyle name="Total 10 2 2 8 2" xfId="13309"/>
    <cellStyle name="Total 10 2 2 8 2 2" xfId="26615"/>
    <cellStyle name="Total 10 2 2 8 3" xfId="17719"/>
    <cellStyle name="Total 10 2 2 8 3 2" xfId="31025"/>
    <cellStyle name="Total 10 2 2 8 4" xfId="22205"/>
    <cellStyle name="Total 10 2 2 8_Table" xfId="8437"/>
    <cellStyle name="Total 10 2 2 9" xfId="4342"/>
    <cellStyle name="Total 10 2 2 9 2" xfId="13670"/>
    <cellStyle name="Total 10 2 2 9 2 2" xfId="26976"/>
    <cellStyle name="Total 10 2 2 9 3" xfId="18080"/>
    <cellStyle name="Total 10 2 2 9 3 2" xfId="31386"/>
    <cellStyle name="Total 10 2 2 9 4" xfId="22566"/>
    <cellStyle name="Total 10 2 2 9_Table" xfId="8438"/>
    <cellStyle name="Total 10 2 2_Table" xfId="8429"/>
    <cellStyle name="Total 10 2 3" xfId="1243"/>
    <cellStyle name="Total 10 2 3 2" xfId="10571"/>
    <cellStyle name="Total 10 2 3 2 2" xfId="23877"/>
    <cellStyle name="Total 10 2 3 3" xfId="14981"/>
    <cellStyle name="Total 10 2 3 3 2" xfId="28287"/>
    <cellStyle name="Total 10 2 3 4" xfId="19467"/>
    <cellStyle name="Total 10 2 3_Table" xfId="8439"/>
    <cellStyle name="Total 10 2 4" xfId="983"/>
    <cellStyle name="Total 10 2 4 2" xfId="10311"/>
    <cellStyle name="Total 10 2 4 2 2" xfId="23617"/>
    <cellStyle name="Total 10 2 4 3" xfId="14721"/>
    <cellStyle name="Total 10 2 4 3 2" xfId="28027"/>
    <cellStyle name="Total 10 2 4 4" xfId="19207"/>
    <cellStyle name="Total 10 2 4_Table" xfId="8440"/>
    <cellStyle name="Total 10 2 5" xfId="1173"/>
    <cellStyle name="Total 10 2 5 2" xfId="10501"/>
    <cellStyle name="Total 10 2 5 2 2" xfId="23807"/>
    <cellStyle name="Total 10 2 5 3" xfId="14911"/>
    <cellStyle name="Total 10 2 5 3 2" xfId="28217"/>
    <cellStyle name="Total 10 2 5 4" xfId="19397"/>
    <cellStyle name="Total 10 2 5_Table" xfId="8441"/>
    <cellStyle name="Total 10 2 6" xfId="1050"/>
    <cellStyle name="Total 10 2 6 2" xfId="10378"/>
    <cellStyle name="Total 10 2 6 2 2" xfId="23684"/>
    <cellStyle name="Total 10 2 6 3" xfId="14788"/>
    <cellStyle name="Total 10 2 6 3 2" xfId="28094"/>
    <cellStyle name="Total 10 2 6 4" xfId="19274"/>
    <cellStyle name="Total 10 2 6_Table" xfId="8442"/>
    <cellStyle name="Total 10 2 7" xfId="1443"/>
    <cellStyle name="Total 10 2 7 2" xfId="10771"/>
    <cellStyle name="Total 10 2 7 2 2" xfId="24077"/>
    <cellStyle name="Total 10 2 7 3" xfId="15181"/>
    <cellStyle name="Total 10 2 7 3 2" xfId="28487"/>
    <cellStyle name="Total 10 2 7 4" xfId="19667"/>
    <cellStyle name="Total 10 2 7_Table" xfId="8443"/>
    <cellStyle name="Total 10 2 8" xfId="1794"/>
    <cellStyle name="Total 10 2 8 2" xfId="11122"/>
    <cellStyle name="Total 10 2 8 2 2" xfId="24428"/>
    <cellStyle name="Total 10 2 8 3" xfId="15532"/>
    <cellStyle name="Total 10 2 8 3 2" xfId="28838"/>
    <cellStyle name="Total 10 2 8 4" xfId="20018"/>
    <cellStyle name="Total 10 2 8_Table" xfId="8444"/>
    <cellStyle name="Total 10 2 9" xfId="3317"/>
    <cellStyle name="Total 10 2 9 2" xfId="12645"/>
    <cellStyle name="Total 10 2 9 2 2" xfId="25951"/>
    <cellStyle name="Total 10 2 9 3" xfId="17055"/>
    <cellStyle name="Total 10 2 9 3 2" xfId="30361"/>
    <cellStyle name="Total 10 2 9 4" xfId="21541"/>
    <cellStyle name="Total 10 2 9_Table" xfId="8445"/>
    <cellStyle name="Total 10 2_Table" xfId="8426"/>
    <cellStyle name="Total 10 3" xfId="497"/>
    <cellStyle name="Total 10 3 10" xfId="4162"/>
    <cellStyle name="Total 10 3 10 2" xfId="13490"/>
    <cellStyle name="Total 10 3 10 2 2" xfId="26796"/>
    <cellStyle name="Total 10 3 10 3" xfId="17900"/>
    <cellStyle name="Total 10 3 10 3 2" xfId="31206"/>
    <cellStyle name="Total 10 3 10 4" xfId="22386"/>
    <cellStyle name="Total 10 3 10_Table" xfId="8447"/>
    <cellStyle name="Total 10 3 11" xfId="4523"/>
    <cellStyle name="Total 10 3 11 2" xfId="13851"/>
    <cellStyle name="Total 10 3 11 2 2" xfId="27157"/>
    <cellStyle name="Total 10 3 11 3" xfId="18261"/>
    <cellStyle name="Total 10 3 11 3 2" xfId="31567"/>
    <cellStyle name="Total 10 3 11 4" xfId="22747"/>
    <cellStyle name="Total 10 3 11_Table" xfId="8448"/>
    <cellStyle name="Total 10 3 12" xfId="9825"/>
    <cellStyle name="Total 10 3 12 2" xfId="23197"/>
    <cellStyle name="Total 10 3 13" xfId="14301"/>
    <cellStyle name="Total 10 3 13 2" xfId="27607"/>
    <cellStyle name="Total 10 3 14" xfId="18787"/>
    <cellStyle name="Total 10 3 2" xfId="788"/>
    <cellStyle name="Total 10 3 2 10" xfId="4748"/>
    <cellStyle name="Total 10 3 2 10 2" xfId="14076"/>
    <cellStyle name="Total 10 3 2 10 2 2" xfId="27382"/>
    <cellStyle name="Total 10 3 2 10 3" xfId="18486"/>
    <cellStyle name="Total 10 3 2 10 3 2" xfId="31792"/>
    <cellStyle name="Total 10 3 2 10 4" xfId="22972"/>
    <cellStyle name="Total 10 3 2 10_Table" xfId="8450"/>
    <cellStyle name="Total 10 3 2 11" xfId="10116"/>
    <cellStyle name="Total 10 3 2 11 2" xfId="23422"/>
    <cellStyle name="Total 10 3 2 12" xfId="14526"/>
    <cellStyle name="Total 10 3 2 12 2" xfId="27832"/>
    <cellStyle name="Total 10 3 2 13" xfId="19012"/>
    <cellStyle name="Total 10 3 2 2" xfId="1574"/>
    <cellStyle name="Total 10 3 2 2 2" xfId="10902"/>
    <cellStyle name="Total 10 3 2 2 2 2" xfId="24208"/>
    <cellStyle name="Total 10 3 2 2 3" xfId="15312"/>
    <cellStyle name="Total 10 3 2 2 3 2" xfId="28618"/>
    <cellStyle name="Total 10 3 2 2 4" xfId="19798"/>
    <cellStyle name="Total 10 3 2 2_Table" xfId="8451"/>
    <cellStyle name="Total 10 3 2 3" xfId="1934"/>
    <cellStyle name="Total 10 3 2 3 2" xfId="11262"/>
    <cellStyle name="Total 10 3 2 3 2 2" xfId="24568"/>
    <cellStyle name="Total 10 3 2 3 3" xfId="15672"/>
    <cellStyle name="Total 10 3 2 3 3 2" xfId="28978"/>
    <cellStyle name="Total 10 3 2 3 4" xfId="20158"/>
    <cellStyle name="Total 10 3 2 3_Table" xfId="8452"/>
    <cellStyle name="Total 10 3 2 4" xfId="2364"/>
    <cellStyle name="Total 10 3 2 4 2" xfId="11692"/>
    <cellStyle name="Total 10 3 2 4 2 2" xfId="24998"/>
    <cellStyle name="Total 10 3 2 4 3" xfId="16102"/>
    <cellStyle name="Total 10 3 2 4 3 2" xfId="29408"/>
    <cellStyle name="Total 10 3 2 4 4" xfId="20588"/>
    <cellStyle name="Total 10 3 2 4_Table" xfId="8453"/>
    <cellStyle name="Total 10 3 2 5" xfId="2802"/>
    <cellStyle name="Total 10 3 2 5 2" xfId="12130"/>
    <cellStyle name="Total 10 3 2 5 2 2" xfId="25436"/>
    <cellStyle name="Total 10 3 2 5 3" xfId="16540"/>
    <cellStyle name="Total 10 3 2 5 3 2" xfId="29846"/>
    <cellStyle name="Total 10 3 2 5 4" xfId="21026"/>
    <cellStyle name="Total 10 3 2 5_Table" xfId="8454"/>
    <cellStyle name="Total 10 3 2 6" xfId="3209"/>
    <cellStyle name="Total 10 3 2 6 2" xfId="12537"/>
    <cellStyle name="Total 10 3 2 6 2 2" xfId="25843"/>
    <cellStyle name="Total 10 3 2 6 3" xfId="16947"/>
    <cellStyle name="Total 10 3 2 6 3 2" xfId="30253"/>
    <cellStyle name="Total 10 3 2 6 4" xfId="21433"/>
    <cellStyle name="Total 10 3 2 6_Table" xfId="8455"/>
    <cellStyle name="Total 10 3 2 7" xfId="3801"/>
    <cellStyle name="Total 10 3 2 7 2" xfId="13129"/>
    <cellStyle name="Total 10 3 2 7 2 2" xfId="26435"/>
    <cellStyle name="Total 10 3 2 7 3" xfId="17539"/>
    <cellStyle name="Total 10 3 2 7 3 2" xfId="30845"/>
    <cellStyle name="Total 10 3 2 7 4" xfId="22025"/>
    <cellStyle name="Total 10 3 2 7_Table" xfId="8456"/>
    <cellStyle name="Total 10 3 2 8" xfId="4026"/>
    <cellStyle name="Total 10 3 2 8 2" xfId="13354"/>
    <cellStyle name="Total 10 3 2 8 2 2" xfId="26660"/>
    <cellStyle name="Total 10 3 2 8 3" xfId="17764"/>
    <cellStyle name="Total 10 3 2 8 3 2" xfId="31070"/>
    <cellStyle name="Total 10 3 2 8 4" xfId="22250"/>
    <cellStyle name="Total 10 3 2 8_Table" xfId="8457"/>
    <cellStyle name="Total 10 3 2 9" xfId="4387"/>
    <cellStyle name="Total 10 3 2 9 2" xfId="13715"/>
    <cellStyle name="Total 10 3 2 9 2 2" xfId="27021"/>
    <cellStyle name="Total 10 3 2 9 3" xfId="18125"/>
    <cellStyle name="Total 10 3 2 9 3 2" xfId="31431"/>
    <cellStyle name="Total 10 3 2 9 4" xfId="22611"/>
    <cellStyle name="Total 10 3 2 9_Table" xfId="8458"/>
    <cellStyle name="Total 10 3 2_Table" xfId="8449"/>
    <cellStyle name="Total 10 3 3" xfId="1300"/>
    <cellStyle name="Total 10 3 3 2" xfId="10628"/>
    <cellStyle name="Total 10 3 3 2 2" xfId="23934"/>
    <cellStyle name="Total 10 3 3 3" xfId="15038"/>
    <cellStyle name="Total 10 3 3 3 2" xfId="28344"/>
    <cellStyle name="Total 10 3 3 4" xfId="19524"/>
    <cellStyle name="Total 10 3 3_Table" xfId="8459"/>
    <cellStyle name="Total 10 3 4" xfId="917"/>
    <cellStyle name="Total 10 3 4 2" xfId="10245"/>
    <cellStyle name="Total 10 3 4 2 2" xfId="23551"/>
    <cellStyle name="Total 10 3 4 3" xfId="14655"/>
    <cellStyle name="Total 10 3 4 3 2" xfId="27961"/>
    <cellStyle name="Total 10 3 4 4" xfId="19141"/>
    <cellStyle name="Total 10 3 4_Table" xfId="8460"/>
    <cellStyle name="Total 10 3 5" xfId="2088"/>
    <cellStyle name="Total 10 3 5 2" xfId="11416"/>
    <cellStyle name="Total 10 3 5 2 2" xfId="24722"/>
    <cellStyle name="Total 10 3 5 3" xfId="15826"/>
    <cellStyle name="Total 10 3 5 3 2" xfId="29132"/>
    <cellStyle name="Total 10 3 5 4" xfId="20312"/>
    <cellStyle name="Total 10 3 5_Table" xfId="8461"/>
    <cellStyle name="Total 10 3 6" xfId="2520"/>
    <cellStyle name="Total 10 3 6 2" xfId="11848"/>
    <cellStyle name="Total 10 3 6 2 2" xfId="25154"/>
    <cellStyle name="Total 10 3 6 3" xfId="16258"/>
    <cellStyle name="Total 10 3 6 3 2" xfId="29564"/>
    <cellStyle name="Total 10 3 6 4" xfId="20744"/>
    <cellStyle name="Total 10 3 6_Table" xfId="8462"/>
    <cellStyle name="Total 10 3 7" xfId="2948"/>
    <cellStyle name="Total 10 3 7 2" xfId="12276"/>
    <cellStyle name="Total 10 3 7 2 2" xfId="25582"/>
    <cellStyle name="Total 10 3 7 3" xfId="16686"/>
    <cellStyle name="Total 10 3 7 3 2" xfId="29992"/>
    <cellStyle name="Total 10 3 7 4" xfId="21172"/>
    <cellStyle name="Total 10 3 7_Table" xfId="8463"/>
    <cellStyle name="Total 10 3 8" xfId="3361"/>
    <cellStyle name="Total 10 3 8 2" xfId="12689"/>
    <cellStyle name="Total 10 3 8 2 2" xfId="25995"/>
    <cellStyle name="Total 10 3 8 3" xfId="17099"/>
    <cellStyle name="Total 10 3 8 3 2" xfId="30405"/>
    <cellStyle name="Total 10 3 8 4" xfId="21585"/>
    <cellStyle name="Total 10 3 8_Table" xfId="8464"/>
    <cellStyle name="Total 10 3 9" xfId="2669"/>
    <cellStyle name="Total 10 3 9 2" xfId="11997"/>
    <cellStyle name="Total 10 3 9 2 2" xfId="25303"/>
    <cellStyle name="Total 10 3 9 3" xfId="16407"/>
    <cellStyle name="Total 10 3 9 3 2" xfId="29713"/>
    <cellStyle name="Total 10 3 9 4" xfId="20893"/>
    <cellStyle name="Total 10 3 9_Table" xfId="8465"/>
    <cellStyle name="Total 10 3_Table" xfId="8446"/>
    <cellStyle name="Total 10 4" xfId="561"/>
    <cellStyle name="Total 10 4 10" xfId="4207"/>
    <cellStyle name="Total 10 4 10 2" xfId="13535"/>
    <cellStyle name="Total 10 4 10 2 2" xfId="26841"/>
    <cellStyle name="Total 10 4 10 3" xfId="17945"/>
    <cellStyle name="Total 10 4 10 3 2" xfId="31251"/>
    <cellStyle name="Total 10 4 10 4" xfId="22431"/>
    <cellStyle name="Total 10 4 10_Table" xfId="8467"/>
    <cellStyle name="Total 10 4 11" xfId="4568"/>
    <cellStyle name="Total 10 4 11 2" xfId="13896"/>
    <cellStyle name="Total 10 4 11 2 2" xfId="27202"/>
    <cellStyle name="Total 10 4 11 3" xfId="18306"/>
    <cellStyle name="Total 10 4 11 3 2" xfId="31612"/>
    <cellStyle name="Total 10 4 11 4" xfId="22792"/>
    <cellStyle name="Total 10 4 11_Table" xfId="8468"/>
    <cellStyle name="Total 10 4 12" xfId="9889"/>
    <cellStyle name="Total 10 4 12 2" xfId="23242"/>
    <cellStyle name="Total 10 4 13" xfId="14346"/>
    <cellStyle name="Total 10 4 13 2" xfId="27652"/>
    <cellStyle name="Total 10 4 14" xfId="18832"/>
    <cellStyle name="Total 10 4 2" xfId="833"/>
    <cellStyle name="Total 10 4 2 10" xfId="4793"/>
    <cellStyle name="Total 10 4 2 10 2" xfId="14121"/>
    <cellStyle name="Total 10 4 2 10 2 2" xfId="27427"/>
    <cellStyle name="Total 10 4 2 10 3" xfId="18531"/>
    <cellStyle name="Total 10 4 2 10 3 2" xfId="31837"/>
    <cellStyle name="Total 10 4 2 10 4" xfId="23017"/>
    <cellStyle name="Total 10 4 2 10_Table" xfId="8470"/>
    <cellStyle name="Total 10 4 2 11" xfId="10161"/>
    <cellStyle name="Total 10 4 2 11 2" xfId="23467"/>
    <cellStyle name="Total 10 4 2 12" xfId="14571"/>
    <cellStyle name="Total 10 4 2 12 2" xfId="27877"/>
    <cellStyle name="Total 10 4 2 13" xfId="19057"/>
    <cellStyle name="Total 10 4 2 2" xfId="1619"/>
    <cellStyle name="Total 10 4 2 2 2" xfId="10947"/>
    <cellStyle name="Total 10 4 2 2 2 2" xfId="24253"/>
    <cellStyle name="Total 10 4 2 2 3" xfId="15357"/>
    <cellStyle name="Total 10 4 2 2 3 2" xfId="28663"/>
    <cellStyle name="Total 10 4 2 2 4" xfId="19843"/>
    <cellStyle name="Total 10 4 2 2_Table" xfId="8471"/>
    <cellStyle name="Total 10 4 2 3" xfId="1979"/>
    <cellStyle name="Total 10 4 2 3 2" xfId="11307"/>
    <cellStyle name="Total 10 4 2 3 2 2" xfId="24613"/>
    <cellStyle name="Total 10 4 2 3 3" xfId="15717"/>
    <cellStyle name="Total 10 4 2 3 3 2" xfId="29023"/>
    <cellStyle name="Total 10 4 2 3 4" xfId="20203"/>
    <cellStyle name="Total 10 4 2 3_Table" xfId="8472"/>
    <cellStyle name="Total 10 4 2 4" xfId="2409"/>
    <cellStyle name="Total 10 4 2 4 2" xfId="11737"/>
    <cellStyle name="Total 10 4 2 4 2 2" xfId="25043"/>
    <cellStyle name="Total 10 4 2 4 3" xfId="16147"/>
    <cellStyle name="Total 10 4 2 4 3 2" xfId="29453"/>
    <cellStyle name="Total 10 4 2 4 4" xfId="20633"/>
    <cellStyle name="Total 10 4 2 4_Table" xfId="8473"/>
    <cellStyle name="Total 10 4 2 5" xfId="2847"/>
    <cellStyle name="Total 10 4 2 5 2" xfId="12175"/>
    <cellStyle name="Total 10 4 2 5 2 2" xfId="25481"/>
    <cellStyle name="Total 10 4 2 5 3" xfId="16585"/>
    <cellStyle name="Total 10 4 2 5 3 2" xfId="29891"/>
    <cellStyle name="Total 10 4 2 5 4" xfId="21071"/>
    <cellStyle name="Total 10 4 2 5_Table" xfId="8474"/>
    <cellStyle name="Total 10 4 2 6" xfId="3254"/>
    <cellStyle name="Total 10 4 2 6 2" xfId="12582"/>
    <cellStyle name="Total 10 4 2 6 2 2" xfId="25888"/>
    <cellStyle name="Total 10 4 2 6 3" xfId="16992"/>
    <cellStyle name="Total 10 4 2 6 3 2" xfId="30298"/>
    <cellStyle name="Total 10 4 2 6 4" xfId="21478"/>
    <cellStyle name="Total 10 4 2 6_Table" xfId="8475"/>
    <cellStyle name="Total 10 4 2 7" xfId="3846"/>
    <cellStyle name="Total 10 4 2 7 2" xfId="13174"/>
    <cellStyle name="Total 10 4 2 7 2 2" xfId="26480"/>
    <cellStyle name="Total 10 4 2 7 3" xfId="17584"/>
    <cellStyle name="Total 10 4 2 7 3 2" xfId="30890"/>
    <cellStyle name="Total 10 4 2 7 4" xfId="22070"/>
    <cellStyle name="Total 10 4 2 7_Table" xfId="8476"/>
    <cellStyle name="Total 10 4 2 8" xfId="4071"/>
    <cellStyle name="Total 10 4 2 8 2" xfId="13399"/>
    <cellStyle name="Total 10 4 2 8 2 2" xfId="26705"/>
    <cellStyle name="Total 10 4 2 8 3" xfId="17809"/>
    <cellStyle name="Total 10 4 2 8 3 2" xfId="31115"/>
    <cellStyle name="Total 10 4 2 8 4" xfId="22295"/>
    <cellStyle name="Total 10 4 2 8_Table" xfId="8477"/>
    <cellStyle name="Total 10 4 2 9" xfId="4432"/>
    <cellStyle name="Total 10 4 2 9 2" xfId="13760"/>
    <cellStyle name="Total 10 4 2 9 2 2" xfId="27066"/>
    <cellStyle name="Total 10 4 2 9 3" xfId="18170"/>
    <cellStyle name="Total 10 4 2 9 3 2" xfId="31476"/>
    <cellStyle name="Total 10 4 2 9 4" xfId="22656"/>
    <cellStyle name="Total 10 4 2 9_Table" xfId="8478"/>
    <cellStyle name="Total 10 4 2_Table" xfId="8469"/>
    <cellStyle name="Total 10 4 3" xfId="1356"/>
    <cellStyle name="Total 10 4 3 2" xfId="10684"/>
    <cellStyle name="Total 10 4 3 2 2" xfId="23990"/>
    <cellStyle name="Total 10 4 3 3" xfId="15094"/>
    <cellStyle name="Total 10 4 3 3 2" xfId="28400"/>
    <cellStyle name="Total 10 4 3 4" xfId="19580"/>
    <cellStyle name="Total 10 4 3_Table" xfId="8479"/>
    <cellStyle name="Total 10 4 4" xfId="1713"/>
    <cellStyle name="Total 10 4 4 2" xfId="11041"/>
    <cellStyle name="Total 10 4 4 2 2" xfId="24347"/>
    <cellStyle name="Total 10 4 4 3" xfId="15451"/>
    <cellStyle name="Total 10 4 4 3 2" xfId="28757"/>
    <cellStyle name="Total 10 4 4 4" xfId="19937"/>
    <cellStyle name="Total 10 4 4_Table" xfId="8480"/>
    <cellStyle name="Total 10 4 5" xfId="2147"/>
    <cellStyle name="Total 10 4 5 2" xfId="11475"/>
    <cellStyle name="Total 10 4 5 2 2" xfId="24781"/>
    <cellStyle name="Total 10 4 5 3" xfId="15885"/>
    <cellStyle name="Total 10 4 5 3 2" xfId="29191"/>
    <cellStyle name="Total 10 4 5 4" xfId="20371"/>
    <cellStyle name="Total 10 4 5_Table" xfId="8481"/>
    <cellStyle name="Total 10 4 6" xfId="2579"/>
    <cellStyle name="Total 10 4 6 2" xfId="11907"/>
    <cellStyle name="Total 10 4 6 2 2" xfId="25213"/>
    <cellStyle name="Total 10 4 6 3" xfId="16317"/>
    <cellStyle name="Total 10 4 6 3 2" xfId="29623"/>
    <cellStyle name="Total 10 4 6 4" xfId="20803"/>
    <cellStyle name="Total 10 4 6_Table" xfId="8482"/>
    <cellStyle name="Total 10 4 7" xfId="3005"/>
    <cellStyle name="Total 10 4 7 2" xfId="12333"/>
    <cellStyle name="Total 10 4 7 2 2" xfId="25639"/>
    <cellStyle name="Total 10 4 7 3" xfId="16743"/>
    <cellStyle name="Total 10 4 7 3 2" xfId="30049"/>
    <cellStyle name="Total 10 4 7 4" xfId="21229"/>
    <cellStyle name="Total 10 4 7_Table" xfId="8483"/>
    <cellStyle name="Total 10 4 8" xfId="3419"/>
    <cellStyle name="Total 10 4 8 2" xfId="12747"/>
    <cellStyle name="Total 10 4 8 2 2" xfId="26053"/>
    <cellStyle name="Total 10 4 8 3" xfId="17157"/>
    <cellStyle name="Total 10 4 8 3 2" xfId="30463"/>
    <cellStyle name="Total 10 4 8 4" xfId="21643"/>
    <cellStyle name="Total 10 4 8_Table" xfId="8484"/>
    <cellStyle name="Total 10 4 9" xfId="3565"/>
    <cellStyle name="Total 10 4 9 2" xfId="12893"/>
    <cellStyle name="Total 10 4 9 2 2" xfId="26199"/>
    <cellStyle name="Total 10 4 9 3" xfId="17303"/>
    <cellStyle name="Total 10 4 9 3 2" xfId="30609"/>
    <cellStyle name="Total 10 4 9 4" xfId="21789"/>
    <cellStyle name="Total 10 4 9_Table" xfId="8485"/>
    <cellStyle name="Total 10 4_Table" xfId="8466"/>
    <cellStyle name="Total 10 5" xfId="636"/>
    <cellStyle name="Total 10 5 10" xfId="4252"/>
    <cellStyle name="Total 10 5 10 2" xfId="13580"/>
    <cellStyle name="Total 10 5 10 2 2" xfId="26886"/>
    <cellStyle name="Total 10 5 10 3" xfId="17990"/>
    <cellStyle name="Total 10 5 10 3 2" xfId="31296"/>
    <cellStyle name="Total 10 5 10 4" xfId="22476"/>
    <cellStyle name="Total 10 5 10_Table" xfId="8487"/>
    <cellStyle name="Total 10 5 11" xfId="4613"/>
    <cellStyle name="Total 10 5 11 2" xfId="13941"/>
    <cellStyle name="Total 10 5 11 2 2" xfId="27247"/>
    <cellStyle name="Total 10 5 11 3" xfId="18351"/>
    <cellStyle name="Total 10 5 11 3 2" xfId="31657"/>
    <cellStyle name="Total 10 5 11 4" xfId="22837"/>
    <cellStyle name="Total 10 5 11_Table" xfId="8488"/>
    <cellStyle name="Total 10 5 12" xfId="9964"/>
    <cellStyle name="Total 10 5 12 2" xfId="23287"/>
    <cellStyle name="Total 10 5 13" xfId="14391"/>
    <cellStyle name="Total 10 5 13 2" xfId="27697"/>
    <cellStyle name="Total 10 5 14" xfId="18877"/>
    <cellStyle name="Total 10 5 2" xfId="878"/>
    <cellStyle name="Total 10 5 2 10" xfId="4838"/>
    <cellStyle name="Total 10 5 2 10 2" xfId="14166"/>
    <cellStyle name="Total 10 5 2 10 2 2" xfId="27472"/>
    <cellStyle name="Total 10 5 2 10 3" xfId="18576"/>
    <cellStyle name="Total 10 5 2 10 3 2" xfId="31882"/>
    <cellStyle name="Total 10 5 2 10 4" xfId="23062"/>
    <cellStyle name="Total 10 5 2 10_Table" xfId="8490"/>
    <cellStyle name="Total 10 5 2 11" xfId="10206"/>
    <cellStyle name="Total 10 5 2 11 2" xfId="23512"/>
    <cellStyle name="Total 10 5 2 12" xfId="14616"/>
    <cellStyle name="Total 10 5 2 12 2" xfId="27922"/>
    <cellStyle name="Total 10 5 2 13" xfId="19102"/>
    <cellStyle name="Total 10 5 2 2" xfId="1664"/>
    <cellStyle name="Total 10 5 2 2 2" xfId="10992"/>
    <cellStyle name="Total 10 5 2 2 2 2" xfId="24298"/>
    <cellStyle name="Total 10 5 2 2 3" xfId="15402"/>
    <cellStyle name="Total 10 5 2 2 3 2" xfId="28708"/>
    <cellStyle name="Total 10 5 2 2 4" xfId="19888"/>
    <cellStyle name="Total 10 5 2 2_Table" xfId="8491"/>
    <cellStyle name="Total 10 5 2 3" xfId="2024"/>
    <cellStyle name="Total 10 5 2 3 2" xfId="11352"/>
    <cellStyle name="Total 10 5 2 3 2 2" xfId="24658"/>
    <cellStyle name="Total 10 5 2 3 3" xfId="15762"/>
    <cellStyle name="Total 10 5 2 3 3 2" xfId="29068"/>
    <cellStyle name="Total 10 5 2 3 4" xfId="20248"/>
    <cellStyle name="Total 10 5 2 3_Table" xfId="8492"/>
    <cellStyle name="Total 10 5 2 4" xfId="2454"/>
    <cellStyle name="Total 10 5 2 4 2" xfId="11782"/>
    <cellStyle name="Total 10 5 2 4 2 2" xfId="25088"/>
    <cellStyle name="Total 10 5 2 4 3" xfId="16192"/>
    <cellStyle name="Total 10 5 2 4 3 2" xfId="29498"/>
    <cellStyle name="Total 10 5 2 4 4" xfId="20678"/>
    <cellStyle name="Total 10 5 2 4_Table" xfId="8493"/>
    <cellStyle name="Total 10 5 2 5" xfId="2892"/>
    <cellStyle name="Total 10 5 2 5 2" xfId="12220"/>
    <cellStyle name="Total 10 5 2 5 2 2" xfId="25526"/>
    <cellStyle name="Total 10 5 2 5 3" xfId="16630"/>
    <cellStyle name="Total 10 5 2 5 3 2" xfId="29936"/>
    <cellStyle name="Total 10 5 2 5 4" xfId="21116"/>
    <cellStyle name="Total 10 5 2 5_Table" xfId="8494"/>
    <cellStyle name="Total 10 5 2 6" xfId="3299"/>
    <cellStyle name="Total 10 5 2 6 2" xfId="12627"/>
    <cellStyle name="Total 10 5 2 6 2 2" xfId="25933"/>
    <cellStyle name="Total 10 5 2 6 3" xfId="17037"/>
    <cellStyle name="Total 10 5 2 6 3 2" xfId="30343"/>
    <cellStyle name="Total 10 5 2 6 4" xfId="21523"/>
    <cellStyle name="Total 10 5 2 6_Table" xfId="8495"/>
    <cellStyle name="Total 10 5 2 7" xfId="3891"/>
    <cellStyle name="Total 10 5 2 7 2" xfId="13219"/>
    <cellStyle name="Total 10 5 2 7 2 2" xfId="26525"/>
    <cellStyle name="Total 10 5 2 7 3" xfId="17629"/>
    <cellStyle name="Total 10 5 2 7 3 2" xfId="30935"/>
    <cellStyle name="Total 10 5 2 7 4" xfId="22115"/>
    <cellStyle name="Total 10 5 2 7_Table" xfId="8496"/>
    <cellStyle name="Total 10 5 2 8" xfId="4116"/>
    <cellStyle name="Total 10 5 2 8 2" xfId="13444"/>
    <cellStyle name="Total 10 5 2 8 2 2" xfId="26750"/>
    <cellStyle name="Total 10 5 2 8 3" xfId="17854"/>
    <cellStyle name="Total 10 5 2 8 3 2" xfId="31160"/>
    <cellStyle name="Total 10 5 2 8 4" xfId="22340"/>
    <cellStyle name="Total 10 5 2 8_Table" xfId="8497"/>
    <cellStyle name="Total 10 5 2 9" xfId="4477"/>
    <cellStyle name="Total 10 5 2 9 2" xfId="13805"/>
    <cellStyle name="Total 10 5 2 9 2 2" xfId="27111"/>
    <cellStyle name="Total 10 5 2 9 3" xfId="18215"/>
    <cellStyle name="Total 10 5 2 9 3 2" xfId="31521"/>
    <cellStyle name="Total 10 5 2 9 4" xfId="22701"/>
    <cellStyle name="Total 10 5 2 9_Table" xfId="8498"/>
    <cellStyle name="Total 10 5 2_Table" xfId="8489"/>
    <cellStyle name="Total 10 5 3" xfId="1423"/>
    <cellStyle name="Total 10 5 3 2" xfId="10751"/>
    <cellStyle name="Total 10 5 3 2 2" xfId="24057"/>
    <cellStyle name="Total 10 5 3 3" xfId="15161"/>
    <cellStyle name="Total 10 5 3 3 2" xfId="28467"/>
    <cellStyle name="Total 10 5 3 4" xfId="19647"/>
    <cellStyle name="Total 10 5 3_Table" xfId="8499"/>
    <cellStyle name="Total 10 5 4" xfId="1783"/>
    <cellStyle name="Total 10 5 4 2" xfId="11111"/>
    <cellStyle name="Total 10 5 4 2 2" xfId="24417"/>
    <cellStyle name="Total 10 5 4 3" xfId="15521"/>
    <cellStyle name="Total 10 5 4 3 2" xfId="28827"/>
    <cellStyle name="Total 10 5 4 4" xfId="20007"/>
    <cellStyle name="Total 10 5 4_Table" xfId="8500"/>
    <cellStyle name="Total 10 5 5" xfId="2216"/>
    <cellStyle name="Total 10 5 5 2" xfId="11544"/>
    <cellStyle name="Total 10 5 5 2 2" xfId="24850"/>
    <cellStyle name="Total 10 5 5 3" xfId="15954"/>
    <cellStyle name="Total 10 5 5 3 2" xfId="29260"/>
    <cellStyle name="Total 10 5 5 4" xfId="20440"/>
    <cellStyle name="Total 10 5 5_Table" xfId="8501"/>
    <cellStyle name="Total 10 5 6" xfId="2651"/>
    <cellStyle name="Total 10 5 6 2" xfId="11979"/>
    <cellStyle name="Total 10 5 6 2 2" xfId="25285"/>
    <cellStyle name="Total 10 5 6 3" xfId="16389"/>
    <cellStyle name="Total 10 5 6 3 2" xfId="29695"/>
    <cellStyle name="Total 10 5 6 4" xfId="20875"/>
    <cellStyle name="Total 10 5 6_Table" xfId="8502"/>
    <cellStyle name="Total 10 5 7" xfId="3064"/>
    <cellStyle name="Total 10 5 7 2" xfId="12392"/>
    <cellStyle name="Total 10 5 7 2 2" xfId="25698"/>
    <cellStyle name="Total 10 5 7 3" xfId="16802"/>
    <cellStyle name="Total 10 5 7 3 2" xfId="30108"/>
    <cellStyle name="Total 10 5 7 4" xfId="21288"/>
    <cellStyle name="Total 10 5 7_Table" xfId="8503"/>
    <cellStyle name="Total 10 5 8" xfId="3490"/>
    <cellStyle name="Total 10 5 8 2" xfId="12818"/>
    <cellStyle name="Total 10 5 8 2 2" xfId="26124"/>
    <cellStyle name="Total 10 5 8 3" xfId="17228"/>
    <cellStyle name="Total 10 5 8 3 2" xfId="30534"/>
    <cellStyle name="Total 10 5 8 4" xfId="21714"/>
    <cellStyle name="Total 10 5 8_Table" xfId="8504"/>
    <cellStyle name="Total 10 5 9" xfId="3575"/>
    <cellStyle name="Total 10 5 9 2" xfId="12903"/>
    <cellStyle name="Total 10 5 9 2 2" xfId="26209"/>
    <cellStyle name="Total 10 5 9 3" xfId="17313"/>
    <cellStyle name="Total 10 5 9 3 2" xfId="30619"/>
    <cellStyle name="Total 10 5 9 4" xfId="21799"/>
    <cellStyle name="Total 10 5 9_Table" xfId="8505"/>
    <cellStyle name="Total 10 5_Table" xfId="8486"/>
    <cellStyle name="Total 10 6" xfId="698"/>
    <cellStyle name="Total 10 6 10" xfId="4658"/>
    <cellStyle name="Total 10 6 10 2" xfId="13986"/>
    <cellStyle name="Total 10 6 10 2 2" xfId="27292"/>
    <cellStyle name="Total 10 6 10 3" xfId="18396"/>
    <cellStyle name="Total 10 6 10 3 2" xfId="31702"/>
    <cellStyle name="Total 10 6 10 4" xfId="22882"/>
    <cellStyle name="Total 10 6 10_Table" xfId="8507"/>
    <cellStyle name="Total 10 6 11" xfId="10026"/>
    <cellStyle name="Total 10 6 11 2" xfId="23332"/>
    <cellStyle name="Total 10 6 12" xfId="14436"/>
    <cellStyle name="Total 10 6 12 2" xfId="27742"/>
    <cellStyle name="Total 10 6 13" xfId="18922"/>
    <cellStyle name="Total 10 6 2" xfId="1484"/>
    <cellStyle name="Total 10 6 2 2" xfId="10812"/>
    <cellStyle name="Total 10 6 2 2 2" xfId="24118"/>
    <cellStyle name="Total 10 6 2 3" xfId="15222"/>
    <cellStyle name="Total 10 6 2 3 2" xfId="28528"/>
    <cellStyle name="Total 10 6 2 4" xfId="19708"/>
    <cellStyle name="Total 10 6 2_Table" xfId="8508"/>
    <cellStyle name="Total 10 6 3" xfId="1844"/>
    <cellStyle name="Total 10 6 3 2" xfId="11172"/>
    <cellStyle name="Total 10 6 3 2 2" xfId="24478"/>
    <cellStyle name="Total 10 6 3 3" xfId="15582"/>
    <cellStyle name="Total 10 6 3 3 2" xfId="28888"/>
    <cellStyle name="Total 10 6 3 4" xfId="20068"/>
    <cellStyle name="Total 10 6 3_Table" xfId="8509"/>
    <cellStyle name="Total 10 6 4" xfId="2274"/>
    <cellStyle name="Total 10 6 4 2" xfId="11602"/>
    <cellStyle name="Total 10 6 4 2 2" xfId="24908"/>
    <cellStyle name="Total 10 6 4 3" xfId="16012"/>
    <cellStyle name="Total 10 6 4 3 2" xfId="29318"/>
    <cellStyle name="Total 10 6 4 4" xfId="20498"/>
    <cellStyle name="Total 10 6 4_Table" xfId="8510"/>
    <cellStyle name="Total 10 6 5" xfId="2712"/>
    <cellStyle name="Total 10 6 5 2" xfId="12040"/>
    <cellStyle name="Total 10 6 5 2 2" xfId="25346"/>
    <cellStyle name="Total 10 6 5 3" xfId="16450"/>
    <cellStyle name="Total 10 6 5 3 2" xfId="29756"/>
    <cellStyle name="Total 10 6 5 4" xfId="20936"/>
    <cellStyle name="Total 10 6 5_Table" xfId="8511"/>
    <cellStyle name="Total 10 6 6" xfId="3119"/>
    <cellStyle name="Total 10 6 6 2" xfId="12447"/>
    <cellStyle name="Total 10 6 6 2 2" xfId="25753"/>
    <cellStyle name="Total 10 6 6 3" xfId="16857"/>
    <cellStyle name="Total 10 6 6 3 2" xfId="30163"/>
    <cellStyle name="Total 10 6 6 4" xfId="21343"/>
    <cellStyle name="Total 10 6 6_Table" xfId="8512"/>
    <cellStyle name="Total 10 6 7" xfId="3711"/>
    <cellStyle name="Total 10 6 7 2" xfId="13039"/>
    <cellStyle name="Total 10 6 7 2 2" xfId="26345"/>
    <cellStyle name="Total 10 6 7 3" xfId="17449"/>
    <cellStyle name="Total 10 6 7 3 2" xfId="30755"/>
    <cellStyle name="Total 10 6 7 4" xfId="21935"/>
    <cellStyle name="Total 10 6 7_Table" xfId="8513"/>
    <cellStyle name="Total 10 6 8" xfId="3936"/>
    <cellStyle name="Total 10 6 8 2" xfId="13264"/>
    <cellStyle name="Total 10 6 8 2 2" xfId="26570"/>
    <cellStyle name="Total 10 6 8 3" xfId="17674"/>
    <cellStyle name="Total 10 6 8 3 2" xfId="30980"/>
    <cellStyle name="Total 10 6 8 4" xfId="22160"/>
    <cellStyle name="Total 10 6 8_Table" xfId="8514"/>
    <cellStyle name="Total 10 6 9" xfId="4297"/>
    <cellStyle name="Total 10 6 9 2" xfId="13625"/>
    <cellStyle name="Total 10 6 9 2 2" xfId="26931"/>
    <cellStyle name="Total 10 6 9 3" xfId="18035"/>
    <cellStyle name="Total 10 6 9 3 2" xfId="31341"/>
    <cellStyle name="Total 10 6 9 4" xfId="22521"/>
    <cellStyle name="Total 10 6 9_Table" xfId="8515"/>
    <cellStyle name="Total 10 6_Table" xfId="8506"/>
    <cellStyle name="Total 10 7" xfId="1199"/>
    <cellStyle name="Total 10 7 2" xfId="10527"/>
    <cellStyle name="Total 10 7 2 2" xfId="23833"/>
    <cellStyle name="Total 10 7 3" xfId="14937"/>
    <cellStyle name="Total 10 7 3 2" xfId="28243"/>
    <cellStyle name="Total 10 7 4" xfId="19423"/>
    <cellStyle name="Total 10 7_Table" xfId="8516"/>
    <cellStyle name="Total 10 8" xfId="1043"/>
    <cellStyle name="Total 10 8 2" xfId="10371"/>
    <cellStyle name="Total 10 8 2 2" xfId="23677"/>
    <cellStyle name="Total 10 8 3" xfId="14781"/>
    <cellStyle name="Total 10 8 3 2" xfId="28087"/>
    <cellStyle name="Total 10 8 4" xfId="19267"/>
    <cellStyle name="Total 10 8_Table" xfId="8517"/>
    <cellStyle name="Total 10 9" xfId="1433"/>
    <cellStyle name="Total 10 9 2" xfId="10761"/>
    <cellStyle name="Total 10 9 2 2" xfId="24067"/>
    <cellStyle name="Total 10 9 3" xfId="15171"/>
    <cellStyle name="Total 10 9 3 2" xfId="28477"/>
    <cellStyle name="Total 10 9 4" xfId="19657"/>
    <cellStyle name="Total 10 9_Table" xfId="8518"/>
    <cellStyle name="Total 10_Table" xfId="8419"/>
    <cellStyle name="Total 2" xfId="368"/>
    <cellStyle name="Total 2 10" xfId="1806"/>
    <cellStyle name="Total 2 10 2" xfId="11134"/>
    <cellStyle name="Total 2 10 2 2" xfId="24440"/>
    <cellStyle name="Total 2 10 3" xfId="15544"/>
    <cellStyle name="Total 2 10 3 2" xfId="28850"/>
    <cellStyle name="Total 2 10 4" xfId="20030"/>
    <cellStyle name="Total 2 10_Table" xfId="8520"/>
    <cellStyle name="Total 2 11" xfId="2236"/>
    <cellStyle name="Total 2 11 2" xfId="11564"/>
    <cellStyle name="Total 2 11 2 2" xfId="24870"/>
    <cellStyle name="Total 2 11 3" xfId="15974"/>
    <cellStyle name="Total 2 11 3 2" xfId="29280"/>
    <cellStyle name="Total 2 11 4" xfId="20460"/>
    <cellStyle name="Total 2 11_Table" xfId="8521"/>
    <cellStyle name="Total 2 12" xfId="2673"/>
    <cellStyle name="Total 2 12 2" xfId="12001"/>
    <cellStyle name="Total 2 12 2 2" xfId="25307"/>
    <cellStyle name="Total 2 12 3" xfId="16411"/>
    <cellStyle name="Total 2 12 3 2" xfId="29717"/>
    <cellStyle name="Total 2 12 4" xfId="20897"/>
    <cellStyle name="Total 2 12_Table" xfId="8522"/>
    <cellStyle name="Total 2 13" xfId="2540"/>
    <cellStyle name="Total 2 13 2" xfId="11868"/>
    <cellStyle name="Total 2 13 2 2" xfId="25174"/>
    <cellStyle name="Total 2 13 3" xfId="16278"/>
    <cellStyle name="Total 2 13 3 2" xfId="29584"/>
    <cellStyle name="Total 2 13 4" xfId="20764"/>
    <cellStyle name="Total 2 13_Table" xfId="8523"/>
    <cellStyle name="Total 2 14" xfId="1278"/>
    <cellStyle name="Total 2 14 2" xfId="10606"/>
    <cellStyle name="Total 2 14 2 2" xfId="23912"/>
    <cellStyle name="Total 2 14 3" xfId="15016"/>
    <cellStyle name="Total 2 14 3 2" xfId="28322"/>
    <cellStyle name="Total 2 14 4" xfId="19502"/>
    <cellStyle name="Total 2 14_Table" xfId="8524"/>
    <cellStyle name="Total 2 15" xfId="3674"/>
    <cellStyle name="Total 2 15 2" xfId="13002"/>
    <cellStyle name="Total 2 15 2 2" xfId="26308"/>
    <cellStyle name="Total 2 15 3" xfId="17412"/>
    <cellStyle name="Total 2 15 3 2" xfId="30718"/>
    <cellStyle name="Total 2 15 4" xfId="21898"/>
    <cellStyle name="Total 2 15_Table" xfId="8525"/>
    <cellStyle name="Total 2 16" xfId="9696"/>
    <cellStyle name="Total 2 16 2" xfId="23108"/>
    <cellStyle name="Total 2 17" xfId="14212"/>
    <cellStyle name="Total 2 17 2" xfId="27518"/>
    <cellStyle name="Total 2 18" xfId="18698"/>
    <cellStyle name="Total 2 2" xfId="430"/>
    <cellStyle name="Total 2 2 10" xfId="3073"/>
    <cellStyle name="Total 2 2 10 2" xfId="12401"/>
    <cellStyle name="Total 2 2 10 2 2" xfId="25707"/>
    <cellStyle name="Total 2 2 10 3" xfId="16811"/>
    <cellStyle name="Total 2 2 10 3 2" xfId="30117"/>
    <cellStyle name="Total 2 2 10 4" xfId="21297"/>
    <cellStyle name="Total 2 2 10_Table" xfId="8527"/>
    <cellStyle name="Total 2 2 11" xfId="1731"/>
    <cellStyle name="Total 2 2 11 2" xfId="11059"/>
    <cellStyle name="Total 2 2 11 2 2" xfId="24365"/>
    <cellStyle name="Total 2 2 11 3" xfId="15469"/>
    <cellStyle name="Total 2 2 11 3 2" xfId="28775"/>
    <cellStyle name="Total 2 2 11 4" xfId="19955"/>
    <cellStyle name="Total 2 2 11_Table" xfId="8528"/>
    <cellStyle name="Total 2 2 12" xfId="9758"/>
    <cellStyle name="Total 2 2 12 2" xfId="23153"/>
    <cellStyle name="Total 2 2 13" xfId="14257"/>
    <cellStyle name="Total 2 2 13 2" xfId="27563"/>
    <cellStyle name="Total 2 2 14" xfId="18743"/>
    <cellStyle name="Total 2 2 2" xfId="744"/>
    <cellStyle name="Total 2 2 2 10" xfId="4704"/>
    <cellStyle name="Total 2 2 2 10 2" xfId="14032"/>
    <cellStyle name="Total 2 2 2 10 2 2" xfId="27338"/>
    <cellStyle name="Total 2 2 2 10 3" xfId="18442"/>
    <cellStyle name="Total 2 2 2 10 3 2" xfId="31748"/>
    <cellStyle name="Total 2 2 2 10 4" xfId="22928"/>
    <cellStyle name="Total 2 2 2 10_Table" xfId="8530"/>
    <cellStyle name="Total 2 2 2 11" xfId="10072"/>
    <cellStyle name="Total 2 2 2 11 2" xfId="23378"/>
    <cellStyle name="Total 2 2 2 12" xfId="14482"/>
    <cellStyle name="Total 2 2 2 12 2" xfId="27788"/>
    <cellStyle name="Total 2 2 2 13" xfId="18968"/>
    <cellStyle name="Total 2 2 2 2" xfId="1530"/>
    <cellStyle name="Total 2 2 2 2 2" xfId="10858"/>
    <cellStyle name="Total 2 2 2 2 2 2" xfId="24164"/>
    <cellStyle name="Total 2 2 2 2 3" xfId="15268"/>
    <cellStyle name="Total 2 2 2 2 3 2" xfId="28574"/>
    <cellStyle name="Total 2 2 2 2 4" xfId="19754"/>
    <cellStyle name="Total 2 2 2 2_Table" xfId="8531"/>
    <cellStyle name="Total 2 2 2 3" xfId="1890"/>
    <cellStyle name="Total 2 2 2 3 2" xfId="11218"/>
    <cellStyle name="Total 2 2 2 3 2 2" xfId="24524"/>
    <cellStyle name="Total 2 2 2 3 3" xfId="15628"/>
    <cellStyle name="Total 2 2 2 3 3 2" xfId="28934"/>
    <cellStyle name="Total 2 2 2 3 4" xfId="20114"/>
    <cellStyle name="Total 2 2 2 3_Table" xfId="8532"/>
    <cellStyle name="Total 2 2 2 4" xfId="2320"/>
    <cellStyle name="Total 2 2 2 4 2" xfId="11648"/>
    <cellStyle name="Total 2 2 2 4 2 2" xfId="24954"/>
    <cellStyle name="Total 2 2 2 4 3" xfId="16058"/>
    <cellStyle name="Total 2 2 2 4 3 2" xfId="29364"/>
    <cellStyle name="Total 2 2 2 4 4" xfId="20544"/>
    <cellStyle name="Total 2 2 2 4_Table" xfId="8533"/>
    <cellStyle name="Total 2 2 2 5" xfId="2758"/>
    <cellStyle name="Total 2 2 2 5 2" xfId="12086"/>
    <cellStyle name="Total 2 2 2 5 2 2" xfId="25392"/>
    <cellStyle name="Total 2 2 2 5 3" xfId="16496"/>
    <cellStyle name="Total 2 2 2 5 3 2" xfId="29802"/>
    <cellStyle name="Total 2 2 2 5 4" xfId="20982"/>
    <cellStyle name="Total 2 2 2 5_Table" xfId="8534"/>
    <cellStyle name="Total 2 2 2 6" xfId="3165"/>
    <cellStyle name="Total 2 2 2 6 2" xfId="12493"/>
    <cellStyle name="Total 2 2 2 6 2 2" xfId="25799"/>
    <cellStyle name="Total 2 2 2 6 3" xfId="16903"/>
    <cellStyle name="Total 2 2 2 6 3 2" xfId="30209"/>
    <cellStyle name="Total 2 2 2 6 4" xfId="21389"/>
    <cellStyle name="Total 2 2 2 6_Table" xfId="8535"/>
    <cellStyle name="Total 2 2 2 7" xfId="3757"/>
    <cellStyle name="Total 2 2 2 7 2" xfId="13085"/>
    <cellStyle name="Total 2 2 2 7 2 2" xfId="26391"/>
    <cellStyle name="Total 2 2 2 7 3" xfId="17495"/>
    <cellStyle name="Total 2 2 2 7 3 2" xfId="30801"/>
    <cellStyle name="Total 2 2 2 7 4" xfId="21981"/>
    <cellStyle name="Total 2 2 2 7_Table" xfId="8536"/>
    <cellStyle name="Total 2 2 2 8" xfId="3982"/>
    <cellStyle name="Total 2 2 2 8 2" xfId="13310"/>
    <cellStyle name="Total 2 2 2 8 2 2" xfId="26616"/>
    <cellStyle name="Total 2 2 2 8 3" xfId="17720"/>
    <cellStyle name="Total 2 2 2 8 3 2" xfId="31026"/>
    <cellStyle name="Total 2 2 2 8 4" xfId="22206"/>
    <cellStyle name="Total 2 2 2 8_Table" xfId="8537"/>
    <cellStyle name="Total 2 2 2 9" xfId="4343"/>
    <cellStyle name="Total 2 2 2 9 2" xfId="13671"/>
    <cellStyle name="Total 2 2 2 9 2 2" xfId="26977"/>
    <cellStyle name="Total 2 2 2 9 3" xfId="18081"/>
    <cellStyle name="Total 2 2 2 9 3 2" xfId="31387"/>
    <cellStyle name="Total 2 2 2 9 4" xfId="22567"/>
    <cellStyle name="Total 2 2 2 9_Table" xfId="8538"/>
    <cellStyle name="Total 2 2 2_Table" xfId="8529"/>
    <cellStyle name="Total 2 2 3" xfId="1244"/>
    <cellStyle name="Total 2 2 3 2" xfId="10572"/>
    <cellStyle name="Total 2 2 3 2 2" xfId="23878"/>
    <cellStyle name="Total 2 2 3 3" xfId="14982"/>
    <cellStyle name="Total 2 2 3 3 2" xfId="28288"/>
    <cellStyle name="Total 2 2 3 4" xfId="19468"/>
    <cellStyle name="Total 2 2 3_Table" xfId="8539"/>
    <cellStyle name="Total 2 2 4" xfId="982"/>
    <cellStyle name="Total 2 2 4 2" xfId="10310"/>
    <cellStyle name="Total 2 2 4 2 2" xfId="23616"/>
    <cellStyle name="Total 2 2 4 3" xfId="14720"/>
    <cellStyle name="Total 2 2 4 3 2" xfId="28026"/>
    <cellStyle name="Total 2 2 4 4" xfId="19206"/>
    <cellStyle name="Total 2 2 4_Table" xfId="8540"/>
    <cellStyle name="Total 2 2 5" xfId="893"/>
    <cellStyle name="Total 2 2 5 2" xfId="10221"/>
    <cellStyle name="Total 2 2 5 2 2" xfId="23527"/>
    <cellStyle name="Total 2 2 5 3" xfId="14631"/>
    <cellStyle name="Total 2 2 5 3 2" xfId="27937"/>
    <cellStyle name="Total 2 2 5 4" xfId="19117"/>
    <cellStyle name="Total 2 2 5_Table" xfId="8541"/>
    <cellStyle name="Total 2 2 6" xfId="1049"/>
    <cellStyle name="Total 2 2 6 2" xfId="10377"/>
    <cellStyle name="Total 2 2 6 2 2" xfId="23683"/>
    <cellStyle name="Total 2 2 6 3" xfId="14787"/>
    <cellStyle name="Total 2 2 6 3 2" xfId="28093"/>
    <cellStyle name="Total 2 2 6 4" xfId="19273"/>
    <cellStyle name="Total 2 2 6_Table" xfId="8542"/>
    <cellStyle name="Total 2 2 7" xfId="1318"/>
    <cellStyle name="Total 2 2 7 2" xfId="10646"/>
    <cellStyle name="Total 2 2 7 2 2" xfId="23952"/>
    <cellStyle name="Total 2 2 7 3" xfId="15056"/>
    <cellStyle name="Total 2 2 7 3 2" xfId="28362"/>
    <cellStyle name="Total 2 2 7 4" xfId="19542"/>
    <cellStyle name="Total 2 2 7_Table" xfId="8543"/>
    <cellStyle name="Total 2 2 8" xfId="1075"/>
    <cellStyle name="Total 2 2 8 2" xfId="10403"/>
    <cellStyle name="Total 2 2 8 2 2" xfId="23709"/>
    <cellStyle name="Total 2 2 8 3" xfId="14813"/>
    <cellStyle name="Total 2 2 8 3 2" xfId="28119"/>
    <cellStyle name="Total 2 2 8 4" xfId="19299"/>
    <cellStyle name="Total 2 2 8_Table" xfId="8544"/>
    <cellStyle name="Total 2 2 9" xfId="3076"/>
    <cellStyle name="Total 2 2 9 2" xfId="12404"/>
    <cellStyle name="Total 2 2 9 2 2" xfId="25710"/>
    <cellStyle name="Total 2 2 9 3" xfId="16814"/>
    <cellStyle name="Total 2 2 9 3 2" xfId="30120"/>
    <cellStyle name="Total 2 2 9 4" xfId="21300"/>
    <cellStyle name="Total 2 2 9_Table" xfId="8545"/>
    <cellStyle name="Total 2 2_Table" xfId="8526"/>
    <cellStyle name="Total 2 3" xfId="498"/>
    <cellStyle name="Total 2 3 10" xfId="4163"/>
    <cellStyle name="Total 2 3 10 2" xfId="13491"/>
    <cellStyle name="Total 2 3 10 2 2" xfId="26797"/>
    <cellStyle name="Total 2 3 10 3" xfId="17901"/>
    <cellStyle name="Total 2 3 10 3 2" xfId="31207"/>
    <cellStyle name="Total 2 3 10 4" xfId="22387"/>
    <cellStyle name="Total 2 3 10_Table" xfId="8547"/>
    <cellStyle name="Total 2 3 11" xfId="4524"/>
    <cellStyle name="Total 2 3 11 2" xfId="13852"/>
    <cellStyle name="Total 2 3 11 2 2" xfId="27158"/>
    <cellStyle name="Total 2 3 11 3" xfId="18262"/>
    <cellStyle name="Total 2 3 11 3 2" xfId="31568"/>
    <cellStyle name="Total 2 3 11 4" xfId="22748"/>
    <cellStyle name="Total 2 3 11_Table" xfId="8548"/>
    <cellStyle name="Total 2 3 12" xfId="9826"/>
    <cellStyle name="Total 2 3 12 2" xfId="23198"/>
    <cellStyle name="Total 2 3 13" xfId="14302"/>
    <cellStyle name="Total 2 3 13 2" xfId="27608"/>
    <cellStyle name="Total 2 3 14" xfId="18788"/>
    <cellStyle name="Total 2 3 2" xfId="789"/>
    <cellStyle name="Total 2 3 2 10" xfId="4749"/>
    <cellStyle name="Total 2 3 2 10 2" xfId="14077"/>
    <cellStyle name="Total 2 3 2 10 2 2" xfId="27383"/>
    <cellStyle name="Total 2 3 2 10 3" xfId="18487"/>
    <cellStyle name="Total 2 3 2 10 3 2" xfId="31793"/>
    <cellStyle name="Total 2 3 2 10 4" xfId="22973"/>
    <cellStyle name="Total 2 3 2 10_Table" xfId="8550"/>
    <cellStyle name="Total 2 3 2 11" xfId="10117"/>
    <cellStyle name="Total 2 3 2 11 2" xfId="23423"/>
    <cellStyle name="Total 2 3 2 12" xfId="14527"/>
    <cellStyle name="Total 2 3 2 12 2" xfId="27833"/>
    <cellStyle name="Total 2 3 2 13" xfId="19013"/>
    <cellStyle name="Total 2 3 2 2" xfId="1575"/>
    <cellStyle name="Total 2 3 2 2 2" xfId="10903"/>
    <cellStyle name="Total 2 3 2 2 2 2" xfId="24209"/>
    <cellStyle name="Total 2 3 2 2 3" xfId="15313"/>
    <cellStyle name="Total 2 3 2 2 3 2" xfId="28619"/>
    <cellStyle name="Total 2 3 2 2 4" xfId="19799"/>
    <cellStyle name="Total 2 3 2 2_Table" xfId="8551"/>
    <cellStyle name="Total 2 3 2 3" xfId="1935"/>
    <cellStyle name="Total 2 3 2 3 2" xfId="11263"/>
    <cellStyle name="Total 2 3 2 3 2 2" xfId="24569"/>
    <cellStyle name="Total 2 3 2 3 3" xfId="15673"/>
    <cellStyle name="Total 2 3 2 3 3 2" xfId="28979"/>
    <cellStyle name="Total 2 3 2 3 4" xfId="20159"/>
    <cellStyle name="Total 2 3 2 3_Table" xfId="8552"/>
    <cellStyle name="Total 2 3 2 4" xfId="2365"/>
    <cellStyle name="Total 2 3 2 4 2" xfId="11693"/>
    <cellStyle name="Total 2 3 2 4 2 2" xfId="24999"/>
    <cellStyle name="Total 2 3 2 4 3" xfId="16103"/>
    <cellStyle name="Total 2 3 2 4 3 2" xfId="29409"/>
    <cellStyle name="Total 2 3 2 4 4" xfId="20589"/>
    <cellStyle name="Total 2 3 2 4_Table" xfId="8553"/>
    <cellStyle name="Total 2 3 2 5" xfId="2803"/>
    <cellStyle name="Total 2 3 2 5 2" xfId="12131"/>
    <cellStyle name="Total 2 3 2 5 2 2" xfId="25437"/>
    <cellStyle name="Total 2 3 2 5 3" xfId="16541"/>
    <cellStyle name="Total 2 3 2 5 3 2" xfId="29847"/>
    <cellStyle name="Total 2 3 2 5 4" xfId="21027"/>
    <cellStyle name="Total 2 3 2 5_Table" xfId="8554"/>
    <cellStyle name="Total 2 3 2 6" xfId="3210"/>
    <cellStyle name="Total 2 3 2 6 2" xfId="12538"/>
    <cellStyle name="Total 2 3 2 6 2 2" xfId="25844"/>
    <cellStyle name="Total 2 3 2 6 3" xfId="16948"/>
    <cellStyle name="Total 2 3 2 6 3 2" xfId="30254"/>
    <cellStyle name="Total 2 3 2 6 4" xfId="21434"/>
    <cellStyle name="Total 2 3 2 6_Table" xfId="8555"/>
    <cellStyle name="Total 2 3 2 7" xfId="3802"/>
    <cellStyle name="Total 2 3 2 7 2" xfId="13130"/>
    <cellStyle name="Total 2 3 2 7 2 2" xfId="26436"/>
    <cellStyle name="Total 2 3 2 7 3" xfId="17540"/>
    <cellStyle name="Total 2 3 2 7 3 2" xfId="30846"/>
    <cellStyle name="Total 2 3 2 7 4" xfId="22026"/>
    <cellStyle name="Total 2 3 2 7_Table" xfId="8556"/>
    <cellStyle name="Total 2 3 2 8" xfId="4027"/>
    <cellStyle name="Total 2 3 2 8 2" xfId="13355"/>
    <cellStyle name="Total 2 3 2 8 2 2" xfId="26661"/>
    <cellStyle name="Total 2 3 2 8 3" xfId="17765"/>
    <cellStyle name="Total 2 3 2 8 3 2" xfId="31071"/>
    <cellStyle name="Total 2 3 2 8 4" xfId="22251"/>
    <cellStyle name="Total 2 3 2 8_Table" xfId="8557"/>
    <cellStyle name="Total 2 3 2 9" xfId="4388"/>
    <cellStyle name="Total 2 3 2 9 2" xfId="13716"/>
    <cellStyle name="Total 2 3 2 9 2 2" xfId="27022"/>
    <cellStyle name="Total 2 3 2 9 3" xfId="18126"/>
    <cellStyle name="Total 2 3 2 9 3 2" xfId="31432"/>
    <cellStyle name="Total 2 3 2 9 4" xfId="22612"/>
    <cellStyle name="Total 2 3 2 9_Table" xfId="8558"/>
    <cellStyle name="Total 2 3 2_Table" xfId="8549"/>
    <cellStyle name="Total 2 3 3" xfId="1301"/>
    <cellStyle name="Total 2 3 3 2" xfId="10629"/>
    <cellStyle name="Total 2 3 3 2 2" xfId="23935"/>
    <cellStyle name="Total 2 3 3 3" xfId="15039"/>
    <cellStyle name="Total 2 3 3 3 2" xfId="28345"/>
    <cellStyle name="Total 2 3 3 4" xfId="19525"/>
    <cellStyle name="Total 2 3 3_Table" xfId="8559"/>
    <cellStyle name="Total 2 3 4" xfId="916"/>
    <cellStyle name="Total 2 3 4 2" xfId="10244"/>
    <cellStyle name="Total 2 3 4 2 2" xfId="23550"/>
    <cellStyle name="Total 2 3 4 3" xfId="14654"/>
    <cellStyle name="Total 2 3 4 3 2" xfId="27960"/>
    <cellStyle name="Total 2 3 4 4" xfId="19140"/>
    <cellStyle name="Total 2 3 4_Table" xfId="8560"/>
    <cellStyle name="Total 2 3 5" xfId="2089"/>
    <cellStyle name="Total 2 3 5 2" xfId="11417"/>
    <cellStyle name="Total 2 3 5 2 2" xfId="24723"/>
    <cellStyle name="Total 2 3 5 3" xfId="15827"/>
    <cellStyle name="Total 2 3 5 3 2" xfId="29133"/>
    <cellStyle name="Total 2 3 5 4" xfId="20313"/>
    <cellStyle name="Total 2 3 5_Table" xfId="8561"/>
    <cellStyle name="Total 2 3 6" xfId="2521"/>
    <cellStyle name="Total 2 3 6 2" xfId="11849"/>
    <cellStyle name="Total 2 3 6 2 2" xfId="25155"/>
    <cellStyle name="Total 2 3 6 3" xfId="16259"/>
    <cellStyle name="Total 2 3 6 3 2" xfId="29565"/>
    <cellStyle name="Total 2 3 6 4" xfId="20745"/>
    <cellStyle name="Total 2 3 6_Table" xfId="8562"/>
    <cellStyle name="Total 2 3 7" xfId="2949"/>
    <cellStyle name="Total 2 3 7 2" xfId="12277"/>
    <cellStyle name="Total 2 3 7 2 2" xfId="25583"/>
    <cellStyle name="Total 2 3 7 3" xfId="16687"/>
    <cellStyle name="Total 2 3 7 3 2" xfId="29993"/>
    <cellStyle name="Total 2 3 7 4" xfId="21173"/>
    <cellStyle name="Total 2 3 7_Table" xfId="8563"/>
    <cellStyle name="Total 2 3 8" xfId="3362"/>
    <cellStyle name="Total 2 3 8 2" xfId="12690"/>
    <cellStyle name="Total 2 3 8 2 2" xfId="25996"/>
    <cellStyle name="Total 2 3 8 3" xfId="17100"/>
    <cellStyle name="Total 2 3 8 3 2" xfId="30406"/>
    <cellStyle name="Total 2 3 8 4" xfId="21586"/>
    <cellStyle name="Total 2 3 8_Table" xfId="8564"/>
    <cellStyle name="Total 2 3 9" xfId="3311"/>
    <cellStyle name="Total 2 3 9 2" xfId="12639"/>
    <cellStyle name="Total 2 3 9 2 2" xfId="25945"/>
    <cellStyle name="Total 2 3 9 3" xfId="17049"/>
    <cellStyle name="Total 2 3 9 3 2" xfId="30355"/>
    <cellStyle name="Total 2 3 9 4" xfId="21535"/>
    <cellStyle name="Total 2 3 9_Table" xfId="8565"/>
    <cellStyle name="Total 2 3_Table" xfId="8546"/>
    <cellStyle name="Total 2 4" xfId="562"/>
    <cellStyle name="Total 2 4 10" xfId="4208"/>
    <cellStyle name="Total 2 4 10 2" xfId="13536"/>
    <cellStyle name="Total 2 4 10 2 2" xfId="26842"/>
    <cellStyle name="Total 2 4 10 3" xfId="17946"/>
    <cellStyle name="Total 2 4 10 3 2" xfId="31252"/>
    <cellStyle name="Total 2 4 10 4" xfId="22432"/>
    <cellStyle name="Total 2 4 10_Table" xfId="8567"/>
    <cellStyle name="Total 2 4 11" xfId="4569"/>
    <cellStyle name="Total 2 4 11 2" xfId="13897"/>
    <cellStyle name="Total 2 4 11 2 2" xfId="27203"/>
    <cellStyle name="Total 2 4 11 3" xfId="18307"/>
    <cellStyle name="Total 2 4 11 3 2" xfId="31613"/>
    <cellStyle name="Total 2 4 11 4" xfId="22793"/>
    <cellStyle name="Total 2 4 11_Table" xfId="8568"/>
    <cellStyle name="Total 2 4 12" xfId="9890"/>
    <cellStyle name="Total 2 4 12 2" xfId="23243"/>
    <cellStyle name="Total 2 4 13" xfId="14347"/>
    <cellStyle name="Total 2 4 13 2" xfId="27653"/>
    <cellStyle name="Total 2 4 14" xfId="18833"/>
    <cellStyle name="Total 2 4 2" xfId="834"/>
    <cellStyle name="Total 2 4 2 10" xfId="4794"/>
    <cellStyle name="Total 2 4 2 10 2" xfId="14122"/>
    <cellStyle name="Total 2 4 2 10 2 2" xfId="27428"/>
    <cellStyle name="Total 2 4 2 10 3" xfId="18532"/>
    <cellStyle name="Total 2 4 2 10 3 2" xfId="31838"/>
    <cellStyle name="Total 2 4 2 10 4" xfId="23018"/>
    <cellStyle name="Total 2 4 2 10_Table" xfId="8570"/>
    <cellStyle name="Total 2 4 2 11" xfId="10162"/>
    <cellStyle name="Total 2 4 2 11 2" xfId="23468"/>
    <cellStyle name="Total 2 4 2 12" xfId="14572"/>
    <cellStyle name="Total 2 4 2 12 2" xfId="27878"/>
    <cellStyle name="Total 2 4 2 13" xfId="19058"/>
    <cellStyle name="Total 2 4 2 2" xfId="1620"/>
    <cellStyle name="Total 2 4 2 2 2" xfId="10948"/>
    <cellStyle name="Total 2 4 2 2 2 2" xfId="24254"/>
    <cellStyle name="Total 2 4 2 2 3" xfId="15358"/>
    <cellStyle name="Total 2 4 2 2 3 2" xfId="28664"/>
    <cellStyle name="Total 2 4 2 2 4" xfId="19844"/>
    <cellStyle name="Total 2 4 2 2_Table" xfId="8571"/>
    <cellStyle name="Total 2 4 2 3" xfId="1980"/>
    <cellStyle name="Total 2 4 2 3 2" xfId="11308"/>
    <cellStyle name="Total 2 4 2 3 2 2" xfId="24614"/>
    <cellStyle name="Total 2 4 2 3 3" xfId="15718"/>
    <cellStyle name="Total 2 4 2 3 3 2" xfId="29024"/>
    <cellStyle name="Total 2 4 2 3 4" xfId="20204"/>
    <cellStyle name="Total 2 4 2 3_Table" xfId="8572"/>
    <cellStyle name="Total 2 4 2 4" xfId="2410"/>
    <cellStyle name="Total 2 4 2 4 2" xfId="11738"/>
    <cellStyle name="Total 2 4 2 4 2 2" xfId="25044"/>
    <cellStyle name="Total 2 4 2 4 3" xfId="16148"/>
    <cellStyle name="Total 2 4 2 4 3 2" xfId="29454"/>
    <cellStyle name="Total 2 4 2 4 4" xfId="20634"/>
    <cellStyle name="Total 2 4 2 4_Table" xfId="8573"/>
    <cellStyle name="Total 2 4 2 5" xfId="2848"/>
    <cellStyle name="Total 2 4 2 5 2" xfId="12176"/>
    <cellStyle name="Total 2 4 2 5 2 2" xfId="25482"/>
    <cellStyle name="Total 2 4 2 5 3" xfId="16586"/>
    <cellStyle name="Total 2 4 2 5 3 2" xfId="29892"/>
    <cellStyle name="Total 2 4 2 5 4" xfId="21072"/>
    <cellStyle name="Total 2 4 2 5_Table" xfId="8574"/>
    <cellStyle name="Total 2 4 2 6" xfId="3255"/>
    <cellStyle name="Total 2 4 2 6 2" xfId="12583"/>
    <cellStyle name="Total 2 4 2 6 2 2" xfId="25889"/>
    <cellStyle name="Total 2 4 2 6 3" xfId="16993"/>
    <cellStyle name="Total 2 4 2 6 3 2" xfId="30299"/>
    <cellStyle name="Total 2 4 2 6 4" xfId="21479"/>
    <cellStyle name="Total 2 4 2 6_Table" xfId="8575"/>
    <cellStyle name="Total 2 4 2 7" xfId="3847"/>
    <cellStyle name="Total 2 4 2 7 2" xfId="13175"/>
    <cellStyle name="Total 2 4 2 7 2 2" xfId="26481"/>
    <cellStyle name="Total 2 4 2 7 3" xfId="17585"/>
    <cellStyle name="Total 2 4 2 7 3 2" xfId="30891"/>
    <cellStyle name="Total 2 4 2 7 4" xfId="22071"/>
    <cellStyle name="Total 2 4 2 7_Table" xfId="8576"/>
    <cellStyle name="Total 2 4 2 8" xfId="4072"/>
    <cellStyle name="Total 2 4 2 8 2" xfId="13400"/>
    <cellStyle name="Total 2 4 2 8 2 2" xfId="26706"/>
    <cellStyle name="Total 2 4 2 8 3" xfId="17810"/>
    <cellStyle name="Total 2 4 2 8 3 2" xfId="31116"/>
    <cellStyle name="Total 2 4 2 8 4" xfId="22296"/>
    <cellStyle name="Total 2 4 2 8_Table" xfId="8577"/>
    <cellStyle name="Total 2 4 2 9" xfId="4433"/>
    <cellStyle name="Total 2 4 2 9 2" xfId="13761"/>
    <cellStyle name="Total 2 4 2 9 2 2" xfId="27067"/>
    <cellStyle name="Total 2 4 2 9 3" xfId="18171"/>
    <cellStyle name="Total 2 4 2 9 3 2" xfId="31477"/>
    <cellStyle name="Total 2 4 2 9 4" xfId="22657"/>
    <cellStyle name="Total 2 4 2 9_Table" xfId="8578"/>
    <cellStyle name="Total 2 4 2_Table" xfId="8569"/>
    <cellStyle name="Total 2 4 3" xfId="1357"/>
    <cellStyle name="Total 2 4 3 2" xfId="10685"/>
    <cellStyle name="Total 2 4 3 2 2" xfId="23991"/>
    <cellStyle name="Total 2 4 3 3" xfId="15095"/>
    <cellStyle name="Total 2 4 3 3 2" xfId="28401"/>
    <cellStyle name="Total 2 4 3 4" xfId="19581"/>
    <cellStyle name="Total 2 4 3_Table" xfId="8579"/>
    <cellStyle name="Total 2 4 4" xfId="1714"/>
    <cellStyle name="Total 2 4 4 2" xfId="11042"/>
    <cellStyle name="Total 2 4 4 2 2" xfId="24348"/>
    <cellStyle name="Total 2 4 4 3" xfId="15452"/>
    <cellStyle name="Total 2 4 4 3 2" xfId="28758"/>
    <cellStyle name="Total 2 4 4 4" xfId="19938"/>
    <cellStyle name="Total 2 4 4_Table" xfId="8580"/>
    <cellStyle name="Total 2 4 5" xfId="2148"/>
    <cellStyle name="Total 2 4 5 2" xfId="11476"/>
    <cellStyle name="Total 2 4 5 2 2" xfId="24782"/>
    <cellStyle name="Total 2 4 5 3" xfId="15886"/>
    <cellStyle name="Total 2 4 5 3 2" xfId="29192"/>
    <cellStyle name="Total 2 4 5 4" xfId="20372"/>
    <cellStyle name="Total 2 4 5_Table" xfId="8581"/>
    <cellStyle name="Total 2 4 6" xfId="2580"/>
    <cellStyle name="Total 2 4 6 2" xfId="11908"/>
    <cellStyle name="Total 2 4 6 2 2" xfId="25214"/>
    <cellStyle name="Total 2 4 6 3" xfId="16318"/>
    <cellStyle name="Total 2 4 6 3 2" xfId="29624"/>
    <cellStyle name="Total 2 4 6 4" xfId="20804"/>
    <cellStyle name="Total 2 4 6_Table" xfId="8582"/>
    <cellStyle name="Total 2 4 7" xfId="3006"/>
    <cellStyle name="Total 2 4 7 2" xfId="12334"/>
    <cellStyle name="Total 2 4 7 2 2" xfId="25640"/>
    <cellStyle name="Total 2 4 7 3" xfId="16744"/>
    <cellStyle name="Total 2 4 7 3 2" xfId="30050"/>
    <cellStyle name="Total 2 4 7 4" xfId="21230"/>
    <cellStyle name="Total 2 4 7_Table" xfId="8583"/>
    <cellStyle name="Total 2 4 8" xfId="3420"/>
    <cellStyle name="Total 2 4 8 2" xfId="12748"/>
    <cellStyle name="Total 2 4 8 2 2" xfId="26054"/>
    <cellStyle name="Total 2 4 8 3" xfId="17158"/>
    <cellStyle name="Total 2 4 8 3 2" xfId="30464"/>
    <cellStyle name="Total 2 4 8 4" xfId="21644"/>
    <cellStyle name="Total 2 4 8_Table" xfId="8584"/>
    <cellStyle name="Total 2 4 9" xfId="3598"/>
    <cellStyle name="Total 2 4 9 2" xfId="12926"/>
    <cellStyle name="Total 2 4 9 2 2" xfId="26232"/>
    <cellStyle name="Total 2 4 9 3" xfId="17336"/>
    <cellStyle name="Total 2 4 9 3 2" xfId="30642"/>
    <cellStyle name="Total 2 4 9 4" xfId="21822"/>
    <cellStyle name="Total 2 4 9_Table" xfId="8585"/>
    <cellStyle name="Total 2 4_Table" xfId="8566"/>
    <cellStyle name="Total 2 5" xfId="637"/>
    <cellStyle name="Total 2 5 10" xfId="4253"/>
    <cellStyle name="Total 2 5 10 2" xfId="13581"/>
    <cellStyle name="Total 2 5 10 2 2" xfId="26887"/>
    <cellStyle name="Total 2 5 10 3" xfId="17991"/>
    <cellStyle name="Total 2 5 10 3 2" xfId="31297"/>
    <cellStyle name="Total 2 5 10 4" xfId="22477"/>
    <cellStyle name="Total 2 5 10_Table" xfId="8587"/>
    <cellStyle name="Total 2 5 11" xfId="4614"/>
    <cellStyle name="Total 2 5 11 2" xfId="13942"/>
    <cellStyle name="Total 2 5 11 2 2" xfId="27248"/>
    <cellStyle name="Total 2 5 11 3" xfId="18352"/>
    <cellStyle name="Total 2 5 11 3 2" xfId="31658"/>
    <cellStyle name="Total 2 5 11 4" xfId="22838"/>
    <cellStyle name="Total 2 5 11_Table" xfId="8588"/>
    <cellStyle name="Total 2 5 12" xfId="9965"/>
    <cellStyle name="Total 2 5 12 2" xfId="23288"/>
    <cellStyle name="Total 2 5 13" xfId="14392"/>
    <cellStyle name="Total 2 5 13 2" xfId="27698"/>
    <cellStyle name="Total 2 5 14" xfId="18878"/>
    <cellStyle name="Total 2 5 2" xfId="879"/>
    <cellStyle name="Total 2 5 2 10" xfId="4839"/>
    <cellStyle name="Total 2 5 2 10 2" xfId="14167"/>
    <cellStyle name="Total 2 5 2 10 2 2" xfId="27473"/>
    <cellStyle name="Total 2 5 2 10 3" xfId="18577"/>
    <cellStyle name="Total 2 5 2 10 3 2" xfId="31883"/>
    <cellStyle name="Total 2 5 2 10 4" xfId="23063"/>
    <cellStyle name="Total 2 5 2 10_Table" xfId="8590"/>
    <cellStyle name="Total 2 5 2 11" xfId="10207"/>
    <cellStyle name="Total 2 5 2 11 2" xfId="23513"/>
    <cellStyle name="Total 2 5 2 12" xfId="14617"/>
    <cellStyle name="Total 2 5 2 12 2" xfId="27923"/>
    <cellStyle name="Total 2 5 2 13" xfId="19103"/>
    <cellStyle name="Total 2 5 2 2" xfId="1665"/>
    <cellStyle name="Total 2 5 2 2 2" xfId="10993"/>
    <cellStyle name="Total 2 5 2 2 2 2" xfId="24299"/>
    <cellStyle name="Total 2 5 2 2 3" xfId="15403"/>
    <cellStyle name="Total 2 5 2 2 3 2" xfId="28709"/>
    <cellStyle name="Total 2 5 2 2 4" xfId="19889"/>
    <cellStyle name="Total 2 5 2 2_Table" xfId="8591"/>
    <cellStyle name="Total 2 5 2 3" xfId="2025"/>
    <cellStyle name="Total 2 5 2 3 2" xfId="11353"/>
    <cellStyle name="Total 2 5 2 3 2 2" xfId="24659"/>
    <cellStyle name="Total 2 5 2 3 3" xfId="15763"/>
    <cellStyle name="Total 2 5 2 3 3 2" xfId="29069"/>
    <cellStyle name="Total 2 5 2 3 4" xfId="20249"/>
    <cellStyle name="Total 2 5 2 3_Table" xfId="8592"/>
    <cellStyle name="Total 2 5 2 4" xfId="2455"/>
    <cellStyle name="Total 2 5 2 4 2" xfId="11783"/>
    <cellStyle name="Total 2 5 2 4 2 2" xfId="25089"/>
    <cellStyle name="Total 2 5 2 4 3" xfId="16193"/>
    <cellStyle name="Total 2 5 2 4 3 2" xfId="29499"/>
    <cellStyle name="Total 2 5 2 4 4" xfId="20679"/>
    <cellStyle name="Total 2 5 2 4_Table" xfId="8593"/>
    <cellStyle name="Total 2 5 2 5" xfId="2893"/>
    <cellStyle name="Total 2 5 2 5 2" xfId="12221"/>
    <cellStyle name="Total 2 5 2 5 2 2" xfId="25527"/>
    <cellStyle name="Total 2 5 2 5 3" xfId="16631"/>
    <cellStyle name="Total 2 5 2 5 3 2" xfId="29937"/>
    <cellStyle name="Total 2 5 2 5 4" xfId="21117"/>
    <cellStyle name="Total 2 5 2 5_Table" xfId="8594"/>
    <cellStyle name="Total 2 5 2 6" xfId="3300"/>
    <cellStyle name="Total 2 5 2 6 2" xfId="12628"/>
    <cellStyle name="Total 2 5 2 6 2 2" xfId="25934"/>
    <cellStyle name="Total 2 5 2 6 3" xfId="17038"/>
    <cellStyle name="Total 2 5 2 6 3 2" xfId="30344"/>
    <cellStyle name="Total 2 5 2 6 4" xfId="21524"/>
    <cellStyle name="Total 2 5 2 6_Table" xfId="8595"/>
    <cellStyle name="Total 2 5 2 7" xfId="3892"/>
    <cellStyle name="Total 2 5 2 7 2" xfId="13220"/>
    <cellStyle name="Total 2 5 2 7 2 2" xfId="26526"/>
    <cellStyle name="Total 2 5 2 7 3" xfId="17630"/>
    <cellStyle name="Total 2 5 2 7 3 2" xfId="30936"/>
    <cellStyle name="Total 2 5 2 7 4" xfId="22116"/>
    <cellStyle name="Total 2 5 2 7_Table" xfId="8596"/>
    <cellStyle name="Total 2 5 2 8" xfId="4117"/>
    <cellStyle name="Total 2 5 2 8 2" xfId="13445"/>
    <cellStyle name="Total 2 5 2 8 2 2" xfId="26751"/>
    <cellStyle name="Total 2 5 2 8 3" xfId="17855"/>
    <cellStyle name="Total 2 5 2 8 3 2" xfId="31161"/>
    <cellStyle name="Total 2 5 2 8 4" xfId="22341"/>
    <cellStyle name="Total 2 5 2 8_Table" xfId="8597"/>
    <cellStyle name="Total 2 5 2 9" xfId="4478"/>
    <cellStyle name="Total 2 5 2 9 2" xfId="13806"/>
    <cellStyle name="Total 2 5 2 9 2 2" xfId="27112"/>
    <cellStyle name="Total 2 5 2 9 3" xfId="18216"/>
    <cellStyle name="Total 2 5 2 9 3 2" xfId="31522"/>
    <cellStyle name="Total 2 5 2 9 4" xfId="22702"/>
    <cellStyle name="Total 2 5 2 9_Table" xfId="8598"/>
    <cellStyle name="Total 2 5 2_Table" xfId="8589"/>
    <cellStyle name="Total 2 5 3" xfId="1424"/>
    <cellStyle name="Total 2 5 3 2" xfId="10752"/>
    <cellStyle name="Total 2 5 3 2 2" xfId="24058"/>
    <cellStyle name="Total 2 5 3 3" xfId="15162"/>
    <cellStyle name="Total 2 5 3 3 2" xfId="28468"/>
    <cellStyle name="Total 2 5 3 4" xfId="19648"/>
    <cellStyle name="Total 2 5 3_Table" xfId="8599"/>
    <cellStyle name="Total 2 5 4" xfId="1784"/>
    <cellStyle name="Total 2 5 4 2" xfId="11112"/>
    <cellStyle name="Total 2 5 4 2 2" xfId="24418"/>
    <cellStyle name="Total 2 5 4 3" xfId="15522"/>
    <cellStyle name="Total 2 5 4 3 2" xfId="28828"/>
    <cellStyle name="Total 2 5 4 4" xfId="20008"/>
    <cellStyle name="Total 2 5 4_Table" xfId="8600"/>
    <cellStyle name="Total 2 5 5" xfId="2217"/>
    <cellStyle name="Total 2 5 5 2" xfId="11545"/>
    <cellStyle name="Total 2 5 5 2 2" xfId="24851"/>
    <cellStyle name="Total 2 5 5 3" xfId="15955"/>
    <cellStyle name="Total 2 5 5 3 2" xfId="29261"/>
    <cellStyle name="Total 2 5 5 4" xfId="20441"/>
    <cellStyle name="Total 2 5 5_Table" xfId="8601"/>
    <cellStyle name="Total 2 5 6" xfId="2652"/>
    <cellStyle name="Total 2 5 6 2" xfId="11980"/>
    <cellStyle name="Total 2 5 6 2 2" xfId="25286"/>
    <cellStyle name="Total 2 5 6 3" xfId="16390"/>
    <cellStyle name="Total 2 5 6 3 2" xfId="29696"/>
    <cellStyle name="Total 2 5 6 4" xfId="20876"/>
    <cellStyle name="Total 2 5 6_Table" xfId="8602"/>
    <cellStyle name="Total 2 5 7" xfId="3065"/>
    <cellStyle name="Total 2 5 7 2" xfId="12393"/>
    <cellStyle name="Total 2 5 7 2 2" xfId="25699"/>
    <cellStyle name="Total 2 5 7 3" xfId="16803"/>
    <cellStyle name="Total 2 5 7 3 2" xfId="30109"/>
    <cellStyle name="Total 2 5 7 4" xfId="21289"/>
    <cellStyle name="Total 2 5 7_Table" xfId="8603"/>
    <cellStyle name="Total 2 5 8" xfId="3491"/>
    <cellStyle name="Total 2 5 8 2" xfId="12819"/>
    <cellStyle name="Total 2 5 8 2 2" xfId="26125"/>
    <cellStyle name="Total 2 5 8 3" xfId="17229"/>
    <cellStyle name="Total 2 5 8 3 2" xfId="30535"/>
    <cellStyle name="Total 2 5 8 4" xfId="21715"/>
    <cellStyle name="Total 2 5 8_Table" xfId="8604"/>
    <cellStyle name="Total 2 5 9" xfId="3608"/>
    <cellStyle name="Total 2 5 9 2" xfId="12936"/>
    <cellStyle name="Total 2 5 9 2 2" xfId="26242"/>
    <cellStyle name="Total 2 5 9 3" xfId="17346"/>
    <cellStyle name="Total 2 5 9 3 2" xfId="30652"/>
    <cellStyle name="Total 2 5 9 4" xfId="21832"/>
    <cellStyle name="Total 2 5 9_Table" xfId="8605"/>
    <cellStyle name="Total 2 5_Table" xfId="8586"/>
    <cellStyle name="Total 2 6" xfId="699"/>
    <cellStyle name="Total 2 6 10" xfId="4659"/>
    <cellStyle name="Total 2 6 10 2" xfId="13987"/>
    <cellStyle name="Total 2 6 10 2 2" xfId="27293"/>
    <cellStyle name="Total 2 6 10 3" xfId="18397"/>
    <cellStyle name="Total 2 6 10 3 2" xfId="31703"/>
    <cellStyle name="Total 2 6 10 4" xfId="22883"/>
    <cellStyle name="Total 2 6 10_Table" xfId="8607"/>
    <cellStyle name="Total 2 6 11" xfId="10027"/>
    <cellStyle name="Total 2 6 11 2" xfId="23333"/>
    <cellStyle name="Total 2 6 12" xfId="14437"/>
    <cellStyle name="Total 2 6 12 2" xfId="27743"/>
    <cellStyle name="Total 2 6 13" xfId="18923"/>
    <cellStyle name="Total 2 6 2" xfId="1485"/>
    <cellStyle name="Total 2 6 2 2" xfId="10813"/>
    <cellStyle name="Total 2 6 2 2 2" xfId="24119"/>
    <cellStyle name="Total 2 6 2 3" xfId="15223"/>
    <cellStyle name="Total 2 6 2 3 2" xfId="28529"/>
    <cellStyle name="Total 2 6 2 4" xfId="19709"/>
    <cellStyle name="Total 2 6 2_Table" xfId="8608"/>
    <cellStyle name="Total 2 6 3" xfId="1845"/>
    <cellStyle name="Total 2 6 3 2" xfId="11173"/>
    <cellStyle name="Total 2 6 3 2 2" xfId="24479"/>
    <cellStyle name="Total 2 6 3 3" xfId="15583"/>
    <cellStyle name="Total 2 6 3 3 2" xfId="28889"/>
    <cellStyle name="Total 2 6 3 4" xfId="20069"/>
    <cellStyle name="Total 2 6 3_Table" xfId="8609"/>
    <cellStyle name="Total 2 6 4" xfId="2275"/>
    <cellStyle name="Total 2 6 4 2" xfId="11603"/>
    <cellStyle name="Total 2 6 4 2 2" xfId="24909"/>
    <cellStyle name="Total 2 6 4 3" xfId="16013"/>
    <cellStyle name="Total 2 6 4 3 2" xfId="29319"/>
    <cellStyle name="Total 2 6 4 4" xfId="20499"/>
    <cellStyle name="Total 2 6 4_Table" xfId="8610"/>
    <cellStyle name="Total 2 6 5" xfId="2713"/>
    <cellStyle name="Total 2 6 5 2" xfId="12041"/>
    <cellStyle name="Total 2 6 5 2 2" xfId="25347"/>
    <cellStyle name="Total 2 6 5 3" xfId="16451"/>
    <cellStyle name="Total 2 6 5 3 2" xfId="29757"/>
    <cellStyle name="Total 2 6 5 4" xfId="20937"/>
    <cellStyle name="Total 2 6 5_Table" xfId="8611"/>
    <cellStyle name="Total 2 6 6" xfId="3120"/>
    <cellStyle name="Total 2 6 6 2" xfId="12448"/>
    <cellStyle name="Total 2 6 6 2 2" xfId="25754"/>
    <cellStyle name="Total 2 6 6 3" xfId="16858"/>
    <cellStyle name="Total 2 6 6 3 2" xfId="30164"/>
    <cellStyle name="Total 2 6 6 4" xfId="21344"/>
    <cellStyle name="Total 2 6 6_Table" xfId="8612"/>
    <cellStyle name="Total 2 6 7" xfId="3712"/>
    <cellStyle name="Total 2 6 7 2" xfId="13040"/>
    <cellStyle name="Total 2 6 7 2 2" xfId="26346"/>
    <cellStyle name="Total 2 6 7 3" xfId="17450"/>
    <cellStyle name="Total 2 6 7 3 2" xfId="30756"/>
    <cellStyle name="Total 2 6 7 4" xfId="21936"/>
    <cellStyle name="Total 2 6 7_Table" xfId="8613"/>
    <cellStyle name="Total 2 6 8" xfId="3937"/>
    <cellStyle name="Total 2 6 8 2" xfId="13265"/>
    <cellStyle name="Total 2 6 8 2 2" xfId="26571"/>
    <cellStyle name="Total 2 6 8 3" xfId="17675"/>
    <cellStyle name="Total 2 6 8 3 2" xfId="30981"/>
    <cellStyle name="Total 2 6 8 4" xfId="22161"/>
    <cellStyle name="Total 2 6 8_Table" xfId="8614"/>
    <cellStyle name="Total 2 6 9" xfId="4298"/>
    <cellStyle name="Total 2 6 9 2" xfId="13626"/>
    <cellStyle name="Total 2 6 9 2 2" xfId="26932"/>
    <cellStyle name="Total 2 6 9 3" xfId="18036"/>
    <cellStyle name="Total 2 6 9 3 2" xfId="31342"/>
    <cellStyle name="Total 2 6 9 4" xfId="22522"/>
    <cellStyle name="Total 2 6 9_Table" xfId="8615"/>
    <cellStyle name="Total 2 6_Table" xfId="8606"/>
    <cellStyle name="Total 2 7" xfId="1200"/>
    <cellStyle name="Total 2 7 2" xfId="10528"/>
    <cellStyle name="Total 2 7 2 2" xfId="23834"/>
    <cellStyle name="Total 2 7 3" xfId="14938"/>
    <cellStyle name="Total 2 7 3 2" xfId="28244"/>
    <cellStyle name="Total 2 7 4" xfId="19424"/>
    <cellStyle name="Total 2 7_Table" xfId="8616"/>
    <cellStyle name="Total 2 8" xfId="1042"/>
    <cellStyle name="Total 2 8 2" xfId="10370"/>
    <cellStyle name="Total 2 8 2 2" xfId="23676"/>
    <cellStyle name="Total 2 8 3" xfId="14780"/>
    <cellStyle name="Total 2 8 3 2" xfId="28086"/>
    <cellStyle name="Total 2 8 4" xfId="19266"/>
    <cellStyle name="Total 2 8_Table" xfId="8617"/>
    <cellStyle name="Total 2 9" xfId="1169"/>
    <cellStyle name="Total 2 9 2" xfId="10497"/>
    <cellStyle name="Total 2 9 2 2" xfId="23803"/>
    <cellStyle name="Total 2 9 3" xfId="14907"/>
    <cellStyle name="Total 2 9 3 2" xfId="28213"/>
    <cellStyle name="Total 2 9 4" xfId="19393"/>
    <cellStyle name="Total 2 9_Table" xfId="8618"/>
    <cellStyle name="Total 2_Table" xfId="8519"/>
    <cellStyle name="Total 3" xfId="369"/>
    <cellStyle name="Total 3 10" xfId="897"/>
    <cellStyle name="Total 3 10 2" xfId="10225"/>
    <cellStyle name="Total 3 10 2 2" xfId="23531"/>
    <cellStyle name="Total 3 10 3" xfId="14635"/>
    <cellStyle name="Total 3 10 3 2" xfId="27941"/>
    <cellStyle name="Total 3 10 4" xfId="19121"/>
    <cellStyle name="Total 3 10_Table" xfId="8620"/>
    <cellStyle name="Total 3 11" xfId="2105"/>
    <cellStyle name="Total 3 11 2" xfId="11433"/>
    <cellStyle name="Total 3 11 2 2" xfId="24739"/>
    <cellStyle name="Total 3 11 3" xfId="15843"/>
    <cellStyle name="Total 3 11 3 2" xfId="29149"/>
    <cellStyle name="Total 3 11 4" xfId="20329"/>
    <cellStyle name="Total 3 11_Table" xfId="8621"/>
    <cellStyle name="Total 3 12" xfId="2537"/>
    <cellStyle name="Total 3 12 2" xfId="11865"/>
    <cellStyle name="Total 3 12 2 2" xfId="25171"/>
    <cellStyle name="Total 3 12 3" xfId="16275"/>
    <cellStyle name="Total 3 12 3 2" xfId="29581"/>
    <cellStyle name="Total 3 12 4" xfId="20761"/>
    <cellStyle name="Total 3 12_Table" xfId="8622"/>
    <cellStyle name="Total 3 13" xfId="2603"/>
    <cellStyle name="Total 3 13 2" xfId="11931"/>
    <cellStyle name="Total 3 13 2 2" xfId="25237"/>
    <cellStyle name="Total 3 13 3" xfId="16341"/>
    <cellStyle name="Total 3 13 3 2" xfId="29647"/>
    <cellStyle name="Total 3 13 4" xfId="20827"/>
    <cellStyle name="Total 3 13_Table" xfId="8623"/>
    <cellStyle name="Total 3 14" xfId="3020"/>
    <cellStyle name="Total 3 14 2" xfId="12348"/>
    <cellStyle name="Total 3 14 2 2" xfId="25654"/>
    <cellStyle name="Total 3 14 3" xfId="16758"/>
    <cellStyle name="Total 3 14 3 2" xfId="30064"/>
    <cellStyle name="Total 3 14 4" xfId="21244"/>
    <cellStyle name="Total 3 14_Table" xfId="8624"/>
    <cellStyle name="Total 3 15" xfId="3590"/>
    <cellStyle name="Total 3 15 2" xfId="12918"/>
    <cellStyle name="Total 3 15 2 2" xfId="26224"/>
    <cellStyle name="Total 3 15 3" xfId="17328"/>
    <cellStyle name="Total 3 15 3 2" xfId="30634"/>
    <cellStyle name="Total 3 15 4" xfId="21814"/>
    <cellStyle name="Total 3 15_Table" xfId="8625"/>
    <cellStyle name="Total 3 16" xfId="9697"/>
    <cellStyle name="Total 3 16 2" xfId="23109"/>
    <cellStyle name="Total 3 17" xfId="14213"/>
    <cellStyle name="Total 3 17 2" xfId="27519"/>
    <cellStyle name="Total 3 18" xfId="18699"/>
    <cellStyle name="Total 3 2" xfId="431"/>
    <cellStyle name="Total 3 2 10" xfId="1216"/>
    <cellStyle name="Total 3 2 10 2" xfId="10544"/>
    <cellStyle name="Total 3 2 10 2 2" xfId="23850"/>
    <cellStyle name="Total 3 2 10 3" xfId="14954"/>
    <cellStyle name="Total 3 2 10 3 2" xfId="28260"/>
    <cellStyle name="Total 3 2 10 4" xfId="19440"/>
    <cellStyle name="Total 3 2 10_Table" xfId="8627"/>
    <cellStyle name="Total 3 2 11" xfId="2471"/>
    <cellStyle name="Total 3 2 11 2" xfId="11799"/>
    <cellStyle name="Total 3 2 11 2 2" xfId="25105"/>
    <cellStyle name="Total 3 2 11 3" xfId="16209"/>
    <cellStyle name="Total 3 2 11 3 2" xfId="29515"/>
    <cellStyle name="Total 3 2 11 4" xfId="20695"/>
    <cellStyle name="Total 3 2 11_Table" xfId="8628"/>
    <cellStyle name="Total 3 2 12" xfId="9759"/>
    <cellStyle name="Total 3 2 12 2" xfId="23154"/>
    <cellStyle name="Total 3 2 13" xfId="14258"/>
    <cellStyle name="Total 3 2 13 2" xfId="27564"/>
    <cellStyle name="Total 3 2 14" xfId="18744"/>
    <cellStyle name="Total 3 2 2" xfId="745"/>
    <cellStyle name="Total 3 2 2 10" xfId="4705"/>
    <cellStyle name="Total 3 2 2 10 2" xfId="14033"/>
    <cellStyle name="Total 3 2 2 10 2 2" xfId="27339"/>
    <cellStyle name="Total 3 2 2 10 3" xfId="18443"/>
    <cellStyle name="Total 3 2 2 10 3 2" xfId="31749"/>
    <cellStyle name="Total 3 2 2 10 4" xfId="22929"/>
    <cellStyle name="Total 3 2 2 10_Table" xfId="8630"/>
    <cellStyle name="Total 3 2 2 11" xfId="10073"/>
    <cellStyle name="Total 3 2 2 11 2" xfId="23379"/>
    <cellStyle name="Total 3 2 2 12" xfId="14483"/>
    <cellStyle name="Total 3 2 2 12 2" xfId="27789"/>
    <cellStyle name="Total 3 2 2 13" xfId="18969"/>
    <cellStyle name="Total 3 2 2 2" xfId="1531"/>
    <cellStyle name="Total 3 2 2 2 2" xfId="10859"/>
    <cellStyle name="Total 3 2 2 2 2 2" xfId="24165"/>
    <cellStyle name="Total 3 2 2 2 3" xfId="15269"/>
    <cellStyle name="Total 3 2 2 2 3 2" xfId="28575"/>
    <cellStyle name="Total 3 2 2 2 4" xfId="19755"/>
    <cellStyle name="Total 3 2 2 2_Table" xfId="8631"/>
    <cellStyle name="Total 3 2 2 3" xfId="1891"/>
    <cellStyle name="Total 3 2 2 3 2" xfId="11219"/>
    <cellStyle name="Total 3 2 2 3 2 2" xfId="24525"/>
    <cellStyle name="Total 3 2 2 3 3" xfId="15629"/>
    <cellStyle name="Total 3 2 2 3 3 2" xfId="28935"/>
    <cellStyle name="Total 3 2 2 3 4" xfId="20115"/>
    <cellStyle name="Total 3 2 2 3_Table" xfId="8632"/>
    <cellStyle name="Total 3 2 2 4" xfId="2321"/>
    <cellStyle name="Total 3 2 2 4 2" xfId="11649"/>
    <cellStyle name="Total 3 2 2 4 2 2" xfId="24955"/>
    <cellStyle name="Total 3 2 2 4 3" xfId="16059"/>
    <cellStyle name="Total 3 2 2 4 3 2" xfId="29365"/>
    <cellStyle name="Total 3 2 2 4 4" xfId="20545"/>
    <cellStyle name="Total 3 2 2 4_Table" xfId="8633"/>
    <cellStyle name="Total 3 2 2 5" xfId="2759"/>
    <cellStyle name="Total 3 2 2 5 2" xfId="12087"/>
    <cellStyle name="Total 3 2 2 5 2 2" xfId="25393"/>
    <cellStyle name="Total 3 2 2 5 3" xfId="16497"/>
    <cellStyle name="Total 3 2 2 5 3 2" xfId="29803"/>
    <cellStyle name="Total 3 2 2 5 4" xfId="20983"/>
    <cellStyle name="Total 3 2 2 5_Table" xfId="8634"/>
    <cellStyle name="Total 3 2 2 6" xfId="3166"/>
    <cellStyle name="Total 3 2 2 6 2" xfId="12494"/>
    <cellStyle name="Total 3 2 2 6 2 2" xfId="25800"/>
    <cellStyle name="Total 3 2 2 6 3" xfId="16904"/>
    <cellStyle name="Total 3 2 2 6 3 2" xfId="30210"/>
    <cellStyle name="Total 3 2 2 6 4" xfId="21390"/>
    <cellStyle name="Total 3 2 2 6_Table" xfId="8635"/>
    <cellStyle name="Total 3 2 2 7" xfId="3758"/>
    <cellStyle name="Total 3 2 2 7 2" xfId="13086"/>
    <cellStyle name="Total 3 2 2 7 2 2" xfId="26392"/>
    <cellStyle name="Total 3 2 2 7 3" xfId="17496"/>
    <cellStyle name="Total 3 2 2 7 3 2" xfId="30802"/>
    <cellStyle name="Total 3 2 2 7 4" xfId="21982"/>
    <cellStyle name="Total 3 2 2 7_Table" xfId="8636"/>
    <cellStyle name="Total 3 2 2 8" xfId="3983"/>
    <cellStyle name="Total 3 2 2 8 2" xfId="13311"/>
    <cellStyle name="Total 3 2 2 8 2 2" xfId="26617"/>
    <cellStyle name="Total 3 2 2 8 3" xfId="17721"/>
    <cellStyle name="Total 3 2 2 8 3 2" xfId="31027"/>
    <cellStyle name="Total 3 2 2 8 4" xfId="22207"/>
    <cellStyle name="Total 3 2 2 8_Table" xfId="8637"/>
    <cellStyle name="Total 3 2 2 9" xfId="4344"/>
    <cellStyle name="Total 3 2 2 9 2" xfId="13672"/>
    <cellStyle name="Total 3 2 2 9 2 2" xfId="26978"/>
    <cellStyle name="Total 3 2 2 9 3" xfId="18082"/>
    <cellStyle name="Total 3 2 2 9 3 2" xfId="31388"/>
    <cellStyle name="Total 3 2 2 9 4" xfId="22568"/>
    <cellStyle name="Total 3 2 2 9_Table" xfId="8638"/>
    <cellStyle name="Total 3 2 2_Table" xfId="8629"/>
    <cellStyle name="Total 3 2 3" xfId="1245"/>
    <cellStyle name="Total 3 2 3 2" xfId="10573"/>
    <cellStyle name="Total 3 2 3 2 2" xfId="23879"/>
    <cellStyle name="Total 3 2 3 3" xfId="14983"/>
    <cellStyle name="Total 3 2 3 3 2" xfId="28289"/>
    <cellStyle name="Total 3 2 3 4" xfId="19469"/>
    <cellStyle name="Total 3 2 3_Table" xfId="8639"/>
    <cellStyle name="Total 3 2 4" xfId="981"/>
    <cellStyle name="Total 3 2 4 2" xfId="10309"/>
    <cellStyle name="Total 3 2 4 2 2" xfId="23615"/>
    <cellStyle name="Total 3 2 4 3" xfId="14719"/>
    <cellStyle name="Total 3 2 4 3 2" xfId="28025"/>
    <cellStyle name="Total 3 2 4 4" xfId="19205"/>
    <cellStyle name="Total 3 2 4_Table" xfId="8640"/>
    <cellStyle name="Total 3 2 5" xfId="1214"/>
    <cellStyle name="Total 3 2 5 2" xfId="10542"/>
    <cellStyle name="Total 3 2 5 2 2" xfId="23848"/>
    <cellStyle name="Total 3 2 5 3" xfId="14952"/>
    <cellStyle name="Total 3 2 5 3 2" xfId="28258"/>
    <cellStyle name="Total 3 2 5 4" xfId="19438"/>
    <cellStyle name="Total 3 2 5_Table" xfId="8641"/>
    <cellStyle name="Total 3 2 6" xfId="1048"/>
    <cellStyle name="Total 3 2 6 2" xfId="10376"/>
    <cellStyle name="Total 3 2 6 2 2" xfId="23682"/>
    <cellStyle name="Total 3 2 6 3" xfId="14786"/>
    <cellStyle name="Total 3 2 6 3 2" xfId="28092"/>
    <cellStyle name="Total 3 2 6 4" xfId="19272"/>
    <cellStyle name="Total 3 2 6_Table" xfId="8642"/>
    <cellStyle name="Total 3 2 7" xfId="1375"/>
    <cellStyle name="Total 3 2 7 2" xfId="10703"/>
    <cellStyle name="Total 3 2 7 2 2" xfId="24009"/>
    <cellStyle name="Total 3 2 7 3" xfId="15113"/>
    <cellStyle name="Total 3 2 7 3 2" xfId="28419"/>
    <cellStyle name="Total 3 2 7 4" xfId="19599"/>
    <cellStyle name="Total 3 2 7_Table" xfId="8643"/>
    <cellStyle name="Total 3 2 8" xfId="973"/>
    <cellStyle name="Total 3 2 8 2" xfId="10301"/>
    <cellStyle name="Total 3 2 8 2 2" xfId="23607"/>
    <cellStyle name="Total 3 2 8 3" xfId="14711"/>
    <cellStyle name="Total 3 2 8 3 2" xfId="28017"/>
    <cellStyle name="Total 3 2 8 4" xfId="19197"/>
    <cellStyle name="Total 3 2 8_Table" xfId="8644"/>
    <cellStyle name="Total 3 2 9" xfId="2050"/>
    <cellStyle name="Total 3 2 9 2" xfId="11378"/>
    <cellStyle name="Total 3 2 9 2 2" xfId="24684"/>
    <cellStyle name="Total 3 2 9 3" xfId="15788"/>
    <cellStyle name="Total 3 2 9 3 2" xfId="29094"/>
    <cellStyle name="Total 3 2 9 4" xfId="20274"/>
    <cellStyle name="Total 3 2 9_Table" xfId="8645"/>
    <cellStyle name="Total 3 2_Table" xfId="8626"/>
    <cellStyle name="Total 3 3" xfId="499"/>
    <cellStyle name="Total 3 3 10" xfId="4164"/>
    <cellStyle name="Total 3 3 10 2" xfId="13492"/>
    <cellStyle name="Total 3 3 10 2 2" xfId="26798"/>
    <cellStyle name="Total 3 3 10 3" xfId="17902"/>
    <cellStyle name="Total 3 3 10 3 2" xfId="31208"/>
    <cellStyle name="Total 3 3 10 4" xfId="22388"/>
    <cellStyle name="Total 3 3 10_Table" xfId="8647"/>
    <cellStyle name="Total 3 3 11" xfId="4525"/>
    <cellStyle name="Total 3 3 11 2" xfId="13853"/>
    <cellStyle name="Total 3 3 11 2 2" xfId="27159"/>
    <cellStyle name="Total 3 3 11 3" xfId="18263"/>
    <cellStyle name="Total 3 3 11 3 2" xfId="31569"/>
    <cellStyle name="Total 3 3 11 4" xfId="22749"/>
    <cellStyle name="Total 3 3 11_Table" xfId="8648"/>
    <cellStyle name="Total 3 3 12" xfId="9827"/>
    <cellStyle name="Total 3 3 12 2" xfId="23199"/>
    <cellStyle name="Total 3 3 13" xfId="14303"/>
    <cellStyle name="Total 3 3 13 2" xfId="27609"/>
    <cellStyle name="Total 3 3 14" xfId="18789"/>
    <cellStyle name="Total 3 3 2" xfId="790"/>
    <cellStyle name="Total 3 3 2 10" xfId="4750"/>
    <cellStyle name="Total 3 3 2 10 2" xfId="14078"/>
    <cellStyle name="Total 3 3 2 10 2 2" xfId="27384"/>
    <cellStyle name="Total 3 3 2 10 3" xfId="18488"/>
    <cellStyle name="Total 3 3 2 10 3 2" xfId="31794"/>
    <cellStyle name="Total 3 3 2 10 4" xfId="22974"/>
    <cellStyle name="Total 3 3 2 10_Table" xfId="8650"/>
    <cellStyle name="Total 3 3 2 11" xfId="10118"/>
    <cellStyle name="Total 3 3 2 11 2" xfId="23424"/>
    <cellStyle name="Total 3 3 2 12" xfId="14528"/>
    <cellStyle name="Total 3 3 2 12 2" xfId="27834"/>
    <cellStyle name="Total 3 3 2 13" xfId="19014"/>
    <cellStyle name="Total 3 3 2 2" xfId="1576"/>
    <cellStyle name="Total 3 3 2 2 2" xfId="10904"/>
    <cellStyle name="Total 3 3 2 2 2 2" xfId="24210"/>
    <cellStyle name="Total 3 3 2 2 3" xfId="15314"/>
    <cellStyle name="Total 3 3 2 2 3 2" xfId="28620"/>
    <cellStyle name="Total 3 3 2 2 4" xfId="19800"/>
    <cellStyle name="Total 3 3 2 2_Table" xfId="8651"/>
    <cellStyle name="Total 3 3 2 3" xfId="1936"/>
    <cellStyle name="Total 3 3 2 3 2" xfId="11264"/>
    <cellStyle name="Total 3 3 2 3 2 2" xfId="24570"/>
    <cellStyle name="Total 3 3 2 3 3" xfId="15674"/>
    <cellStyle name="Total 3 3 2 3 3 2" xfId="28980"/>
    <cellStyle name="Total 3 3 2 3 4" xfId="20160"/>
    <cellStyle name="Total 3 3 2 3_Table" xfId="8652"/>
    <cellStyle name="Total 3 3 2 4" xfId="2366"/>
    <cellStyle name="Total 3 3 2 4 2" xfId="11694"/>
    <cellStyle name="Total 3 3 2 4 2 2" xfId="25000"/>
    <cellStyle name="Total 3 3 2 4 3" xfId="16104"/>
    <cellStyle name="Total 3 3 2 4 3 2" xfId="29410"/>
    <cellStyle name="Total 3 3 2 4 4" xfId="20590"/>
    <cellStyle name="Total 3 3 2 4_Table" xfId="8653"/>
    <cellStyle name="Total 3 3 2 5" xfId="2804"/>
    <cellStyle name="Total 3 3 2 5 2" xfId="12132"/>
    <cellStyle name="Total 3 3 2 5 2 2" xfId="25438"/>
    <cellStyle name="Total 3 3 2 5 3" xfId="16542"/>
    <cellStyle name="Total 3 3 2 5 3 2" xfId="29848"/>
    <cellStyle name="Total 3 3 2 5 4" xfId="21028"/>
    <cellStyle name="Total 3 3 2 5_Table" xfId="8654"/>
    <cellStyle name="Total 3 3 2 6" xfId="3211"/>
    <cellStyle name="Total 3 3 2 6 2" xfId="12539"/>
    <cellStyle name="Total 3 3 2 6 2 2" xfId="25845"/>
    <cellStyle name="Total 3 3 2 6 3" xfId="16949"/>
    <cellStyle name="Total 3 3 2 6 3 2" xfId="30255"/>
    <cellStyle name="Total 3 3 2 6 4" xfId="21435"/>
    <cellStyle name="Total 3 3 2 6_Table" xfId="8655"/>
    <cellStyle name="Total 3 3 2 7" xfId="3803"/>
    <cellStyle name="Total 3 3 2 7 2" xfId="13131"/>
    <cellStyle name="Total 3 3 2 7 2 2" xfId="26437"/>
    <cellStyle name="Total 3 3 2 7 3" xfId="17541"/>
    <cellStyle name="Total 3 3 2 7 3 2" xfId="30847"/>
    <cellStyle name="Total 3 3 2 7 4" xfId="22027"/>
    <cellStyle name="Total 3 3 2 7_Table" xfId="8656"/>
    <cellStyle name="Total 3 3 2 8" xfId="4028"/>
    <cellStyle name="Total 3 3 2 8 2" xfId="13356"/>
    <cellStyle name="Total 3 3 2 8 2 2" xfId="26662"/>
    <cellStyle name="Total 3 3 2 8 3" xfId="17766"/>
    <cellStyle name="Total 3 3 2 8 3 2" xfId="31072"/>
    <cellStyle name="Total 3 3 2 8 4" xfId="22252"/>
    <cellStyle name="Total 3 3 2 8_Table" xfId="8657"/>
    <cellStyle name="Total 3 3 2 9" xfId="4389"/>
    <cellStyle name="Total 3 3 2 9 2" xfId="13717"/>
    <cellStyle name="Total 3 3 2 9 2 2" xfId="27023"/>
    <cellStyle name="Total 3 3 2 9 3" xfId="18127"/>
    <cellStyle name="Total 3 3 2 9 3 2" xfId="31433"/>
    <cellStyle name="Total 3 3 2 9 4" xfId="22613"/>
    <cellStyle name="Total 3 3 2 9_Table" xfId="8658"/>
    <cellStyle name="Total 3 3 2_Table" xfId="8649"/>
    <cellStyle name="Total 3 3 3" xfId="1302"/>
    <cellStyle name="Total 3 3 3 2" xfId="10630"/>
    <cellStyle name="Total 3 3 3 2 2" xfId="23936"/>
    <cellStyle name="Total 3 3 3 3" xfId="15040"/>
    <cellStyle name="Total 3 3 3 3 2" xfId="28346"/>
    <cellStyle name="Total 3 3 3 4" xfId="19526"/>
    <cellStyle name="Total 3 3 3_Table" xfId="8659"/>
    <cellStyle name="Total 3 3 4" xfId="915"/>
    <cellStyle name="Total 3 3 4 2" xfId="10243"/>
    <cellStyle name="Total 3 3 4 2 2" xfId="23549"/>
    <cellStyle name="Total 3 3 4 3" xfId="14653"/>
    <cellStyle name="Total 3 3 4 3 2" xfId="27959"/>
    <cellStyle name="Total 3 3 4 4" xfId="19139"/>
    <cellStyle name="Total 3 3 4_Table" xfId="8660"/>
    <cellStyle name="Total 3 3 5" xfId="2090"/>
    <cellStyle name="Total 3 3 5 2" xfId="11418"/>
    <cellStyle name="Total 3 3 5 2 2" xfId="24724"/>
    <cellStyle name="Total 3 3 5 3" xfId="15828"/>
    <cellStyle name="Total 3 3 5 3 2" xfId="29134"/>
    <cellStyle name="Total 3 3 5 4" xfId="20314"/>
    <cellStyle name="Total 3 3 5_Table" xfId="8661"/>
    <cellStyle name="Total 3 3 6" xfId="2522"/>
    <cellStyle name="Total 3 3 6 2" xfId="11850"/>
    <cellStyle name="Total 3 3 6 2 2" xfId="25156"/>
    <cellStyle name="Total 3 3 6 3" xfId="16260"/>
    <cellStyle name="Total 3 3 6 3 2" xfId="29566"/>
    <cellStyle name="Total 3 3 6 4" xfId="20746"/>
    <cellStyle name="Total 3 3 6_Table" xfId="8662"/>
    <cellStyle name="Total 3 3 7" xfId="2950"/>
    <cellStyle name="Total 3 3 7 2" xfId="12278"/>
    <cellStyle name="Total 3 3 7 2 2" xfId="25584"/>
    <cellStyle name="Total 3 3 7 3" xfId="16688"/>
    <cellStyle name="Total 3 3 7 3 2" xfId="29994"/>
    <cellStyle name="Total 3 3 7 4" xfId="21174"/>
    <cellStyle name="Total 3 3 7_Table" xfId="8663"/>
    <cellStyle name="Total 3 3 8" xfId="3363"/>
    <cellStyle name="Total 3 3 8 2" xfId="12691"/>
    <cellStyle name="Total 3 3 8 2 2" xfId="25997"/>
    <cellStyle name="Total 3 3 8 3" xfId="17101"/>
    <cellStyle name="Total 3 3 8 3 2" xfId="30407"/>
    <cellStyle name="Total 3 3 8 4" xfId="21587"/>
    <cellStyle name="Total 3 3 8_Table" xfId="8664"/>
    <cellStyle name="Total 3 3 9" xfId="3372"/>
    <cellStyle name="Total 3 3 9 2" xfId="12700"/>
    <cellStyle name="Total 3 3 9 2 2" xfId="26006"/>
    <cellStyle name="Total 3 3 9 3" xfId="17110"/>
    <cellStyle name="Total 3 3 9 3 2" xfId="30416"/>
    <cellStyle name="Total 3 3 9 4" xfId="21596"/>
    <cellStyle name="Total 3 3 9_Table" xfId="8665"/>
    <cellStyle name="Total 3 3_Table" xfId="8646"/>
    <cellStyle name="Total 3 4" xfId="563"/>
    <cellStyle name="Total 3 4 10" xfId="4209"/>
    <cellStyle name="Total 3 4 10 2" xfId="13537"/>
    <cellStyle name="Total 3 4 10 2 2" xfId="26843"/>
    <cellStyle name="Total 3 4 10 3" xfId="17947"/>
    <cellStyle name="Total 3 4 10 3 2" xfId="31253"/>
    <cellStyle name="Total 3 4 10 4" xfId="22433"/>
    <cellStyle name="Total 3 4 10_Table" xfId="8667"/>
    <cellStyle name="Total 3 4 11" xfId="4570"/>
    <cellStyle name="Total 3 4 11 2" xfId="13898"/>
    <cellStyle name="Total 3 4 11 2 2" xfId="27204"/>
    <cellStyle name="Total 3 4 11 3" xfId="18308"/>
    <cellStyle name="Total 3 4 11 3 2" xfId="31614"/>
    <cellStyle name="Total 3 4 11 4" xfId="22794"/>
    <cellStyle name="Total 3 4 11_Table" xfId="8668"/>
    <cellStyle name="Total 3 4 12" xfId="9891"/>
    <cellStyle name="Total 3 4 12 2" xfId="23244"/>
    <cellStyle name="Total 3 4 13" xfId="14348"/>
    <cellStyle name="Total 3 4 13 2" xfId="27654"/>
    <cellStyle name="Total 3 4 14" xfId="18834"/>
    <cellStyle name="Total 3 4 2" xfId="835"/>
    <cellStyle name="Total 3 4 2 10" xfId="4795"/>
    <cellStyle name="Total 3 4 2 10 2" xfId="14123"/>
    <cellStyle name="Total 3 4 2 10 2 2" xfId="27429"/>
    <cellStyle name="Total 3 4 2 10 3" xfId="18533"/>
    <cellStyle name="Total 3 4 2 10 3 2" xfId="31839"/>
    <cellStyle name="Total 3 4 2 10 4" xfId="23019"/>
    <cellStyle name="Total 3 4 2 10_Table" xfId="8670"/>
    <cellStyle name="Total 3 4 2 11" xfId="10163"/>
    <cellStyle name="Total 3 4 2 11 2" xfId="23469"/>
    <cellStyle name="Total 3 4 2 12" xfId="14573"/>
    <cellStyle name="Total 3 4 2 12 2" xfId="27879"/>
    <cellStyle name="Total 3 4 2 13" xfId="19059"/>
    <cellStyle name="Total 3 4 2 2" xfId="1621"/>
    <cellStyle name="Total 3 4 2 2 2" xfId="10949"/>
    <cellStyle name="Total 3 4 2 2 2 2" xfId="24255"/>
    <cellStyle name="Total 3 4 2 2 3" xfId="15359"/>
    <cellStyle name="Total 3 4 2 2 3 2" xfId="28665"/>
    <cellStyle name="Total 3 4 2 2 4" xfId="19845"/>
    <cellStyle name="Total 3 4 2 2_Table" xfId="8671"/>
    <cellStyle name="Total 3 4 2 3" xfId="1981"/>
    <cellStyle name="Total 3 4 2 3 2" xfId="11309"/>
    <cellStyle name="Total 3 4 2 3 2 2" xfId="24615"/>
    <cellStyle name="Total 3 4 2 3 3" xfId="15719"/>
    <cellStyle name="Total 3 4 2 3 3 2" xfId="29025"/>
    <cellStyle name="Total 3 4 2 3 4" xfId="20205"/>
    <cellStyle name="Total 3 4 2 3_Table" xfId="8672"/>
    <cellStyle name="Total 3 4 2 4" xfId="2411"/>
    <cellStyle name="Total 3 4 2 4 2" xfId="11739"/>
    <cellStyle name="Total 3 4 2 4 2 2" xfId="25045"/>
    <cellStyle name="Total 3 4 2 4 3" xfId="16149"/>
    <cellStyle name="Total 3 4 2 4 3 2" xfId="29455"/>
    <cellStyle name="Total 3 4 2 4 4" xfId="20635"/>
    <cellStyle name="Total 3 4 2 4_Table" xfId="8673"/>
    <cellStyle name="Total 3 4 2 5" xfId="2849"/>
    <cellStyle name="Total 3 4 2 5 2" xfId="12177"/>
    <cellStyle name="Total 3 4 2 5 2 2" xfId="25483"/>
    <cellStyle name="Total 3 4 2 5 3" xfId="16587"/>
    <cellStyle name="Total 3 4 2 5 3 2" xfId="29893"/>
    <cellStyle name="Total 3 4 2 5 4" xfId="21073"/>
    <cellStyle name="Total 3 4 2 5_Table" xfId="8674"/>
    <cellStyle name="Total 3 4 2 6" xfId="3256"/>
    <cellStyle name="Total 3 4 2 6 2" xfId="12584"/>
    <cellStyle name="Total 3 4 2 6 2 2" xfId="25890"/>
    <cellStyle name="Total 3 4 2 6 3" xfId="16994"/>
    <cellStyle name="Total 3 4 2 6 3 2" xfId="30300"/>
    <cellStyle name="Total 3 4 2 6 4" xfId="21480"/>
    <cellStyle name="Total 3 4 2 6_Table" xfId="8675"/>
    <cellStyle name="Total 3 4 2 7" xfId="3848"/>
    <cellStyle name="Total 3 4 2 7 2" xfId="13176"/>
    <cellStyle name="Total 3 4 2 7 2 2" xfId="26482"/>
    <cellStyle name="Total 3 4 2 7 3" xfId="17586"/>
    <cellStyle name="Total 3 4 2 7 3 2" xfId="30892"/>
    <cellStyle name="Total 3 4 2 7 4" xfId="22072"/>
    <cellStyle name="Total 3 4 2 7_Table" xfId="8676"/>
    <cellStyle name="Total 3 4 2 8" xfId="4073"/>
    <cellStyle name="Total 3 4 2 8 2" xfId="13401"/>
    <cellStyle name="Total 3 4 2 8 2 2" xfId="26707"/>
    <cellStyle name="Total 3 4 2 8 3" xfId="17811"/>
    <cellStyle name="Total 3 4 2 8 3 2" xfId="31117"/>
    <cellStyle name="Total 3 4 2 8 4" xfId="22297"/>
    <cellStyle name="Total 3 4 2 8_Table" xfId="8677"/>
    <cellStyle name="Total 3 4 2 9" xfId="4434"/>
    <cellStyle name="Total 3 4 2 9 2" xfId="13762"/>
    <cellStyle name="Total 3 4 2 9 2 2" xfId="27068"/>
    <cellStyle name="Total 3 4 2 9 3" xfId="18172"/>
    <cellStyle name="Total 3 4 2 9 3 2" xfId="31478"/>
    <cellStyle name="Total 3 4 2 9 4" xfId="22658"/>
    <cellStyle name="Total 3 4 2 9_Table" xfId="8678"/>
    <cellStyle name="Total 3 4 2_Table" xfId="8669"/>
    <cellStyle name="Total 3 4 3" xfId="1358"/>
    <cellStyle name="Total 3 4 3 2" xfId="10686"/>
    <cellStyle name="Total 3 4 3 2 2" xfId="23992"/>
    <cellStyle name="Total 3 4 3 3" xfId="15096"/>
    <cellStyle name="Total 3 4 3 3 2" xfId="28402"/>
    <cellStyle name="Total 3 4 3 4" xfId="19582"/>
    <cellStyle name="Total 3 4 3_Table" xfId="8679"/>
    <cellStyle name="Total 3 4 4" xfId="1715"/>
    <cellStyle name="Total 3 4 4 2" xfId="11043"/>
    <cellStyle name="Total 3 4 4 2 2" xfId="24349"/>
    <cellStyle name="Total 3 4 4 3" xfId="15453"/>
    <cellStyle name="Total 3 4 4 3 2" xfId="28759"/>
    <cellStyle name="Total 3 4 4 4" xfId="19939"/>
    <cellStyle name="Total 3 4 4_Table" xfId="8680"/>
    <cellStyle name="Total 3 4 5" xfId="2149"/>
    <cellStyle name="Total 3 4 5 2" xfId="11477"/>
    <cellStyle name="Total 3 4 5 2 2" xfId="24783"/>
    <cellStyle name="Total 3 4 5 3" xfId="15887"/>
    <cellStyle name="Total 3 4 5 3 2" xfId="29193"/>
    <cellStyle name="Total 3 4 5 4" xfId="20373"/>
    <cellStyle name="Total 3 4 5_Table" xfId="8681"/>
    <cellStyle name="Total 3 4 6" xfId="2581"/>
    <cellStyle name="Total 3 4 6 2" xfId="11909"/>
    <cellStyle name="Total 3 4 6 2 2" xfId="25215"/>
    <cellStyle name="Total 3 4 6 3" xfId="16319"/>
    <cellStyle name="Total 3 4 6 3 2" xfId="29625"/>
    <cellStyle name="Total 3 4 6 4" xfId="20805"/>
    <cellStyle name="Total 3 4 6_Table" xfId="8682"/>
    <cellStyle name="Total 3 4 7" xfId="3007"/>
    <cellStyle name="Total 3 4 7 2" xfId="12335"/>
    <cellStyle name="Total 3 4 7 2 2" xfId="25641"/>
    <cellStyle name="Total 3 4 7 3" xfId="16745"/>
    <cellStyle name="Total 3 4 7 3 2" xfId="30051"/>
    <cellStyle name="Total 3 4 7 4" xfId="21231"/>
    <cellStyle name="Total 3 4 7_Table" xfId="8683"/>
    <cellStyle name="Total 3 4 8" xfId="3421"/>
    <cellStyle name="Total 3 4 8 2" xfId="12749"/>
    <cellStyle name="Total 3 4 8 2 2" xfId="26055"/>
    <cellStyle name="Total 3 4 8 3" xfId="17159"/>
    <cellStyle name="Total 3 4 8 3 2" xfId="30465"/>
    <cellStyle name="Total 3 4 8 4" xfId="21645"/>
    <cellStyle name="Total 3 4 8_Table" xfId="8684"/>
    <cellStyle name="Total 3 4 9" xfId="3629"/>
    <cellStyle name="Total 3 4 9 2" xfId="12957"/>
    <cellStyle name="Total 3 4 9 2 2" xfId="26263"/>
    <cellStyle name="Total 3 4 9 3" xfId="17367"/>
    <cellStyle name="Total 3 4 9 3 2" xfId="30673"/>
    <cellStyle name="Total 3 4 9 4" xfId="21853"/>
    <cellStyle name="Total 3 4 9_Table" xfId="8685"/>
    <cellStyle name="Total 3 4_Table" xfId="8666"/>
    <cellStyle name="Total 3 5" xfId="638"/>
    <cellStyle name="Total 3 5 10" xfId="4254"/>
    <cellStyle name="Total 3 5 10 2" xfId="13582"/>
    <cellStyle name="Total 3 5 10 2 2" xfId="26888"/>
    <cellStyle name="Total 3 5 10 3" xfId="17992"/>
    <cellStyle name="Total 3 5 10 3 2" xfId="31298"/>
    <cellStyle name="Total 3 5 10 4" xfId="22478"/>
    <cellStyle name="Total 3 5 10_Table" xfId="8687"/>
    <cellStyle name="Total 3 5 11" xfId="4615"/>
    <cellStyle name="Total 3 5 11 2" xfId="13943"/>
    <cellStyle name="Total 3 5 11 2 2" xfId="27249"/>
    <cellStyle name="Total 3 5 11 3" xfId="18353"/>
    <cellStyle name="Total 3 5 11 3 2" xfId="31659"/>
    <cellStyle name="Total 3 5 11 4" xfId="22839"/>
    <cellStyle name="Total 3 5 11_Table" xfId="8688"/>
    <cellStyle name="Total 3 5 12" xfId="9966"/>
    <cellStyle name="Total 3 5 12 2" xfId="23289"/>
    <cellStyle name="Total 3 5 13" xfId="14393"/>
    <cellStyle name="Total 3 5 13 2" xfId="27699"/>
    <cellStyle name="Total 3 5 14" xfId="18879"/>
    <cellStyle name="Total 3 5 2" xfId="880"/>
    <cellStyle name="Total 3 5 2 10" xfId="4840"/>
    <cellStyle name="Total 3 5 2 10 2" xfId="14168"/>
    <cellStyle name="Total 3 5 2 10 2 2" xfId="27474"/>
    <cellStyle name="Total 3 5 2 10 3" xfId="18578"/>
    <cellStyle name="Total 3 5 2 10 3 2" xfId="31884"/>
    <cellStyle name="Total 3 5 2 10 4" xfId="23064"/>
    <cellStyle name="Total 3 5 2 10_Table" xfId="8690"/>
    <cellStyle name="Total 3 5 2 11" xfId="10208"/>
    <cellStyle name="Total 3 5 2 11 2" xfId="23514"/>
    <cellStyle name="Total 3 5 2 12" xfId="14618"/>
    <cellStyle name="Total 3 5 2 12 2" xfId="27924"/>
    <cellStyle name="Total 3 5 2 13" xfId="19104"/>
    <cellStyle name="Total 3 5 2 2" xfId="1666"/>
    <cellStyle name="Total 3 5 2 2 2" xfId="10994"/>
    <cellStyle name="Total 3 5 2 2 2 2" xfId="24300"/>
    <cellStyle name="Total 3 5 2 2 3" xfId="15404"/>
    <cellStyle name="Total 3 5 2 2 3 2" xfId="28710"/>
    <cellStyle name="Total 3 5 2 2 4" xfId="19890"/>
    <cellStyle name="Total 3 5 2 2_Table" xfId="8691"/>
    <cellStyle name="Total 3 5 2 3" xfId="2026"/>
    <cellStyle name="Total 3 5 2 3 2" xfId="11354"/>
    <cellStyle name="Total 3 5 2 3 2 2" xfId="24660"/>
    <cellStyle name="Total 3 5 2 3 3" xfId="15764"/>
    <cellStyle name="Total 3 5 2 3 3 2" xfId="29070"/>
    <cellStyle name="Total 3 5 2 3 4" xfId="20250"/>
    <cellStyle name="Total 3 5 2 3_Table" xfId="8692"/>
    <cellStyle name="Total 3 5 2 4" xfId="2456"/>
    <cellStyle name="Total 3 5 2 4 2" xfId="11784"/>
    <cellStyle name="Total 3 5 2 4 2 2" xfId="25090"/>
    <cellStyle name="Total 3 5 2 4 3" xfId="16194"/>
    <cellStyle name="Total 3 5 2 4 3 2" xfId="29500"/>
    <cellStyle name="Total 3 5 2 4 4" xfId="20680"/>
    <cellStyle name="Total 3 5 2 4_Table" xfId="8693"/>
    <cellStyle name="Total 3 5 2 5" xfId="2894"/>
    <cellStyle name="Total 3 5 2 5 2" xfId="12222"/>
    <cellStyle name="Total 3 5 2 5 2 2" xfId="25528"/>
    <cellStyle name="Total 3 5 2 5 3" xfId="16632"/>
    <cellStyle name="Total 3 5 2 5 3 2" xfId="29938"/>
    <cellStyle name="Total 3 5 2 5 4" xfId="21118"/>
    <cellStyle name="Total 3 5 2 5_Table" xfId="8694"/>
    <cellStyle name="Total 3 5 2 6" xfId="3301"/>
    <cellStyle name="Total 3 5 2 6 2" xfId="12629"/>
    <cellStyle name="Total 3 5 2 6 2 2" xfId="25935"/>
    <cellStyle name="Total 3 5 2 6 3" xfId="17039"/>
    <cellStyle name="Total 3 5 2 6 3 2" xfId="30345"/>
    <cellStyle name="Total 3 5 2 6 4" xfId="21525"/>
    <cellStyle name="Total 3 5 2 6_Table" xfId="8695"/>
    <cellStyle name="Total 3 5 2 7" xfId="3893"/>
    <cellStyle name="Total 3 5 2 7 2" xfId="13221"/>
    <cellStyle name="Total 3 5 2 7 2 2" xfId="26527"/>
    <cellStyle name="Total 3 5 2 7 3" xfId="17631"/>
    <cellStyle name="Total 3 5 2 7 3 2" xfId="30937"/>
    <cellStyle name="Total 3 5 2 7 4" xfId="22117"/>
    <cellStyle name="Total 3 5 2 7_Table" xfId="8696"/>
    <cellStyle name="Total 3 5 2 8" xfId="4118"/>
    <cellStyle name="Total 3 5 2 8 2" xfId="13446"/>
    <cellStyle name="Total 3 5 2 8 2 2" xfId="26752"/>
    <cellStyle name="Total 3 5 2 8 3" xfId="17856"/>
    <cellStyle name="Total 3 5 2 8 3 2" xfId="31162"/>
    <cellStyle name="Total 3 5 2 8 4" xfId="22342"/>
    <cellStyle name="Total 3 5 2 8_Table" xfId="8697"/>
    <cellStyle name="Total 3 5 2 9" xfId="4479"/>
    <cellStyle name="Total 3 5 2 9 2" xfId="13807"/>
    <cellStyle name="Total 3 5 2 9 2 2" xfId="27113"/>
    <cellStyle name="Total 3 5 2 9 3" xfId="18217"/>
    <cellStyle name="Total 3 5 2 9 3 2" xfId="31523"/>
    <cellStyle name="Total 3 5 2 9 4" xfId="22703"/>
    <cellStyle name="Total 3 5 2 9_Table" xfId="8698"/>
    <cellStyle name="Total 3 5 2_Table" xfId="8689"/>
    <cellStyle name="Total 3 5 3" xfId="1425"/>
    <cellStyle name="Total 3 5 3 2" xfId="10753"/>
    <cellStyle name="Total 3 5 3 2 2" xfId="24059"/>
    <cellStyle name="Total 3 5 3 3" xfId="15163"/>
    <cellStyle name="Total 3 5 3 3 2" xfId="28469"/>
    <cellStyle name="Total 3 5 3 4" xfId="19649"/>
    <cellStyle name="Total 3 5 3_Table" xfId="8699"/>
    <cellStyle name="Total 3 5 4" xfId="1785"/>
    <cellStyle name="Total 3 5 4 2" xfId="11113"/>
    <cellStyle name="Total 3 5 4 2 2" xfId="24419"/>
    <cellStyle name="Total 3 5 4 3" xfId="15523"/>
    <cellStyle name="Total 3 5 4 3 2" xfId="28829"/>
    <cellStyle name="Total 3 5 4 4" xfId="20009"/>
    <cellStyle name="Total 3 5 4_Table" xfId="8700"/>
    <cellStyle name="Total 3 5 5" xfId="2218"/>
    <cellStyle name="Total 3 5 5 2" xfId="11546"/>
    <cellStyle name="Total 3 5 5 2 2" xfId="24852"/>
    <cellStyle name="Total 3 5 5 3" xfId="15956"/>
    <cellStyle name="Total 3 5 5 3 2" xfId="29262"/>
    <cellStyle name="Total 3 5 5 4" xfId="20442"/>
    <cellStyle name="Total 3 5 5_Table" xfId="8701"/>
    <cellStyle name="Total 3 5 6" xfId="2653"/>
    <cellStyle name="Total 3 5 6 2" xfId="11981"/>
    <cellStyle name="Total 3 5 6 2 2" xfId="25287"/>
    <cellStyle name="Total 3 5 6 3" xfId="16391"/>
    <cellStyle name="Total 3 5 6 3 2" xfId="29697"/>
    <cellStyle name="Total 3 5 6 4" xfId="20877"/>
    <cellStyle name="Total 3 5 6_Table" xfId="8702"/>
    <cellStyle name="Total 3 5 7" xfId="3066"/>
    <cellStyle name="Total 3 5 7 2" xfId="12394"/>
    <cellStyle name="Total 3 5 7 2 2" xfId="25700"/>
    <cellStyle name="Total 3 5 7 3" xfId="16804"/>
    <cellStyle name="Total 3 5 7 3 2" xfId="30110"/>
    <cellStyle name="Total 3 5 7 4" xfId="21290"/>
    <cellStyle name="Total 3 5 7_Table" xfId="8703"/>
    <cellStyle name="Total 3 5 8" xfId="3492"/>
    <cellStyle name="Total 3 5 8 2" xfId="12820"/>
    <cellStyle name="Total 3 5 8 2 2" xfId="26126"/>
    <cellStyle name="Total 3 5 8 3" xfId="17230"/>
    <cellStyle name="Total 3 5 8 3 2" xfId="30536"/>
    <cellStyle name="Total 3 5 8 4" xfId="21716"/>
    <cellStyle name="Total 3 5 8_Table" xfId="8704"/>
    <cellStyle name="Total 3 5 9" xfId="3640"/>
    <cellStyle name="Total 3 5 9 2" xfId="12968"/>
    <cellStyle name="Total 3 5 9 2 2" xfId="26274"/>
    <cellStyle name="Total 3 5 9 3" xfId="17378"/>
    <cellStyle name="Total 3 5 9 3 2" xfId="30684"/>
    <cellStyle name="Total 3 5 9 4" xfId="21864"/>
    <cellStyle name="Total 3 5 9_Table" xfId="8705"/>
    <cellStyle name="Total 3 5_Table" xfId="8686"/>
    <cellStyle name="Total 3 6" xfId="700"/>
    <cellStyle name="Total 3 6 10" xfId="4660"/>
    <cellStyle name="Total 3 6 10 2" xfId="13988"/>
    <cellStyle name="Total 3 6 10 2 2" xfId="27294"/>
    <cellStyle name="Total 3 6 10 3" xfId="18398"/>
    <cellStyle name="Total 3 6 10 3 2" xfId="31704"/>
    <cellStyle name="Total 3 6 10 4" xfId="22884"/>
    <cellStyle name="Total 3 6 10_Table" xfId="8707"/>
    <cellStyle name="Total 3 6 11" xfId="10028"/>
    <cellStyle name="Total 3 6 11 2" xfId="23334"/>
    <cellStyle name="Total 3 6 12" xfId="14438"/>
    <cellStyle name="Total 3 6 12 2" xfId="27744"/>
    <cellStyle name="Total 3 6 13" xfId="18924"/>
    <cellStyle name="Total 3 6 2" xfId="1486"/>
    <cellStyle name="Total 3 6 2 2" xfId="10814"/>
    <cellStyle name="Total 3 6 2 2 2" xfId="24120"/>
    <cellStyle name="Total 3 6 2 3" xfId="15224"/>
    <cellStyle name="Total 3 6 2 3 2" xfId="28530"/>
    <cellStyle name="Total 3 6 2 4" xfId="19710"/>
    <cellStyle name="Total 3 6 2_Table" xfId="8708"/>
    <cellStyle name="Total 3 6 3" xfId="1846"/>
    <cellStyle name="Total 3 6 3 2" xfId="11174"/>
    <cellStyle name="Total 3 6 3 2 2" xfId="24480"/>
    <cellStyle name="Total 3 6 3 3" xfId="15584"/>
    <cellStyle name="Total 3 6 3 3 2" xfId="28890"/>
    <cellStyle name="Total 3 6 3 4" xfId="20070"/>
    <cellStyle name="Total 3 6 3_Table" xfId="8709"/>
    <cellStyle name="Total 3 6 4" xfId="2276"/>
    <cellStyle name="Total 3 6 4 2" xfId="11604"/>
    <cellStyle name="Total 3 6 4 2 2" xfId="24910"/>
    <cellStyle name="Total 3 6 4 3" xfId="16014"/>
    <cellStyle name="Total 3 6 4 3 2" xfId="29320"/>
    <cellStyle name="Total 3 6 4 4" xfId="20500"/>
    <cellStyle name="Total 3 6 4_Table" xfId="8710"/>
    <cellStyle name="Total 3 6 5" xfId="2714"/>
    <cellStyle name="Total 3 6 5 2" xfId="12042"/>
    <cellStyle name="Total 3 6 5 2 2" xfId="25348"/>
    <cellStyle name="Total 3 6 5 3" xfId="16452"/>
    <cellStyle name="Total 3 6 5 3 2" xfId="29758"/>
    <cellStyle name="Total 3 6 5 4" xfId="20938"/>
    <cellStyle name="Total 3 6 5_Table" xfId="8711"/>
    <cellStyle name="Total 3 6 6" xfId="3121"/>
    <cellStyle name="Total 3 6 6 2" xfId="12449"/>
    <cellStyle name="Total 3 6 6 2 2" xfId="25755"/>
    <cellStyle name="Total 3 6 6 3" xfId="16859"/>
    <cellStyle name="Total 3 6 6 3 2" xfId="30165"/>
    <cellStyle name="Total 3 6 6 4" xfId="21345"/>
    <cellStyle name="Total 3 6 6_Table" xfId="8712"/>
    <cellStyle name="Total 3 6 7" xfId="3713"/>
    <cellStyle name="Total 3 6 7 2" xfId="13041"/>
    <cellStyle name="Total 3 6 7 2 2" xfId="26347"/>
    <cellStyle name="Total 3 6 7 3" xfId="17451"/>
    <cellStyle name="Total 3 6 7 3 2" xfId="30757"/>
    <cellStyle name="Total 3 6 7 4" xfId="21937"/>
    <cellStyle name="Total 3 6 7_Table" xfId="8713"/>
    <cellStyle name="Total 3 6 8" xfId="3938"/>
    <cellStyle name="Total 3 6 8 2" xfId="13266"/>
    <cellStyle name="Total 3 6 8 2 2" xfId="26572"/>
    <cellStyle name="Total 3 6 8 3" xfId="17676"/>
    <cellStyle name="Total 3 6 8 3 2" xfId="30982"/>
    <cellStyle name="Total 3 6 8 4" xfId="22162"/>
    <cellStyle name="Total 3 6 8_Table" xfId="8714"/>
    <cellStyle name="Total 3 6 9" xfId="4299"/>
    <cellStyle name="Total 3 6 9 2" xfId="13627"/>
    <cellStyle name="Total 3 6 9 2 2" xfId="26933"/>
    <cellStyle name="Total 3 6 9 3" xfId="18037"/>
    <cellStyle name="Total 3 6 9 3 2" xfId="31343"/>
    <cellStyle name="Total 3 6 9 4" xfId="22523"/>
    <cellStyle name="Total 3 6 9_Table" xfId="8715"/>
    <cellStyle name="Total 3 6_Table" xfId="8706"/>
    <cellStyle name="Total 3 7" xfId="1201"/>
    <cellStyle name="Total 3 7 2" xfId="10529"/>
    <cellStyle name="Total 3 7 2 2" xfId="23835"/>
    <cellStyle name="Total 3 7 3" xfId="14939"/>
    <cellStyle name="Total 3 7 3 2" xfId="28245"/>
    <cellStyle name="Total 3 7 4" xfId="19425"/>
    <cellStyle name="Total 3 7_Table" xfId="8716"/>
    <cellStyle name="Total 3 8" xfId="1041"/>
    <cellStyle name="Total 3 8 2" xfId="10369"/>
    <cellStyle name="Total 3 8 2 2" xfId="23675"/>
    <cellStyle name="Total 3 8 3" xfId="14779"/>
    <cellStyle name="Total 3 8 3 2" xfId="28085"/>
    <cellStyle name="Total 3 8 4" xfId="19265"/>
    <cellStyle name="Total 3 8_Table" xfId="8717"/>
    <cellStyle name="Total 3 9" xfId="1253"/>
    <cellStyle name="Total 3 9 2" xfId="10581"/>
    <cellStyle name="Total 3 9 2 2" xfId="23887"/>
    <cellStyle name="Total 3 9 3" xfId="14991"/>
    <cellStyle name="Total 3 9 3 2" xfId="28297"/>
    <cellStyle name="Total 3 9 4" xfId="19477"/>
    <cellStyle name="Total 3 9_Table" xfId="8718"/>
    <cellStyle name="Total 3_Table" xfId="8619"/>
    <cellStyle name="Total 4" xfId="370"/>
    <cellStyle name="Total 4 10" xfId="1732"/>
    <cellStyle name="Total 4 10 2" xfId="11060"/>
    <cellStyle name="Total 4 10 2 2" xfId="24366"/>
    <cellStyle name="Total 4 10 3" xfId="15470"/>
    <cellStyle name="Total 4 10 3 2" xfId="28776"/>
    <cellStyle name="Total 4 10 4" xfId="19956"/>
    <cellStyle name="Total 4 10_Table" xfId="8720"/>
    <cellStyle name="Total 4 11" xfId="2166"/>
    <cellStyle name="Total 4 11 2" xfId="11494"/>
    <cellStyle name="Total 4 11 2 2" xfId="24800"/>
    <cellStyle name="Total 4 11 3" xfId="15904"/>
    <cellStyle name="Total 4 11 3 2" xfId="29210"/>
    <cellStyle name="Total 4 11 4" xfId="20390"/>
    <cellStyle name="Total 4 11_Table" xfId="8721"/>
    <cellStyle name="Total 4 12" xfId="2598"/>
    <cellStyle name="Total 4 12 2" xfId="11926"/>
    <cellStyle name="Total 4 12 2 2" xfId="25232"/>
    <cellStyle name="Total 4 12 3" xfId="16336"/>
    <cellStyle name="Total 4 12 3 2" xfId="29642"/>
    <cellStyle name="Total 4 12 4" xfId="20822"/>
    <cellStyle name="Total 4 12_Table" xfId="8722"/>
    <cellStyle name="Total 4 13" xfId="2046"/>
    <cellStyle name="Total 4 13 2" xfId="11374"/>
    <cellStyle name="Total 4 13 2 2" xfId="24680"/>
    <cellStyle name="Total 4 13 3" xfId="15784"/>
    <cellStyle name="Total 4 13 3 2" xfId="29090"/>
    <cellStyle name="Total 4 13 4" xfId="20270"/>
    <cellStyle name="Total 4 13_Table" xfId="8723"/>
    <cellStyle name="Total 4 14" xfId="2904"/>
    <cellStyle name="Total 4 14 2" xfId="12232"/>
    <cellStyle name="Total 4 14 2 2" xfId="25538"/>
    <cellStyle name="Total 4 14 3" xfId="16642"/>
    <cellStyle name="Total 4 14 3 2" xfId="29948"/>
    <cellStyle name="Total 4 14 4" xfId="21128"/>
    <cellStyle name="Total 4 14_Table" xfId="8724"/>
    <cellStyle name="Total 4 15" xfId="3601"/>
    <cellStyle name="Total 4 15 2" xfId="12929"/>
    <cellStyle name="Total 4 15 2 2" xfId="26235"/>
    <cellStyle name="Total 4 15 3" xfId="17339"/>
    <cellStyle name="Total 4 15 3 2" xfId="30645"/>
    <cellStyle name="Total 4 15 4" xfId="21825"/>
    <cellStyle name="Total 4 15_Table" xfId="8725"/>
    <cellStyle name="Total 4 16" xfId="9698"/>
    <cellStyle name="Total 4 16 2" xfId="23110"/>
    <cellStyle name="Total 4 17" xfId="14214"/>
    <cellStyle name="Total 4 17 2" xfId="27520"/>
    <cellStyle name="Total 4 18" xfId="18700"/>
    <cellStyle name="Total 4 2" xfId="432"/>
    <cellStyle name="Total 4 2 10" xfId="1120"/>
    <cellStyle name="Total 4 2 10 2" xfId="10448"/>
    <cellStyle name="Total 4 2 10 2 2" xfId="23754"/>
    <cellStyle name="Total 4 2 10 3" xfId="14858"/>
    <cellStyle name="Total 4 2 10 3 2" xfId="28164"/>
    <cellStyle name="Total 4 2 10 4" xfId="19344"/>
    <cellStyle name="Total 4 2 10_Table" xfId="8727"/>
    <cellStyle name="Total 4 2 11" xfId="2472"/>
    <cellStyle name="Total 4 2 11 2" xfId="11800"/>
    <cellStyle name="Total 4 2 11 2 2" xfId="25106"/>
    <cellStyle name="Total 4 2 11 3" xfId="16210"/>
    <cellStyle name="Total 4 2 11 3 2" xfId="29516"/>
    <cellStyle name="Total 4 2 11 4" xfId="20696"/>
    <cellStyle name="Total 4 2 11_Table" xfId="8728"/>
    <cellStyle name="Total 4 2 12" xfId="9760"/>
    <cellStyle name="Total 4 2 12 2" xfId="23155"/>
    <cellStyle name="Total 4 2 13" xfId="14259"/>
    <cellStyle name="Total 4 2 13 2" xfId="27565"/>
    <cellStyle name="Total 4 2 14" xfId="18745"/>
    <cellStyle name="Total 4 2 2" xfId="746"/>
    <cellStyle name="Total 4 2 2 10" xfId="4706"/>
    <cellStyle name="Total 4 2 2 10 2" xfId="14034"/>
    <cellStyle name="Total 4 2 2 10 2 2" xfId="27340"/>
    <cellStyle name="Total 4 2 2 10 3" xfId="18444"/>
    <cellStyle name="Total 4 2 2 10 3 2" xfId="31750"/>
    <cellStyle name="Total 4 2 2 10 4" xfId="22930"/>
    <cellStyle name="Total 4 2 2 10_Table" xfId="8730"/>
    <cellStyle name="Total 4 2 2 11" xfId="10074"/>
    <cellStyle name="Total 4 2 2 11 2" xfId="23380"/>
    <cellStyle name="Total 4 2 2 12" xfId="14484"/>
    <cellStyle name="Total 4 2 2 12 2" xfId="27790"/>
    <cellStyle name="Total 4 2 2 13" xfId="18970"/>
    <cellStyle name="Total 4 2 2 2" xfId="1532"/>
    <cellStyle name="Total 4 2 2 2 2" xfId="10860"/>
    <cellStyle name="Total 4 2 2 2 2 2" xfId="24166"/>
    <cellStyle name="Total 4 2 2 2 3" xfId="15270"/>
    <cellStyle name="Total 4 2 2 2 3 2" xfId="28576"/>
    <cellStyle name="Total 4 2 2 2 4" xfId="19756"/>
    <cellStyle name="Total 4 2 2 2_Table" xfId="8731"/>
    <cellStyle name="Total 4 2 2 3" xfId="1892"/>
    <cellStyle name="Total 4 2 2 3 2" xfId="11220"/>
    <cellStyle name="Total 4 2 2 3 2 2" xfId="24526"/>
    <cellStyle name="Total 4 2 2 3 3" xfId="15630"/>
    <cellStyle name="Total 4 2 2 3 3 2" xfId="28936"/>
    <cellStyle name="Total 4 2 2 3 4" xfId="20116"/>
    <cellStyle name="Total 4 2 2 3_Table" xfId="8732"/>
    <cellStyle name="Total 4 2 2 4" xfId="2322"/>
    <cellStyle name="Total 4 2 2 4 2" xfId="11650"/>
    <cellStyle name="Total 4 2 2 4 2 2" xfId="24956"/>
    <cellStyle name="Total 4 2 2 4 3" xfId="16060"/>
    <cellStyle name="Total 4 2 2 4 3 2" xfId="29366"/>
    <cellStyle name="Total 4 2 2 4 4" xfId="20546"/>
    <cellStyle name="Total 4 2 2 4_Table" xfId="8733"/>
    <cellStyle name="Total 4 2 2 5" xfId="2760"/>
    <cellStyle name="Total 4 2 2 5 2" xfId="12088"/>
    <cellStyle name="Total 4 2 2 5 2 2" xfId="25394"/>
    <cellStyle name="Total 4 2 2 5 3" xfId="16498"/>
    <cellStyle name="Total 4 2 2 5 3 2" xfId="29804"/>
    <cellStyle name="Total 4 2 2 5 4" xfId="20984"/>
    <cellStyle name="Total 4 2 2 5_Table" xfId="8734"/>
    <cellStyle name="Total 4 2 2 6" xfId="3167"/>
    <cellStyle name="Total 4 2 2 6 2" xfId="12495"/>
    <cellStyle name="Total 4 2 2 6 2 2" xfId="25801"/>
    <cellStyle name="Total 4 2 2 6 3" xfId="16905"/>
    <cellStyle name="Total 4 2 2 6 3 2" xfId="30211"/>
    <cellStyle name="Total 4 2 2 6 4" xfId="21391"/>
    <cellStyle name="Total 4 2 2 6_Table" xfId="8735"/>
    <cellStyle name="Total 4 2 2 7" xfId="3759"/>
    <cellStyle name="Total 4 2 2 7 2" xfId="13087"/>
    <cellStyle name="Total 4 2 2 7 2 2" xfId="26393"/>
    <cellStyle name="Total 4 2 2 7 3" xfId="17497"/>
    <cellStyle name="Total 4 2 2 7 3 2" xfId="30803"/>
    <cellStyle name="Total 4 2 2 7 4" xfId="21983"/>
    <cellStyle name="Total 4 2 2 7_Table" xfId="8736"/>
    <cellStyle name="Total 4 2 2 8" xfId="3984"/>
    <cellStyle name="Total 4 2 2 8 2" xfId="13312"/>
    <cellStyle name="Total 4 2 2 8 2 2" xfId="26618"/>
    <cellStyle name="Total 4 2 2 8 3" xfId="17722"/>
    <cellStyle name="Total 4 2 2 8 3 2" xfId="31028"/>
    <cellStyle name="Total 4 2 2 8 4" xfId="22208"/>
    <cellStyle name="Total 4 2 2 8_Table" xfId="8737"/>
    <cellStyle name="Total 4 2 2 9" xfId="4345"/>
    <cellStyle name="Total 4 2 2 9 2" xfId="13673"/>
    <cellStyle name="Total 4 2 2 9 2 2" xfId="26979"/>
    <cellStyle name="Total 4 2 2 9 3" xfId="18083"/>
    <cellStyle name="Total 4 2 2 9 3 2" xfId="31389"/>
    <cellStyle name="Total 4 2 2 9 4" xfId="22569"/>
    <cellStyle name="Total 4 2 2 9_Table" xfId="8738"/>
    <cellStyle name="Total 4 2 2_Table" xfId="8729"/>
    <cellStyle name="Total 4 2 3" xfId="1246"/>
    <cellStyle name="Total 4 2 3 2" xfId="10574"/>
    <cellStyle name="Total 4 2 3 2 2" xfId="23880"/>
    <cellStyle name="Total 4 2 3 3" xfId="14984"/>
    <cellStyle name="Total 4 2 3 3 2" xfId="28290"/>
    <cellStyle name="Total 4 2 3 4" xfId="19470"/>
    <cellStyle name="Total 4 2 3_Table" xfId="8739"/>
    <cellStyle name="Total 4 2 4" xfId="980"/>
    <cellStyle name="Total 4 2 4 2" xfId="10308"/>
    <cellStyle name="Total 4 2 4 2 2" xfId="23614"/>
    <cellStyle name="Total 4 2 4 3" xfId="14718"/>
    <cellStyle name="Total 4 2 4 3 2" xfId="28024"/>
    <cellStyle name="Total 4 2 4 4" xfId="19204"/>
    <cellStyle name="Total 4 2 4_Table" xfId="8740"/>
    <cellStyle name="Total 4 2 5" xfId="1270"/>
    <cellStyle name="Total 4 2 5 2" xfId="10598"/>
    <cellStyle name="Total 4 2 5 2 2" xfId="23904"/>
    <cellStyle name="Total 4 2 5 3" xfId="15008"/>
    <cellStyle name="Total 4 2 5 3 2" xfId="28314"/>
    <cellStyle name="Total 4 2 5 4" xfId="19494"/>
    <cellStyle name="Total 4 2 5_Table" xfId="8741"/>
    <cellStyle name="Total 4 2 6" xfId="1047"/>
    <cellStyle name="Total 4 2 6 2" xfId="10375"/>
    <cellStyle name="Total 4 2 6 2 2" xfId="23681"/>
    <cellStyle name="Total 4 2 6 3" xfId="14785"/>
    <cellStyle name="Total 4 2 6 3 2" xfId="28091"/>
    <cellStyle name="Total 4 2 6 4" xfId="19271"/>
    <cellStyle name="Total 4 2 6_Table" xfId="8742"/>
    <cellStyle name="Total 4 2 7" xfId="1440"/>
    <cellStyle name="Total 4 2 7 2" xfId="10768"/>
    <cellStyle name="Total 4 2 7 2 2" xfId="24074"/>
    <cellStyle name="Total 4 2 7 3" xfId="15178"/>
    <cellStyle name="Total 4 2 7 3 2" xfId="28484"/>
    <cellStyle name="Total 4 2 7 4" xfId="19664"/>
    <cellStyle name="Total 4 2 7_Table" xfId="8743"/>
    <cellStyle name="Total 4 2 8" xfId="968"/>
    <cellStyle name="Total 4 2 8 2" xfId="10296"/>
    <cellStyle name="Total 4 2 8 2 2" xfId="23602"/>
    <cellStyle name="Total 4 2 8 3" xfId="14706"/>
    <cellStyle name="Total 4 2 8 3 2" xfId="28012"/>
    <cellStyle name="Total 4 2 8 4" xfId="19192"/>
    <cellStyle name="Total 4 2 8_Table" xfId="8744"/>
    <cellStyle name="Total 4 2 9" xfId="1144"/>
    <cellStyle name="Total 4 2 9 2" xfId="10472"/>
    <cellStyle name="Total 4 2 9 2 2" xfId="23778"/>
    <cellStyle name="Total 4 2 9 3" xfId="14882"/>
    <cellStyle name="Total 4 2 9 3 2" xfId="28188"/>
    <cellStyle name="Total 4 2 9 4" xfId="19368"/>
    <cellStyle name="Total 4 2 9_Table" xfId="8745"/>
    <cellStyle name="Total 4 2_Table" xfId="8726"/>
    <cellStyle name="Total 4 3" xfId="500"/>
    <cellStyle name="Total 4 3 10" xfId="4165"/>
    <cellStyle name="Total 4 3 10 2" xfId="13493"/>
    <cellStyle name="Total 4 3 10 2 2" xfId="26799"/>
    <cellStyle name="Total 4 3 10 3" xfId="17903"/>
    <cellStyle name="Total 4 3 10 3 2" xfId="31209"/>
    <cellStyle name="Total 4 3 10 4" xfId="22389"/>
    <cellStyle name="Total 4 3 10_Table" xfId="8747"/>
    <cellStyle name="Total 4 3 11" xfId="4526"/>
    <cellStyle name="Total 4 3 11 2" xfId="13854"/>
    <cellStyle name="Total 4 3 11 2 2" xfId="27160"/>
    <cellStyle name="Total 4 3 11 3" xfId="18264"/>
    <cellStyle name="Total 4 3 11 3 2" xfId="31570"/>
    <cellStyle name="Total 4 3 11 4" xfId="22750"/>
    <cellStyle name="Total 4 3 11_Table" xfId="8748"/>
    <cellStyle name="Total 4 3 12" xfId="9828"/>
    <cellStyle name="Total 4 3 12 2" xfId="23200"/>
    <cellStyle name="Total 4 3 13" xfId="14304"/>
    <cellStyle name="Total 4 3 13 2" xfId="27610"/>
    <cellStyle name="Total 4 3 14" xfId="18790"/>
    <cellStyle name="Total 4 3 2" xfId="791"/>
    <cellStyle name="Total 4 3 2 10" xfId="4751"/>
    <cellStyle name="Total 4 3 2 10 2" xfId="14079"/>
    <cellStyle name="Total 4 3 2 10 2 2" xfId="27385"/>
    <cellStyle name="Total 4 3 2 10 3" xfId="18489"/>
    <cellStyle name="Total 4 3 2 10 3 2" xfId="31795"/>
    <cellStyle name="Total 4 3 2 10 4" xfId="22975"/>
    <cellStyle name="Total 4 3 2 10_Table" xfId="8750"/>
    <cellStyle name="Total 4 3 2 11" xfId="10119"/>
    <cellStyle name="Total 4 3 2 11 2" xfId="23425"/>
    <cellStyle name="Total 4 3 2 12" xfId="14529"/>
    <cellStyle name="Total 4 3 2 12 2" xfId="27835"/>
    <cellStyle name="Total 4 3 2 13" xfId="19015"/>
    <cellStyle name="Total 4 3 2 2" xfId="1577"/>
    <cellStyle name="Total 4 3 2 2 2" xfId="10905"/>
    <cellStyle name="Total 4 3 2 2 2 2" xfId="24211"/>
    <cellStyle name="Total 4 3 2 2 3" xfId="15315"/>
    <cellStyle name="Total 4 3 2 2 3 2" xfId="28621"/>
    <cellStyle name="Total 4 3 2 2 4" xfId="19801"/>
    <cellStyle name="Total 4 3 2 2_Table" xfId="8751"/>
    <cellStyle name="Total 4 3 2 3" xfId="1937"/>
    <cellStyle name="Total 4 3 2 3 2" xfId="11265"/>
    <cellStyle name="Total 4 3 2 3 2 2" xfId="24571"/>
    <cellStyle name="Total 4 3 2 3 3" xfId="15675"/>
    <cellStyle name="Total 4 3 2 3 3 2" xfId="28981"/>
    <cellStyle name="Total 4 3 2 3 4" xfId="20161"/>
    <cellStyle name="Total 4 3 2 3_Table" xfId="8752"/>
    <cellStyle name="Total 4 3 2 4" xfId="2367"/>
    <cellStyle name="Total 4 3 2 4 2" xfId="11695"/>
    <cellStyle name="Total 4 3 2 4 2 2" xfId="25001"/>
    <cellStyle name="Total 4 3 2 4 3" xfId="16105"/>
    <cellStyle name="Total 4 3 2 4 3 2" xfId="29411"/>
    <cellStyle name="Total 4 3 2 4 4" xfId="20591"/>
    <cellStyle name="Total 4 3 2 4_Table" xfId="8753"/>
    <cellStyle name="Total 4 3 2 5" xfId="2805"/>
    <cellStyle name="Total 4 3 2 5 2" xfId="12133"/>
    <cellStyle name="Total 4 3 2 5 2 2" xfId="25439"/>
    <cellStyle name="Total 4 3 2 5 3" xfId="16543"/>
    <cellStyle name="Total 4 3 2 5 3 2" xfId="29849"/>
    <cellStyle name="Total 4 3 2 5 4" xfId="21029"/>
    <cellStyle name="Total 4 3 2 5_Table" xfId="8754"/>
    <cellStyle name="Total 4 3 2 6" xfId="3212"/>
    <cellStyle name="Total 4 3 2 6 2" xfId="12540"/>
    <cellStyle name="Total 4 3 2 6 2 2" xfId="25846"/>
    <cellStyle name="Total 4 3 2 6 3" xfId="16950"/>
    <cellStyle name="Total 4 3 2 6 3 2" xfId="30256"/>
    <cellStyle name="Total 4 3 2 6 4" xfId="21436"/>
    <cellStyle name="Total 4 3 2 6_Table" xfId="8755"/>
    <cellStyle name="Total 4 3 2 7" xfId="3804"/>
    <cellStyle name="Total 4 3 2 7 2" xfId="13132"/>
    <cellStyle name="Total 4 3 2 7 2 2" xfId="26438"/>
    <cellStyle name="Total 4 3 2 7 3" xfId="17542"/>
    <cellStyle name="Total 4 3 2 7 3 2" xfId="30848"/>
    <cellStyle name="Total 4 3 2 7 4" xfId="22028"/>
    <cellStyle name="Total 4 3 2 7_Table" xfId="8756"/>
    <cellStyle name="Total 4 3 2 8" xfId="4029"/>
    <cellStyle name="Total 4 3 2 8 2" xfId="13357"/>
    <cellStyle name="Total 4 3 2 8 2 2" xfId="26663"/>
    <cellStyle name="Total 4 3 2 8 3" xfId="17767"/>
    <cellStyle name="Total 4 3 2 8 3 2" xfId="31073"/>
    <cellStyle name="Total 4 3 2 8 4" xfId="22253"/>
    <cellStyle name="Total 4 3 2 8_Table" xfId="8757"/>
    <cellStyle name="Total 4 3 2 9" xfId="4390"/>
    <cellStyle name="Total 4 3 2 9 2" xfId="13718"/>
    <cellStyle name="Total 4 3 2 9 2 2" xfId="27024"/>
    <cellStyle name="Total 4 3 2 9 3" xfId="18128"/>
    <cellStyle name="Total 4 3 2 9 3 2" xfId="31434"/>
    <cellStyle name="Total 4 3 2 9 4" xfId="22614"/>
    <cellStyle name="Total 4 3 2 9_Table" xfId="8758"/>
    <cellStyle name="Total 4 3 2_Table" xfId="8749"/>
    <cellStyle name="Total 4 3 3" xfId="1303"/>
    <cellStyle name="Total 4 3 3 2" xfId="10631"/>
    <cellStyle name="Total 4 3 3 2 2" xfId="23937"/>
    <cellStyle name="Total 4 3 3 3" xfId="15041"/>
    <cellStyle name="Total 4 3 3 3 2" xfId="28347"/>
    <cellStyle name="Total 4 3 3 4" xfId="19527"/>
    <cellStyle name="Total 4 3 3_Table" xfId="8759"/>
    <cellStyle name="Total 4 3 4" xfId="914"/>
    <cellStyle name="Total 4 3 4 2" xfId="10242"/>
    <cellStyle name="Total 4 3 4 2 2" xfId="23548"/>
    <cellStyle name="Total 4 3 4 3" xfId="14652"/>
    <cellStyle name="Total 4 3 4 3 2" xfId="27958"/>
    <cellStyle name="Total 4 3 4 4" xfId="19138"/>
    <cellStyle name="Total 4 3 4_Table" xfId="8760"/>
    <cellStyle name="Total 4 3 5" xfId="2091"/>
    <cellStyle name="Total 4 3 5 2" xfId="11419"/>
    <cellStyle name="Total 4 3 5 2 2" xfId="24725"/>
    <cellStyle name="Total 4 3 5 3" xfId="15829"/>
    <cellStyle name="Total 4 3 5 3 2" xfId="29135"/>
    <cellStyle name="Total 4 3 5 4" xfId="20315"/>
    <cellStyle name="Total 4 3 5_Table" xfId="8761"/>
    <cellStyle name="Total 4 3 6" xfId="2523"/>
    <cellStyle name="Total 4 3 6 2" xfId="11851"/>
    <cellStyle name="Total 4 3 6 2 2" xfId="25157"/>
    <cellStyle name="Total 4 3 6 3" xfId="16261"/>
    <cellStyle name="Total 4 3 6 3 2" xfId="29567"/>
    <cellStyle name="Total 4 3 6 4" xfId="20747"/>
    <cellStyle name="Total 4 3 6_Table" xfId="8762"/>
    <cellStyle name="Total 4 3 7" xfId="2951"/>
    <cellStyle name="Total 4 3 7 2" xfId="12279"/>
    <cellStyle name="Total 4 3 7 2 2" xfId="25585"/>
    <cellStyle name="Total 4 3 7 3" xfId="16689"/>
    <cellStyle name="Total 4 3 7 3 2" xfId="29995"/>
    <cellStyle name="Total 4 3 7 4" xfId="21175"/>
    <cellStyle name="Total 4 3 7_Table" xfId="8763"/>
    <cellStyle name="Total 4 3 8" xfId="3364"/>
    <cellStyle name="Total 4 3 8 2" xfId="12692"/>
    <cellStyle name="Total 4 3 8 2 2" xfId="25998"/>
    <cellStyle name="Total 4 3 8 3" xfId="17102"/>
    <cellStyle name="Total 4 3 8 3 2" xfId="30408"/>
    <cellStyle name="Total 4 3 8 4" xfId="21588"/>
    <cellStyle name="Total 4 3 8_Table" xfId="8764"/>
    <cellStyle name="Total 4 3 9" xfId="3431"/>
    <cellStyle name="Total 4 3 9 2" xfId="12759"/>
    <cellStyle name="Total 4 3 9 2 2" xfId="26065"/>
    <cellStyle name="Total 4 3 9 3" xfId="17169"/>
    <cellStyle name="Total 4 3 9 3 2" xfId="30475"/>
    <cellStyle name="Total 4 3 9 4" xfId="21655"/>
    <cellStyle name="Total 4 3 9_Table" xfId="8765"/>
    <cellStyle name="Total 4 3_Table" xfId="8746"/>
    <cellStyle name="Total 4 4" xfId="564"/>
    <cellStyle name="Total 4 4 10" xfId="4210"/>
    <cellStyle name="Total 4 4 10 2" xfId="13538"/>
    <cellStyle name="Total 4 4 10 2 2" xfId="26844"/>
    <cellStyle name="Total 4 4 10 3" xfId="17948"/>
    <cellStyle name="Total 4 4 10 3 2" xfId="31254"/>
    <cellStyle name="Total 4 4 10 4" xfId="22434"/>
    <cellStyle name="Total 4 4 10_Table" xfId="8767"/>
    <cellStyle name="Total 4 4 11" xfId="4571"/>
    <cellStyle name="Total 4 4 11 2" xfId="13899"/>
    <cellStyle name="Total 4 4 11 2 2" xfId="27205"/>
    <cellStyle name="Total 4 4 11 3" xfId="18309"/>
    <cellStyle name="Total 4 4 11 3 2" xfId="31615"/>
    <cellStyle name="Total 4 4 11 4" xfId="22795"/>
    <cellStyle name="Total 4 4 11_Table" xfId="8768"/>
    <cellStyle name="Total 4 4 12" xfId="9892"/>
    <cellStyle name="Total 4 4 12 2" xfId="23245"/>
    <cellStyle name="Total 4 4 13" xfId="14349"/>
    <cellStyle name="Total 4 4 13 2" xfId="27655"/>
    <cellStyle name="Total 4 4 14" xfId="18835"/>
    <cellStyle name="Total 4 4 2" xfId="836"/>
    <cellStyle name="Total 4 4 2 10" xfId="4796"/>
    <cellStyle name="Total 4 4 2 10 2" xfId="14124"/>
    <cellStyle name="Total 4 4 2 10 2 2" xfId="27430"/>
    <cellStyle name="Total 4 4 2 10 3" xfId="18534"/>
    <cellStyle name="Total 4 4 2 10 3 2" xfId="31840"/>
    <cellStyle name="Total 4 4 2 10 4" xfId="23020"/>
    <cellStyle name="Total 4 4 2 10_Table" xfId="8770"/>
    <cellStyle name="Total 4 4 2 11" xfId="10164"/>
    <cellStyle name="Total 4 4 2 11 2" xfId="23470"/>
    <cellStyle name="Total 4 4 2 12" xfId="14574"/>
    <cellStyle name="Total 4 4 2 12 2" xfId="27880"/>
    <cellStyle name="Total 4 4 2 13" xfId="19060"/>
    <cellStyle name="Total 4 4 2 2" xfId="1622"/>
    <cellStyle name="Total 4 4 2 2 2" xfId="10950"/>
    <cellStyle name="Total 4 4 2 2 2 2" xfId="24256"/>
    <cellStyle name="Total 4 4 2 2 3" xfId="15360"/>
    <cellStyle name="Total 4 4 2 2 3 2" xfId="28666"/>
    <cellStyle name="Total 4 4 2 2 4" xfId="19846"/>
    <cellStyle name="Total 4 4 2 2_Table" xfId="8771"/>
    <cellStyle name="Total 4 4 2 3" xfId="1982"/>
    <cellStyle name="Total 4 4 2 3 2" xfId="11310"/>
    <cellStyle name="Total 4 4 2 3 2 2" xfId="24616"/>
    <cellStyle name="Total 4 4 2 3 3" xfId="15720"/>
    <cellStyle name="Total 4 4 2 3 3 2" xfId="29026"/>
    <cellStyle name="Total 4 4 2 3 4" xfId="20206"/>
    <cellStyle name="Total 4 4 2 3_Table" xfId="8772"/>
    <cellStyle name="Total 4 4 2 4" xfId="2412"/>
    <cellStyle name="Total 4 4 2 4 2" xfId="11740"/>
    <cellStyle name="Total 4 4 2 4 2 2" xfId="25046"/>
    <cellStyle name="Total 4 4 2 4 3" xfId="16150"/>
    <cellStyle name="Total 4 4 2 4 3 2" xfId="29456"/>
    <cellStyle name="Total 4 4 2 4 4" xfId="20636"/>
    <cellStyle name="Total 4 4 2 4_Table" xfId="8773"/>
    <cellStyle name="Total 4 4 2 5" xfId="2850"/>
    <cellStyle name="Total 4 4 2 5 2" xfId="12178"/>
    <cellStyle name="Total 4 4 2 5 2 2" xfId="25484"/>
    <cellStyle name="Total 4 4 2 5 3" xfId="16588"/>
    <cellStyle name="Total 4 4 2 5 3 2" xfId="29894"/>
    <cellStyle name="Total 4 4 2 5 4" xfId="21074"/>
    <cellStyle name="Total 4 4 2 5_Table" xfId="8774"/>
    <cellStyle name="Total 4 4 2 6" xfId="3257"/>
    <cellStyle name="Total 4 4 2 6 2" xfId="12585"/>
    <cellStyle name="Total 4 4 2 6 2 2" xfId="25891"/>
    <cellStyle name="Total 4 4 2 6 3" xfId="16995"/>
    <cellStyle name="Total 4 4 2 6 3 2" xfId="30301"/>
    <cellStyle name="Total 4 4 2 6 4" xfId="21481"/>
    <cellStyle name="Total 4 4 2 6_Table" xfId="8775"/>
    <cellStyle name="Total 4 4 2 7" xfId="3849"/>
    <cellStyle name="Total 4 4 2 7 2" xfId="13177"/>
    <cellStyle name="Total 4 4 2 7 2 2" xfId="26483"/>
    <cellStyle name="Total 4 4 2 7 3" xfId="17587"/>
    <cellStyle name="Total 4 4 2 7 3 2" xfId="30893"/>
    <cellStyle name="Total 4 4 2 7 4" xfId="22073"/>
    <cellStyle name="Total 4 4 2 7_Table" xfId="8776"/>
    <cellStyle name="Total 4 4 2 8" xfId="4074"/>
    <cellStyle name="Total 4 4 2 8 2" xfId="13402"/>
    <cellStyle name="Total 4 4 2 8 2 2" xfId="26708"/>
    <cellStyle name="Total 4 4 2 8 3" xfId="17812"/>
    <cellStyle name="Total 4 4 2 8 3 2" xfId="31118"/>
    <cellStyle name="Total 4 4 2 8 4" xfId="22298"/>
    <cellStyle name="Total 4 4 2 8_Table" xfId="8777"/>
    <cellStyle name="Total 4 4 2 9" xfId="4435"/>
    <cellStyle name="Total 4 4 2 9 2" xfId="13763"/>
    <cellStyle name="Total 4 4 2 9 2 2" xfId="27069"/>
    <cellStyle name="Total 4 4 2 9 3" xfId="18173"/>
    <cellStyle name="Total 4 4 2 9 3 2" xfId="31479"/>
    <cellStyle name="Total 4 4 2 9 4" xfId="22659"/>
    <cellStyle name="Total 4 4 2 9_Table" xfId="8778"/>
    <cellStyle name="Total 4 4 2_Table" xfId="8769"/>
    <cellStyle name="Total 4 4 3" xfId="1359"/>
    <cellStyle name="Total 4 4 3 2" xfId="10687"/>
    <cellStyle name="Total 4 4 3 2 2" xfId="23993"/>
    <cellStyle name="Total 4 4 3 3" xfId="15097"/>
    <cellStyle name="Total 4 4 3 3 2" xfId="28403"/>
    <cellStyle name="Total 4 4 3 4" xfId="19583"/>
    <cellStyle name="Total 4 4 3_Table" xfId="8779"/>
    <cellStyle name="Total 4 4 4" xfId="1716"/>
    <cellStyle name="Total 4 4 4 2" xfId="11044"/>
    <cellStyle name="Total 4 4 4 2 2" xfId="24350"/>
    <cellStyle name="Total 4 4 4 3" xfId="15454"/>
    <cellStyle name="Total 4 4 4 3 2" xfId="28760"/>
    <cellStyle name="Total 4 4 4 4" xfId="19940"/>
    <cellStyle name="Total 4 4 4_Table" xfId="8780"/>
    <cellStyle name="Total 4 4 5" xfId="2150"/>
    <cellStyle name="Total 4 4 5 2" xfId="11478"/>
    <cellStyle name="Total 4 4 5 2 2" xfId="24784"/>
    <cellStyle name="Total 4 4 5 3" xfId="15888"/>
    <cellStyle name="Total 4 4 5 3 2" xfId="29194"/>
    <cellStyle name="Total 4 4 5 4" xfId="20374"/>
    <cellStyle name="Total 4 4 5_Table" xfId="8781"/>
    <cellStyle name="Total 4 4 6" xfId="2582"/>
    <cellStyle name="Total 4 4 6 2" xfId="11910"/>
    <cellStyle name="Total 4 4 6 2 2" xfId="25216"/>
    <cellStyle name="Total 4 4 6 3" xfId="16320"/>
    <cellStyle name="Total 4 4 6 3 2" xfId="29626"/>
    <cellStyle name="Total 4 4 6 4" xfId="20806"/>
    <cellStyle name="Total 4 4 6_Table" xfId="8782"/>
    <cellStyle name="Total 4 4 7" xfId="3008"/>
    <cellStyle name="Total 4 4 7 2" xfId="12336"/>
    <cellStyle name="Total 4 4 7 2 2" xfId="25642"/>
    <cellStyle name="Total 4 4 7 3" xfId="16746"/>
    <cellStyle name="Total 4 4 7 3 2" xfId="30052"/>
    <cellStyle name="Total 4 4 7 4" xfId="21232"/>
    <cellStyle name="Total 4 4 7_Table" xfId="8783"/>
    <cellStyle name="Total 4 4 8" xfId="3422"/>
    <cellStyle name="Total 4 4 8 2" xfId="12750"/>
    <cellStyle name="Total 4 4 8 2 2" xfId="26056"/>
    <cellStyle name="Total 4 4 8 3" xfId="17160"/>
    <cellStyle name="Total 4 4 8 3 2" xfId="30466"/>
    <cellStyle name="Total 4 4 8 4" xfId="21646"/>
    <cellStyle name="Total 4 4 8_Table" xfId="8784"/>
    <cellStyle name="Total 4 4 9" xfId="3661"/>
    <cellStyle name="Total 4 4 9 2" xfId="12989"/>
    <cellStyle name="Total 4 4 9 2 2" xfId="26295"/>
    <cellStyle name="Total 4 4 9 3" xfId="17399"/>
    <cellStyle name="Total 4 4 9 3 2" xfId="30705"/>
    <cellStyle name="Total 4 4 9 4" xfId="21885"/>
    <cellStyle name="Total 4 4 9_Table" xfId="8785"/>
    <cellStyle name="Total 4 4_Table" xfId="8766"/>
    <cellStyle name="Total 4 5" xfId="639"/>
    <cellStyle name="Total 4 5 10" xfId="4255"/>
    <cellStyle name="Total 4 5 10 2" xfId="13583"/>
    <cellStyle name="Total 4 5 10 2 2" xfId="26889"/>
    <cellStyle name="Total 4 5 10 3" xfId="17993"/>
    <cellStyle name="Total 4 5 10 3 2" xfId="31299"/>
    <cellStyle name="Total 4 5 10 4" xfId="22479"/>
    <cellStyle name="Total 4 5 10_Table" xfId="8787"/>
    <cellStyle name="Total 4 5 11" xfId="4616"/>
    <cellStyle name="Total 4 5 11 2" xfId="13944"/>
    <cellStyle name="Total 4 5 11 2 2" xfId="27250"/>
    <cellStyle name="Total 4 5 11 3" xfId="18354"/>
    <cellStyle name="Total 4 5 11 3 2" xfId="31660"/>
    <cellStyle name="Total 4 5 11 4" xfId="22840"/>
    <cellStyle name="Total 4 5 11_Table" xfId="8788"/>
    <cellStyle name="Total 4 5 12" xfId="9967"/>
    <cellStyle name="Total 4 5 12 2" xfId="23290"/>
    <cellStyle name="Total 4 5 13" xfId="14394"/>
    <cellStyle name="Total 4 5 13 2" xfId="27700"/>
    <cellStyle name="Total 4 5 14" xfId="18880"/>
    <cellStyle name="Total 4 5 2" xfId="881"/>
    <cellStyle name="Total 4 5 2 10" xfId="4841"/>
    <cellStyle name="Total 4 5 2 10 2" xfId="14169"/>
    <cellStyle name="Total 4 5 2 10 2 2" xfId="27475"/>
    <cellStyle name="Total 4 5 2 10 3" xfId="18579"/>
    <cellStyle name="Total 4 5 2 10 3 2" xfId="31885"/>
    <cellStyle name="Total 4 5 2 10 4" xfId="23065"/>
    <cellStyle name="Total 4 5 2 10_Table" xfId="8790"/>
    <cellStyle name="Total 4 5 2 11" xfId="10209"/>
    <cellStyle name="Total 4 5 2 11 2" xfId="23515"/>
    <cellStyle name="Total 4 5 2 12" xfId="14619"/>
    <cellStyle name="Total 4 5 2 12 2" xfId="27925"/>
    <cellStyle name="Total 4 5 2 13" xfId="19105"/>
    <cellStyle name="Total 4 5 2 2" xfId="1667"/>
    <cellStyle name="Total 4 5 2 2 2" xfId="10995"/>
    <cellStyle name="Total 4 5 2 2 2 2" xfId="24301"/>
    <cellStyle name="Total 4 5 2 2 3" xfId="15405"/>
    <cellStyle name="Total 4 5 2 2 3 2" xfId="28711"/>
    <cellStyle name="Total 4 5 2 2 4" xfId="19891"/>
    <cellStyle name="Total 4 5 2 2_Table" xfId="8791"/>
    <cellStyle name="Total 4 5 2 3" xfId="2027"/>
    <cellStyle name="Total 4 5 2 3 2" xfId="11355"/>
    <cellStyle name="Total 4 5 2 3 2 2" xfId="24661"/>
    <cellStyle name="Total 4 5 2 3 3" xfId="15765"/>
    <cellStyle name="Total 4 5 2 3 3 2" xfId="29071"/>
    <cellStyle name="Total 4 5 2 3 4" xfId="20251"/>
    <cellStyle name="Total 4 5 2 3_Table" xfId="8792"/>
    <cellStyle name="Total 4 5 2 4" xfId="2457"/>
    <cellStyle name="Total 4 5 2 4 2" xfId="11785"/>
    <cellStyle name="Total 4 5 2 4 2 2" xfId="25091"/>
    <cellStyle name="Total 4 5 2 4 3" xfId="16195"/>
    <cellStyle name="Total 4 5 2 4 3 2" xfId="29501"/>
    <cellStyle name="Total 4 5 2 4 4" xfId="20681"/>
    <cellStyle name="Total 4 5 2 4_Table" xfId="8793"/>
    <cellStyle name="Total 4 5 2 5" xfId="2895"/>
    <cellStyle name="Total 4 5 2 5 2" xfId="12223"/>
    <cellStyle name="Total 4 5 2 5 2 2" xfId="25529"/>
    <cellStyle name="Total 4 5 2 5 3" xfId="16633"/>
    <cellStyle name="Total 4 5 2 5 3 2" xfId="29939"/>
    <cellStyle name="Total 4 5 2 5 4" xfId="21119"/>
    <cellStyle name="Total 4 5 2 5_Table" xfId="8794"/>
    <cellStyle name="Total 4 5 2 6" xfId="3302"/>
    <cellStyle name="Total 4 5 2 6 2" xfId="12630"/>
    <cellStyle name="Total 4 5 2 6 2 2" xfId="25936"/>
    <cellStyle name="Total 4 5 2 6 3" xfId="17040"/>
    <cellStyle name="Total 4 5 2 6 3 2" xfId="30346"/>
    <cellStyle name="Total 4 5 2 6 4" xfId="21526"/>
    <cellStyle name="Total 4 5 2 6_Table" xfId="8795"/>
    <cellStyle name="Total 4 5 2 7" xfId="3894"/>
    <cellStyle name="Total 4 5 2 7 2" xfId="13222"/>
    <cellStyle name="Total 4 5 2 7 2 2" xfId="26528"/>
    <cellStyle name="Total 4 5 2 7 3" xfId="17632"/>
    <cellStyle name="Total 4 5 2 7 3 2" xfId="30938"/>
    <cellStyle name="Total 4 5 2 7 4" xfId="22118"/>
    <cellStyle name="Total 4 5 2 7_Table" xfId="8796"/>
    <cellStyle name="Total 4 5 2 8" xfId="4119"/>
    <cellStyle name="Total 4 5 2 8 2" xfId="13447"/>
    <cellStyle name="Total 4 5 2 8 2 2" xfId="26753"/>
    <cellStyle name="Total 4 5 2 8 3" xfId="17857"/>
    <cellStyle name="Total 4 5 2 8 3 2" xfId="31163"/>
    <cellStyle name="Total 4 5 2 8 4" xfId="22343"/>
    <cellStyle name="Total 4 5 2 8_Table" xfId="8797"/>
    <cellStyle name="Total 4 5 2 9" xfId="4480"/>
    <cellStyle name="Total 4 5 2 9 2" xfId="13808"/>
    <cellStyle name="Total 4 5 2 9 2 2" xfId="27114"/>
    <cellStyle name="Total 4 5 2 9 3" xfId="18218"/>
    <cellStyle name="Total 4 5 2 9 3 2" xfId="31524"/>
    <cellStyle name="Total 4 5 2 9 4" xfId="22704"/>
    <cellStyle name="Total 4 5 2 9_Table" xfId="8798"/>
    <cellStyle name="Total 4 5 2_Table" xfId="8789"/>
    <cellStyle name="Total 4 5 3" xfId="1426"/>
    <cellStyle name="Total 4 5 3 2" xfId="10754"/>
    <cellStyle name="Total 4 5 3 2 2" xfId="24060"/>
    <cellStyle name="Total 4 5 3 3" xfId="15164"/>
    <cellStyle name="Total 4 5 3 3 2" xfId="28470"/>
    <cellStyle name="Total 4 5 3 4" xfId="19650"/>
    <cellStyle name="Total 4 5 3_Table" xfId="8799"/>
    <cellStyle name="Total 4 5 4" xfId="1786"/>
    <cellStyle name="Total 4 5 4 2" xfId="11114"/>
    <cellStyle name="Total 4 5 4 2 2" xfId="24420"/>
    <cellStyle name="Total 4 5 4 3" xfId="15524"/>
    <cellStyle name="Total 4 5 4 3 2" xfId="28830"/>
    <cellStyle name="Total 4 5 4 4" xfId="20010"/>
    <cellStyle name="Total 4 5 4_Table" xfId="8800"/>
    <cellStyle name="Total 4 5 5" xfId="2219"/>
    <cellStyle name="Total 4 5 5 2" xfId="11547"/>
    <cellStyle name="Total 4 5 5 2 2" xfId="24853"/>
    <cellStyle name="Total 4 5 5 3" xfId="15957"/>
    <cellStyle name="Total 4 5 5 3 2" xfId="29263"/>
    <cellStyle name="Total 4 5 5 4" xfId="20443"/>
    <cellStyle name="Total 4 5 5_Table" xfId="8801"/>
    <cellStyle name="Total 4 5 6" xfId="2654"/>
    <cellStyle name="Total 4 5 6 2" xfId="11982"/>
    <cellStyle name="Total 4 5 6 2 2" xfId="25288"/>
    <cellStyle name="Total 4 5 6 3" xfId="16392"/>
    <cellStyle name="Total 4 5 6 3 2" xfId="29698"/>
    <cellStyle name="Total 4 5 6 4" xfId="20878"/>
    <cellStyle name="Total 4 5 6_Table" xfId="8802"/>
    <cellStyle name="Total 4 5 7" xfId="3067"/>
    <cellStyle name="Total 4 5 7 2" xfId="12395"/>
    <cellStyle name="Total 4 5 7 2 2" xfId="25701"/>
    <cellStyle name="Total 4 5 7 3" xfId="16805"/>
    <cellStyle name="Total 4 5 7 3 2" xfId="30111"/>
    <cellStyle name="Total 4 5 7 4" xfId="21291"/>
    <cellStyle name="Total 4 5 7_Table" xfId="8803"/>
    <cellStyle name="Total 4 5 8" xfId="3493"/>
    <cellStyle name="Total 4 5 8 2" xfId="12821"/>
    <cellStyle name="Total 4 5 8 2 2" xfId="26127"/>
    <cellStyle name="Total 4 5 8 3" xfId="17231"/>
    <cellStyle name="Total 4 5 8 3 2" xfId="30537"/>
    <cellStyle name="Total 4 5 8 4" xfId="21717"/>
    <cellStyle name="Total 4 5 8_Table" xfId="8804"/>
    <cellStyle name="Total 4 5 9" xfId="3670"/>
    <cellStyle name="Total 4 5 9 2" xfId="12998"/>
    <cellStyle name="Total 4 5 9 2 2" xfId="26304"/>
    <cellStyle name="Total 4 5 9 3" xfId="17408"/>
    <cellStyle name="Total 4 5 9 3 2" xfId="30714"/>
    <cellStyle name="Total 4 5 9 4" xfId="21894"/>
    <cellStyle name="Total 4 5 9_Table" xfId="8805"/>
    <cellStyle name="Total 4 5_Table" xfId="8786"/>
    <cellStyle name="Total 4 6" xfId="701"/>
    <cellStyle name="Total 4 6 10" xfId="4661"/>
    <cellStyle name="Total 4 6 10 2" xfId="13989"/>
    <cellStyle name="Total 4 6 10 2 2" xfId="27295"/>
    <cellStyle name="Total 4 6 10 3" xfId="18399"/>
    <cellStyle name="Total 4 6 10 3 2" xfId="31705"/>
    <cellStyle name="Total 4 6 10 4" xfId="22885"/>
    <cellStyle name="Total 4 6 10_Table" xfId="8807"/>
    <cellStyle name="Total 4 6 11" xfId="10029"/>
    <cellStyle name="Total 4 6 11 2" xfId="23335"/>
    <cellStyle name="Total 4 6 12" xfId="14439"/>
    <cellStyle name="Total 4 6 12 2" xfId="27745"/>
    <cellStyle name="Total 4 6 13" xfId="18925"/>
    <cellStyle name="Total 4 6 2" xfId="1487"/>
    <cellStyle name="Total 4 6 2 2" xfId="10815"/>
    <cellStyle name="Total 4 6 2 2 2" xfId="24121"/>
    <cellStyle name="Total 4 6 2 3" xfId="15225"/>
    <cellStyle name="Total 4 6 2 3 2" xfId="28531"/>
    <cellStyle name="Total 4 6 2 4" xfId="19711"/>
    <cellStyle name="Total 4 6 2_Table" xfId="8808"/>
    <cellStyle name="Total 4 6 3" xfId="1847"/>
    <cellStyle name="Total 4 6 3 2" xfId="11175"/>
    <cellStyle name="Total 4 6 3 2 2" xfId="24481"/>
    <cellStyle name="Total 4 6 3 3" xfId="15585"/>
    <cellStyle name="Total 4 6 3 3 2" xfId="28891"/>
    <cellStyle name="Total 4 6 3 4" xfId="20071"/>
    <cellStyle name="Total 4 6 3_Table" xfId="8809"/>
    <cellStyle name="Total 4 6 4" xfId="2277"/>
    <cellStyle name="Total 4 6 4 2" xfId="11605"/>
    <cellStyle name="Total 4 6 4 2 2" xfId="24911"/>
    <cellStyle name="Total 4 6 4 3" xfId="16015"/>
    <cellStyle name="Total 4 6 4 3 2" xfId="29321"/>
    <cellStyle name="Total 4 6 4 4" xfId="20501"/>
    <cellStyle name="Total 4 6 4_Table" xfId="8810"/>
    <cellStyle name="Total 4 6 5" xfId="2715"/>
    <cellStyle name="Total 4 6 5 2" xfId="12043"/>
    <cellStyle name="Total 4 6 5 2 2" xfId="25349"/>
    <cellStyle name="Total 4 6 5 3" xfId="16453"/>
    <cellStyle name="Total 4 6 5 3 2" xfId="29759"/>
    <cellStyle name="Total 4 6 5 4" xfId="20939"/>
    <cellStyle name="Total 4 6 5_Table" xfId="8811"/>
    <cellStyle name="Total 4 6 6" xfId="3122"/>
    <cellStyle name="Total 4 6 6 2" xfId="12450"/>
    <cellStyle name="Total 4 6 6 2 2" xfId="25756"/>
    <cellStyle name="Total 4 6 6 3" xfId="16860"/>
    <cellStyle name="Total 4 6 6 3 2" xfId="30166"/>
    <cellStyle name="Total 4 6 6 4" xfId="21346"/>
    <cellStyle name="Total 4 6 6_Table" xfId="8812"/>
    <cellStyle name="Total 4 6 7" xfId="3714"/>
    <cellStyle name="Total 4 6 7 2" xfId="13042"/>
    <cellStyle name="Total 4 6 7 2 2" xfId="26348"/>
    <cellStyle name="Total 4 6 7 3" xfId="17452"/>
    <cellStyle name="Total 4 6 7 3 2" xfId="30758"/>
    <cellStyle name="Total 4 6 7 4" xfId="21938"/>
    <cellStyle name="Total 4 6 7_Table" xfId="8813"/>
    <cellStyle name="Total 4 6 8" xfId="3939"/>
    <cellStyle name="Total 4 6 8 2" xfId="13267"/>
    <cellStyle name="Total 4 6 8 2 2" xfId="26573"/>
    <cellStyle name="Total 4 6 8 3" xfId="17677"/>
    <cellStyle name="Total 4 6 8 3 2" xfId="30983"/>
    <cellStyle name="Total 4 6 8 4" xfId="22163"/>
    <cellStyle name="Total 4 6 8_Table" xfId="8814"/>
    <cellStyle name="Total 4 6 9" xfId="4300"/>
    <cellStyle name="Total 4 6 9 2" xfId="13628"/>
    <cellStyle name="Total 4 6 9 2 2" xfId="26934"/>
    <cellStyle name="Total 4 6 9 3" xfId="18038"/>
    <cellStyle name="Total 4 6 9 3 2" xfId="31344"/>
    <cellStyle name="Total 4 6 9 4" xfId="22524"/>
    <cellStyle name="Total 4 6 9_Table" xfId="8815"/>
    <cellStyle name="Total 4 6_Table" xfId="8806"/>
    <cellStyle name="Total 4 7" xfId="1202"/>
    <cellStyle name="Total 4 7 2" xfId="10530"/>
    <cellStyle name="Total 4 7 2 2" xfId="23836"/>
    <cellStyle name="Total 4 7 3" xfId="14940"/>
    <cellStyle name="Total 4 7 3 2" xfId="28246"/>
    <cellStyle name="Total 4 7 4" xfId="19426"/>
    <cellStyle name="Total 4 7_Table" xfId="8816"/>
    <cellStyle name="Total 4 8" xfId="1040"/>
    <cellStyle name="Total 4 8 2" xfId="10368"/>
    <cellStyle name="Total 4 8 2 2" xfId="23674"/>
    <cellStyle name="Total 4 8 3" xfId="14778"/>
    <cellStyle name="Total 4 8 3 2" xfId="28084"/>
    <cellStyle name="Total 4 8 4" xfId="19264"/>
    <cellStyle name="Total 4 8_Table" xfId="8817"/>
    <cellStyle name="Total 4 9" xfId="1258"/>
    <cellStyle name="Total 4 9 2" xfId="10586"/>
    <cellStyle name="Total 4 9 2 2" xfId="23892"/>
    <cellStyle name="Total 4 9 3" xfId="14996"/>
    <cellStyle name="Total 4 9 3 2" xfId="28302"/>
    <cellStyle name="Total 4 9 4" xfId="19482"/>
    <cellStyle name="Total 4 9_Table" xfId="8818"/>
    <cellStyle name="Total 4_Table" xfId="8719"/>
    <cellStyle name="Total 5" xfId="371"/>
    <cellStyle name="Total 5 10" xfId="1803"/>
    <cellStyle name="Total 5 10 2" xfId="11131"/>
    <cellStyle name="Total 5 10 2 2" xfId="24437"/>
    <cellStyle name="Total 5 10 3" xfId="15541"/>
    <cellStyle name="Total 5 10 3 2" xfId="28847"/>
    <cellStyle name="Total 5 10 4" xfId="20027"/>
    <cellStyle name="Total 5 10_Table" xfId="8820"/>
    <cellStyle name="Total 5 11" xfId="2234"/>
    <cellStyle name="Total 5 11 2" xfId="11562"/>
    <cellStyle name="Total 5 11 2 2" xfId="24868"/>
    <cellStyle name="Total 5 11 3" xfId="15972"/>
    <cellStyle name="Total 5 11 3 2" xfId="29278"/>
    <cellStyle name="Total 5 11 4" xfId="20458"/>
    <cellStyle name="Total 5 11_Table" xfId="8821"/>
    <cellStyle name="Total 5 12" xfId="2670"/>
    <cellStyle name="Total 5 12 2" xfId="11998"/>
    <cellStyle name="Total 5 12 2 2" xfId="25304"/>
    <cellStyle name="Total 5 12 3" xfId="16408"/>
    <cellStyle name="Total 5 12 3 2" xfId="29714"/>
    <cellStyle name="Total 5 12 4" xfId="20894"/>
    <cellStyle name="Total 5 12_Table" xfId="8822"/>
    <cellStyle name="Total 5 13" xfId="3323"/>
    <cellStyle name="Total 5 13 2" xfId="12651"/>
    <cellStyle name="Total 5 13 2 2" xfId="25957"/>
    <cellStyle name="Total 5 13 3" xfId="17061"/>
    <cellStyle name="Total 5 13 3 2" xfId="30367"/>
    <cellStyle name="Total 5 13 4" xfId="21547"/>
    <cellStyle name="Total 5 13_Table" xfId="8823"/>
    <cellStyle name="Total 5 14" xfId="1099"/>
    <cellStyle name="Total 5 14 2" xfId="10427"/>
    <cellStyle name="Total 5 14 2 2" xfId="23733"/>
    <cellStyle name="Total 5 14 3" xfId="14837"/>
    <cellStyle name="Total 5 14 3 2" xfId="28143"/>
    <cellStyle name="Total 5 14 4" xfId="19323"/>
    <cellStyle name="Total 5 14_Table" xfId="8824"/>
    <cellStyle name="Total 5 15" xfId="3578"/>
    <cellStyle name="Total 5 15 2" xfId="12906"/>
    <cellStyle name="Total 5 15 2 2" xfId="26212"/>
    <cellStyle name="Total 5 15 3" xfId="17316"/>
    <cellStyle name="Total 5 15 3 2" xfId="30622"/>
    <cellStyle name="Total 5 15 4" xfId="21802"/>
    <cellStyle name="Total 5 15_Table" xfId="8825"/>
    <cellStyle name="Total 5 16" xfId="9699"/>
    <cellStyle name="Total 5 16 2" xfId="23111"/>
    <cellStyle name="Total 5 17" xfId="14215"/>
    <cellStyle name="Total 5 17 2" xfId="27521"/>
    <cellStyle name="Total 5 18" xfId="18701"/>
    <cellStyle name="Total 5 2" xfId="433"/>
    <cellStyle name="Total 5 2 10" xfId="1336"/>
    <cellStyle name="Total 5 2 10 2" xfId="10664"/>
    <cellStyle name="Total 5 2 10 2 2" xfId="23970"/>
    <cellStyle name="Total 5 2 10 3" xfId="15074"/>
    <cellStyle name="Total 5 2 10 3 2" xfId="28380"/>
    <cellStyle name="Total 5 2 10 4" xfId="19560"/>
    <cellStyle name="Total 5 2 10_Table" xfId="8827"/>
    <cellStyle name="Total 5 2 11" xfId="2479"/>
    <cellStyle name="Total 5 2 11 2" xfId="11807"/>
    <cellStyle name="Total 5 2 11 2 2" xfId="25113"/>
    <cellStyle name="Total 5 2 11 3" xfId="16217"/>
    <cellStyle name="Total 5 2 11 3 2" xfId="29523"/>
    <cellStyle name="Total 5 2 11 4" xfId="20703"/>
    <cellStyle name="Total 5 2 11_Table" xfId="8828"/>
    <cellStyle name="Total 5 2 12" xfId="9761"/>
    <cellStyle name="Total 5 2 12 2" xfId="23156"/>
    <cellStyle name="Total 5 2 13" xfId="14260"/>
    <cellStyle name="Total 5 2 13 2" xfId="27566"/>
    <cellStyle name="Total 5 2 14" xfId="18746"/>
    <cellStyle name="Total 5 2 2" xfId="747"/>
    <cellStyle name="Total 5 2 2 10" xfId="4707"/>
    <cellStyle name="Total 5 2 2 10 2" xfId="14035"/>
    <cellStyle name="Total 5 2 2 10 2 2" xfId="27341"/>
    <cellStyle name="Total 5 2 2 10 3" xfId="18445"/>
    <cellStyle name="Total 5 2 2 10 3 2" xfId="31751"/>
    <cellStyle name="Total 5 2 2 10 4" xfId="22931"/>
    <cellStyle name="Total 5 2 2 10_Table" xfId="8830"/>
    <cellStyle name="Total 5 2 2 11" xfId="10075"/>
    <cellStyle name="Total 5 2 2 11 2" xfId="23381"/>
    <cellStyle name="Total 5 2 2 12" xfId="14485"/>
    <cellStyle name="Total 5 2 2 12 2" xfId="27791"/>
    <cellStyle name="Total 5 2 2 13" xfId="18971"/>
    <cellStyle name="Total 5 2 2 2" xfId="1533"/>
    <cellStyle name="Total 5 2 2 2 2" xfId="10861"/>
    <cellStyle name="Total 5 2 2 2 2 2" xfId="24167"/>
    <cellStyle name="Total 5 2 2 2 3" xfId="15271"/>
    <cellStyle name="Total 5 2 2 2 3 2" xfId="28577"/>
    <cellStyle name="Total 5 2 2 2 4" xfId="19757"/>
    <cellStyle name="Total 5 2 2 2_Table" xfId="8831"/>
    <cellStyle name="Total 5 2 2 3" xfId="1893"/>
    <cellStyle name="Total 5 2 2 3 2" xfId="11221"/>
    <cellStyle name="Total 5 2 2 3 2 2" xfId="24527"/>
    <cellStyle name="Total 5 2 2 3 3" xfId="15631"/>
    <cellStyle name="Total 5 2 2 3 3 2" xfId="28937"/>
    <cellStyle name="Total 5 2 2 3 4" xfId="20117"/>
    <cellStyle name="Total 5 2 2 3_Table" xfId="8832"/>
    <cellStyle name="Total 5 2 2 4" xfId="2323"/>
    <cellStyle name="Total 5 2 2 4 2" xfId="11651"/>
    <cellStyle name="Total 5 2 2 4 2 2" xfId="24957"/>
    <cellStyle name="Total 5 2 2 4 3" xfId="16061"/>
    <cellStyle name="Total 5 2 2 4 3 2" xfId="29367"/>
    <cellStyle name="Total 5 2 2 4 4" xfId="20547"/>
    <cellStyle name="Total 5 2 2 4_Table" xfId="8833"/>
    <cellStyle name="Total 5 2 2 5" xfId="2761"/>
    <cellStyle name="Total 5 2 2 5 2" xfId="12089"/>
    <cellStyle name="Total 5 2 2 5 2 2" xfId="25395"/>
    <cellStyle name="Total 5 2 2 5 3" xfId="16499"/>
    <cellStyle name="Total 5 2 2 5 3 2" xfId="29805"/>
    <cellStyle name="Total 5 2 2 5 4" xfId="20985"/>
    <cellStyle name="Total 5 2 2 5_Table" xfId="8834"/>
    <cellStyle name="Total 5 2 2 6" xfId="3168"/>
    <cellStyle name="Total 5 2 2 6 2" xfId="12496"/>
    <cellStyle name="Total 5 2 2 6 2 2" xfId="25802"/>
    <cellStyle name="Total 5 2 2 6 3" xfId="16906"/>
    <cellStyle name="Total 5 2 2 6 3 2" xfId="30212"/>
    <cellStyle name="Total 5 2 2 6 4" xfId="21392"/>
    <cellStyle name="Total 5 2 2 6_Table" xfId="8835"/>
    <cellStyle name="Total 5 2 2 7" xfId="3760"/>
    <cellStyle name="Total 5 2 2 7 2" xfId="13088"/>
    <cellStyle name="Total 5 2 2 7 2 2" xfId="26394"/>
    <cellStyle name="Total 5 2 2 7 3" xfId="17498"/>
    <cellStyle name="Total 5 2 2 7 3 2" xfId="30804"/>
    <cellStyle name="Total 5 2 2 7 4" xfId="21984"/>
    <cellStyle name="Total 5 2 2 7_Table" xfId="8836"/>
    <cellStyle name="Total 5 2 2 8" xfId="3985"/>
    <cellStyle name="Total 5 2 2 8 2" xfId="13313"/>
    <cellStyle name="Total 5 2 2 8 2 2" xfId="26619"/>
    <cellStyle name="Total 5 2 2 8 3" xfId="17723"/>
    <cellStyle name="Total 5 2 2 8 3 2" xfId="31029"/>
    <cellStyle name="Total 5 2 2 8 4" xfId="22209"/>
    <cellStyle name="Total 5 2 2 8_Table" xfId="8837"/>
    <cellStyle name="Total 5 2 2 9" xfId="4346"/>
    <cellStyle name="Total 5 2 2 9 2" xfId="13674"/>
    <cellStyle name="Total 5 2 2 9 2 2" xfId="26980"/>
    <cellStyle name="Total 5 2 2 9 3" xfId="18084"/>
    <cellStyle name="Total 5 2 2 9 3 2" xfId="31390"/>
    <cellStyle name="Total 5 2 2 9 4" xfId="22570"/>
    <cellStyle name="Total 5 2 2 9_Table" xfId="8838"/>
    <cellStyle name="Total 5 2 2_Table" xfId="8829"/>
    <cellStyle name="Total 5 2 3" xfId="1247"/>
    <cellStyle name="Total 5 2 3 2" xfId="10575"/>
    <cellStyle name="Total 5 2 3 2 2" xfId="23881"/>
    <cellStyle name="Total 5 2 3 3" xfId="14985"/>
    <cellStyle name="Total 5 2 3 3 2" xfId="28291"/>
    <cellStyle name="Total 5 2 3 4" xfId="19471"/>
    <cellStyle name="Total 5 2 3_Table" xfId="8839"/>
    <cellStyle name="Total 5 2 4" xfId="979"/>
    <cellStyle name="Total 5 2 4 2" xfId="10307"/>
    <cellStyle name="Total 5 2 4 2 2" xfId="23613"/>
    <cellStyle name="Total 5 2 4 3" xfId="14717"/>
    <cellStyle name="Total 5 2 4 3 2" xfId="28023"/>
    <cellStyle name="Total 5 2 4 4" xfId="19203"/>
    <cellStyle name="Total 5 2 4_Table" xfId="8840"/>
    <cellStyle name="Total 5 2 5" xfId="894"/>
    <cellStyle name="Total 5 2 5 2" xfId="10222"/>
    <cellStyle name="Total 5 2 5 2 2" xfId="23528"/>
    <cellStyle name="Total 5 2 5 3" xfId="14632"/>
    <cellStyle name="Total 5 2 5 3 2" xfId="27938"/>
    <cellStyle name="Total 5 2 5 4" xfId="19118"/>
    <cellStyle name="Total 5 2 5_Table" xfId="8841"/>
    <cellStyle name="Total 5 2 6" xfId="1046"/>
    <cellStyle name="Total 5 2 6 2" xfId="10374"/>
    <cellStyle name="Total 5 2 6 2 2" xfId="23680"/>
    <cellStyle name="Total 5 2 6 3" xfId="14784"/>
    <cellStyle name="Total 5 2 6 3 2" xfId="28090"/>
    <cellStyle name="Total 5 2 6 4" xfId="19270"/>
    <cellStyle name="Total 5 2 6_Table" xfId="8842"/>
    <cellStyle name="Total 5 2 7" xfId="1311"/>
    <cellStyle name="Total 5 2 7 2" xfId="10639"/>
    <cellStyle name="Total 5 2 7 2 2" xfId="23945"/>
    <cellStyle name="Total 5 2 7 3" xfId="15049"/>
    <cellStyle name="Total 5 2 7 3 2" xfId="28355"/>
    <cellStyle name="Total 5 2 7 4" xfId="19535"/>
    <cellStyle name="Total 5 2 7_Table" xfId="8843"/>
    <cellStyle name="Total 5 2 8" xfId="960"/>
    <cellStyle name="Total 5 2 8 2" xfId="10288"/>
    <cellStyle name="Total 5 2 8 2 2" xfId="23594"/>
    <cellStyle name="Total 5 2 8 3" xfId="14698"/>
    <cellStyle name="Total 5 2 8 3 2" xfId="28004"/>
    <cellStyle name="Total 5 2 8 4" xfId="19184"/>
    <cellStyle name="Total 5 2 8_Table" xfId="8844"/>
    <cellStyle name="Total 5 2 9" xfId="3616"/>
    <cellStyle name="Total 5 2 9 2" xfId="12944"/>
    <cellStyle name="Total 5 2 9 2 2" xfId="26250"/>
    <cellStyle name="Total 5 2 9 3" xfId="17354"/>
    <cellStyle name="Total 5 2 9 3 2" xfId="30660"/>
    <cellStyle name="Total 5 2 9 4" xfId="21840"/>
    <cellStyle name="Total 5 2 9_Table" xfId="8845"/>
    <cellStyle name="Total 5 2_Table" xfId="8826"/>
    <cellStyle name="Total 5 3" xfId="501"/>
    <cellStyle name="Total 5 3 10" xfId="4166"/>
    <cellStyle name="Total 5 3 10 2" xfId="13494"/>
    <cellStyle name="Total 5 3 10 2 2" xfId="26800"/>
    <cellStyle name="Total 5 3 10 3" xfId="17904"/>
    <cellStyle name="Total 5 3 10 3 2" xfId="31210"/>
    <cellStyle name="Total 5 3 10 4" xfId="22390"/>
    <cellStyle name="Total 5 3 10_Table" xfId="8847"/>
    <cellStyle name="Total 5 3 11" xfId="4527"/>
    <cellStyle name="Total 5 3 11 2" xfId="13855"/>
    <cellStyle name="Total 5 3 11 2 2" xfId="27161"/>
    <cellStyle name="Total 5 3 11 3" xfId="18265"/>
    <cellStyle name="Total 5 3 11 3 2" xfId="31571"/>
    <cellStyle name="Total 5 3 11 4" xfId="22751"/>
    <cellStyle name="Total 5 3 11_Table" xfId="8848"/>
    <cellStyle name="Total 5 3 12" xfId="9829"/>
    <cellStyle name="Total 5 3 12 2" xfId="23201"/>
    <cellStyle name="Total 5 3 13" xfId="14305"/>
    <cellStyle name="Total 5 3 13 2" xfId="27611"/>
    <cellStyle name="Total 5 3 14" xfId="18791"/>
    <cellStyle name="Total 5 3 2" xfId="792"/>
    <cellStyle name="Total 5 3 2 10" xfId="4752"/>
    <cellStyle name="Total 5 3 2 10 2" xfId="14080"/>
    <cellStyle name="Total 5 3 2 10 2 2" xfId="27386"/>
    <cellStyle name="Total 5 3 2 10 3" xfId="18490"/>
    <cellStyle name="Total 5 3 2 10 3 2" xfId="31796"/>
    <cellStyle name="Total 5 3 2 10 4" xfId="22976"/>
    <cellStyle name="Total 5 3 2 10_Table" xfId="8850"/>
    <cellStyle name="Total 5 3 2 11" xfId="10120"/>
    <cellStyle name="Total 5 3 2 11 2" xfId="23426"/>
    <cellStyle name="Total 5 3 2 12" xfId="14530"/>
    <cellStyle name="Total 5 3 2 12 2" xfId="27836"/>
    <cellStyle name="Total 5 3 2 13" xfId="19016"/>
    <cellStyle name="Total 5 3 2 2" xfId="1578"/>
    <cellStyle name="Total 5 3 2 2 2" xfId="10906"/>
    <cellStyle name="Total 5 3 2 2 2 2" xfId="24212"/>
    <cellStyle name="Total 5 3 2 2 3" xfId="15316"/>
    <cellStyle name="Total 5 3 2 2 3 2" xfId="28622"/>
    <cellStyle name="Total 5 3 2 2 4" xfId="19802"/>
    <cellStyle name="Total 5 3 2 2_Table" xfId="8851"/>
    <cellStyle name="Total 5 3 2 3" xfId="1938"/>
    <cellStyle name="Total 5 3 2 3 2" xfId="11266"/>
    <cellStyle name="Total 5 3 2 3 2 2" xfId="24572"/>
    <cellStyle name="Total 5 3 2 3 3" xfId="15676"/>
    <cellStyle name="Total 5 3 2 3 3 2" xfId="28982"/>
    <cellStyle name="Total 5 3 2 3 4" xfId="20162"/>
    <cellStyle name="Total 5 3 2 3_Table" xfId="8852"/>
    <cellStyle name="Total 5 3 2 4" xfId="2368"/>
    <cellStyle name="Total 5 3 2 4 2" xfId="11696"/>
    <cellStyle name="Total 5 3 2 4 2 2" xfId="25002"/>
    <cellStyle name="Total 5 3 2 4 3" xfId="16106"/>
    <cellStyle name="Total 5 3 2 4 3 2" xfId="29412"/>
    <cellStyle name="Total 5 3 2 4 4" xfId="20592"/>
    <cellStyle name="Total 5 3 2 4_Table" xfId="8853"/>
    <cellStyle name="Total 5 3 2 5" xfId="2806"/>
    <cellStyle name="Total 5 3 2 5 2" xfId="12134"/>
    <cellStyle name="Total 5 3 2 5 2 2" xfId="25440"/>
    <cellStyle name="Total 5 3 2 5 3" xfId="16544"/>
    <cellStyle name="Total 5 3 2 5 3 2" xfId="29850"/>
    <cellStyle name="Total 5 3 2 5 4" xfId="21030"/>
    <cellStyle name="Total 5 3 2 5_Table" xfId="8854"/>
    <cellStyle name="Total 5 3 2 6" xfId="3213"/>
    <cellStyle name="Total 5 3 2 6 2" xfId="12541"/>
    <cellStyle name="Total 5 3 2 6 2 2" xfId="25847"/>
    <cellStyle name="Total 5 3 2 6 3" xfId="16951"/>
    <cellStyle name="Total 5 3 2 6 3 2" xfId="30257"/>
    <cellStyle name="Total 5 3 2 6 4" xfId="21437"/>
    <cellStyle name="Total 5 3 2 6_Table" xfId="8855"/>
    <cellStyle name="Total 5 3 2 7" xfId="3805"/>
    <cellStyle name="Total 5 3 2 7 2" xfId="13133"/>
    <cellStyle name="Total 5 3 2 7 2 2" xfId="26439"/>
    <cellStyle name="Total 5 3 2 7 3" xfId="17543"/>
    <cellStyle name="Total 5 3 2 7 3 2" xfId="30849"/>
    <cellStyle name="Total 5 3 2 7 4" xfId="22029"/>
    <cellStyle name="Total 5 3 2 7_Table" xfId="8856"/>
    <cellStyle name="Total 5 3 2 8" xfId="4030"/>
    <cellStyle name="Total 5 3 2 8 2" xfId="13358"/>
    <cellStyle name="Total 5 3 2 8 2 2" xfId="26664"/>
    <cellStyle name="Total 5 3 2 8 3" xfId="17768"/>
    <cellStyle name="Total 5 3 2 8 3 2" xfId="31074"/>
    <cellStyle name="Total 5 3 2 8 4" xfId="22254"/>
    <cellStyle name="Total 5 3 2 8_Table" xfId="8857"/>
    <cellStyle name="Total 5 3 2 9" xfId="4391"/>
    <cellStyle name="Total 5 3 2 9 2" xfId="13719"/>
    <cellStyle name="Total 5 3 2 9 2 2" xfId="27025"/>
    <cellStyle name="Total 5 3 2 9 3" xfId="18129"/>
    <cellStyle name="Total 5 3 2 9 3 2" xfId="31435"/>
    <cellStyle name="Total 5 3 2 9 4" xfId="22615"/>
    <cellStyle name="Total 5 3 2 9_Table" xfId="8858"/>
    <cellStyle name="Total 5 3 2_Table" xfId="8849"/>
    <cellStyle name="Total 5 3 3" xfId="1304"/>
    <cellStyle name="Total 5 3 3 2" xfId="10632"/>
    <cellStyle name="Total 5 3 3 2 2" xfId="23938"/>
    <cellStyle name="Total 5 3 3 3" xfId="15042"/>
    <cellStyle name="Total 5 3 3 3 2" xfId="28348"/>
    <cellStyle name="Total 5 3 3 4" xfId="19528"/>
    <cellStyle name="Total 5 3 3_Table" xfId="8859"/>
    <cellStyle name="Total 5 3 4" xfId="913"/>
    <cellStyle name="Total 5 3 4 2" xfId="10241"/>
    <cellStyle name="Total 5 3 4 2 2" xfId="23547"/>
    <cellStyle name="Total 5 3 4 3" xfId="14651"/>
    <cellStyle name="Total 5 3 4 3 2" xfId="27957"/>
    <cellStyle name="Total 5 3 4 4" xfId="19137"/>
    <cellStyle name="Total 5 3 4_Table" xfId="8860"/>
    <cellStyle name="Total 5 3 5" xfId="2092"/>
    <cellStyle name="Total 5 3 5 2" xfId="11420"/>
    <cellStyle name="Total 5 3 5 2 2" xfId="24726"/>
    <cellStyle name="Total 5 3 5 3" xfId="15830"/>
    <cellStyle name="Total 5 3 5 3 2" xfId="29136"/>
    <cellStyle name="Total 5 3 5 4" xfId="20316"/>
    <cellStyle name="Total 5 3 5_Table" xfId="8861"/>
    <cellStyle name="Total 5 3 6" xfId="2524"/>
    <cellStyle name="Total 5 3 6 2" xfId="11852"/>
    <cellStyle name="Total 5 3 6 2 2" xfId="25158"/>
    <cellStyle name="Total 5 3 6 3" xfId="16262"/>
    <cellStyle name="Total 5 3 6 3 2" xfId="29568"/>
    <cellStyle name="Total 5 3 6 4" xfId="20748"/>
    <cellStyle name="Total 5 3 6_Table" xfId="8862"/>
    <cellStyle name="Total 5 3 7" xfId="2952"/>
    <cellStyle name="Total 5 3 7 2" xfId="12280"/>
    <cellStyle name="Total 5 3 7 2 2" xfId="25586"/>
    <cellStyle name="Total 5 3 7 3" xfId="16690"/>
    <cellStyle name="Total 5 3 7 3 2" xfId="29996"/>
    <cellStyle name="Total 5 3 7 4" xfId="21176"/>
    <cellStyle name="Total 5 3 7_Table" xfId="8863"/>
    <cellStyle name="Total 5 3 8" xfId="3365"/>
    <cellStyle name="Total 5 3 8 2" xfId="12693"/>
    <cellStyle name="Total 5 3 8 2 2" xfId="25999"/>
    <cellStyle name="Total 5 3 8 3" xfId="17103"/>
    <cellStyle name="Total 5 3 8 3 2" xfId="30409"/>
    <cellStyle name="Total 5 3 8 4" xfId="21589"/>
    <cellStyle name="Total 5 3 8_Table" xfId="8864"/>
    <cellStyle name="Total 5 3 9" xfId="3502"/>
    <cellStyle name="Total 5 3 9 2" xfId="12830"/>
    <cellStyle name="Total 5 3 9 2 2" xfId="26136"/>
    <cellStyle name="Total 5 3 9 3" xfId="17240"/>
    <cellStyle name="Total 5 3 9 3 2" xfId="30546"/>
    <cellStyle name="Total 5 3 9 4" xfId="21726"/>
    <cellStyle name="Total 5 3 9_Table" xfId="8865"/>
    <cellStyle name="Total 5 3_Table" xfId="8846"/>
    <cellStyle name="Total 5 4" xfId="565"/>
    <cellStyle name="Total 5 4 10" xfId="4211"/>
    <cellStyle name="Total 5 4 10 2" xfId="13539"/>
    <cellStyle name="Total 5 4 10 2 2" xfId="26845"/>
    <cellStyle name="Total 5 4 10 3" xfId="17949"/>
    <cellStyle name="Total 5 4 10 3 2" xfId="31255"/>
    <cellStyle name="Total 5 4 10 4" xfId="22435"/>
    <cellStyle name="Total 5 4 10_Table" xfId="8867"/>
    <cellStyle name="Total 5 4 11" xfId="4572"/>
    <cellStyle name="Total 5 4 11 2" xfId="13900"/>
    <cellStyle name="Total 5 4 11 2 2" xfId="27206"/>
    <cellStyle name="Total 5 4 11 3" xfId="18310"/>
    <cellStyle name="Total 5 4 11 3 2" xfId="31616"/>
    <cellStyle name="Total 5 4 11 4" xfId="22796"/>
    <cellStyle name="Total 5 4 11_Table" xfId="8868"/>
    <cellStyle name="Total 5 4 12" xfId="9893"/>
    <cellStyle name="Total 5 4 12 2" xfId="23246"/>
    <cellStyle name="Total 5 4 13" xfId="14350"/>
    <cellStyle name="Total 5 4 13 2" xfId="27656"/>
    <cellStyle name="Total 5 4 14" xfId="18836"/>
    <cellStyle name="Total 5 4 2" xfId="837"/>
    <cellStyle name="Total 5 4 2 10" xfId="4797"/>
    <cellStyle name="Total 5 4 2 10 2" xfId="14125"/>
    <cellStyle name="Total 5 4 2 10 2 2" xfId="27431"/>
    <cellStyle name="Total 5 4 2 10 3" xfId="18535"/>
    <cellStyle name="Total 5 4 2 10 3 2" xfId="31841"/>
    <cellStyle name="Total 5 4 2 10 4" xfId="23021"/>
    <cellStyle name="Total 5 4 2 10_Table" xfId="8870"/>
    <cellStyle name="Total 5 4 2 11" xfId="10165"/>
    <cellStyle name="Total 5 4 2 11 2" xfId="23471"/>
    <cellStyle name="Total 5 4 2 12" xfId="14575"/>
    <cellStyle name="Total 5 4 2 12 2" xfId="27881"/>
    <cellStyle name="Total 5 4 2 13" xfId="19061"/>
    <cellStyle name="Total 5 4 2 2" xfId="1623"/>
    <cellStyle name="Total 5 4 2 2 2" xfId="10951"/>
    <cellStyle name="Total 5 4 2 2 2 2" xfId="24257"/>
    <cellStyle name="Total 5 4 2 2 3" xfId="15361"/>
    <cellStyle name="Total 5 4 2 2 3 2" xfId="28667"/>
    <cellStyle name="Total 5 4 2 2 4" xfId="19847"/>
    <cellStyle name="Total 5 4 2 2_Table" xfId="8871"/>
    <cellStyle name="Total 5 4 2 3" xfId="1983"/>
    <cellStyle name="Total 5 4 2 3 2" xfId="11311"/>
    <cellStyle name="Total 5 4 2 3 2 2" xfId="24617"/>
    <cellStyle name="Total 5 4 2 3 3" xfId="15721"/>
    <cellStyle name="Total 5 4 2 3 3 2" xfId="29027"/>
    <cellStyle name="Total 5 4 2 3 4" xfId="20207"/>
    <cellStyle name="Total 5 4 2 3_Table" xfId="8872"/>
    <cellStyle name="Total 5 4 2 4" xfId="2413"/>
    <cellStyle name="Total 5 4 2 4 2" xfId="11741"/>
    <cellStyle name="Total 5 4 2 4 2 2" xfId="25047"/>
    <cellStyle name="Total 5 4 2 4 3" xfId="16151"/>
    <cellStyle name="Total 5 4 2 4 3 2" xfId="29457"/>
    <cellStyle name="Total 5 4 2 4 4" xfId="20637"/>
    <cellStyle name="Total 5 4 2 4_Table" xfId="8873"/>
    <cellStyle name="Total 5 4 2 5" xfId="2851"/>
    <cellStyle name="Total 5 4 2 5 2" xfId="12179"/>
    <cellStyle name="Total 5 4 2 5 2 2" xfId="25485"/>
    <cellStyle name="Total 5 4 2 5 3" xfId="16589"/>
    <cellStyle name="Total 5 4 2 5 3 2" xfId="29895"/>
    <cellStyle name="Total 5 4 2 5 4" xfId="21075"/>
    <cellStyle name="Total 5 4 2 5_Table" xfId="8874"/>
    <cellStyle name="Total 5 4 2 6" xfId="3258"/>
    <cellStyle name="Total 5 4 2 6 2" xfId="12586"/>
    <cellStyle name="Total 5 4 2 6 2 2" xfId="25892"/>
    <cellStyle name="Total 5 4 2 6 3" xfId="16996"/>
    <cellStyle name="Total 5 4 2 6 3 2" xfId="30302"/>
    <cellStyle name="Total 5 4 2 6 4" xfId="21482"/>
    <cellStyle name="Total 5 4 2 6_Table" xfId="8875"/>
    <cellStyle name="Total 5 4 2 7" xfId="3850"/>
    <cellStyle name="Total 5 4 2 7 2" xfId="13178"/>
    <cellStyle name="Total 5 4 2 7 2 2" xfId="26484"/>
    <cellStyle name="Total 5 4 2 7 3" xfId="17588"/>
    <cellStyle name="Total 5 4 2 7 3 2" xfId="30894"/>
    <cellStyle name="Total 5 4 2 7 4" xfId="22074"/>
    <cellStyle name="Total 5 4 2 7_Table" xfId="8876"/>
    <cellStyle name="Total 5 4 2 8" xfId="4075"/>
    <cellStyle name="Total 5 4 2 8 2" xfId="13403"/>
    <cellStyle name="Total 5 4 2 8 2 2" xfId="26709"/>
    <cellStyle name="Total 5 4 2 8 3" xfId="17813"/>
    <cellStyle name="Total 5 4 2 8 3 2" xfId="31119"/>
    <cellStyle name="Total 5 4 2 8 4" xfId="22299"/>
    <cellStyle name="Total 5 4 2 8_Table" xfId="8877"/>
    <cellStyle name="Total 5 4 2 9" xfId="4436"/>
    <cellStyle name="Total 5 4 2 9 2" xfId="13764"/>
    <cellStyle name="Total 5 4 2 9 2 2" xfId="27070"/>
    <cellStyle name="Total 5 4 2 9 3" xfId="18174"/>
    <cellStyle name="Total 5 4 2 9 3 2" xfId="31480"/>
    <cellStyle name="Total 5 4 2 9 4" xfId="22660"/>
    <cellStyle name="Total 5 4 2 9_Table" xfId="8878"/>
    <cellStyle name="Total 5 4 2_Table" xfId="8869"/>
    <cellStyle name="Total 5 4 3" xfId="1360"/>
    <cellStyle name="Total 5 4 3 2" xfId="10688"/>
    <cellStyle name="Total 5 4 3 2 2" xfId="23994"/>
    <cellStyle name="Total 5 4 3 3" xfId="15098"/>
    <cellStyle name="Total 5 4 3 3 2" xfId="28404"/>
    <cellStyle name="Total 5 4 3 4" xfId="19584"/>
    <cellStyle name="Total 5 4 3_Table" xfId="8879"/>
    <cellStyle name="Total 5 4 4" xfId="1717"/>
    <cellStyle name="Total 5 4 4 2" xfId="11045"/>
    <cellStyle name="Total 5 4 4 2 2" xfId="24351"/>
    <cellStyle name="Total 5 4 4 3" xfId="15455"/>
    <cellStyle name="Total 5 4 4 3 2" xfId="28761"/>
    <cellStyle name="Total 5 4 4 4" xfId="19941"/>
    <cellStyle name="Total 5 4 4_Table" xfId="8880"/>
    <cellStyle name="Total 5 4 5" xfId="2151"/>
    <cellStyle name="Total 5 4 5 2" xfId="11479"/>
    <cellStyle name="Total 5 4 5 2 2" xfId="24785"/>
    <cellStyle name="Total 5 4 5 3" xfId="15889"/>
    <cellStyle name="Total 5 4 5 3 2" xfId="29195"/>
    <cellStyle name="Total 5 4 5 4" xfId="20375"/>
    <cellStyle name="Total 5 4 5_Table" xfId="8881"/>
    <cellStyle name="Total 5 4 6" xfId="2583"/>
    <cellStyle name="Total 5 4 6 2" xfId="11911"/>
    <cellStyle name="Total 5 4 6 2 2" xfId="25217"/>
    <cellStyle name="Total 5 4 6 3" xfId="16321"/>
    <cellStyle name="Total 5 4 6 3 2" xfId="29627"/>
    <cellStyle name="Total 5 4 6 4" xfId="20807"/>
    <cellStyle name="Total 5 4 6_Table" xfId="8882"/>
    <cellStyle name="Total 5 4 7" xfId="3009"/>
    <cellStyle name="Total 5 4 7 2" xfId="12337"/>
    <cellStyle name="Total 5 4 7 2 2" xfId="25643"/>
    <cellStyle name="Total 5 4 7 3" xfId="16747"/>
    <cellStyle name="Total 5 4 7 3 2" xfId="30053"/>
    <cellStyle name="Total 5 4 7 4" xfId="21233"/>
    <cellStyle name="Total 5 4 7_Table" xfId="8883"/>
    <cellStyle name="Total 5 4 8" xfId="3423"/>
    <cellStyle name="Total 5 4 8 2" xfId="12751"/>
    <cellStyle name="Total 5 4 8 2 2" xfId="26057"/>
    <cellStyle name="Total 5 4 8 3" xfId="17161"/>
    <cellStyle name="Total 5 4 8 3 2" xfId="30467"/>
    <cellStyle name="Total 5 4 8 4" xfId="21647"/>
    <cellStyle name="Total 5 4 8_Table" xfId="8884"/>
    <cellStyle name="Total 5 4 9" xfId="3532"/>
    <cellStyle name="Total 5 4 9 2" xfId="12860"/>
    <cellStyle name="Total 5 4 9 2 2" xfId="26166"/>
    <cellStyle name="Total 5 4 9 3" xfId="17270"/>
    <cellStyle name="Total 5 4 9 3 2" xfId="30576"/>
    <cellStyle name="Total 5 4 9 4" xfId="21756"/>
    <cellStyle name="Total 5 4 9_Table" xfId="8885"/>
    <cellStyle name="Total 5 4_Table" xfId="8866"/>
    <cellStyle name="Total 5 5" xfId="640"/>
    <cellStyle name="Total 5 5 10" xfId="4256"/>
    <cellStyle name="Total 5 5 10 2" xfId="13584"/>
    <cellStyle name="Total 5 5 10 2 2" xfId="26890"/>
    <cellStyle name="Total 5 5 10 3" xfId="17994"/>
    <cellStyle name="Total 5 5 10 3 2" xfId="31300"/>
    <cellStyle name="Total 5 5 10 4" xfId="22480"/>
    <cellStyle name="Total 5 5 10_Table" xfId="8887"/>
    <cellStyle name="Total 5 5 11" xfId="4617"/>
    <cellStyle name="Total 5 5 11 2" xfId="13945"/>
    <cellStyle name="Total 5 5 11 2 2" xfId="27251"/>
    <cellStyle name="Total 5 5 11 3" xfId="18355"/>
    <cellStyle name="Total 5 5 11 3 2" xfId="31661"/>
    <cellStyle name="Total 5 5 11 4" xfId="22841"/>
    <cellStyle name="Total 5 5 11_Table" xfId="8888"/>
    <cellStyle name="Total 5 5 12" xfId="9968"/>
    <cellStyle name="Total 5 5 12 2" xfId="23291"/>
    <cellStyle name="Total 5 5 13" xfId="14395"/>
    <cellStyle name="Total 5 5 13 2" xfId="27701"/>
    <cellStyle name="Total 5 5 14" xfId="18881"/>
    <cellStyle name="Total 5 5 2" xfId="882"/>
    <cellStyle name="Total 5 5 2 10" xfId="4842"/>
    <cellStyle name="Total 5 5 2 10 2" xfId="14170"/>
    <cellStyle name="Total 5 5 2 10 2 2" xfId="27476"/>
    <cellStyle name="Total 5 5 2 10 3" xfId="18580"/>
    <cellStyle name="Total 5 5 2 10 3 2" xfId="31886"/>
    <cellStyle name="Total 5 5 2 10 4" xfId="23066"/>
    <cellStyle name="Total 5 5 2 10_Table" xfId="8890"/>
    <cellStyle name="Total 5 5 2 11" xfId="10210"/>
    <cellStyle name="Total 5 5 2 11 2" xfId="23516"/>
    <cellStyle name="Total 5 5 2 12" xfId="14620"/>
    <cellStyle name="Total 5 5 2 12 2" xfId="27926"/>
    <cellStyle name="Total 5 5 2 13" xfId="19106"/>
    <cellStyle name="Total 5 5 2 2" xfId="1668"/>
    <cellStyle name="Total 5 5 2 2 2" xfId="10996"/>
    <cellStyle name="Total 5 5 2 2 2 2" xfId="24302"/>
    <cellStyle name="Total 5 5 2 2 3" xfId="15406"/>
    <cellStyle name="Total 5 5 2 2 3 2" xfId="28712"/>
    <cellStyle name="Total 5 5 2 2 4" xfId="19892"/>
    <cellStyle name="Total 5 5 2 2_Table" xfId="8891"/>
    <cellStyle name="Total 5 5 2 3" xfId="2028"/>
    <cellStyle name="Total 5 5 2 3 2" xfId="11356"/>
    <cellStyle name="Total 5 5 2 3 2 2" xfId="24662"/>
    <cellStyle name="Total 5 5 2 3 3" xfId="15766"/>
    <cellStyle name="Total 5 5 2 3 3 2" xfId="29072"/>
    <cellStyle name="Total 5 5 2 3 4" xfId="20252"/>
    <cellStyle name="Total 5 5 2 3_Table" xfId="8892"/>
    <cellStyle name="Total 5 5 2 4" xfId="2458"/>
    <cellStyle name="Total 5 5 2 4 2" xfId="11786"/>
    <cellStyle name="Total 5 5 2 4 2 2" xfId="25092"/>
    <cellStyle name="Total 5 5 2 4 3" xfId="16196"/>
    <cellStyle name="Total 5 5 2 4 3 2" xfId="29502"/>
    <cellStyle name="Total 5 5 2 4 4" xfId="20682"/>
    <cellStyle name="Total 5 5 2 4_Table" xfId="8893"/>
    <cellStyle name="Total 5 5 2 5" xfId="2896"/>
    <cellStyle name="Total 5 5 2 5 2" xfId="12224"/>
    <cellStyle name="Total 5 5 2 5 2 2" xfId="25530"/>
    <cellStyle name="Total 5 5 2 5 3" xfId="16634"/>
    <cellStyle name="Total 5 5 2 5 3 2" xfId="29940"/>
    <cellStyle name="Total 5 5 2 5 4" xfId="21120"/>
    <cellStyle name="Total 5 5 2 5_Table" xfId="8894"/>
    <cellStyle name="Total 5 5 2 6" xfId="3303"/>
    <cellStyle name="Total 5 5 2 6 2" xfId="12631"/>
    <cellStyle name="Total 5 5 2 6 2 2" xfId="25937"/>
    <cellStyle name="Total 5 5 2 6 3" xfId="17041"/>
    <cellStyle name="Total 5 5 2 6 3 2" xfId="30347"/>
    <cellStyle name="Total 5 5 2 6 4" xfId="21527"/>
    <cellStyle name="Total 5 5 2 6_Table" xfId="8895"/>
    <cellStyle name="Total 5 5 2 7" xfId="3895"/>
    <cellStyle name="Total 5 5 2 7 2" xfId="13223"/>
    <cellStyle name="Total 5 5 2 7 2 2" xfId="26529"/>
    <cellStyle name="Total 5 5 2 7 3" xfId="17633"/>
    <cellStyle name="Total 5 5 2 7 3 2" xfId="30939"/>
    <cellStyle name="Total 5 5 2 7 4" xfId="22119"/>
    <cellStyle name="Total 5 5 2 7_Table" xfId="8896"/>
    <cellStyle name="Total 5 5 2 8" xfId="4120"/>
    <cellStyle name="Total 5 5 2 8 2" xfId="13448"/>
    <cellStyle name="Total 5 5 2 8 2 2" xfId="26754"/>
    <cellStyle name="Total 5 5 2 8 3" xfId="17858"/>
    <cellStyle name="Total 5 5 2 8 3 2" xfId="31164"/>
    <cellStyle name="Total 5 5 2 8 4" xfId="22344"/>
    <cellStyle name="Total 5 5 2 8_Table" xfId="8897"/>
    <cellStyle name="Total 5 5 2 9" xfId="4481"/>
    <cellStyle name="Total 5 5 2 9 2" xfId="13809"/>
    <cellStyle name="Total 5 5 2 9 2 2" xfId="27115"/>
    <cellStyle name="Total 5 5 2 9 3" xfId="18219"/>
    <cellStyle name="Total 5 5 2 9 3 2" xfId="31525"/>
    <cellStyle name="Total 5 5 2 9 4" xfId="22705"/>
    <cellStyle name="Total 5 5 2 9_Table" xfId="8898"/>
    <cellStyle name="Total 5 5 2_Table" xfId="8889"/>
    <cellStyle name="Total 5 5 3" xfId="1427"/>
    <cellStyle name="Total 5 5 3 2" xfId="10755"/>
    <cellStyle name="Total 5 5 3 2 2" xfId="24061"/>
    <cellStyle name="Total 5 5 3 3" xfId="15165"/>
    <cellStyle name="Total 5 5 3 3 2" xfId="28471"/>
    <cellStyle name="Total 5 5 3 4" xfId="19651"/>
    <cellStyle name="Total 5 5 3_Table" xfId="8899"/>
    <cellStyle name="Total 5 5 4" xfId="1787"/>
    <cellStyle name="Total 5 5 4 2" xfId="11115"/>
    <cellStyle name="Total 5 5 4 2 2" xfId="24421"/>
    <cellStyle name="Total 5 5 4 3" xfId="15525"/>
    <cellStyle name="Total 5 5 4 3 2" xfId="28831"/>
    <cellStyle name="Total 5 5 4 4" xfId="20011"/>
    <cellStyle name="Total 5 5 4_Table" xfId="8900"/>
    <cellStyle name="Total 5 5 5" xfId="2220"/>
    <cellStyle name="Total 5 5 5 2" xfId="11548"/>
    <cellStyle name="Total 5 5 5 2 2" xfId="24854"/>
    <cellStyle name="Total 5 5 5 3" xfId="15958"/>
    <cellStyle name="Total 5 5 5 3 2" xfId="29264"/>
    <cellStyle name="Total 5 5 5 4" xfId="20444"/>
    <cellStyle name="Total 5 5 5_Table" xfId="8901"/>
    <cellStyle name="Total 5 5 6" xfId="2655"/>
    <cellStyle name="Total 5 5 6 2" xfId="11983"/>
    <cellStyle name="Total 5 5 6 2 2" xfId="25289"/>
    <cellStyle name="Total 5 5 6 3" xfId="16393"/>
    <cellStyle name="Total 5 5 6 3 2" xfId="29699"/>
    <cellStyle name="Total 5 5 6 4" xfId="20879"/>
    <cellStyle name="Total 5 5 6_Table" xfId="8902"/>
    <cellStyle name="Total 5 5 7" xfId="3068"/>
    <cellStyle name="Total 5 5 7 2" xfId="12396"/>
    <cellStyle name="Total 5 5 7 2 2" xfId="25702"/>
    <cellStyle name="Total 5 5 7 3" xfId="16806"/>
    <cellStyle name="Total 5 5 7 3 2" xfId="30112"/>
    <cellStyle name="Total 5 5 7 4" xfId="21292"/>
    <cellStyle name="Total 5 5 7_Table" xfId="8903"/>
    <cellStyle name="Total 5 5 8" xfId="3494"/>
    <cellStyle name="Total 5 5 8 2" xfId="12822"/>
    <cellStyle name="Total 5 5 8 2 2" xfId="26128"/>
    <cellStyle name="Total 5 5 8 3" xfId="17232"/>
    <cellStyle name="Total 5 5 8 3 2" xfId="30538"/>
    <cellStyle name="Total 5 5 8 4" xfId="21718"/>
    <cellStyle name="Total 5 5 8_Table" xfId="8904"/>
    <cellStyle name="Total 5 5 9" xfId="3543"/>
    <cellStyle name="Total 5 5 9 2" xfId="12871"/>
    <cellStyle name="Total 5 5 9 2 2" xfId="26177"/>
    <cellStyle name="Total 5 5 9 3" xfId="17281"/>
    <cellStyle name="Total 5 5 9 3 2" xfId="30587"/>
    <cellStyle name="Total 5 5 9 4" xfId="21767"/>
    <cellStyle name="Total 5 5 9_Table" xfId="8905"/>
    <cellStyle name="Total 5 5_Table" xfId="8886"/>
    <cellStyle name="Total 5 6" xfId="702"/>
    <cellStyle name="Total 5 6 10" xfId="4662"/>
    <cellStyle name="Total 5 6 10 2" xfId="13990"/>
    <cellStyle name="Total 5 6 10 2 2" xfId="27296"/>
    <cellStyle name="Total 5 6 10 3" xfId="18400"/>
    <cellStyle name="Total 5 6 10 3 2" xfId="31706"/>
    <cellStyle name="Total 5 6 10 4" xfId="22886"/>
    <cellStyle name="Total 5 6 10_Table" xfId="8907"/>
    <cellStyle name="Total 5 6 11" xfId="10030"/>
    <cellStyle name="Total 5 6 11 2" xfId="23336"/>
    <cellStyle name="Total 5 6 12" xfId="14440"/>
    <cellStyle name="Total 5 6 12 2" xfId="27746"/>
    <cellStyle name="Total 5 6 13" xfId="18926"/>
    <cellStyle name="Total 5 6 2" xfId="1488"/>
    <cellStyle name="Total 5 6 2 2" xfId="10816"/>
    <cellStyle name="Total 5 6 2 2 2" xfId="24122"/>
    <cellStyle name="Total 5 6 2 3" xfId="15226"/>
    <cellStyle name="Total 5 6 2 3 2" xfId="28532"/>
    <cellStyle name="Total 5 6 2 4" xfId="19712"/>
    <cellStyle name="Total 5 6 2_Table" xfId="8908"/>
    <cellStyle name="Total 5 6 3" xfId="1848"/>
    <cellStyle name="Total 5 6 3 2" xfId="11176"/>
    <cellStyle name="Total 5 6 3 2 2" xfId="24482"/>
    <cellStyle name="Total 5 6 3 3" xfId="15586"/>
    <cellStyle name="Total 5 6 3 3 2" xfId="28892"/>
    <cellStyle name="Total 5 6 3 4" xfId="20072"/>
    <cellStyle name="Total 5 6 3_Table" xfId="8909"/>
    <cellStyle name="Total 5 6 4" xfId="2278"/>
    <cellStyle name="Total 5 6 4 2" xfId="11606"/>
    <cellStyle name="Total 5 6 4 2 2" xfId="24912"/>
    <cellStyle name="Total 5 6 4 3" xfId="16016"/>
    <cellStyle name="Total 5 6 4 3 2" xfId="29322"/>
    <cellStyle name="Total 5 6 4 4" xfId="20502"/>
    <cellStyle name="Total 5 6 4_Table" xfId="8910"/>
    <cellStyle name="Total 5 6 5" xfId="2716"/>
    <cellStyle name="Total 5 6 5 2" xfId="12044"/>
    <cellStyle name="Total 5 6 5 2 2" xfId="25350"/>
    <cellStyle name="Total 5 6 5 3" xfId="16454"/>
    <cellStyle name="Total 5 6 5 3 2" xfId="29760"/>
    <cellStyle name="Total 5 6 5 4" xfId="20940"/>
    <cellStyle name="Total 5 6 5_Table" xfId="8911"/>
    <cellStyle name="Total 5 6 6" xfId="3123"/>
    <cellStyle name="Total 5 6 6 2" xfId="12451"/>
    <cellStyle name="Total 5 6 6 2 2" xfId="25757"/>
    <cellStyle name="Total 5 6 6 3" xfId="16861"/>
    <cellStyle name="Total 5 6 6 3 2" xfId="30167"/>
    <cellStyle name="Total 5 6 6 4" xfId="21347"/>
    <cellStyle name="Total 5 6 6_Table" xfId="8912"/>
    <cellStyle name="Total 5 6 7" xfId="3715"/>
    <cellStyle name="Total 5 6 7 2" xfId="13043"/>
    <cellStyle name="Total 5 6 7 2 2" xfId="26349"/>
    <cellStyle name="Total 5 6 7 3" xfId="17453"/>
    <cellStyle name="Total 5 6 7 3 2" xfId="30759"/>
    <cellStyle name="Total 5 6 7 4" xfId="21939"/>
    <cellStyle name="Total 5 6 7_Table" xfId="8913"/>
    <cellStyle name="Total 5 6 8" xfId="3940"/>
    <cellStyle name="Total 5 6 8 2" xfId="13268"/>
    <cellStyle name="Total 5 6 8 2 2" xfId="26574"/>
    <cellStyle name="Total 5 6 8 3" xfId="17678"/>
    <cellStyle name="Total 5 6 8 3 2" xfId="30984"/>
    <cellStyle name="Total 5 6 8 4" xfId="22164"/>
    <cellStyle name="Total 5 6 8_Table" xfId="8914"/>
    <cellStyle name="Total 5 6 9" xfId="4301"/>
    <cellStyle name="Total 5 6 9 2" xfId="13629"/>
    <cellStyle name="Total 5 6 9 2 2" xfId="26935"/>
    <cellStyle name="Total 5 6 9 3" xfId="18039"/>
    <cellStyle name="Total 5 6 9 3 2" xfId="31345"/>
    <cellStyle name="Total 5 6 9 4" xfId="22525"/>
    <cellStyle name="Total 5 6 9_Table" xfId="8915"/>
    <cellStyle name="Total 5 6_Table" xfId="8906"/>
    <cellStyle name="Total 5 7" xfId="1203"/>
    <cellStyle name="Total 5 7 2" xfId="10531"/>
    <cellStyle name="Total 5 7 2 2" xfId="23837"/>
    <cellStyle name="Total 5 7 3" xfId="14941"/>
    <cellStyle name="Total 5 7 3 2" xfId="28247"/>
    <cellStyle name="Total 5 7 4" xfId="19427"/>
    <cellStyle name="Total 5 7_Table" xfId="8916"/>
    <cellStyle name="Total 5 8" xfId="1039"/>
    <cellStyle name="Total 5 8 2" xfId="10367"/>
    <cellStyle name="Total 5 8 2 2" xfId="23673"/>
    <cellStyle name="Total 5 8 3" xfId="14777"/>
    <cellStyle name="Total 5 8 3 2" xfId="28083"/>
    <cellStyle name="Total 5 8 4" xfId="19263"/>
    <cellStyle name="Total 5 8_Table" xfId="8917"/>
    <cellStyle name="Total 5 9" xfId="1265"/>
    <cellStyle name="Total 5 9 2" xfId="10593"/>
    <cellStyle name="Total 5 9 2 2" xfId="23899"/>
    <cellStyle name="Total 5 9 3" xfId="15003"/>
    <cellStyle name="Total 5 9 3 2" xfId="28309"/>
    <cellStyle name="Total 5 9 4" xfId="19489"/>
    <cellStyle name="Total 5 9_Table" xfId="8918"/>
    <cellStyle name="Total 5_Table" xfId="8819"/>
    <cellStyle name="Total 6" xfId="372"/>
    <cellStyle name="Total 6 10" xfId="903"/>
    <cellStyle name="Total 6 10 2" xfId="10231"/>
    <cellStyle name="Total 6 10 2 2" xfId="23537"/>
    <cellStyle name="Total 6 10 3" xfId="14641"/>
    <cellStyle name="Total 6 10 3 2" xfId="27947"/>
    <cellStyle name="Total 6 10 4" xfId="19127"/>
    <cellStyle name="Total 6 10_Table" xfId="8920"/>
    <cellStyle name="Total 6 11" xfId="2101"/>
    <cellStyle name="Total 6 11 2" xfId="11429"/>
    <cellStyle name="Total 6 11 2 2" xfId="24735"/>
    <cellStyle name="Total 6 11 3" xfId="15839"/>
    <cellStyle name="Total 6 11 3 2" xfId="29145"/>
    <cellStyle name="Total 6 11 4" xfId="20325"/>
    <cellStyle name="Total 6 11_Table" xfId="8921"/>
    <cellStyle name="Total 6 12" xfId="2532"/>
    <cellStyle name="Total 6 12 2" xfId="11860"/>
    <cellStyle name="Total 6 12 2 2" xfId="25166"/>
    <cellStyle name="Total 6 12 3" xfId="16270"/>
    <cellStyle name="Total 6 12 3 2" xfId="29576"/>
    <cellStyle name="Total 6 12 4" xfId="20756"/>
    <cellStyle name="Total 6 12_Table" xfId="8922"/>
    <cellStyle name="Total 6 13" xfId="3381"/>
    <cellStyle name="Total 6 13 2" xfId="12709"/>
    <cellStyle name="Total 6 13 2 2" xfId="26015"/>
    <cellStyle name="Total 6 13 3" xfId="17119"/>
    <cellStyle name="Total 6 13 3 2" xfId="30425"/>
    <cellStyle name="Total 6 13 4" xfId="21605"/>
    <cellStyle name="Total 6 13_Table" xfId="8923"/>
    <cellStyle name="Total 6 14" xfId="3613"/>
    <cellStyle name="Total 6 14 2" xfId="12941"/>
    <cellStyle name="Total 6 14 2 2" xfId="26247"/>
    <cellStyle name="Total 6 14 3" xfId="17351"/>
    <cellStyle name="Total 6 14 3 2" xfId="30657"/>
    <cellStyle name="Total 6 14 4" xfId="21837"/>
    <cellStyle name="Total 6 14_Table" xfId="8924"/>
    <cellStyle name="Total 6 15" xfId="2674"/>
    <cellStyle name="Total 6 15 2" xfId="12002"/>
    <cellStyle name="Total 6 15 2 2" xfId="25308"/>
    <cellStyle name="Total 6 15 3" xfId="16412"/>
    <cellStyle name="Total 6 15 3 2" xfId="29718"/>
    <cellStyle name="Total 6 15 4" xfId="20898"/>
    <cellStyle name="Total 6 15_Table" xfId="8925"/>
    <cellStyle name="Total 6 16" xfId="9700"/>
    <cellStyle name="Total 6 16 2" xfId="23112"/>
    <cellStyle name="Total 6 17" xfId="14216"/>
    <cellStyle name="Total 6 17 2" xfId="27522"/>
    <cellStyle name="Total 6 18" xfId="18702"/>
    <cellStyle name="Total 6 2" xfId="434"/>
    <cellStyle name="Total 6 2 10" xfId="2963"/>
    <cellStyle name="Total 6 2 10 2" xfId="12291"/>
    <cellStyle name="Total 6 2 10 2 2" xfId="25597"/>
    <cellStyle name="Total 6 2 10 3" xfId="16701"/>
    <cellStyle name="Total 6 2 10 3 2" xfId="30007"/>
    <cellStyle name="Total 6 2 10 4" xfId="21187"/>
    <cellStyle name="Total 6 2 10_Table" xfId="8927"/>
    <cellStyle name="Total 6 2 11" xfId="2480"/>
    <cellStyle name="Total 6 2 11 2" xfId="11808"/>
    <cellStyle name="Total 6 2 11 2 2" xfId="25114"/>
    <cellStyle name="Total 6 2 11 3" xfId="16218"/>
    <cellStyle name="Total 6 2 11 3 2" xfId="29524"/>
    <cellStyle name="Total 6 2 11 4" xfId="20704"/>
    <cellStyle name="Total 6 2 11_Table" xfId="8928"/>
    <cellStyle name="Total 6 2 12" xfId="9762"/>
    <cellStyle name="Total 6 2 12 2" xfId="23157"/>
    <cellStyle name="Total 6 2 13" xfId="14261"/>
    <cellStyle name="Total 6 2 13 2" xfId="27567"/>
    <cellStyle name="Total 6 2 14" xfId="18747"/>
    <cellStyle name="Total 6 2 2" xfId="748"/>
    <cellStyle name="Total 6 2 2 10" xfId="4708"/>
    <cellStyle name="Total 6 2 2 10 2" xfId="14036"/>
    <cellStyle name="Total 6 2 2 10 2 2" xfId="27342"/>
    <cellStyle name="Total 6 2 2 10 3" xfId="18446"/>
    <cellStyle name="Total 6 2 2 10 3 2" xfId="31752"/>
    <cellStyle name="Total 6 2 2 10 4" xfId="22932"/>
    <cellStyle name="Total 6 2 2 10_Table" xfId="8930"/>
    <cellStyle name="Total 6 2 2 11" xfId="10076"/>
    <cellStyle name="Total 6 2 2 11 2" xfId="23382"/>
    <cellStyle name="Total 6 2 2 12" xfId="14486"/>
    <cellStyle name="Total 6 2 2 12 2" xfId="27792"/>
    <cellStyle name="Total 6 2 2 13" xfId="18972"/>
    <cellStyle name="Total 6 2 2 2" xfId="1534"/>
    <cellStyle name="Total 6 2 2 2 2" xfId="10862"/>
    <cellStyle name="Total 6 2 2 2 2 2" xfId="24168"/>
    <cellStyle name="Total 6 2 2 2 3" xfId="15272"/>
    <cellStyle name="Total 6 2 2 2 3 2" xfId="28578"/>
    <cellStyle name="Total 6 2 2 2 4" xfId="19758"/>
    <cellStyle name="Total 6 2 2 2_Table" xfId="8931"/>
    <cellStyle name="Total 6 2 2 3" xfId="1894"/>
    <cellStyle name="Total 6 2 2 3 2" xfId="11222"/>
    <cellStyle name="Total 6 2 2 3 2 2" xfId="24528"/>
    <cellStyle name="Total 6 2 2 3 3" xfId="15632"/>
    <cellStyle name="Total 6 2 2 3 3 2" xfId="28938"/>
    <cellStyle name="Total 6 2 2 3 4" xfId="20118"/>
    <cellStyle name="Total 6 2 2 3_Table" xfId="8932"/>
    <cellStyle name="Total 6 2 2 4" xfId="2324"/>
    <cellStyle name="Total 6 2 2 4 2" xfId="11652"/>
    <cellStyle name="Total 6 2 2 4 2 2" xfId="24958"/>
    <cellStyle name="Total 6 2 2 4 3" xfId="16062"/>
    <cellStyle name="Total 6 2 2 4 3 2" xfId="29368"/>
    <cellStyle name="Total 6 2 2 4 4" xfId="20548"/>
    <cellStyle name="Total 6 2 2 4_Table" xfId="8933"/>
    <cellStyle name="Total 6 2 2 5" xfId="2762"/>
    <cellStyle name="Total 6 2 2 5 2" xfId="12090"/>
    <cellStyle name="Total 6 2 2 5 2 2" xfId="25396"/>
    <cellStyle name="Total 6 2 2 5 3" xfId="16500"/>
    <cellStyle name="Total 6 2 2 5 3 2" xfId="29806"/>
    <cellStyle name="Total 6 2 2 5 4" xfId="20986"/>
    <cellStyle name="Total 6 2 2 5_Table" xfId="8934"/>
    <cellStyle name="Total 6 2 2 6" xfId="3169"/>
    <cellStyle name="Total 6 2 2 6 2" xfId="12497"/>
    <cellStyle name="Total 6 2 2 6 2 2" xfId="25803"/>
    <cellStyle name="Total 6 2 2 6 3" xfId="16907"/>
    <cellStyle name="Total 6 2 2 6 3 2" xfId="30213"/>
    <cellStyle name="Total 6 2 2 6 4" xfId="21393"/>
    <cellStyle name="Total 6 2 2 6_Table" xfId="8935"/>
    <cellStyle name="Total 6 2 2 7" xfId="3761"/>
    <cellStyle name="Total 6 2 2 7 2" xfId="13089"/>
    <cellStyle name="Total 6 2 2 7 2 2" xfId="26395"/>
    <cellStyle name="Total 6 2 2 7 3" xfId="17499"/>
    <cellStyle name="Total 6 2 2 7 3 2" xfId="30805"/>
    <cellStyle name="Total 6 2 2 7 4" xfId="21985"/>
    <cellStyle name="Total 6 2 2 7_Table" xfId="8936"/>
    <cellStyle name="Total 6 2 2 8" xfId="3986"/>
    <cellStyle name="Total 6 2 2 8 2" xfId="13314"/>
    <cellStyle name="Total 6 2 2 8 2 2" xfId="26620"/>
    <cellStyle name="Total 6 2 2 8 3" xfId="17724"/>
    <cellStyle name="Total 6 2 2 8 3 2" xfId="31030"/>
    <cellStyle name="Total 6 2 2 8 4" xfId="22210"/>
    <cellStyle name="Total 6 2 2 8_Table" xfId="8937"/>
    <cellStyle name="Total 6 2 2 9" xfId="4347"/>
    <cellStyle name="Total 6 2 2 9 2" xfId="13675"/>
    <cellStyle name="Total 6 2 2 9 2 2" xfId="26981"/>
    <cellStyle name="Total 6 2 2 9 3" xfId="18085"/>
    <cellStyle name="Total 6 2 2 9 3 2" xfId="31391"/>
    <cellStyle name="Total 6 2 2 9 4" xfId="22571"/>
    <cellStyle name="Total 6 2 2 9_Table" xfId="8938"/>
    <cellStyle name="Total 6 2 2_Table" xfId="8929"/>
    <cellStyle name="Total 6 2 3" xfId="1248"/>
    <cellStyle name="Total 6 2 3 2" xfId="10576"/>
    <cellStyle name="Total 6 2 3 2 2" xfId="23882"/>
    <cellStyle name="Total 6 2 3 3" xfId="14986"/>
    <cellStyle name="Total 6 2 3 3 2" xfId="28292"/>
    <cellStyle name="Total 6 2 3 4" xfId="19472"/>
    <cellStyle name="Total 6 2 3_Table" xfId="8939"/>
    <cellStyle name="Total 6 2 4" xfId="978"/>
    <cellStyle name="Total 6 2 4 2" xfId="10306"/>
    <cellStyle name="Total 6 2 4 2 2" xfId="23612"/>
    <cellStyle name="Total 6 2 4 3" xfId="14716"/>
    <cellStyle name="Total 6 2 4 3 2" xfId="28022"/>
    <cellStyle name="Total 6 2 4 4" xfId="19202"/>
    <cellStyle name="Total 6 2 4_Table" xfId="8940"/>
    <cellStyle name="Total 6 2 5" xfId="1192"/>
    <cellStyle name="Total 6 2 5 2" xfId="10520"/>
    <cellStyle name="Total 6 2 5 2 2" xfId="23826"/>
    <cellStyle name="Total 6 2 5 3" xfId="14930"/>
    <cellStyle name="Total 6 2 5 3 2" xfId="28236"/>
    <cellStyle name="Total 6 2 5 4" xfId="19416"/>
    <cellStyle name="Total 6 2 5_Table" xfId="8941"/>
    <cellStyle name="Total 6 2 6" xfId="1045"/>
    <cellStyle name="Total 6 2 6 2" xfId="10373"/>
    <cellStyle name="Total 6 2 6 2 2" xfId="23679"/>
    <cellStyle name="Total 6 2 6 3" xfId="14783"/>
    <cellStyle name="Total 6 2 6 3 2" xfId="28089"/>
    <cellStyle name="Total 6 2 6 4" xfId="19269"/>
    <cellStyle name="Total 6 2 6_Table" xfId="8942"/>
    <cellStyle name="Total 6 2 7" xfId="1385"/>
    <cellStyle name="Total 6 2 7 2" xfId="10713"/>
    <cellStyle name="Total 6 2 7 2 2" xfId="24019"/>
    <cellStyle name="Total 6 2 7 3" xfId="15123"/>
    <cellStyle name="Total 6 2 7 3 2" xfId="28429"/>
    <cellStyle name="Total 6 2 7 4" xfId="19609"/>
    <cellStyle name="Total 6 2 7_Table" xfId="8943"/>
    <cellStyle name="Total 6 2 8" xfId="958"/>
    <cellStyle name="Total 6 2 8 2" xfId="10286"/>
    <cellStyle name="Total 6 2 8 2 2" xfId="23592"/>
    <cellStyle name="Total 6 2 8 3" xfId="14696"/>
    <cellStyle name="Total 6 2 8 3 2" xfId="28002"/>
    <cellStyle name="Total 6 2 8 4" xfId="19182"/>
    <cellStyle name="Total 6 2 8_Table" xfId="8944"/>
    <cellStyle name="Total 6 2 9" xfId="3376"/>
    <cellStyle name="Total 6 2 9 2" xfId="12704"/>
    <cellStyle name="Total 6 2 9 2 2" xfId="26010"/>
    <cellStyle name="Total 6 2 9 3" xfId="17114"/>
    <cellStyle name="Total 6 2 9 3 2" xfId="30420"/>
    <cellStyle name="Total 6 2 9 4" xfId="21600"/>
    <cellStyle name="Total 6 2 9_Table" xfId="8945"/>
    <cellStyle name="Total 6 2_Table" xfId="8926"/>
    <cellStyle name="Total 6 3" xfId="502"/>
    <cellStyle name="Total 6 3 10" xfId="4167"/>
    <cellStyle name="Total 6 3 10 2" xfId="13495"/>
    <cellStyle name="Total 6 3 10 2 2" xfId="26801"/>
    <cellStyle name="Total 6 3 10 3" xfId="17905"/>
    <cellStyle name="Total 6 3 10 3 2" xfId="31211"/>
    <cellStyle name="Total 6 3 10 4" xfId="22391"/>
    <cellStyle name="Total 6 3 10_Table" xfId="8947"/>
    <cellStyle name="Total 6 3 11" xfId="4528"/>
    <cellStyle name="Total 6 3 11 2" xfId="13856"/>
    <cellStyle name="Total 6 3 11 2 2" xfId="27162"/>
    <cellStyle name="Total 6 3 11 3" xfId="18266"/>
    <cellStyle name="Total 6 3 11 3 2" xfId="31572"/>
    <cellStyle name="Total 6 3 11 4" xfId="22752"/>
    <cellStyle name="Total 6 3 11_Table" xfId="8948"/>
    <cellStyle name="Total 6 3 12" xfId="9830"/>
    <cellStyle name="Total 6 3 12 2" xfId="23202"/>
    <cellStyle name="Total 6 3 13" xfId="14306"/>
    <cellStyle name="Total 6 3 13 2" xfId="27612"/>
    <cellStyle name="Total 6 3 14" xfId="18792"/>
    <cellStyle name="Total 6 3 2" xfId="793"/>
    <cellStyle name="Total 6 3 2 10" xfId="4753"/>
    <cellStyle name="Total 6 3 2 10 2" xfId="14081"/>
    <cellStyle name="Total 6 3 2 10 2 2" xfId="27387"/>
    <cellStyle name="Total 6 3 2 10 3" xfId="18491"/>
    <cellStyle name="Total 6 3 2 10 3 2" xfId="31797"/>
    <cellStyle name="Total 6 3 2 10 4" xfId="22977"/>
    <cellStyle name="Total 6 3 2 10_Table" xfId="8950"/>
    <cellStyle name="Total 6 3 2 11" xfId="10121"/>
    <cellStyle name="Total 6 3 2 11 2" xfId="23427"/>
    <cellStyle name="Total 6 3 2 12" xfId="14531"/>
    <cellStyle name="Total 6 3 2 12 2" xfId="27837"/>
    <cellStyle name="Total 6 3 2 13" xfId="19017"/>
    <cellStyle name="Total 6 3 2 2" xfId="1579"/>
    <cellStyle name="Total 6 3 2 2 2" xfId="10907"/>
    <cellStyle name="Total 6 3 2 2 2 2" xfId="24213"/>
    <cellStyle name="Total 6 3 2 2 3" xfId="15317"/>
    <cellStyle name="Total 6 3 2 2 3 2" xfId="28623"/>
    <cellStyle name="Total 6 3 2 2 4" xfId="19803"/>
    <cellStyle name="Total 6 3 2 2_Table" xfId="8951"/>
    <cellStyle name="Total 6 3 2 3" xfId="1939"/>
    <cellStyle name="Total 6 3 2 3 2" xfId="11267"/>
    <cellStyle name="Total 6 3 2 3 2 2" xfId="24573"/>
    <cellStyle name="Total 6 3 2 3 3" xfId="15677"/>
    <cellStyle name="Total 6 3 2 3 3 2" xfId="28983"/>
    <cellStyle name="Total 6 3 2 3 4" xfId="20163"/>
    <cellStyle name="Total 6 3 2 3_Table" xfId="8952"/>
    <cellStyle name="Total 6 3 2 4" xfId="2369"/>
    <cellStyle name="Total 6 3 2 4 2" xfId="11697"/>
    <cellStyle name="Total 6 3 2 4 2 2" xfId="25003"/>
    <cellStyle name="Total 6 3 2 4 3" xfId="16107"/>
    <cellStyle name="Total 6 3 2 4 3 2" xfId="29413"/>
    <cellStyle name="Total 6 3 2 4 4" xfId="20593"/>
    <cellStyle name="Total 6 3 2 4_Table" xfId="8953"/>
    <cellStyle name="Total 6 3 2 5" xfId="2807"/>
    <cellStyle name="Total 6 3 2 5 2" xfId="12135"/>
    <cellStyle name="Total 6 3 2 5 2 2" xfId="25441"/>
    <cellStyle name="Total 6 3 2 5 3" xfId="16545"/>
    <cellStyle name="Total 6 3 2 5 3 2" xfId="29851"/>
    <cellStyle name="Total 6 3 2 5 4" xfId="21031"/>
    <cellStyle name="Total 6 3 2 5_Table" xfId="8954"/>
    <cellStyle name="Total 6 3 2 6" xfId="3214"/>
    <cellStyle name="Total 6 3 2 6 2" xfId="12542"/>
    <cellStyle name="Total 6 3 2 6 2 2" xfId="25848"/>
    <cellStyle name="Total 6 3 2 6 3" xfId="16952"/>
    <cellStyle name="Total 6 3 2 6 3 2" xfId="30258"/>
    <cellStyle name="Total 6 3 2 6 4" xfId="21438"/>
    <cellStyle name="Total 6 3 2 6_Table" xfId="8955"/>
    <cellStyle name="Total 6 3 2 7" xfId="3806"/>
    <cellStyle name="Total 6 3 2 7 2" xfId="13134"/>
    <cellStyle name="Total 6 3 2 7 2 2" xfId="26440"/>
    <cellStyle name="Total 6 3 2 7 3" xfId="17544"/>
    <cellStyle name="Total 6 3 2 7 3 2" xfId="30850"/>
    <cellStyle name="Total 6 3 2 7 4" xfId="22030"/>
    <cellStyle name="Total 6 3 2 7_Table" xfId="8956"/>
    <cellStyle name="Total 6 3 2 8" xfId="4031"/>
    <cellStyle name="Total 6 3 2 8 2" xfId="13359"/>
    <cellStyle name="Total 6 3 2 8 2 2" xfId="26665"/>
    <cellStyle name="Total 6 3 2 8 3" xfId="17769"/>
    <cellStyle name="Total 6 3 2 8 3 2" xfId="31075"/>
    <cellStyle name="Total 6 3 2 8 4" xfId="22255"/>
    <cellStyle name="Total 6 3 2 8_Table" xfId="8957"/>
    <cellStyle name="Total 6 3 2 9" xfId="4392"/>
    <cellStyle name="Total 6 3 2 9 2" xfId="13720"/>
    <cellStyle name="Total 6 3 2 9 2 2" xfId="27026"/>
    <cellStyle name="Total 6 3 2 9 3" xfId="18130"/>
    <cellStyle name="Total 6 3 2 9 3 2" xfId="31436"/>
    <cellStyle name="Total 6 3 2 9 4" xfId="22616"/>
    <cellStyle name="Total 6 3 2 9_Table" xfId="8958"/>
    <cellStyle name="Total 6 3 2_Table" xfId="8949"/>
    <cellStyle name="Total 6 3 3" xfId="1305"/>
    <cellStyle name="Total 6 3 3 2" xfId="10633"/>
    <cellStyle name="Total 6 3 3 2 2" xfId="23939"/>
    <cellStyle name="Total 6 3 3 3" xfId="15043"/>
    <cellStyle name="Total 6 3 3 3 2" xfId="28349"/>
    <cellStyle name="Total 6 3 3 4" xfId="19529"/>
    <cellStyle name="Total 6 3 3_Table" xfId="8959"/>
    <cellStyle name="Total 6 3 4" xfId="912"/>
    <cellStyle name="Total 6 3 4 2" xfId="10240"/>
    <cellStyle name="Total 6 3 4 2 2" xfId="23546"/>
    <cellStyle name="Total 6 3 4 3" xfId="14650"/>
    <cellStyle name="Total 6 3 4 3 2" xfId="27956"/>
    <cellStyle name="Total 6 3 4 4" xfId="19136"/>
    <cellStyle name="Total 6 3 4_Table" xfId="8960"/>
    <cellStyle name="Total 6 3 5" xfId="2093"/>
    <cellStyle name="Total 6 3 5 2" xfId="11421"/>
    <cellStyle name="Total 6 3 5 2 2" xfId="24727"/>
    <cellStyle name="Total 6 3 5 3" xfId="15831"/>
    <cellStyle name="Total 6 3 5 3 2" xfId="29137"/>
    <cellStyle name="Total 6 3 5 4" xfId="20317"/>
    <cellStyle name="Total 6 3 5_Table" xfId="8961"/>
    <cellStyle name="Total 6 3 6" xfId="2525"/>
    <cellStyle name="Total 6 3 6 2" xfId="11853"/>
    <cellStyle name="Total 6 3 6 2 2" xfId="25159"/>
    <cellStyle name="Total 6 3 6 3" xfId="16263"/>
    <cellStyle name="Total 6 3 6 3 2" xfId="29569"/>
    <cellStyle name="Total 6 3 6 4" xfId="20749"/>
    <cellStyle name="Total 6 3 6_Table" xfId="8962"/>
    <cellStyle name="Total 6 3 7" xfId="2953"/>
    <cellStyle name="Total 6 3 7 2" xfId="12281"/>
    <cellStyle name="Total 6 3 7 2 2" xfId="25587"/>
    <cellStyle name="Total 6 3 7 3" xfId="16691"/>
    <cellStyle name="Total 6 3 7 3 2" xfId="29997"/>
    <cellStyle name="Total 6 3 7 4" xfId="21177"/>
    <cellStyle name="Total 6 3 7_Table" xfId="8963"/>
    <cellStyle name="Total 6 3 8" xfId="3366"/>
    <cellStyle name="Total 6 3 8 2" xfId="12694"/>
    <cellStyle name="Total 6 3 8 2 2" xfId="26000"/>
    <cellStyle name="Total 6 3 8 3" xfId="17104"/>
    <cellStyle name="Total 6 3 8 3 2" xfId="30410"/>
    <cellStyle name="Total 6 3 8 4" xfId="21590"/>
    <cellStyle name="Total 6 3 8_Table" xfId="8964"/>
    <cellStyle name="Total 6 3 9" xfId="3309"/>
    <cellStyle name="Total 6 3 9 2" xfId="12637"/>
    <cellStyle name="Total 6 3 9 2 2" xfId="25943"/>
    <cellStyle name="Total 6 3 9 3" xfId="17047"/>
    <cellStyle name="Total 6 3 9 3 2" xfId="30353"/>
    <cellStyle name="Total 6 3 9 4" xfId="21533"/>
    <cellStyle name="Total 6 3 9_Table" xfId="8965"/>
    <cellStyle name="Total 6 3_Table" xfId="8946"/>
    <cellStyle name="Total 6 4" xfId="566"/>
    <cellStyle name="Total 6 4 10" xfId="4212"/>
    <cellStyle name="Total 6 4 10 2" xfId="13540"/>
    <cellStyle name="Total 6 4 10 2 2" xfId="26846"/>
    <cellStyle name="Total 6 4 10 3" xfId="17950"/>
    <cellStyle name="Total 6 4 10 3 2" xfId="31256"/>
    <cellStyle name="Total 6 4 10 4" xfId="22436"/>
    <cellStyle name="Total 6 4 10_Table" xfId="8967"/>
    <cellStyle name="Total 6 4 11" xfId="4573"/>
    <cellStyle name="Total 6 4 11 2" xfId="13901"/>
    <cellStyle name="Total 6 4 11 2 2" xfId="27207"/>
    <cellStyle name="Total 6 4 11 3" xfId="18311"/>
    <cellStyle name="Total 6 4 11 3 2" xfId="31617"/>
    <cellStyle name="Total 6 4 11 4" xfId="22797"/>
    <cellStyle name="Total 6 4 11_Table" xfId="8968"/>
    <cellStyle name="Total 6 4 12" xfId="9894"/>
    <cellStyle name="Total 6 4 12 2" xfId="23247"/>
    <cellStyle name="Total 6 4 13" xfId="14351"/>
    <cellStyle name="Total 6 4 13 2" xfId="27657"/>
    <cellStyle name="Total 6 4 14" xfId="18837"/>
    <cellStyle name="Total 6 4 2" xfId="838"/>
    <cellStyle name="Total 6 4 2 10" xfId="4798"/>
    <cellStyle name="Total 6 4 2 10 2" xfId="14126"/>
    <cellStyle name="Total 6 4 2 10 2 2" xfId="27432"/>
    <cellStyle name="Total 6 4 2 10 3" xfId="18536"/>
    <cellStyle name="Total 6 4 2 10 3 2" xfId="31842"/>
    <cellStyle name="Total 6 4 2 10 4" xfId="23022"/>
    <cellStyle name="Total 6 4 2 10_Table" xfId="8970"/>
    <cellStyle name="Total 6 4 2 11" xfId="10166"/>
    <cellStyle name="Total 6 4 2 11 2" xfId="23472"/>
    <cellStyle name="Total 6 4 2 12" xfId="14576"/>
    <cellStyle name="Total 6 4 2 12 2" xfId="27882"/>
    <cellStyle name="Total 6 4 2 13" xfId="19062"/>
    <cellStyle name="Total 6 4 2 2" xfId="1624"/>
    <cellStyle name="Total 6 4 2 2 2" xfId="10952"/>
    <cellStyle name="Total 6 4 2 2 2 2" xfId="24258"/>
    <cellStyle name="Total 6 4 2 2 3" xfId="15362"/>
    <cellStyle name="Total 6 4 2 2 3 2" xfId="28668"/>
    <cellStyle name="Total 6 4 2 2 4" xfId="19848"/>
    <cellStyle name="Total 6 4 2 2_Table" xfId="8971"/>
    <cellStyle name="Total 6 4 2 3" xfId="1984"/>
    <cellStyle name="Total 6 4 2 3 2" xfId="11312"/>
    <cellStyle name="Total 6 4 2 3 2 2" xfId="24618"/>
    <cellStyle name="Total 6 4 2 3 3" xfId="15722"/>
    <cellStyle name="Total 6 4 2 3 3 2" xfId="29028"/>
    <cellStyle name="Total 6 4 2 3 4" xfId="20208"/>
    <cellStyle name="Total 6 4 2 3_Table" xfId="8972"/>
    <cellStyle name="Total 6 4 2 4" xfId="2414"/>
    <cellStyle name="Total 6 4 2 4 2" xfId="11742"/>
    <cellStyle name="Total 6 4 2 4 2 2" xfId="25048"/>
    <cellStyle name="Total 6 4 2 4 3" xfId="16152"/>
    <cellStyle name="Total 6 4 2 4 3 2" xfId="29458"/>
    <cellStyle name="Total 6 4 2 4 4" xfId="20638"/>
    <cellStyle name="Total 6 4 2 4_Table" xfId="8973"/>
    <cellStyle name="Total 6 4 2 5" xfId="2852"/>
    <cellStyle name="Total 6 4 2 5 2" xfId="12180"/>
    <cellStyle name="Total 6 4 2 5 2 2" xfId="25486"/>
    <cellStyle name="Total 6 4 2 5 3" xfId="16590"/>
    <cellStyle name="Total 6 4 2 5 3 2" xfId="29896"/>
    <cellStyle name="Total 6 4 2 5 4" xfId="21076"/>
    <cellStyle name="Total 6 4 2 5_Table" xfId="8974"/>
    <cellStyle name="Total 6 4 2 6" xfId="3259"/>
    <cellStyle name="Total 6 4 2 6 2" xfId="12587"/>
    <cellStyle name="Total 6 4 2 6 2 2" xfId="25893"/>
    <cellStyle name="Total 6 4 2 6 3" xfId="16997"/>
    <cellStyle name="Total 6 4 2 6 3 2" xfId="30303"/>
    <cellStyle name="Total 6 4 2 6 4" xfId="21483"/>
    <cellStyle name="Total 6 4 2 6_Table" xfId="8975"/>
    <cellStyle name="Total 6 4 2 7" xfId="3851"/>
    <cellStyle name="Total 6 4 2 7 2" xfId="13179"/>
    <cellStyle name="Total 6 4 2 7 2 2" xfId="26485"/>
    <cellStyle name="Total 6 4 2 7 3" xfId="17589"/>
    <cellStyle name="Total 6 4 2 7 3 2" xfId="30895"/>
    <cellStyle name="Total 6 4 2 7 4" xfId="22075"/>
    <cellStyle name="Total 6 4 2 7_Table" xfId="8976"/>
    <cellStyle name="Total 6 4 2 8" xfId="4076"/>
    <cellStyle name="Total 6 4 2 8 2" xfId="13404"/>
    <cellStyle name="Total 6 4 2 8 2 2" xfId="26710"/>
    <cellStyle name="Total 6 4 2 8 3" xfId="17814"/>
    <cellStyle name="Total 6 4 2 8 3 2" xfId="31120"/>
    <cellStyle name="Total 6 4 2 8 4" xfId="22300"/>
    <cellStyle name="Total 6 4 2 8_Table" xfId="8977"/>
    <cellStyle name="Total 6 4 2 9" xfId="4437"/>
    <cellStyle name="Total 6 4 2 9 2" xfId="13765"/>
    <cellStyle name="Total 6 4 2 9 2 2" xfId="27071"/>
    <cellStyle name="Total 6 4 2 9 3" xfId="18175"/>
    <cellStyle name="Total 6 4 2 9 3 2" xfId="31481"/>
    <cellStyle name="Total 6 4 2 9 4" xfId="22661"/>
    <cellStyle name="Total 6 4 2 9_Table" xfId="8978"/>
    <cellStyle name="Total 6 4 2_Table" xfId="8969"/>
    <cellStyle name="Total 6 4 3" xfId="1361"/>
    <cellStyle name="Total 6 4 3 2" xfId="10689"/>
    <cellStyle name="Total 6 4 3 2 2" xfId="23995"/>
    <cellStyle name="Total 6 4 3 3" xfId="15099"/>
    <cellStyle name="Total 6 4 3 3 2" xfId="28405"/>
    <cellStyle name="Total 6 4 3 4" xfId="19585"/>
    <cellStyle name="Total 6 4 3_Table" xfId="8979"/>
    <cellStyle name="Total 6 4 4" xfId="1718"/>
    <cellStyle name="Total 6 4 4 2" xfId="11046"/>
    <cellStyle name="Total 6 4 4 2 2" xfId="24352"/>
    <cellStyle name="Total 6 4 4 3" xfId="15456"/>
    <cellStyle name="Total 6 4 4 3 2" xfId="28762"/>
    <cellStyle name="Total 6 4 4 4" xfId="19942"/>
    <cellStyle name="Total 6 4 4_Table" xfId="8980"/>
    <cellStyle name="Total 6 4 5" xfId="2152"/>
    <cellStyle name="Total 6 4 5 2" xfId="11480"/>
    <cellStyle name="Total 6 4 5 2 2" xfId="24786"/>
    <cellStyle name="Total 6 4 5 3" xfId="15890"/>
    <cellStyle name="Total 6 4 5 3 2" xfId="29196"/>
    <cellStyle name="Total 6 4 5 4" xfId="20376"/>
    <cellStyle name="Total 6 4 5_Table" xfId="8981"/>
    <cellStyle name="Total 6 4 6" xfId="2584"/>
    <cellStyle name="Total 6 4 6 2" xfId="11912"/>
    <cellStyle name="Total 6 4 6 2 2" xfId="25218"/>
    <cellStyle name="Total 6 4 6 3" xfId="16322"/>
    <cellStyle name="Total 6 4 6 3 2" xfId="29628"/>
    <cellStyle name="Total 6 4 6 4" xfId="20808"/>
    <cellStyle name="Total 6 4 6_Table" xfId="8982"/>
    <cellStyle name="Total 6 4 7" xfId="3010"/>
    <cellStyle name="Total 6 4 7 2" xfId="12338"/>
    <cellStyle name="Total 6 4 7 2 2" xfId="25644"/>
    <cellStyle name="Total 6 4 7 3" xfId="16748"/>
    <cellStyle name="Total 6 4 7 3 2" xfId="30054"/>
    <cellStyle name="Total 6 4 7 4" xfId="21234"/>
    <cellStyle name="Total 6 4 7_Table" xfId="8983"/>
    <cellStyle name="Total 6 4 8" xfId="3424"/>
    <cellStyle name="Total 6 4 8 2" xfId="12752"/>
    <cellStyle name="Total 6 4 8 2 2" xfId="26058"/>
    <cellStyle name="Total 6 4 8 3" xfId="17162"/>
    <cellStyle name="Total 6 4 8 3 2" xfId="30468"/>
    <cellStyle name="Total 6 4 8 4" xfId="21648"/>
    <cellStyle name="Total 6 4 8_Table" xfId="8984"/>
    <cellStyle name="Total 6 4 9" xfId="3566"/>
    <cellStyle name="Total 6 4 9 2" xfId="12894"/>
    <cellStyle name="Total 6 4 9 2 2" xfId="26200"/>
    <cellStyle name="Total 6 4 9 3" xfId="17304"/>
    <cellStyle name="Total 6 4 9 3 2" xfId="30610"/>
    <cellStyle name="Total 6 4 9 4" xfId="21790"/>
    <cellStyle name="Total 6 4 9_Table" xfId="8985"/>
    <cellStyle name="Total 6 4_Table" xfId="8966"/>
    <cellStyle name="Total 6 5" xfId="641"/>
    <cellStyle name="Total 6 5 10" xfId="4257"/>
    <cellStyle name="Total 6 5 10 2" xfId="13585"/>
    <cellStyle name="Total 6 5 10 2 2" xfId="26891"/>
    <cellStyle name="Total 6 5 10 3" xfId="17995"/>
    <cellStyle name="Total 6 5 10 3 2" xfId="31301"/>
    <cellStyle name="Total 6 5 10 4" xfId="22481"/>
    <cellStyle name="Total 6 5 10_Table" xfId="8987"/>
    <cellStyle name="Total 6 5 11" xfId="4618"/>
    <cellStyle name="Total 6 5 11 2" xfId="13946"/>
    <cellStyle name="Total 6 5 11 2 2" xfId="27252"/>
    <cellStyle name="Total 6 5 11 3" xfId="18356"/>
    <cellStyle name="Total 6 5 11 3 2" xfId="31662"/>
    <cellStyle name="Total 6 5 11 4" xfId="22842"/>
    <cellStyle name="Total 6 5 11_Table" xfId="8988"/>
    <cellStyle name="Total 6 5 12" xfId="9969"/>
    <cellStyle name="Total 6 5 12 2" xfId="23292"/>
    <cellStyle name="Total 6 5 13" xfId="14396"/>
    <cellStyle name="Total 6 5 13 2" xfId="27702"/>
    <cellStyle name="Total 6 5 14" xfId="18882"/>
    <cellStyle name="Total 6 5 2" xfId="883"/>
    <cellStyle name="Total 6 5 2 10" xfId="4843"/>
    <cellStyle name="Total 6 5 2 10 2" xfId="14171"/>
    <cellStyle name="Total 6 5 2 10 2 2" xfId="27477"/>
    <cellStyle name="Total 6 5 2 10 3" xfId="18581"/>
    <cellStyle name="Total 6 5 2 10 3 2" xfId="31887"/>
    <cellStyle name="Total 6 5 2 10 4" xfId="23067"/>
    <cellStyle name="Total 6 5 2 10_Table" xfId="8990"/>
    <cellStyle name="Total 6 5 2 11" xfId="10211"/>
    <cellStyle name="Total 6 5 2 11 2" xfId="23517"/>
    <cellStyle name="Total 6 5 2 12" xfId="14621"/>
    <cellStyle name="Total 6 5 2 12 2" xfId="27927"/>
    <cellStyle name="Total 6 5 2 13" xfId="19107"/>
    <cellStyle name="Total 6 5 2 2" xfId="1669"/>
    <cellStyle name="Total 6 5 2 2 2" xfId="10997"/>
    <cellStyle name="Total 6 5 2 2 2 2" xfId="24303"/>
    <cellStyle name="Total 6 5 2 2 3" xfId="15407"/>
    <cellStyle name="Total 6 5 2 2 3 2" xfId="28713"/>
    <cellStyle name="Total 6 5 2 2 4" xfId="19893"/>
    <cellStyle name="Total 6 5 2 2_Table" xfId="8991"/>
    <cellStyle name="Total 6 5 2 3" xfId="2029"/>
    <cellStyle name="Total 6 5 2 3 2" xfId="11357"/>
    <cellStyle name="Total 6 5 2 3 2 2" xfId="24663"/>
    <cellStyle name="Total 6 5 2 3 3" xfId="15767"/>
    <cellStyle name="Total 6 5 2 3 3 2" xfId="29073"/>
    <cellStyle name="Total 6 5 2 3 4" xfId="20253"/>
    <cellStyle name="Total 6 5 2 3_Table" xfId="8992"/>
    <cellStyle name="Total 6 5 2 4" xfId="2459"/>
    <cellStyle name="Total 6 5 2 4 2" xfId="11787"/>
    <cellStyle name="Total 6 5 2 4 2 2" xfId="25093"/>
    <cellStyle name="Total 6 5 2 4 3" xfId="16197"/>
    <cellStyle name="Total 6 5 2 4 3 2" xfId="29503"/>
    <cellStyle name="Total 6 5 2 4 4" xfId="20683"/>
    <cellStyle name="Total 6 5 2 4_Table" xfId="8993"/>
    <cellStyle name="Total 6 5 2 5" xfId="2897"/>
    <cellStyle name="Total 6 5 2 5 2" xfId="12225"/>
    <cellStyle name="Total 6 5 2 5 2 2" xfId="25531"/>
    <cellStyle name="Total 6 5 2 5 3" xfId="16635"/>
    <cellStyle name="Total 6 5 2 5 3 2" xfId="29941"/>
    <cellStyle name="Total 6 5 2 5 4" xfId="21121"/>
    <cellStyle name="Total 6 5 2 5_Table" xfId="8994"/>
    <cellStyle name="Total 6 5 2 6" xfId="3304"/>
    <cellStyle name="Total 6 5 2 6 2" xfId="12632"/>
    <cellStyle name="Total 6 5 2 6 2 2" xfId="25938"/>
    <cellStyle name="Total 6 5 2 6 3" xfId="17042"/>
    <cellStyle name="Total 6 5 2 6 3 2" xfId="30348"/>
    <cellStyle name="Total 6 5 2 6 4" xfId="21528"/>
    <cellStyle name="Total 6 5 2 6_Table" xfId="8995"/>
    <cellStyle name="Total 6 5 2 7" xfId="3896"/>
    <cellStyle name="Total 6 5 2 7 2" xfId="13224"/>
    <cellStyle name="Total 6 5 2 7 2 2" xfId="26530"/>
    <cellStyle name="Total 6 5 2 7 3" xfId="17634"/>
    <cellStyle name="Total 6 5 2 7 3 2" xfId="30940"/>
    <cellStyle name="Total 6 5 2 7 4" xfId="22120"/>
    <cellStyle name="Total 6 5 2 7_Table" xfId="8996"/>
    <cellStyle name="Total 6 5 2 8" xfId="4121"/>
    <cellStyle name="Total 6 5 2 8 2" xfId="13449"/>
    <cellStyle name="Total 6 5 2 8 2 2" xfId="26755"/>
    <cellStyle name="Total 6 5 2 8 3" xfId="17859"/>
    <cellStyle name="Total 6 5 2 8 3 2" xfId="31165"/>
    <cellStyle name="Total 6 5 2 8 4" xfId="22345"/>
    <cellStyle name="Total 6 5 2 8_Table" xfId="8997"/>
    <cellStyle name="Total 6 5 2 9" xfId="4482"/>
    <cellStyle name="Total 6 5 2 9 2" xfId="13810"/>
    <cellStyle name="Total 6 5 2 9 2 2" xfId="27116"/>
    <cellStyle name="Total 6 5 2 9 3" xfId="18220"/>
    <cellStyle name="Total 6 5 2 9 3 2" xfId="31526"/>
    <cellStyle name="Total 6 5 2 9 4" xfId="22706"/>
    <cellStyle name="Total 6 5 2 9_Table" xfId="8998"/>
    <cellStyle name="Total 6 5 2_Table" xfId="8989"/>
    <cellStyle name="Total 6 5 3" xfId="1428"/>
    <cellStyle name="Total 6 5 3 2" xfId="10756"/>
    <cellStyle name="Total 6 5 3 2 2" xfId="24062"/>
    <cellStyle name="Total 6 5 3 3" xfId="15166"/>
    <cellStyle name="Total 6 5 3 3 2" xfId="28472"/>
    <cellStyle name="Total 6 5 3 4" xfId="19652"/>
    <cellStyle name="Total 6 5 3_Table" xfId="8999"/>
    <cellStyle name="Total 6 5 4" xfId="1788"/>
    <cellStyle name="Total 6 5 4 2" xfId="11116"/>
    <cellStyle name="Total 6 5 4 2 2" xfId="24422"/>
    <cellStyle name="Total 6 5 4 3" xfId="15526"/>
    <cellStyle name="Total 6 5 4 3 2" xfId="28832"/>
    <cellStyle name="Total 6 5 4 4" xfId="20012"/>
    <cellStyle name="Total 6 5 4_Table" xfId="9000"/>
    <cellStyle name="Total 6 5 5" xfId="2221"/>
    <cellStyle name="Total 6 5 5 2" xfId="11549"/>
    <cellStyle name="Total 6 5 5 2 2" xfId="24855"/>
    <cellStyle name="Total 6 5 5 3" xfId="15959"/>
    <cellStyle name="Total 6 5 5 3 2" xfId="29265"/>
    <cellStyle name="Total 6 5 5 4" xfId="20445"/>
    <cellStyle name="Total 6 5 5_Table" xfId="9001"/>
    <cellStyle name="Total 6 5 6" xfId="2656"/>
    <cellStyle name="Total 6 5 6 2" xfId="11984"/>
    <cellStyle name="Total 6 5 6 2 2" xfId="25290"/>
    <cellStyle name="Total 6 5 6 3" xfId="16394"/>
    <cellStyle name="Total 6 5 6 3 2" xfId="29700"/>
    <cellStyle name="Total 6 5 6 4" xfId="20880"/>
    <cellStyle name="Total 6 5 6_Table" xfId="9002"/>
    <cellStyle name="Total 6 5 7" xfId="3069"/>
    <cellStyle name="Total 6 5 7 2" xfId="12397"/>
    <cellStyle name="Total 6 5 7 2 2" xfId="25703"/>
    <cellStyle name="Total 6 5 7 3" xfId="16807"/>
    <cellStyle name="Total 6 5 7 3 2" xfId="30113"/>
    <cellStyle name="Total 6 5 7 4" xfId="21293"/>
    <cellStyle name="Total 6 5 7_Table" xfId="9003"/>
    <cellStyle name="Total 6 5 8" xfId="3495"/>
    <cellStyle name="Total 6 5 8 2" xfId="12823"/>
    <cellStyle name="Total 6 5 8 2 2" xfId="26129"/>
    <cellStyle name="Total 6 5 8 3" xfId="17233"/>
    <cellStyle name="Total 6 5 8 3 2" xfId="30539"/>
    <cellStyle name="Total 6 5 8 4" xfId="21719"/>
    <cellStyle name="Total 6 5 8_Table" xfId="9004"/>
    <cellStyle name="Total 6 5 9" xfId="3576"/>
    <cellStyle name="Total 6 5 9 2" xfId="12904"/>
    <cellStyle name="Total 6 5 9 2 2" xfId="26210"/>
    <cellStyle name="Total 6 5 9 3" xfId="17314"/>
    <cellStyle name="Total 6 5 9 3 2" xfId="30620"/>
    <cellStyle name="Total 6 5 9 4" xfId="21800"/>
    <cellStyle name="Total 6 5 9_Table" xfId="9005"/>
    <cellStyle name="Total 6 5_Table" xfId="8986"/>
    <cellStyle name="Total 6 6" xfId="703"/>
    <cellStyle name="Total 6 6 10" xfId="4663"/>
    <cellStyle name="Total 6 6 10 2" xfId="13991"/>
    <cellStyle name="Total 6 6 10 2 2" xfId="27297"/>
    <cellStyle name="Total 6 6 10 3" xfId="18401"/>
    <cellStyle name="Total 6 6 10 3 2" xfId="31707"/>
    <cellStyle name="Total 6 6 10 4" xfId="22887"/>
    <cellStyle name="Total 6 6 10_Table" xfId="9007"/>
    <cellStyle name="Total 6 6 11" xfId="10031"/>
    <cellStyle name="Total 6 6 11 2" xfId="23337"/>
    <cellStyle name="Total 6 6 12" xfId="14441"/>
    <cellStyle name="Total 6 6 12 2" xfId="27747"/>
    <cellStyle name="Total 6 6 13" xfId="18927"/>
    <cellStyle name="Total 6 6 2" xfId="1489"/>
    <cellStyle name="Total 6 6 2 2" xfId="10817"/>
    <cellStyle name="Total 6 6 2 2 2" xfId="24123"/>
    <cellStyle name="Total 6 6 2 3" xfId="15227"/>
    <cellStyle name="Total 6 6 2 3 2" xfId="28533"/>
    <cellStyle name="Total 6 6 2 4" xfId="19713"/>
    <cellStyle name="Total 6 6 2_Table" xfId="9008"/>
    <cellStyle name="Total 6 6 3" xfId="1849"/>
    <cellStyle name="Total 6 6 3 2" xfId="11177"/>
    <cellStyle name="Total 6 6 3 2 2" xfId="24483"/>
    <cellStyle name="Total 6 6 3 3" xfId="15587"/>
    <cellStyle name="Total 6 6 3 3 2" xfId="28893"/>
    <cellStyle name="Total 6 6 3 4" xfId="20073"/>
    <cellStyle name="Total 6 6 3_Table" xfId="9009"/>
    <cellStyle name="Total 6 6 4" xfId="2279"/>
    <cellStyle name="Total 6 6 4 2" xfId="11607"/>
    <cellStyle name="Total 6 6 4 2 2" xfId="24913"/>
    <cellStyle name="Total 6 6 4 3" xfId="16017"/>
    <cellStyle name="Total 6 6 4 3 2" xfId="29323"/>
    <cellStyle name="Total 6 6 4 4" xfId="20503"/>
    <cellStyle name="Total 6 6 4_Table" xfId="9010"/>
    <cellStyle name="Total 6 6 5" xfId="2717"/>
    <cellStyle name="Total 6 6 5 2" xfId="12045"/>
    <cellStyle name="Total 6 6 5 2 2" xfId="25351"/>
    <cellStyle name="Total 6 6 5 3" xfId="16455"/>
    <cellStyle name="Total 6 6 5 3 2" xfId="29761"/>
    <cellStyle name="Total 6 6 5 4" xfId="20941"/>
    <cellStyle name="Total 6 6 5_Table" xfId="9011"/>
    <cellStyle name="Total 6 6 6" xfId="3124"/>
    <cellStyle name="Total 6 6 6 2" xfId="12452"/>
    <cellStyle name="Total 6 6 6 2 2" xfId="25758"/>
    <cellStyle name="Total 6 6 6 3" xfId="16862"/>
    <cellStyle name="Total 6 6 6 3 2" xfId="30168"/>
    <cellStyle name="Total 6 6 6 4" xfId="21348"/>
    <cellStyle name="Total 6 6 6_Table" xfId="9012"/>
    <cellStyle name="Total 6 6 7" xfId="3716"/>
    <cellStyle name="Total 6 6 7 2" xfId="13044"/>
    <cellStyle name="Total 6 6 7 2 2" xfId="26350"/>
    <cellStyle name="Total 6 6 7 3" xfId="17454"/>
    <cellStyle name="Total 6 6 7 3 2" xfId="30760"/>
    <cellStyle name="Total 6 6 7 4" xfId="21940"/>
    <cellStyle name="Total 6 6 7_Table" xfId="9013"/>
    <cellStyle name="Total 6 6 8" xfId="3941"/>
    <cellStyle name="Total 6 6 8 2" xfId="13269"/>
    <cellStyle name="Total 6 6 8 2 2" xfId="26575"/>
    <cellStyle name="Total 6 6 8 3" xfId="17679"/>
    <cellStyle name="Total 6 6 8 3 2" xfId="30985"/>
    <cellStyle name="Total 6 6 8 4" xfId="22165"/>
    <cellStyle name="Total 6 6 8_Table" xfId="9014"/>
    <cellStyle name="Total 6 6 9" xfId="4302"/>
    <cellStyle name="Total 6 6 9 2" xfId="13630"/>
    <cellStyle name="Total 6 6 9 2 2" xfId="26936"/>
    <cellStyle name="Total 6 6 9 3" xfId="18040"/>
    <cellStyle name="Total 6 6 9 3 2" xfId="31346"/>
    <cellStyle name="Total 6 6 9 4" xfId="22526"/>
    <cellStyle name="Total 6 6 9_Table" xfId="9015"/>
    <cellStyle name="Total 6 6_Table" xfId="9006"/>
    <cellStyle name="Total 6 7" xfId="1204"/>
    <cellStyle name="Total 6 7 2" xfId="10532"/>
    <cellStyle name="Total 6 7 2 2" xfId="23838"/>
    <cellStyle name="Total 6 7 3" xfId="14942"/>
    <cellStyle name="Total 6 7 3 2" xfId="28248"/>
    <cellStyle name="Total 6 7 4" xfId="19428"/>
    <cellStyle name="Total 6 7_Table" xfId="9016"/>
    <cellStyle name="Total 6 8" xfId="1038"/>
    <cellStyle name="Total 6 8 2" xfId="10366"/>
    <cellStyle name="Total 6 8 2 2" xfId="23672"/>
    <cellStyle name="Total 6 8 3" xfId="14776"/>
    <cellStyle name="Total 6 8 3 2" xfId="28082"/>
    <cellStyle name="Total 6 8 4" xfId="19262"/>
    <cellStyle name="Total 6 8_Table" xfId="9017"/>
    <cellStyle name="Total 6 9" xfId="1268"/>
    <cellStyle name="Total 6 9 2" xfId="10596"/>
    <cellStyle name="Total 6 9 2 2" xfId="23902"/>
    <cellStyle name="Total 6 9 3" xfId="15006"/>
    <cellStyle name="Total 6 9 3 2" xfId="28312"/>
    <cellStyle name="Total 6 9 4" xfId="19492"/>
    <cellStyle name="Total 6 9_Table" xfId="9018"/>
    <cellStyle name="Total 6_Table" xfId="8919"/>
    <cellStyle name="Total 7" xfId="373"/>
    <cellStyle name="Total 7 10" xfId="1726"/>
    <cellStyle name="Total 7 10 2" xfId="11054"/>
    <cellStyle name="Total 7 10 2 2" xfId="24360"/>
    <cellStyle name="Total 7 10 3" xfId="15464"/>
    <cellStyle name="Total 7 10 3 2" xfId="28770"/>
    <cellStyle name="Total 7 10 4" xfId="19950"/>
    <cellStyle name="Total 7 10_Table" xfId="9020"/>
    <cellStyle name="Total 7 11" xfId="2161"/>
    <cellStyle name="Total 7 11 2" xfId="11489"/>
    <cellStyle name="Total 7 11 2 2" xfId="24795"/>
    <cellStyle name="Total 7 11 3" xfId="15899"/>
    <cellStyle name="Total 7 11 3 2" xfId="29205"/>
    <cellStyle name="Total 7 11 4" xfId="20385"/>
    <cellStyle name="Total 7 11_Table" xfId="9021"/>
    <cellStyle name="Total 7 12" xfId="2593"/>
    <cellStyle name="Total 7 12 2" xfId="11921"/>
    <cellStyle name="Total 7 12 2 2" xfId="25227"/>
    <cellStyle name="Total 7 12 3" xfId="16331"/>
    <cellStyle name="Total 7 12 3 2" xfId="29637"/>
    <cellStyle name="Total 7 12 4" xfId="20817"/>
    <cellStyle name="Total 7 12_Table" xfId="9022"/>
    <cellStyle name="Total 7 13" xfId="3428"/>
    <cellStyle name="Total 7 13 2" xfId="12756"/>
    <cellStyle name="Total 7 13 2 2" xfId="26062"/>
    <cellStyle name="Total 7 13 3" xfId="17166"/>
    <cellStyle name="Total 7 13 3 2" xfId="30472"/>
    <cellStyle name="Total 7 13 4" xfId="21652"/>
    <cellStyle name="Total 7 13_Table" xfId="9023"/>
    <cellStyle name="Total 7 14" xfId="1334"/>
    <cellStyle name="Total 7 14 2" xfId="10662"/>
    <cellStyle name="Total 7 14 2 2" xfId="23968"/>
    <cellStyle name="Total 7 14 3" xfId="15072"/>
    <cellStyle name="Total 7 14 3 2" xfId="28378"/>
    <cellStyle name="Total 7 14 4" xfId="19558"/>
    <cellStyle name="Total 7 14_Table" xfId="9024"/>
    <cellStyle name="Total 7 15" xfId="3568"/>
    <cellStyle name="Total 7 15 2" xfId="12896"/>
    <cellStyle name="Total 7 15 2 2" xfId="26202"/>
    <cellStyle name="Total 7 15 3" xfId="17306"/>
    <cellStyle name="Total 7 15 3 2" xfId="30612"/>
    <cellStyle name="Total 7 15 4" xfId="21792"/>
    <cellStyle name="Total 7 15_Table" xfId="9025"/>
    <cellStyle name="Total 7 16" xfId="9701"/>
    <cellStyle name="Total 7 16 2" xfId="23113"/>
    <cellStyle name="Total 7 17" xfId="14217"/>
    <cellStyle name="Total 7 17 2" xfId="27523"/>
    <cellStyle name="Total 7 18" xfId="18703"/>
    <cellStyle name="Total 7 2" xfId="435"/>
    <cellStyle name="Total 7 2 10" xfId="1329"/>
    <cellStyle name="Total 7 2 10 2" xfId="10657"/>
    <cellStyle name="Total 7 2 10 2 2" xfId="23963"/>
    <cellStyle name="Total 7 2 10 3" xfId="15067"/>
    <cellStyle name="Total 7 2 10 3 2" xfId="28373"/>
    <cellStyle name="Total 7 2 10 4" xfId="19553"/>
    <cellStyle name="Total 7 2 10_Table" xfId="9027"/>
    <cellStyle name="Total 7 2 11" xfId="3321"/>
    <cellStyle name="Total 7 2 11 2" xfId="12649"/>
    <cellStyle name="Total 7 2 11 2 2" xfId="25955"/>
    <cellStyle name="Total 7 2 11 3" xfId="17059"/>
    <cellStyle name="Total 7 2 11 3 2" xfId="30365"/>
    <cellStyle name="Total 7 2 11 4" xfId="21545"/>
    <cellStyle name="Total 7 2 11_Table" xfId="9028"/>
    <cellStyle name="Total 7 2 12" xfId="9763"/>
    <cellStyle name="Total 7 2 12 2" xfId="23158"/>
    <cellStyle name="Total 7 2 13" xfId="14262"/>
    <cellStyle name="Total 7 2 13 2" xfId="27568"/>
    <cellStyle name="Total 7 2 14" xfId="18748"/>
    <cellStyle name="Total 7 2 2" xfId="749"/>
    <cellStyle name="Total 7 2 2 10" xfId="4709"/>
    <cellStyle name="Total 7 2 2 10 2" xfId="14037"/>
    <cellStyle name="Total 7 2 2 10 2 2" xfId="27343"/>
    <cellStyle name="Total 7 2 2 10 3" xfId="18447"/>
    <cellStyle name="Total 7 2 2 10 3 2" xfId="31753"/>
    <cellStyle name="Total 7 2 2 10 4" xfId="22933"/>
    <cellStyle name="Total 7 2 2 10_Table" xfId="9030"/>
    <cellStyle name="Total 7 2 2 11" xfId="10077"/>
    <cellStyle name="Total 7 2 2 11 2" xfId="23383"/>
    <cellStyle name="Total 7 2 2 12" xfId="14487"/>
    <cellStyle name="Total 7 2 2 12 2" xfId="27793"/>
    <cellStyle name="Total 7 2 2 13" xfId="18973"/>
    <cellStyle name="Total 7 2 2 2" xfId="1535"/>
    <cellStyle name="Total 7 2 2 2 2" xfId="10863"/>
    <cellStyle name="Total 7 2 2 2 2 2" xfId="24169"/>
    <cellStyle name="Total 7 2 2 2 3" xfId="15273"/>
    <cellStyle name="Total 7 2 2 2 3 2" xfId="28579"/>
    <cellStyle name="Total 7 2 2 2 4" xfId="19759"/>
    <cellStyle name="Total 7 2 2 2_Table" xfId="9031"/>
    <cellStyle name="Total 7 2 2 3" xfId="1895"/>
    <cellStyle name="Total 7 2 2 3 2" xfId="11223"/>
    <cellStyle name="Total 7 2 2 3 2 2" xfId="24529"/>
    <cellStyle name="Total 7 2 2 3 3" xfId="15633"/>
    <cellStyle name="Total 7 2 2 3 3 2" xfId="28939"/>
    <cellStyle name="Total 7 2 2 3 4" xfId="20119"/>
    <cellStyle name="Total 7 2 2 3_Table" xfId="9032"/>
    <cellStyle name="Total 7 2 2 4" xfId="2325"/>
    <cellStyle name="Total 7 2 2 4 2" xfId="11653"/>
    <cellStyle name="Total 7 2 2 4 2 2" xfId="24959"/>
    <cellStyle name="Total 7 2 2 4 3" xfId="16063"/>
    <cellStyle name="Total 7 2 2 4 3 2" xfId="29369"/>
    <cellStyle name="Total 7 2 2 4 4" xfId="20549"/>
    <cellStyle name="Total 7 2 2 4_Table" xfId="9033"/>
    <cellStyle name="Total 7 2 2 5" xfId="2763"/>
    <cellStyle name="Total 7 2 2 5 2" xfId="12091"/>
    <cellStyle name="Total 7 2 2 5 2 2" xfId="25397"/>
    <cellStyle name="Total 7 2 2 5 3" xfId="16501"/>
    <cellStyle name="Total 7 2 2 5 3 2" xfId="29807"/>
    <cellStyle name="Total 7 2 2 5 4" xfId="20987"/>
    <cellStyle name="Total 7 2 2 5_Table" xfId="9034"/>
    <cellStyle name="Total 7 2 2 6" xfId="3170"/>
    <cellStyle name="Total 7 2 2 6 2" xfId="12498"/>
    <cellStyle name="Total 7 2 2 6 2 2" xfId="25804"/>
    <cellStyle name="Total 7 2 2 6 3" xfId="16908"/>
    <cellStyle name="Total 7 2 2 6 3 2" xfId="30214"/>
    <cellStyle name="Total 7 2 2 6 4" xfId="21394"/>
    <cellStyle name="Total 7 2 2 6_Table" xfId="9035"/>
    <cellStyle name="Total 7 2 2 7" xfId="3762"/>
    <cellStyle name="Total 7 2 2 7 2" xfId="13090"/>
    <cellStyle name="Total 7 2 2 7 2 2" xfId="26396"/>
    <cellStyle name="Total 7 2 2 7 3" xfId="17500"/>
    <cellStyle name="Total 7 2 2 7 3 2" xfId="30806"/>
    <cellStyle name="Total 7 2 2 7 4" xfId="21986"/>
    <cellStyle name="Total 7 2 2 7_Table" xfId="9036"/>
    <cellStyle name="Total 7 2 2 8" xfId="3987"/>
    <cellStyle name="Total 7 2 2 8 2" xfId="13315"/>
    <cellStyle name="Total 7 2 2 8 2 2" xfId="26621"/>
    <cellStyle name="Total 7 2 2 8 3" xfId="17725"/>
    <cellStyle name="Total 7 2 2 8 3 2" xfId="31031"/>
    <cellStyle name="Total 7 2 2 8 4" xfId="22211"/>
    <cellStyle name="Total 7 2 2 8_Table" xfId="9037"/>
    <cellStyle name="Total 7 2 2 9" xfId="4348"/>
    <cellStyle name="Total 7 2 2 9 2" xfId="13676"/>
    <cellStyle name="Total 7 2 2 9 2 2" xfId="26982"/>
    <cellStyle name="Total 7 2 2 9 3" xfId="18086"/>
    <cellStyle name="Total 7 2 2 9 3 2" xfId="31392"/>
    <cellStyle name="Total 7 2 2 9 4" xfId="22572"/>
    <cellStyle name="Total 7 2 2 9_Table" xfId="9038"/>
    <cellStyle name="Total 7 2 2_Table" xfId="9029"/>
    <cellStyle name="Total 7 2 3" xfId="1249"/>
    <cellStyle name="Total 7 2 3 2" xfId="10577"/>
    <cellStyle name="Total 7 2 3 2 2" xfId="23883"/>
    <cellStyle name="Total 7 2 3 3" xfId="14987"/>
    <cellStyle name="Total 7 2 3 3 2" xfId="28293"/>
    <cellStyle name="Total 7 2 3 4" xfId="19473"/>
    <cellStyle name="Total 7 2 3_Table" xfId="9039"/>
    <cellStyle name="Total 7 2 4" xfId="977"/>
    <cellStyle name="Total 7 2 4 2" xfId="10305"/>
    <cellStyle name="Total 7 2 4 2 2" xfId="23611"/>
    <cellStyle name="Total 7 2 4 3" xfId="14715"/>
    <cellStyle name="Total 7 2 4 3 2" xfId="28021"/>
    <cellStyle name="Total 7 2 4 4" xfId="19201"/>
    <cellStyle name="Total 7 2 4_Table" xfId="9040"/>
    <cellStyle name="Total 7 2 5" xfId="1198"/>
    <cellStyle name="Total 7 2 5 2" xfId="10526"/>
    <cellStyle name="Total 7 2 5 2 2" xfId="23832"/>
    <cellStyle name="Total 7 2 5 3" xfId="14936"/>
    <cellStyle name="Total 7 2 5 3 2" xfId="28242"/>
    <cellStyle name="Total 7 2 5 4" xfId="19422"/>
    <cellStyle name="Total 7 2 5_Table" xfId="9041"/>
    <cellStyle name="Total 7 2 6" xfId="1028"/>
    <cellStyle name="Total 7 2 6 2" xfId="10356"/>
    <cellStyle name="Total 7 2 6 2 2" xfId="23662"/>
    <cellStyle name="Total 7 2 6 3" xfId="14766"/>
    <cellStyle name="Total 7 2 6 3 2" xfId="28072"/>
    <cellStyle name="Total 7 2 6 4" xfId="19252"/>
    <cellStyle name="Total 7 2 6_Table" xfId="9042"/>
    <cellStyle name="Total 7 2 7" xfId="1257"/>
    <cellStyle name="Total 7 2 7 2" xfId="10585"/>
    <cellStyle name="Total 7 2 7 2 2" xfId="23891"/>
    <cellStyle name="Total 7 2 7 3" xfId="14995"/>
    <cellStyle name="Total 7 2 7 3 2" xfId="28301"/>
    <cellStyle name="Total 7 2 7 4" xfId="19481"/>
    <cellStyle name="Total 7 2 7_Table" xfId="9043"/>
    <cellStyle name="Total 7 2 8" xfId="970"/>
    <cellStyle name="Total 7 2 8 2" xfId="10298"/>
    <cellStyle name="Total 7 2 8 2 2" xfId="23604"/>
    <cellStyle name="Total 7 2 8 3" xfId="14708"/>
    <cellStyle name="Total 7 2 8 3 2" xfId="28014"/>
    <cellStyle name="Total 7 2 8 4" xfId="19194"/>
    <cellStyle name="Total 7 2 8_Table" xfId="9044"/>
    <cellStyle name="Total 7 2 9" xfId="3446"/>
    <cellStyle name="Total 7 2 9 2" xfId="12774"/>
    <cellStyle name="Total 7 2 9 2 2" xfId="26080"/>
    <cellStyle name="Total 7 2 9 3" xfId="17184"/>
    <cellStyle name="Total 7 2 9 3 2" xfId="30490"/>
    <cellStyle name="Total 7 2 9 4" xfId="21670"/>
    <cellStyle name="Total 7 2 9_Table" xfId="9045"/>
    <cellStyle name="Total 7 2_Table" xfId="9026"/>
    <cellStyle name="Total 7 3" xfId="503"/>
    <cellStyle name="Total 7 3 10" xfId="4168"/>
    <cellStyle name="Total 7 3 10 2" xfId="13496"/>
    <cellStyle name="Total 7 3 10 2 2" xfId="26802"/>
    <cellStyle name="Total 7 3 10 3" xfId="17906"/>
    <cellStyle name="Total 7 3 10 3 2" xfId="31212"/>
    <cellStyle name="Total 7 3 10 4" xfId="22392"/>
    <cellStyle name="Total 7 3 10_Table" xfId="9047"/>
    <cellStyle name="Total 7 3 11" xfId="4529"/>
    <cellStyle name="Total 7 3 11 2" xfId="13857"/>
    <cellStyle name="Total 7 3 11 2 2" xfId="27163"/>
    <cellStyle name="Total 7 3 11 3" xfId="18267"/>
    <cellStyle name="Total 7 3 11 3 2" xfId="31573"/>
    <cellStyle name="Total 7 3 11 4" xfId="22753"/>
    <cellStyle name="Total 7 3 11_Table" xfId="9048"/>
    <cellStyle name="Total 7 3 12" xfId="9831"/>
    <cellStyle name="Total 7 3 12 2" xfId="23203"/>
    <cellStyle name="Total 7 3 13" xfId="14307"/>
    <cellStyle name="Total 7 3 13 2" xfId="27613"/>
    <cellStyle name="Total 7 3 14" xfId="18793"/>
    <cellStyle name="Total 7 3 2" xfId="794"/>
    <cellStyle name="Total 7 3 2 10" xfId="4754"/>
    <cellStyle name="Total 7 3 2 10 2" xfId="14082"/>
    <cellStyle name="Total 7 3 2 10 2 2" xfId="27388"/>
    <cellStyle name="Total 7 3 2 10 3" xfId="18492"/>
    <cellStyle name="Total 7 3 2 10 3 2" xfId="31798"/>
    <cellStyle name="Total 7 3 2 10 4" xfId="22978"/>
    <cellStyle name="Total 7 3 2 10_Table" xfId="9050"/>
    <cellStyle name="Total 7 3 2 11" xfId="10122"/>
    <cellStyle name="Total 7 3 2 11 2" xfId="23428"/>
    <cellStyle name="Total 7 3 2 12" xfId="14532"/>
    <cellStyle name="Total 7 3 2 12 2" xfId="27838"/>
    <cellStyle name="Total 7 3 2 13" xfId="19018"/>
    <cellStyle name="Total 7 3 2 2" xfId="1580"/>
    <cellStyle name="Total 7 3 2 2 2" xfId="10908"/>
    <cellStyle name="Total 7 3 2 2 2 2" xfId="24214"/>
    <cellStyle name="Total 7 3 2 2 3" xfId="15318"/>
    <cellStyle name="Total 7 3 2 2 3 2" xfId="28624"/>
    <cellStyle name="Total 7 3 2 2 4" xfId="19804"/>
    <cellStyle name="Total 7 3 2 2_Table" xfId="9051"/>
    <cellStyle name="Total 7 3 2 3" xfId="1940"/>
    <cellStyle name="Total 7 3 2 3 2" xfId="11268"/>
    <cellStyle name="Total 7 3 2 3 2 2" xfId="24574"/>
    <cellStyle name="Total 7 3 2 3 3" xfId="15678"/>
    <cellStyle name="Total 7 3 2 3 3 2" xfId="28984"/>
    <cellStyle name="Total 7 3 2 3 4" xfId="20164"/>
    <cellStyle name="Total 7 3 2 3_Table" xfId="9052"/>
    <cellStyle name="Total 7 3 2 4" xfId="2370"/>
    <cellStyle name="Total 7 3 2 4 2" xfId="11698"/>
    <cellStyle name="Total 7 3 2 4 2 2" xfId="25004"/>
    <cellStyle name="Total 7 3 2 4 3" xfId="16108"/>
    <cellStyle name="Total 7 3 2 4 3 2" xfId="29414"/>
    <cellStyle name="Total 7 3 2 4 4" xfId="20594"/>
    <cellStyle name="Total 7 3 2 4_Table" xfId="9053"/>
    <cellStyle name="Total 7 3 2 5" xfId="2808"/>
    <cellStyle name="Total 7 3 2 5 2" xfId="12136"/>
    <cellStyle name="Total 7 3 2 5 2 2" xfId="25442"/>
    <cellStyle name="Total 7 3 2 5 3" xfId="16546"/>
    <cellStyle name="Total 7 3 2 5 3 2" xfId="29852"/>
    <cellStyle name="Total 7 3 2 5 4" xfId="21032"/>
    <cellStyle name="Total 7 3 2 5_Table" xfId="9054"/>
    <cellStyle name="Total 7 3 2 6" xfId="3215"/>
    <cellStyle name="Total 7 3 2 6 2" xfId="12543"/>
    <cellStyle name="Total 7 3 2 6 2 2" xfId="25849"/>
    <cellStyle name="Total 7 3 2 6 3" xfId="16953"/>
    <cellStyle name="Total 7 3 2 6 3 2" xfId="30259"/>
    <cellStyle name="Total 7 3 2 6 4" xfId="21439"/>
    <cellStyle name="Total 7 3 2 6_Table" xfId="9055"/>
    <cellStyle name="Total 7 3 2 7" xfId="3807"/>
    <cellStyle name="Total 7 3 2 7 2" xfId="13135"/>
    <cellStyle name="Total 7 3 2 7 2 2" xfId="26441"/>
    <cellStyle name="Total 7 3 2 7 3" xfId="17545"/>
    <cellStyle name="Total 7 3 2 7 3 2" xfId="30851"/>
    <cellStyle name="Total 7 3 2 7 4" xfId="22031"/>
    <cellStyle name="Total 7 3 2 7_Table" xfId="9056"/>
    <cellStyle name="Total 7 3 2 8" xfId="4032"/>
    <cellStyle name="Total 7 3 2 8 2" xfId="13360"/>
    <cellStyle name="Total 7 3 2 8 2 2" xfId="26666"/>
    <cellStyle name="Total 7 3 2 8 3" xfId="17770"/>
    <cellStyle name="Total 7 3 2 8 3 2" xfId="31076"/>
    <cellStyle name="Total 7 3 2 8 4" xfId="22256"/>
    <cellStyle name="Total 7 3 2 8_Table" xfId="9057"/>
    <cellStyle name="Total 7 3 2 9" xfId="4393"/>
    <cellStyle name="Total 7 3 2 9 2" xfId="13721"/>
    <cellStyle name="Total 7 3 2 9 2 2" xfId="27027"/>
    <cellStyle name="Total 7 3 2 9 3" xfId="18131"/>
    <cellStyle name="Total 7 3 2 9 3 2" xfId="31437"/>
    <cellStyle name="Total 7 3 2 9 4" xfId="22617"/>
    <cellStyle name="Total 7 3 2 9_Table" xfId="9058"/>
    <cellStyle name="Total 7 3 2_Table" xfId="9049"/>
    <cellStyle name="Total 7 3 3" xfId="1306"/>
    <cellStyle name="Total 7 3 3 2" xfId="10634"/>
    <cellStyle name="Total 7 3 3 2 2" xfId="23940"/>
    <cellStyle name="Total 7 3 3 3" xfId="15044"/>
    <cellStyle name="Total 7 3 3 3 2" xfId="28350"/>
    <cellStyle name="Total 7 3 3 4" xfId="19530"/>
    <cellStyle name="Total 7 3 3_Table" xfId="9059"/>
    <cellStyle name="Total 7 3 4" xfId="911"/>
    <cellStyle name="Total 7 3 4 2" xfId="10239"/>
    <cellStyle name="Total 7 3 4 2 2" xfId="23545"/>
    <cellStyle name="Total 7 3 4 3" xfId="14649"/>
    <cellStyle name="Total 7 3 4 3 2" xfId="27955"/>
    <cellStyle name="Total 7 3 4 4" xfId="19135"/>
    <cellStyle name="Total 7 3 4_Table" xfId="9060"/>
    <cellStyle name="Total 7 3 5" xfId="2094"/>
    <cellStyle name="Total 7 3 5 2" xfId="11422"/>
    <cellStyle name="Total 7 3 5 2 2" xfId="24728"/>
    <cellStyle name="Total 7 3 5 3" xfId="15832"/>
    <cellStyle name="Total 7 3 5 3 2" xfId="29138"/>
    <cellStyle name="Total 7 3 5 4" xfId="20318"/>
    <cellStyle name="Total 7 3 5_Table" xfId="9061"/>
    <cellStyle name="Total 7 3 6" xfId="2526"/>
    <cellStyle name="Total 7 3 6 2" xfId="11854"/>
    <cellStyle name="Total 7 3 6 2 2" xfId="25160"/>
    <cellStyle name="Total 7 3 6 3" xfId="16264"/>
    <cellStyle name="Total 7 3 6 3 2" xfId="29570"/>
    <cellStyle name="Total 7 3 6 4" xfId="20750"/>
    <cellStyle name="Total 7 3 6_Table" xfId="9062"/>
    <cellStyle name="Total 7 3 7" xfId="2954"/>
    <cellStyle name="Total 7 3 7 2" xfId="12282"/>
    <cellStyle name="Total 7 3 7 2 2" xfId="25588"/>
    <cellStyle name="Total 7 3 7 3" xfId="16692"/>
    <cellStyle name="Total 7 3 7 3 2" xfId="29998"/>
    <cellStyle name="Total 7 3 7 4" xfId="21178"/>
    <cellStyle name="Total 7 3 7_Table" xfId="9063"/>
    <cellStyle name="Total 7 3 8" xfId="3367"/>
    <cellStyle name="Total 7 3 8 2" xfId="12695"/>
    <cellStyle name="Total 7 3 8 2 2" xfId="26001"/>
    <cellStyle name="Total 7 3 8 3" xfId="17105"/>
    <cellStyle name="Total 7 3 8 3 2" xfId="30411"/>
    <cellStyle name="Total 7 3 8 4" xfId="21591"/>
    <cellStyle name="Total 7 3 8_Table" xfId="9064"/>
    <cellStyle name="Total 7 3 9" xfId="3447"/>
    <cellStyle name="Total 7 3 9 2" xfId="12775"/>
    <cellStyle name="Total 7 3 9 2 2" xfId="26081"/>
    <cellStyle name="Total 7 3 9 3" xfId="17185"/>
    <cellStyle name="Total 7 3 9 3 2" xfId="30491"/>
    <cellStyle name="Total 7 3 9 4" xfId="21671"/>
    <cellStyle name="Total 7 3 9_Table" xfId="9065"/>
    <cellStyle name="Total 7 3_Table" xfId="9046"/>
    <cellStyle name="Total 7 4" xfId="567"/>
    <cellStyle name="Total 7 4 10" xfId="4213"/>
    <cellStyle name="Total 7 4 10 2" xfId="13541"/>
    <cellStyle name="Total 7 4 10 2 2" xfId="26847"/>
    <cellStyle name="Total 7 4 10 3" xfId="17951"/>
    <cellStyle name="Total 7 4 10 3 2" xfId="31257"/>
    <cellStyle name="Total 7 4 10 4" xfId="22437"/>
    <cellStyle name="Total 7 4 10_Table" xfId="9067"/>
    <cellStyle name="Total 7 4 11" xfId="4574"/>
    <cellStyle name="Total 7 4 11 2" xfId="13902"/>
    <cellStyle name="Total 7 4 11 2 2" xfId="27208"/>
    <cellStyle name="Total 7 4 11 3" xfId="18312"/>
    <cellStyle name="Total 7 4 11 3 2" xfId="31618"/>
    <cellStyle name="Total 7 4 11 4" xfId="22798"/>
    <cellStyle name="Total 7 4 11_Table" xfId="9068"/>
    <cellStyle name="Total 7 4 12" xfId="9895"/>
    <cellStyle name="Total 7 4 12 2" xfId="23248"/>
    <cellStyle name="Total 7 4 13" xfId="14352"/>
    <cellStyle name="Total 7 4 13 2" xfId="27658"/>
    <cellStyle name="Total 7 4 14" xfId="18838"/>
    <cellStyle name="Total 7 4 2" xfId="839"/>
    <cellStyle name="Total 7 4 2 10" xfId="4799"/>
    <cellStyle name="Total 7 4 2 10 2" xfId="14127"/>
    <cellStyle name="Total 7 4 2 10 2 2" xfId="27433"/>
    <cellStyle name="Total 7 4 2 10 3" xfId="18537"/>
    <cellStyle name="Total 7 4 2 10 3 2" xfId="31843"/>
    <cellStyle name="Total 7 4 2 10 4" xfId="23023"/>
    <cellStyle name="Total 7 4 2 10_Table" xfId="9070"/>
    <cellStyle name="Total 7 4 2 11" xfId="10167"/>
    <cellStyle name="Total 7 4 2 11 2" xfId="23473"/>
    <cellStyle name="Total 7 4 2 12" xfId="14577"/>
    <cellStyle name="Total 7 4 2 12 2" xfId="27883"/>
    <cellStyle name="Total 7 4 2 13" xfId="19063"/>
    <cellStyle name="Total 7 4 2 2" xfId="1625"/>
    <cellStyle name="Total 7 4 2 2 2" xfId="10953"/>
    <cellStyle name="Total 7 4 2 2 2 2" xfId="24259"/>
    <cellStyle name="Total 7 4 2 2 3" xfId="15363"/>
    <cellStyle name="Total 7 4 2 2 3 2" xfId="28669"/>
    <cellStyle name="Total 7 4 2 2 4" xfId="19849"/>
    <cellStyle name="Total 7 4 2 2_Table" xfId="9071"/>
    <cellStyle name="Total 7 4 2 3" xfId="1985"/>
    <cellStyle name="Total 7 4 2 3 2" xfId="11313"/>
    <cellStyle name="Total 7 4 2 3 2 2" xfId="24619"/>
    <cellStyle name="Total 7 4 2 3 3" xfId="15723"/>
    <cellStyle name="Total 7 4 2 3 3 2" xfId="29029"/>
    <cellStyle name="Total 7 4 2 3 4" xfId="20209"/>
    <cellStyle name="Total 7 4 2 3_Table" xfId="9072"/>
    <cellStyle name="Total 7 4 2 4" xfId="2415"/>
    <cellStyle name="Total 7 4 2 4 2" xfId="11743"/>
    <cellStyle name="Total 7 4 2 4 2 2" xfId="25049"/>
    <cellStyle name="Total 7 4 2 4 3" xfId="16153"/>
    <cellStyle name="Total 7 4 2 4 3 2" xfId="29459"/>
    <cellStyle name="Total 7 4 2 4 4" xfId="20639"/>
    <cellStyle name="Total 7 4 2 4_Table" xfId="9073"/>
    <cellStyle name="Total 7 4 2 5" xfId="2853"/>
    <cellStyle name="Total 7 4 2 5 2" xfId="12181"/>
    <cellStyle name="Total 7 4 2 5 2 2" xfId="25487"/>
    <cellStyle name="Total 7 4 2 5 3" xfId="16591"/>
    <cellStyle name="Total 7 4 2 5 3 2" xfId="29897"/>
    <cellStyle name="Total 7 4 2 5 4" xfId="21077"/>
    <cellStyle name="Total 7 4 2 5_Table" xfId="9074"/>
    <cellStyle name="Total 7 4 2 6" xfId="3260"/>
    <cellStyle name="Total 7 4 2 6 2" xfId="12588"/>
    <cellStyle name="Total 7 4 2 6 2 2" xfId="25894"/>
    <cellStyle name="Total 7 4 2 6 3" xfId="16998"/>
    <cellStyle name="Total 7 4 2 6 3 2" xfId="30304"/>
    <cellStyle name="Total 7 4 2 6 4" xfId="21484"/>
    <cellStyle name="Total 7 4 2 6_Table" xfId="9075"/>
    <cellStyle name="Total 7 4 2 7" xfId="3852"/>
    <cellStyle name="Total 7 4 2 7 2" xfId="13180"/>
    <cellStyle name="Total 7 4 2 7 2 2" xfId="26486"/>
    <cellStyle name="Total 7 4 2 7 3" xfId="17590"/>
    <cellStyle name="Total 7 4 2 7 3 2" xfId="30896"/>
    <cellStyle name="Total 7 4 2 7 4" xfId="22076"/>
    <cellStyle name="Total 7 4 2 7_Table" xfId="9076"/>
    <cellStyle name="Total 7 4 2 8" xfId="4077"/>
    <cellStyle name="Total 7 4 2 8 2" xfId="13405"/>
    <cellStyle name="Total 7 4 2 8 2 2" xfId="26711"/>
    <cellStyle name="Total 7 4 2 8 3" xfId="17815"/>
    <cellStyle name="Total 7 4 2 8 3 2" xfId="31121"/>
    <cellStyle name="Total 7 4 2 8 4" xfId="22301"/>
    <cellStyle name="Total 7 4 2 8_Table" xfId="9077"/>
    <cellStyle name="Total 7 4 2 9" xfId="4438"/>
    <cellStyle name="Total 7 4 2 9 2" xfId="13766"/>
    <cellStyle name="Total 7 4 2 9 2 2" xfId="27072"/>
    <cellStyle name="Total 7 4 2 9 3" xfId="18176"/>
    <cellStyle name="Total 7 4 2 9 3 2" xfId="31482"/>
    <cellStyle name="Total 7 4 2 9 4" xfId="22662"/>
    <cellStyle name="Total 7 4 2 9_Table" xfId="9078"/>
    <cellStyle name="Total 7 4 2_Table" xfId="9069"/>
    <cellStyle name="Total 7 4 3" xfId="1362"/>
    <cellStyle name="Total 7 4 3 2" xfId="10690"/>
    <cellStyle name="Total 7 4 3 2 2" xfId="23996"/>
    <cellStyle name="Total 7 4 3 3" xfId="15100"/>
    <cellStyle name="Total 7 4 3 3 2" xfId="28406"/>
    <cellStyle name="Total 7 4 3 4" xfId="19586"/>
    <cellStyle name="Total 7 4 3_Table" xfId="9079"/>
    <cellStyle name="Total 7 4 4" xfId="1719"/>
    <cellStyle name="Total 7 4 4 2" xfId="11047"/>
    <cellStyle name="Total 7 4 4 2 2" xfId="24353"/>
    <cellStyle name="Total 7 4 4 3" xfId="15457"/>
    <cellStyle name="Total 7 4 4 3 2" xfId="28763"/>
    <cellStyle name="Total 7 4 4 4" xfId="19943"/>
    <cellStyle name="Total 7 4 4_Table" xfId="9080"/>
    <cellStyle name="Total 7 4 5" xfId="2153"/>
    <cellStyle name="Total 7 4 5 2" xfId="11481"/>
    <cellStyle name="Total 7 4 5 2 2" xfId="24787"/>
    <cellStyle name="Total 7 4 5 3" xfId="15891"/>
    <cellStyle name="Total 7 4 5 3 2" xfId="29197"/>
    <cellStyle name="Total 7 4 5 4" xfId="20377"/>
    <cellStyle name="Total 7 4 5_Table" xfId="9081"/>
    <cellStyle name="Total 7 4 6" xfId="2585"/>
    <cellStyle name="Total 7 4 6 2" xfId="11913"/>
    <cellStyle name="Total 7 4 6 2 2" xfId="25219"/>
    <cellStyle name="Total 7 4 6 3" xfId="16323"/>
    <cellStyle name="Total 7 4 6 3 2" xfId="29629"/>
    <cellStyle name="Total 7 4 6 4" xfId="20809"/>
    <cellStyle name="Total 7 4 6_Table" xfId="9082"/>
    <cellStyle name="Total 7 4 7" xfId="3011"/>
    <cellStyle name="Total 7 4 7 2" xfId="12339"/>
    <cellStyle name="Total 7 4 7 2 2" xfId="25645"/>
    <cellStyle name="Total 7 4 7 3" xfId="16749"/>
    <cellStyle name="Total 7 4 7 3 2" xfId="30055"/>
    <cellStyle name="Total 7 4 7 4" xfId="21235"/>
    <cellStyle name="Total 7 4 7_Table" xfId="9083"/>
    <cellStyle name="Total 7 4 8" xfId="3425"/>
    <cellStyle name="Total 7 4 8 2" xfId="12753"/>
    <cellStyle name="Total 7 4 8 2 2" xfId="26059"/>
    <cellStyle name="Total 7 4 8 3" xfId="17163"/>
    <cellStyle name="Total 7 4 8 3 2" xfId="30469"/>
    <cellStyle name="Total 7 4 8 4" xfId="21649"/>
    <cellStyle name="Total 7 4 8_Table" xfId="9084"/>
    <cellStyle name="Total 7 4 9" xfId="3599"/>
    <cellStyle name="Total 7 4 9 2" xfId="12927"/>
    <cellStyle name="Total 7 4 9 2 2" xfId="26233"/>
    <cellStyle name="Total 7 4 9 3" xfId="17337"/>
    <cellStyle name="Total 7 4 9 3 2" xfId="30643"/>
    <cellStyle name="Total 7 4 9 4" xfId="21823"/>
    <cellStyle name="Total 7 4 9_Table" xfId="9085"/>
    <cellStyle name="Total 7 4_Table" xfId="9066"/>
    <cellStyle name="Total 7 5" xfId="642"/>
    <cellStyle name="Total 7 5 10" xfId="4258"/>
    <cellStyle name="Total 7 5 10 2" xfId="13586"/>
    <cellStyle name="Total 7 5 10 2 2" xfId="26892"/>
    <cellStyle name="Total 7 5 10 3" xfId="17996"/>
    <cellStyle name="Total 7 5 10 3 2" xfId="31302"/>
    <cellStyle name="Total 7 5 10 4" xfId="22482"/>
    <cellStyle name="Total 7 5 10_Table" xfId="9087"/>
    <cellStyle name="Total 7 5 11" xfId="4619"/>
    <cellStyle name="Total 7 5 11 2" xfId="13947"/>
    <cellStyle name="Total 7 5 11 2 2" xfId="27253"/>
    <cellStyle name="Total 7 5 11 3" xfId="18357"/>
    <cellStyle name="Total 7 5 11 3 2" xfId="31663"/>
    <cellStyle name="Total 7 5 11 4" xfId="22843"/>
    <cellStyle name="Total 7 5 11_Table" xfId="9088"/>
    <cellStyle name="Total 7 5 12" xfId="9970"/>
    <cellStyle name="Total 7 5 12 2" xfId="23293"/>
    <cellStyle name="Total 7 5 13" xfId="14397"/>
    <cellStyle name="Total 7 5 13 2" xfId="27703"/>
    <cellStyle name="Total 7 5 14" xfId="18883"/>
    <cellStyle name="Total 7 5 2" xfId="884"/>
    <cellStyle name="Total 7 5 2 10" xfId="4844"/>
    <cellStyle name="Total 7 5 2 10 2" xfId="14172"/>
    <cellStyle name="Total 7 5 2 10 2 2" xfId="27478"/>
    <cellStyle name="Total 7 5 2 10 3" xfId="18582"/>
    <cellStyle name="Total 7 5 2 10 3 2" xfId="31888"/>
    <cellStyle name="Total 7 5 2 10 4" xfId="23068"/>
    <cellStyle name="Total 7 5 2 10_Table" xfId="9090"/>
    <cellStyle name="Total 7 5 2 11" xfId="10212"/>
    <cellStyle name="Total 7 5 2 11 2" xfId="23518"/>
    <cellStyle name="Total 7 5 2 12" xfId="14622"/>
    <cellStyle name="Total 7 5 2 12 2" xfId="27928"/>
    <cellStyle name="Total 7 5 2 13" xfId="19108"/>
    <cellStyle name="Total 7 5 2 2" xfId="1670"/>
    <cellStyle name="Total 7 5 2 2 2" xfId="10998"/>
    <cellStyle name="Total 7 5 2 2 2 2" xfId="24304"/>
    <cellStyle name="Total 7 5 2 2 3" xfId="15408"/>
    <cellStyle name="Total 7 5 2 2 3 2" xfId="28714"/>
    <cellStyle name="Total 7 5 2 2 4" xfId="19894"/>
    <cellStyle name="Total 7 5 2 2_Table" xfId="9091"/>
    <cellStyle name="Total 7 5 2 3" xfId="2030"/>
    <cellStyle name="Total 7 5 2 3 2" xfId="11358"/>
    <cellStyle name="Total 7 5 2 3 2 2" xfId="24664"/>
    <cellStyle name="Total 7 5 2 3 3" xfId="15768"/>
    <cellStyle name="Total 7 5 2 3 3 2" xfId="29074"/>
    <cellStyle name="Total 7 5 2 3 4" xfId="20254"/>
    <cellStyle name="Total 7 5 2 3_Table" xfId="9092"/>
    <cellStyle name="Total 7 5 2 4" xfId="2460"/>
    <cellStyle name="Total 7 5 2 4 2" xfId="11788"/>
    <cellStyle name="Total 7 5 2 4 2 2" xfId="25094"/>
    <cellStyle name="Total 7 5 2 4 3" xfId="16198"/>
    <cellStyle name="Total 7 5 2 4 3 2" xfId="29504"/>
    <cellStyle name="Total 7 5 2 4 4" xfId="20684"/>
    <cellStyle name="Total 7 5 2 4_Table" xfId="9093"/>
    <cellStyle name="Total 7 5 2 5" xfId="2898"/>
    <cellStyle name="Total 7 5 2 5 2" xfId="12226"/>
    <cellStyle name="Total 7 5 2 5 2 2" xfId="25532"/>
    <cellStyle name="Total 7 5 2 5 3" xfId="16636"/>
    <cellStyle name="Total 7 5 2 5 3 2" xfId="29942"/>
    <cellStyle name="Total 7 5 2 5 4" xfId="21122"/>
    <cellStyle name="Total 7 5 2 5_Table" xfId="9094"/>
    <cellStyle name="Total 7 5 2 6" xfId="3305"/>
    <cellStyle name="Total 7 5 2 6 2" xfId="12633"/>
    <cellStyle name="Total 7 5 2 6 2 2" xfId="25939"/>
    <cellStyle name="Total 7 5 2 6 3" xfId="17043"/>
    <cellStyle name="Total 7 5 2 6 3 2" xfId="30349"/>
    <cellStyle name="Total 7 5 2 6 4" xfId="21529"/>
    <cellStyle name="Total 7 5 2 6_Table" xfId="9095"/>
    <cellStyle name="Total 7 5 2 7" xfId="3897"/>
    <cellStyle name="Total 7 5 2 7 2" xfId="13225"/>
    <cellStyle name="Total 7 5 2 7 2 2" xfId="26531"/>
    <cellStyle name="Total 7 5 2 7 3" xfId="17635"/>
    <cellStyle name="Total 7 5 2 7 3 2" xfId="30941"/>
    <cellStyle name="Total 7 5 2 7 4" xfId="22121"/>
    <cellStyle name="Total 7 5 2 7_Table" xfId="9096"/>
    <cellStyle name="Total 7 5 2 8" xfId="4122"/>
    <cellStyle name="Total 7 5 2 8 2" xfId="13450"/>
    <cellStyle name="Total 7 5 2 8 2 2" xfId="26756"/>
    <cellStyle name="Total 7 5 2 8 3" xfId="17860"/>
    <cellStyle name="Total 7 5 2 8 3 2" xfId="31166"/>
    <cellStyle name="Total 7 5 2 8 4" xfId="22346"/>
    <cellStyle name="Total 7 5 2 8_Table" xfId="9097"/>
    <cellStyle name="Total 7 5 2 9" xfId="4483"/>
    <cellStyle name="Total 7 5 2 9 2" xfId="13811"/>
    <cellStyle name="Total 7 5 2 9 2 2" xfId="27117"/>
    <cellStyle name="Total 7 5 2 9 3" xfId="18221"/>
    <cellStyle name="Total 7 5 2 9 3 2" xfId="31527"/>
    <cellStyle name="Total 7 5 2 9 4" xfId="22707"/>
    <cellStyle name="Total 7 5 2 9_Table" xfId="9098"/>
    <cellStyle name="Total 7 5 2_Table" xfId="9089"/>
    <cellStyle name="Total 7 5 3" xfId="1429"/>
    <cellStyle name="Total 7 5 3 2" xfId="10757"/>
    <cellStyle name="Total 7 5 3 2 2" xfId="24063"/>
    <cellStyle name="Total 7 5 3 3" xfId="15167"/>
    <cellStyle name="Total 7 5 3 3 2" xfId="28473"/>
    <cellStyle name="Total 7 5 3 4" xfId="19653"/>
    <cellStyle name="Total 7 5 3_Table" xfId="9099"/>
    <cellStyle name="Total 7 5 4" xfId="1789"/>
    <cellStyle name="Total 7 5 4 2" xfId="11117"/>
    <cellStyle name="Total 7 5 4 2 2" xfId="24423"/>
    <cellStyle name="Total 7 5 4 3" xfId="15527"/>
    <cellStyle name="Total 7 5 4 3 2" xfId="28833"/>
    <cellStyle name="Total 7 5 4 4" xfId="20013"/>
    <cellStyle name="Total 7 5 4_Table" xfId="9100"/>
    <cellStyle name="Total 7 5 5" xfId="2222"/>
    <cellStyle name="Total 7 5 5 2" xfId="11550"/>
    <cellStyle name="Total 7 5 5 2 2" xfId="24856"/>
    <cellStyle name="Total 7 5 5 3" xfId="15960"/>
    <cellStyle name="Total 7 5 5 3 2" xfId="29266"/>
    <cellStyle name="Total 7 5 5 4" xfId="20446"/>
    <cellStyle name="Total 7 5 5_Table" xfId="9101"/>
    <cellStyle name="Total 7 5 6" xfId="2657"/>
    <cellStyle name="Total 7 5 6 2" xfId="11985"/>
    <cellStyle name="Total 7 5 6 2 2" xfId="25291"/>
    <cellStyle name="Total 7 5 6 3" xfId="16395"/>
    <cellStyle name="Total 7 5 6 3 2" xfId="29701"/>
    <cellStyle name="Total 7 5 6 4" xfId="20881"/>
    <cellStyle name="Total 7 5 6_Table" xfId="9102"/>
    <cellStyle name="Total 7 5 7" xfId="3070"/>
    <cellStyle name="Total 7 5 7 2" xfId="12398"/>
    <cellStyle name="Total 7 5 7 2 2" xfId="25704"/>
    <cellStyle name="Total 7 5 7 3" xfId="16808"/>
    <cellStyle name="Total 7 5 7 3 2" xfId="30114"/>
    <cellStyle name="Total 7 5 7 4" xfId="21294"/>
    <cellStyle name="Total 7 5 7_Table" xfId="9103"/>
    <cellStyle name="Total 7 5 8" xfId="3496"/>
    <cellStyle name="Total 7 5 8 2" xfId="12824"/>
    <cellStyle name="Total 7 5 8 2 2" xfId="26130"/>
    <cellStyle name="Total 7 5 8 3" xfId="17234"/>
    <cellStyle name="Total 7 5 8 3 2" xfId="30540"/>
    <cellStyle name="Total 7 5 8 4" xfId="21720"/>
    <cellStyle name="Total 7 5 8_Table" xfId="9104"/>
    <cellStyle name="Total 7 5 9" xfId="3609"/>
    <cellStyle name="Total 7 5 9 2" xfId="12937"/>
    <cellStyle name="Total 7 5 9 2 2" xfId="26243"/>
    <cellStyle name="Total 7 5 9 3" xfId="17347"/>
    <cellStyle name="Total 7 5 9 3 2" xfId="30653"/>
    <cellStyle name="Total 7 5 9 4" xfId="21833"/>
    <cellStyle name="Total 7 5 9_Table" xfId="9105"/>
    <cellStyle name="Total 7 5_Table" xfId="9086"/>
    <cellStyle name="Total 7 6" xfId="704"/>
    <cellStyle name="Total 7 6 10" xfId="4664"/>
    <cellStyle name="Total 7 6 10 2" xfId="13992"/>
    <cellStyle name="Total 7 6 10 2 2" xfId="27298"/>
    <cellStyle name="Total 7 6 10 3" xfId="18402"/>
    <cellStyle name="Total 7 6 10 3 2" xfId="31708"/>
    <cellStyle name="Total 7 6 10 4" xfId="22888"/>
    <cellStyle name="Total 7 6 10_Table" xfId="9107"/>
    <cellStyle name="Total 7 6 11" xfId="10032"/>
    <cellStyle name="Total 7 6 11 2" xfId="23338"/>
    <cellStyle name="Total 7 6 12" xfId="14442"/>
    <cellStyle name="Total 7 6 12 2" xfId="27748"/>
    <cellStyle name="Total 7 6 13" xfId="18928"/>
    <cellStyle name="Total 7 6 2" xfId="1490"/>
    <cellStyle name="Total 7 6 2 2" xfId="10818"/>
    <cellStyle name="Total 7 6 2 2 2" xfId="24124"/>
    <cellStyle name="Total 7 6 2 3" xfId="15228"/>
    <cellStyle name="Total 7 6 2 3 2" xfId="28534"/>
    <cellStyle name="Total 7 6 2 4" xfId="19714"/>
    <cellStyle name="Total 7 6 2_Table" xfId="9108"/>
    <cellStyle name="Total 7 6 3" xfId="1850"/>
    <cellStyle name="Total 7 6 3 2" xfId="11178"/>
    <cellStyle name="Total 7 6 3 2 2" xfId="24484"/>
    <cellStyle name="Total 7 6 3 3" xfId="15588"/>
    <cellStyle name="Total 7 6 3 3 2" xfId="28894"/>
    <cellStyle name="Total 7 6 3 4" xfId="20074"/>
    <cellStyle name="Total 7 6 3_Table" xfId="9109"/>
    <cellStyle name="Total 7 6 4" xfId="2280"/>
    <cellStyle name="Total 7 6 4 2" xfId="11608"/>
    <cellStyle name="Total 7 6 4 2 2" xfId="24914"/>
    <cellStyle name="Total 7 6 4 3" xfId="16018"/>
    <cellStyle name="Total 7 6 4 3 2" xfId="29324"/>
    <cellStyle name="Total 7 6 4 4" xfId="20504"/>
    <cellStyle name="Total 7 6 4_Table" xfId="9110"/>
    <cellStyle name="Total 7 6 5" xfId="2718"/>
    <cellStyle name="Total 7 6 5 2" xfId="12046"/>
    <cellStyle name="Total 7 6 5 2 2" xfId="25352"/>
    <cellStyle name="Total 7 6 5 3" xfId="16456"/>
    <cellStyle name="Total 7 6 5 3 2" xfId="29762"/>
    <cellStyle name="Total 7 6 5 4" xfId="20942"/>
    <cellStyle name="Total 7 6 5_Table" xfId="9111"/>
    <cellStyle name="Total 7 6 6" xfId="3125"/>
    <cellStyle name="Total 7 6 6 2" xfId="12453"/>
    <cellStyle name="Total 7 6 6 2 2" xfId="25759"/>
    <cellStyle name="Total 7 6 6 3" xfId="16863"/>
    <cellStyle name="Total 7 6 6 3 2" xfId="30169"/>
    <cellStyle name="Total 7 6 6 4" xfId="21349"/>
    <cellStyle name="Total 7 6 6_Table" xfId="9112"/>
    <cellStyle name="Total 7 6 7" xfId="3717"/>
    <cellStyle name="Total 7 6 7 2" xfId="13045"/>
    <cellStyle name="Total 7 6 7 2 2" xfId="26351"/>
    <cellStyle name="Total 7 6 7 3" xfId="17455"/>
    <cellStyle name="Total 7 6 7 3 2" xfId="30761"/>
    <cellStyle name="Total 7 6 7 4" xfId="21941"/>
    <cellStyle name="Total 7 6 7_Table" xfId="9113"/>
    <cellStyle name="Total 7 6 8" xfId="3942"/>
    <cellStyle name="Total 7 6 8 2" xfId="13270"/>
    <cellStyle name="Total 7 6 8 2 2" xfId="26576"/>
    <cellStyle name="Total 7 6 8 3" xfId="17680"/>
    <cellStyle name="Total 7 6 8 3 2" xfId="30986"/>
    <cellStyle name="Total 7 6 8 4" xfId="22166"/>
    <cellStyle name="Total 7 6 8_Table" xfId="9114"/>
    <cellStyle name="Total 7 6 9" xfId="4303"/>
    <cellStyle name="Total 7 6 9 2" xfId="13631"/>
    <cellStyle name="Total 7 6 9 2 2" xfId="26937"/>
    <cellStyle name="Total 7 6 9 3" xfId="18041"/>
    <cellStyle name="Total 7 6 9 3 2" xfId="31347"/>
    <cellStyle name="Total 7 6 9 4" xfId="22527"/>
    <cellStyle name="Total 7 6 9_Table" xfId="9115"/>
    <cellStyle name="Total 7 6_Table" xfId="9106"/>
    <cellStyle name="Total 7 7" xfId="1205"/>
    <cellStyle name="Total 7 7 2" xfId="10533"/>
    <cellStyle name="Total 7 7 2 2" xfId="23839"/>
    <cellStyle name="Total 7 7 3" xfId="14943"/>
    <cellStyle name="Total 7 7 3 2" xfId="28249"/>
    <cellStyle name="Total 7 7 4" xfId="19429"/>
    <cellStyle name="Total 7 7_Table" xfId="9116"/>
    <cellStyle name="Total 7 8" xfId="1037"/>
    <cellStyle name="Total 7 8 2" xfId="10365"/>
    <cellStyle name="Total 7 8 2 2" xfId="23671"/>
    <cellStyle name="Total 7 8 3" xfId="14775"/>
    <cellStyle name="Total 7 8 3 2" xfId="28081"/>
    <cellStyle name="Total 7 8 4" xfId="19261"/>
    <cellStyle name="Total 7 8_Table" xfId="9117"/>
    <cellStyle name="Total 7 9" xfId="1323"/>
    <cellStyle name="Total 7 9 2" xfId="10651"/>
    <cellStyle name="Total 7 9 2 2" xfId="23957"/>
    <cellStyle name="Total 7 9 3" xfId="15061"/>
    <cellStyle name="Total 7 9 3 2" xfId="28367"/>
    <cellStyle name="Total 7 9 4" xfId="19547"/>
    <cellStyle name="Total 7 9_Table" xfId="9118"/>
    <cellStyle name="Total 7_Table" xfId="9019"/>
    <cellStyle name="Total 8" xfId="374"/>
    <cellStyle name="Total 8 10" xfId="1797"/>
    <cellStyle name="Total 8 10 2" xfId="11125"/>
    <cellStyle name="Total 8 10 2 2" xfId="24431"/>
    <cellStyle name="Total 8 10 3" xfId="15535"/>
    <cellStyle name="Total 8 10 3 2" xfId="28841"/>
    <cellStyle name="Total 8 10 4" xfId="20021"/>
    <cellStyle name="Total 8 10_Table" xfId="9120"/>
    <cellStyle name="Total 8 11" xfId="2229"/>
    <cellStyle name="Total 8 11 2" xfId="11557"/>
    <cellStyle name="Total 8 11 2 2" xfId="24863"/>
    <cellStyle name="Total 8 11 3" xfId="15967"/>
    <cellStyle name="Total 8 11 3 2" xfId="29273"/>
    <cellStyle name="Total 8 11 4" xfId="20453"/>
    <cellStyle name="Total 8 11_Table" xfId="9121"/>
    <cellStyle name="Total 8 12" xfId="2664"/>
    <cellStyle name="Total 8 12 2" xfId="11992"/>
    <cellStyle name="Total 8 12 2 2" xfId="25298"/>
    <cellStyle name="Total 8 12 3" xfId="16402"/>
    <cellStyle name="Total 8 12 3 2" xfId="29708"/>
    <cellStyle name="Total 8 12 4" xfId="20888"/>
    <cellStyle name="Total 8 12_Table" xfId="9122"/>
    <cellStyle name="Total 8 13" xfId="3452"/>
    <cellStyle name="Total 8 13 2" xfId="12780"/>
    <cellStyle name="Total 8 13 2 2" xfId="26086"/>
    <cellStyle name="Total 8 13 3" xfId="17190"/>
    <cellStyle name="Total 8 13 3 2" xfId="30496"/>
    <cellStyle name="Total 8 13 4" xfId="21676"/>
    <cellStyle name="Total 8 13_Table" xfId="9123"/>
    <cellStyle name="Total 8 14" xfId="3082"/>
    <cellStyle name="Total 8 14 2" xfId="12410"/>
    <cellStyle name="Total 8 14 2 2" xfId="25716"/>
    <cellStyle name="Total 8 14 3" xfId="16820"/>
    <cellStyle name="Total 8 14 3 2" xfId="30126"/>
    <cellStyle name="Total 8 14 4" xfId="21306"/>
    <cellStyle name="Total 8 14_Table" xfId="9124"/>
    <cellStyle name="Total 8 15" xfId="3545"/>
    <cellStyle name="Total 8 15 2" xfId="12873"/>
    <cellStyle name="Total 8 15 2 2" xfId="26179"/>
    <cellStyle name="Total 8 15 3" xfId="17283"/>
    <cellStyle name="Total 8 15 3 2" xfId="30589"/>
    <cellStyle name="Total 8 15 4" xfId="21769"/>
    <cellStyle name="Total 8 15_Table" xfId="9125"/>
    <cellStyle name="Total 8 16" xfId="9702"/>
    <cellStyle name="Total 8 16 2" xfId="23114"/>
    <cellStyle name="Total 8 17" xfId="14218"/>
    <cellStyle name="Total 8 17 2" xfId="27524"/>
    <cellStyle name="Total 8 18" xfId="18704"/>
    <cellStyle name="Total 8 2" xfId="436"/>
    <cellStyle name="Total 8 2 10" xfId="907"/>
    <cellStyle name="Total 8 2 10 2" xfId="10235"/>
    <cellStyle name="Total 8 2 10 2 2" xfId="23541"/>
    <cellStyle name="Total 8 2 10 3" xfId="14645"/>
    <cellStyle name="Total 8 2 10 3 2" xfId="27951"/>
    <cellStyle name="Total 8 2 10 4" xfId="19131"/>
    <cellStyle name="Total 8 2 10_Table" xfId="9127"/>
    <cellStyle name="Total 8 2 11" xfId="2611"/>
    <cellStyle name="Total 8 2 11 2" xfId="11939"/>
    <cellStyle name="Total 8 2 11 2 2" xfId="25245"/>
    <cellStyle name="Total 8 2 11 3" xfId="16349"/>
    <cellStyle name="Total 8 2 11 3 2" xfId="29655"/>
    <cellStyle name="Total 8 2 11 4" xfId="20835"/>
    <cellStyle name="Total 8 2 11_Table" xfId="9128"/>
    <cellStyle name="Total 8 2 12" xfId="9764"/>
    <cellStyle name="Total 8 2 12 2" xfId="23159"/>
    <cellStyle name="Total 8 2 13" xfId="14263"/>
    <cellStyle name="Total 8 2 13 2" xfId="27569"/>
    <cellStyle name="Total 8 2 14" xfId="18749"/>
    <cellStyle name="Total 8 2 2" xfId="750"/>
    <cellStyle name="Total 8 2 2 10" xfId="4710"/>
    <cellStyle name="Total 8 2 2 10 2" xfId="14038"/>
    <cellStyle name="Total 8 2 2 10 2 2" xfId="27344"/>
    <cellStyle name="Total 8 2 2 10 3" xfId="18448"/>
    <cellStyle name="Total 8 2 2 10 3 2" xfId="31754"/>
    <cellStyle name="Total 8 2 2 10 4" xfId="22934"/>
    <cellStyle name="Total 8 2 2 10_Table" xfId="9130"/>
    <cellStyle name="Total 8 2 2 11" xfId="10078"/>
    <cellStyle name="Total 8 2 2 11 2" xfId="23384"/>
    <cellStyle name="Total 8 2 2 12" xfId="14488"/>
    <cellStyle name="Total 8 2 2 12 2" xfId="27794"/>
    <cellStyle name="Total 8 2 2 13" xfId="18974"/>
    <cellStyle name="Total 8 2 2 2" xfId="1536"/>
    <cellStyle name="Total 8 2 2 2 2" xfId="10864"/>
    <cellStyle name="Total 8 2 2 2 2 2" xfId="24170"/>
    <cellStyle name="Total 8 2 2 2 3" xfId="15274"/>
    <cellStyle name="Total 8 2 2 2 3 2" xfId="28580"/>
    <cellStyle name="Total 8 2 2 2 4" xfId="19760"/>
    <cellStyle name="Total 8 2 2 2_Table" xfId="9131"/>
    <cellStyle name="Total 8 2 2 3" xfId="1896"/>
    <cellStyle name="Total 8 2 2 3 2" xfId="11224"/>
    <cellStyle name="Total 8 2 2 3 2 2" xfId="24530"/>
    <cellStyle name="Total 8 2 2 3 3" xfId="15634"/>
    <cellStyle name="Total 8 2 2 3 3 2" xfId="28940"/>
    <cellStyle name="Total 8 2 2 3 4" xfId="20120"/>
    <cellStyle name="Total 8 2 2 3_Table" xfId="9132"/>
    <cellStyle name="Total 8 2 2 4" xfId="2326"/>
    <cellStyle name="Total 8 2 2 4 2" xfId="11654"/>
    <cellStyle name="Total 8 2 2 4 2 2" xfId="24960"/>
    <cellStyle name="Total 8 2 2 4 3" xfId="16064"/>
    <cellStyle name="Total 8 2 2 4 3 2" xfId="29370"/>
    <cellStyle name="Total 8 2 2 4 4" xfId="20550"/>
    <cellStyle name="Total 8 2 2 4_Table" xfId="9133"/>
    <cellStyle name="Total 8 2 2 5" xfId="2764"/>
    <cellStyle name="Total 8 2 2 5 2" xfId="12092"/>
    <cellStyle name="Total 8 2 2 5 2 2" xfId="25398"/>
    <cellStyle name="Total 8 2 2 5 3" xfId="16502"/>
    <cellStyle name="Total 8 2 2 5 3 2" xfId="29808"/>
    <cellStyle name="Total 8 2 2 5 4" xfId="20988"/>
    <cellStyle name="Total 8 2 2 5_Table" xfId="9134"/>
    <cellStyle name="Total 8 2 2 6" xfId="3171"/>
    <cellStyle name="Total 8 2 2 6 2" xfId="12499"/>
    <cellStyle name="Total 8 2 2 6 2 2" xfId="25805"/>
    <cellStyle name="Total 8 2 2 6 3" xfId="16909"/>
    <cellStyle name="Total 8 2 2 6 3 2" xfId="30215"/>
    <cellStyle name="Total 8 2 2 6 4" xfId="21395"/>
    <cellStyle name="Total 8 2 2 6_Table" xfId="9135"/>
    <cellStyle name="Total 8 2 2 7" xfId="3763"/>
    <cellStyle name="Total 8 2 2 7 2" xfId="13091"/>
    <cellStyle name="Total 8 2 2 7 2 2" xfId="26397"/>
    <cellStyle name="Total 8 2 2 7 3" xfId="17501"/>
    <cellStyle name="Total 8 2 2 7 3 2" xfId="30807"/>
    <cellStyle name="Total 8 2 2 7 4" xfId="21987"/>
    <cellStyle name="Total 8 2 2 7_Table" xfId="9136"/>
    <cellStyle name="Total 8 2 2 8" xfId="3988"/>
    <cellStyle name="Total 8 2 2 8 2" xfId="13316"/>
    <cellStyle name="Total 8 2 2 8 2 2" xfId="26622"/>
    <cellStyle name="Total 8 2 2 8 3" xfId="17726"/>
    <cellStyle name="Total 8 2 2 8 3 2" xfId="31032"/>
    <cellStyle name="Total 8 2 2 8 4" xfId="22212"/>
    <cellStyle name="Total 8 2 2 8_Table" xfId="9137"/>
    <cellStyle name="Total 8 2 2 9" xfId="4349"/>
    <cellStyle name="Total 8 2 2 9 2" xfId="13677"/>
    <cellStyle name="Total 8 2 2 9 2 2" xfId="26983"/>
    <cellStyle name="Total 8 2 2 9 3" xfId="18087"/>
    <cellStyle name="Total 8 2 2 9 3 2" xfId="31393"/>
    <cellStyle name="Total 8 2 2 9 4" xfId="22573"/>
    <cellStyle name="Total 8 2 2 9_Table" xfId="9138"/>
    <cellStyle name="Total 8 2 2_Table" xfId="9129"/>
    <cellStyle name="Total 8 2 3" xfId="1250"/>
    <cellStyle name="Total 8 2 3 2" xfId="10578"/>
    <cellStyle name="Total 8 2 3 2 2" xfId="23884"/>
    <cellStyle name="Total 8 2 3 3" xfId="14988"/>
    <cellStyle name="Total 8 2 3 3 2" xfId="28294"/>
    <cellStyle name="Total 8 2 3 4" xfId="19474"/>
    <cellStyle name="Total 8 2 3_Table" xfId="9139"/>
    <cellStyle name="Total 8 2 4" xfId="976"/>
    <cellStyle name="Total 8 2 4 2" xfId="10304"/>
    <cellStyle name="Total 8 2 4 2 2" xfId="23610"/>
    <cellStyle name="Total 8 2 4 3" xfId="14714"/>
    <cellStyle name="Total 8 2 4 3 2" xfId="28020"/>
    <cellStyle name="Total 8 2 4 4" xfId="19200"/>
    <cellStyle name="Total 8 2 4_Table" xfId="9140"/>
    <cellStyle name="Total 8 2 5" xfId="1193"/>
    <cellStyle name="Total 8 2 5 2" xfId="10521"/>
    <cellStyle name="Total 8 2 5 2 2" xfId="23827"/>
    <cellStyle name="Total 8 2 5 3" xfId="14931"/>
    <cellStyle name="Total 8 2 5 3 2" xfId="28237"/>
    <cellStyle name="Total 8 2 5 4" xfId="19417"/>
    <cellStyle name="Total 8 2 5_Table" xfId="9141"/>
    <cellStyle name="Total 8 2 6" xfId="1044"/>
    <cellStyle name="Total 8 2 6 2" xfId="10372"/>
    <cellStyle name="Total 8 2 6 2 2" xfId="23678"/>
    <cellStyle name="Total 8 2 6 3" xfId="14782"/>
    <cellStyle name="Total 8 2 6 3 2" xfId="28088"/>
    <cellStyle name="Total 8 2 6 4" xfId="19268"/>
    <cellStyle name="Total 8 2 6_Table" xfId="9142"/>
    <cellStyle name="Total 8 2 7" xfId="1368"/>
    <cellStyle name="Total 8 2 7 2" xfId="10696"/>
    <cellStyle name="Total 8 2 7 2 2" xfId="24002"/>
    <cellStyle name="Total 8 2 7 3" xfId="15106"/>
    <cellStyle name="Total 8 2 7 3 2" xfId="28412"/>
    <cellStyle name="Total 8 2 7 4" xfId="19592"/>
    <cellStyle name="Total 8 2 7_Table" xfId="9143"/>
    <cellStyle name="Total 8 2 8" xfId="1673"/>
    <cellStyle name="Total 8 2 8 2" xfId="11001"/>
    <cellStyle name="Total 8 2 8 2 2" xfId="24307"/>
    <cellStyle name="Total 8 2 8 3" xfId="15411"/>
    <cellStyle name="Total 8 2 8 3 2" xfId="28717"/>
    <cellStyle name="Total 8 2 8 4" xfId="19897"/>
    <cellStyle name="Total 8 2 8_Table" xfId="9144"/>
    <cellStyle name="Total 8 2 9" xfId="3435"/>
    <cellStyle name="Total 8 2 9 2" xfId="12763"/>
    <cellStyle name="Total 8 2 9 2 2" xfId="26069"/>
    <cellStyle name="Total 8 2 9 3" xfId="17173"/>
    <cellStyle name="Total 8 2 9 3 2" xfId="30479"/>
    <cellStyle name="Total 8 2 9 4" xfId="21659"/>
    <cellStyle name="Total 8 2 9_Table" xfId="9145"/>
    <cellStyle name="Total 8 2_Table" xfId="9126"/>
    <cellStyle name="Total 8 3" xfId="504"/>
    <cellStyle name="Total 8 3 10" xfId="4169"/>
    <cellStyle name="Total 8 3 10 2" xfId="13497"/>
    <cellStyle name="Total 8 3 10 2 2" xfId="26803"/>
    <cellStyle name="Total 8 3 10 3" xfId="17907"/>
    <cellStyle name="Total 8 3 10 3 2" xfId="31213"/>
    <cellStyle name="Total 8 3 10 4" xfId="22393"/>
    <cellStyle name="Total 8 3 10_Table" xfId="9147"/>
    <cellStyle name="Total 8 3 11" xfId="4530"/>
    <cellStyle name="Total 8 3 11 2" xfId="13858"/>
    <cellStyle name="Total 8 3 11 2 2" xfId="27164"/>
    <cellStyle name="Total 8 3 11 3" xfId="18268"/>
    <cellStyle name="Total 8 3 11 3 2" xfId="31574"/>
    <cellStyle name="Total 8 3 11 4" xfId="22754"/>
    <cellStyle name="Total 8 3 11_Table" xfId="9148"/>
    <cellStyle name="Total 8 3 12" xfId="9832"/>
    <cellStyle name="Total 8 3 12 2" xfId="23204"/>
    <cellStyle name="Total 8 3 13" xfId="14308"/>
    <cellStyle name="Total 8 3 13 2" xfId="27614"/>
    <cellStyle name="Total 8 3 14" xfId="18794"/>
    <cellStyle name="Total 8 3 2" xfId="795"/>
    <cellStyle name="Total 8 3 2 10" xfId="4755"/>
    <cellStyle name="Total 8 3 2 10 2" xfId="14083"/>
    <cellStyle name="Total 8 3 2 10 2 2" xfId="27389"/>
    <cellStyle name="Total 8 3 2 10 3" xfId="18493"/>
    <cellStyle name="Total 8 3 2 10 3 2" xfId="31799"/>
    <cellStyle name="Total 8 3 2 10 4" xfId="22979"/>
    <cellStyle name="Total 8 3 2 10_Table" xfId="9150"/>
    <cellStyle name="Total 8 3 2 11" xfId="10123"/>
    <cellStyle name="Total 8 3 2 11 2" xfId="23429"/>
    <cellStyle name="Total 8 3 2 12" xfId="14533"/>
    <cellStyle name="Total 8 3 2 12 2" xfId="27839"/>
    <cellStyle name="Total 8 3 2 13" xfId="19019"/>
    <cellStyle name="Total 8 3 2 2" xfId="1581"/>
    <cellStyle name="Total 8 3 2 2 2" xfId="10909"/>
    <cellStyle name="Total 8 3 2 2 2 2" xfId="24215"/>
    <cellStyle name="Total 8 3 2 2 3" xfId="15319"/>
    <cellStyle name="Total 8 3 2 2 3 2" xfId="28625"/>
    <cellStyle name="Total 8 3 2 2 4" xfId="19805"/>
    <cellStyle name="Total 8 3 2 2_Table" xfId="9151"/>
    <cellStyle name="Total 8 3 2 3" xfId="1941"/>
    <cellStyle name="Total 8 3 2 3 2" xfId="11269"/>
    <cellStyle name="Total 8 3 2 3 2 2" xfId="24575"/>
    <cellStyle name="Total 8 3 2 3 3" xfId="15679"/>
    <cellStyle name="Total 8 3 2 3 3 2" xfId="28985"/>
    <cellStyle name="Total 8 3 2 3 4" xfId="20165"/>
    <cellStyle name="Total 8 3 2 3_Table" xfId="9152"/>
    <cellStyle name="Total 8 3 2 4" xfId="2371"/>
    <cellStyle name="Total 8 3 2 4 2" xfId="11699"/>
    <cellStyle name="Total 8 3 2 4 2 2" xfId="25005"/>
    <cellStyle name="Total 8 3 2 4 3" xfId="16109"/>
    <cellStyle name="Total 8 3 2 4 3 2" xfId="29415"/>
    <cellStyle name="Total 8 3 2 4 4" xfId="20595"/>
    <cellStyle name="Total 8 3 2 4_Table" xfId="9153"/>
    <cellStyle name="Total 8 3 2 5" xfId="2809"/>
    <cellStyle name="Total 8 3 2 5 2" xfId="12137"/>
    <cellStyle name="Total 8 3 2 5 2 2" xfId="25443"/>
    <cellStyle name="Total 8 3 2 5 3" xfId="16547"/>
    <cellStyle name="Total 8 3 2 5 3 2" xfId="29853"/>
    <cellStyle name="Total 8 3 2 5 4" xfId="21033"/>
    <cellStyle name="Total 8 3 2 5_Table" xfId="9154"/>
    <cellStyle name="Total 8 3 2 6" xfId="3216"/>
    <cellStyle name="Total 8 3 2 6 2" xfId="12544"/>
    <cellStyle name="Total 8 3 2 6 2 2" xfId="25850"/>
    <cellStyle name="Total 8 3 2 6 3" xfId="16954"/>
    <cellStyle name="Total 8 3 2 6 3 2" xfId="30260"/>
    <cellStyle name="Total 8 3 2 6 4" xfId="21440"/>
    <cellStyle name="Total 8 3 2 6_Table" xfId="9155"/>
    <cellStyle name="Total 8 3 2 7" xfId="3808"/>
    <cellStyle name="Total 8 3 2 7 2" xfId="13136"/>
    <cellStyle name="Total 8 3 2 7 2 2" xfId="26442"/>
    <cellStyle name="Total 8 3 2 7 3" xfId="17546"/>
    <cellStyle name="Total 8 3 2 7 3 2" xfId="30852"/>
    <cellStyle name="Total 8 3 2 7 4" xfId="22032"/>
    <cellStyle name="Total 8 3 2 7_Table" xfId="9156"/>
    <cellStyle name="Total 8 3 2 8" xfId="4033"/>
    <cellStyle name="Total 8 3 2 8 2" xfId="13361"/>
    <cellStyle name="Total 8 3 2 8 2 2" xfId="26667"/>
    <cellStyle name="Total 8 3 2 8 3" xfId="17771"/>
    <cellStyle name="Total 8 3 2 8 3 2" xfId="31077"/>
    <cellStyle name="Total 8 3 2 8 4" xfId="22257"/>
    <cellStyle name="Total 8 3 2 8_Table" xfId="9157"/>
    <cellStyle name="Total 8 3 2 9" xfId="4394"/>
    <cellStyle name="Total 8 3 2 9 2" xfId="13722"/>
    <cellStyle name="Total 8 3 2 9 2 2" xfId="27028"/>
    <cellStyle name="Total 8 3 2 9 3" xfId="18132"/>
    <cellStyle name="Total 8 3 2 9 3 2" xfId="31438"/>
    <cellStyle name="Total 8 3 2 9 4" xfId="22618"/>
    <cellStyle name="Total 8 3 2 9_Table" xfId="9158"/>
    <cellStyle name="Total 8 3 2_Table" xfId="9149"/>
    <cellStyle name="Total 8 3 3" xfId="1307"/>
    <cellStyle name="Total 8 3 3 2" xfId="10635"/>
    <cellStyle name="Total 8 3 3 2 2" xfId="23941"/>
    <cellStyle name="Total 8 3 3 3" xfId="15045"/>
    <cellStyle name="Total 8 3 3 3 2" xfId="28351"/>
    <cellStyle name="Total 8 3 3 4" xfId="19531"/>
    <cellStyle name="Total 8 3 3_Table" xfId="9159"/>
    <cellStyle name="Total 8 3 4" xfId="910"/>
    <cellStyle name="Total 8 3 4 2" xfId="10238"/>
    <cellStyle name="Total 8 3 4 2 2" xfId="23544"/>
    <cellStyle name="Total 8 3 4 3" xfId="14648"/>
    <cellStyle name="Total 8 3 4 3 2" xfId="27954"/>
    <cellStyle name="Total 8 3 4 4" xfId="19134"/>
    <cellStyle name="Total 8 3 4_Table" xfId="9160"/>
    <cellStyle name="Total 8 3 5" xfId="2095"/>
    <cellStyle name="Total 8 3 5 2" xfId="11423"/>
    <cellStyle name="Total 8 3 5 2 2" xfId="24729"/>
    <cellStyle name="Total 8 3 5 3" xfId="15833"/>
    <cellStyle name="Total 8 3 5 3 2" xfId="29139"/>
    <cellStyle name="Total 8 3 5 4" xfId="20319"/>
    <cellStyle name="Total 8 3 5_Table" xfId="9161"/>
    <cellStyle name="Total 8 3 6" xfId="2527"/>
    <cellStyle name="Total 8 3 6 2" xfId="11855"/>
    <cellStyle name="Total 8 3 6 2 2" xfId="25161"/>
    <cellStyle name="Total 8 3 6 3" xfId="16265"/>
    <cellStyle name="Total 8 3 6 3 2" xfId="29571"/>
    <cellStyle name="Total 8 3 6 4" xfId="20751"/>
    <cellStyle name="Total 8 3 6_Table" xfId="9162"/>
    <cellStyle name="Total 8 3 7" xfId="2955"/>
    <cellStyle name="Total 8 3 7 2" xfId="12283"/>
    <cellStyle name="Total 8 3 7 2 2" xfId="25589"/>
    <cellStyle name="Total 8 3 7 3" xfId="16693"/>
    <cellStyle name="Total 8 3 7 3 2" xfId="29999"/>
    <cellStyle name="Total 8 3 7 4" xfId="21179"/>
    <cellStyle name="Total 8 3 7_Table" xfId="9163"/>
    <cellStyle name="Total 8 3 8" xfId="3368"/>
    <cellStyle name="Total 8 3 8 2" xfId="12696"/>
    <cellStyle name="Total 8 3 8 2 2" xfId="26002"/>
    <cellStyle name="Total 8 3 8 3" xfId="17106"/>
    <cellStyle name="Total 8 3 8 3 2" xfId="30412"/>
    <cellStyle name="Total 8 3 8 4" xfId="21592"/>
    <cellStyle name="Total 8 3 8_Table" xfId="9164"/>
    <cellStyle name="Total 8 3 9" xfId="3316"/>
    <cellStyle name="Total 8 3 9 2" xfId="12644"/>
    <cellStyle name="Total 8 3 9 2 2" xfId="25950"/>
    <cellStyle name="Total 8 3 9 3" xfId="17054"/>
    <cellStyle name="Total 8 3 9 3 2" xfId="30360"/>
    <cellStyle name="Total 8 3 9 4" xfId="21540"/>
    <cellStyle name="Total 8 3 9_Table" xfId="9165"/>
    <cellStyle name="Total 8 3_Table" xfId="9146"/>
    <cellStyle name="Total 8 4" xfId="568"/>
    <cellStyle name="Total 8 4 10" xfId="4214"/>
    <cellStyle name="Total 8 4 10 2" xfId="13542"/>
    <cellStyle name="Total 8 4 10 2 2" xfId="26848"/>
    <cellStyle name="Total 8 4 10 3" xfId="17952"/>
    <cellStyle name="Total 8 4 10 3 2" xfId="31258"/>
    <cellStyle name="Total 8 4 10 4" xfId="22438"/>
    <cellStyle name="Total 8 4 10_Table" xfId="9167"/>
    <cellStyle name="Total 8 4 11" xfId="4575"/>
    <cellStyle name="Total 8 4 11 2" xfId="13903"/>
    <cellStyle name="Total 8 4 11 2 2" xfId="27209"/>
    <cellStyle name="Total 8 4 11 3" xfId="18313"/>
    <cellStyle name="Total 8 4 11 3 2" xfId="31619"/>
    <cellStyle name="Total 8 4 11 4" xfId="22799"/>
    <cellStyle name="Total 8 4 11_Table" xfId="9168"/>
    <cellStyle name="Total 8 4 12" xfId="9896"/>
    <cellStyle name="Total 8 4 12 2" xfId="23249"/>
    <cellStyle name="Total 8 4 13" xfId="14353"/>
    <cellStyle name="Total 8 4 13 2" xfId="27659"/>
    <cellStyle name="Total 8 4 14" xfId="18839"/>
    <cellStyle name="Total 8 4 2" xfId="840"/>
    <cellStyle name="Total 8 4 2 10" xfId="4800"/>
    <cellStyle name="Total 8 4 2 10 2" xfId="14128"/>
    <cellStyle name="Total 8 4 2 10 2 2" xfId="27434"/>
    <cellStyle name="Total 8 4 2 10 3" xfId="18538"/>
    <cellStyle name="Total 8 4 2 10 3 2" xfId="31844"/>
    <cellStyle name="Total 8 4 2 10 4" xfId="23024"/>
    <cellStyle name="Total 8 4 2 10_Table" xfId="9170"/>
    <cellStyle name="Total 8 4 2 11" xfId="10168"/>
    <cellStyle name="Total 8 4 2 11 2" xfId="23474"/>
    <cellStyle name="Total 8 4 2 12" xfId="14578"/>
    <cellStyle name="Total 8 4 2 12 2" xfId="27884"/>
    <cellStyle name="Total 8 4 2 13" xfId="19064"/>
    <cellStyle name="Total 8 4 2 2" xfId="1626"/>
    <cellStyle name="Total 8 4 2 2 2" xfId="10954"/>
    <cellStyle name="Total 8 4 2 2 2 2" xfId="24260"/>
    <cellStyle name="Total 8 4 2 2 3" xfId="15364"/>
    <cellStyle name="Total 8 4 2 2 3 2" xfId="28670"/>
    <cellStyle name="Total 8 4 2 2 4" xfId="19850"/>
    <cellStyle name="Total 8 4 2 2_Table" xfId="9171"/>
    <cellStyle name="Total 8 4 2 3" xfId="1986"/>
    <cellStyle name="Total 8 4 2 3 2" xfId="11314"/>
    <cellStyle name="Total 8 4 2 3 2 2" xfId="24620"/>
    <cellStyle name="Total 8 4 2 3 3" xfId="15724"/>
    <cellStyle name="Total 8 4 2 3 3 2" xfId="29030"/>
    <cellStyle name="Total 8 4 2 3 4" xfId="20210"/>
    <cellStyle name="Total 8 4 2 3_Table" xfId="9172"/>
    <cellStyle name="Total 8 4 2 4" xfId="2416"/>
    <cellStyle name="Total 8 4 2 4 2" xfId="11744"/>
    <cellStyle name="Total 8 4 2 4 2 2" xfId="25050"/>
    <cellStyle name="Total 8 4 2 4 3" xfId="16154"/>
    <cellStyle name="Total 8 4 2 4 3 2" xfId="29460"/>
    <cellStyle name="Total 8 4 2 4 4" xfId="20640"/>
    <cellStyle name="Total 8 4 2 4_Table" xfId="9173"/>
    <cellStyle name="Total 8 4 2 5" xfId="2854"/>
    <cellStyle name="Total 8 4 2 5 2" xfId="12182"/>
    <cellStyle name="Total 8 4 2 5 2 2" xfId="25488"/>
    <cellStyle name="Total 8 4 2 5 3" xfId="16592"/>
    <cellStyle name="Total 8 4 2 5 3 2" xfId="29898"/>
    <cellStyle name="Total 8 4 2 5 4" xfId="21078"/>
    <cellStyle name="Total 8 4 2 5_Table" xfId="9174"/>
    <cellStyle name="Total 8 4 2 6" xfId="3261"/>
    <cellStyle name="Total 8 4 2 6 2" xfId="12589"/>
    <cellStyle name="Total 8 4 2 6 2 2" xfId="25895"/>
    <cellStyle name="Total 8 4 2 6 3" xfId="16999"/>
    <cellStyle name="Total 8 4 2 6 3 2" xfId="30305"/>
    <cellStyle name="Total 8 4 2 6 4" xfId="21485"/>
    <cellStyle name="Total 8 4 2 6_Table" xfId="9175"/>
    <cellStyle name="Total 8 4 2 7" xfId="3853"/>
    <cellStyle name="Total 8 4 2 7 2" xfId="13181"/>
    <cellStyle name="Total 8 4 2 7 2 2" xfId="26487"/>
    <cellStyle name="Total 8 4 2 7 3" xfId="17591"/>
    <cellStyle name="Total 8 4 2 7 3 2" xfId="30897"/>
    <cellStyle name="Total 8 4 2 7 4" xfId="22077"/>
    <cellStyle name="Total 8 4 2 7_Table" xfId="9176"/>
    <cellStyle name="Total 8 4 2 8" xfId="4078"/>
    <cellStyle name="Total 8 4 2 8 2" xfId="13406"/>
    <cellStyle name="Total 8 4 2 8 2 2" xfId="26712"/>
    <cellStyle name="Total 8 4 2 8 3" xfId="17816"/>
    <cellStyle name="Total 8 4 2 8 3 2" xfId="31122"/>
    <cellStyle name="Total 8 4 2 8 4" xfId="22302"/>
    <cellStyle name="Total 8 4 2 8_Table" xfId="9177"/>
    <cellStyle name="Total 8 4 2 9" xfId="4439"/>
    <cellStyle name="Total 8 4 2 9 2" xfId="13767"/>
    <cellStyle name="Total 8 4 2 9 2 2" xfId="27073"/>
    <cellStyle name="Total 8 4 2 9 3" xfId="18177"/>
    <cellStyle name="Total 8 4 2 9 3 2" xfId="31483"/>
    <cellStyle name="Total 8 4 2 9 4" xfId="22663"/>
    <cellStyle name="Total 8 4 2 9_Table" xfId="9178"/>
    <cellStyle name="Total 8 4 2_Table" xfId="9169"/>
    <cellStyle name="Total 8 4 3" xfId="1363"/>
    <cellStyle name="Total 8 4 3 2" xfId="10691"/>
    <cellStyle name="Total 8 4 3 2 2" xfId="23997"/>
    <cellStyle name="Total 8 4 3 3" xfId="15101"/>
    <cellStyle name="Total 8 4 3 3 2" xfId="28407"/>
    <cellStyle name="Total 8 4 3 4" xfId="19587"/>
    <cellStyle name="Total 8 4 3_Table" xfId="9179"/>
    <cellStyle name="Total 8 4 4" xfId="1720"/>
    <cellStyle name="Total 8 4 4 2" xfId="11048"/>
    <cellStyle name="Total 8 4 4 2 2" xfId="24354"/>
    <cellStyle name="Total 8 4 4 3" xfId="15458"/>
    <cellStyle name="Total 8 4 4 3 2" xfId="28764"/>
    <cellStyle name="Total 8 4 4 4" xfId="19944"/>
    <cellStyle name="Total 8 4 4_Table" xfId="9180"/>
    <cellStyle name="Total 8 4 5" xfId="2154"/>
    <cellStyle name="Total 8 4 5 2" xfId="11482"/>
    <cellStyle name="Total 8 4 5 2 2" xfId="24788"/>
    <cellStyle name="Total 8 4 5 3" xfId="15892"/>
    <cellStyle name="Total 8 4 5 3 2" xfId="29198"/>
    <cellStyle name="Total 8 4 5 4" xfId="20378"/>
    <cellStyle name="Total 8 4 5_Table" xfId="9181"/>
    <cellStyle name="Total 8 4 6" xfId="2586"/>
    <cellStyle name="Total 8 4 6 2" xfId="11914"/>
    <cellStyle name="Total 8 4 6 2 2" xfId="25220"/>
    <cellStyle name="Total 8 4 6 3" xfId="16324"/>
    <cellStyle name="Total 8 4 6 3 2" xfId="29630"/>
    <cellStyle name="Total 8 4 6 4" xfId="20810"/>
    <cellStyle name="Total 8 4 6_Table" xfId="9182"/>
    <cellStyle name="Total 8 4 7" xfId="3012"/>
    <cellStyle name="Total 8 4 7 2" xfId="12340"/>
    <cellStyle name="Total 8 4 7 2 2" xfId="25646"/>
    <cellStyle name="Total 8 4 7 3" xfId="16750"/>
    <cellStyle name="Total 8 4 7 3 2" xfId="30056"/>
    <cellStyle name="Total 8 4 7 4" xfId="21236"/>
    <cellStyle name="Total 8 4 7_Table" xfId="9183"/>
    <cellStyle name="Total 8 4 8" xfId="3426"/>
    <cellStyle name="Total 8 4 8 2" xfId="12754"/>
    <cellStyle name="Total 8 4 8 2 2" xfId="26060"/>
    <cellStyle name="Total 8 4 8 3" xfId="17164"/>
    <cellStyle name="Total 8 4 8 3 2" xfId="30470"/>
    <cellStyle name="Total 8 4 8 4" xfId="21650"/>
    <cellStyle name="Total 8 4 8_Table" xfId="9184"/>
    <cellStyle name="Total 8 4 9" xfId="3630"/>
    <cellStyle name="Total 8 4 9 2" xfId="12958"/>
    <cellStyle name="Total 8 4 9 2 2" xfId="26264"/>
    <cellStyle name="Total 8 4 9 3" xfId="17368"/>
    <cellStyle name="Total 8 4 9 3 2" xfId="30674"/>
    <cellStyle name="Total 8 4 9 4" xfId="21854"/>
    <cellStyle name="Total 8 4 9_Table" xfId="9185"/>
    <cellStyle name="Total 8 4_Table" xfId="9166"/>
    <cellStyle name="Total 8 5" xfId="643"/>
    <cellStyle name="Total 8 5 10" xfId="4259"/>
    <cellStyle name="Total 8 5 10 2" xfId="13587"/>
    <cellStyle name="Total 8 5 10 2 2" xfId="26893"/>
    <cellStyle name="Total 8 5 10 3" xfId="17997"/>
    <cellStyle name="Total 8 5 10 3 2" xfId="31303"/>
    <cellStyle name="Total 8 5 10 4" xfId="22483"/>
    <cellStyle name="Total 8 5 10_Table" xfId="9187"/>
    <cellStyle name="Total 8 5 11" xfId="4620"/>
    <cellStyle name="Total 8 5 11 2" xfId="13948"/>
    <cellStyle name="Total 8 5 11 2 2" xfId="27254"/>
    <cellStyle name="Total 8 5 11 3" xfId="18358"/>
    <cellStyle name="Total 8 5 11 3 2" xfId="31664"/>
    <cellStyle name="Total 8 5 11 4" xfId="22844"/>
    <cellStyle name="Total 8 5 11_Table" xfId="9188"/>
    <cellStyle name="Total 8 5 12" xfId="9971"/>
    <cellStyle name="Total 8 5 12 2" xfId="23294"/>
    <cellStyle name="Total 8 5 13" xfId="14398"/>
    <cellStyle name="Total 8 5 13 2" xfId="27704"/>
    <cellStyle name="Total 8 5 14" xfId="18884"/>
    <cellStyle name="Total 8 5 2" xfId="885"/>
    <cellStyle name="Total 8 5 2 10" xfId="4845"/>
    <cellStyle name="Total 8 5 2 10 2" xfId="14173"/>
    <cellStyle name="Total 8 5 2 10 2 2" xfId="27479"/>
    <cellStyle name="Total 8 5 2 10 3" xfId="18583"/>
    <cellStyle name="Total 8 5 2 10 3 2" xfId="31889"/>
    <cellStyle name="Total 8 5 2 10 4" xfId="23069"/>
    <cellStyle name="Total 8 5 2 10_Table" xfId="9190"/>
    <cellStyle name="Total 8 5 2 11" xfId="10213"/>
    <cellStyle name="Total 8 5 2 11 2" xfId="23519"/>
    <cellStyle name="Total 8 5 2 12" xfId="14623"/>
    <cellStyle name="Total 8 5 2 12 2" xfId="27929"/>
    <cellStyle name="Total 8 5 2 13" xfId="19109"/>
    <cellStyle name="Total 8 5 2 2" xfId="1671"/>
    <cellStyle name="Total 8 5 2 2 2" xfId="10999"/>
    <cellStyle name="Total 8 5 2 2 2 2" xfId="24305"/>
    <cellStyle name="Total 8 5 2 2 3" xfId="15409"/>
    <cellStyle name="Total 8 5 2 2 3 2" xfId="28715"/>
    <cellStyle name="Total 8 5 2 2 4" xfId="19895"/>
    <cellStyle name="Total 8 5 2 2_Table" xfId="9191"/>
    <cellStyle name="Total 8 5 2 3" xfId="2031"/>
    <cellStyle name="Total 8 5 2 3 2" xfId="11359"/>
    <cellStyle name="Total 8 5 2 3 2 2" xfId="24665"/>
    <cellStyle name="Total 8 5 2 3 3" xfId="15769"/>
    <cellStyle name="Total 8 5 2 3 3 2" xfId="29075"/>
    <cellStyle name="Total 8 5 2 3 4" xfId="20255"/>
    <cellStyle name="Total 8 5 2 3_Table" xfId="9192"/>
    <cellStyle name="Total 8 5 2 4" xfId="2461"/>
    <cellStyle name="Total 8 5 2 4 2" xfId="11789"/>
    <cellStyle name="Total 8 5 2 4 2 2" xfId="25095"/>
    <cellStyle name="Total 8 5 2 4 3" xfId="16199"/>
    <cellStyle name="Total 8 5 2 4 3 2" xfId="29505"/>
    <cellStyle name="Total 8 5 2 4 4" xfId="20685"/>
    <cellStyle name="Total 8 5 2 4_Table" xfId="9193"/>
    <cellStyle name="Total 8 5 2 5" xfId="2899"/>
    <cellStyle name="Total 8 5 2 5 2" xfId="12227"/>
    <cellStyle name="Total 8 5 2 5 2 2" xfId="25533"/>
    <cellStyle name="Total 8 5 2 5 3" xfId="16637"/>
    <cellStyle name="Total 8 5 2 5 3 2" xfId="29943"/>
    <cellStyle name="Total 8 5 2 5 4" xfId="21123"/>
    <cellStyle name="Total 8 5 2 5_Table" xfId="9194"/>
    <cellStyle name="Total 8 5 2 6" xfId="3306"/>
    <cellStyle name="Total 8 5 2 6 2" xfId="12634"/>
    <cellStyle name="Total 8 5 2 6 2 2" xfId="25940"/>
    <cellStyle name="Total 8 5 2 6 3" xfId="17044"/>
    <cellStyle name="Total 8 5 2 6 3 2" xfId="30350"/>
    <cellStyle name="Total 8 5 2 6 4" xfId="21530"/>
    <cellStyle name="Total 8 5 2 6_Table" xfId="9195"/>
    <cellStyle name="Total 8 5 2 7" xfId="3898"/>
    <cellStyle name="Total 8 5 2 7 2" xfId="13226"/>
    <cellStyle name="Total 8 5 2 7 2 2" xfId="26532"/>
    <cellStyle name="Total 8 5 2 7 3" xfId="17636"/>
    <cellStyle name="Total 8 5 2 7 3 2" xfId="30942"/>
    <cellStyle name="Total 8 5 2 7 4" xfId="22122"/>
    <cellStyle name="Total 8 5 2 7_Table" xfId="9196"/>
    <cellStyle name="Total 8 5 2 8" xfId="4123"/>
    <cellStyle name="Total 8 5 2 8 2" xfId="13451"/>
    <cellStyle name="Total 8 5 2 8 2 2" xfId="26757"/>
    <cellStyle name="Total 8 5 2 8 3" xfId="17861"/>
    <cellStyle name="Total 8 5 2 8 3 2" xfId="31167"/>
    <cellStyle name="Total 8 5 2 8 4" xfId="22347"/>
    <cellStyle name="Total 8 5 2 8_Table" xfId="9197"/>
    <cellStyle name="Total 8 5 2 9" xfId="4484"/>
    <cellStyle name="Total 8 5 2 9 2" xfId="13812"/>
    <cellStyle name="Total 8 5 2 9 2 2" xfId="27118"/>
    <cellStyle name="Total 8 5 2 9 3" xfId="18222"/>
    <cellStyle name="Total 8 5 2 9 3 2" xfId="31528"/>
    <cellStyle name="Total 8 5 2 9 4" xfId="22708"/>
    <cellStyle name="Total 8 5 2 9_Table" xfId="9198"/>
    <cellStyle name="Total 8 5 2_Table" xfId="9189"/>
    <cellStyle name="Total 8 5 3" xfId="1430"/>
    <cellStyle name="Total 8 5 3 2" xfId="10758"/>
    <cellStyle name="Total 8 5 3 2 2" xfId="24064"/>
    <cellStyle name="Total 8 5 3 3" xfId="15168"/>
    <cellStyle name="Total 8 5 3 3 2" xfId="28474"/>
    <cellStyle name="Total 8 5 3 4" xfId="19654"/>
    <cellStyle name="Total 8 5 3_Table" xfId="9199"/>
    <cellStyle name="Total 8 5 4" xfId="1790"/>
    <cellStyle name="Total 8 5 4 2" xfId="11118"/>
    <cellStyle name="Total 8 5 4 2 2" xfId="24424"/>
    <cellStyle name="Total 8 5 4 3" xfId="15528"/>
    <cellStyle name="Total 8 5 4 3 2" xfId="28834"/>
    <cellStyle name="Total 8 5 4 4" xfId="20014"/>
    <cellStyle name="Total 8 5 4_Table" xfId="9200"/>
    <cellStyle name="Total 8 5 5" xfId="2223"/>
    <cellStyle name="Total 8 5 5 2" xfId="11551"/>
    <cellStyle name="Total 8 5 5 2 2" xfId="24857"/>
    <cellStyle name="Total 8 5 5 3" xfId="15961"/>
    <cellStyle name="Total 8 5 5 3 2" xfId="29267"/>
    <cellStyle name="Total 8 5 5 4" xfId="20447"/>
    <cellStyle name="Total 8 5 5_Table" xfId="9201"/>
    <cellStyle name="Total 8 5 6" xfId="2658"/>
    <cellStyle name="Total 8 5 6 2" xfId="11986"/>
    <cellStyle name="Total 8 5 6 2 2" xfId="25292"/>
    <cellStyle name="Total 8 5 6 3" xfId="16396"/>
    <cellStyle name="Total 8 5 6 3 2" xfId="29702"/>
    <cellStyle name="Total 8 5 6 4" xfId="20882"/>
    <cellStyle name="Total 8 5 6_Table" xfId="9202"/>
    <cellStyle name="Total 8 5 7" xfId="3071"/>
    <cellStyle name="Total 8 5 7 2" xfId="12399"/>
    <cellStyle name="Total 8 5 7 2 2" xfId="25705"/>
    <cellStyle name="Total 8 5 7 3" xfId="16809"/>
    <cellStyle name="Total 8 5 7 3 2" xfId="30115"/>
    <cellStyle name="Total 8 5 7 4" xfId="21295"/>
    <cellStyle name="Total 8 5 7_Table" xfId="9203"/>
    <cellStyle name="Total 8 5 8" xfId="3497"/>
    <cellStyle name="Total 8 5 8 2" xfId="12825"/>
    <cellStyle name="Total 8 5 8 2 2" xfId="26131"/>
    <cellStyle name="Total 8 5 8 3" xfId="17235"/>
    <cellStyle name="Total 8 5 8 3 2" xfId="30541"/>
    <cellStyle name="Total 8 5 8 4" xfId="21721"/>
    <cellStyle name="Total 8 5 8_Table" xfId="9204"/>
    <cellStyle name="Total 8 5 9" xfId="3641"/>
    <cellStyle name="Total 8 5 9 2" xfId="12969"/>
    <cellStyle name="Total 8 5 9 2 2" xfId="26275"/>
    <cellStyle name="Total 8 5 9 3" xfId="17379"/>
    <cellStyle name="Total 8 5 9 3 2" xfId="30685"/>
    <cellStyle name="Total 8 5 9 4" xfId="21865"/>
    <cellStyle name="Total 8 5 9_Table" xfId="9205"/>
    <cellStyle name="Total 8 5_Table" xfId="9186"/>
    <cellStyle name="Total 8 6" xfId="705"/>
    <cellStyle name="Total 8 6 10" xfId="4665"/>
    <cellStyle name="Total 8 6 10 2" xfId="13993"/>
    <cellStyle name="Total 8 6 10 2 2" xfId="27299"/>
    <cellStyle name="Total 8 6 10 3" xfId="18403"/>
    <cellStyle name="Total 8 6 10 3 2" xfId="31709"/>
    <cellStyle name="Total 8 6 10 4" xfId="22889"/>
    <cellStyle name="Total 8 6 10_Table" xfId="9207"/>
    <cellStyle name="Total 8 6 11" xfId="10033"/>
    <cellStyle name="Total 8 6 11 2" xfId="23339"/>
    <cellStyle name="Total 8 6 12" xfId="14443"/>
    <cellStyle name="Total 8 6 12 2" xfId="27749"/>
    <cellStyle name="Total 8 6 13" xfId="18929"/>
    <cellStyle name="Total 8 6 2" xfId="1491"/>
    <cellStyle name="Total 8 6 2 2" xfId="10819"/>
    <cellStyle name="Total 8 6 2 2 2" xfId="24125"/>
    <cellStyle name="Total 8 6 2 3" xfId="15229"/>
    <cellStyle name="Total 8 6 2 3 2" xfId="28535"/>
    <cellStyle name="Total 8 6 2 4" xfId="19715"/>
    <cellStyle name="Total 8 6 2_Table" xfId="9208"/>
    <cellStyle name="Total 8 6 3" xfId="1851"/>
    <cellStyle name="Total 8 6 3 2" xfId="11179"/>
    <cellStyle name="Total 8 6 3 2 2" xfId="24485"/>
    <cellStyle name="Total 8 6 3 3" xfId="15589"/>
    <cellStyle name="Total 8 6 3 3 2" xfId="28895"/>
    <cellStyle name="Total 8 6 3 4" xfId="20075"/>
    <cellStyle name="Total 8 6 3_Table" xfId="9209"/>
    <cellStyle name="Total 8 6 4" xfId="2281"/>
    <cellStyle name="Total 8 6 4 2" xfId="11609"/>
    <cellStyle name="Total 8 6 4 2 2" xfId="24915"/>
    <cellStyle name="Total 8 6 4 3" xfId="16019"/>
    <cellStyle name="Total 8 6 4 3 2" xfId="29325"/>
    <cellStyle name="Total 8 6 4 4" xfId="20505"/>
    <cellStyle name="Total 8 6 4_Table" xfId="9210"/>
    <cellStyle name="Total 8 6 5" xfId="2719"/>
    <cellStyle name="Total 8 6 5 2" xfId="12047"/>
    <cellStyle name="Total 8 6 5 2 2" xfId="25353"/>
    <cellStyle name="Total 8 6 5 3" xfId="16457"/>
    <cellStyle name="Total 8 6 5 3 2" xfId="29763"/>
    <cellStyle name="Total 8 6 5 4" xfId="20943"/>
    <cellStyle name="Total 8 6 5_Table" xfId="9211"/>
    <cellStyle name="Total 8 6 6" xfId="3126"/>
    <cellStyle name="Total 8 6 6 2" xfId="12454"/>
    <cellStyle name="Total 8 6 6 2 2" xfId="25760"/>
    <cellStyle name="Total 8 6 6 3" xfId="16864"/>
    <cellStyle name="Total 8 6 6 3 2" xfId="30170"/>
    <cellStyle name="Total 8 6 6 4" xfId="21350"/>
    <cellStyle name="Total 8 6 6_Table" xfId="9212"/>
    <cellStyle name="Total 8 6 7" xfId="3718"/>
    <cellStyle name="Total 8 6 7 2" xfId="13046"/>
    <cellStyle name="Total 8 6 7 2 2" xfId="26352"/>
    <cellStyle name="Total 8 6 7 3" xfId="17456"/>
    <cellStyle name="Total 8 6 7 3 2" xfId="30762"/>
    <cellStyle name="Total 8 6 7 4" xfId="21942"/>
    <cellStyle name="Total 8 6 7_Table" xfId="9213"/>
    <cellStyle name="Total 8 6 8" xfId="3943"/>
    <cellStyle name="Total 8 6 8 2" xfId="13271"/>
    <cellStyle name="Total 8 6 8 2 2" xfId="26577"/>
    <cellStyle name="Total 8 6 8 3" xfId="17681"/>
    <cellStyle name="Total 8 6 8 3 2" xfId="30987"/>
    <cellStyle name="Total 8 6 8 4" xfId="22167"/>
    <cellStyle name="Total 8 6 8_Table" xfId="9214"/>
    <cellStyle name="Total 8 6 9" xfId="4304"/>
    <cellStyle name="Total 8 6 9 2" xfId="13632"/>
    <cellStyle name="Total 8 6 9 2 2" xfId="26938"/>
    <cellStyle name="Total 8 6 9 3" xfId="18042"/>
    <cellStyle name="Total 8 6 9 3 2" xfId="31348"/>
    <cellStyle name="Total 8 6 9 4" xfId="22528"/>
    <cellStyle name="Total 8 6 9_Table" xfId="9215"/>
    <cellStyle name="Total 8 6_Table" xfId="9206"/>
    <cellStyle name="Total 8 7" xfId="1206"/>
    <cellStyle name="Total 8 7 2" xfId="10534"/>
    <cellStyle name="Total 8 7 2 2" xfId="23840"/>
    <cellStyle name="Total 8 7 3" xfId="14944"/>
    <cellStyle name="Total 8 7 3 2" xfId="28250"/>
    <cellStyle name="Total 8 7 4" xfId="19430"/>
    <cellStyle name="Total 8 7_Table" xfId="9216"/>
    <cellStyle name="Total 8 8" xfId="1036"/>
    <cellStyle name="Total 8 8 2" xfId="10364"/>
    <cellStyle name="Total 8 8 2 2" xfId="23670"/>
    <cellStyle name="Total 8 8 3" xfId="14774"/>
    <cellStyle name="Total 8 8 3 2" xfId="28080"/>
    <cellStyle name="Total 8 8 4" xfId="19260"/>
    <cellStyle name="Total 8 8_Table" xfId="9217"/>
    <cellStyle name="Total 8 9" xfId="1380"/>
    <cellStyle name="Total 8 9 2" xfId="10708"/>
    <cellStyle name="Total 8 9 2 2" xfId="24014"/>
    <cellStyle name="Total 8 9 3" xfId="15118"/>
    <cellStyle name="Total 8 9 3 2" xfId="28424"/>
    <cellStyle name="Total 8 9 4" xfId="19604"/>
    <cellStyle name="Total 8 9_Table" xfId="9218"/>
    <cellStyle name="Total 8_Table" xfId="9119"/>
    <cellStyle name="Total 9" xfId="375"/>
    <cellStyle name="Total 9 10" xfId="969"/>
    <cellStyle name="Total 9 10 2" xfId="10297"/>
    <cellStyle name="Total 9 10 2 2" xfId="23603"/>
    <cellStyle name="Total 9 10 3" xfId="14707"/>
    <cellStyle name="Total 9 10 3 2" xfId="28013"/>
    <cellStyle name="Total 9 10 4" xfId="19193"/>
    <cellStyle name="Total 9 10_Table" xfId="9220"/>
    <cellStyle name="Total 9 11" xfId="2039"/>
    <cellStyle name="Total 9 11 2" xfId="11367"/>
    <cellStyle name="Total 9 11 2 2" xfId="24673"/>
    <cellStyle name="Total 9 11 3" xfId="15777"/>
    <cellStyle name="Total 9 11 3 2" xfId="29083"/>
    <cellStyle name="Total 9 11 4" xfId="20263"/>
    <cellStyle name="Total 9 11_Table" xfId="9221"/>
    <cellStyle name="Total 9 12" xfId="2468"/>
    <cellStyle name="Total 9 12 2" xfId="11796"/>
    <cellStyle name="Total 9 12 2 2" xfId="25102"/>
    <cellStyle name="Total 9 12 3" xfId="16206"/>
    <cellStyle name="Total 9 12 3 2" xfId="29512"/>
    <cellStyle name="Total 9 12 4" xfId="20692"/>
    <cellStyle name="Total 9 12_Table" xfId="9222"/>
    <cellStyle name="Total 9 13" xfId="2044"/>
    <cellStyle name="Total 9 13 2" xfId="11372"/>
    <cellStyle name="Total 9 13 2 2" xfId="24678"/>
    <cellStyle name="Total 9 13 3" xfId="15782"/>
    <cellStyle name="Total 9 13 3 2" xfId="29088"/>
    <cellStyle name="Total 9 13 4" xfId="20268"/>
    <cellStyle name="Total 9 13_Table" xfId="9223"/>
    <cellStyle name="Total 9 14" xfId="2960"/>
    <cellStyle name="Total 9 14 2" xfId="12288"/>
    <cellStyle name="Total 9 14 2 2" xfId="25594"/>
    <cellStyle name="Total 9 14 3" xfId="16698"/>
    <cellStyle name="Total 9 14 3 2" xfId="30004"/>
    <cellStyle name="Total 9 14 4" xfId="21184"/>
    <cellStyle name="Total 9 14_Table" xfId="9224"/>
    <cellStyle name="Total 9 15" xfId="3510"/>
    <cellStyle name="Total 9 15 2" xfId="12838"/>
    <cellStyle name="Total 9 15 2 2" xfId="26144"/>
    <cellStyle name="Total 9 15 3" xfId="17248"/>
    <cellStyle name="Total 9 15 3 2" xfId="30554"/>
    <cellStyle name="Total 9 15 4" xfId="21734"/>
    <cellStyle name="Total 9 15_Table" xfId="9225"/>
    <cellStyle name="Total 9 16" xfId="9703"/>
    <cellStyle name="Total 9 16 2" xfId="23115"/>
    <cellStyle name="Total 9 17" xfId="14219"/>
    <cellStyle name="Total 9 17 2" xfId="27525"/>
    <cellStyle name="Total 9 18" xfId="18705"/>
    <cellStyle name="Total 9 2" xfId="437"/>
    <cellStyle name="Total 9 2 10" xfId="4125"/>
    <cellStyle name="Total 9 2 10 2" xfId="13453"/>
    <cellStyle name="Total 9 2 10 2 2" xfId="26759"/>
    <cellStyle name="Total 9 2 10 3" xfId="17863"/>
    <cellStyle name="Total 9 2 10 3 2" xfId="31169"/>
    <cellStyle name="Total 9 2 10 4" xfId="22349"/>
    <cellStyle name="Total 9 2 10_Table" xfId="9227"/>
    <cellStyle name="Total 9 2 11" xfId="4486"/>
    <cellStyle name="Total 9 2 11 2" xfId="13814"/>
    <cellStyle name="Total 9 2 11 2 2" xfId="27120"/>
    <cellStyle name="Total 9 2 11 3" xfId="18224"/>
    <cellStyle name="Total 9 2 11 3 2" xfId="31530"/>
    <cellStyle name="Total 9 2 11 4" xfId="22710"/>
    <cellStyle name="Total 9 2 11_Table" xfId="9228"/>
    <cellStyle name="Total 9 2 12" xfId="9765"/>
    <cellStyle name="Total 9 2 12 2" xfId="23160"/>
    <cellStyle name="Total 9 2 13" xfId="14264"/>
    <cellStyle name="Total 9 2 13 2" xfId="27570"/>
    <cellStyle name="Total 9 2 14" xfId="18750"/>
    <cellStyle name="Total 9 2 2" xfId="751"/>
    <cellStyle name="Total 9 2 2 10" xfId="4711"/>
    <cellStyle name="Total 9 2 2 10 2" xfId="14039"/>
    <cellStyle name="Total 9 2 2 10 2 2" xfId="27345"/>
    <cellStyle name="Total 9 2 2 10 3" xfId="18449"/>
    <cellStyle name="Total 9 2 2 10 3 2" xfId="31755"/>
    <cellStyle name="Total 9 2 2 10 4" xfId="22935"/>
    <cellStyle name="Total 9 2 2 10_Table" xfId="9230"/>
    <cellStyle name="Total 9 2 2 11" xfId="10079"/>
    <cellStyle name="Total 9 2 2 11 2" xfId="23385"/>
    <cellStyle name="Total 9 2 2 12" xfId="14489"/>
    <cellStyle name="Total 9 2 2 12 2" xfId="27795"/>
    <cellStyle name="Total 9 2 2 13" xfId="18975"/>
    <cellStyle name="Total 9 2 2 2" xfId="1537"/>
    <cellStyle name="Total 9 2 2 2 2" xfId="10865"/>
    <cellStyle name="Total 9 2 2 2 2 2" xfId="24171"/>
    <cellStyle name="Total 9 2 2 2 3" xfId="15275"/>
    <cellStyle name="Total 9 2 2 2 3 2" xfId="28581"/>
    <cellStyle name="Total 9 2 2 2 4" xfId="19761"/>
    <cellStyle name="Total 9 2 2 2_Table" xfId="9231"/>
    <cellStyle name="Total 9 2 2 3" xfId="1897"/>
    <cellStyle name="Total 9 2 2 3 2" xfId="11225"/>
    <cellStyle name="Total 9 2 2 3 2 2" xfId="24531"/>
    <cellStyle name="Total 9 2 2 3 3" xfId="15635"/>
    <cellStyle name="Total 9 2 2 3 3 2" xfId="28941"/>
    <cellStyle name="Total 9 2 2 3 4" xfId="20121"/>
    <cellStyle name="Total 9 2 2 3_Table" xfId="9232"/>
    <cellStyle name="Total 9 2 2 4" xfId="2327"/>
    <cellStyle name="Total 9 2 2 4 2" xfId="11655"/>
    <cellStyle name="Total 9 2 2 4 2 2" xfId="24961"/>
    <cellStyle name="Total 9 2 2 4 3" xfId="16065"/>
    <cellStyle name="Total 9 2 2 4 3 2" xfId="29371"/>
    <cellStyle name="Total 9 2 2 4 4" xfId="20551"/>
    <cellStyle name="Total 9 2 2 4_Table" xfId="9233"/>
    <cellStyle name="Total 9 2 2 5" xfId="2765"/>
    <cellStyle name="Total 9 2 2 5 2" xfId="12093"/>
    <cellStyle name="Total 9 2 2 5 2 2" xfId="25399"/>
    <cellStyle name="Total 9 2 2 5 3" xfId="16503"/>
    <cellStyle name="Total 9 2 2 5 3 2" xfId="29809"/>
    <cellStyle name="Total 9 2 2 5 4" xfId="20989"/>
    <cellStyle name="Total 9 2 2 5_Table" xfId="9234"/>
    <cellStyle name="Total 9 2 2 6" xfId="3172"/>
    <cellStyle name="Total 9 2 2 6 2" xfId="12500"/>
    <cellStyle name="Total 9 2 2 6 2 2" xfId="25806"/>
    <cellStyle name="Total 9 2 2 6 3" xfId="16910"/>
    <cellStyle name="Total 9 2 2 6 3 2" xfId="30216"/>
    <cellStyle name="Total 9 2 2 6 4" xfId="21396"/>
    <cellStyle name="Total 9 2 2 6_Table" xfId="9235"/>
    <cellStyle name="Total 9 2 2 7" xfId="3764"/>
    <cellStyle name="Total 9 2 2 7 2" xfId="13092"/>
    <cellStyle name="Total 9 2 2 7 2 2" xfId="26398"/>
    <cellStyle name="Total 9 2 2 7 3" xfId="17502"/>
    <cellStyle name="Total 9 2 2 7 3 2" xfId="30808"/>
    <cellStyle name="Total 9 2 2 7 4" xfId="21988"/>
    <cellStyle name="Total 9 2 2 7_Table" xfId="9236"/>
    <cellStyle name="Total 9 2 2 8" xfId="3989"/>
    <cellStyle name="Total 9 2 2 8 2" xfId="13317"/>
    <cellStyle name="Total 9 2 2 8 2 2" xfId="26623"/>
    <cellStyle name="Total 9 2 2 8 3" xfId="17727"/>
    <cellStyle name="Total 9 2 2 8 3 2" xfId="31033"/>
    <cellStyle name="Total 9 2 2 8 4" xfId="22213"/>
    <cellStyle name="Total 9 2 2 8_Table" xfId="9237"/>
    <cellStyle name="Total 9 2 2 9" xfId="4350"/>
    <cellStyle name="Total 9 2 2 9 2" xfId="13678"/>
    <cellStyle name="Total 9 2 2 9 2 2" xfId="26984"/>
    <cellStyle name="Total 9 2 2 9 3" xfId="18088"/>
    <cellStyle name="Total 9 2 2 9 3 2" xfId="31394"/>
    <cellStyle name="Total 9 2 2 9 4" xfId="22574"/>
    <cellStyle name="Total 9 2 2 9_Table" xfId="9238"/>
    <cellStyle name="Total 9 2 2_Table" xfId="9229"/>
    <cellStyle name="Total 9 2 3" xfId="1251"/>
    <cellStyle name="Total 9 2 3 2" xfId="10579"/>
    <cellStyle name="Total 9 2 3 2 2" xfId="23885"/>
    <cellStyle name="Total 9 2 3 3" xfId="14989"/>
    <cellStyle name="Total 9 2 3 3 2" xfId="28295"/>
    <cellStyle name="Total 9 2 3 4" xfId="19475"/>
    <cellStyle name="Total 9 2 3_Table" xfId="9239"/>
    <cellStyle name="Total 9 2 4" xfId="975"/>
    <cellStyle name="Total 9 2 4 2" xfId="10303"/>
    <cellStyle name="Total 9 2 4 2 2" xfId="23609"/>
    <cellStyle name="Total 9 2 4 3" xfId="14713"/>
    <cellStyle name="Total 9 2 4 3 2" xfId="28019"/>
    <cellStyle name="Total 9 2 4 4" xfId="19199"/>
    <cellStyle name="Total 9 2 4_Table" xfId="9240"/>
    <cellStyle name="Total 9 2 5" xfId="2033"/>
    <cellStyle name="Total 9 2 5 2" xfId="11361"/>
    <cellStyle name="Total 9 2 5 2 2" xfId="24667"/>
    <cellStyle name="Total 9 2 5 3" xfId="15771"/>
    <cellStyle name="Total 9 2 5 3 2" xfId="29077"/>
    <cellStyle name="Total 9 2 5 4" xfId="20257"/>
    <cellStyle name="Total 9 2 5_Table" xfId="9241"/>
    <cellStyle name="Total 9 2 6" xfId="2463"/>
    <cellStyle name="Total 9 2 6 2" xfId="11791"/>
    <cellStyle name="Total 9 2 6 2 2" xfId="25097"/>
    <cellStyle name="Total 9 2 6 3" xfId="16201"/>
    <cellStyle name="Total 9 2 6 3 2" xfId="29507"/>
    <cellStyle name="Total 9 2 6 4" xfId="20687"/>
    <cellStyle name="Total 9 2 6_Table" xfId="9242"/>
    <cellStyle name="Total 9 2 7" xfId="2901"/>
    <cellStyle name="Total 9 2 7 2" xfId="12229"/>
    <cellStyle name="Total 9 2 7 2 2" xfId="25535"/>
    <cellStyle name="Total 9 2 7 3" xfId="16639"/>
    <cellStyle name="Total 9 2 7 3 2" xfId="29945"/>
    <cellStyle name="Total 9 2 7 4" xfId="21125"/>
    <cellStyle name="Total 9 2 7_Table" xfId="9243"/>
    <cellStyle name="Total 9 2 8" xfId="3308"/>
    <cellStyle name="Total 9 2 8 2" xfId="12636"/>
    <cellStyle name="Total 9 2 8 2 2" xfId="25942"/>
    <cellStyle name="Total 9 2 8 3" xfId="17046"/>
    <cellStyle name="Total 9 2 8 3 2" xfId="30352"/>
    <cellStyle name="Total 9 2 8 4" xfId="21532"/>
    <cellStyle name="Total 9 2 8_Table" xfId="9244"/>
    <cellStyle name="Total 9 2 9" xfId="3506"/>
    <cellStyle name="Total 9 2 9 2" xfId="12834"/>
    <cellStyle name="Total 9 2 9 2 2" xfId="26140"/>
    <cellStyle name="Total 9 2 9 3" xfId="17244"/>
    <cellStyle name="Total 9 2 9 3 2" xfId="30550"/>
    <cellStyle name="Total 9 2 9 4" xfId="21730"/>
    <cellStyle name="Total 9 2 9_Table" xfId="9245"/>
    <cellStyle name="Total 9 2_Table" xfId="9226"/>
    <cellStyle name="Total 9 3" xfId="505"/>
    <cellStyle name="Total 9 3 10" xfId="4170"/>
    <cellStyle name="Total 9 3 10 2" xfId="13498"/>
    <cellStyle name="Total 9 3 10 2 2" xfId="26804"/>
    <cellStyle name="Total 9 3 10 3" xfId="17908"/>
    <cellStyle name="Total 9 3 10 3 2" xfId="31214"/>
    <cellStyle name="Total 9 3 10 4" xfId="22394"/>
    <cellStyle name="Total 9 3 10_Table" xfId="9247"/>
    <cellStyle name="Total 9 3 11" xfId="4531"/>
    <cellStyle name="Total 9 3 11 2" xfId="13859"/>
    <cellStyle name="Total 9 3 11 2 2" xfId="27165"/>
    <cellStyle name="Total 9 3 11 3" xfId="18269"/>
    <cellStyle name="Total 9 3 11 3 2" xfId="31575"/>
    <cellStyle name="Total 9 3 11 4" xfId="22755"/>
    <cellStyle name="Total 9 3 11_Table" xfId="9248"/>
    <cellStyle name="Total 9 3 12" xfId="9833"/>
    <cellStyle name="Total 9 3 12 2" xfId="23205"/>
    <cellStyle name="Total 9 3 13" xfId="14309"/>
    <cellStyle name="Total 9 3 13 2" xfId="27615"/>
    <cellStyle name="Total 9 3 14" xfId="18795"/>
    <cellStyle name="Total 9 3 2" xfId="796"/>
    <cellStyle name="Total 9 3 2 10" xfId="4756"/>
    <cellStyle name="Total 9 3 2 10 2" xfId="14084"/>
    <cellStyle name="Total 9 3 2 10 2 2" xfId="27390"/>
    <cellStyle name="Total 9 3 2 10 3" xfId="18494"/>
    <cellStyle name="Total 9 3 2 10 3 2" xfId="31800"/>
    <cellStyle name="Total 9 3 2 10 4" xfId="22980"/>
    <cellStyle name="Total 9 3 2 10_Table" xfId="9250"/>
    <cellStyle name="Total 9 3 2 11" xfId="10124"/>
    <cellStyle name="Total 9 3 2 11 2" xfId="23430"/>
    <cellStyle name="Total 9 3 2 12" xfId="14534"/>
    <cellStyle name="Total 9 3 2 12 2" xfId="27840"/>
    <cellStyle name="Total 9 3 2 13" xfId="19020"/>
    <cellStyle name="Total 9 3 2 2" xfId="1582"/>
    <cellStyle name="Total 9 3 2 2 2" xfId="10910"/>
    <cellStyle name="Total 9 3 2 2 2 2" xfId="24216"/>
    <cellStyle name="Total 9 3 2 2 3" xfId="15320"/>
    <cellStyle name="Total 9 3 2 2 3 2" xfId="28626"/>
    <cellStyle name="Total 9 3 2 2 4" xfId="19806"/>
    <cellStyle name="Total 9 3 2 2_Table" xfId="9251"/>
    <cellStyle name="Total 9 3 2 3" xfId="1942"/>
    <cellStyle name="Total 9 3 2 3 2" xfId="11270"/>
    <cellStyle name="Total 9 3 2 3 2 2" xfId="24576"/>
    <cellStyle name="Total 9 3 2 3 3" xfId="15680"/>
    <cellStyle name="Total 9 3 2 3 3 2" xfId="28986"/>
    <cellStyle name="Total 9 3 2 3 4" xfId="20166"/>
    <cellStyle name="Total 9 3 2 3_Table" xfId="9252"/>
    <cellStyle name="Total 9 3 2 4" xfId="2372"/>
    <cellStyle name="Total 9 3 2 4 2" xfId="11700"/>
    <cellStyle name="Total 9 3 2 4 2 2" xfId="25006"/>
    <cellStyle name="Total 9 3 2 4 3" xfId="16110"/>
    <cellStyle name="Total 9 3 2 4 3 2" xfId="29416"/>
    <cellStyle name="Total 9 3 2 4 4" xfId="20596"/>
    <cellStyle name="Total 9 3 2 4_Table" xfId="9253"/>
    <cellStyle name="Total 9 3 2 5" xfId="2810"/>
    <cellStyle name="Total 9 3 2 5 2" xfId="12138"/>
    <cellStyle name="Total 9 3 2 5 2 2" xfId="25444"/>
    <cellStyle name="Total 9 3 2 5 3" xfId="16548"/>
    <cellStyle name="Total 9 3 2 5 3 2" xfId="29854"/>
    <cellStyle name="Total 9 3 2 5 4" xfId="21034"/>
    <cellStyle name="Total 9 3 2 5_Table" xfId="9254"/>
    <cellStyle name="Total 9 3 2 6" xfId="3217"/>
    <cellStyle name="Total 9 3 2 6 2" xfId="12545"/>
    <cellStyle name="Total 9 3 2 6 2 2" xfId="25851"/>
    <cellStyle name="Total 9 3 2 6 3" xfId="16955"/>
    <cellStyle name="Total 9 3 2 6 3 2" xfId="30261"/>
    <cellStyle name="Total 9 3 2 6 4" xfId="21441"/>
    <cellStyle name="Total 9 3 2 6_Table" xfId="9255"/>
    <cellStyle name="Total 9 3 2 7" xfId="3809"/>
    <cellStyle name="Total 9 3 2 7 2" xfId="13137"/>
    <cellStyle name="Total 9 3 2 7 2 2" xfId="26443"/>
    <cellStyle name="Total 9 3 2 7 3" xfId="17547"/>
    <cellStyle name="Total 9 3 2 7 3 2" xfId="30853"/>
    <cellStyle name="Total 9 3 2 7 4" xfId="22033"/>
    <cellStyle name="Total 9 3 2 7_Table" xfId="9256"/>
    <cellStyle name="Total 9 3 2 8" xfId="4034"/>
    <cellStyle name="Total 9 3 2 8 2" xfId="13362"/>
    <cellStyle name="Total 9 3 2 8 2 2" xfId="26668"/>
    <cellStyle name="Total 9 3 2 8 3" xfId="17772"/>
    <cellStyle name="Total 9 3 2 8 3 2" xfId="31078"/>
    <cellStyle name="Total 9 3 2 8 4" xfId="22258"/>
    <cellStyle name="Total 9 3 2 8_Table" xfId="9257"/>
    <cellStyle name="Total 9 3 2 9" xfId="4395"/>
    <cellStyle name="Total 9 3 2 9 2" xfId="13723"/>
    <cellStyle name="Total 9 3 2 9 2 2" xfId="27029"/>
    <cellStyle name="Total 9 3 2 9 3" xfId="18133"/>
    <cellStyle name="Total 9 3 2 9 3 2" xfId="31439"/>
    <cellStyle name="Total 9 3 2 9 4" xfId="22619"/>
    <cellStyle name="Total 9 3 2 9_Table" xfId="9258"/>
    <cellStyle name="Total 9 3 2_Table" xfId="9249"/>
    <cellStyle name="Total 9 3 3" xfId="1308"/>
    <cellStyle name="Total 9 3 3 2" xfId="10636"/>
    <cellStyle name="Total 9 3 3 2 2" xfId="23942"/>
    <cellStyle name="Total 9 3 3 3" xfId="15046"/>
    <cellStyle name="Total 9 3 3 3 2" xfId="28352"/>
    <cellStyle name="Total 9 3 3 4" xfId="19532"/>
    <cellStyle name="Total 9 3 3_Table" xfId="9259"/>
    <cellStyle name="Total 9 3 4" xfId="909"/>
    <cellStyle name="Total 9 3 4 2" xfId="10237"/>
    <cellStyle name="Total 9 3 4 2 2" xfId="23543"/>
    <cellStyle name="Total 9 3 4 3" xfId="14647"/>
    <cellStyle name="Total 9 3 4 3 2" xfId="27953"/>
    <cellStyle name="Total 9 3 4 4" xfId="19133"/>
    <cellStyle name="Total 9 3 4_Table" xfId="9260"/>
    <cellStyle name="Total 9 3 5" xfId="2096"/>
    <cellStyle name="Total 9 3 5 2" xfId="11424"/>
    <cellStyle name="Total 9 3 5 2 2" xfId="24730"/>
    <cellStyle name="Total 9 3 5 3" xfId="15834"/>
    <cellStyle name="Total 9 3 5 3 2" xfId="29140"/>
    <cellStyle name="Total 9 3 5 4" xfId="20320"/>
    <cellStyle name="Total 9 3 5_Table" xfId="9261"/>
    <cellStyle name="Total 9 3 6" xfId="2528"/>
    <cellStyle name="Total 9 3 6 2" xfId="11856"/>
    <cellStyle name="Total 9 3 6 2 2" xfId="25162"/>
    <cellStyle name="Total 9 3 6 3" xfId="16266"/>
    <cellStyle name="Total 9 3 6 3 2" xfId="29572"/>
    <cellStyle name="Total 9 3 6 4" xfId="20752"/>
    <cellStyle name="Total 9 3 6_Table" xfId="9262"/>
    <cellStyle name="Total 9 3 7" xfId="2956"/>
    <cellStyle name="Total 9 3 7 2" xfId="12284"/>
    <cellStyle name="Total 9 3 7 2 2" xfId="25590"/>
    <cellStyle name="Total 9 3 7 3" xfId="16694"/>
    <cellStyle name="Total 9 3 7 3 2" xfId="30000"/>
    <cellStyle name="Total 9 3 7 4" xfId="21180"/>
    <cellStyle name="Total 9 3 7_Table" xfId="9263"/>
    <cellStyle name="Total 9 3 8" xfId="3369"/>
    <cellStyle name="Total 9 3 8 2" xfId="12697"/>
    <cellStyle name="Total 9 3 8 2 2" xfId="26003"/>
    <cellStyle name="Total 9 3 8 3" xfId="17107"/>
    <cellStyle name="Total 9 3 8 3 2" xfId="30413"/>
    <cellStyle name="Total 9 3 8 4" xfId="21593"/>
    <cellStyle name="Total 9 3 8_Table" xfId="9264"/>
    <cellStyle name="Total 9 3 9" xfId="3450"/>
    <cellStyle name="Total 9 3 9 2" xfId="12778"/>
    <cellStyle name="Total 9 3 9 2 2" xfId="26084"/>
    <cellStyle name="Total 9 3 9 3" xfId="17188"/>
    <cellStyle name="Total 9 3 9 3 2" xfId="30494"/>
    <cellStyle name="Total 9 3 9 4" xfId="21674"/>
    <cellStyle name="Total 9 3 9_Table" xfId="9265"/>
    <cellStyle name="Total 9 3_Table" xfId="9246"/>
    <cellStyle name="Total 9 4" xfId="569"/>
    <cellStyle name="Total 9 4 10" xfId="4215"/>
    <cellStyle name="Total 9 4 10 2" xfId="13543"/>
    <cellStyle name="Total 9 4 10 2 2" xfId="26849"/>
    <cellStyle name="Total 9 4 10 3" xfId="17953"/>
    <cellStyle name="Total 9 4 10 3 2" xfId="31259"/>
    <cellStyle name="Total 9 4 10 4" xfId="22439"/>
    <cellStyle name="Total 9 4 10_Table" xfId="9267"/>
    <cellStyle name="Total 9 4 11" xfId="4576"/>
    <cellStyle name="Total 9 4 11 2" xfId="13904"/>
    <cellStyle name="Total 9 4 11 2 2" xfId="27210"/>
    <cellStyle name="Total 9 4 11 3" xfId="18314"/>
    <cellStyle name="Total 9 4 11 3 2" xfId="31620"/>
    <cellStyle name="Total 9 4 11 4" xfId="22800"/>
    <cellStyle name="Total 9 4 11_Table" xfId="9268"/>
    <cellStyle name="Total 9 4 12" xfId="9897"/>
    <cellStyle name="Total 9 4 12 2" xfId="23250"/>
    <cellStyle name="Total 9 4 13" xfId="14354"/>
    <cellStyle name="Total 9 4 13 2" xfId="27660"/>
    <cellStyle name="Total 9 4 14" xfId="18840"/>
    <cellStyle name="Total 9 4 2" xfId="841"/>
    <cellStyle name="Total 9 4 2 10" xfId="4801"/>
    <cellStyle name="Total 9 4 2 10 2" xfId="14129"/>
    <cellStyle name="Total 9 4 2 10 2 2" xfId="27435"/>
    <cellStyle name="Total 9 4 2 10 3" xfId="18539"/>
    <cellStyle name="Total 9 4 2 10 3 2" xfId="31845"/>
    <cellStyle name="Total 9 4 2 10 4" xfId="23025"/>
    <cellStyle name="Total 9 4 2 10_Table" xfId="9270"/>
    <cellStyle name="Total 9 4 2 11" xfId="10169"/>
    <cellStyle name="Total 9 4 2 11 2" xfId="23475"/>
    <cellStyle name="Total 9 4 2 12" xfId="14579"/>
    <cellStyle name="Total 9 4 2 12 2" xfId="27885"/>
    <cellStyle name="Total 9 4 2 13" xfId="19065"/>
    <cellStyle name="Total 9 4 2 2" xfId="1627"/>
    <cellStyle name="Total 9 4 2 2 2" xfId="10955"/>
    <cellStyle name="Total 9 4 2 2 2 2" xfId="24261"/>
    <cellStyle name="Total 9 4 2 2 3" xfId="15365"/>
    <cellStyle name="Total 9 4 2 2 3 2" xfId="28671"/>
    <cellStyle name="Total 9 4 2 2 4" xfId="19851"/>
    <cellStyle name="Total 9 4 2 2_Table" xfId="9271"/>
    <cellStyle name="Total 9 4 2 3" xfId="1987"/>
    <cellStyle name="Total 9 4 2 3 2" xfId="11315"/>
    <cellStyle name="Total 9 4 2 3 2 2" xfId="24621"/>
    <cellStyle name="Total 9 4 2 3 3" xfId="15725"/>
    <cellStyle name="Total 9 4 2 3 3 2" xfId="29031"/>
    <cellStyle name="Total 9 4 2 3 4" xfId="20211"/>
    <cellStyle name="Total 9 4 2 3_Table" xfId="9272"/>
    <cellStyle name="Total 9 4 2 4" xfId="2417"/>
    <cellStyle name="Total 9 4 2 4 2" xfId="11745"/>
    <cellStyle name="Total 9 4 2 4 2 2" xfId="25051"/>
    <cellStyle name="Total 9 4 2 4 3" xfId="16155"/>
    <cellStyle name="Total 9 4 2 4 3 2" xfId="29461"/>
    <cellStyle name="Total 9 4 2 4 4" xfId="20641"/>
    <cellStyle name="Total 9 4 2 4_Table" xfId="9273"/>
    <cellStyle name="Total 9 4 2 5" xfId="2855"/>
    <cellStyle name="Total 9 4 2 5 2" xfId="12183"/>
    <cellStyle name="Total 9 4 2 5 2 2" xfId="25489"/>
    <cellStyle name="Total 9 4 2 5 3" xfId="16593"/>
    <cellStyle name="Total 9 4 2 5 3 2" xfId="29899"/>
    <cellStyle name="Total 9 4 2 5 4" xfId="21079"/>
    <cellStyle name="Total 9 4 2 5_Table" xfId="9274"/>
    <cellStyle name="Total 9 4 2 6" xfId="3262"/>
    <cellStyle name="Total 9 4 2 6 2" xfId="12590"/>
    <cellStyle name="Total 9 4 2 6 2 2" xfId="25896"/>
    <cellStyle name="Total 9 4 2 6 3" xfId="17000"/>
    <cellStyle name="Total 9 4 2 6 3 2" xfId="30306"/>
    <cellStyle name="Total 9 4 2 6 4" xfId="21486"/>
    <cellStyle name="Total 9 4 2 6_Table" xfId="9275"/>
    <cellStyle name="Total 9 4 2 7" xfId="3854"/>
    <cellStyle name="Total 9 4 2 7 2" xfId="13182"/>
    <cellStyle name="Total 9 4 2 7 2 2" xfId="26488"/>
    <cellStyle name="Total 9 4 2 7 3" xfId="17592"/>
    <cellStyle name="Total 9 4 2 7 3 2" xfId="30898"/>
    <cellStyle name="Total 9 4 2 7 4" xfId="22078"/>
    <cellStyle name="Total 9 4 2 7_Table" xfId="9276"/>
    <cellStyle name="Total 9 4 2 8" xfId="4079"/>
    <cellStyle name="Total 9 4 2 8 2" xfId="13407"/>
    <cellStyle name="Total 9 4 2 8 2 2" xfId="26713"/>
    <cellStyle name="Total 9 4 2 8 3" xfId="17817"/>
    <cellStyle name="Total 9 4 2 8 3 2" xfId="31123"/>
    <cellStyle name="Total 9 4 2 8 4" xfId="22303"/>
    <cellStyle name="Total 9 4 2 8_Table" xfId="9277"/>
    <cellStyle name="Total 9 4 2 9" xfId="4440"/>
    <cellStyle name="Total 9 4 2 9 2" xfId="13768"/>
    <cellStyle name="Total 9 4 2 9 2 2" xfId="27074"/>
    <cellStyle name="Total 9 4 2 9 3" xfId="18178"/>
    <cellStyle name="Total 9 4 2 9 3 2" xfId="31484"/>
    <cellStyle name="Total 9 4 2 9 4" xfId="22664"/>
    <cellStyle name="Total 9 4 2 9_Table" xfId="9278"/>
    <cellStyle name="Total 9 4 2_Table" xfId="9269"/>
    <cellStyle name="Total 9 4 3" xfId="1364"/>
    <cellStyle name="Total 9 4 3 2" xfId="10692"/>
    <cellStyle name="Total 9 4 3 2 2" xfId="23998"/>
    <cellStyle name="Total 9 4 3 3" xfId="15102"/>
    <cellStyle name="Total 9 4 3 3 2" xfId="28408"/>
    <cellStyle name="Total 9 4 3 4" xfId="19588"/>
    <cellStyle name="Total 9 4 3_Table" xfId="9279"/>
    <cellStyle name="Total 9 4 4" xfId="1721"/>
    <cellStyle name="Total 9 4 4 2" xfId="11049"/>
    <cellStyle name="Total 9 4 4 2 2" xfId="24355"/>
    <cellStyle name="Total 9 4 4 3" xfId="15459"/>
    <cellStyle name="Total 9 4 4 3 2" xfId="28765"/>
    <cellStyle name="Total 9 4 4 4" xfId="19945"/>
    <cellStyle name="Total 9 4 4_Table" xfId="9280"/>
    <cellStyle name="Total 9 4 5" xfId="2155"/>
    <cellStyle name="Total 9 4 5 2" xfId="11483"/>
    <cellStyle name="Total 9 4 5 2 2" xfId="24789"/>
    <cellStyle name="Total 9 4 5 3" xfId="15893"/>
    <cellStyle name="Total 9 4 5 3 2" xfId="29199"/>
    <cellStyle name="Total 9 4 5 4" xfId="20379"/>
    <cellStyle name="Total 9 4 5_Table" xfId="9281"/>
    <cellStyle name="Total 9 4 6" xfId="2587"/>
    <cellStyle name="Total 9 4 6 2" xfId="11915"/>
    <cellStyle name="Total 9 4 6 2 2" xfId="25221"/>
    <cellStyle name="Total 9 4 6 3" xfId="16325"/>
    <cellStyle name="Total 9 4 6 3 2" xfId="29631"/>
    <cellStyle name="Total 9 4 6 4" xfId="20811"/>
    <cellStyle name="Total 9 4 6_Table" xfId="9282"/>
    <cellStyle name="Total 9 4 7" xfId="3013"/>
    <cellStyle name="Total 9 4 7 2" xfId="12341"/>
    <cellStyle name="Total 9 4 7 2 2" xfId="25647"/>
    <cellStyle name="Total 9 4 7 3" xfId="16751"/>
    <cellStyle name="Total 9 4 7 3 2" xfId="30057"/>
    <cellStyle name="Total 9 4 7 4" xfId="21237"/>
    <cellStyle name="Total 9 4 7_Table" xfId="9283"/>
    <cellStyle name="Total 9 4 8" xfId="3427"/>
    <cellStyle name="Total 9 4 8 2" xfId="12755"/>
    <cellStyle name="Total 9 4 8 2 2" xfId="26061"/>
    <cellStyle name="Total 9 4 8 3" xfId="17165"/>
    <cellStyle name="Total 9 4 8 3 2" xfId="30471"/>
    <cellStyle name="Total 9 4 8 4" xfId="21651"/>
    <cellStyle name="Total 9 4 8_Table" xfId="9284"/>
    <cellStyle name="Total 9 4 9" xfId="3662"/>
    <cellStyle name="Total 9 4 9 2" xfId="12990"/>
    <cellStyle name="Total 9 4 9 2 2" xfId="26296"/>
    <cellStyle name="Total 9 4 9 3" xfId="17400"/>
    <cellStyle name="Total 9 4 9 3 2" xfId="30706"/>
    <cellStyle name="Total 9 4 9 4" xfId="21886"/>
    <cellStyle name="Total 9 4 9_Table" xfId="9285"/>
    <cellStyle name="Total 9 4_Table" xfId="9266"/>
    <cellStyle name="Total 9 5" xfId="644"/>
    <cellStyle name="Total 9 5 10" xfId="4260"/>
    <cellStyle name="Total 9 5 10 2" xfId="13588"/>
    <cellStyle name="Total 9 5 10 2 2" xfId="26894"/>
    <cellStyle name="Total 9 5 10 3" xfId="17998"/>
    <cellStyle name="Total 9 5 10 3 2" xfId="31304"/>
    <cellStyle name="Total 9 5 10 4" xfId="22484"/>
    <cellStyle name="Total 9 5 10_Table" xfId="9287"/>
    <cellStyle name="Total 9 5 11" xfId="4621"/>
    <cellStyle name="Total 9 5 11 2" xfId="13949"/>
    <cellStyle name="Total 9 5 11 2 2" xfId="27255"/>
    <cellStyle name="Total 9 5 11 3" xfId="18359"/>
    <cellStyle name="Total 9 5 11 3 2" xfId="31665"/>
    <cellStyle name="Total 9 5 11 4" xfId="22845"/>
    <cellStyle name="Total 9 5 11_Table" xfId="9288"/>
    <cellStyle name="Total 9 5 12" xfId="9972"/>
    <cellStyle name="Total 9 5 12 2" xfId="23295"/>
    <cellStyle name="Total 9 5 13" xfId="14399"/>
    <cellStyle name="Total 9 5 13 2" xfId="27705"/>
    <cellStyle name="Total 9 5 14" xfId="18885"/>
    <cellStyle name="Total 9 5 2" xfId="886"/>
    <cellStyle name="Total 9 5 2 10" xfId="4846"/>
    <cellStyle name="Total 9 5 2 10 2" xfId="14174"/>
    <cellStyle name="Total 9 5 2 10 2 2" xfId="27480"/>
    <cellStyle name="Total 9 5 2 10 3" xfId="18584"/>
    <cellStyle name="Total 9 5 2 10 3 2" xfId="31890"/>
    <cellStyle name="Total 9 5 2 10 4" xfId="23070"/>
    <cellStyle name="Total 9 5 2 10_Table" xfId="9290"/>
    <cellStyle name="Total 9 5 2 11" xfId="10214"/>
    <cellStyle name="Total 9 5 2 11 2" xfId="23520"/>
    <cellStyle name="Total 9 5 2 12" xfId="14624"/>
    <cellStyle name="Total 9 5 2 12 2" xfId="27930"/>
    <cellStyle name="Total 9 5 2 13" xfId="19110"/>
    <cellStyle name="Total 9 5 2 2" xfId="1672"/>
    <cellStyle name="Total 9 5 2 2 2" xfId="11000"/>
    <cellStyle name="Total 9 5 2 2 2 2" xfId="24306"/>
    <cellStyle name="Total 9 5 2 2 3" xfId="15410"/>
    <cellStyle name="Total 9 5 2 2 3 2" xfId="28716"/>
    <cellStyle name="Total 9 5 2 2 4" xfId="19896"/>
    <cellStyle name="Total 9 5 2 2_Table" xfId="9291"/>
    <cellStyle name="Total 9 5 2 3" xfId="2032"/>
    <cellStyle name="Total 9 5 2 3 2" xfId="11360"/>
    <cellStyle name="Total 9 5 2 3 2 2" xfId="24666"/>
    <cellStyle name="Total 9 5 2 3 3" xfId="15770"/>
    <cellStyle name="Total 9 5 2 3 3 2" xfId="29076"/>
    <cellStyle name="Total 9 5 2 3 4" xfId="20256"/>
    <cellStyle name="Total 9 5 2 3_Table" xfId="9292"/>
    <cellStyle name="Total 9 5 2 4" xfId="2462"/>
    <cellStyle name="Total 9 5 2 4 2" xfId="11790"/>
    <cellStyle name="Total 9 5 2 4 2 2" xfId="25096"/>
    <cellStyle name="Total 9 5 2 4 3" xfId="16200"/>
    <cellStyle name="Total 9 5 2 4 3 2" xfId="29506"/>
    <cellStyle name="Total 9 5 2 4 4" xfId="20686"/>
    <cellStyle name="Total 9 5 2 4_Table" xfId="9293"/>
    <cellStyle name="Total 9 5 2 5" xfId="2900"/>
    <cellStyle name="Total 9 5 2 5 2" xfId="12228"/>
    <cellStyle name="Total 9 5 2 5 2 2" xfId="25534"/>
    <cellStyle name="Total 9 5 2 5 3" xfId="16638"/>
    <cellStyle name="Total 9 5 2 5 3 2" xfId="29944"/>
    <cellStyle name="Total 9 5 2 5 4" xfId="21124"/>
    <cellStyle name="Total 9 5 2 5_Table" xfId="9294"/>
    <cellStyle name="Total 9 5 2 6" xfId="3307"/>
    <cellStyle name="Total 9 5 2 6 2" xfId="12635"/>
    <cellStyle name="Total 9 5 2 6 2 2" xfId="25941"/>
    <cellStyle name="Total 9 5 2 6 3" xfId="17045"/>
    <cellStyle name="Total 9 5 2 6 3 2" xfId="30351"/>
    <cellStyle name="Total 9 5 2 6 4" xfId="21531"/>
    <cellStyle name="Total 9 5 2 6_Table" xfId="9295"/>
    <cellStyle name="Total 9 5 2 7" xfId="3899"/>
    <cellStyle name="Total 9 5 2 7 2" xfId="13227"/>
    <cellStyle name="Total 9 5 2 7 2 2" xfId="26533"/>
    <cellStyle name="Total 9 5 2 7 3" xfId="17637"/>
    <cellStyle name="Total 9 5 2 7 3 2" xfId="30943"/>
    <cellStyle name="Total 9 5 2 7 4" xfId="22123"/>
    <cellStyle name="Total 9 5 2 7_Table" xfId="9296"/>
    <cellStyle name="Total 9 5 2 8" xfId="4124"/>
    <cellStyle name="Total 9 5 2 8 2" xfId="13452"/>
    <cellStyle name="Total 9 5 2 8 2 2" xfId="26758"/>
    <cellStyle name="Total 9 5 2 8 3" xfId="17862"/>
    <cellStyle name="Total 9 5 2 8 3 2" xfId="31168"/>
    <cellStyle name="Total 9 5 2 8 4" xfId="22348"/>
    <cellStyle name="Total 9 5 2 8_Table" xfId="9297"/>
    <cellStyle name="Total 9 5 2 9" xfId="4485"/>
    <cellStyle name="Total 9 5 2 9 2" xfId="13813"/>
    <cellStyle name="Total 9 5 2 9 2 2" xfId="27119"/>
    <cellStyle name="Total 9 5 2 9 3" xfId="18223"/>
    <cellStyle name="Total 9 5 2 9 3 2" xfId="31529"/>
    <cellStyle name="Total 9 5 2 9 4" xfId="22709"/>
    <cellStyle name="Total 9 5 2 9_Table" xfId="9298"/>
    <cellStyle name="Total 9 5 2_Table" xfId="9289"/>
    <cellStyle name="Total 9 5 3" xfId="1431"/>
    <cellStyle name="Total 9 5 3 2" xfId="10759"/>
    <cellStyle name="Total 9 5 3 2 2" xfId="24065"/>
    <cellStyle name="Total 9 5 3 3" xfId="15169"/>
    <cellStyle name="Total 9 5 3 3 2" xfId="28475"/>
    <cellStyle name="Total 9 5 3 4" xfId="19655"/>
    <cellStyle name="Total 9 5 3_Table" xfId="9299"/>
    <cellStyle name="Total 9 5 4" xfId="1791"/>
    <cellStyle name="Total 9 5 4 2" xfId="11119"/>
    <cellStyle name="Total 9 5 4 2 2" xfId="24425"/>
    <cellStyle name="Total 9 5 4 3" xfId="15529"/>
    <cellStyle name="Total 9 5 4 3 2" xfId="28835"/>
    <cellStyle name="Total 9 5 4 4" xfId="20015"/>
    <cellStyle name="Total 9 5 4_Table" xfId="9300"/>
    <cellStyle name="Total 9 5 5" xfId="2224"/>
    <cellStyle name="Total 9 5 5 2" xfId="11552"/>
    <cellStyle name="Total 9 5 5 2 2" xfId="24858"/>
    <cellStyle name="Total 9 5 5 3" xfId="15962"/>
    <cellStyle name="Total 9 5 5 3 2" xfId="29268"/>
    <cellStyle name="Total 9 5 5 4" xfId="20448"/>
    <cellStyle name="Total 9 5 5_Table" xfId="9301"/>
    <cellStyle name="Total 9 5 6" xfId="2659"/>
    <cellStyle name="Total 9 5 6 2" xfId="11987"/>
    <cellStyle name="Total 9 5 6 2 2" xfId="25293"/>
    <cellStyle name="Total 9 5 6 3" xfId="16397"/>
    <cellStyle name="Total 9 5 6 3 2" xfId="29703"/>
    <cellStyle name="Total 9 5 6 4" xfId="20883"/>
    <cellStyle name="Total 9 5 6_Table" xfId="9302"/>
    <cellStyle name="Total 9 5 7" xfId="3072"/>
    <cellStyle name="Total 9 5 7 2" xfId="12400"/>
    <cellStyle name="Total 9 5 7 2 2" xfId="25706"/>
    <cellStyle name="Total 9 5 7 3" xfId="16810"/>
    <cellStyle name="Total 9 5 7 3 2" xfId="30116"/>
    <cellStyle name="Total 9 5 7 4" xfId="21296"/>
    <cellStyle name="Total 9 5 7_Table" xfId="9303"/>
    <cellStyle name="Total 9 5 8" xfId="3498"/>
    <cellStyle name="Total 9 5 8 2" xfId="12826"/>
    <cellStyle name="Total 9 5 8 2 2" xfId="26132"/>
    <cellStyle name="Total 9 5 8 3" xfId="17236"/>
    <cellStyle name="Total 9 5 8 3 2" xfId="30542"/>
    <cellStyle name="Total 9 5 8 4" xfId="21722"/>
    <cellStyle name="Total 9 5 8_Table" xfId="9304"/>
    <cellStyle name="Total 9 5 9" xfId="3671"/>
    <cellStyle name="Total 9 5 9 2" xfId="12999"/>
    <cellStyle name="Total 9 5 9 2 2" xfId="26305"/>
    <cellStyle name="Total 9 5 9 3" xfId="17409"/>
    <cellStyle name="Total 9 5 9 3 2" xfId="30715"/>
    <cellStyle name="Total 9 5 9 4" xfId="21895"/>
    <cellStyle name="Total 9 5 9_Table" xfId="9305"/>
    <cellStyle name="Total 9 5_Table" xfId="9286"/>
    <cellStyle name="Total 9 6" xfId="706"/>
    <cellStyle name="Total 9 6 10" xfId="4666"/>
    <cellStyle name="Total 9 6 10 2" xfId="13994"/>
    <cellStyle name="Total 9 6 10 2 2" xfId="27300"/>
    <cellStyle name="Total 9 6 10 3" xfId="18404"/>
    <cellStyle name="Total 9 6 10 3 2" xfId="31710"/>
    <cellStyle name="Total 9 6 10 4" xfId="22890"/>
    <cellStyle name="Total 9 6 10_Table" xfId="9307"/>
    <cellStyle name="Total 9 6 11" xfId="10034"/>
    <cellStyle name="Total 9 6 11 2" xfId="23340"/>
    <cellStyle name="Total 9 6 12" xfId="14444"/>
    <cellStyle name="Total 9 6 12 2" xfId="27750"/>
    <cellStyle name="Total 9 6 13" xfId="18930"/>
    <cellStyle name="Total 9 6 2" xfId="1492"/>
    <cellStyle name="Total 9 6 2 2" xfId="10820"/>
    <cellStyle name="Total 9 6 2 2 2" xfId="24126"/>
    <cellStyle name="Total 9 6 2 3" xfId="15230"/>
    <cellStyle name="Total 9 6 2 3 2" xfId="28536"/>
    <cellStyle name="Total 9 6 2 4" xfId="19716"/>
    <cellStyle name="Total 9 6 2_Table" xfId="9308"/>
    <cellStyle name="Total 9 6 3" xfId="1852"/>
    <cellStyle name="Total 9 6 3 2" xfId="11180"/>
    <cellStyle name="Total 9 6 3 2 2" xfId="24486"/>
    <cellStyle name="Total 9 6 3 3" xfId="15590"/>
    <cellStyle name="Total 9 6 3 3 2" xfId="28896"/>
    <cellStyle name="Total 9 6 3 4" xfId="20076"/>
    <cellStyle name="Total 9 6 3_Table" xfId="9309"/>
    <cellStyle name="Total 9 6 4" xfId="2282"/>
    <cellStyle name="Total 9 6 4 2" xfId="11610"/>
    <cellStyle name="Total 9 6 4 2 2" xfId="24916"/>
    <cellStyle name="Total 9 6 4 3" xfId="16020"/>
    <cellStyle name="Total 9 6 4 3 2" xfId="29326"/>
    <cellStyle name="Total 9 6 4 4" xfId="20506"/>
    <cellStyle name="Total 9 6 4_Table" xfId="9310"/>
    <cellStyle name="Total 9 6 5" xfId="2720"/>
    <cellStyle name="Total 9 6 5 2" xfId="12048"/>
    <cellStyle name="Total 9 6 5 2 2" xfId="25354"/>
    <cellStyle name="Total 9 6 5 3" xfId="16458"/>
    <cellStyle name="Total 9 6 5 3 2" xfId="29764"/>
    <cellStyle name="Total 9 6 5 4" xfId="20944"/>
    <cellStyle name="Total 9 6 5_Table" xfId="9311"/>
    <cellStyle name="Total 9 6 6" xfId="3127"/>
    <cellStyle name="Total 9 6 6 2" xfId="12455"/>
    <cellStyle name="Total 9 6 6 2 2" xfId="25761"/>
    <cellStyle name="Total 9 6 6 3" xfId="16865"/>
    <cellStyle name="Total 9 6 6 3 2" xfId="30171"/>
    <cellStyle name="Total 9 6 6 4" xfId="21351"/>
    <cellStyle name="Total 9 6 6_Table" xfId="9312"/>
    <cellStyle name="Total 9 6 7" xfId="3719"/>
    <cellStyle name="Total 9 6 7 2" xfId="13047"/>
    <cellStyle name="Total 9 6 7 2 2" xfId="26353"/>
    <cellStyle name="Total 9 6 7 3" xfId="17457"/>
    <cellStyle name="Total 9 6 7 3 2" xfId="30763"/>
    <cellStyle name="Total 9 6 7 4" xfId="21943"/>
    <cellStyle name="Total 9 6 7_Table" xfId="9313"/>
    <cellStyle name="Total 9 6 8" xfId="3944"/>
    <cellStyle name="Total 9 6 8 2" xfId="13272"/>
    <cellStyle name="Total 9 6 8 2 2" xfId="26578"/>
    <cellStyle name="Total 9 6 8 3" xfId="17682"/>
    <cellStyle name="Total 9 6 8 3 2" xfId="30988"/>
    <cellStyle name="Total 9 6 8 4" xfId="22168"/>
    <cellStyle name="Total 9 6 8_Table" xfId="9314"/>
    <cellStyle name="Total 9 6 9" xfId="4305"/>
    <cellStyle name="Total 9 6 9 2" xfId="13633"/>
    <cellStyle name="Total 9 6 9 2 2" xfId="26939"/>
    <cellStyle name="Total 9 6 9 3" xfId="18043"/>
    <cellStyle name="Total 9 6 9 3 2" xfId="31349"/>
    <cellStyle name="Total 9 6 9 4" xfId="22529"/>
    <cellStyle name="Total 9 6 9_Table" xfId="9315"/>
    <cellStyle name="Total 9 6_Table" xfId="9306"/>
    <cellStyle name="Total 9 7" xfId="1207"/>
    <cellStyle name="Total 9 7 2" xfId="10535"/>
    <cellStyle name="Total 9 7 2 2" xfId="23841"/>
    <cellStyle name="Total 9 7 3" xfId="14945"/>
    <cellStyle name="Total 9 7 3 2" xfId="28251"/>
    <cellStyle name="Total 9 7 4" xfId="19431"/>
    <cellStyle name="Total 9 7_Table" xfId="9316"/>
    <cellStyle name="Total 9 8" xfId="1035"/>
    <cellStyle name="Total 9 8 2" xfId="10363"/>
    <cellStyle name="Total 9 8 2 2" xfId="23669"/>
    <cellStyle name="Total 9 8 3" xfId="14773"/>
    <cellStyle name="Total 9 8 3 2" xfId="28079"/>
    <cellStyle name="Total 9 8 4" xfId="19259"/>
    <cellStyle name="Total 9 8_Table" xfId="9317"/>
    <cellStyle name="Total 9 9" xfId="1445"/>
    <cellStyle name="Total 9 9 2" xfId="10773"/>
    <cellStyle name="Total 9 9 2 2" xfId="24079"/>
    <cellStyle name="Total 9 9 3" xfId="15183"/>
    <cellStyle name="Total 9 9 3 2" xfId="28489"/>
    <cellStyle name="Total 9 9 4" xfId="19669"/>
    <cellStyle name="Total 9 9_Table" xfId="9318"/>
    <cellStyle name="Total 9_Table" xfId="9219"/>
    <cellStyle name="Warning Text 10" xfId="376"/>
    <cellStyle name="Warning Text 10 2" xfId="9704"/>
    <cellStyle name="Warning Text 10_Table" xfId="9319"/>
    <cellStyle name="Warning Text 2" xfId="377"/>
    <cellStyle name="Warning Text 2 2" xfId="9705"/>
    <cellStyle name="Warning Text 2_Table" xfId="9320"/>
    <cellStyle name="Warning Text 3" xfId="378"/>
    <cellStyle name="Warning Text 3 2" xfId="9706"/>
    <cellStyle name="Warning Text 3_Table" xfId="9321"/>
    <cellStyle name="Warning Text 4" xfId="379"/>
    <cellStyle name="Warning Text 4 2" xfId="9707"/>
    <cellStyle name="Warning Text 4_Table" xfId="9322"/>
    <cellStyle name="Warning Text 5" xfId="380"/>
    <cellStyle name="Warning Text 5 2" xfId="9708"/>
    <cellStyle name="Warning Text 5_Table" xfId="9323"/>
    <cellStyle name="Warning Text 6" xfId="381"/>
    <cellStyle name="Warning Text 6 2" xfId="9709"/>
    <cellStyle name="Warning Text 6_Table" xfId="9324"/>
    <cellStyle name="Warning Text 7" xfId="382"/>
    <cellStyle name="Warning Text 7 2" xfId="9710"/>
    <cellStyle name="Warning Text 7_Table" xfId="9325"/>
    <cellStyle name="Warning Text 8" xfId="383"/>
    <cellStyle name="Warning Text 8 2" xfId="9711"/>
    <cellStyle name="Warning Text 8_Table" xfId="9326"/>
    <cellStyle name="Warning Text 9" xfId="384"/>
    <cellStyle name="Warning Text 9 2" xfId="9712"/>
    <cellStyle name="Warning Text 9_Table" xfId="9327"/>
  </cellStyles>
  <dxfs count="109">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9900"/>
        </patternFill>
      </fill>
    </dxf>
    <dxf>
      <fill>
        <patternFill>
          <bgColor rgb="FFFF0000"/>
        </patternFill>
      </fill>
    </dxf>
    <dxf>
      <fill>
        <patternFill>
          <bgColor rgb="FFFF0000"/>
        </patternFill>
      </fill>
    </dxf>
    <dxf>
      <fill>
        <patternFill>
          <bgColor rgb="FFFF0000"/>
        </patternFill>
      </fill>
    </dxf>
    <dxf>
      <fill>
        <patternFill>
          <bgColor rgb="FFFF9900"/>
        </patternFill>
      </fill>
    </dxf>
    <dxf>
      <fill>
        <patternFill>
          <bgColor rgb="FFFF0000"/>
        </patternFill>
      </fill>
    </dxf>
  </dxfs>
  <tableStyles count="0" defaultTableStyle="TableStyleMedium9" defaultPivotStyle="PivotStyleLight16"/>
  <colors>
    <mruColors>
      <color rgb="FFFF9900"/>
      <color rgb="FF00FF00"/>
      <color rgb="FF00CC00"/>
      <color rgb="FF99CCFF"/>
      <color rgb="FF96969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533985337117481"/>
          <c:y val="0.2131476176812454"/>
          <c:w val="0.74041511227620382"/>
          <c:h val="0.5439890510567611"/>
        </c:manualLayout>
      </c:layout>
      <c:lineChart>
        <c:grouping val="standard"/>
        <c:varyColors val="0"/>
        <c:ser>
          <c:idx val="0"/>
          <c:order val="0"/>
          <c:tx>
            <c:strRef>
              <c:f>'used space Charts'!$D$2</c:f>
              <c:strCache>
                <c:ptCount val="1"/>
                <c:pt idx="0">
                  <c:v>RDC T3 V-MAX 0552</c:v>
                </c:pt>
              </c:strCache>
            </c:strRef>
          </c:tx>
          <c:cat>
            <c:numRef>
              <c:f>'used space Charts'!$A$11:$A$113</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Charts'!$D$11:$D$113</c:f>
              <c:numCache>
                <c:formatCode>0.00%</c:formatCode>
                <c:ptCount val="103"/>
                <c:pt idx="0">
                  <c:v>0.57682503004649976</c:v>
                </c:pt>
                <c:pt idx="1">
                  <c:v>0.57645895771034039</c:v>
                </c:pt>
                <c:pt idx="2">
                  <c:v>0.57616131631905287</c:v>
                </c:pt>
                <c:pt idx="3">
                  <c:v>0.57509565383774686</c:v>
                </c:pt>
                <c:pt idx="4">
                  <c:v>0.57483455324226473</c:v>
                </c:pt>
                <c:pt idx="5">
                  <c:v>0.5713286299792647</c:v>
                </c:pt>
                <c:pt idx="6">
                  <c:v>0.57118645306467652</c:v>
                </c:pt>
                <c:pt idx="7">
                  <c:v>0.57101437913533837</c:v>
                </c:pt>
                <c:pt idx="8">
                  <c:v>0.57003575018585972</c:v>
                </c:pt>
                <c:pt idx="9">
                  <c:v>0.57156249107241919</c:v>
                </c:pt>
                <c:pt idx="10">
                  <c:v>0.5694630562588735</c:v>
                </c:pt>
                <c:pt idx="11">
                  <c:v>0.5694630562588735</c:v>
                </c:pt>
                <c:pt idx="12">
                  <c:v>0.56805125278457469</c:v>
                </c:pt>
                <c:pt idx="13">
                  <c:v>0.56744334681799424</c:v>
                </c:pt>
                <c:pt idx="14">
                  <c:v>0.56744334681799424</c:v>
                </c:pt>
                <c:pt idx="15">
                  <c:v>0.56181141361722653</c:v>
                </c:pt>
                <c:pt idx="16">
                  <c:v>0.5601345232788123</c:v>
                </c:pt>
                <c:pt idx="17">
                  <c:v>0.55985083382774126</c:v>
                </c:pt>
                <c:pt idx="18">
                  <c:v>0.55941433741239333</c:v>
                </c:pt>
                <c:pt idx="19">
                  <c:v>0.56324580594711404</c:v>
                </c:pt>
                <c:pt idx="20">
                  <c:v>0.57010285237452052</c:v>
                </c:pt>
                <c:pt idx="21">
                  <c:v>0.56992612779844354</c:v>
                </c:pt>
                <c:pt idx="22">
                  <c:v>0.56759999999999999</c:v>
                </c:pt>
                <c:pt idx="23">
                  <c:v>0.56642751269460467</c:v>
                </c:pt>
                <c:pt idx="24">
                  <c:v>0.56622687050672782</c:v>
                </c:pt>
                <c:pt idx="25">
                  <c:v>0.56566347787321936</c:v>
                </c:pt>
                <c:pt idx="26">
                  <c:v>0.56266381072665028</c:v>
                </c:pt>
                <c:pt idx="27">
                  <c:v>0.56197817252172022</c:v>
                </c:pt>
                <c:pt idx="28">
                  <c:v>0.56108126207922437</c:v>
                </c:pt>
                <c:pt idx="29">
                  <c:v>0.55869548030218574</c:v>
                </c:pt>
                <c:pt idx="30">
                  <c:v>0.55868817214302458</c:v>
                </c:pt>
                <c:pt idx="31">
                  <c:v>0.55868817214302458</c:v>
                </c:pt>
                <c:pt idx="32">
                  <c:v>0.55862106995436389</c:v>
                </c:pt>
                <c:pt idx="33">
                  <c:v>0.55846693423387572</c:v>
                </c:pt>
                <c:pt idx="34">
                  <c:v>0.55846693423387572</c:v>
                </c:pt>
                <c:pt idx="35">
                  <c:v>0.55821912120050465</c:v>
                </c:pt>
                <c:pt idx="36">
                  <c:v>0.54497607242252843</c:v>
                </c:pt>
                <c:pt idx="37">
                  <c:v>0.55350668729782138</c:v>
                </c:pt>
                <c:pt idx="38">
                  <c:v>0.55122056223661553</c:v>
                </c:pt>
                <c:pt idx="39">
                  <c:v>0.54974497846418369</c:v>
                </c:pt>
                <c:pt idx="40">
                  <c:v>0.54847335877015635</c:v>
                </c:pt>
                <c:pt idx="41">
                  <c:v>0.54823949767700186</c:v>
                </c:pt>
                <c:pt idx="42">
                  <c:v>0.54798902713120867</c:v>
                </c:pt>
                <c:pt idx="43">
                  <c:v>0.54532752844036569</c:v>
                </c:pt>
                <c:pt idx="44">
                  <c:v>0.5442685097401152</c:v>
                </c:pt>
                <c:pt idx="45">
                  <c:v>0.5441037439699381</c:v>
                </c:pt>
                <c:pt idx="46">
                  <c:v>0.54345198904839132</c:v>
                </c:pt>
                <c:pt idx="47">
                  <c:v>0.53848576270938708</c:v>
                </c:pt>
                <c:pt idx="48">
                  <c:v>0.53605281008685401</c:v>
                </c:pt>
                <c:pt idx="49">
                  <c:v>0.53605281008685401</c:v>
                </c:pt>
                <c:pt idx="50">
                  <c:v>0.53555718402011199</c:v>
                </c:pt>
                <c:pt idx="51">
                  <c:v>0.53444567944952281</c:v>
                </c:pt>
                <c:pt idx="52">
                  <c:v>0.53408226462578567</c:v>
                </c:pt>
                <c:pt idx="53">
                  <c:v>0.53335078433157246</c:v>
                </c:pt>
                <c:pt idx="54">
                  <c:v>0.53266647488285346</c:v>
                </c:pt>
                <c:pt idx="55">
                  <c:v>0.53555718402011199</c:v>
                </c:pt>
                <c:pt idx="56">
                  <c:v>0.53444567944952281</c:v>
                </c:pt>
                <c:pt idx="57">
                  <c:v>0.53408226462578567</c:v>
                </c:pt>
                <c:pt idx="58">
                  <c:v>0.53335078433157246</c:v>
                </c:pt>
                <c:pt idx="59">
                  <c:v>0.53266647488285346</c:v>
                </c:pt>
                <c:pt idx="60">
                  <c:v>0.53266647488285346</c:v>
                </c:pt>
                <c:pt idx="61">
                  <c:v>0.53199146672761233</c:v>
                </c:pt>
                <c:pt idx="62">
                  <c:v>0.53196024095665129</c:v>
                </c:pt>
                <c:pt idx="63">
                  <c:v>0.53181208463911311</c:v>
                </c:pt>
                <c:pt idx="64">
                  <c:v>0.53168703883579005</c:v>
                </c:pt>
                <c:pt idx="65">
                  <c:v>0.53166046355266361</c:v>
                </c:pt>
                <c:pt idx="66">
                  <c:v>0.53003937128195189</c:v>
                </c:pt>
                <c:pt idx="67">
                  <c:v>0.53001146723466908</c:v>
                </c:pt>
                <c:pt idx="68">
                  <c:v>0.52950985876565793</c:v>
                </c:pt>
                <c:pt idx="69">
                  <c:v>0.52901356535327193</c:v>
                </c:pt>
                <c:pt idx="70">
                  <c:v>0.52886673691399844</c:v>
                </c:pt>
                <c:pt idx="71">
                  <c:v>0.5273645690352774</c:v>
                </c:pt>
                <c:pt idx="72">
                  <c:v>0.52730676779447738</c:v>
                </c:pt>
                <c:pt idx="73">
                  <c:v>0.5269752411374754</c:v>
                </c:pt>
                <c:pt idx="74">
                  <c:v>0.52679851550468459</c:v>
                </c:pt>
                <c:pt idx="75">
                  <c:v>0.52549699101356806</c:v>
                </c:pt>
                <c:pt idx="76">
                  <c:v>0.52503059479469927</c:v>
                </c:pt>
                <c:pt idx="77">
                  <c:v>0.52485254039775231</c:v>
                </c:pt>
                <c:pt idx="78">
                  <c:v>0.5247867665720144</c:v>
                </c:pt>
                <c:pt idx="79">
                  <c:v>0.52454692464179853</c:v>
                </c:pt>
                <c:pt idx="80">
                  <c:v>0.52445989058955944</c:v>
                </c:pt>
                <c:pt idx="81">
                  <c:v>0.52393303560157811</c:v>
                </c:pt>
                <c:pt idx="82">
                  <c:v>0.52381676873789995</c:v>
                </c:pt>
                <c:pt idx="83">
                  <c:v>0.5236985087279874</c:v>
                </c:pt>
                <c:pt idx="84">
                  <c:v>0.52229599816099048</c:v>
                </c:pt>
                <c:pt idx="85">
                  <c:v>0.52229599816099048</c:v>
                </c:pt>
                <c:pt idx="86">
                  <c:v>0.52229599816099048</c:v>
                </c:pt>
                <c:pt idx="87">
                  <c:v>0.52217042994821805</c:v>
                </c:pt>
                <c:pt idx="88">
                  <c:v>0.52211661499988715</c:v>
                </c:pt>
                <c:pt idx="89">
                  <c:v>0.52192793048968944</c:v>
                </c:pt>
                <c:pt idx="90">
                  <c:v>0.52151933551162066</c:v>
                </c:pt>
                <c:pt idx="91">
                  <c:v>0.52124627447749683</c:v>
                </c:pt>
                <c:pt idx="92">
                  <c:v>0.52114196649122557</c:v>
                </c:pt>
                <c:pt idx="93">
                  <c:v>0.51864455425941991</c:v>
                </c:pt>
                <c:pt idx="94">
                  <c:v>0.51864455425941991</c:v>
                </c:pt>
                <c:pt idx="95">
                  <c:v>0.5170752837908047</c:v>
                </c:pt>
                <c:pt idx="96">
                  <c:v>0.51685138703046463</c:v>
                </c:pt>
                <c:pt idx="97">
                  <c:v>0.516699907916644</c:v>
                </c:pt>
                <c:pt idx="98">
                  <c:v>0.51653115486879131</c:v>
                </c:pt>
                <c:pt idx="99">
                  <c:v>0.51568207457290205</c:v>
                </c:pt>
                <c:pt idx="100">
                  <c:v>0.51552660916661242</c:v>
                </c:pt>
                <c:pt idx="101">
                  <c:v>0.51519707565584483</c:v>
                </c:pt>
                <c:pt idx="102">
                  <c:v>0.51493198720665867</c:v>
                </c:pt>
              </c:numCache>
            </c:numRef>
          </c:val>
          <c:smooth val="0"/>
        </c:ser>
        <c:dLbls>
          <c:showLegendKey val="0"/>
          <c:showVal val="0"/>
          <c:showCatName val="0"/>
          <c:showSerName val="0"/>
          <c:showPercent val="0"/>
          <c:showBubbleSize val="0"/>
        </c:dLbls>
        <c:marker val="1"/>
        <c:smooth val="0"/>
        <c:axId val="226102272"/>
        <c:axId val="226128640"/>
      </c:lineChart>
      <c:dateAx>
        <c:axId val="22610227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6128640"/>
        <c:crosses val="autoZero"/>
        <c:auto val="1"/>
        <c:lblOffset val="100"/>
        <c:baseTimeUnit val="days"/>
      </c:dateAx>
      <c:valAx>
        <c:axId val="22612864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61022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397647517437415"/>
        </c:manualLayout>
      </c:layout>
      <c:lineChart>
        <c:grouping val="standard"/>
        <c:varyColors val="0"/>
        <c:ser>
          <c:idx val="0"/>
          <c:order val="0"/>
          <c:tx>
            <c:strRef>
              <c:f>'used space Charts'!$O$2</c:f>
              <c:strCache>
                <c:ptCount val="1"/>
                <c:pt idx="0">
                  <c:v>FDC T3 V-MAX 2231</c:v>
                </c:pt>
              </c:strCache>
            </c:strRef>
          </c:tx>
          <c:cat>
            <c:numRef>
              <c:f>'used space Charts'!$A$11:$A$113</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Charts'!$O$11:$O$113</c:f>
              <c:numCache>
                <c:formatCode>0.00%</c:formatCode>
                <c:ptCount val="103"/>
                <c:pt idx="0">
                  <c:v>0.65815860912090807</c:v>
                </c:pt>
                <c:pt idx="1">
                  <c:v>0.65564023374463654</c:v>
                </c:pt>
                <c:pt idx="2">
                  <c:v>0.65523281753838036</c:v>
                </c:pt>
                <c:pt idx="3">
                  <c:v>0.65417498399306995</c:v>
                </c:pt>
                <c:pt idx="4">
                  <c:v>0.65273110095809794</c:v>
                </c:pt>
                <c:pt idx="5">
                  <c:v>0.68420608524088611</c:v>
                </c:pt>
                <c:pt idx="6">
                  <c:v>0.68306676845432446</c:v>
                </c:pt>
                <c:pt idx="7">
                  <c:v>0.68128753661313635</c:v>
                </c:pt>
                <c:pt idx="8">
                  <c:v>0.73211460961922337</c:v>
                </c:pt>
                <c:pt idx="9">
                  <c:v>0.81643817558660681</c:v>
                </c:pt>
                <c:pt idx="10">
                  <c:v>0.81061447779744633</c:v>
                </c:pt>
                <c:pt idx="11">
                  <c:v>0.81061447779744633</c:v>
                </c:pt>
                <c:pt idx="12">
                  <c:v>0.81074231594927604</c:v>
                </c:pt>
                <c:pt idx="13">
                  <c:v>0.82342219473118483</c:v>
                </c:pt>
                <c:pt idx="14">
                  <c:v>0.82342219473118483</c:v>
                </c:pt>
                <c:pt idx="15">
                  <c:v>0.82018930186607486</c:v>
                </c:pt>
                <c:pt idx="16">
                  <c:v>0.81713205065432848</c:v>
                </c:pt>
                <c:pt idx="17">
                  <c:v>0.81565521217511727</c:v>
                </c:pt>
                <c:pt idx="18">
                  <c:v>0.80929662217560971</c:v>
                </c:pt>
                <c:pt idx="19">
                  <c:v>0.82789471930653047</c:v>
                </c:pt>
                <c:pt idx="20">
                  <c:v>0.84565589301286626</c:v>
                </c:pt>
                <c:pt idx="21">
                  <c:v>0.8410754484113302</c:v>
                </c:pt>
                <c:pt idx="22">
                  <c:v>0.83979999999999999</c:v>
                </c:pt>
                <c:pt idx="23">
                  <c:v>0.83332005458290714</c:v>
                </c:pt>
                <c:pt idx="24">
                  <c:v>0.81769048246770359</c:v>
                </c:pt>
                <c:pt idx="25">
                  <c:v>0.80970874630247158</c:v>
                </c:pt>
                <c:pt idx="26">
                  <c:v>0.8071719013915164</c:v>
                </c:pt>
                <c:pt idx="27">
                  <c:v>0.80071191002511843</c:v>
                </c:pt>
                <c:pt idx="28">
                  <c:v>0.79081549876435187</c:v>
                </c:pt>
                <c:pt idx="29">
                  <c:v>0.78955413818978271</c:v>
                </c:pt>
                <c:pt idx="30">
                  <c:v>0.78829096687651912</c:v>
                </c:pt>
                <c:pt idx="31">
                  <c:v>0.78936410944497837</c:v>
                </c:pt>
                <c:pt idx="32">
                  <c:v>0.78001668147449732</c:v>
                </c:pt>
                <c:pt idx="33">
                  <c:v>0.77838878714801185</c:v>
                </c:pt>
                <c:pt idx="34">
                  <c:v>0.77496291998331845</c:v>
                </c:pt>
                <c:pt idx="35">
                  <c:v>0.76327573389421777</c:v>
                </c:pt>
                <c:pt idx="36">
                  <c:v>0.73959493028231582</c:v>
                </c:pt>
                <c:pt idx="37">
                  <c:v>0.73959493028231582</c:v>
                </c:pt>
                <c:pt idx="38">
                  <c:v>0.7376315932621349</c:v>
                </c:pt>
                <c:pt idx="39">
                  <c:v>0.7342390890464362</c:v>
                </c:pt>
                <c:pt idx="40">
                  <c:v>0.71264890935794456</c:v>
                </c:pt>
                <c:pt idx="41">
                  <c:v>0.69845116135700169</c:v>
                </c:pt>
                <c:pt idx="42">
                  <c:v>0.68345632898768838</c:v>
                </c:pt>
                <c:pt idx="43">
                  <c:v>0.65853928305923737</c:v>
                </c:pt>
                <c:pt idx="44">
                  <c:v>0.65033199760657101</c:v>
                </c:pt>
                <c:pt idx="45">
                  <c:v>0.65121539047342747</c:v>
                </c:pt>
                <c:pt idx="46">
                  <c:v>0.64565175608783165</c:v>
                </c:pt>
                <c:pt idx="47">
                  <c:v>0.61336113579082885</c:v>
                </c:pt>
                <c:pt idx="48">
                  <c:v>0.61153487697412556</c:v>
                </c:pt>
                <c:pt idx="49">
                  <c:v>0.60881325814581777</c:v>
                </c:pt>
                <c:pt idx="50">
                  <c:v>0.60618737647549459</c:v>
                </c:pt>
                <c:pt idx="51">
                  <c:v>0.60371743032764591</c:v>
                </c:pt>
                <c:pt idx="52">
                  <c:v>0.59821218110279051</c:v>
                </c:pt>
                <c:pt idx="53">
                  <c:v>0.59514967996953816</c:v>
                </c:pt>
                <c:pt idx="54">
                  <c:v>0.58513172925241608</c:v>
                </c:pt>
                <c:pt idx="55">
                  <c:v>0.60618737647549459</c:v>
                </c:pt>
                <c:pt idx="56">
                  <c:v>0.60371743032764591</c:v>
                </c:pt>
                <c:pt idx="57">
                  <c:v>0.59821218110279051</c:v>
                </c:pt>
                <c:pt idx="58">
                  <c:v>0.59514967996953816</c:v>
                </c:pt>
                <c:pt idx="59">
                  <c:v>0.58513172925241608</c:v>
                </c:pt>
                <c:pt idx="60">
                  <c:v>0.58513172925241608</c:v>
                </c:pt>
                <c:pt idx="61">
                  <c:v>0.58063861036064623</c:v>
                </c:pt>
                <c:pt idx="62">
                  <c:v>0.57952240213232764</c:v>
                </c:pt>
                <c:pt idx="63">
                  <c:v>0.58043625682217914</c:v>
                </c:pt>
                <c:pt idx="64">
                  <c:v>0.57929067469311524</c:v>
                </c:pt>
                <c:pt idx="65">
                  <c:v>0.57823974179978599</c:v>
                </c:pt>
                <c:pt idx="66">
                  <c:v>0.5713919965186488</c:v>
                </c:pt>
                <c:pt idx="67">
                  <c:v>0.5709452231147214</c:v>
                </c:pt>
                <c:pt idx="68">
                  <c:v>0.5679019419412159</c:v>
                </c:pt>
                <c:pt idx="69">
                  <c:v>0.56538086344762561</c:v>
                </c:pt>
                <c:pt idx="70">
                  <c:v>0.87670802860563657</c:v>
                </c:pt>
                <c:pt idx="71">
                  <c:v>0.87539798518495016</c:v>
                </c:pt>
                <c:pt idx="72">
                  <c:v>0.87552434317924632</c:v>
                </c:pt>
                <c:pt idx="73">
                  <c:v>0.86422975169804173</c:v>
                </c:pt>
                <c:pt idx="74">
                  <c:v>0.85670323493464218</c:v>
                </c:pt>
                <c:pt idx="75">
                  <c:v>0.8119980032037134</c:v>
                </c:pt>
                <c:pt idx="76">
                  <c:v>0.8119980032037134</c:v>
                </c:pt>
                <c:pt idx="77">
                  <c:v>0.78343826335385836</c:v>
                </c:pt>
                <c:pt idx="78">
                  <c:v>0.78337366778726747</c:v>
                </c:pt>
                <c:pt idx="79">
                  <c:v>0.77393704878721814</c:v>
                </c:pt>
                <c:pt idx="80">
                  <c:v>0.77272163220530954</c:v>
                </c:pt>
                <c:pt idx="81">
                  <c:v>0.75008371925406836</c:v>
                </c:pt>
                <c:pt idx="82">
                  <c:v>0.74971881096560733</c:v>
                </c:pt>
                <c:pt idx="83">
                  <c:v>0.74945759556035796</c:v>
                </c:pt>
                <c:pt idx="84">
                  <c:v>0.7472341481629643</c:v>
                </c:pt>
                <c:pt idx="85">
                  <c:v>0.748365137206083</c:v>
                </c:pt>
                <c:pt idx="86">
                  <c:v>0.74821894723958782</c:v>
                </c:pt>
                <c:pt idx="87">
                  <c:v>0.733386331918086</c:v>
                </c:pt>
                <c:pt idx="88">
                  <c:v>0.73305145490181178</c:v>
                </c:pt>
                <c:pt idx="89">
                  <c:v>0.73271091160776658</c:v>
                </c:pt>
                <c:pt idx="90">
                  <c:v>0.7297106175279503</c:v>
                </c:pt>
                <c:pt idx="91">
                  <c:v>0.72805493116322451</c:v>
                </c:pt>
                <c:pt idx="92">
                  <c:v>0.72522915843875913</c:v>
                </c:pt>
                <c:pt idx="93">
                  <c:v>0.72431688771760627</c:v>
                </c:pt>
                <c:pt idx="94">
                  <c:v>0.72431688771760627</c:v>
                </c:pt>
                <c:pt idx="95">
                  <c:v>0.69905435490277512</c:v>
                </c:pt>
                <c:pt idx="96">
                  <c:v>0.6309604284159297</c:v>
                </c:pt>
                <c:pt idx="97">
                  <c:v>0.62517742532270859</c:v>
                </c:pt>
                <c:pt idx="98">
                  <c:v>0.61680946631029554</c:v>
                </c:pt>
                <c:pt idx="99">
                  <c:v>0.61339383406985493</c:v>
                </c:pt>
                <c:pt idx="100">
                  <c:v>0.61196989846596861</c:v>
                </c:pt>
                <c:pt idx="101">
                  <c:v>0.61094883521160992</c:v>
                </c:pt>
                <c:pt idx="102">
                  <c:v>0.60886874464182605</c:v>
                </c:pt>
              </c:numCache>
            </c:numRef>
          </c:val>
          <c:smooth val="0"/>
        </c:ser>
        <c:dLbls>
          <c:showLegendKey val="0"/>
          <c:showVal val="0"/>
          <c:showCatName val="0"/>
          <c:showSerName val="0"/>
          <c:showPercent val="0"/>
          <c:showBubbleSize val="0"/>
        </c:dLbls>
        <c:marker val="1"/>
        <c:smooth val="0"/>
        <c:axId val="226152832"/>
        <c:axId val="226154368"/>
      </c:lineChart>
      <c:dateAx>
        <c:axId val="2261528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6154368"/>
        <c:crosses val="autoZero"/>
        <c:auto val="1"/>
        <c:lblOffset val="100"/>
        <c:baseTimeUnit val="days"/>
      </c:dateAx>
      <c:valAx>
        <c:axId val="226154368"/>
        <c:scaling>
          <c:orientation val="minMax"/>
        </c:scaling>
        <c:delete val="0"/>
        <c:axPos val="l"/>
        <c:majorGridlines/>
        <c:numFmt formatCode="0.00%" sourceLinked="0"/>
        <c:majorTickMark val="out"/>
        <c:minorTickMark val="none"/>
        <c:tickLblPos val="nextTo"/>
        <c:txPr>
          <a:bodyPr rot="0" vert="horz"/>
          <a:lstStyle/>
          <a:p>
            <a:pPr>
              <a:defRPr/>
            </a:pPr>
            <a:endParaRPr lang="en-US"/>
          </a:p>
        </c:txPr>
        <c:crossAx val="2261528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lineChart>
        <c:grouping val="standard"/>
        <c:varyColors val="0"/>
        <c:ser>
          <c:idx val="0"/>
          <c:order val="0"/>
          <c:tx>
            <c:strRef>
              <c:f>'used space Charts'!$E$2</c:f>
              <c:strCache>
                <c:ptCount val="1"/>
                <c:pt idx="0">
                  <c:v>RDC T4 V-MAX 0678</c:v>
                </c:pt>
              </c:strCache>
            </c:strRef>
          </c:tx>
          <c:cat>
            <c:numRef>
              <c:f>'used space Charts'!$A$11:$A$113</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Charts'!$E$11:$E$113</c:f>
              <c:numCache>
                <c:formatCode>0.00%</c:formatCode>
                <c:ptCount val="103"/>
                <c:pt idx="0">
                  <c:v>0.56221359701272755</c:v>
                </c:pt>
                <c:pt idx="1">
                  <c:v>0.56193996883495934</c:v>
                </c:pt>
                <c:pt idx="2">
                  <c:v>0.56173612133706385</c:v>
                </c:pt>
                <c:pt idx="3">
                  <c:v>0.56153776838089042</c:v>
                </c:pt>
                <c:pt idx="4">
                  <c:v>0.56120315079000527</c:v>
                </c:pt>
                <c:pt idx="5">
                  <c:v>0.56176139622898613</c:v>
                </c:pt>
                <c:pt idx="6">
                  <c:v>0.56047402510346234</c:v>
                </c:pt>
                <c:pt idx="7">
                  <c:v>0.7124063455363443</c:v>
                </c:pt>
                <c:pt idx="8">
                  <c:v>0.71218766277579859</c:v>
                </c:pt>
                <c:pt idx="9">
                  <c:v>0.71183766046809105</c:v>
                </c:pt>
                <c:pt idx="10">
                  <c:v>0.71126457976646007</c:v>
                </c:pt>
                <c:pt idx="11">
                  <c:v>0.71126457976646007</c:v>
                </c:pt>
                <c:pt idx="12">
                  <c:v>0.73072734545502505</c:v>
                </c:pt>
                <c:pt idx="13">
                  <c:v>0.75853632001969251</c:v>
                </c:pt>
                <c:pt idx="14">
                  <c:v>0.75853632001969251</c:v>
                </c:pt>
                <c:pt idx="15">
                  <c:v>0.75977753699474948</c:v>
                </c:pt>
                <c:pt idx="16">
                  <c:v>0.75893137756952256</c:v>
                </c:pt>
                <c:pt idx="17">
                  <c:v>0.81215590432464391</c:v>
                </c:pt>
                <c:pt idx="18">
                  <c:v>0.8110789741470823</c:v>
                </c:pt>
                <c:pt idx="19">
                  <c:v>0.80957292026101269</c:v>
                </c:pt>
                <c:pt idx="20">
                  <c:v>0.8321043875014561</c:v>
                </c:pt>
                <c:pt idx="21">
                  <c:v>0.8316417470884423</c:v>
                </c:pt>
                <c:pt idx="22">
                  <c:v>0.83040000000000003</c:v>
                </c:pt>
                <c:pt idx="23">
                  <c:v>0.8284939241357635</c:v>
                </c:pt>
                <c:pt idx="24">
                  <c:v>0.8271065523508947</c:v>
                </c:pt>
                <c:pt idx="25">
                  <c:v>0.82636863539759609</c:v>
                </c:pt>
                <c:pt idx="26">
                  <c:v>0.82532412301619573</c:v>
                </c:pt>
                <c:pt idx="27">
                  <c:v>0.82396367448576591</c:v>
                </c:pt>
                <c:pt idx="28">
                  <c:v>0.80805203111229307</c:v>
                </c:pt>
                <c:pt idx="29">
                  <c:v>0.86177326443910629</c:v>
                </c:pt>
                <c:pt idx="30">
                  <c:v>0.86158699947472184</c:v>
                </c:pt>
                <c:pt idx="31">
                  <c:v>0.86158699947472184</c:v>
                </c:pt>
                <c:pt idx="32">
                  <c:v>0.86091666538460687</c:v>
                </c:pt>
                <c:pt idx="33">
                  <c:v>0.85985731774055663</c:v>
                </c:pt>
                <c:pt idx="34">
                  <c:v>0.85985731774055663</c:v>
                </c:pt>
                <c:pt idx="35">
                  <c:v>0.86433207251915944</c:v>
                </c:pt>
                <c:pt idx="36">
                  <c:v>0.85508256098391866</c:v>
                </c:pt>
                <c:pt idx="37">
                  <c:v>0.85207265102846841</c:v>
                </c:pt>
                <c:pt idx="38">
                  <c:v>0.84885010230836699</c:v>
                </c:pt>
                <c:pt idx="39">
                  <c:v>0.8454050246485143</c:v>
                </c:pt>
                <c:pt idx="40">
                  <c:v>0.84271434756712682</c:v>
                </c:pt>
                <c:pt idx="41">
                  <c:v>0.84059620173319827</c:v>
                </c:pt>
                <c:pt idx="42">
                  <c:v>0.83704013433055602</c:v>
                </c:pt>
                <c:pt idx="43">
                  <c:v>0.82875381595922626</c:v>
                </c:pt>
                <c:pt idx="44">
                  <c:v>0.8265186363866136</c:v>
                </c:pt>
                <c:pt idx="45">
                  <c:v>0.82551478361395803</c:v>
                </c:pt>
                <c:pt idx="46">
                  <c:v>0.82154113104042448</c:v>
                </c:pt>
                <c:pt idx="47">
                  <c:v>0.81273722683885841</c:v>
                </c:pt>
                <c:pt idx="48">
                  <c:v>0.81115424936867719</c:v>
                </c:pt>
                <c:pt idx="49">
                  <c:v>0.80370584860999084</c:v>
                </c:pt>
                <c:pt idx="50">
                  <c:v>0.79981406470811911</c:v>
                </c:pt>
                <c:pt idx="51">
                  <c:v>0.79760196221073998</c:v>
                </c:pt>
                <c:pt idx="52">
                  <c:v>0.79704756295096457</c:v>
                </c:pt>
                <c:pt idx="53">
                  <c:v>0.79391402580676362</c:v>
                </c:pt>
                <c:pt idx="54">
                  <c:v>0.79000240662249777</c:v>
                </c:pt>
                <c:pt idx="55">
                  <c:v>0.79981406470811911</c:v>
                </c:pt>
                <c:pt idx="56">
                  <c:v>0.79760196221073998</c:v>
                </c:pt>
                <c:pt idx="57">
                  <c:v>0.79704756295096457</c:v>
                </c:pt>
                <c:pt idx="58">
                  <c:v>0.79391402580676362</c:v>
                </c:pt>
                <c:pt idx="59">
                  <c:v>0.79000240662249777</c:v>
                </c:pt>
                <c:pt idx="60">
                  <c:v>0.79000240662249777</c:v>
                </c:pt>
                <c:pt idx="61">
                  <c:v>0.78931283784749062</c:v>
                </c:pt>
                <c:pt idx="62">
                  <c:v>0.78846942105893603</c:v>
                </c:pt>
                <c:pt idx="63">
                  <c:v>0.88547334088653828</c:v>
                </c:pt>
                <c:pt idx="64">
                  <c:v>0.88431068946987279</c:v>
                </c:pt>
                <c:pt idx="65">
                  <c:v>0.88410629139473118</c:v>
                </c:pt>
                <c:pt idx="66">
                  <c:v>0.88314968642478098</c:v>
                </c:pt>
                <c:pt idx="67">
                  <c:v>0.88296946446605407</c:v>
                </c:pt>
                <c:pt idx="68">
                  <c:v>0.87609905174677949</c:v>
                </c:pt>
                <c:pt idx="69">
                  <c:v>0.87468804567967307</c:v>
                </c:pt>
                <c:pt idx="70">
                  <c:v>0.87133635681310428</c:v>
                </c:pt>
                <c:pt idx="71">
                  <c:v>0.86762037782874302</c:v>
                </c:pt>
                <c:pt idx="72">
                  <c:v>0.86698960097319866</c:v>
                </c:pt>
                <c:pt idx="73">
                  <c:v>0.86663904728518704</c:v>
                </c:pt>
                <c:pt idx="74">
                  <c:v>0.86588464256161346</c:v>
                </c:pt>
                <c:pt idx="75">
                  <c:v>0.86532749296969536</c:v>
                </c:pt>
                <c:pt idx="76">
                  <c:v>0.8645708904173568</c:v>
                </c:pt>
                <c:pt idx="77">
                  <c:v>0.86976106304581713</c:v>
                </c:pt>
                <c:pt idx="78">
                  <c:v>0.86937534409756601</c:v>
                </c:pt>
                <c:pt idx="79">
                  <c:v>0.86600991880121625</c:v>
                </c:pt>
                <c:pt idx="80">
                  <c:v>0.86579892723977991</c:v>
                </c:pt>
                <c:pt idx="81">
                  <c:v>0.86513738078152602</c:v>
                </c:pt>
                <c:pt idx="82">
                  <c:v>0.86459671490534518</c:v>
                </c:pt>
                <c:pt idx="83">
                  <c:v>0.86085491143299542</c:v>
                </c:pt>
                <c:pt idx="84">
                  <c:v>0.8597735796806335</c:v>
                </c:pt>
                <c:pt idx="85">
                  <c:v>0.85957797292055182</c:v>
                </c:pt>
                <c:pt idx="86">
                  <c:v>0.85947302659702496</c:v>
                </c:pt>
                <c:pt idx="87">
                  <c:v>0.8568235440208618</c:v>
                </c:pt>
                <c:pt idx="88">
                  <c:v>0.85565924423262263</c:v>
                </c:pt>
                <c:pt idx="89">
                  <c:v>0.85540649392465196</c:v>
                </c:pt>
                <c:pt idx="90">
                  <c:v>0.85001961562172745</c:v>
                </c:pt>
                <c:pt idx="91">
                  <c:v>0.84873443525141512</c:v>
                </c:pt>
                <c:pt idx="92">
                  <c:v>0.84820805526220655</c:v>
                </c:pt>
                <c:pt idx="93">
                  <c:v>0.8468465003423119</c:v>
                </c:pt>
                <c:pt idx="94">
                  <c:v>0.8468465003423119</c:v>
                </c:pt>
                <c:pt idx="95">
                  <c:v>0.84355854850992706</c:v>
                </c:pt>
                <c:pt idx="96">
                  <c:v>0.84262666911358286</c:v>
                </c:pt>
                <c:pt idx="97">
                  <c:v>0.89517785379823278</c:v>
                </c:pt>
                <c:pt idx="98">
                  <c:v>0.89402674098258328</c:v>
                </c:pt>
                <c:pt idx="99">
                  <c:v>0.89261463600109459</c:v>
                </c:pt>
                <c:pt idx="100">
                  <c:v>0.89201957386298081</c:v>
                </c:pt>
                <c:pt idx="101">
                  <c:v>0.88960196222152144</c:v>
                </c:pt>
                <c:pt idx="102">
                  <c:v>0.88875140248948059</c:v>
                </c:pt>
              </c:numCache>
            </c:numRef>
          </c:val>
          <c:smooth val="0"/>
        </c:ser>
        <c:dLbls>
          <c:showLegendKey val="0"/>
          <c:showVal val="0"/>
          <c:showCatName val="0"/>
          <c:showSerName val="0"/>
          <c:showPercent val="0"/>
          <c:showBubbleSize val="0"/>
        </c:dLbls>
        <c:marker val="1"/>
        <c:smooth val="0"/>
        <c:axId val="229381632"/>
        <c:axId val="229383168"/>
      </c:lineChart>
      <c:dateAx>
        <c:axId val="2293816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9383168"/>
        <c:crosses val="autoZero"/>
        <c:auto val="1"/>
        <c:lblOffset val="100"/>
        <c:baseTimeUnit val="days"/>
      </c:dateAx>
      <c:valAx>
        <c:axId val="22938316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93816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82"/>
          <c:y val="0.25591598928767856"/>
          <c:w val="0.73476543486411572"/>
          <c:h val="0.48459074354391396"/>
        </c:manualLayout>
      </c:layout>
      <c:lineChart>
        <c:grouping val="standard"/>
        <c:varyColors val="0"/>
        <c:ser>
          <c:idx val="0"/>
          <c:order val="0"/>
          <c:tx>
            <c:strRef>
              <c:f>'used space Charts'!$G$2</c:f>
              <c:strCache>
                <c:ptCount val="1"/>
                <c:pt idx="0">
                  <c:v>RDC T4 V-MAX 3073</c:v>
                </c:pt>
              </c:strCache>
            </c:strRef>
          </c:tx>
          <c:cat>
            <c:numRef>
              <c:f>'used space Charts'!$A$11:$A$113</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Charts'!$G$11:$G$113</c:f>
              <c:numCache>
                <c:formatCode>0.00%</c:formatCode>
                <c:ptCount val="103"/>
                <c:pt idx="0">
                  <c:v>0.53243295978228777</c:v>
                </c:pt>
                <c:pt idx="1">
                  <c:v>0.53158983838461638</c:v>
                </c:pt>
                <c:pt idx="2">
                  <c:v>0.53079446990410906</c:v>
                </c:pt>
                <c:pt idx="3">
                  <c:v>0.52902812544126521</c:v>
                </c:pt>
                <c:pt idx="4">
                  <c:v>0.52805535230613221</c:v>
                </c:pt>
                <c:pt idx="5">
                  <c:v>0.5264299559697565</c:v>
                </c:pt>
                <c:pt idx="6">
                  <c:v>0.52538298609773937</c:v>
                </c:pt>
                <c:pt idx="7">
                  <c:v>0.56293423704445389</c:v>
                </c:pt>
                <c:pt idx="8">
                  <c:v>0.56169497182321149</c:v>
                </c:pt>
                <c:pt idx="9">
                  <c:v>0.56045236903248996</c:v>
                </c:pt>
                <c:pt idx="10">
                  <c:v>0.55863544755523031</c:v>
                </c:pt>
                <c:pt idx="11">
                  <c:v>0.55863544755523031</c:v>
                </c:pt>
                <c:pt idx="12">
                  <c:v>0.55742185594536653</c:v>
                </c:pt>
                <c:pt idx="13">
                  <c:v>0.55612302794572599</c:v>
                </c:pt>
                <c:pt idx="14">
                  <c:v>0.55612302794572599</c:v>
                </c:pt>
                <c:pt idx="15">
                  <c:v>0.55547733661955567</c:v>
                </c:pt>
                <c:pt idx="16">
                  <c:v>0.55158059588452013</c:v>
                </c:pt>
                <c:pt idx="17">
                  <c:v>0.55006559607707217</c:v>
                </c:pt>
                <c:pt idx="18">
                  <c:v>0.54898525051026303</c:v>
                </c:pt>
                <c:pt idx="19">
                  <c:v>0.54726922632572117</c:v>
                </c:pt>
                <c:pt idx="20">
                  <c:v>0.54451881233873756</c:v>
                </c:pt>
                <c:pt idx="21">
                  <c:v>0.54150832466848953</c:v>
                </c:pt>
                <c:pt idx="22">
                  <c:v>0.54020000000000001</c:v>
                </c:pt>
                <c:pt idx="23">
                  <c:v>0.53690812698168189</c:v>
                </c:pt>
                <c:pt idx="24">
                  <c:v>0.53466451008331084</c:v>
                </c:pt>
                <c:pt idx="25">
                  <c:v>0.53042399969191667</c:v>
                </c:pt>
                <c:pt idx="26">
                  <c:v>0.52918011322062619</c:v>
                </c:pt>
                <c:pt idx="27">
                  <c:v>0.52777242910874056</c:v>
                </c:pt>
                <c:pt idx="28">
                  <c:v>0.52144670800118098</c:v>
                </c:pt>
                <c:pt idx="29">
                  <c:v>0.52003363243090595</c:v>
                </c:pt>
                <c:pt idx="30">
                  <c:v>0.51952734881452101</c:v>
                </c:pt>
                <c:pt idx="31">
                  <c:v>0.51954069909243783</c:v>
                </c:pt>
                <c:pt idx="32">
                  <c:v>0.50540781289141468</c:v>
                </c:pt>
                <c:pt idx="33">
                  <c:v>0.50595423244324467</c:v>
                </c:pt>
                <c:pt idx="34">
                  <c:v>0.50595423244324467</c:v>
                </c:pt>
                <c:pt idx="35">
                  <c:v>0.50687527481800521</c:v>
                </c:pt>
                <c:pt idx="36">
                  <c:v>0.44305619569388099</c:v>
                </c:pt>
                <c:pt idx="37">
                  <c:v>0.4763075660944398</c:v>
                </c:pt>
                <c:pt idx="38">
                  <c:v>0.48619609499223887</c:v>
                </c:pt>
                <c:pt idx="39">
                  <c:v>0.47801872205938112</c:v>
                </c:pt>
                <c:pt idx="40">
                  <c:v>0.49603694462166503</c:v>
                </c:pt>
                <c:pt idx="41">
                  <c:v>0.49594082927113536</c:v>
                </c:pt>
                <c:pt idx="42">
                  <c:v>0.48727606826157605</c:v>
                </c:pt>
                <c:pt idx="43">
                  <c:v>0.48444255745541048</c:v>
                </c:pt>
                <c:pt idx="44">
                  <c:v>0.45500628533847365</c:v>
                </c:pt>
                <c:pt idx="45">
                  <c:v>0.44316820413386826</c:v>
                </c:pt>
                <c:pt idx="46">
                  <c:v>0.44491493034664342</c:v>
                </c:pt>
                <c:pt idx="47">
                  <c:v>0.453779490195099</c:v>
                </c:pt>
                <c:pt idx="48">
                  <c:v>0.44502466834527965</c:v>
                </c:pt>
                <c:pt idx="49">
                  <c:v>0.42956069230297678</c:v>
                </c:pt>
                <c:pt idx="50">
                  <c:v>0.43069061528203806</c:v>
                </c:pt>
                <c:pt idx="51">
                  <c:v>0.42905211344033167</c:v>
                </c:pt>
                <c:pt idx="52">
                  <c:v>0.44968437081150875</c:v>
                </c:pt>
                <c:pt idx="53">
                  <c:v>0.45318160730597756</c:v>
                </c:pt>
                <c:pt idx="54">
                  <c:v>0.44421412078293904</c:v>
                </c:pt>
                <c:pt idx="55">
                  <c:v>0.43069061528203806</c:v>
                </c:pt>
                <c:pt idx="56">
                  <c:v>0.42905211344033167</c:v>
                </c:pt>
                <c:pt idx="57">
                  <c:v>0.44968437081150875</c:v>
                </c:pt>
                <c:pt idx="58">
                  <c:v>0.45318160730597756</c:v>
                </c:pt>
                <c:pt idx="59">
                  <c:v>0.44421412078293904</c:v>
                </c:pt>
                <c:pt idx="60">
                  <c:v>0.44421412078293904</c:v>
                </c:pt>
                <c:pt idx="61">
                  <c:v>0.43361872781116589</c:v>
                </c:pt>
                <c:pt idx="62">
                  <c:v>0.43301479041177482</c:v>
                </c:pt>
                <c:pt idx="63">
                  <c:v>0.41639970060446718</c:v>
                </c:pt>
                <c:pt idx="64">
                  <c:v>0.39464701964701965</c:v>
                </c:pt>
                <c:pt idx="65">
                  <c:v>0.40575182393364212</c:v>
                </c:pt>
                <c:pt idx="66">
                  <c:v>0.41163760481942302</c:v>
                </c:pt>
                <c:pt idx="67">
                  <c:v>0.41622090031180942</c:v>
                </c:pt>
                <c:pt idx="68">
                  <c:v>0.42291950473768652</c:v>
                </c:pt>
                <c:pt idx="69">
                  <c:v>0.42195229013410834</c:v>
                </c:pt>
                <c:pt idx="70">
                  <c:v>0.38604955650410194</c:v>
                </c:pt>
                <c:pt idx="71">
                  <c:v>0.38434292979747525</c:v>
                </c:pt>
                <c:pt idx="72">
                  <c:v>0.38990025126388766</c:v>
                </c:pt>
                <c:pt idx="73">
                  <c:v>0.37599597372324645</c:v>
                </c:pt>
                <c:pt idx="74">
                  <c:v>0.40295840523113247</c:v>
                </c:pt>
                <c:pt idx="75">
                  <c:v>0.38223367541549363</c:v>
                </c:pt>
                <c:pt idx="76">
                  <c:v>0.3913798322889232</c:v>
                </c:pt>
                <c:pt idx="77">
                  <c:v>0.38039233493778946</c:v>
                </c:pt>
                <c:pt idx="78">
                  <c:v>0.3840265794811249</c:v>
                </c:pt>
                <c:pt idx="79">
                  <c:v>0.36703296703296706</c:v>
                </c:pt>
                <c:pt idx="80">
                  <c:v>0.36941164895710349</c:v>
                </c:pt>
                <c:pt idx="81">
                  <c:v>0.34652014652014651</c:v>
                </c:pt>
                <c:pt idx="82">
                  <c:v>0.3491236036690582</c:v>
                </c:pt>
                <c:pt idx="83">
                  <c:v>0.35431992250174066</c:v>
                </c:pt>
                <c:pt idx="84">
                  <c:v>0.34593285502376414</c:v>
                </c:pt>
                <c:pt idx="85">
                  <c:v>0.35446825901371354</c:v>
                </c:pt>
                <c:pt idx="86">
                  <c:v>0.35642312233221324</c:v>
                </c:pt>
                <c:pt idx="87">
                  <c:v>0.33045515090969635</c:v>
                </c:pt>
                <c:pt idx="88">
                  <c:v>0.33626222262585898</c:v>
                </c:pt>
                <c:pt idx="89">
                  <c:v>0.3424302969757515</c:v>
                </c:pt>
                <c:pt idx="90">
                  <c:v>0.29948006538915634</c:v>
                </c:pt>
                <c:pt idx="91">
                  <c:v>0.31367798867798868</c:v>
                </c:pt>
                <c:pt idx="92">
                  <c:v>0.30419504737686559</c:v>
                </c:pt>
                <c:pt idx="93">
                  <c:v>0.3045053431417068</c:v>
                </c:pt>
                <c:pt idx="94">
                  <c:v>0.3045053431417068</c:v>
                </c:pt>
                <c:pt idx="95">
                  <c:v>0.29005388550843098</c:v>
                </c:pt>
                <c:pt idx="96">
                  <c:v>0.28605258377985648</c:v>
                </c:pt>
                <c:pt idx="97">
                  <c:v>0.29125495716404809</c:v>
                </c:pt>
                <c:pt idx="98">
                  <c:v>0.26442723942723945</c:v>
                </c:pt>
                <c:pt idx="99">
                  <c:v>0.25068794841522113</c:v>
                </c:pt>
                <c:pt idx="100">
                  <c:v>0.26121000211909301</c:v>
                </c:pt>
                <c:pt idx="101">
                  <c:v>0.24044137680501318</c:v>
                </c:pt>
                <c:pt idx="102">
                  <c:v>0.23468955287137105</c:v>
                </c:pt>
              </c:numCache>
            </c:numRef>
          </c:val>
          <c:smooth val="0"/>
        </c:ser>
        <c:dLbls>
          <c:showLegendKey val="0"/>
          <c:showVal val="0"/>
          <c:showCatName val="0"/>
          <c:showSerName val="0"/>
          <c:showPercent val="0"/>
          <c:showBubbleSize val="0"/>
        </c:dLbls>
        <c:marker val="1"/>
        <c:smooth val="0"/>
        <c:axId val="454826624"/>
        <c:axId val="454246784"/>
      </c:lineChart>
      <c:dateAx>
        <c:axId val="45482662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4246784"/>
        <c:crosses val="autoZero"/>
        <c:auto val="1"/>
        <c:lblOffset val="100"/>
        <c:baseTimeUnit val="days"/>
      </c:dateAx>
      <c:valAx>
        <c:axId val="45424678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48266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3756513880323376"/>
        </c:manualLayout>
      </c:layout>
      <c:lineChart>
        <c:grouping val="standard"/>
        <c:varyColors val="0"/>
        <c:ser>
          <c:idx val="0"/>
          <c:order val="0"/>
          <c:tx>
            <c:strRef>
              <c:f>'used space Charts'!$H$2</c:f>
              <c:strCache>
                <c:ptCount val="1"/>
                <c:pt idx="0">
                  <c:v>RDC T3 V-MAX 2230</c:v>
                </c:pt>
              </c:strCache>
            </c:strRef>
          </c:tx>
          <c:cat>
            <c:numRef>
              <c:f>'used space Charts'!$A$11:$A$113</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Charts'!$H$11:$H$113</c:f>
              <c:numCache>
                <c:formatCode>0.00%</c:formatCode>
                <c:ptCount val="103"/>
                <c:pt idx="0">
                  <c:v>0.56152591502859417</c:v>
                </c:pt>
                <c:pt idx="1">
                  <c:v>0.5583644181874744</c:v>
                </c:pt>
                <c:pt idx="2">
                  <c:v>0.55801146093484244</c:v>
                </c:pt>
                <c:pt idx="3">
                  <c:v>0.55722530244133617</c:v>
                </c:pt>
                <c:pt idx="4">
                  <c:v>0.55603036479033352</c:v>
                </c:pt>
                <c:pt idx="5">
                  <c:v>0.60245965268308566</c:v>
                </c:pt>
                <c:pt idx="6">
                  <c:v>0.6012275004288401</c:v>
                </c:pt>
                <c:pt idx="7">
                  <c:v>0.59985056010885274</c:v>
                </c:pt>
                <c:pt idx="8">
                  <c:v>0.64063136900314288</c:v>
                </c:pt>
                <c:pt idx="9">
                  <c:v>0.70925102703582776</c:v>
                </c:pt>
                <c:pt idx="10">
                  <c:v>0.70446778756276329</c:v>
                </c:pt>
                <c:pt idx="11">
                  <c:v>0.70446778756276329</c:v>
                </c:pt>
                <c:pt idx="12">
                  <c:v>0.70452070207674933</c:v>
                </c:pt>
                <c:pt idx="13">
                  <c:v>0.71439245706510524</c:v>
                </c:pt>
                <c:pt idx="14">
                  <c:v>0.71439245706510524</c:v>
                </c:pt>
                <c:pt idx="15">
                  <c:v>0.71175603501661577</c:v>
                </c:pt>
                <c:pt idx="16">
                  <c:v>0.70945628883183942</c:v>
                </c:pt>
                <c:pt idx="17">
                  <c:v>0.70824390683556671</c:v>
                </c:pt>
                <c:pt idx="18">
                  <c:v>0.70301990690534411</c:v>
                </c:pt>
                <c:pt idx="19">
                  <c:v>0.71789818898622182</c:v>
                </c:pt>
                <c:pt idx="20">
                  <c:v>0.7321356821175109</c:v>
                </c:pt>
                <c:pt idx="21">
                  <c:v>0.7279792761178191</c:v>
                </c:pt>
                <c:pt idx="22">
                  <c:v>0.72689999999999999</c:v>
                </c:pt>
                <c:pt idx="23">
                  <c:v>0.72578477748283909</c:v>
                </c:pt>
                <c:pt idx="24">
                  <c:v>0.71225494329134087</c:v>
                </c:pt>
                <c:pt idx="25">
                  <c:v>0.70575110989646783</c:v>
                </c:pt>
                <c:pt idx="26">
                  <c:v>0.70290128535750729</c:v>
                </c:pt>
                <c:pt idx="27">
                  <c:v>0.69767147064552792</c:v>
                </c:pt>
                <c:pt idx="28">
                  <c:v>0.6887888100339874</c:v>
                </c:pt>
                <c:pt idx="29">
                  <c:v>0.6877875046154831</c:v>
                </c:pt>
                <c:pt idx="30">
                  <c:v>0.68673037729211428</c:v>
                </c:pt>
                <c:pt idx="31">
                  <c:v>0.69077479724347046</c:v>
                </c:pt>
                <c:pt idx="32">
                  <c:v>0.68622893326610857</c:v>
                </c:pt>
                <c:pt idx="33">
                  <c:v>0.68218550072937367</c:v>
                </c:pt>
                <c:pt idx="34">
                  <c:v>0.68218550072937367</c:v>
                </c:pt>
                <c:pt idx="35">
                  <c:v>0.67269779362994131</c:v>
                </c:pt>
                <c:pt idx="36">
                  <c:v>0.64884429070601268</c:v>
                </c:pt>
                <c:pt idx="37">
                  <c:v>0.64653743435929167</c:v>
                </c:pt>
                <c:pt idx="38">
                  <c:v>0.64493948011506197</c:v>
                </c:pt>
                <c:pt idx="39">
                  <c:v>0.64220564477921671</c:v>
                </c:pt>
                <c:pt idx="40">
                  <c:v>0.62494399556409774</c:v>
                </c:pt>
                <c:pt idx="41">
                  <c:v>0.61472516005863065</c:v>
                </c:pt>
                <c:pt idx="42">
                  <c:v>0.61167957157045205</c:v>
                </c:pt>
                <c:pt idx="43">
                  <c:v>0.59180574678625197</c:v>
                </c:pt>
                <c:pt idx="44">
                  <c:v>0.58173430676744153</c:v>
                </c:pt>
                <c:pt idx="45">
                  <c:v>0.57380068620787672</c:v>
                </c:pt>
                <c:pt idx="46">
                  <c:v>0.56977831016923575</c:v>
                </c:pt>
                <c:pt idx="47">
                  <c:v>0.54729581923230342</c:v>
                </c:pt>
                <c:pt idx="48">
                  <c:v>0.54581192101941522</c:v>
                </c:pt>
                <c:pt idx="49">
                  <c:v>0.54196092147914876</c:v>
                </c:pt>
                <c:pt idx="50">
                  <c:v>0.53964704629972982</c:v>
                </c:pt>
                <c:pt idx="51">
                  <c:v>0.53736885018652547</c:v>
                </c:pt>
                <c:pt idx="52">
                  <c:v>0.53295107990590085</c:v>
                </c:pt>
                <c:pt idx="53">
                  <c:v>0.5273272402066812</c:v>
                </c:pt>
                <c:pt idx="54">
                  <c:v>0.51803547552006624</c:v>
                </c:pt>
                <c:pt idx="55">
                  <c:v>0.53964704629972982</c:v>
                </c:pt>
                <c:pt idx="56">
                  <c:v>0.53736885018652547</c:v>
                </c:pt>
                <c:pt idx="57">
                  <c:v>0.53295107990590085</c:v>
                </c:pt>
                <c:pt idx="58">
                  <c:v>0.5273272402066812</c:v>
                </c:pt>
                <c:pt idx="59">
                  <c:v>0.51803547552006624</c:v>
                </c:pt>
                <c:pt idx="60">
                  <c:v>0.51803547552006624</c:v>
                </c:pt>
                <c:pt idx="61">
                  <c:v>0.51447283302313984</c:v>
                </c:pt>
                <c:pt idx="62">
                  <c:v>0.51353640376069054</c:v>
                </c:pt>
                <c:pt idx="63">
                  <c:v>0.51215193901102307</c:v>
                </c:pt>
                <c:pt idx="64">
                  <c:v>0.51095347332785079</c:v>
                </c:pt>
                <c:pt idx="65">
                  <c:v>0.5093449908345743</c:v>
                </c:pt>
                <c:pt idx="66">
                  <c:v>0.50634385495348266</c:v>
                </c:pt>
                <c:pt idx="67">
                  <c:v>0.50506876701335801</c:v>
                </c:pt>
                <c:pt idx="68">
                  <c:v>0.50159912404967921</c:v>
                </c:pt>
                <c:pt idx="69">
                  <c:v>0.49927998474573693</c:v>
                </c:pt>
                <c:pt idx="70">
                  <c:v>0.69532884206778434</c:v>
                </c:pt>
                <c:pt idx="71">
                  <c:v>0.69353376443768244</c:v>
                </c:pt>
                <c:pt idx="72">
                  <c:v>0.6927837549595407</c:v>
                </c:pt>
                <c:pt idx="73">
                  <c:v>0.68529931971667779</c:v>
                </c:pt>
                <c:pt idx="74">
                  <c:v>0.68425013063351903</c:v>
                </c:pt>
                <c:pt idx="75">
                  <c:v>0.64368780484588539</c:v>
                </c:pt>
                <c:pt idx="76">
                  <c:v>0.64286691535112805</c:v>
                </c:pt>
                <c:pt idx="77">
                  <c:v>0.62978543135435228</c:v>
                </c:pt>
                <c:pt idx="78">
                  <c:v>0.62559691688411445</c:v>
                </c:pt>
                <c:pt idx="79">
                  <c:v>0.59642237237063989</c:v>
                </c:pt>
                <c:pt idx="80">
                  <c:v>0.57789631407429876</c:v>
                </c:pt>
                <c:pt idx="81">
                  <c:v>0.56124857621827096</c:v>
                </c:pt>
                <c:pt idx="82">
                  <c:v>0.56103758454090347</c:v>
                </c:pt>
                <c:pt idx="83">
                  <c:v>0.56082082355985807</c:v>
                </c:pt>
                <c:pt idx="84">
                  <c:v>0.55905788919310517</c:v>
                </c:pt>
                <c:pt idx="85">
                  <c:v>0.5582600769130599</c:v>
                </c:pt>
                <c:pt idx="86">
                  <c:v>0.55788095124279036</c:v>
                </c:pt>
                <c:pt idx="87">
                  <c:v>0.54617997919753924</c:v>
                </c:pt>
                <c:pt idx="88">
                  <c:v>0.54585854656404997</c:v>
                </c:pt>
                <c:pt idx="89">
                  <c:v>0.54519672501355787</c:v>
                </c:pt>
                <c:pt idx="90">
                  <c:v>0.54461072859711968</c:v>
                </c:pt>
                <c:pt idx="91">
                  <c:v>0.53643644947161417</c:v>
                </c:pt>
                <c:pt idx="92">
                  <c:v>0.53437598387232366</c:v>
                </c:pt>
                <c:pt idx="93">
                  <c:v>0.53365646928505139</c:v>
                </c:pt>
                <c:pt idx="94">
                  <c:v>0.53365646928505139</c:v>
                </c:pt>
                <c:pt idx="95">
                  <c:v>0.50626134286312408</c:v>
                </c:pt>
                <c:pt idx="96">
                  <c:v>0.46492593038263674</c:v>
                </c:pt>
                <c:pt idx="97">
                  <c:v>0.4607126903252074</c:v>
                </c:pt>
                <c:pt idx="98">
                  <c:v>0.44627212321913956</c:v>
                </c:pt>
                <c:pt idx="99">
                  <c:v>0.44360258398869873</c:v>
                </c:pt>
                <c:pt idx="100">
                  <c:v>0.44254927397434146</c:v>
                </c:pt>
                <c:pt idx="101">
                  <c:v>0.44178442914388477</c:v>
                </c:pt>
                <c:pt idx="102">
                  <c:v>0.44020034319115026</c:v>
                </c:pt>
              </c:numCache>
            </c:numRef>
          </c:val>
          <c:smooth val="0"/>
        </c:ser>
        <c:dLbls>
          <c:showLegendKey val="0"/>
          <c:showVal val="0"/>
          <c:showCatName val="0"/>
          <c:showSerName val="0"/>
          <c:showPercent val="0"/>
          <c:showBubbleSize val="0"/>
        </c:dLbls>
        <c:marker val="1"/>
        <c:smooth val="0"/>
        <c:axId val="454279168"/>
        <c:axId val="454280704"/>
      </c:lineChart>
      <c:dateAx>
        <c:axId val="45427916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4280704"/>
        <c:crosses val="autoZero"/>
        <c:auto val="1"/>
        <c:lblOffset val="100"/>
        <c:baseTimeUnit val="days"/>
      </c:dateAx>
      <c:valAx>
        <c:axId val="45428070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42791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5750987745313921"/>
          <c:y val="1.5708269806231689E-2"/>
        </c:manualLayout>
      </c:layout>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4876325204890064"/>
        </c:manualLayout>
      </c:layout>
      <c:lineChart>
        <c:grouping val="standard"/>
        <c:varyColors val="0"/>
        <c:ser>
          <c:idx val="0"/>
          <c:order val="0"/>
          <c:tx>
            <c:strRef>
              <c:f>'used space Charts'!$L$2</c:f>
              <c:strCache>
                <c:ptCount val="1"/>
                <c:pt idx="0">
                  <c:v>FDC T4 V-MAX 0879</c:v>
                </c:pt>
              </c:strCache>
            </c:strRef>
          </c:tx>
          <c:cat>
            <c:numRef>
              <c:f>'used space Charts'!$A$11:$A$113</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Charts'!$L$11:$L$113</c:f>
              <c:numCache>
                <c:formatCode>0.00%</c:formatCode>
                <c:ptCount val="103"/>
                <c:pt idx="0">
                  <c:v>0.41784995112135942</c:v>
                </c:pt>
                <c:pt idx="1">
                  <c:v>0.42058528998995487</c:v>
                </c:pt>
                <c:pt idx="2">
                  <c:v>0.4204039701785896</c:v>
                </c:pt>
                <c:pt idx="3">
                  <c:v>0.42031849083894601</c:v>
                </c:pt>
                <c:pt idx="4">
                  <c:v>0.42023352955590632</c:v>
                </c:pt>
                <c:pt idx="5">
                  <c:v>0.49225997530942223</c:v>
                </c:pt>
                <c:pt idx="6">
                  <c:v>0.4920589693471088</c:v>
                </c:pt>
                <c:pt idx="7">
                  <c:v>0.52981648880920029</c:v>
                </c:pt>
                <c:pt idx="8">
                  <c:v>0.5297185761110631</c:v>
                </c:pt>
                <c:pt idx="9">
                  <c:v>0.67631875193947433</c:v>
                </c:pt>
                <c:pt idx="10">
                  <c:v>0.67572298684498866</c:v>
                </c:pt>
                <c:pt idx="11">
                  <c:v>0.67572298684498866</c:v>
                </c:pt>
                <c:pt idx="12">
                  <c:v>0.67546965716568119</c:v>
                </c:pt>
                <c:pt idx="13">
                  <c:v>0.70237337271945011</c:v>
                </c:pt>
                <c:pt idx="14">
                  <c:v>0.70237337271945011</c:v>
                </c:pt>
                <c:pt idx="15">
                  <c:v>0.7032255758328666</c:v>
                </c:pt>
                <c:pt idx="16">
                  <c:v>0.70067570122846756</c:v>
                </c:pt>
                <c:pt idx="17">
                  <c:v>0.76297977869657985</c:v>
                </c:pt>
                <c:pt idx="18">
                  <c:v>0.76165407184719813</c:v>
                </c:pt>
                <c:pt idx="19">
                  <c:v>0.79776313519567776</c:v>
                </c:pt>
                <c:pt idx="20">
                  <c:v>0.82850565018435052</c:v>
                </c:pt>
                <c:pt idx="21">
                  <c:v>0.82799070192007307</c:v>
                </c:pt>
                <c:pt idx="22">
                  <c:v>0.82699999999999996</c:v>
                </c:pt>
                <c:pt idx="23">
                  <c:v>0.82499633474952727</c:v>
                </c:pt>
                <c:pt idx="24">
                  <c:v>0.82261327437158427</c:v>
                </c:pt>
                <c:pt idx="25">
                  <c:v>0.82109692269196721</c:v>
                </c:pt>
                <c:pt idx="26">
                  <c:v>0.82046023112577326</c:v>
                </c:pt>
                <c:pt idx="27">
                  <c:v>0.81976499916333856</c:v>
                </c:pt>
                <c:pt idx="28">
                  <c:v>0.81026694938742394</c:v>
                </c:pt>
                <c:pt idx="29">
                  <c:v>0.87432672068615558</c:v>
                </c:pt>
                <c:pt idx="30">
                  <c:v>0.87375012368601424</c:v>
                </c:pt>
                <c:pt idx="31">
                  <c:v>0.87375012368601424</c:v>
                </c:pt>
                <c:pt idx="32">
                  <c:v>0.88929700236907283</c:v>
                </c:pt>
                <c:pt idx="33">
                  <c:v>0.89355180125690892</c:v>
                </c:pt>
                <c:pt idx="34">
                  <c:v>0.888112724972556</c:v>
                </c:pt>
                <c:pt idx="35">
                  <c:v>0.88137229049920451</c:v>
                </c:pt>
                <c:pt idx="36">
                  <c:v>0.87589902247899409</c:v>
                </c:pt>
                <c:pt idx="37">
                  <c:v>0.87339162851611485</c:v>
                </c:pt>
                <c:pt idx="38">
                  <c:v>0.86359362396654182</c:v>
                </c:pt>
                <c:pt idx="39">
                  <c:v>0.86299267830601711</c:v>
                </c:pt>
                <c:pt idx="40">
                  <c:v>0.85075928966150693</c:v>
                </c:pt>
                <c:pt idx="41">
                  <c:v>0.83916570092281417</c:v>
                </c:pt>
                <c:pt idx="42">
                  <c:v>0.83916570092281417</c:v>
                </c:pt>
                <c:pt idx="43">
                  <c:v>0.8334391032232964</c:v>
                </c:pt>
                <c:pt idx="44">
                  <c:v>0.83091150505286504</c:v>
                </c:pt>
                <c:pt idx="45">
                  <c:v>0.83008002420360449</c:v>
                </c:pt>
                <c:pt idx="46">
                  <c:v>0.82935992552418258</c:v>
                </c:pt>
                <c:pt idx="47">
                  <c:v>0.82623449003284988</c:v>
                </c:pt>
                <c:pt idx="48">
                  <c:v>0.82468342856077137</c:v>
                </c:pt>
                <c:pt idx="49">
                  <c:v>0.82188903123933121</c:v>
                </c:pt>
                <c:pt idx="50">
                  <c:v>0.82037164344650626</c:v>
                </c:pt>
                <c:pt idx="51">
                  <c:v>0.81779690212512002</c:v>
                </c:pt>
                <c:pt idx="52">
                  <c:v>0.81680896818148141</c:v>
                </c:pt>
                <c:pt idx="53">
                  <c:v>0.81318153584096908</c:v>
                </c:pt>
                <c:pt idx="54">
                  <c:v>0.83950036548893403</c:v>
                </c:pt>
                <c:pt idx="55">
                  <c:v>0.82037164344650626</c:v>
                </c:pt>
                <c:pt idx="56">
                  <c:v>0.81779690212512002</c:v>
                </c:pt>
                <c:pt idx="57">
                  <c:v>0.81680896818148141</c:v>
                </c:pt>
                <c:pt idx="58">
                  <c:v>0.81318153584096908</c:v>
                </c:pt>
                <c:pt idx="59">
                  <c:v>0.83950036548893403</c:v>
                </c:pt>
                <c:pt idx="60">
                  <c:v>0.83950036548893403</c:v>
                </c:pt>
                <c:pt idx="61">
                  <c:v>0.83728722767707031</c:v>
                </c:pt>
                <c:pt idx="62">
                  <c:v>0.83709192033739988</c:v>
                </c:pt>
                <c:pt idx="63">
                  <c:v>0.83617340597868395</c:v>
                </c:pt>
                <c:pt idx="64">
                  <c:v>0.83339377392799974</c:v>
                </c:pt>
                <c:pt idx="65">
                  <c:v>0.83315494723536088</c:v>
                </c:pt>
                <c:pt idx="66">
                  <c:v>0.8326187528169634</c:v>
                </c:pt>
                <c:pt idx="67">
                  <c:v>0.83238976930688457</c:v>
                </c:pt>
                <c:pt idx="68">
                  <c:v>0.82796707196402575</c:v>
                </c:pt>
                <c:pt idx="69">
                  <c:v>0.82496904578116004</c:v>
                </c:pt>
                <c:pt idx="70">
                  <c:v>0.82352727856724706</c:v>
                </c:pt>
                <c:pt idx="71">
                  <c:v>0.82183580535365519</c:v>
                </c:pt>
                <c:pt idx="72">
                  <c:v>0.82151823320053674</c:v>
                </c:pt>
                <c:pt idx="73">
                  <c:v>0.82099913483605924</c:v>
                </c:pt>
                <c:pt idx="74">
                  <c:v>0.81983297673382483</c:v>
                </c:pt>
                <c:pt idx="75">
                  <c:v>0.81218067938682148</c:v>
                </c:pt>
                <c:pt idx="76">
                  <c:v>0.81218067938682148</c:v>
                </c:pt>
                <c:pt idx="77">
                  <c:v>0.81258684018297966</c:v>
                </c:pt>
                <c:pt idx="78">
                  <c:v>0.81226667771866112</c:v>
                </c:pt>
                <c:pt idx="79">
                  <c:v>0.80800665191916154</c:v>
                </c:pt>
                <c:pt idx="80">
                  <c:v>0.80767871852124307</c:v>
                </c:pt>
                <c:pt idx="81">
                  <c:v>0.80695913006988662</c:v>
                </c:pt>
                <c:pt idx="82">
                  <c:v>0.80678350697052748</c:v>
                </c:pt>
                <c:pt idx="83">
                  <c:v>0.80660322131100837</c:v>
                </c:pt>
                <c:pt idx="84">
                  <c:v>0.80487600180285657</c:v>
                </c:pt>
                <c:pt idx="85">
                  <c:v>0.80452475560413828</c:v>
                </c:pt>
                <c:pt idx="86">
                  <c:v>0.80434291575789907</c:v>
                </c:pt>
                <c:pt idx="87">
                  <c:v>0.80302392929486544</c:v>
                </c:pt>
                <c:pt idx="88">
                  <c:v>0.80260688919166745</c:v>
                </c:pt>
                <c:pt idx="89">
                  <c:v>0.80177591735871145</c:v>
                </c:pt>
                <c:pt idx="90">
                  <c:v>0.79838053743776782</c:v>
                </c:pt>
                <c:pt idx="91">
                  <c:v>0.79613162925393854</c:v>
                </c:pt>
                <c:pt idx="92">
                  <c:v>0.79433084490770711</c:v>
                </c:pt>
                <c:pt idx="93">
                  <c:v>0.79363819569283056</c:v>
                </c:pt>
                <c:pt idx="94">
                  <c:v>0.79363819569283056</c:v>
                </c:pt>
                <c:pt idx="95">
                  <c:v>0.78853113813093501</c:v>
                </c:pt>
                <c:pt idx="96">
                  <c:v>0.78763540851797931</c:v>
                </c:pt>
                <c:pt idx="97">
                  <c:v>0.78682723142358324</c:v>
                </c:pt>
                <c:pt idx="98">
                  <c:v>0.78391209519911731</c:v>
                </c:pt>
                <c:pt idx="99">
                  <c:v>0.78353753619959898</c:v>
                </c:pt>
                <c:pt idx="100">
                  <c:v>0.78172690867080763</c:v>
                </c:pt>
                <c:pt idx="101">
                  <c:v>0.78115185958441047</c:v>
                </c:pt>
                <c:pt idx="102">
                  <c:v>0.7797080201215375</c:v>
                </c:pt>
              </c:numCache>
            </c:numRef>
          </c:val>
          <c:smooth val="0"/>
        </c:ser>
        <c:dLbls>
          <c:showLegendKey val="0"/>
          <c:showVal val="0"/>
          <c:showCatName val="0"/>
          <c:showSerName val="0"/>
          <c:showPercent val="0"/>
          <c:showBubbleSize val="0"/>
        </c:dLbls>
        <c:marker val="1"/>
        <c:smooth val="0"/>
        <c:axId val="454292608"/>
        <c:axId val="454294144"/>
      </c:lineChart>
      <c:dateAx>
        <c:axId val="4542926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4294144"/>
        <c:crosses val="autoZero"/>
        <c:auto val="1"/>
        <c:lblOffset val="100"/>
        <c:baseTimeUnit val="days"/>
      </c:dateAx>
      <c:valAx>
        <c:axId val="454294144"/>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42926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1378020076388065"/>
        </c:manualLayout>
      </c:layout>
      <c:lineChart>
        <c:grouping val="standard"/>
        <c:varyColors val="0"/>
        <c:ser>
          <c:idx val="0"/>
          <c:order val="0"/>
          <c:tx>
            <c:strRef>
              <c:f>'used space Charts'!$N$2</c:f>
              <c:strCache>
                <c:ptCount val="1"/>
                <c:pt idx="0">
                  <c:v>FDC T3 V-MAX 2804</c:v>
                </c:pt>
              </c:strCache>
            </c:strRef>
          </c:tx>
          <c:cat>
            <c:numRef>
              <c:f>'used space Charts'!$A$11:$A$113</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Charts'!$N$11:$N$113</c:f>
              <c:numCache>
                <c:formatCode>0.00%</c:formatCode>
                <c:ptCount val="103"/>
                <c:pt idx="0">
                  <c:v>0.72077510754008967</c:v>
                </c:pt>
                <c:pt idx="1">
                  <c:v>0.72044032428214277</c:v>
                </c:pt>
                <c:pt idx="2">
                  <c:v>0.71988275360433907</c:v>
                </c:pt>
                <c:pt idx="3">
                  <c:v>0.71942031917609606</c:v>
                </c:pt>
                <c:pt idx="4">
                  <c:v>0.71864477810372984</c:v>
                </c:pt>
                <c:pt idx="5">
                  <c:v>0.71811129255239714</c:v>
                </c:pt>
                <c:pt idx="6">
                  <c:v>0.71711898534179197</c:v>
                </c:pt>
                <c:pt idx="7">
                  <c:v>0.71600866101147898</c:v>
                </c:pt>
                <c:pt idx="8">
                  <c:v>0.71530176254955513</c:v>
                </c:pt>
                <c:pt idx="9">
                  <c:v>0.71369046758864529</c:v>
                </c:pt>
                <c:pt idx="10">
                  <c:v>0.71037635418623579</c:v>
                </c:pt>
                <c:pt idx="11">
                  <c:v>0.71037635418623579</c:v>
                </c:pt>
                <c:pt idx="12">
                  <c:v>0.708392944021349</c:v>
                </c:pt>
                <c:pt idx="13">
                  <c:v>0.70684547464558733</c:v>
                </c:pt>
                <c:pt idx="14">
                  <c:v>0.70684547464558733</c:v>
                </c:pt>
                <c:pt idx="15">
                  <c:v>0.70495840498658457</c:v>
                </c:pt>
                <c:pt idx="16">
                  <c:v>0.70197666632947486</c:v>
                </c:pt>
                <c:pt idx="17">
                  <c:v>0.69744384552763283</c:v>
                </c:pt>
                <c:pt idx="18">
                  <c:v>0.69554955033068877</c:v>
                </c:pt>
                <c:pt idx="19">
                  <c:v>0.6931169525571178</c:v>
                </c:pt>
                <c:pt idx="20">
                  <c:v>0.69082043574810814</c:v>
                </c:pt>
                <c:pt idx="21">
                  <c:v>0.68623101489905924</c:v>
                </c:pt>
                <c:pt idx="22">
                  <c:v>0.67559999999999998</c:v>
                </c:pt>
                <c:pt idx="23">
                  <c:v>0.67560947412534866</c:v>
                </c:pt>
                <c:pt idx="24">
                  <c:v>0.69701633453277267</c:v>
                </c:pt>
                <c:pt idx="25">
                  <c:v>0.71278366257701209</c:v>
                </c:pt>
                <c:pt idx="26">
                  <c:v>0.7174140281410617</c:v>
                </c:pt>
                <c:pt idx="27">
                  <c:v>0.7148345110960177</c:v>
                </c:pt>
                <c:pt idx="28">
                  <c:v>0.71232965794303382</c:v>
                </c:pt>
                <c:pt idx="29">
                  <c:v>0.71031734562638182</c:v>
                </c:pt>
                <c:pt idx="30">
                  <c:v>0.70893606362327</c:v>
                </c:pt>
                <c:pt idx="31">
                  <c:v>0.71161150101660153</c:v>
                </c:pt>
                <c:pt idx="32">
                  <c:v>0.71286261009155449</c:v>
                </c:pt>
                <c:pt idx="33">
                  <c:v>0.70913225008642922</c:v>
                </c:pt>
                <c:pt idx="34">
                  <c:v>0.70416528661881417</c:v>
                </c:pt>
                <c:pt idx="35">
                  <c:v>0.70172592612291573</c:v>
                </c:pt>
                <c:pt idx="36">
                  <c:v>0.68384292355783982</c:v>
                </c:pt>
                <c:pt idx="37">
                  <c:v>0.68384292355783982</c:v>
                </c:pt>
                <c:pt idx="38">
                  <c:v>0.73254068219895407</c:v>
                </c:pt>
                <c:pt idx="39">
                  <c:v>0.73124968268972734</c:v>
                </c:pt>
                <c:pt idx="40">
                  <c:v>0.72723041923637621</c:v>
                </c:pt>
                <c:pt idx="41">
                  <c:v>0.72422413105337335</c:v>
                </c:pt>
                <c:pt idx="42">
                  <c:v>0.72199993714234589</c:v>
                </c:pt>
                <c:pt idx="43">
                  <c:v>0.7433606602954792</c:v>
                </c:pt>
                <c:pt idx="44">
                  <c:v>0.73643543914532927</c:v>
                </c:pt>
                <c:pt idx="45">
                  <c:v>0.73449893988148907</c:v>
                </c:pt>
                <c:pt idx="46">
                  <c:v>0.73193749048069179</c:v>
                </c:pt>
                <c:pt idx="47">
                  <c:v>0.73193144647549868</c:v>
                </c:pt>
                <c:pt idx="48">
                  <c:v>0.72632019205430898</c:v>
                </c:pt>
                <c:pt idx="49">
                  <c:v>0.71881474640563003</c:v>
                </c:pt>
                <c:pt idx="50">
                  <c:v>0.71201886696661043</c:v>
                </c:pt>
                <c:pt idx="51">
                  <c:v>0.70945258236165865</c:v>
                </c:pt>
                <c:pt idx="52">
                  <c:v>0.70406737373468742</c:v>
                </c:pt>
                <c:pt idx="53">
                  <c:v>0.69568917373613803</c:v>
                </c:pt>
                <c:pt idx="54">
                  <c:v>0.65545423116627533</c:v>
                </c:pt>
                <c:pt idx="55">
                  <c:v>0.71201886696661043</c:v>
                </c:pt>
                <c:pt idx="56">
                  <c:v>0.70945258236165865</c:v>
                </c:pt>
                <c:pt idx="57">
                  <c:v>0.70406737373468742</c:v>
                </c:pt>
                <c:pt idx="58">
                  <c:v>0.69568917373613803</c:v>
                </c:pt>
                <c:pt idx="59">
                  <c:v>0.65545423116627533</c:v>
                </c:pt>
                <c:pt idx="60">
                  <c:v>0.65545423116627533</c:v>
                </c:pt>
                <c:pt idx="61">
                  <c:v>0.65353586391801421</c:v>
                </c:pt>
                <c:pt idx="62">
                  <c:v>0.65065770864510319</c:v>
                </c:pt>
                <c:pt idx="63">
                  <c:v>0.64526041200774586</c:v>
                </c:pt>
                <c:pt idx="64">
                  <c:v>0.64013862580581993</c:v>
                </c:pt>
                <c:pt idx="65">
                  <c:v>0.63922476890662339</c:v>
                </c:pt>
                <c:pt idx="66">
                  <c:v>0.63447899881899705</c:v>
                </c:pt>
                <c:pt idx="67">
                  <c:v>0.63314689524371326</c:v>
                </c:pt>
                <c:pt idx="68">
                  <c:v>0.62255050691255387</c:v>
                </c:pt>
                <c:pt idx="69">
                  <c:v>0.61796792555692681</c:v>
                </c:pt>
                <c:pt idx="70">
                  <c:v>0.61271083077570254</c:v>
                </c:pt>
                <c:pt idx="71">
                  <c:v>0.60816088716647543</c:v>
                </c:pt>
                <c:pt idx="72">
                  <c:v>0.607152743444346</c:v>
                </c:pt>
                <c:pt idx="73">
                  <c:v>0.60495392638133216</c:v>
                </c:pt>
                <c:pt idx="74">
                  <c:v>0.60049706078961584</c:v>
                </c:pt>
                <c:pt idx="75">
                  <c:v>0.59477941114252664</c:v>
                </c:pt>
                <c:pt idx="76">
                  <c:v>0.59477941114252664</c:v>
                </c:pt>
                <c:pt idx="77">
                  <c:v>0.58787713218166415</c:v>
                </c:pt>
                <c:pt idx="78">
                  <c:v>0.58697657214211196</c:v>
                </c:pt>
                <c:pt idx="79">
                  <c:v>0.55628621127742928</c:v>
                </c:pt>
                <c:pt idx="80">
                  <c:v>0.55538444243245499</c:v>
                </c:pt>
                <c:pt idx="81">
                  <c:v>0.5530792504922859</c:v>
                </c:pt>
                <c:pt idx="82">
                  <c:v>0.55182451046402414</c:v>
                </c:pt>
                <c:pt idx="83">
                  <c:v>0.54108064787135401</c:v>
                </c:pt>
                <c:pt idx="84">
                  <c:v>0.54108064787135401</c:v>
                </c:pt>
                <c:pt idx="85">
                  <c:v>0.53708917236719156</c:v>
                </c:pt>
                <c:pt idx="86">
                  <c:v>0.53649564890488277</c:v>
                </c:pt>
                <c:pt idx="87">
                  <c:v>0.53084690116685984</c:v>
                </c:pt>
                <c:pt idx="88">
                  <c:v>0.530264256953351</c:v>
                </c:pt>
                <c:pt idx="89">
                  <c:v>0.52603102036474492</c:v>
                </c:pt>
                <c:pt idx="90">
                  <c:v>0.52161041893569515</c:v>
                </c:pt>
                <c:pt idx="91">
                  <c:v>0.5176685044538436</c:v>
                </c:pt>
                <c:pt idx="92">
                  <c:v>0.51636662101411523</c:v>
                </c:pt>
                <c:pt idx="93">
                  <c:v>0.51056193737662625</c:v>
                </c:pt>
                <c:pt idx="94">
                  <c:v>0.51056193737662625</c:v>
                </c:pt>
                <c:pt idx="95">
                  <c:v>0.49477735617330881</c:v>
                </c:pt>
                <c:pt idx="96">
                  <c:v>0.48229885779975656</c:v>
                </c:pt>
                <c:pt idx="97">
                  <c:v>0.48149258458313737</c:v>
                </c:pt>
                <c:pt idx="98">
                  <c:v>0.47711066492759857</c:v>
                </c:pt>
                <c:pt idx="99">
                  <c:v>0.47590306831080315</c:v>
                </c:pt>
                <c:pt idx="100">
                  <c:v>0.47165049083544169</c:v>
                </c:pt>
                <c:pt idx="101">
                  <c:v>0.46927397937536192</c:v>
                </c:pt>
                <c:pt idx="102">
                  <c:v>0.46175158323290172</c:v>
                </c:pt>
              </c:numCache>
            </c:numRef>
          </c:val>
          <c:smooth val="0"/>
        </c:ser>
        <c:dLbls>
          <c:showLegendKey val="0"/>
          <c:showVal val="0"/>
          <c:showCatName val="0"/>
          <c:showSerName val="0"/>
          <c:showPercent val="0"/>
          <c:showBubbleSize val="0"/>
        </c:dLbls>
        <c:marker val="1"/>
        <c:smooth val="0"/>
        <c:axId val="454461696"/>
        <c:axId val="454463488"/>
      </c:lineChart>
      <c:dateAx>
        <c:axId val="4544616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4463488"/>
        <c:crosses val="autoZero"/>
        <c:auto val="1"/>
        <c:lblOffset val="100"/>
        <c:baseTimeUnit val="days"/>
      </c:dateAx>
      <c:valAx>
        <c:axId val="454463488"/>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44616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3416484159011479"/>
        </c:manualLayout>
      </c:layout>
      <c:lineChart>
        <c:grouping val="standard"/>
        <c:varyColors val="0"/>
        <c:ser>
          <c:idx val="0"/>
          <c:order val="0"/>
          <c:tx>
            <c:strRef>
              <c:f>'used space Charts'!$M$2</c:f>
              <c:strCache>
                <c:ptCount val="1"/>
                <c:pt idx="0">
                  <c:v>FDC T4 V-MAX 3004</c:v>
                </c:pt>
              </c:strCache>
            </c:strRef>
          </c:tx>
          <c:cat>
            <c:numRef>
              <c:f>'used space Charts'!$A$11:$A$113</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Charts'!$M$11:$M$113</c:f>
              <c:numCache>
                <c:formatCode>0.00%</c:formatCode>
                <c:ptCount val="103"/>
                <c:pt idx="0">
                  <c:v>0.48530566503255557</c:v>
                </c:pt>
                <c:pt idx="1">
                  <c:v>0.48447320626014467</c:v>
                </c:pt>
                <c:pt idx="2">
                  <c:v>0.48370350136997425</c:v>
                </c:pt>
                <c:pt idx="3">
                  <c:v>0.4822768203817307</c:v>
                </c:pt>
                <c:pt idx="4">
                  <c:v>0.48173325766356112</c:v>
                </c:pt>
                <c:pt idx="5">
                  <c:v>0.4806253663970988</c:v>
                </c:pt>
                <c:pt idx="6">
                  <c:v>0.48005168181545382</c:v>
                </c:pt>
                <c:pt idx="7">
                  <c:v>0.47981549902229453</c:v>
                </c:pt>
                <c:pt idx="8">
                  <c:v>0.48029744883790076</c:v>
                </c:pt>
                <c:pt idx="9">
                  <c:v>0.48871080478088735</c:v>
                </c:pt>
                <c:pt idx="10">
                  <c:v>0.48787674863692859</c:v>
                </c:pt>
                <c:pt idx="11">
                  <c:v>0.48787674863692859</c:v>
                </c:pt>
                <c:pt idx="12">
                  <c:v>0.48616345355379798</c:v>
                </c:pt>
                <c:pt idx="13">
                  <c:v>0.4851822110314935</c:v>
                </c:pt>
                <c:pt idx="14">
                  <c:v>0.4851822110314935</c:v>
                </c:pt>
                <c:pt idx="15">
                  <c:v>0.48427855512723178</c:v>
                </c:pt>
                <c:pt idx="16">
                  <c:v>0.48248721703418762</c:v>
                </c:pt>
                <c:pt idx="17">
                  <c:v>0.48167255754473948</c:v>
                </c:pt>
                <c:pt idx="18">
                  <c:v>0.48081522541536792</c:v>
                </c:pt>
                <c:pt idx="19">
                  <c:v>0.47945517764026685</c:v>
                </c:pt>
                <c:pt idx="20">
                  <c:v>0.47754152652583781</c:v>
                </c:pt>
                <c:pt idx="21">
                  <c:v>0.47618649906131599</c:v>
                </c:pt>
                <c:pt idx="22">
                  <c:v>0.47499999999999998</c:v>
                </c:pt>
                <c:pt idx="23">
                  <c:v>0.472260844384292</c:v>
                </c:pt>
                <c:pt idx="24">
                  <c:v>0.47082754571392121</c:v>
                </c:pt>
                <c:pt idx="25">
                  <c:v>0.46752737609588241</c:v>
                </c:pt>
                <c:pt idx="26">
                  <c:v>0.46492320408087356</c:v>
                </c:pt>
                <c:pt idx="27">
                  <c:v>0.46427124829337962</c:v>
                </c:pt>
                <c:pt idx="28">
                  <c:v>0.46092589588012772</c:v>
                </c:pt>
                <c:pt idx="29">
                  <c:v>0.45734572984932903</c:v>
                </c:pt>
                <c:pt idx="30">
                  <c:v>0.45694684335421554</c:v>
                </c:pt>
                <c:pt idx="31">
                  <c:v>0.45695551479976149</c:v>
                </c:pt>
                <c:pt idx="32">
                  <c:v>0.51097720552564874</c:v>
                </c:pt>
                <c:pt idx="33">
                  <c:v>0.50355437593513808</c:v>
                </c:pt>
                <c:pt idx="34">
                  <c:v>0.51153649091180176</c:v>
                </c:pt>
                <c:pt idx="35">
                  <c:v>0.53902169709436487</c:v>
                </c:pt>
                <c:pt idx="36">
                  <c:v>0.53530195734748875</c:v>
                </c:pt>
                <c:pt idx="37">
                  <c:v>0.54405829282487561</c:v>
                </c:pt>
                <c:pt idx="38">
                  <c:v>0.19773758918385556</c:v>
                </c:pt>
                <c:pt idx="39">
                  <c:v>0.20275016834255277</c:v>
                </c:pt>
                <c:pt idx="40">
                  <c:v>0.20258500650987371</c:v>
                </c:pt>
                <c:pt idx="41">
                  <c:v>0.2052631727752984</c:v>
                </c:pt>
                <c:pt idx="42">
                  <c:v>0.39497238899404902</c:v>
                </c:pt>
                <c:pt idx="43">
                  <c:v>0.37308031765733141</c:v>
                </c:pt>
                <c:pt idx="44">
                  <c:v>0.36728598819787944</c:v>
                </c:pt>
                <c:pt idx="45">
                  <c:v>0.44488087372637702</c:v>
                </c:pt>
                <c:pt idx="46">
                  <c:v>0.43781071935906957</c:v>
                </c:pt>
                <c:pt idx="47">
                  <c:v>0.41028540204597036</c:v>
                </c:pt>
                <c:pt idx="48">
                  <c:v>0.39777829745657595</c:v>
                </c:pt>
                <c:pt idx="49">
                  <c:v>0.45165360027669116</c:v>
                </c:pt>
                <c:pt idx="50">
                  <c:v>0.47674122039249878</c:v>
                </c:pt>
                <c:pt idx="51">
                  <c:v>0.49172764693728815</c:v>
                </c:pt>
                <c:pt idx="52">
                  <c:v>0.4235674839498717</c:v>
                </c:pt>
                <c:pt idx="53">
                  <c:v>0.41888129300121318</c:v>
                </c:pt>
                <c:pt idx="54">
                  <c:v>0.41714743262276088</c:v>
                </c:pt>
                <c:pt idx="55">
                  <c:v>0.47674122039249878</c:v>
                </c:pt>
                <c:pt idx="56">
                  <c:v>0.49172764693728815</c:v>
                </c:pt>
                <c:pt idx="57">
                  <c:v>0.4235674839498717</c:v>
                </c:pt>
                <c:pt idx="58">
                  <c:v>0.41888129300121318</c:v>
                </c:pt>
                <c:pt idx="59">
                  <c:v>0.41714743262276088</c:v>
                </c:pt>
                <c:pt idx="60">
                  <c:v>0.41714743262276088</c:v>
                </c:pt>
                <c:pt idx="61">
                  <c:v>0.42697617323164783</c:v>
                </c:pt>
                <c:pt idx="62">
                  <c:v>0.43820199208524147</c:v>
                </c:pt>
                <c:pt idx="63">
                  <c:v>0.42481849713432462</c:v>
                </c:pt>
                <c:pt idx="64">
                  <c:v>0.45924611865994808</c:v>
                </c:pt>
                <c:pt idx="65">
                  <c:v>0.46626560369084896</c:v>
                </c:pt>
                <c:pt idx="66">
                  <c:v>0.47843220653254842</c:v>
                </c:pt>
                <c:pt idx="67">
                  <c:v>0.48207855465965144</c:v>
                </c:pt>
                <c:pt idx="68">
                  <c:v>0.48381999240154927</c:v>
                </c:pt>
                <c:pt idx="69">
                  <c:v>0.48442544663602055</c:v>
                </c:pt>
                <c:pt idx="70">
                  <c:v>0.47882575178495473</c:v>
                </c:pt>
                <c:pt idx="71">
                  <c:v>0.49346487835667607</c:v>
                </c:pt>
                <c:pt idx="72">
                  <c:v>0.49179155421615622</c:v>
                </c:pt>
                <c:pt idx="73">
                  <c:v>0.47222327335804593</c:v>
                </c:pt>
                <c:pt idx="74">
                  <c:v>0.48772895630285418</c:v>
                </c:pt>
                <c:pt idx="75">
                  <c:v>0.41817058975783344</c:v>
                </c:pt>
                <c:pt idx="76">
                  <c:v>0.41817058975783344</c:v>
                </c:pt>
                <c:pt idx="77">
                  <c:v>0.42306871451470568</c:v>
                </c:pt>
                <c:pt idx="78">
                  <c:v>0.42944263396810156</c:v>
                </c:pt>
                <c:pt idx="79">
                  <c:v>0.49197243366870447</c:v>
                </c:pt>
                <c:pt idx="80">
                  <c:v>0.46187076276638089</c:v>
                </c:pt>
                <c:pt idx="81">
                  <c:v>0.42537473833024797</c:v>
                </c:pt>
                <c:pt idx="82">
                  <c:v>0.44071694863174909</c:v>
                </c:pt>
                <c:pt idx="83">
                  <c:v>0.44094929169422742</c:v>
                </c:pt>
                <c:pt idx="84">
                  <c:v>0.4174387469519163</c:v>
                </c:pt>
                <c:pt idx="85">
                  <c:v>0.41286302657489993</c:v>
                </c:pt>
                <c:pt idx="86">
                  <c:v>0.41683934725978977</c:v>
                </c:pt>
                <c:pt idx="87">
                  <c:v>0.39675567348458585</c:v>
                </c:pt>
                <c:pt idx="88">
                  <c:v>0.40246283646227032</c:v>
                </c:pt>
                <c:pt idx="89">
                  <c:v>0.39338632066975343</c:v>
                </c:pt>
                <c:pt idx="90">
                  <c:v>0.39457376778711017</c:v>
                </c:pt>
                <c:pt idx="91">
                  <c:v>0.38749827823952071</c:v>
                </c:pt>
                <c:pt idx="92">
                  <c:v>0.38236402633120459</c:v>
                </c:pt>
                <c:pt idx="93">
                  <c:v>0.38091244980405986</c:v>
                </c:pt>
                <c:pt idx="94">
                  <c:v>0.38091244980405986</c:v>
                </c:pt>
                <c:pt idx="95">
                  <c:v>0.3787676281784455</c:v>
                </c:pt>
                <c:pt idx="96">
                  <c:v>0.3610512804600241</c:v>
                </c:pt>
                <c:pt idx="97">
                  <c:v>0.35675936675541614</c:v>
                </c:pt>
                <c:pt idx="98">
                  <c:v>0.35414229082691423</c:v>
                </c:pt>
                <c:pt idx="99">
                  <c:v>0.31954058132688318</c:v>
                </c:pt>
                <c:pt idx="100">
                  <c:v>0.31443811576587688</c:v>
                </c:pt>
                <c:pt idx="101">
                  <c:v>0.31126704921283382</c:v>
                </c:pt>
                <c:pt idx="102">
                  <c:v>0.31507157225869237</c:v>
                </c:pt>
              </c:numCache>
            </c:numRef>
          </c:val>
          <c:smooth val="0"/>
        </c:ser>
        <c:dLbls>
          <c:showLegendKey val="0"/>
          <c:showVal val="0"/>
          <c:showCatName val="0"/>
          <c:showSerName val="0"/>
          <c:showPercent val="0"/>
          <c:showBubbleSize val="0"/>
        </c:dLbls>
        <c:marker val="1"/>
        <c:smooth val="0"/>
        <c:axId val="454471040"/>
        <c:axId val="454505600"/>
      </c:lineChart>
      <c:dateAx>
        <c:axId val="4544710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4505600"/>
        <c:crosses val="autoZero"/>
        <c:auto val="1"/>
        <c:lblOffset val="100"/>
        <c:baseTimeUnit val="days"/>
      </c:dateAx>
      <c:valAx>
        <c:axId val="454505600"/>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44710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2175887656222164"/>
        </c:manualLayout>
      </c:layout>
      <c:lineChart>
        <c:grouping val="standard"/>
        <c:varyColors val="0"/>
        <c:ser>
          <c:idx val="0"/>
          <c:order val="0"/>
          <c:tx>
            <c:strRef>
              <c:f>'used space Charts'!$F$2</c:f>
              <c:strCache>
                <c:ptCount val="1"/>
                <c:pt idx="0">
                  <c:v>RDC T3 V-MAX 3286</c:v>
                </c:pt>
              </c:strCache>
            </c:strRef>
          </c:tx>
          <c:cat>
            <c:numRef>
              <c:f>'used space Charts'!$A$11:$A$113</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Charts'!$F$11:$F$113</c:f>
              <c:numCache>
                <c:formatCode>0.00%</c:formatCode>
                <c:ptCount val="103"/>
                <c:pt idx="0">
                  <c:v>0.71628087113317163</c:v>
                </c:pt>
                <c:pt idx="1">
                  <c:v>0.71590805576786987</c:v>
                </c:pt>
                <c:pt idx="2">
                  <c:v>0.71529876204787834</c:v>
                </c:pt>
                <c:pt idx="3">
                  <c:v>0.71461526721149182</c:v>
                </c:pt>
                <c:pt idx="4">
                  <c:v>0.71380086471447346</c:v>
                </c:pt>
                <c:pt idx="5">
                  <c:v>0.71322233731103601</c:v>
                </c:pt>
                <c:pt idx="6">
                  <c:v>0.71220342929809954</c:v>
                </c:pt>
                <c:pt idx="7">
                  <c:v>0.71107110819668962</c:v>
                </c:pt>
                <c:pt idx="8">
                  <c:v>0.71030617311060118</c:v>
                </c:pt>
                <c:pt idx="9">
                  <c:v>0.70865565071664405</c:v>
                </c:pt>
                <c:pt idx="10">
                  <c:v>0.70529488307894816</c:v>
                </c:pt>
                <c:pt idx="11">
                  <c:v>0.70529488307894816</c:v>
                </c:pt>
                <c:pt idx="12">
                  <c:v>0.70325163770309529</c:v>
                </c:pt>
                <c:pt idx="13">
                  <c:v>0.70169160447547341</c:v>
                </c:pt>
                <c:pt idx="14">
                  <c:v>0.70169160447547341</c:v>
                </c:pt>
                <c:pt idx="15">
                  <c:v>0.69977444067138139</c:v>
                </c:pt>
                <c:pt idx="16">
                  <c:v>0.69667790139938479</c:v>
                </c:pt>
                <c:pt idx="17">
                  <c:v>0.69209130718839895</c:v>
                </c:pt>
                <c:pt idx="18">
                  <c:v>0.69008787704573371</c:v>
                </c:pt>
                <c:pt idx="19">
                  <c:v>0.68725978896719886</c:v>
                </c:pt>
                <c:pt idx="20">
                  <c:v>0.68662214197508886</c:v>
                </c:pt>
                <c:pt idx="21">
                  <c:v>0.68186603139250157</c:v>
                </c:pt>
                <c:pt idx="22">
                  <c:v>0.67100000000000004</c:v>
                </c:pt>
                <c:pt idx="23">
                  <c:v>0.67248049506019636</c:v>
                </c:pt>
                <c:pt idx="24">
                  <c:v>0.67939989997930805</c:v>
                </c:pt>
                <c:pt idx="25">
                  <c:v>0.69521378668807843</c:v>
                </c:pt>
                <c:pt idx="26">
                  <c:v>0.69374243284346515</c:v>
                </c:pt>
                <c:pt idx="27">
                  <c:v>0.69109954592536327</c:v>
                </c:pt>
                <c:pt idx="28">
                  <c:v>0.69110256223090782</c:v>
                </c:pt>
                <c:pt idx="29">
                  <c:v>0.6892740778098243</c:v>
                </c:pt>
                <c:pt idx="30">
                  <c:v>0.68787873486493278</c:v>
                </c:pt>
                <c:pt idx="31">
                  <c:v>0.68917671732541164</c:v>
                </c:pt>
                <c:pt idx="32">
                  <c:v>0.6893574327530092</c:v>
                </c:pt>
                <c:pt idx="33">
                  <c:v>0.68065468545543006</c:v>
                </c:pt>
                <c:pt idx="34">
                  <c:v>0.68065468545543006</c:v>
                </c:pt>
                <c:pt idx="35">
                  <c:v>0.67813857065580352</c:v>
                </c:pt>
                <c:pt idx="36">
                  <c:v>0.66667069599615603</c:v>
                </c:pt>
                <c:pt idx="37">
                  <c:v>0.66328122402971224</c:v>
                </c:pt>
                <c:pt idx="38">
                  <c:v>0.71304868135155797</c:v>
                </c:pt>
                <c:pt idx="39">
                  <c:v>0.71179153055087985</c:v>
                </c:pt>
                <c:pt idx="40">
                  <c:v>0.70782727473277995</c:v>
                </c:pt>
                <c:pt idx="41">
                  <c:v>0.69853523799738304</c:v>
                </c:pt>
                <c:pt idx="42">
                  <c:v>0.70090448373712255</c:v>
                </c:pt>
                <c:pt idx="43">
                  <c:v>0.7232297896387806</c:v>
                </c:pt>
                <c:pt idx="44">
                  <c:v>0.71628524026388074</c:v>
                </c:pt>
                <c:pt idx="45">
                  <c:v>0.71431671134185737</c:v>
                </c:pt>
                <c:pt idx="46">
                  <c:v>0.71174438739585444</c:v>
                </c:pt>
                <c:pt idx="47">
                  <c:v>0.70758309736572511</c:v>
                </c:pt>
                <c:pt idx="48">
                  <c:v>0.70647583762205091</c:v>
                </c:pt>
                <c:pt idx="49">
                  <c:v>0.70011755568785183</c:v>
                </c:pt>
                <c:pt idx="50">
                  <c:v>0.69332954576361339</c:v>
                </c:pt>
                <c:pt idx="51">
                  <c:v>0.6908865632942186</c:v>
                </c:pt>
                <c:pt idx="52">
                  <c:v>0.68560471673310019</c:v>
                </c:pt>
                <c:pt idx="53">
                  <c:v>0.67790345928009987</c:v>
                </c:pt>
                <c:pt idx="54">
                  <c:v>0.63792810625406082</c:v>
                </c:pt>
                <c:pt idx="55">
                  <c:v>0.69332954576361339</c:v>
                </c:pt>
                <c:pt idx="56">
                  <c:v>0.6908865632942186</c:v>
                </c:pt>
                <c:pt idx="57">
                  <c:v>0.68560471673310019</c:v>
                </c:pt>
                <c:pt idx="58">
                  <c:v>0.67790345928009987</c:v>
                </c:pt>
                <c:pt idx="59">
                  <c:v>0.63792810625406082</c:v>
                </c:pt>
                <c:pt idx="60">
                  <c:v>0.63792810625406082</c:v>
                </c:pt>
                <c:pt idx="61">
                  <c:v>0.6360091264864538</c:v>
                </c:pt>
                <c:pt idx="62">
                  <c:v>0.63424245629410259</c:v>
                </c:pt>
                <c:pt idx="63">
                  <c:v>0.62832655898218526</c:v>
                </c:pt>
                <c:pt idx="64">
                  <c:v>0.62386304226288514</c:v>
                </c:pt>
                <c:pt idx="65">
                  <c:v>0.62273401731614808</c:v>
                </c:pt>
                <c:pt idx="66">
                  <c:v>0.6177730768649613</c:v>
                </c:pt>
                <c:pt idx="67">
                  <c:v>0.61644218129070272</c:v>
                </c:pt>
                <c:pt idx="68">
                  <c:v>0.60585364379504691</c:v>
                </c:pt>
                <c:pt idx="69">
                  <c:v>0.6010716066544779</c:v>
                </c:pt>
                <c:pt idx="70">
                  <c:v>0.59451202006618209</c:v>
                </c:pt>
                <c:pt idx="71">
                  <c:v>0.58990163339931401</c:v>
                </c:pt>
                <c:pt idx="72">
                  <c:v>0.58897931430470984</c:v>
                </c:pt>
                <c:pt idx="73">
                  <c:v>0.58710022514014593</c:v>
                </c:pt>
                <c:pt idx="74">
                  <c:v>0.5828754476360285</c:v>
                </c:pt>
                <c:pt idx="75">
                  <c:v>0.57972832081715298</c:v>
                </c:pt>
                <c:pt idx="76">
                  <c:v>0.56729091431075385</c:v>
                </c:pt>
                <c:pt idx="77">
                  <c:v>0.56729091431075385</c:v>
                </c:pt>
                <c:pt idx="78">
                  <c:v>0.56639398014535891</c:v>
                </c:pt>
                <c:pt idx="79">
                  <c:v>0.53617987035554016</c:v>
                </c:pt>
                <c:pt idx="80">
                  <c:v>0.53530650791012524</c:v>
                </c:pt>
                <c:pt idx="81">
                  <c:v>0.53301279823514303</c:v>
                </c:pt>
                <c:pt idx="82">
                  <c:v>0.53143591060878492</c:v>
                </c:pt>
                <c:pt idx="83">
                  <c:v>0.53057886704643331</c:v>
                </c:pt>
                <c:pt idx="84">
                  <c:v>0.51726447167616085</c:v>
                </c:pt>
                <c:pt idx="85">
                  <c:v>0.51726447167616085</c:v>
                </c:pt>
                <c:pt idx="86">
                  <c:v>0.51726447167616085</c:v>
                </c:pt>
                <c:pt idx="87">
                  <c:v>0.51204242909596409</c:v>
                </c:pt>
                <c:pt idx="88">
                  <c:v>0.51146220214260885</c:v>
                </c:pt>
                <c:pt idx="89">
                  <c:v>0.50872848702799889</c:v>
                </c:pt>
                <c:pt idx="90">
                  <c:v>0.50462761215454588</c:v>
                </c:pt>
                <c:pt idx="91">
                  <c:v>0.50068569529018903</c:v>
                </c:pt>
                <c:pt idx="92">
                  <c:v>0.49411946026805276</c:v>
                </c:pt>
                <c:pt idx="93">
                  <c:v>0.49411946026805276</c:v>
                </c:pt>
                <c:pt idx="94">
                  <c:v>0.49411946026805276</c:v>
                </c:pt>
                <c:pt idx="95">
                  <c:v>0.47887520587479793</c:v>
                </c:pt>
                <c:pt idx="96">
                  <c:v>0.46741149272449795</c:v>
                </c:pt>
                <c:pt idx="97">
                  <c:v>0.46646862392529576</c:v>
                </c:pt>
                <c:pt idx="98">
                  <c:v>0.46235505658723802</c:v>
                </c:pt>
                <c:pt idx="99">
                  <c:v>0.4612103171605143</c:v>
                </c:pt>
                <c:pt idx="100">
                  <c:v>0.45706229884710114</c:v>
                </c:pt>
                <c:pt idx="101">
                  <c:v>0.45479216089209895</c:v>
                </c:pt>
                <c:pt idx="102">
                  <c:v>0.44734954140916583</c:v>
                </c:pt>
              </c:numCache>
            </c:numRef>
          </c:val>
          <c:smooth val="0"/>
        </c:ser>
        <c:dLbls>
          <c:showLegendKey val="0"/>
          <c:showVal val="0"/>
          <c:showCatName val="0"/>
          <c:showSerName val="0"/>
          <c:showPercent val="0"/>
          <c:showBubbleSize val="0"/>
        </c:dLbls>
        <c:marker val="1"/>
        <c:smooth val="0"/>
        <c:axId val="454525696"/>
        <c:axId val="454527232"/>
      </c:lineChart>
      <c:dateAx>
        <c:axId val="4545256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4527232"/>
        <c:crosses val="autoZero"/>
        <c:auto val="1"/>
        <c:lblOffset val="100"/>
        <c:baseTimeUnit val="days"/>
      </c:dateAx>
      <c:valAx>
        <c:axId val="45452723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45256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82"/>
          <c:y val="0.25591598928767856"/>
          <c:w val="0.73476543486411572"/>
          <c:h val="0.48459074354391396"/>
        </c:manualLayout>
      </c:layout>
      <c:lineChart>
        <c:grouping val="standard"/>
        <c:varyColors val="0"/>
        <c:ser>
          <c:idx val="0"/>
          <c:order val="0"/>
          <c:tx>
            <c:strRef>
              <c:f>'used space Charts'!$I$2</c:f>
              <c:strCache>
                <c:ptCount val="1"/>
                <c:pt idx="0">
                  <c:v>RDC T3 V-MAX 3696</c:v>
                </c:pt>
              </c:strCache>
            </c:strRef>
          </c:tx>
          <c:cat>
            <c:numRef>
              <c:f>'used space Charts'!$A$11:$A$100</c:f>
              <c:numCache>
                <c:formatCode>[$-409]d\-mmm\-yy;@</c:formatCode>
                <c:ptCount val="90"/>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numCache>
            </c:numRef>
          </c:cat>
          <c:val>
            <c:numRef>
              <c:f>'used space Charts'!$I$11:$I$100</c:f>
              <c:numCache>
                <c:formatCode>0.00%</c:formatCode>
                <c:ptCount val="90"/>
                <c:pt idx="0">
                  <c:v>0.31553727766471179</c:v>
                </c:pt>
                <c:pt idx="1">
                  <c:v>0.31531629716157467</c:v>
                </c:pt>
                <c:pt idx="2">
                  <c:v>0.31398017798865591</c:v>
                </c:pt>
                <c:pt idx="3">
                  <c:v>0.31345933838316936</c:v>
                </c:pt>
                <c:pt idx="4">
                  <c:v>0.31304387095220315</c:v>
                </c:pt>
                <c:pt idx="5">
                  <c:v>0.31168005395055332</c:v>
                </c:pt>
                <c:pt idx="6">
                  <c:v>0.31065704066763811</c:v>
                </c:pt>
                <c:pt idx="7">
                  <c:v>0.30985621214128301</c:v>
                </c:pt>
                <c:pt idx="8">
                  <c:v>0.30905417936150481</c:v>
                </c:pt>
                <c:pt idx="9">
                  <c:v>0.30715446958657977</c:v>
                </c:pt>
                <c:pt idx="10">
                  <c:v>0.30523850239044303</c:v>
                </c:pt>
                <c:pt idx="11">
                  <c:v>0.30523850239044303</c:v>
                </c:pt>
                <c:pt idx="12">
                  <c:v>0.30442141644287624</c:v>
                </c:pt>
                <c:pt idx="13">
                  <c:v>0.303938510820217</c:v>
                </c:pt>
                <c:pt idx="14">
                  <c:v>0.303938510820217</c:v>
                </c:pt>
                <c:pt idx="15">
                  <c:v>0.30330025650597914</c:v>
                </c:pt>
                <c:pt idx="16">
                  <c:v>0.30148303809053578</c:v>
                </c:pt>
                <c:pt idx="17">
                  <c:v>0.30110550464239694</c:v>
                </c:pt>
                <c:pt idx="18">
                  <c:v>0.29703753657919774</c:v>
                </c:pt>
                <c:pt idx="19">
                  <c:v>0.29617830176182275</c:v>
                </c:pt>
                <c:pt idx="20">
                  <c:v>0.2950896566673491</c:v>
                </c:pt>
                <c:pt idx="21">
                  <c:v>0.29272992208480353</c:v>
                </c:pt>
                <c:pt idx="22">
                  <c:v>0.28689999999999999</c:v>
                </c:pt>
                <c:pt idx="23">
                  <c:v>0.2753804088322408</c:v>
                </c:pt>
                <c:pt idx="24">
                  <c:v>0.26910323408472769</c:v>
                </c:pt>
                <c:pt idx="25">
                  <c:v>0.26867933662455989</c:v>
                </c:pt>
                <c:pt idx="26">
                  <c:v>0.26061324233988992</c:v>
                </c:pt>
                <c:pt idx="27">
                  <c:v>0.25961491565102884</c:v>
                </c:pt>
                <c:pt idx="28">
                  <c:v>0.245810550350167</c:v>
                </c:pt>
                <c:pt idx="29">
                  <c:v>0.23374091314979295</c:v>
                </c:pt>
                <c:pt idx="30">
                  <c:v>0.2335012665743004</c:v>
                </c:pt>
                <c:pt idx="31">
                  <c:v>0.23438246999912363</c:v>
                </c:pt>
                <c:pt idx="32">
                  <c:v>0.22456762776248312</c:v>
                </c:pt>
                <c:pt idx="33">
                  <c:v>0.21863544742178315</c:v>
                </c:pt>
                <c:pt idx="34">
                  <c:v>0.21863544742178315</c:v>
                </c:pt>
                <c:pt idx="35">
                  <c:v>0.20166270281378154</c:v>
                </c:pt>
                <c:pt idx="36">
                  <c:v>0.18069548241650979</c:v>
                </c:pt>
                <c:pt idx="37">
                  <c:v>0.17841689659028065</c:v>
                </c:pt>
                <c:pt idx="38">
                  <c:v>0.17597995811511996</c:v>
                </c:pt>
                <c:pt idx="39">
                  <c:v>0.16327971303115377</c:v>
                </c:pt>
                <c:pt idx="40">
                  <c:v>0.16301921687966708</c:v>
                </c:pt>
                <c:pt idx="41">
                  <c:v>0.16047771730425769</c:v>
                </c:pt>
                <c:pt idx="42">
                  <c:v>0.15652917587116622</c:v>
                </c:pt>
                <c:pt idx="43">
                  <c:v>0.14871247812829586</c:v>
                </c:pt>
                <c:pt idx="44">
                  <c:v>0.14731208466427123</c:v>
                </c:pt>
                <c:pt idx="45">
                  <c:v>0.14719785317324807</c:v>
                </c:pt>
                <c:pt idx="46">
                  <c:v>0.14690774145001467</c:v>
                </c:pt>
                <c:pt idx="47">
                  <c:v>0.14656806897406222</c:v>
                </c:pt>
                <c:pt idx="48">
                  <c:v>0.14205683167778257</c:v>
                </c:pt>
                <c:pt idx="49">
                  <c:v>0.13840928115754578</c:v>
                </c:pt>
                <c:pt idx="50">
                  <c:v>0.1372718014427014</c:v>
                </c:pt>
                <c:pt idx="51">
                  <c:v>0.13724943866403552</c:v>
                </c:pt>
                <c:pt idx="52">
                  <c:v>0.13711163559549963</c:v>
                </c:pt>
                <c:pt idx="53">
                  <c:v>0.13408178128598064</c:v>
                </c:pt>
                <c:pt idx="54">
                  <c:v>0.10239311951696398</c:v>
                </c:pt>
                <c:pt idx="55">
                  <c:v>0.1372718014427014</c:v>
                </c:pt>
                <c:pt idx="56">
                  <c:v>0.13724943866403552</c:v>
                </c:pt>
                <c:pt idx="57">
                  <c:v>0.13711163559549963</c:v>
                </c:pt>
                <c:pt idx="58">
                  <c:v>0.13408178128598064</c:v>
                </c:pt>
                <c:pt idx="59">
                  <c:v>0.10239311951696398</c:v>
                </c:pt>
                <c:pt idx="60">
                  <c:v>0.10239311951696398</c:v>
                </c:pt>
                <c:pt idx="61">
                  <c:v>0.10238042712907253</c:v>
                </c:pt>
                <c:pt idx="62">
                  <c:v>0.10237800953137891</c:v>
                </c:pt>
                <c:pt idx="63">
                  <c:v>9.9834092358275894E-2</c:v>
                </c:pt>
                <c:pt idx="64">
                  <c:v>9.5759279229807218E-2</c:v>
                </c:pt>
                <c:pt idx="65">
                  <c:v>9.5640660196209121E-2</c:v>
                </c:pt>
                <c:pt idx="66">
                  <c:v>9.5543717737278724E-2</c:v>
                </c:pt>
                <c:pt idx="67">
                  <c:v>9.5540707101908207E-2</c:v>
                </c:pt>
                <c:pt idx="68">
                  <c:v>8.6121633281731044E-2</c:v>
                </c:pt>
                <c:pt idx="69">
                  <c:v>8.5373189328622298E-2</c:v>
                </c:pt>
                <c:pt idx="70">
                  <c:v>8.2987561861030276E-2</c:v>
                </c:pt>
                <c:pt idx="71">
                  <c:v>8.2836427965430684E-2</c:v>
                </c:pt>
                <c:pt idx="72">
                  <c:v>8.283582583835658E-2</c:v>
                </c:pt>
                <c:pt idx="73">
                  <c:v>8.2793676943169442E-2</c:v>
                </c:pt>
                <c:pt idx="74">
                  <c:v>8.1001144643567877E-2</c:v>
                </c:pt>
                <c:pt idx="75">
                  <c:v>8.0878310720451069E-2</c:v>
                </c:pt>
                <c:pt idx="76">
                  <c:v>7.9640337456097415E-2</c:v>
                </c:pt>
                <c:pt idx="77">
                  <c:v>7.8026636897504123E-2</c:v>
                </c:pt>
                <c:pt idx="78">
                  <c:v>5.3613394678039647E-2</c:v>
                </c:pt>
                <c:pt idx="79">
                  <c:v>5.3613394678039647E-2</c:v>
                </c:pt>
                <c:pt idx="80">
                  <c:v>5.3298482218284315E-2</c:v>
                </c:pt>
                <c:pt idx="81">
                  <c:v>4.8819861041113841E-2</c:v>
                </c:pt>
                <c:pt idx="82">
                  <c:v>4.8803603610113086E-2</c:v>
                </c:pt>
                <c:pt idx="83">
                  <c:v>4.8787948306186435E-2</c:v>
                </c:pt>
                <c:pt idx="84">
                  <c:v>4.5898942604645172E-2</c:v>
                </c:pt>
                <c:pt idx="85">
                  <c:v>4.5894125588052358E-2</c:v>
                </c:pt>
                <c:pt idx="86">
                  <c:v>4.5894125588052358E-2</c:v>
                </c:pt>
                <c:pt idx="87">
                  <c:v>4.5880878792422114E-2</c:v>
                </c:pt>
                <c:pt idx="88">
                  <c:v>4.5880878792422114E-2</c:v>
                </c:pt>
                <c:pt idx="89">
                  <c:v>4.3814980801178245E-2</c:v>
                </c:pt>
              </c:numCache>
            </c:numRef>
          </c:val>
          <c:smooth val="0"/>
        </c:ser>
        <c:dLbls>
          <c:showLegendKey val="0"/>
          <c:showVal val="0"/>
          <c:showCatName val="0"/>
          <c:showSerName val="0"/>
          <c:showPercent val="0"/>
          <c:showBubbleSize val="0"/>
        </c:dLbls>
        <c:marker val="1"/>
        <c:smooth val="0"/>
        <c:axId val="454552192"/>
        <c:axId val="454553984"/>
      </c:lineChart>
      <c:dateAx>
        <c:axId val="4545521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4553984"/>
        <c:crosses val="autoZero"/>
        <c:auto val="1"/>
        <c:lblOffset val="100"/>
        <c:baseTimeUnit val="days"/>
      </c:dateAx>
      <c:valAx>
        <c:axId val="45455398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45521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1378020076388065"/>
        </c:manualLayout>
      </c:layout>
      <c:lineChart>
        <c:grouping val="standard"/>
        <c:varyColors val="0"/>
        <c:ser>
          <c:idx val="0"/>
          <c:order val="0"/>
          <c:tx>
            <c:strRef>
              <c:f>'used space Charts'!$P$2</c:f>
              <c:strCache>
                <c:ptCount val="1"/>
                <c:pt idx="0">
                  <c:v>FDC T3 V-MAX 3875</c:v>
                </c:pt>
              </c:strCache>
            </c:strRef>
          </c:tx>
          <c:cat>
            <c:numRef>
              <c:f>'used space Charts'!$A$11:$A$99</c:f>
              <c:numCache>
                <c:formatCode>[$-409]d\-mmm\-yy;@</c:formatCode>
                <c:ptCount val="89"/>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numCache>
            </c:numRef>
          </c:cat>
          <c:val>
            <c:numRef>
              <c:f>'used space Charts'!$P$11:$P$100</c:f>
              <c:numCache>
                <c:formatCode>0.00%</c:formatCode>
                <c:ptCount val="90"/>
                <c:pt idx="0">
                  <c:v>0.32611502092997491</c:v>
                </c:pt>
                <c:pt idx="1">
                  <c:v>0.32589223351011815</c:v>
                </c:pt>
                <c:pt idx="2">
                  <c:v>0.32452781109553608</c:v>
                </c:pt>
                <c:pt idx="3">
                  <c:v>0.32397505744302663</c:v>
                </c:pt>
                <c:pt idx="4">
                  <c:v>0.32353429962860736</c:v>
                </c:pt>
                <c:pt idx="5">
                  <c:v>0.32216987721402524</c:v>
                </c:pt>
                <c:pt idx="6">
                  <c:v>0.32114746359533136</c:v>
                </c:pt>
                <c:pt idx="7">
                  <c:v>0.32027919478605177</c:v>
                </c:pt>
                <c:pt idx="8">
                  <c:v>0.31947595581824401</c:v>
                </c:pt>
                <c:pt idx="9">
                  <c:v>0.31755034995688763</c:v>
                </c:pt>
                <c:pt idx="10">
                  <c:v>0.3155753695862657</c:v>
                </c:pt>
                <c:pt idx="11">
                  <c:v>0.3155753695862657</c:v>
                </c:pt>
                <c:pt idx="12">
                  <c:v>0.31475767954257527</c:v>
                </c:pt>
                <c:pt idx="13">
                  <c:v>0.31427115998786109</c:v>
                </c:pt>
                <c:pt idx="14">
                  <c:v>0.31427115998786109</c:v>
                </c:pt>
                <c:pt idx="15">
                  <c:v>0.31363290413637962</c:v>
                </c:pt>
                <c:pt idx="16">
                  <c:v>0.31180845580620142</c:v>
                </c:pt>
                <c:pt idx="17">
                  <c:v>0.31143031932060672</c:v>
                </c:pt>
                <c:pt idx="18">
                  <c:v>0.30736234145965502</c:v>
                </c:pt>
                <c:pt idx="19">
                  <c:v>0.30650250244464033</c:v>
                </c:pt>
                <c:pt idx="20">
                  <c:v>0.30540542493388634</c:v>
                </c:pt>
                <c:pt idx="21">
                  <c:v>0.30302942720752224</c:v>
                </c:pt>
                <c:pt idx="22">
                  <c:v>0.29670000000000002</c:v>
                </c:pt>
                <c:pt idx="23">
                  <c:v>0.28523533577074811</c:v>
                </c:pt>
                <c:pt idx="24">
                  <c:v>0.27895875181240576</c:v>
                </c:pt>
                <c:pt idx="25">
                  <c:v>0.27841322369783761</c:v>
                </c:pt>
                <c:pt idx="26">
                  <c:v>0.27034109356108227</c:v>
                </c:pt>
                <c:pt idx="27">
                  <c:v>0.26874424967605504</c:v>
                </c:pt>
                <c:pt idx="28">
                  <c:v>0.25488687216096573</c:v>
                </c:pt>
                <c:pt idx="29">
                  <c:v>0.24275278544487638</c:v>
                </c:pt>
                <c:pt idx="30">
                  <c:v>0.24251554694913702</c:v>
                </c:pt>
                <c:pt idx="31">
                  <c:v>0.24343077075571823</c:v>
                </c:pt>
                <c:pt idx="32">
                  <c:v>0.2330314554206265</c:v>
                </c:pt>
                <c:pt idx="33">
                  <c:v>0.23048088522917659</c:v>
                </c:pt>
                <c:pt idx="34">
                  <c:v>0.22707327510135794</c:v>
                </c:pt>
                <c:pt idx="35">
                  <c:v>0.20894005072129157</c:v>
                </c:pt>
                <c:pt idx="36">
                  <c:v>0.18793229747142998</c:v>
                </c:pt>
                <c:pt idx="37">
                  <c:v>0.1856597515188585</c:v>
                </c:pt>
                <c:pt idx="38">
                  <c:v>0.18322280862503715</c:v>
                </c:pt>
                <c:pt idx="39">
                  <c:v>0.17037929758989248</c:v>
                </c:pt>
                <c:pt idx="40">
                  <c:v>0.17005775651362437</c:v>
                </c:pt>
                <c:pt idx="41">
                  <c:v>0.16739235022350729</c:v>
                </c:pt>
                <c:pt idx="42">
                  <c:v>0.16324737146214155</c:v>
                </c:pt>
                <c:pt idx="43">
                  <c:v>0.15463345526106473</c:v>
                </c:pt>
                <c:pt idx="44">
                  <c:v>0.15297014503194861</c:v>
                </c:pt>
                <c:pt idx="45">
                  <c:v>0.15285530893328142</c:v>
                </c:pt>
                <c:pt idx="46">
                  <c:v>0.15254948227051515</c:v>
                </c:pt>
                <c:pt idx="47">
                  <c:v>0.15218684195893459</c:v>
                </c:pt>
                <c:pt idx="48">
                  <c:v>0.14766471727352506</c:v>
                </c:pt>
                <c:pt idx="49">
                  <c:v>0.14402259974421769</c:v>
                </c:pt>
                <c:pt idx="50">
                  <c:v>0.14285127153781249</c:v>
                </c:pt>
                <c:pt idx="51">
                  <c:v>0.14281621630769306</c:v>
                </c:pt>
                <c:pt idx="52">
                  <c:v>0.14266874258098361</c:v>
                </c:pt>
                <c:pt idx="53">
                  <c:v>0.86044512889445468</c:v>
                </c:pt>
                <c:pt idx="54">
                  <c:v>0.10522129520613684</c:v>
                </c:pt>
                <c:pt idx="55">
                  <c:v>0.14285127153781249</c:v>
                </c:pt>
                <c:pt idx="56">
                  <c:v>0.14281621630769306</c:v>
                </c:pt>
                <c:pt idx="57">
                  <c:v>0.14266874258098361</c:v>
                </c:pt>
                <c:pt idx="58">
                  <c:v>0.86044512889445468</c:v>
                </c:pt>
                <c:pt idx="59">
                  <c:v>0.10522129520613684</c:v>
                </c:pt>
                <c:pt idx="60">
                  <c:v>0.10522129520613684</c:v>
                </c:pt>
                <c:pt idx="61">
                  <c:v>0.10520799839471222</c:v>
                </c:pt>
                <c:pt idx="62">
                  <c:v>0.10520558079263501</c:v>
                </c:pt>
                <c:pt idx="63">
                  <c:v>0.1026622634074167</c:v>
                </c:pt>
                <c:pt idx="64">
                  <c:v>9.6986957935427928E-2</c:v>
                </c:pt>
                <c:pt idx="65">
                  <c:v>9.6868941099965078E-2</c:v>
                </c:pt>
                <c:pt idx="66">
                  <c:v>9.6771396572694762E-2</c:v>
                </c:pt>
                <c:pt idx="67">
                  <c:v>8.734931779043581E-2</c:v>
                </c:pt>
                <c:pt idx="68">
                  <c:v>8.734931779043581E-2</c:v>
                </c:pt>
                <c:pt idx="69">
                  <c:v>8.6601476414696704E-2</c:v>
                </c:pt>
                <c:pt idx="70">
                  <c:v>8.4215850383554711E-2</c:v>
                </c:pt>
                <c:pt idx="71">
                  <c:v>8.4047254904322063E-2</c:v>
                </c:pt>
                <c:pt idx="72">
                  <c:v>8.4047254904322063E-2</c:v>
                </c:pt>
                <c:pt idx="73">
                  <c:v>8.3983429472898274E-2</c:v>
                </c:pt>
                <c:pt idx="74">
                  <c:v>8.2190296125916731E-2</c:v>
                </c:pt>
                <c:pt idx="75">
                  <c:v>8.2067462276761524E-2</c:v>
                </c:pt>
                <c:pt idx="76">
                  <c:v>8.0760847312708495E-2</c:v>
                </c:pt>
                <c:pt idx="77">
                  <c:v>8.1313599633906955E-2</c:v>
                </c:pt>
                <c:pt idx="78">
                  <c:v>7.8507689158106436E-2</c:v>
                </c:pt>
                <c:pt idx="79">
                  <c:v>5.4736930839725917E-2</c:v>
                </c:pt>
                <c:pt idx="80">
                  <c:v>5.4417803682606972E-2</c:v>
                </c:pt>
                <c:pt idx="81">
                  <c:v>4.9939185202133932E-2</c:v>
                </c:pt>
                <c:pt idx="82">
                  <c:v>4.9919917147364497E-2</c:v>
                </c:pt>
                <c:pt idx="83">
                  <c:v>4.9898240585748863E-2</c:v>
                </c:pt>
                <c:pt idx="84">
                  <c:v>4.7003215356639649E-2</c:v>
                </c:pt>
                <c:pt idx="85">
                  <c:v>4.6998398342947285E-2</c:v>
                </c:pt>
                <c:pt idx="86">
                  <c:v>4.6993581329254928E-2</c:v>
                </c:pt>
                <c:pt idx="87">
                  <c:v>4.6980334541600929E-2</c:v>
                </c:pt>
                <c:pt idx="88">
                  <c:v>4.6980334541600929E-2</c:v>
                </c:pt>
                <c:pt idx="89">
                  <c:v>4.4913835667577881E-2</c:v>
                </c:pt>
              </c:numCache>
            </c:numRef>
          </c:val>
          <c:smooth val="0"/>
        </c:ser>
        <c:dLbls>
          <c:showLegendKey val="0"/>
          <c:showVal val="0"/>
          <c:showCatName val="0"/>
          <c:showSerName val="0"/>
          <c:showPercent val="0"/>
          <c:showBubbleSize val="0"/>
        </c:dLbls>
        <c:marker val="1"/>
        <c:smooth val="0"/>
        <c:axId val="454640384"/>
        <c:axId val="454641920"/>
      </c:lineChart>
      <c:dateAx>
        <c:axId val="4546403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4641920"/>
        <c:crosses val="autoZero"/>
        <c:auto val="1"/>
        <c:lblOffset val="100"/>
        <c:baseTimeUnit val="days"/>
      </c:dateAx>
      <c:valAx>
        <c:axId val="454641920"/>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46403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1378020076388065"/>
        </c:manualLayout>
      </c:layout>
      <c:lineChart>
        <c:grouping val="standard"/>
        <c:varyColors val="0"/>
        <c:ser>
          <c:idx val="0"/>
          <c:order val="0"/>
          <c:tx>
            <c:strRef>
              <c:f>'used space Charts'!$T$2</c:f>
              <c:strCache>
                <c:ptCount val="1"/>
                <c:pt idx="0">
                  <c:v>ZDC T4 VMAX 0377</c:v>
                </c:pt>
              </c:strCache>
            </c:strRef>
          </c:tx>
          <c:cat>
            <c:numRef>
              <c:f>'used space Charts'!$A$11:$A$97</c:f>
              <c:numCache>
                <c:formatCode>[$-409]d\-mmm\-yy;@</c:formatCode>
                <c:ptCount val="87"/>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numCache>
            </c:numRef>
          </c:cat>
          <c:val>
            <c:numRef>
              <c:f>'used space Charts'!$T$11:$T$99</c:f>
              <c:numCache>
                <c:formatCode>0.00%</c:formatCode>
                <c:ptCount val="89"/>
                <c:pt idx="0">
                  <c:v>0.349145525150723</c:v>
                </c:pt>
                <c:pt idx="1">
                  <c:v>0.349145525150723</c:v>
                </c:pt>
                <c:pt idx="2">
                  <c:v>0.349145525150723</c:v>
                </c:pt>
                <c:pt idx="3">
                  <c:v>0.349145525150723</c:v>
                </c:pt>
                <c:pt idx="4">
                  <c:v>0.349145525150723</c:v>
                </c:pt>
                <c:pt idx="5">
                  <c:v>0.349145525150723</c:v>
                </c:pt>
                <c:pt idx="6">
                  <c:v>0.349145525150723</c:v>
                </c:pt>
                <c:pt idx="7">
                  <c:v>0.349145525150723</c:v>
                </c:pt>
                <c:pt idx="8">
                  <c:v>0.349145525150723</c:v>
                </c:pt>
                <c:pt idx="9">
                  <c:v>0.349145525150723</c:v>
                </c:pt>
                <c:pt idx="10">
                  <c:v>0.349145525150723</c:v>
                </c:pt>
                <c:pt idx="11">
                  <c:v>0.349145525150723</c:v>
                </c:pt>
                <c:pt idx="12">
                  <c:v>0.349145525150723</c:v>
                </c:pt>
                <c:pt idx="13">
                  <c:v>0.30904942506157357</c:v>
                </c:pt>
                <c:pt idx="14">
                  <c:v>0.30904942506157357</c:v>
                </c:pt>
                <c:pt idx="15">
                  <c:v>0.30904942506157357</c:v>
                </c:pt>
                <c:pt idx="16">
                  <c:v>0.30904942506157357</c:v>
                </c:pt>
                <c:pt idx="17">
                  <c:v>0.30904942506157357</c:v>
                </c:pt>
                <c:pt idx="18">
                  <c:v>0.30904942506157357</c:v>
                </c:pt>
                <c:pt idx="19">
                  <c:v>0.30904942506157357</c:v>
                </c:pt>
                <c:pt idx="20">
                  <c:v>0.30904942506157357</c:v>
                </c:pt>
                <c:pt idx="21">
                  <c:v>0.28577386258896059</c:v>
                </c:pt>
                <c:pt idx="22">
                  <c:v>0.2858</c:v>
                </c:pt>
                <c:pt idx="23">
                  <c:v>0.28577386258896059</c:v>
                </c:pt>
                <c:pt idx="24">
                  <c:v>0.28577386258896059</c:v>
                </c:pt>
                <c:pt idx="25">
                  <c:v>0.22119641588975689</c:v>
                </c:pt>
                <c:pt idx="26">
                  <c:v>0.22119641588975689</c:v>
                </c:pt>
                <c:pt idx="27">
                  <c:v>0.22119641588975689</c:v>
                </c:pt>
                <c:pt idx="28">
                  <c:v>0.22119641588975689</c:v>
                </c:pt>
                <c:pt idx="29">
                  <c:v>0.22119641588975689</c:v>
                </c:pt>
                <c:pt idx="30">
                  <c:v>0.22119641588975689</c:v>
                </c:pt>
                <c:pt idx="31">
                  <c:v>0.22119641588975689</c:v>
                </c:pt>
                <c:pt idx="32">
                  <c:v>0.22119641588975689</c:v>
                </c:pt>
                <c:pt idx="33">
                  <c:v>0.22119641588975689</c:v>
                </c:pt>
                <c:pt idx="34">
                  <c:v>0.22119641588975689</c:v>
                </c:pt>
                <c:pt idx="35">
                  <c:v>0.22119641588975689</c:v>
                </c:pt>
                <c:pt idx="36">
                  <c:v>0.21148063643643947</c:v>
                </c:pt>
                <c:pt idx="37">
                  <c:v>0.20851603934664026</c:v>
                </c:pt>
                <c:pt idx="38">
                  <c:v>0.20851603934664026</c:v>
                </c:pt>
                <c:pt idx="39">
                  <c:v>0.20069506353787342</c:v>
                </c:pt>
                <c:pt idx="40">
                  <c:v>0.20069506353787342</c:v>
                </c:pt>
                <c:pt idx="41">
                  <c:v>0.20069506353787342</c:v>
                </c:pt>
                <c:pt idx="42">
                  <c:v>0.20069506353787342</c:v>
                </c:pt>
                <c:pt idx="43">
                  <c:v>0.18917816291684925</c:v>
                </c:pt>
                <c:pt idx="44">
                  <c:v>0.18457261147459242</c:v>
                </c:pt>
                <c:pt idx="45">
                  <c:v>0.18302533959897854</c:v>
                </c:pt>
                <c:pt idx="46">
                  <c:v>0.18028134963206963</c:v>
                </c:pt>
                <c:pt idx="47">
                  <c:v>0.17748900741904775</c:v>
                </c:pt>
                <c:pt idx="48">
                  <c:v>0.17727444432692163</c:v>
                </c:pt>
                <c:pt idx="49">
                  <c:v>0.17460298272918209</c:v>
                </c:pt>
                <c:pt idx="50">
                  <c:v>0.17292576419213973</c:v>
                </c:pt>
                <c:pt idx="51">
                  <c:v>0.17099469636300449</c:v>
                </c:pt>
                <c:pt idx="52">
                  <c:v>0.16901527628775631</c:v>
                </c:pt>
                <c:pt idx="53">
                  <c:v>0.16777322796573035</c:v>
                </c:pt>
                <c:pt idx="54">
                  <c:v>0.1527326574092262</c:v>
                </c:pt>
                <c:pt idx="55">
                  <c:v>0.17292576419213973</c:v>
                </c:pt>
                <c:pt idx="56">
                  <c:v>0.17099469636300449</c:v>
                </c:pt>
                <c:pt idx="57">
                  <c:v>0.16901527628775631</c:v>
                </c:pt>
                <c:pt idx="58">
                  <c:v>0.16777322796573035</c:v>
                </c:pt>
                <c:pt idx="59">
                  <c:v>0.1527326574092262</c:v>
                </c:pt>
                <c:pt idx="60">
                  <c:v>0.1527326574092262</c:v>
                </c:pt>
                <c:pt idx="61">
                  <c:v>0.1520315498405887</c:v>
                </c:pt>
                <c:pt idx="62">
                  <c:v>0.15000377751922755</c:v>
                </c:pt>
                <c:pt idx="63">
                  <c:v>0.14198032667986279</c:v>
                </c:pt>
                <c:pt idx="64">
                  <c:v>0.14114625043441473</c:v>
                </c:pt>
                <c:pt idx="65">
                  <c:v>0.14084404889620888</c:v>
                </c:pt>
                <c:pt idx="66">
                  <c:v>0.14027893201976396</c:v>
                </c:pt>
                <c:pt idx="67">
                  <c:v>0.13979540955863465</c:v>
                </c:pt>
                <c:pt idx="68">
                  <c:v>0.13460963116302263</c:v>
                </c:pt>
                <c:pt idx="69">
                  <c:v>0.12060863389794654</c:v>
                </c:pt>
                <c:pt idx="70">
                  <c:v>0.10476118523443284</c:v>
                </c:pt>
                <c:pt idx="71">
                  <c:v>0.10436227920400115</c:v>
                </c:pt>
                <c:pt idx="72">
                  <c:v>0.10415980417340323</c:v>
                </c:pt>
                <c:pt idx="73">
                  <c:v>0.10401776945044651</c:v>
                </c:pt>
                <c:pt idx="74">
                  <c:v>0.10391502092745651</c:v>
                </c:pt>
                <c:pt idx="75">
                  <c:v>0.10391502092745651</c:v>
                </c:pt>
                <c:pt idx="76">
                  <c:v>0.10381227240446653</c:v>
                </c:pt>
                <c:pt idx="77">
                  <c:v>0.10059382602257445</c:v>
                </c:pt>
                <c:pt idx="78">
                  <c:v>9.5172330427161875E-2</c:v>
                </c:pt>
                <c:pt idx="79">
                  <c:v>9.5172330427161875E-2</c:v>
                </c:pt>
                <c:pt idx="80">
                  <c:v>9.0261555431317156E-2</c:v>
                </c:pt>
                <c:pt idx="81">
                  <c:v>7.1899789969930947E-2</c:v>
                </c:pt>
                <c:pt idx="82">
                  <c:v>7.1286320847373116E-2</c:v>
                </c:pt>
                <c:pt idx="83">
                  <c:v>7.1126154032124023E-2</c:v>
                </c:pt>
                <c:pt idx="84">
                  <c:v>6.9763225094815737E-2</c:v>
                </c:pt>
                <c:pt idx="85">
                  <c:v>6.6529668636013353E-2</c:v>
                </c:pt>
                <c:pt idx="86">
                  <c:v>6.5426633021562083E-2</c:v>
                </c:pt>
                <c:pt idx="87">
                  <c:v>6.1912029132228277E-2</c:v>
                </c:pt>
                <c:pt idx="88">
                  <c:v>5.9258699626781104E-2</c:v>
                </c:pt>
              </c:numCache>
            </c:numRef>
          </c:val>
          <c:smooth val="0"/>
        </c:ser>
        <c:dLbls>
          <c:showLegendKey val="0"/>
          <c:showVal val="0"/>
          <c:showCatName val="0"/>
          <c:showSerName val="0"/>
          <c:showPercent val="0"/>
          <c:showBubbleSize val="0"/>
        </c:dLbls>
        <c:marker val="1"/>
        <c:smooth val="0"/>
        <c:axId val="454679168"/>
        <c:axId val="454685056"/>
      </c:lineChart>
      <c:dateAx>
        <c:axId val="45467916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4685056"/>
        <c:crosses val="autoZero"/>
        <c:auto val="1"/>
        <c:lblOffset val="100"/>
        <c:baseTimeUnit val="days"/>
      </c:dateAx>
      <c:valAx>
        <c:axId val="454685056"/>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46791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124391104896773"/>
          <c:y val="0.21744998239178215"/>
          <c:w val="0.74117753500911165"/>
          <c:h val="0.53416484159011479"/>
        </c:manualLayout>
      </c:layout>
      <c:lineChart>
        <c:grouping val="standard"/>
        <c:varyColors val="0"/>
        <c:ser>
          <c:idx val="0"/>
          <c:order val="0"/>
          <c:tx>
            <c:strRef>
              <c:f>'used space Charts'!$S$2</c:f>
              <c:strCache>
                <c:ptCount val="1"/>
                <c:pt idx="0">
                  <c:v>ZDC T4 VMAX 1383</c:v>
                </c:pt>
              </c:strCache>
            </c:strRef>
          </c:tx>
          <c:cat>
            <c:numRef>
              <c:f>'used space Charts'!$A$11:$A$97</c:f>
              <c:numCache>
                <c:formatCode>[$-409]d\-mmm\-yy;@</c:formatCode>
                <c:ptCount val="87"/>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numCache>
            </c:numRef>
          </c:cat>
          <c:val>
            <c:numRef>
              <c:f>'used space Charts'!$S$11:$S$99</c:f>
              <c:numCache>
                <c:formatCode>0.00%</c:formatCode>
                <c:ptCount val="8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numCache>
            </c:numRef>
          </c:val>
          <c:smooth val="0"/>
        </c:ser>
        <c:dLbls>
          <c:showLegendKey val="0"/>
          <c:showVal val="0"/>
          <c:showCatName val="0"/>
          <c:showSerName val="0"/>
          <c:showPercent val="0"/>
          <c:showBubbleSize val="0"/>
        </c:dLbls>
        <c:marker val="1"/>
        <c:smooth val="0"/>
        <c:axId val="454722304"/>
        <c:axId val="454723840"/>
      </c:lineChart>
      <c:dateAx>
        <c:axId val="45472230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4723840"/>
        <c:crosses val="autoZero"/>
        <c:auto val="1"/>
        <c:lblOffset val="100"/>
        <c:baseTimeUnit val="days"/>
      </c:dateAx>
      <c:valAx>
        <c:axId val="454723840"/>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47223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2508998749050954"/>
          <c:y val="2.5418462276433448E-2"/>
        </c:manualLayout>
      </c:layout>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04"/>
          <c:y val="0.21343873517788062"/>
          <c:w val="0.74117753500911165"/>
          <c:h val="0.54062783460932795"/>
        </c:manualLayout>
      </c:layout>
      <c:lineChart>
        <c:grouping val="standard"/>
        <c:varyColors val="0"/>
        <c:ser>
          <c:idx val="0"/>
          <c:order val="0"/>
          <c:tx>
            <c:strRef>
              <c:f>'used space Charts'!$C$2</c:f>
              <c:strCache>
                <c:ptCount val="1"/>
                <c:pt idx="0">
                  <c:v>CGC T3 V-MAX 0745</c:v>
                </c:pt>
              </c:strCache>
            </c:strRef>
          </c:tx>
          <c:cat>
            <c:numRef>
              <c:f>'used space Charts'!$A$11:$A$113</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Charts'!$C$11:$C$113</c:f>
              <c:numCache>
                <c:formatCode>0.00%</c:formatCode>
                <c:ptCount val="103"/>
                <c:pt idx="0">
                  <c:v>0.57850457789733634</c:v>
                </c:pt>
                <c:pt idx="1">
                  <c:v>0.57813850556117685</c:v>
                </c:pt>
                <c:pt idx="2">
                  <c:v>0.57784019979178392</c:v>
                </c:pt>
                <c:pt idx="3">
                  <c:v>0.57677520168858332</c:v>
                </c:pt>
                <c:pt idx="4">
                  <c:v>0.57651343671499566</c:v>
                </c:pt>
                <c:pt idx="5">
                  <c:v>0.57300817783010127</c:v>
                </c:pt>
                <c:pt idx="6">
                  <c:v>0.57286600091551299</c:v>
                </c:pt>
                <c:pt idx="7">
                  <c:v>0.5726932626080693</c:v>
                </c:pt>
                <c:pt idx="8">
                  <c:v>0.57171596241480183</c:v>
                </c:pt>
                <c:pt idx="9">
                  <c:v>0.56682082453309168</c:v>
                </c:pt>
                <c:pt idx="10">
                  <c:v>0.56476058802777362</c:v>
                </c:pt>
                <c:pt idx="11">
                  <c:v>0.56476058802777362</c:v>
                </c:pt>
                <c:pt idx="12">
                  <c:v>0.56333948325999705</c:v>
                </c:pt>
                <c:pt idx="13">
                  <c:v>0.56273091291531097</c:v>
                </c:pt>
                <c:pt idx="14">
                  <c:v>0.56273091291531097</c:v>
                </c:pt>
                <c:pt idx="15">
                  <c:v>0.55710030847075431</c:v>
                </c:pt>
                <c:pt idx="16">
                  <c:v>0.55513972868126926</c:v>
                </c:pt>
                <c:pt idx="17">
                  <c:v>0.55513972868126926</c:v>
                </c:pt>
                <c:pt idx="18">
                  <c:v>0.55490985385674807</c:v>
                </c:pt>
                <c:pt idx="19">
                  <c:v>0.55433715992976196</c:v>
                </c:pt>
                <c:pt idx="20">
                  <c:v>0.56120948705359597</c:v>
                </c:pt>
                <c:pt idx="21">
                  <c:v>0.56102611869646357</c:v>
                </c:pt>
                <c:pt idx="22">
                  <c:v>0.55869999999999997</c:v>
                </c:pt>
                <c:pt idx="23">
                  <c:v>0.55751155851809131</c:v>
                </c:pt>
                <c:pt idx="24">
                  <c:v>0.55731025195210893</c:v>
                </c:pt>
                <c:pt idx="25">
                  <c:v>0.5567475236967061</c:v>
                </c:pt>
                <c:pt idx="26">
                  <c:v>0.55370932262001493</c:v>
                </c:pt>
                <c:pt idx="27">
                  <c:v>0.55306221834520686</c:v>
                </c:pt>
                <c:pt idx="28">
                  <c:v>0.55216397914649995</c:v>
                </c:pt>
                <c:pt idx="29">
                  <c:v>0.54977952612567238</c:v>
                </c:pt>
                <c:pt idx="30">
                  <c:v>0.54977155358840579</c:v>
                </c:pt>
                <c:pt idx="31">
                  <c:v>0.54977155358840579</c:v>
                </c:pt>
                <c:pt idx="32">
                  <c:v>0.54970511577785053</c:v>
                </c:pt>
                <c:pt idx="33">
                  <c:v>0.54955098005736236</c:v>
                </c:pt>
                <c:pt idx="34">
                  <c:v>0.54955098005736236</c:v>
                </c:pt>
                <c:pt idx="35">
                  <c:v>0.54930316702399129</c:v>
                </c:pt>
                <c:pt idx="36">
                  <c:v>0.54437946088374245</c:v>
                </c:pt>
                <c:pt idx="37">
                  <c:v>0.54437946088374245</c:v>
                </c:pt>
                <c:pt idx="38">
                  <c:v>0.54207805512610896</c:v>
                </c:pt>
                <c:pt idx="39">
                  <c:v>0.54063834777137687</c:v>
                </c:pt>
                <c:pt idx="40">
                  <c:v>0.53936672807734953</c:v>
                </c:pt>
                <c:pt idx="41">
                  <c:v>0.53913286698419505</c:v>
                </c:pt>
                <c:pt idx="42">
                  <c:v>0.53888173206029621</c:v>
                </c:pt>
                <c:pt idx="43">
                  <c:v>0.5358833936699382</c:v>
                </c:pt>
                <c:pt idx="44">
                  <c:v>0.53444966571815622</c:v>
                </c:pt>
                <c:pt idx="45">
                  <c:v>0.53426031795807372</c:v>
                </c:pt>
                <c:pt idx="46">
                  <c:v>0.53361254930516011</c:v>
                </c:pt>
                <c:pt idx="47">
                  <c:v>0.52864698734426141</c:v>
                </c:pt>
                <c:pt idx="48">
                  <c:v>0.52792215083110383</c:v>
                </c:pt>
                <c:pt idx="49">
                  <c:v>0.52620938407498963</c:v>
                </c:pt>
                <c:pt idx="50">
                  <c:v>0.52571774427688089</c:v>
                </c:pt>
                <c:pt idx="51">
                  <c:v>0.52460623970629172</c:v>
                </c:pt>
                <c:pt idx="52">
                  <c:v>0.52423883861392118</c:v>
                </c:pt>
                <c:pt idx="53">
                  <c:v>0.52350735831970807</c:v>
                </c:pt>
                <c:pt idx="54">
                  <c:v>0.52281241882130014</c:v>
                </c:pt>
                <c:pt idx="55">
                  <c:v>0.52571774427688089</c:v>
                </c:pt>
                <c:pt idx="56">
                  <c:v>0.52460623970629172</c:v>
                </c:pt>
                <c:pt idx="57">
                  <c:v>0.52423883861392118</c:v>
                </c:pt>
                <c:pt idx="58">
                  <c:v>0.52350735831970807</c:v>
                </c:pt>
                <c:pt idx="59">
                  <c:v>0.52281241882130014</c:v>
                </c:pt>
                <c:pt idx="60">
                  <c:v>0.52281241882130014</c:v>
                </c:pt>
                <c:pt idx="61">
                  <c:v>0.52214272569090336</c:v>
                </c:pt>
                <c:pt idx="62">
                  <c:v>0.52211083554183679</c:v>
                </c:pt>
                <c:pt idx="63">
                  <c:v>0.52196002171187639</c:v>
                </c:pt>
                <c:pt idx="64">
                  <c:v>0.52170004743688048</c:v>
                </c:pt>
                <c:pt idx="65">
                  <c:v>0.52167280777167579</c:v>
                </c:pt>
                <c:pt idx="66">
                  <c:v>0.52005105111888583</c:v>
                </c:pt>
                <c:pt idx="67">
                  <c:v>0.52002314707160313</c:v>
                </c:pt>
                <c:pt idx="68">
                  <c:v>0.51951755231012298</c:v>
                </c:pt>
                <c:pt idx="69">
                  <c:v>0.5189103070906842</c:v>
                </c:pt>
                <c:pt idx="70">
                  <c:v>0.51861930774044984</c:v>
                </c:pt>
                <c:pt idx="71">
                  <c:v>0.51693775670062547</c:v>
                </c:pt>
                <c:pt idx="72">
                  <c:v>0.51687929107774733</c:v>
                </c:pt>
                <c:pt idx="73">
                  <c:v>7.0000000000000007E-2</c:v>
                </c:pt>
                <c:pt idx="74">
                  <c:v>0.5163703744058763</c:v>
                </c:pt>
                <c:pt idx="75">
                  <c:v>0.5161258818011133</c:v>
                </c:pt>
                <c:pt idx="76">
                  <c:v>0.51565882120016637</c:v>
                </c:pt>
                <c:pt idx="77">
                  <c:v>0.51547810927490678</c:v>
                </c:pt>
                <c:pt idx="78">
                  <c:v>0.51541167106709074</c:v>
                </c:pt>
                <c:pt idx="79">
                  <c:v>0.51516850722648388</c:v>
                </c:pt>
                <c:pt idx="80">
                  <c:v>0.51508213755632304</c:v>
                </c:pt>
                <c:pt idx="81">
                  <c:v>0.51455328942210721</c:v>
                </c:pt>
                <c:pt idx="82">
                  <c:v>0.51443702255842905</c:v>
                </c:pt>
                <c:pt idx="83">
                  <c:v>0.51431809816643836</c:v>
                </c:pt>
                <c:pt idx="84">
                  <c:v>0.51316805278914235</c:v>
                </c:pt>
                <c:pt idx="85">
                  <c:v>0.51296142996283456</c:v>
                </c:pt>
                <c:pt idx="86">
                  <c:v>0.51289831366540928</c:v>
                </c:pt>
                <c:pt idx="87">
                  <c:v>0.51277274545263685</c:v>
                </c:pt>
                <c:pt idx="88">
                  <c:v>0.51253157475826461</c:v>
                </c:pt>
                <c:pt idx="89">
                  <c:v>0.51253157475826461</c:v>
                </c:pt>
                <c:pt idx="90">
                  <c:v>0.5121223153981177</c:v>
                </c:pt>
                <c:pt idx="91">
                  <c:v>0.51185058312815013</c:v>
                </c:pt>
                <c:pt idx="92">
                  <c:v>0.51174561075980074</c:v>
                </c:pt>
                <c:pt idx="93">
                  <c:v>0.51170441907095476</c:v>
                </c:pt>
                <c:pt idx="94">
                  <c:v>0.50924819852799508</c:v>
                </c:pt>
                <c:pt idx="95">
                  <c:v>0.50768092120561437</c:v>
                </c:pt>
                <c:pt idx="96">
                  <c:v>0.50745636006319605</c:v>
                </c:pt>
                <c:pt idx="97">
                  <c:v>0.50730554533145367</c:v>
                </c:pt>
                <c:pt idx="98">
                  <c:v>0.5071354635194445</c:v>
                </c:pt>
                <c:pt idx="99">
                  <c:v>0.50628571884147711</c:v>
                </c:pt>
                <c:pt idx="100">
                  <c:v>0.50613025343518758</c:v>
                </c:pt>
                <c:pt idx="101">
                  <c:v>0.50580071992441988</c:v>
                </c:pt>
                <c:pt idx="102">
                  <c:v>0.50553496709315571</c:v>
                </c:pt>
              </c:numCache>
            </c:numRef>
          </c:val>
          <c:smooth val="0"/>
        </c:ser>
        <c:dLbls>
          <c:showLegendKey val="0"/>
          <c:showVal val="0"/>
          <c:showCatName val="0"/>
          <c:showSerName val="0"/>
          <c:showPercent val="0"/>
          <c:showBubbleSize val="0"/>
        </c:dLbls>
        <c:marker val="1"/>
        <c:smooth val="0"/>
        <c:axId val="454743936"/>
        <c:axId val="454745472"/>
      </c:lineChart>
      <c:dateAx>
        <c:axId val="4547439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4745472"/>
        <c:crosses val="autoZero"/>
        <c:auto val="1"/>
        <c:lblOffset val="100"/>
        <c:baseTimeUnit val="days"/>
      </c:dateAx>
      <c:valAx>
        <c:axId val="45474547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47439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9570434648693794"/>
          <c:y val="0.19152187288132491"/>
          <c:w val="0.76143851503852744"/>
          <c:h val="0.56534299693528367"/>
        </c:manualLayout>
      </c:layout>
      <c:lineChart>
        <c:grouping val="standard"/>
        <c:varyColors val="0"/>
        <c:ser>
          <c:idx val="0"/>
          <c:order val="0"/>
          <c:tx>
            <c:strRef>
              <c:f>'used space Charts'!$C$2</c:f>
              <c:strCache>
                <c:ptCount val="1"/>
                <c:pt idx="0">
                  <c:v>CGC T3 V-MAX 0745</c:v>
                </c:pt>
              </c:strCache>
            </c:strRef>
          </c:tx>
          <c:cat>
            <c:numRef>
              <c:f>'used space Charts'!$A$11:$A$113</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Charts'!$C$11:$C$113</c:f>
              <c:numCache>
                <c:formatCode>0.00%</c:formatCode>
                <c:ptCount val="103"/>
                <c:pt idx="0">
                  <c:v>0.57850457789733634</c:v>
                </c:pt>
                <c:pt idx="1">
                  <c:v>0.57813850556117685</c:v>
                </c:pt>
                <c:pt idx="2">
                  <c:v>0.57784019979178392</c:v>
                </c:pt>
                <c:pt idx="3">
                  <c:v>0.57677520168858332</c:v>
                </c:pt>
                <c:pt idx="4">
                  <c:v>0.57651343671499566</c:v>
                </c:pt>
                <c:pt idx="5">
                  <c:v>0.57300817783010127</c:v>
                </c:pt>
                <c:pt idx="6">
                  <c:v>0.57286600091551299</c:v>
                </c:pt>
                <c:pt idx="7">
                  <c:v>0.5726932626080693</c:v>
                </c:pt>
                <c:pt idx="8">
                  <c:v>0.57171596241480183</c:v>
                </c:pt>
                <c:pt idx="9">
                  <c:v>0.56682082453309168</c:v>
                </c:pt>
                <c:pt idx="10">
                  <c:v>0.56476058802777362</c:v>
                </c:pt>
                <c:pt idx="11">
                  <c:v>0.56476058802777362</c:v>
                </c:pt>
                <c:pt idx="12">
                  <c:v>0.56333948325999705</c:v>
                </c:pt>
                <c:pt idx="13">
                  <c:v>0.56273091291531097</c:v>
                </c:pt>
                <c:pt idx="14">
                  <c:v>0.56273091291531097</c:v>
                </c:pt>
                <c:pt idx="15">
                  <c:v>0.55710030847075431</c:v>
                </c:pt>
                <c:pt idx="16">
                  <c:v>0.55513972868126926</c:v>
                </c:pt>
                <c:pt idx="17">
                  <c:v>0.55513972868126926</c:v>
                </c:pt>
                <c:pt idx="18">
                  <c:v>0.55490985385674807</c:v>
                </c:pt>
                <c:pt idx="19">
                  <c:v>0.55433715992976196</c:v>
                </c:pt>
                <c:pt idx="20">
                  <c:v>0.56120948705359597</c:v>
                </c:pt>
                <c:pt idx="21">
                  <c:v>0.56102611869646357</c:v>
                </c:pt>
                <c:pt idx="22">
                  <c:v>0.55869999999999997</c:v>
                </c:pt>
                <c:pt idx="23">
                  <c:v>0.55751155851809131</c:v>
                </c:pt>
                <c:pt idx="24">
                  <c:v>0.55731025195210893</c:v>
                </c:pt>
                <c:pt idx="25">
                  <c:v>0.5567475236967061</c:v>
                </c:pt>
                <c:pt idx="26">
                  <c:v>0.55370932262001493</c:v>
                </c:pt>
                <c:pt idx="27">
                  <c:v>0.55306221834520686</c:v>
                </c:pt>
                <c:pt idx="28">
                  <c:v>0.55216397914649995</c:v>
                </c:pt>
                <c:pt idx="29">
                  <c:v>0.54977952612567238</c:v>
                </c:pt>
                <c:pt idx="30">
                  <c:v>0.54977155358840579</c:v>
                </c:pt>
                <c:pt idx="31">
                  <c:v>0.54977155358840579</c:v>
                </c:pt>
                <c:pt idx="32">
                  <c:v>0.54970511577785053</c:v>
                </c:pt>
                <c:pt idx="33">
                  <c:v>0.54955098005736236</c:v>
                </c:pt>
                <c:pt idx="34">
                  <c:v>0.54955098005736236</c:v>
                </c:pt>
                <c:pt idx="35">
                  <c:v>0.54930316702399129</c:v>
                </c:pt>
                <c:pt idx="36">
                  <c:v>0.54437946088374245</c:v>
                </c:pt>
                <c:pt idx="37">
                  <c:v>0.54437946088374245</c:v>
                </c:pt>
                <c:pt idx="38">
                  <c:v>0.54207805512610896</c:v>
                </c:pt>
                <c:pt idx="39">
                  <c:v>0.54063834777137687</c:v>
                </c:pt>
                <c:pt idx="40">
                  <c:v>0.53936672807734953</c:v>
                </c:pt>
                <c:pt idx="41">
                  <c:v>0.53913286698419505</c:v>
                </c:pt>
                <c:pt idx="42">
                  <c:v>0.53888173206029621</c:v>
                </c:pt>
                <c:pt idx="43">
                  <c:v>0.5358833936699382</c:v>
                </c:pt>
                <c:pt idx="44">
                  <c:v>0.53444966571815622</c:v>
                </c:pt>
                <c:pt idx="45">
                  <c:v>0.53426031795807372</c:v>
                </c:pt>
                <c:pt idx="46">
                  <c:v>0.53361254930516011</c:v>
                </c:pt>
                <c:pt idx="47">
                  <c:v>0.52864698734426141</c:v>
                </c:pt>
                <c:pt idx="48">
                  <c:v>0.52792215083110383</c:v>
                </c:pt>
                <c:pt idx="49">
                  <c:v>0.52620938407498963</c:v>
                </c:pt>
                <c:pt idx="50">
                  <c:v>0.52571774427688089</c:v>
                </c:pt>
                <c:pt idx="51">
                  <c:v>0.52460623970629172</c:v>
                </c:pt>
                <c:pt idx="52">
                  <c:v>0.52423883861392118</c:v>
                </c:pt>
                <c:pt idx="53">
                  <c:v>0.52350735831970807</c:v>
                </c:pt>
                <c:pt idx="54">
                  <c:v>0.52281241882130014</c:v>
                </c:pt>
                <c:pt idx="55">
                  <c:v>0.52571774427688089</c:v>
                </c:pt>
                <c:pt idx="56">
                  <c:v>0.52460623970629172</c:v>
                </c:pt>
                <c:pt idx="57">
                  <c:v>0.52423883861392118</c:v>
                </c:pt>
                <c:pt idx="58">
                  <c:v>0.52350735831970807</c:v>
                </c:pt>
                <c:pt idx="59">
                  <c:v>0.52281241882130014</c:v>
                </c:pt>
                <c:pt idx="60">
                  <c:v>0.52281241882130014</c:v>
                </c:pt>
                <c:pt idx="61">
                  <c:v>0.52214272569090336</c:v>
                </c:pt>
                <c:pt idx="62">
                  <c:v>0.52211083554183679</c:v>
                </c:pt>
                <c:pt idx="63">
                  <c:v>0.52196002171187639</c:v>
                </c:pt>
                <c:pt idx="64">
                  <c:v>0.52170004743688048</c:v>
                </c:pt>
                <c:pt idx="65">
                  <c:v>0.52167280777167579</c:v>
                </c:pt>
                <c:pt idx="66">
                  <c:v>0.52005105111888583</c:v>
                </c:pt>
                <c:pt idx="67">
                  <c:v>0.52002314707160313</c:v>
                </c:pt>
                <c:pt idx="68">
                  <c:v>0.51951755231012298</c:v>
                </c:pt>
                <c:pt idx="69">
                  <c:v>0.5189103070906842</c:v>
                </c:pt>
                <c:pt idx="70">
                  <c:v>0.51861930774044984</c:v>
                </c:pt>
                <c:pt idx="71">
                  <c:v>0.51693775670062547</c:v>
                </c:pt>
                <c:pt idx="72">
                  <c:v>0.51687929107774733</c:v>
                </c:pt>
                <c:pt idx="73">
                  <c:v>7.0000000000000007E-2</c:v>
                </c:pt>
                <c:pt idx="74">
                  <c:v>0.5163703744058763</c:v>
                </c:pt>
                <c:pt idx="75">
                  <c:v>0.5161258818011133</c:v>
                </c:pt>
                <c:pt idx="76">
                  <c:v>0.51565882120016637</c:v>
                </c:pt>
                <c:pt idx="77">
                  <c:v>0.51547810927490678</c:v>
                </c:pt>
                <c:pt idx="78">
                  <c:v>0.51541167106709074</c:v>
                </c:pt>
                <c:pt idx="79">
                  <c:v>0.51516850722648388</c:v>
                </c:pt>
                <c:pt idx="80">
                  <c:v>0.51508213755632304</c:v>
                </c:pt>
                <c:pt idx="81">
                  <c:v>0.51455328942210721</c:v>
                </c:pt>
                <c:pt idx="82">
                  <c:v>0.51443702255842905</c:v>
                </c:pt>
                <c:pt idx="83">
                  <c:v>0.51431809816643836</c:v>
                </c:pt>
                <c:pt idx="84">
                  <c:v>0.51316805278914235</c:v>
                </c:pt>
                <c:pt idx="85">
                  <c:v>0.51296142996283456</c:v>
                </c:pt>
                <c:pt idx="86">
                  <c:v>0.51289831366540928</c:v>
                </c:pt>
                <c:pt idx="87">
                  <c:v>0.51277274545263685</c:v>
                </c:pt>
                <c:pt idx="88">
                  <c:v>0.51253157475826461</c:v>
                </c:pt>
                <c:pt idx="89">
                  <c:v>0.51253157475826461</c:v>
                </c:pt>
                <c:pt idx="90">
                  <c:v>0.5121223153981177</c:v>
                </c:pt>
                <c:pt idx="91">
                  <c:v>0.51185058312815013</c:v>
                </c:pt>
                <c:pt idx="92">
                  <c:v>0.51174561075980074</c:v>
                </c:pt>
                <c:pt idx="93">
                  <c:v>0.51170441907095476</c:v>
                </c:pt>
                <c:pt idx="94">
                  <c:v>0.50924819852799508</c:v>
                </c:pt>
                <c:pt idx="95">
                  <c:v>0.50768092120561437</c:v>
                </c:pt>
                <c:pt idx="96">
                  <c:v>0.50745636006319605</c:v>
                </c:pt>
                <c:pt idx="97">
                  <c:v>0.50730554533145367</c:v>
                </c:pt>
                <c:pt idx="98">
                  <c:v>0.5071354635194445</c:v>
                </c:pt>
                <c:pt idx="99">
                  <c:v>0.50628571884147711</c:v>
                </c:pt>
                <c:pt idx="100">
                  <c:v>0.50613025343518758</c:v>
                </c:pt>
                <c:pt idx="101">
                  <c:v>0.50580071992441988</c:v>
                </c:pt>
                <c:pt idx="102">
                  <c:v>0.50553496709315571</c:v>
                </c:pt>
              </c:numCache>
            </c:numRef>
          </c:val>
          <c:smooth val="0"/>
        </c:ser>
        <c:dLbls>
          <c:showLegendKey val="0"/>
          <c:showVal val="0"/>
          <c:showCatName val="0"/>
          <c:showSerName val="0"/>
          <c:showPercent val="0"/>
          <c:showBubbleSize val="0"/>
        </c:dLbls>
        <c:marker val="1"/>
        <c:smooth val="0"/>
        <c:axId val="455945216"/>
        <c:axId val="455955200"/>
      </c:lineChart>
      <c:dateAx>
        <c:axId val="45594521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5955200"/>
        <c:crosses val="autoZero"/>
        <c:auto val="1"/>
        <c:lblOffset val="100"/>
        <c:baseTimeUnit val="days"/>
      </c:dateAx>
      <c:valAx>
        <c:axId val="45595520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59452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3756513880323376"/>
        </c:manualLayout>
      </c:layout>
      <c:lineChart>
        <c:grouping val="standard"/>
        <c:varyColors val="0"/>
        <c:ser>
          <c:idx val="0"/>
          <c:order val="0"/>
          <c:tx>
            <c:strRef>
              <c:f>'used space Charts'!$J$2</c:f>
              <c:strCache>
                <c:ptCount val="1"/>
                <c:pt idx="0">
                  <c:v>RDC T3 V-MAX 4330</c:v>
                </c:pt>
              </c:strCache>
            </c:strRef>
          </c:tx>
          <c:cat>
            <c:numRef>
              <c:f>'used space Charts'!$A$11:$A$113</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Charts'!$J$11:$J$78</c:f>
              <c:numCache>
                <c:formatCode>0.00%</c:formatCode>
                <c:ptCount val="68"/>
                <c:pt idx="0">
                  <c:v>0.80884492078645887</c:v>
                </c:pt>
                <c:pt idx="1">
                  <c:v>0.79045986427907933</c:v>
                </c:pt>
                <c:pt idx="2">
                  <c:v>0.7894035762204562</c:v>
                </c:pt>
                <c:pt idx="3">
                  <c:v>0.78568318453916819</c:v>
                </c:pt>
                <c:pt idx="4">
                  <c:v>0.78127257714934462</c:v>
                </c:pt>
                <c:pt idx="5">
                  <c:v>0.73311309861698837</c:v>
                </c:pt>
                <c:pt idx="6">
                  <c:v>0.72825094824027259</c:v>
                </c:pt>
                <c:pt idx="7">
                  <c:v>0.72429510914439055</c:v>
                </c:pt>
                <c:pt idx="8">
                  <c:v>0.72136007972959026</c:v>
                </c:pt>
                <c:pt idx="9">
                  <c:v>0.70805004386417592</c:v>
                </c:pt>
                <c:pt idx="10">
                  <c:v>0.70410146170915477</c:v>
                </c:pt>
                <c:pt idx="11">
                  <c:v>0.70410146170915477</c:v>
                </c:pt>
                <c:pt idx="12">
                  <c:v>0.69293222339766747</c:v>
                </c:pt>
                <c:pt idx="13">
                  <c:v>0.68264833187119411</c:v>
                </c:pt>
                <c:pt idx="14">
                  <c:v>0.68264833187119411</c:v>
                </c:pt>
                <c:pt idx="15">
                  <c:v>0.67940851094024146</c:v>
                </c:pt>
                <c:pt idx="16">
                  <c:v>0.6720120755495923</c:v>
                </c:pt>
                <c:pt idx="17">
                  <c:v>0.66655808132934258</c:v>
                </c:pt>
                <c:pt idx="18">
                  <c:v>0.66562193595830321</c:v>
                </c:pt>
                <c:pt idx="19">
                  <c:v>0.66391574852926005</c:v>
                </c:pt>
                <c:pt idx="20">
                  <c:v>0.6620579716689029</c:v>
                </c:pt>
                <c:pt idx="21">
                  <c:v>0.66008569640829806</c:v>
                </c:pt>
                <c:pt idx="22">
                  <c:v>0.65800000000000003</c:v>
                </c:pt>
                <c:pt idx="23">
                  <c:v>0.62700936629167092</c:v>
                </c:pt>
                <c:pt idx="24">
                  <c:v>0.62171341211683351</c:v>
                </c:pt>
                <c:pt idx="25">
                  <c:v>0.61931458999896782</c:v>
                </c:pt>
                <c:pt idx="26">
                  <c:v>0.61362837367117351</c:v>
                </c:pt>
                <c:pt idx="27">
                  <c:v>0.60936532407885236</c:v>
                </c:pt>
                <c:pt idx="28">
                  <c:v>0.52744575033543195</c:v>
                </c:pt>
                <c:pt idx="29">
                  <c:v>0.52594275725049022</c:v>
                </c:pt>
                <c:pt idx="30">
                  <c:v>0.52587341314893177</c:v>
                </c:pt>
                <c:pt idx="31">
                  <c:v>0.53729611987220571</c:v>
                </c:pt>
                <c:pt idx="32">
                  <c:v>0.5252762751827692</c:v>
                </c:pt>
                <c:pt idx="33">
                  <c:v>0.5032821837726329</c:v>
                </c:pt>
                <c:pt idx="34">
                  <c:v>0.5032821837726329</c:v>
                </c:pt>
                <c:pt idx="35">
                  <c:v>0.50015900137251956</c:v>
                </c:pt>
                <c:pt idx="36">
                  <c:v>0.62613892628198187</c:v>
                </c:pt>
                <c:pt idx="37">
                  <c:v>0.60448580048392186</c:v>
                </c:pt>
                <c:pt idx="38">
                  <c:v>0.60106090577373394</c:v>
                </c:pt>
                <c:pt idx="39">
                  <c:v>0.58612446922247852</c:v>
                </c:pt>
                <c:pt idx="40">
                  <c:v>0.5796447632115449</c:v>
                </c:pt>
                <c:pt idx="41">
                  <c:v>0.56465746724437194</c:v>
                </c:pt>
                <c:pt idx="42">
                  <c:v>0.56050755532855179</c:v>
                </c:pt>
                <c:pt idx="43">
                  <c:v>0.49937561951097043</c:v>
                </c:pt>
                <c:pt idx="44">
                  <c:v>0.48354752000831064</c:v>
                </c:pt>
                <c:pt idx="45">
                  <c:v>0.48246215843032686</c:v>
                </c:pt>
                <c:pt idx="46">
                  <c:v>0.47454540339091628</c:v>
                </c:pt>
                <c:pt idx="47">
                  <c:v>0.35935531902921275</c:v>
                </c:pt>
                <c:pt idx="48">
                  <c:v>0.35816391015846494</c:v>
                </c:pt>
                <c:pt idx="49">
                  <c:v>0.25580554822121898</c:v>
                </c:pt>
                <c:pt idx="50">
                  <c:v>0.25381878465474028</c:v>
                </c:pt>
                <c:pt idx="51">
                  <c:v>0.22582121724978249</c:v>
                </c:pt>
                <c:pt idx="52">
                  <c:v>0.21041189634201765</c:v>
                </c:pt>
                <c:pt idx="53">
                  <c:v>0.12026628691636114</c:v>
                </c:pt>
                <c:pt idx="54">
                  <c:v>9.0026576750104961E-2</c:v>
                </c:pt>
                <c:pt idx="55">
                  <c:v>0.25381878465474028</c:v>
                </c:pt>
                <c:pt idx="56">
                  <c:v>0.22582121724978249</c:v>
                </c:pt>
                <c:pt idx="57">
                  <c:v>0.21041189634201765</c:v>
                </c:pt>
                <c:pt idx="58">
                  <c:v>0.12026628691636114</c:v>
                </c:pt>
                <c:pt idx="59">
                  <c:v>9.0026576750104961E-2</c:v>
                </c:pt>
                <c:pt idx="60">
                  <c:v>9.0026576750104961E-2</c:v>
                </c:pt>
                <c:pt idx="61">
                  <c:v>9.0205125763432297E-3</c:v>
                </c:pt>
                <c:pt idx="62">
                  <c:v>8.9934596955360581E-3</c:v>
                </c:pt>
                <c:pt idx="63">
                  <c:v>2.9217111271745105E-5</c:v>
                </c:pt>
                <c:pt idx="64">
                  <c:v>2.8407835512319535E-5</c:v>
                </c:pt>
                <c:pt idx="65">
                  <c:v>2.8407835512319535E-5</c:v>
                </c:pt>
                <c:pt idx="66">
                  <c:v>2.8407835512319535E-5</c:v>
                </c:pt>
                <c:pt idx="67">
                  <c:v>2.8407835512319535E-5</c:v>
                </c:pt>
              </c:numCache>
            </c:numRef>
          </c:val>
          <c:smooth val="0"/>
        </c:ser>
        <c:dLbls>
          <c:showLegendKey val="0"/>
          <c:showVal val="0"/>
          <c:showCatName val="0"/>
          <c:showSerName val="0"/>
          <c:showPercent val="0"/>
          <c:showBubbleSize val="0"/>
        </c:dLbls>
        <c:marker val="1"/>
        <c:smooth val="0"/>
        <c:axId val="455991680"/>
        <c:axId val="455993216"/>
      </c:lineChart>
      <c:dateAx>
        <c:axId val="4559916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5993216"/>
        <c:crosses val="autoZero"/>
        <c:auto val="1"/>
        <c:lblOffset val="100"/>
        <c:baseTimeUnit val="days"/>
      </c:dateAx>
      <c:valAx>
        <c:axId val="45599321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59916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1378020076388065"/>
        </c:manualLayout>
      </c:layout>
      <c:lineChart>
        <c:grouping val="standard"/>
        <c:varyColors val="0"/>
        <c:ser>
          <c:idx val="0"/>
          <c:order val="0"/>
          <c:tx>
            <c:strRef>
              <c:f>'used space Charts'!$Q$2</c:f>
              <c:strCache>
                <c:ptCount val="1"/>
                <c:pt idx="0">
                  <c:v>FDC T3 V-MAX 4652</c:v>
                </c:pt>
              </c:strCache>
            </c:strRef>
          </c:tx>
          <c:cat>
            <c:numRef>
              <c:f>'used space Charts'!$A$11:$A$113</c:f>
              <c:numCache>
                <c:formatCode>[$-409]d\-mmm\-yy;@</c:formatCode>
                <c:ptCount val="103"/>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pt idx="64">
                  <c:v>41430</c:v>
                </c:pt>
                <c:pt idx="65">
                  <c:v>41428</c:v>
                </c:pt>
                <c:pt idx="66">
                  <c:v>41423</c:v>
                </c:pt>
                <c:pt idx="67">
                  <c:v>41422</c:v>
                </c:pt>
                <c:pt idx="68">
                  <c:v>41414</c:v>
                </c:pt>
                <c:pt idx="69">
                  <c:v>41408</c:v>
                </c:pt>
                <c:pt idx="70">
                  <c:v>41401</c:v>
                </c:pt>
                <c:pt idx="71">
                  <c:v>41395</c:v>
                </c:pt>
                <c:pt idx="72">
                  <c:v>41393</c:v>
                </c:pt>
                <c:pt idx="73">
                  <c:v>41390</c:v>
                </c:pt>
                <c:pt idx="74">
                  <c:v>41387</c:v>
                </c:pt>
                <c:pt idx="75">
                  <c:v>41383</c:v>
                </c:pt>
                <c:pt idx="76">
                  <c:v>41379</c:v>
                </c:pt>
                <c:pt idx="77">
                  <c:v>41374</c:v>
                </c:pt>
                <c:pt idx="78">
                  <c:v>41373</c:v>
                </c:pt>
                <c:pt idx="79">
                  <c:v>41361</c:v>
                </c:pt>
                <c:pt idx="80">
                  <c:v>41359</c:v>
                </c:pt>
                <c:pt idx="81">
                  <c:v>41355</c:v>
                </c:pt>
                <c:pt idx="82">
                  <c:v>41353</c:v>
                </c:pt>
                <c:pt idx="83">
                  <c:v>41351</c:v>
                </c:pt>
                <c:pt idx="84">
                  <c:v>41347</c:v>
                </c:pt>
                <c:pt idx="85">
                  <c:v>41345</c:v>
                </c:pt>
                <c:pt idx="86">
                  <c:v>41344</c:v>
                </c:pt>
                <c:pt idx="87">
                  <c:v>41341</c:v>
                </c:pt>
                <c:pt idx="88">
                  <c:v>41340</c:v>
                </c:pt>
                <c:pt idx="89">
                  <c:v>41337</c:v>
                </c:pt>
                <c:pt idx="90">
                  <c:v>41334</c:v>
                </c:pt>
                <c:pt idx="91">
                  <c:v>41330</c:v>
                </c:pt>
                <c:pt idx="92">
                  <c:v>41327</c:v>
                </c:pt>
                <c:pt idx="93">
                  <c:v>41326</c:v>
                </c:pt>
                <c:pt idx="94">
                  <c:v>41323</c:v>
                </c:pt>
                <c:pt idx="95">
                  <c:v>41310</c:v>
                </c:pt>
                <c:pt idx="96">
                  <c:v>41304</c:v>
                </c:pt>
                <c:pt idx="97">
                  <c:v>41297</c:v>
                </c:pt>
                <c:pt idx="98">
                  <c:v>41296</c:v>
                </c:pt>
                <c:pt idx="99">
                  <c:v>41292</c:v>
                </c:pt>
                <c:pt idx="100">
                  <c:v>41289</c:v>
                </c:pt>
                <c:pt idx="101">
                  <c:v>41285</c:v>
                </c:pt>
                <c:pt idx="102">
                  <c:v>41281</c:v>
                </c:pt>
              </c:numCache>
            </c:numRef>
          </c:cat>
          <c:val>
            <c:numRef>
              <c:f>'used space Charts'!$Q$11:$Q$78</c:f>
              <c:numCache>
                <c:formatCode>0.00%</c:formatCode>
                <c:ptCount val="68"/>
                <c:pt idx="0">
                  <c:v>0.80347900147272022</c:v>
                </c:pt>
                <c:pt idx="1">
                  <c:v>0.78873457740444275</c:v>
                </c:pt>
                <c:pt idx="2">
                  <c:v>0.78792254597945277</c:v>
                </c:pt>
                <c:pt idx="3">
                  <c:v>0.78636162953205913</c:v>
                </c:pt>
                <c:pt idx="4">
                  <c:v>0.78100462273416615</c:v>
                </c:pt>
                <c:pt idx="5">
                  <c:v>0.76395300655156961</c:v>
                </c:pt>
                <c:pt idx="6">
                  <c:v>0.75860121846463424</c:v>
                </c:pt>
                <c:pt idx="7">
                  <c:v>0.75442416221423636</c:v>
                </c:pt>
                <c:pt idx="8">
                  <c:v>0.75059258462922629</c:v>
                </c:pt>
                <c:pt idx="9">
                  <c:v>0.7328635797643438</c:v>
                </c:pt>
                <c:pt idx="10">
                  <c:v>0.72822832069187571</c:v>
                </c:pt>
                <c:pt idx="11">
                  <c:v>0.72822832069187571</c:v>
                </c:pt>
                <c:pt idx="12">
                  <c:v>0.71386851562116749</c:v>
                </c:pt>
                <c:pt idx="13">
                  <c:v>0.6999684789858166</c:v>
                </c:pt>
                <c:pt idx="14">
                  <c:v>0.6999684789858166</c:v>
                </c:pt>
                <c:pt idx="15">
                  <c:v>0.695391147604977</c:v>
                </c:pt>
                <c:pt idx="16">
                  <c:v>0.68739660428915417</c:v>
                </c:pt>
                <c:pt idx="17">
                  <c:v>0.65722880185702603</c:v>
                </c:pt>
                <c:pt idx="18">
                  <c:v>0.6562054126382566</c:v>
                </c:pt>
                <c:pt idx="19">
                  <c:v>0.67485134501837507</c:v>
                </c:pt>
                <c:pt idx="20">
                  <c:v>0.67254102167748153</c:v>
                </c:pt>
                <c:pt idx="21">
                  <c:v>0.65761185524130794</c:v>
                </c:pt>
                <c:pt idx="22">
                  <c:v>0.65610000000000002</c:v>
                </c:pt>
                <c:pt idx="23">
                  <c:v>0.6226767603494866</c:v>
                </c:pt>
                <c:pt idx="24">
                  <c:v>0.61634855144239953</c:v>
                </c:pt>
                <c:pt idx="25">
                  <c:v>0.6158031961473388</c:v>
                </c:pt>
                <c:pt idx="26">
                  <c:v>0.60439457212310732</c:v>
                </c:pt>
                <c:pt idx="27">
                  <c:v>0.60289836769158667</c:v>
                </c:pt>
                <c:pt idx="28">
                  <c:v>0.56088931009684884</c:v>
                </c:pt>
                <c:pt idx="29">
                  <c:v>0.55893959968311979</c:v>
                </c:pt>
                <c:pt idx="30">
                  <c:v>0.55889471876888519</c:v>
                </c:pt>
                <c:pt idx="31">
                  <c:v>0.56669220707201118</c:v>
                </c:pt>
                <c:pt idx="32">
                  <c:v>0.55237917342217446</c:v>
                </c:pt>
                <c:pt idx="33">
                  <c:v>0.53265397266188874</c:v>
                </c:pt>
                <c:pt idx="34">
                  <c:v>0.52999604194270766</c:v>
                </c:pt>
                <c:pt idx="35">
                  <c:v>0.50993059641785232</c:v>
                </c:pt>
                <c:pt idx="36">
                  <c:v>0.49229660453716129</c:v>
                </c:pt>
                <c:pt idx="37">
                  <c:v>0.47999381950412101</c:v>
                </c:pt>
                <c:pt idx="38">
                  <c:v>0.47757294890084534</c:v>
                </c:pt>
                <c:pt idx="39">
                  <c:v>0.46079724163622277</c:v>
                </c:pt>
                <c:pt idx="40">
                  <c:v>0.45400240023367355</c:v>
                </c:pt>
                <c:pt idx="41">
                  <c:v>0.44366753165387529</c:v>
                </c:pt>
                <c:pt idx="42">
                  <c:v>0.44034445681484335</c:v>
                </c:pt>
                <c:pt idx="43">
                  <c:v>0.38502690208993889</c:v>
                </c:pt>
                <c:pt idx="44">
                  <c:v>0.37102342238609476</c:v>
                </c:pt>
                <c:pt idx="45">
                  <c:v>0.37069428981445807</c:v>
                </c:pt>
                <c:pt idx="46">
                  <c:v>0.36322107549094729</c:v>
                </c:pt>
                <c:pt idx="47">
                  <c:v>0.31183723706434913</c:v>
                </c:pt>
                <c:pt idx="48">
                  <c:v>0.3102185609604321</c:v>
                </c:pt>
                <c:pt idx="49">
                  <c:v>0.21367688706202084</c:v>
                </c:pt>
                <c:pt idx="50">
                  <c:v>0.21230638326694237</c:v>
                </c:pt>
                <c:pt idx="51">
                  <c:v>0.18437932581796324</c:v>
                </c:pt>
                <c:pt idx="52">
                  <c:v>0.16892332375215366</c:v>
                </c:pt>
                <c:pt idx="53">
                  <c:v>9.5354785862750646E-2</c:v>
                </c:pt>
                <c:pt idx="54">
                  <c:v>7.458927218311201E-2</c:v>
                </c:pt>
                <c:pt idx="55">
                  <c:v>0.21230638326694237</c:v>
                </c:pt>
                <c:pt idx="56">
                  <c:v>0.18437932581796324</c:v>
                </c:pt>
                <c:pt idx="57">
                  <c:v>0.16892332375215366</c:v>
                </c:pt>
                <c:pt idx="58">
                  <c:v>9.5354785862750646E-2</c:v>
                </c:pt>
                <c:pt idx="59">
                  <c:v>7.458927218311201E-2</c:v>
                </c:pt>
                <c:pt idx="60">
                  <c:v>7.458927218311201E-2</c:v>
                </c:pt>
                <c:pt idx="61">
                  <c:v>1.027031203037756E-2</c:v>
                </c:pt>
                <c:pt idx="62">
                  <c:v>1.0269782878333128E-2</c:v>
                </c:pt>
                <c:pt idx="63">
                  <c:v>2.8574210399319299E-5</c:v>
                </c:pt>
                <c:pt idx="64">
                  <c:v>2.8574210399319299E-5</c:v>
                </c:pt>
                <c:pt idx="65">
                  <c:v>2.8151656099369091E-5</c:v>
                </c:pt>
                <c:pt idx="66">
                  <c:v>2.8151656099369091E-5</c:v>
                </c:pt>
                <c:pt idx="67">
                  <c:v>2.8151656099369091E-5</c:v>
                </c:pt>
              </c:numCache>
            </c:numRef>
          </c:val>
          <c:smooth val="0"/>
        </c:ser>
        <c:dLbls>
          <c:showLegendKey val="0"/>
          <c:showVal val="0"/>
          <c:showCatName val="0"/>
          <c:showSerName val="0"/>
          <c:showPercent val="0"/>
          <c:showBubbleSize val="0"/>
        </c:dLbls>
        <c:marker val="1"/>
        <c:smooth val="0"/>
        <c:axId val="456017408"/>
        <c:axId val="456018944"/>
      </c:lineChart>
      <c:dateAx>
        <c:axId val="4560174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6018944"/>
        <c:crosses val="autoZero"/>
        <c:auto val="1"/>
        <c:lblOffset val="100"/>
        <c:baseTimeUnit val="days"/>
      </c:dateAx>
      <c:valAx>
        <c:axId val="456018944"/>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60174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800818487863282"/>
          <c:y val="0.25591598928767856"/>
          <c:w val="0.73476543486411572"/>
          <c:h val="0.48459074354391396"/>
        </c:manualLayout>
      </c:layout>
      <c:lineChart>
        <c:grouping val="standard"/>
        <c:varyColors val="0"/>
        <c:ser>
          <c:idx val="0"/>
          <c:order val="0"/>
          <c:tx>
            <c:strRef>
              <c:f>'used space Charts'!$K$2</c:f>
              <c:strCache>
                <c:ptCount val="1"/>
                <c:pt idx="0">
                  <c:v>RDC T4 V-MAX 0347</c:v>
                </c:pt>
              </c:strCache>
            </c:strRef>
          </c:tx>
          <c:cat>
            <c:numRef>
              <c:f>'used space Charts'!$A$11:$A$74</c:f>
              <c:numCache>
                <c:formatCode>[$-409]d\-mmm\-yy;@</c:formatCode>
                <c:ptCount val="64"/>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numCache>
            </c:numRef>
          </c:cat>
          <c:val>
            <c:numRef>
              <c:f>'used space Charts'!$K$11:$K$74</c:f>
              <c:numCache>
                <c:formatCode>0.00%</c:formatCode>
                <c:ptCount val="64"/>
                <c:pt idx="0">
                  <c:v>0.42795861315510425</c:v>
                </c:pt>
                <c:pt idx="1">
                  <c:v>0.42259870969584662</c:v>
                </c:pt>
                <c:pt idx="2">
                  <c:v>0.41810951161952092</c:v>
                </c:pt>
                <c:pt idx="3">
                  <c:v>0.40864912581358065</c:v>
                </c:pt>
                <c:pt idx="4">
                  <c:v>0.38871929993680582</c:v>
                </c:pt>
                <c:pt idx="5">
                  <c:v>0.38388913880944986</c:v>
                </c:pt>
                <c:pt idx="6">
                  <c:v>0.37676193995480006</c:v>
                </c:pt>
                <c:pt idx="7">
                  <c:v>0.37347905487184424</c:v>
                </c:pt>
                <c:pt idx="8">
                  <c:v>0.37047822299340566</c:v>
                </c:pt>
                <c:pt idx="9">
                  <c:v>0.36850697456879777</c:v>
                </c:pt>
                <c:pt idx="10">
                  <c:v>0.36098079539003669</c:v>
                </c:pt>
                <c:pt idx="11">
                  <c:v>0.36098079539003669</c:v>
                </c:pt>
                <c:pt idx="12">
                  <c:v>0.35308509081042094</c:v>
                </c:pt>
                <c:pt idx="13">
                  <c:v>0.3521697567558883</c:v>
                </c:pt>
                <c:pt idx="14">
                  <c:v>0.3521697567558883</c:v>
                </c:pt>
                <c:pt idx="15">
                  <c:v>0.34418613369321893</c:v>
                </c:pt>
                <c:pt idx="16">
                  <c:v>0.3234074704825966</c:v>
                </c:pt>
                <c:pt idx="17">
                  <c:v>0.31912936602294267</c:v>
                </c:pt>
                <c:pt idx="18">
                  <c:v>0.29859303649911278</c:v>
                </c:pt>
                <c:pt idx="19">
                  <c:v>0.26282940422508561</c:v>
                </c:pt>
                <c:pt idx="20">
                  <c:v>0.26014811363530876</c:v>
                </c:pt>
                <c:pt idx="21">
                  <c:v>0.24417774350295796</c:v>
                </c:pt>
                <c:pt idx="22">
                  <c:v>0.2329</c:v>
                </c:pt>
                <c:pt idx="23">
                  <c:v>0.20100932203692398</c:v>
                </c:pt>
                <c:pt idx="24">
                  <c:v>0.18831871298051692</c:v>
                </c:pt>
                <c:pt idx="25">
                  <c:v>0.15712461039169692</c:v>
                </c:pt>
                <c:pt idx="26">
                  <c:v>0.14275507070966728</c:v>
                </c:pt>
                <c:pt idx="27">
                  <c:v>0.14091012142568968</c:v>
                </c:pt>
                <c:pt idx="28">
                  <c:v>0.11505539310719091</c:v>
                </c:pt>
                <c:pt idx="29">
                  <c:v>0.10829504193309983</c:v>
                </c:pt>
                <c:pt idx="30">
                  <c:v>0.10479303007258406</c:v>
                </c:pt>
                <c:pt idx="31">
                  <c:v>0.10487336168146552</c:v>
                </c:pt>
                <c:pt idx="32">
                  <c:v>9.8848383517977395E-2</c:v>
                </c:pt>
                <c:pt idx="33">
                  <c:v>5.3639533583905975E-2</c:v>
                </c:pt>
                <c:pt idx="34">
                  <c:v>5.3639533583905975E-2</c:v>
                </c:pt>
                <c:pt idx="35">
                  <c:v>3.9735035656719486E-2</c:v>
                </c:pt>
                <c:pt idx="36">
                  <c:v>3.0279063561873692E-2</c:v>
                </c:pt>
                <c:pt idx="37">
                  <c:v>3.1627684470786489E-2</c:v>
                </c:pt>
                <c:pt idx="38">
                  <c:v>2.4558860760963735E-2</c:v>
                </c:pt>
                <c:pt idx="39">
                  <c:v>2.5353689496507816E-2</c:v>
                </c:pt>
                <c:pt idx="40">
                  <c:v>2.3066292247051909E-2</c:v>
                </c:pt>
                <c:pt idx="41">
                  <c:v>2.0594936973472415E-2</c:v>
                </c:pt>
                <c:pt idx="42">
                  <c:v>1.69896384249291E-2</c:v>
                </c:pt>
                <c:pt idx="43">
                  <c:v>5.9958237812200227E-3</c:v>
                </c:pt>
                <c:pt idx="44">
                  <c:v>5.6845816696977922E-3</c:v>
                </c:pt>
                <c:pt idx="45">
                  <c:v>1.3888668897983651E-2</c:v>
                </c:pt>
                <c:pt idx="46">
                  <c:v>1.3655952364996995E-2</c:v>
                </c:pt>
                <c:pt idx="47">
                  <c:v>4.7322737165327623E-3</c:v>
                </c:pt>
                <c:pt idx="48">
                  <c:v>3.5058868890421872E-3</c:v>
                </c:pt>
                <c:pt idx="49">
                  <c:v>2.7180262604724844E-3</c:v>
                </c:pt>
                <c:pt idx="50">
                  <c:v>2.7091999916382713E-3</c:v>
                </c:pt>
                <c:pt idx="51">
                  <c:v>2.6567069190979557E-3</c:v>
                </c:pt>
                <c:pt idx="52">
                  <c:v>1.7573565789381997E-3</c:v>
                </c:pt>
                <c:pt idx="53">
                  <c:v>2.8987325013413607E-4</c:v>
                </c:pt>
                <c:pt idx="54">
                  <c:v>3.5587188612099643E-5</c:v>
                </c:pt>
                <c:pt idx="55">
                  <c:v>2.7091999916382713E-3</c:v>
                </c:pt>
                <c:pt idx="56">
                  <c:v>2.6567069190979557E-3</c:v>
                </c:pt>
                <c:pt idx="57">
                  <c:v>1.7573565789381997E-3</c:v>
                </c:pt>
                <c:pt idx="58">
                  <c:v>2.8987325013413607E-4</c:v>
                </c:pt>
                <c:pt idx="59">
                  <c:v>3.5587188612099643E-5</c:v>
                </c:pt>
                <c:pt idx="60">
                  <c:v>3.5587188612099643E-5</c:v>
                </c:pt>
                <c:pt idx="61">
                  <c:v>3.5587188612099643E-5</c:v>
                </c:pt>
                <c:pt idx="62">
                  <c:v>3.5587188612099643E-5</c:v>
                </c:pt>
                <c:pt idx="63">
                  <c:v>3.5587188612099643E-5</c:v>
                </c:pt>
              </c:numCache>
            </c:numRef>
          </c:val>
          <c:smooth val="0"/>
        </c:ser>
        <c:dLbls>
          <c:showLegendKey val="0"/>
          <c:showVal val="0"/>
          <c:showCatName val="0"/>
          <c:showSerName val="0"/>
          <c:showPercent val="0"/>
          <c:showBubbleSize val="0"/>
        </c:dLbls>
        <c:marker val="1"/>
        <c:smooth val="0"/>
        <c:axId val="456031232"/>
        <c:axId val="456057600"/>
      </c:lineChart>
      <c:dateAx>
        <c:axId val="4560312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6057600"/>
        <c:crosses val="autoZero"/>
        <c:auto val="1"/>
        <c:lblOffset val="100"/>
        <c:baseTimeUnit val="days"/>
      </c:dateAx>
      <c:valAx>
        <c:axId val="45605760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60312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470619069709118"/>
          <c:y val="0.21343873517788076"/>
          <c:w val="0.74117753500911165"/>
          <c:h val="0.51378020076388065"/>
        </c:manualLayout>
      </c:layout>
      <c:lineChart>
        <c:grouping val="standard"/>
        <c:varyColors val="0"/>
        <c:ser>
          <c:idx val="0"/>
          <c:order val="0"/>
          <c:tx>
            <c:strRef>
              <c:f>'used space Charts'!$R$2</c:f>
              <c:strCache>
                <c:ptCount val="1"/>
                <c:pt idx="0">
                  <c:v>FDC T4 V-MAX 0349</c:v>
                </c:pt>
              </c:strCache>
            </c:strRef>
          </c:tx>
          <c:cat>
            <c:numRef>
              <c:f>'used space Charts'!$A$11:$A$74</c:f>
              <c:numCache>
                <c:formatCode>[$-409]d\-mmm\-yy;@</c:formatCode>
                <c:ptCount val="64"/>
                <c:pt idx="0">
                  <c:v>41921</c:v>
                </c:pt>
                <c:pt idx="1">
                  <c:v>41914</c:v>
                </c:pt>
                <c:pt idx="2">
                  <c:v>41907</c:v>
                </c:pt>
                <c:pt idx="3">
                  <c:v>41900</c:v>
                </c:pt>
                <c:pt idx="4">
                  <c:v>41893</c:v>
                </c:pt>
                <c:pt idx="5">
                  <c:v>41886</c:v>
                </c:pt>
                <c:pt idx="6">
                  <c:v>41878</c:v>
                </c:pt>
                <c:pt idx="7">
                  <c:v>41871</c:v>
                </c:pt>
                <c:pt idx="8">
                  <c:v>41864</c:v>
                </c:pt>
                <c:pt idx="9">
                  <c:v>41857</c:v>
                </c:pt>
                <c:pt idx="10">
                  <c:v>41850</c:v>
                </c:pt>
                <c:pt idx="11">
                  <c:v>41843</c:v>
                </c:pt>
                <c:pt idx="12">
                  <c:v>41836</c:v>
                </c:pt>
                <c:pt idx="13">
                  <c:v>41829</c:v>
                </c:pt>
                <c:pt idx="14">
                  <c:v>41822</c:v>
                </c:pt>
                <c:pt idx="15">
                  <c:v>41815</c:v>
                </c:pt>
                <c:pt idx="16">
                  <c:v>41808</c:v>
                </c:pt>
                <c:pt idx="17">
                  <c:v>41801</c:v>
                </c:pt>
                <c:pt idx="18">
                  <c:v>41794</c:v>
                </c:pt>
                <c:pt idx="19">
                  <c:v>41787</c:v>
                </c:pt>
                <c:pt idx="20">
                  <c:v>41780</c:v>
                </c:pt>
                <c:pt idx="21">
                  <c:v>41773</c:v>
                </c:pt>
                <c:pt idx="22">
                  <c:v>41766</c:v>
                </c:pt>
                <c:pt idx="23">
                  <c:v>41752</c:v>
                </c:pt>
                <c:pt idx="24">
                  <c:v>41745</c:v>
                </c:pt>
                <c:pt idx="25">
                  <c:v>41739</c:v>
                </c:pt>
                <c:pt idx="26">
                  <c:v>41732</c:v>
                </c:pt>
                <c:pt idx="27">
                  <c:v>41725</c:v>
                </c:pt>
                <c:pt idx="28">
                  <c:v>41709</c:v>
                </c:pt>
                <c:pt idx="29">
                  <c:v>41704</c:v>
                </c:pt>
                <c:pt idx="30">
                  <c:v>41703</c:v>
                </c:pt>
                <c:pt idx="31">
                  <c:v>41702</c:v>
                </c:pt>
                <c:pt idx="32">
                  <c:v>41695</c:v>
                </c:pt>
                <c:pt idx="33">
                  <c:v>41690</c:v>
                </c:pt>
                <c:pt idx="34">
                  <c:v>41684</c:v>
                </c:pt>
                <c:pt idx="35">
                  <c:v>41676</c:v>
                </c:pt>
                <c:pt idx="36">
                  <c:v>41642</c:v>
                </c:pt>
                <c:pt idx="37">
                  <c:v>41626</c:v>
                </c:pt>
                <c:pt idx="38">
                  <c:v>41617</c:v>
                </c:pt>
                <c:pt idx="39">
                  <c:v>41610</c:v>
                </c:pt>
                <c:pt idx="40">
                  <c:v>41603</c:v>
                </c:pt>
                <c:pt idx="41">
                  <c:v>41596</c:v>
                </c:pt>
                <c:pt idx="42">
                  <c:v>41589</c:v>
                </c:pt>
                <c:pt idx="43">
                  <c:v>41561</c:v>
                </c:pt>
                <c:pt idx="44">
                  <c:v>41548</c:v>
                </c:pt>
                <c:pt idx="45">
                  <c:v>41541</c:v>
                </c:pt>
                <c:pt idx="46">
                  <c:v>41534</c:v>
                </c:pt>
                <c:pt idx="47">
                  <c:v>41519</c:v>
                </c:pt>
                <c:pt idx="48">
                  <c:v>41513</c:v>
                </c:pt>
                <c:pt idx="49">
                  <c:v>41498</c:v>
                </c:pt>
                <c:pt idx="50">
                  <c:v>41491</c:v>
                </c:pt>
                <c:pt idx="51">
                  <c:v>41485</c:v>
                </c:pt>
                <c:pt idx="52">
                  <c:v>41478</c:v>
                </c:pt>
                <c:pt idx="53">
                  <c:v>41470</c:v>
                </c:pt>
                <c:pt idx="54">
                  <c:v>41464</c:v>
                </c:pt>
                <c:pt idx="55">
                  <c:v>41491</c:v>
                </c:pt>
                <c:pt idx="56">
                  <c:v>41485</c:v>
                </c:pt>
                <c:pt idx="57">
                  <c:v>41478</c:v>
                </c:pt>
                <c:pt idx="58">
                  <c:v>41470</c:v>
                </c:pt>
                <c:pt idx="59">
                  <c:v>41464</c:v>
                </c:pt>
                <c:pt idx="60">
                  <c:v>41449</c:v>
                </c:pt>
                <c:pt idx="61">
                  <c:v>41445</c:v>
                </c:pt>
                <c:pt idx="62">
                  <c:v>41443</c:v>
                </c:pt>
                <c:pt idx="63">
                  <c:v>41437</c:v>
                </c:pt>
              </c:numCache>
            </c:numRef>
          </c:cat>
          <c:val>
            <c:numRef>
              <c:f>'used space Charts'!$R$11:$R$74</c:f>
              <c:numCache>
                <c:formatCode>0.00%</c:formatCode>
                <c:ptCount val="64"/>
                <c:pt idx="0">
                  <c:v>0.69439995363890727</c:v>
                </c:pt>
                <c:pt idx="1">
                  <c:v>0.68741185768822077</c:v>
                </c:pt>
                <c:pt idx="2">
                  <c:v>0.68266022694822392</c:v>
                </c:pt>
                <c:pt idx="3">
                  <c:v>0.67829252400692519</c:v>
                </c:pt>
                <c:pt idx="4">
                  <c:v>0.67158045956195622</c:v>
                </c:pt>
                <c:pt idx="5">
                  <c:v>0.65628396779276588</c:v>
                </c:pt>
                <c:pt idx="6">
                  <c:v>0.65147400442794179</c:v>
                </c:pt>
                <c:pt idx="7">
                  <c:v>0.64631976419894244</c:v>
                </c:pt>
                <c:pt idx="8">
                  <c:v>0.68808249224423901</c:v>
                </c:pt>
                <c:pt idx="9">
                  <c:v>0.6816049020755357</c:v>
                </c:pt>
                <c:pt idx="10">
                  <c:v>0.67240397897127935</c:v>
                </c:pt>
                <c:pt idx="11">
                  <c:v>0.67240397897127935</c:v>
                </c:pt>
                <c:pt idx="12">
                  <c:v>0.66929176187021244</c:v>
                </c:pt>
                <c:pt idx="13">
                  <c:v>0.66658406055307717</c:v>
                </c:pt>
                <c:pt idx="14">
                  <c:v>0.66658406055307717</c:v>
                </c:pt>
                <c:pt idx="15">
                  <c:v>0.67203323942897353</c:v>
                </c:pt>
                <c:pt idx="16">
                  <c:v>0.66487156171416495</c:v>
                </c:pt>
                <c:pt idx="17">
                  <c:v>0.65023682899259938</c:v>
                </c:pt>
                <c:pt idx="18">
                  <c:v>0.64428382253433203</c:v>
                </c:pt>
                <c:pt idx="19">
                  <c:v>0.63343951699681833</c:v>
                </c:pt>
                <c:pt idx="20">
                  <c:v>0.61635952250311665</c:v>
                </c:pt>
                <c:pt idx="21">
                  <c:v>0.68146374902263207</c:v>
                </c:pt>
                <c:pt idx="22">
                  <c:v>0.67</c:v>
                </c:pt>
                <c:pt idx="23">
                  <c:v>0.6459031772043885</c:v>
                </c:pt>
                <c:pt idx="24">
                  <c:v>0.63729162873229583</c:v>
                </c:pt>
                <c:pt idx="25">
                  <c:v>0.62493261070588269</c:v>
                </c:pt>
                <c:pt idx="26">
                  <c:v>0.55907988175187173</c:v>
                </c:pt>
                <c:pt idx="27">
                  <c:v>0.5356922263994659</c:v>
                </c:pt>
                <c:pt idx="28">
                  <c:v>0.51607301607703271</c:v>
                </c:pt>
                <c:pt idx="29">
                  <c:v>0.50014370432255462</c:v>
                </c:pt>
                <c:pt idx="30">
                  <c:v>0.48440540328252807</c:v>
                </c:pt>
                <c:pt idx="31">
                  <c:v>0.48454955389179866</c:v>
                </c:pt>
                <c:pt idx="32">
                  <c:v>0.70327214857427212</c:v>
                </c:pt>
                <c:pt idx="33">
                  <c:v>0.60892157204484343</c:v>
                </c:pt>
                <c:pt idx="34">
                  <c:v>0.55741795588975918</c:v>
                </c:pt>
                <c:pt idx="35">
                  <c:v>0.46932007630165351</c:v>
                </c:pt>
                <c:pt idx="36">
                  <c:v>0.37796122654787906</c:v>
                </c:pt>
                <c:pt idx="37">
                  <c:v>0.4429438399155729</c:v>
                </c:pt>
                <c:pt idx="38">
                  <c:v>0.29180016398278413</c:v>
                </c:pt>
                <c:pt idx="39">
                  <c:v>0.25803875661099146</c:v>
                </c:pt>
                <c:pt idx="40">
                  <c:v>0.25636130099202614</c:v>
                </c:pt>
                <c:pt idx="41">
                  <c:v>0.2529367086843517</c:v>
                </c:pt>
                <c:pt idx="42">
                  <c:v>0.21428880016166008</c:v>
                </c:pt>
                <c:pt idx="43">
                  <c:v>0.16865002218180719</c:v>
                </c:pt>
                <c:pt idx="44">
                  <c:v>0.16602769125711617</c:v>
                </c:pt>
                <c:pt idx="45">
                  <c:v>0.33950990491140809</c:v>
                </c:pt>
                <c:pt idx="46">
                  <c:v>0.28589200695705685</c:v>
                </c:pt>
                <c:pt idx="47">
                  <c:v>0.15985069669456231</c:v>
                </c:pt>
                <c:pt idx="48">
                  <c:v>0.15516534156499034</c:v>
                </c:pt>
                <c:pt idx="49">
                  <c:v>0.15784109464315163</c:v>
                </c:pt>
                <c:pt idx="50">
                  <c:v>0.16296590505257436</c:v>
                </c:pt>
                <c:pt idx="51">
                  <c:v>0.16267788996430005</c:v>
                </c:pt>
                <c:pt idx="52">
                  <c:v>0.14558651717754506</c:v>
                </c:pt>
                <c:pt idx="53">
                  <c:v>9.1727695670250603E-2</c:v>
                </c:pt>
                <c:pt idx="54">
                  <c:v>3.4072840160520936E-5</c:v>
                </c:pt>
                <c:pt idx="55">
                  <c:v>0.16296590505257436</c:v>
                </c:pt>
                <c:pt idx="56">
                  <c:v>0.16267788996430005</c:v>
                </c:pt>
                <c:pt idx="57">
                  <c:v>0.14558651717754506</c:v>
                </c:pt>
                <c:pt idx="58">
                  <c:v>9.1727695670250603E-2</c:v>
                </c:pt>
                <c:pt idx="59">
                  <c:v>3.4072840160520936E-5</c:v>
                </c:pt>
                <c:pt idx="60">
                  <c:v>3.4072840160520936E-5</c:v>
                </c:pt>
                <c:pt idx="61">
                  <c:v>3.4830014386310289E-5</c:v>
                </c:pt>
                <c:pt idx="62">
                  <c:v>3.5587188612099643E-5</c:v>
                </c:pt>
                <c:pt idx="63">
                  <c:v>3.5587188612099643E-5</c:v>
                </c:pt>
              </c:numCache>
            </c:numRef>
          </c:val>
          <c:smooth val="0"/>
        </c:ser>
        <c:dLbls>
          <c:showLegendKey val="0"/>
          <c:showVal val="0"/>
          <c:showCatName val="0"/>
          <c:showSerName val="0"/>
          <c:showPercent val="0"/>
          <c:showBubbleSize val="0"/>
        </c:dLbls>
        <c:marker val="1"/>
        <c:smooth val="0"/>
        <c:axId val="456139136"/>
        <c:axId val="456140672"/>
      </c:lineChart>
      <c:dateAx>
        <c:axId val="4561391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6140672"/>
        <c:crosses val="autoZero"/>
        <c:auto val="1"/>
        <c:lblOffset val="100"/>
        <c:baseTimeUnit val="days"/>
      </c:dateAx>
      <c:valAx>
        <c:axId val="456140672"/>
        <c:scaling>
          <c:orientation val="minMax"/>
        </c:scaling>
        <c:delete val="0"/>
        <c:axPos val="l"/>
        <c:majorGridlines/>
        <c:numFmt formatCode="0.0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61391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533985337117481"/>
          <c:y val="0.21495327102803741"/>
          <c:w val="0.74041511227620382"/>
          <c:h val="0.57943925233645865"/>
        </c:manualLayout>
      </c:layout>
      <c:lineChart>
        <c:grouping val="standard"/>
        <c:varyColors val="0"/>
        <c:ser>
          <c:idx val="0"/>
          <c:order val="0"/>
          <c:tx>
            <c:strRef>
              <c:f>'subscription charts'!$B$2</c:f>
              <c:strCache>
                <c:ptCount val="1"/>
                <c:pt idx="0">
                  <c:v>CGC T4 V-MAX 0623</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charts'!$B$3:$B$109</c:f>
              <c:numCache>
                <c:formatCode>0.00%</c:formatCode>
                <c:ptCount val="107"/>
                <c:pt idx="0">
                  <c:v>0.26836756814698437</c:v>
                </c:pt>
                <c:pt idx="1">
                  <c:v>0.26836756814698437</c:v>
                </c:pt>
                <c:pt idx="2">
                  <c:v>0.26836756814698437</c:v>
                </c:pt>
                <c:pt idx="3">
                  <c:v>0.26971614889144158</c:v>
                </c:pt>
                <c:pt idx="4">
                  <c:v>0.26971614889144158</c:v>
                </c:pt>
                <c:pt idx="5">
                  <c:v>0.28508996937825376</c:v>
                </c:pt>
                <c:pt idx="6">
                  <c:v>0.28508996937825376</c:v>
                </c:pt>
                <c:pt idx="7">
                  <c:v>0.28508996937825376</c:v>
                </c:pt>
                <c:pt idx="8">
                  <c:v>0.29264202154721414</c:v>
                </c:pt>
                <c:pt idx="9">
                  <c:v>0.44759394908534733</c:v>
                </c:pt>
                <c:pt idx="10">
                  <c:v>0.44759394908534733</c:v>
                </c:pt>
                <c:pt idx="11">
                  <c:v>0.44759394908534733</c:v>
                </c:pt>
                <c:pt idx="12">
                  <c:v>0.44759394908534733</c:v>
                </c:pt>
                <c:pt idx="13">
                  <c:v>0.455955149700982</c:v>
                </c:pt>
                <c:pt idx="14">
                  <c:v>0.455955149700982</c:v>
                </c:pt>
                <c:pt idx="15">
                  <c:v>0.4602706080832451</c:v>
                </c:pt>
                <c:pt idx="16">
                  <c:v>0.46121461460436514</c:v>
                </c:pt>
                <c:pt idx="17">
                  <c:v>0.51879901239268789</c:v>
                </c:pt>
                <c:pt idx="18">
                  <c:v>0.71407350419009152</c:v>
                </c:pt>
                <c:pt idx="19">
                  <c:v>0.71407350419009152</c:v>
                </c:pt>
                <c:pt idx="20">
                  <c:v>0.71407350419009152</c:v>
                </c:pt>
                <c:pt idx="21">
                  <c:v>0.71407350419009152</c:v>
                </c:pt>
                <c:pt idx="22">
                  <c:v>0.71407350419009152</c:v>
                </c:pt>
                <c:pt idx="23">
                  <c:v>0.71407350419009152</c:v>
                </c:pt>
                <c:pt idx="24">
                  <c:v>0.71757981412568039</c:v>
                </c:pt>
                <c:pt idx="25">
                  <c:v>0.71757981412568039</c:v>
                </c:pt>
                <c:pt idx="26">
                  <c:v>0.71757981412568039</c:v>
                </c:pt>
                <c:pt idx="27">
                  <c:v>0.72351356940129208</c:v>
                </c:pt>
                <c:pt idx="28">
                  <c:v>0.72782902778355518</c:v>
                </c:pt>
                <c:pt idx="29">
                  <c:v>0.72782902778355518</c:v>
                </c:pt>
                <c:pt idx="30">
                  <c:v>0.7278</c:v>
                </c:pt>
                <c:pt idx="31">
                  <c:v>0.74455142901482452</c:v>
                </c:pt>
                <c:pt idx="32">
                  <c:v>0.74441657094037883</c:v>
                </c:pt>
                <c:pt idx="33">
                  <c:v>0.74428171286593303</c:v>
                </c:pt>
                <c:pt idx="34">
                  <c:v>0.74320284827036731</c:v>
                </c:pt>
                <c:pt idx="35">
                  <c:v>0.74320284827036731</c:v>
                </c:pt>
                <c:pt idx="36">
                  <c:v>0.74724859050373893</c:v>
                </c:pt>
                <c:pt idx="37">
                  <c:v>0.75722808801272223</c:v>
                </c:pt>
                <c:pt idx="38">
                  <c:v>0.75722808801272223</c:v>
                </c:pt>
                <c:pt idx="39">
                  <c:v>0.75722808801272223</c:v>
                </c:pt>
                <c:pt idx="40">
                  <c:v>1.3202942612261406</c:v>
                </c:pt>
                <c:pt idx="41">
                  <c:v>1.311123918182896</c:v>
                </c:pt>
                <c:pt idx="42">
                  <c:v>1.311123918182896</c:v>
                </c:pt>
                <c:pt idx="43">
                  <c:v>1.311123918182896</c:v>
                </c:pt>
                <c:pt idx="44">
                  <c:v>1.3012481641363247</c:v>
                </c:pt>
                <c:pt idx="45">
                  <c:v>1.3012481641363247</c:v>
                </c:pt>
                <c:pt idx="46">
                  <c:v>1.3012481641363247</c:v>
                </c:pt>
                <c:pt idx="47">
                  <c:v>1.3186483022183788</c:v>
                </c:pt>
                <c:pt idx="48">
                  <c:v>1.3165320692083993</c:v>
                </c:pt>
                <c:pt idx="49">
                  <c:v>1.3165320692083993</c:v>
                </c:pt>
                <c:pt idx="50">
                  <c:v>1.3165320692083993</c:v>
                </c:pt>
                <c:pt idx="51">
                  <c:v>1.3108887811817871</c:v>
                </c:pt>
                <c:pt idx="52">
                  <c:v>1.3108887811817871</c:v>
                </c:pt>
                <c:pt idx="53">
                  <c:v>1.3108887811817871</c:v>
                </c:pt>
                <c:pt idx="54">
                  <c:v>1.3092428221740251</c:v>
                </c:pt>
                <c:pt idx="55">
                  <c:v>1.2951346021074948</c:v>
                </c:pt>
                <c:pt idx="56">
                  <c:v>1.2894913140808826</c:v>
                </c:pt>
                <c:pt idx="57">
                  <c:v>1.2859642590642499</c:v>
                </c:pt>
                <c:pt idx="58">
                  <c:v>1.2859642590642499</c:v>
                </c:pt>
                <c:pt idx="59">
                  <c:v>1.2859642590642499</c:v>
                </c:pt>
                <c:pt idx="60">
                  <c:v>1.2859642590642499</c:v>
                </c:pt>
                <c:pt idx="61">
                  <c:v>1.2859642590642499</c:v>
                </c:pt>
                <c:pt idx="62">
                  <c:v>1.2782047380276582</c:v>
                </c:pt>
                <c:pt idx="63">
                  <c:v>1.2782047380276582</c:v>
                </c:pt>
                <c:pt idx="64">
                  <c:v>1.2711506279943929</c:v>
                </c:pt>
                <c:pt idx="65">
                  <c:v>1.2711506279943929</c:v>
                </c:pt>
                <c:pt idx="66">
                  <c:v>1.2553964489201006</c:v>
                </c:pt>
                <c:pt idx="67">
                  <c:v>1.2554034529074802</c:v>
                </c:pt>
                <c:pt idx="68">
                  <c:v>1.2554034529074802</c:v>
                </c:pt>
                <c:pt idx="69">
                  <c:v>1.2554034529074802</c:v>
                </c:pt>
                <c:pt idx="70">
                  <c:v>1.2554034529074802</c:v>
                </c:pt>
                <c:pt idx="71">
                  <c:v>1.2549331762815548</c:v>
                </c:pt>
                <c:pt idx="72">
                  <c:v>1.2450573671371243</c:v>
                </c:pt>
                <c:pt idx="73">
                  <c:v>1.2293031001686283</c:v>
                </c:pt>
                <c:pt idx="74">
                  <c:v>1.3428749053295783</c:v>
                </c:pt>
                <c:pt idx="75">
                  <c:v>1.3428749053295783</c:v>
                </c:pt>
                <c:pt idx="76">
                  <c:v>1.3428749053295783</c:v>
                </c:pt>
                <c:pt idx="77">
                  <c:v>1.3407586605129149</c:v>
                </c:pt>
                <c:pt idx="78">
                  <c:v>1.3407586605129149</c:v>
                </c:pt>
                <c:pt idx="79">
                  <c:v>1.3407586605129149</c:v>
                </c:pt>
                <c:pt idx="80">
                  <c:v>1.3407586605129149</c:v>
                </c:pt>
                <c:pt idx="81">
                  <c:v>1.3407586605129149</c:v>
                </c:pt>
                <c:pt idx="82">
                  <c:v>1.3407586605129149</c:v>
                </c:pt>
                <c:pt idx="83">
                  <c:v>1.3407586605129149</c:v>
                </c:pt>
                <c:pt idx="84">
                  <c:v>1.3407586605129149</c:v>
                </c:pt>
                <c:pt idx="85">
                  <c:v>1.3407586605129149</c:v>
                </c:pt>
                <c:pt idx="86">
                  <c:v>1.3407586605129149</c:v>
                </c:pt>
                <c:pt idx="87">
                  <c:v>1.3407586605129149</c:v>
                </c:pt>
                <c:pt idx="88">
                  <c:v>1.3407586605129149</c:v>
                </c:pt>
                <c:pt idx="89">
                  <c:v>1.3407586605129149</c:v>
                </c:pt>
                <c:pt idx="90">
                  <c:v>1.3345286563704302</c:v>
                </c:pt>
                <c:pt idx="91">
                  <c:v>1.3258277646901293</c:v>
                </c:pt>
                <c:pt idx="92">
                  <c:v>1.3258277646901293</c:v>
                </c:pt>
                <c:pt idx="93">
                  <c:v>1.3258277646901293</c:v>
                </c:pt>
                <c:pt idx="94">
                  <c:v>1.3258277646901293</c:v>
                </c:pt>
                <c:pt idx="95">
                  <c:v>1.3258277646901293</c:v>
                </c:pt>
                <c:pt idx="96">
                  <c:v>1.3258277646901293</c:v>
                </c:pt>
                <c:pt idx="97">
                  <c:v>1.3258277646901293</c:v>
                </c:pt>
                <c:pt idx="98">
                  <c:v>1.3213597392326777</c:v>
                </c:pt>
                <c:pt idx="99">
                  <c:v>1.3213597392326777</c:v>
                </c:pt>
                <c:pt idx="100">
                  <c:v>1.3204191022942668</c:v>
                </c:pt>
                <c:pt idx="101">
                  <c:v>1.3204191022942668</c:v>
                </c:pt>
                <c:pt idx="102">
                  <c:v>1.3215948984672805</c:v>
                </c:pt>
                <c:pt idx="103">
                  <c:v>1.3215948984672805</c:v>
                </c:pt>
                <c:pt idx="104">
                  <c:v>1.2938461087841597</c:v>
                </c:pt>
                <c:pt idx="105">
                  <c:v>1.2938461087841597</c:v>
                </c:pt>
                <c:pt idx="106">
                  <c:v>1.2938461087841597</c:v>
                </c:pt>
              </c:numCache>
            </c:numRef>
          </c:val>
          <c:smooth val="0"/>
        </c:ser>
        <c:dLbls>
          <c:showLegendKey val="0"/>
          <c:showVal val="0"/>
          <c:showCatName val="0"/>
          <c:showSerName val="0"/>
          <c:showPercent val="0"/>
          <c:showBubbleSize val="0"/>
        </c:dLbls>
        <c:marker val="1"/>
        <c:smooth val="0"/>
        <c:axId val="461682944"/>
        <c:axId val="461688832"/>
      </c:lineChart>
      <c:dateAx>
        <c:axId val="4616829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1688832"/>
        <c:crosses val="autoZero"/>
        <c:auto val="1"/>
        <c:lblOffset val="100"/>
        <c:baseTimeUnit val="days"/>
      </c:dateAx>
      <c:valAx>
        <c:axId val="46168883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16829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lineChart>
        <c:grouping val="standard"/>
        <c:varyColors val="0"/>
        <c:ser>
          <c:idx val="0"/>
          <c:order val="0"/>
          <c:tx>
            <c:strRef>
              <c:f>'subscription charts'!$C$2</c:f>
              <c:strCache>
                <c:ptCount val="1"/>
                <c:pt idx="0">
                  <c:v>CGC T3 V-MAX 0745</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charts'!$C$3:$C$109</c:f>
              <c:numCache>
                <c:formatCode>0.00%</c:formatCode>
                <c:ptCount val="107"/>
                <c:pt idx="0">
                  <c:v>0.36938979528517429</c:v>
                </c:pt>
                <c:pt idx="1">
                  <c:v>0.36938979528517429</c:v>
                </c:pt>
                <c:pt idx="2">
                  <c:v>0.38350232233366793</c:v>
                </c:pt>
                <c:pt idx="3">
                  <c:v>0.38999856494329199</c:v>
                </c:pt>
                <c:pt idx="4">
                  <c:v>0.39627079918706692</c:v>
                </c:pt>
                <c:pt idx="5">
                  <c:v>0.4314401126253764</c:v>
                </c:pt>
                <c:pt idx="6">
                  <c:v>0.44465660621047359</c:v>
                </c:pt>
                <c:pt idx="7">
                  <c:v>0.4475687149665119</c:v>
                </c:pt>
                <c:pt idx="8">
                  <c:v>0.55285264691559133</c:v>
                </c:pt>
                <c:pt idx="9">
                  <c:v>0.55666078913502615</c:v>
                </c:pt>
                <c:pt idx="10">
                  <c:v>0.55666078913502615</c:v>
                </c:pt>
                <c:pt idx="11">
                  <c:v>0.59899837028050706</c:v>
                </c:pt>
                <c:pt idx="12">
                  <c:v>0.60325452923164002</c:v>
                </c:pt>
                <c:pt idx="13">
                  <c:v>0.61624701445088803</c:v>
                </c:pt>
                <c:pt idx="14">
                  <c:v>0.61624701445088803</c:v>
                </c:pt>
                <c:pt idx="15">
                  <c:v>0.62879148293843801</c:v>
                </c:pt>
                <c:pt idx="16">
                  <c:v>0.63394367535296747</c:v>
                </c:pt>
                <c:pt idx="17">
                  <c:v>0.64492008527957356</c:v>
                </c:pt>
                <c:pt idx="18">
                  <c:v>0.64088793469428973</c:v>
                </c:pt>
                <c:pt idx="19">
                  <c:v>0.64088793469428973</c:v>
                </c:pt>
                <c:pt idx="20">
                  <c:v>0.6599286457914636</c:v>
                </c:pt>
                <c:pt idx="21">
                  <c:v>0.66866497205957864</c:v>
                </c:pt>
                <c:pt idx="22">
                  <c:v>0.66866497205957864</c:v>
                </c:pt>
                <c:pt idx="23">
                  <c:v>0.67404117283995724</c:v>
                </c:pt>
                <c:pt idx="24">
                  <c:v>0.66037666252316185</c:v>
                </c:pt>
                <c:pt idx="25">
                  <c:v>0.66037666252316185</c:v>
                </c:pt>
                <c:pt idx="26">
                  <c:v>0.66037666252316185</c:v>
                </c:pt>
                <c:pt idx="27">
                  <c:v>0.66037666252316185</c:v>
                </c:pt>
                <c:pt idx="28">
                  <c:v>0.66776893859618225</c:v>
                </c:pt>
                <c:pt idx="29">
                  <c:v>0.66575286330354033</c:v>
                </c:pt>
                <c:pt idx="30">
                  <c:v>0.66349999999999998</c:v>
                </c:pt>
                <c:pt idx="31">
                  <c:v>0.66284075454750202</c:v>
                </c:pt>
                <c:pt idx="32">
                  <c:v>0.65836058723051982</c:v>
                </c:pt>
                <c:pt idx="33">
                  <c:v>0.65836058723051982</c:v>
                </c:pt>
                <c:pt idx="34">
                  <c:v>0.65836058723051982</c:v>
                </c:pt>
                <c:pt idx="35">
                  <c:v>0.65836058723051982</c:v>
                </c:pt>
                <c:pt idx="36">
                  <c:v>0.65836058723051982</c:v>
                </c:pt>
                <c:pt idx="37">
                  <c:v>0.65836058723051982</c:v>
                </c:pt>
                <c:pt idx="38">
                  <c:v>0.65836058723051982</c:v>
                </c:pt>
                <c:pt idx="39">
                  <c:v>0.58667791015880633</c:v>
                </c:pt>
                <c:pt idx="40">
                  <c:v>0.58667791015880633</c:v>
                </c:pt>
                <c:pt idx="41">
                  <c:v>0.57122133291521793</c:v>
                </c:pt>
                <c:pt idx="42">
                  <c:v>0.57122133291521793</c:v>
                </c:pt>
                <c:pt idx="43">
                  <c:v>0.64290400998693154</c:v>
                </c:pt>
                <c:pt idx="44">
                  <c:v>0.64178396815768612</c:v>
                </c:pt>
                <c:pt idx="45">
                  <c:v>0.64178396815768612</c:v>
                </c:pt>
                <c:pt idx="46">
                  <c:v>0.64178396815768612</c:v>
                </c:pt>
                <c:pt idx="47">
                  <c:v>0.64178396815768612</c:v>
                </c:pt>
                <c:pt idx="48">
                  <c:v>0.64178396815768612</c:v>
                </c:pt>
                <c:pt idx="49">
                  <c:v>0.64178396815768612</c:v>
                </c:pt>
                <c:pt idx="50">
                  <c:v>0.64178396815768612</c:v>
                </c:pt>
                <c:pt idx="51">
                  <c:v>0.64178396815768612</c:v>
                </c:pt>
                <c:pt idx="52">
                  <c:v>0.64178396815768612</c:v>
                </c:pt>
                <c:pt idx="53">
                  <c:v>0.64178396815768612</c:v>
                </c:pt>
                <c:pt idx="54">
                  <c:v>0.64178396815768612</c:v>
                </c:pt>
                <c:pt idx="55">
                  <c:v>0.62744743274334336</c:v>
                </c:pt>
                <c:pt idx="56">
                  <c:v>0.62475933235315417</c:v>
                </c:pt>
                <c:pt idx="57">
                  <c:v>0.62072718176787023</c:v>
                </c:pt>
                <c:pt idx="58">
                  <c:v>0.62610338254824871</c:v>
                </c:pt>
                <c:pt idx="59">
                  <c:v>0.62475933235315417</c:v>
                </c:pt>
                <c:pt idx="60">
                  <c:v>0.6231912737922104</c:v>
                </c:pt>
                <c:pt idx="61">
                  <c:v>0.6231912737922104</c:v>
                </c:pt>
                <c:pt idx="62">
                  <c:v>0.61691903954843541</c:v>
                </c:pt>
                <c:pt idx="63">
                  <c:v>0.61691903954843541</c:v>
                </c:pt>
                <c:pt idx="64">
                  <c:v>0.60504659615843281</c:v>
                </c:pt>
                <c:pt idx="65">
                  <c:v>0.60504659615843281</c:v>
                </c:pt>
                <c:pt idx="66">
                  <c:v>0.60191047903654538</c:v>
                </c:pt>
                <c:pt idx="67">
                  <c:v>0.60101803930218622</c:v>
                </c:pt>
                <c:pt idx="68">
                  <c:v>0.60101803930218622</c:v>
                </c:pt>
                <c:pt idx="69">
                  <c:v>0.60101803930218622</c:v>
                </c:pt>
                <c:pt idx="70">
                  <c:v>0.60101803930218622</c:v>
                </c:pt>
                <c:pt idx="71">
                  <c:v>0.59429774814338432</c:v>
                </c:pt>
                <c:pt idx="72">
                  <c:v>0.59429774814338432</c:v>
                </c:pt>
                <c:pt idx="73">
                  <c:v>0.59295368991162389</c:v>
                </c:pt>
                <c:pt idx="74">
                  <c:v>0.59295368991162389</c:v>
                </c:pt>
                <c:pt idx="75">
                  <c:v>0.59295368991162389</c:v>
                </c:pt>
                <c:pt idx="76">
                  <c:v>0.59295368991162389</c:v>
                </c:pt>
                <c:pt idx="77">
                  <c:v>0.59295368991162389</c:v>
                </c:pt>
                <c:pt idx="78">
                  <c:v>0.59295368991162389</c:v>
                </c:pt>
                <c:pt idx="79">
                  <c:v>0.59295368991162389</c:v>
                </c:pt>
                <c:pt idx="80">
                  <c:v>0.59295368991162389</c:v>
                </c:pt>
                <c:pt idx="81">
                  <c:v>0.59295368991162389</c:v>
                </c:pt>
                <c:pt idx="82">
                  <c:v>0.59295368991162389</c:v>
                </c:pt>
                <c:pt idx="83">
                  <c:v>0.59295368991162389</c:v>
                </c:pt>
                <c:pt idx="84">
                  <c:v>0.59295368991162389</c:v>
                </c:pt>
                <c:pt idx="85">
                  <c:v>0.59295368991162389</c:v>
                </c:pt>
                <c:pt idx="86">
                  <c:v>0.59295368991162389</c:v>
                </c:pt>
                <c:pt idx="87">
                  <c:v>0.59295368991162389</c:v>
                </c:pt>
                <c:pt idx="88">
                  <c:v>0.59295368991162389</c:v>
                </c:pt>
                <c:pt idx="89">
                  <c:v>0.59295368991162389</c:v>
                </c:pt>
                <c:pt idx="90">
                  <c:v>0.59233435958218339</c:v>
                </c:pt>
                <c:pt idx="91">
                  <c:v>0.59166227067191624</c:v>
                </c:pt>
                <c:pt idx="92">
                  <c:v>0.59166227067191624</c:v>
                </c:pt>
                <c:pt idx="93">
                  <c:v>0.59524674486000806</c:v>
                </c:pt>
                <c:pt idx="94">
                  <c:v>0.59524674486000806</c:v>
                </c:pt>
                <c:pt idx="95">
                  <c:v>0.59524674486000806</c:v>
                </c:pt>
                <c:pt idx="96">
                  <c:v>0.59524674486000806</c:v>
                </c:pt>
                <c:pt idx="97">
                  <c:v>0.59524674486000806</c:v>
                </c:pt>
                <c:pt idx="98">
                  <c:v>0.59883121904809999</c:v>
                </c:pt>
                <c:pt idx="99">
                  <c:v>0.59815913013783273</c:v>
                </c:pt>
                <c:pt idx="100">
                  <c:v>0.59547077449676378</c:v>
                </c:pt>
                <c:pt idx="101">
                  <c:v>0.59547077449676378</c:v>
                </c:pt>
                <c:pt idx="102">
                  <c:v>0.60062345614214585</c:v>
                </c:pt>
                <c:pt idx="103">
                  <c:v>0.60062345614214585</c:v>
                </c:pt>
                <c:pt idx="104">
                  <c:v>0.60532807851401649</c:v>
                </c:pt>
                <c:pt idx="105">
                  <c:v>0.60532807851401649</c:v>
                </c:pt>
                <c:pt idx="106">
                  <c:v>0.60532807851401649</c:v>
                </c:pt>
              </c:numCache>
            </c:numRef>
          </c:val>
          <c:smooth val="0"/>
        </c:ser>
        <c:dLbls>
          <c:showLegendKey val="0"/>
          <c:showVal val="0"/>
          <c:showCatName val="0"/>
          <c:showSerName val="0"/>
          <c:showPercent val="0"/>
          <c:showBubbleSize val="0"/>
        </c:dLbls>
        <c:marker val="1"/>
        <c:smooth val="0"/>
        <c:axId val="456199552"/>
        <c:axId val="456209536"/>
      </c:lineChart>
      <c:dateAx>
        <c:axId val="45619955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6209536"/>
        <c:crosses val="autoZero"/>
        <c:auto val="1"/>
        <c:lblOffset val="100"/>
        <c:baseTimeUnit val="days"/>
      </c:dateAx>
      <c:valAx>
        <c:axId val="45620953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61995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1828971437625141"/>
          <c:y val="0.21261682242990654"/>
          <c:w val="0.73746525127111962"/>
          <c:h val="0.58411214953264801"/>
        </c:manualLayout>
      </c:layout>
      <c:lineChart>
        <c:grouping val="standard"/>
        <c:varyColors val="0"/>
        <c:ser>
          <c:idx val="0"/>
          <c:order val="0"/>
          <c:tx>
            <c:strRef>
              <c:f>'subscription charts'!$E$2</c:f>
              <c:strCache>
                <c:ptCount val="1"/>
                <c:pt idx="0">
                  <c:v>RDC T4 V-MAX 0678</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charts'!$E$3:$E$109</c:f>
              <c:numCache>
                <c:formatCode>0.00%</c:formatCode>
                <c:ptCount val="107"/>
                <c:pt idx="0">
                  <c:v>0.84978515792411813</c:v>
                </c:pt>
                <c:pt idx="1">
                  <c:v>0.84978515792411813</c:v>
                </c:pt>
                <c:pt idx="2">
                  <c:v>0.84997041738736734</c:v>
                </c:pt>
                <c:pt idx="3">
                  <c:v>0.84997041738736734</c:v>
                </c:pt>
                <c:pt idx="4">
                  <c:v>0.8662732501532977</c:v>
                </c:pt>
                <c:pt idx="5">
                  <c:v>0.88628127218421227</c:v>
                </c:pt>
                <c:pt idx="6">
                  <c:v>0.88628127218421227</c:v>
                </c:pt>
                <c:pt idx="7">
                  <c:v>0.88831912627995346</c:v>
                </c:pt>
                <c:pt idx="8">
                  <c:v>0.89943469407490606</c:v>
                </c:pt>
                <c:pt idx="9">
                  <c:v>0.92518575946654602</c:v>
                </c:pt>
                <c:pt idx="10">
                  <c:v>0.92518575946654602</c:v>
                </c:pt>
                <c:pt idx="11">
                  <c:v>0.92518575946654602</c:v>
                </c:pt>
                <c:pt idx="12">
                  <c:v>0.92518575946654602</c:v>
                </c:pt>
                <c:pt idx="13">
                  <c:v>0.95241890056417955</c:v>
                </c:pt>
                <c:pt idx="14">
                  <c:v>0.95241890056417955</c:v>
                </c:pt>
                <c:pt idx="15">
                  <c:v>1.0489390809170169</c:v>
                </c:pt>
                <c:pt idx="16">
                  <c:v>1.0520884917922535</c:v>
                </c:pt>
                <c:pt idx="17">
                  <c:v>1.0520884917922535</c:v>
                </c:pt>
                <c:pt idx="18">
                  <c:v>1.0530147891084995</c:v>
                </c:pt>
                <c:pt idx="19">
                  <c:v>1.0530147891084995</c:v>
                </c:pt>
                <c:pt idx="20">
                  <c:v>1.1960350947368883</c:v>
                </c:pt>
                <c:pt idx="21">
                  <c:v>1.2632842798963511</c:v>
                </c:pt>
                <c:pt idx="22">
                  <c:v>1.2632842798963511</c:v>
                </c:pt>
                <c:pt idx="23">
                  <c:v>1.2632842798963511</c:v>
                </c:pt>
                <c:pt idx="24">
                  <c:v>1.3233083459890944</c:v>
                </c:pt>
                <c:pt idx="25">
                  <c:v>1.3938922014870427</c:v>
                </c:pt>
                <c:pt idx="26">
                  <c:v>1.3938922014870427</c:v>
                </c:pt>
                <c:pt idx="27">
                  <c:v>1.3938922014870427</c:v>
                </c:pt>
                <c:pt idx="28">
                  <c:v>1.4266831264821527</c:v>
                </c:pt>
                <c:pt idx="29">
                  <c:v>1.4266831264821527</c:v>
                </c:pt>
                <c:pt idx="30">
                  <c:v>1.4260999999999999</c:v>
                </c:pt>
                <c:pt idx="31">
                  <c:v>1.426127348092405</c:v>
                </c:pt>
                <c:pt idx="32">
                  <c:v>1.426127348092405</c:v>
                </c:pt>
                <c:pt idx="33">
                  <c:v>1.4264978670189035</c:v>
                </c:pt>
                <c:pt idx="34">
                  <c:v>1.4264978670189035</c:v>
                </c:pt>
                <c:pt idx="35">
                  <c:v>1.4264978670189035</c:v>
                </c:pt>
                <c:pt idx="36">
                  <c:v>1.4353903212548655</c:v>
                </c:pt>
                <c:pt idx="37">
                  <c:v>1.4998606144655899</c:v>
                </c:pt>
                <c:pt idx="38">
                  <c:v>1.4998606144655899</c:v>
                </c:pt>
                <c:pt idx="39">
                  <c:v>1.4998606144655899</c:v>
                </c:pt>
                <c:pt idx="40">
                  <c:v>1.4998606144655899</c:v>
                </c:pt>
                <c:pt idx="41">
                  <c:v>1.5363567287256841</c:v>
                </c:pt>
                <c:pt idx="42">
                  <c:v>1.5363567287256841</c:v>
                </c:pt>
                <c:pt idx="43">
                  <c:v>1.5363567287256841</c:v>
                </c:pt>
                <c:pt idx="44">
                  <c:v>1.542655550476157</c:v>
                </c:pt>
                <c:pt idx="45">
                  <c:v>1.542655550476157</c:v>
                </c:pt>
                <c:pt idx="46">
                  <c:v>1.542655550476157</c:v>
                </c:pt>
                <c:pt idx="47">
                  <c:v>1.542655550476157</c:v>
                </c:pt>
                <c:pt idx="48">
                  <c:v>1.542655550476157</c:v>
                </c:pt>
                <c:pt idx="49">
                  <c:v>1.542655550476157</c:v>
                </c:pt>
                <c:pt idx="50">
                  <c:v>1.542655550476157</c:v>
                </c:pt>
                <c:pt idx="51">
                  <c:v>1.542655550476157</c:v>
                </c:pt>
                <c:pt idx="52">
                  <c:v>1.542655550476157</c:v>
                </c:pt>
                <c:pt idx="53">
                  <c:v>1.542655550476157</c:v>
                </c:pt>
                <c:pt idx="54">
                  <c:v>1.542655550476157</c:v>
                </c:pt>
                <c:pt idx="55">
                  <c:v>1.542655550476157</c:v>
                </c:pt>
                <c:pt idx="56">
                  <c:v>1.542655550476157</c:v>
                </c:pt>
                <c:pt idx="57">
                  <c:v>1.532095761070952</c:v>
                </c:pt>
                <c:pt idx="58">
                  <c:v>1.5293168691222139</c:v>
                </c:pt>
                <c:pt idx="59">
                  <c:v>1.5293168691222139</c:v>
                </c:pt>
                <c:pt idx="60">
                  <c:v>1.5293168691222139</c:v>
                </c:pt>
                <c:pt idx="61">
                  <c:v>1.5306136853649586</c:v>
                </c:pt>
                <c:pt idx="62">
                  <c:v>1.5217295923357315</c:v>
                </c:pt>
                <c:pt idx="63">
                  <c:v>1.5217295923357315</c:v>
                </c:pt>
                <c:pt idx="64">
                  <c:v>1.5217295923357315</c:v>
                </c:pt>
                <c:pt idx="65">
                  <c:v>1.5217295923357315</c:v>
                </c:pt>
                <c:pt idx="66">
                  <c:v>1.5276579277331923</c:v>
                </c:pt>
                <c:pt idx="67">
                  <c:v>1.5276579277331923</c:v>
                </c:pt>
                <c:pt idx="68">
                  <c:v>1.5276579277331923</c:v>
                </c:pt>
                <c:pt idx="69">
                  <c:v>1.5276579277331923</c:v>
                </c:pt>
                <c:pt idx="70">
                  <c:v>1.5276579277331923</c:v>
                </c:pt>
                <c:pt idx="71">
                  <c:v>1.5276579277331923</c:v>
                </c:pt>
                <c:pt idx="72">
                  <c:v>1.5276579277331923</c:v>
                </c:pt>
                <c:pt idx="73">
                  <c:v>1.5276579277331923</c:v>
                </c:pt>
                <c:pt idx="74">
                  <c:v>1.5276579277331923</c:v>
                </c:pt>
                <c:pt idx="75">
                  <c:v>1.5276579277331923</c:v>
                </c:pt>
                <c:pt idx="76">
                  <c:v>1.5276579277331923</c:v>
                </c:pt>
                <c:pt idx="77">
                  <c:v>1.5276579277331923</c:v>
                </c:pt>
                <c:pt idx="78">
                  <c:v>1.5276579277331923</c:v>
                </c:pt>
                <c:pt idx="79">
                  <c:v>1.520988550411049</c:v>
                </c:pt>
                <c:pt idx="80">
                  <c:v>1.5276579277331923</c:v>
                </c:pt>
                <c:pt idx="81">
                  <c:v>1.5276579277331923</c:v>
                </c:pt>
                <c:pt idx="82">
                  <c:v>1.5276579277331923</c:v>
                </c:pt>
                <c:pt idx="83">
                  <c:v>1.5276579277331923</c:v>
                </c:pt>
                <c:pt idx="84">
                  <c:v>1.5276579277331923</c:v>
                </c:pt>
                <c:pt idx="85">
                  <c:v>1.5276579277331923</c:v>
                </c:pt>
                <c:pt idx="86">
                  <c:v>1.5276579277331923</c:v>
                </c:pt>
                <c:pt idx="87">
                  <c:v>1.5276579277331923</c:v>
                </c:pt>
                <c:pt idx="88">
                  <c:v>1.5276579277331923</c:v>
                </c:pt>
                <c:pt idx="89">
                  <c:v>1.5276579277331923</c:v>
                </c:pt>
                <c:pt idx="90">
                  <c:v>1.5277938524531616</c:v>
                </c:pt>
                <c:pt idx="91">
                  <c:v>1.5277938524531616</c:v>
                </c:pt>
                <c:pt idx="92">
                  <c:v>1.5277938524531616</c:v>
                </c:pt>
                <c:pt idx="93">
                  <c:v>1.5277938524531616</c:v>
                </c:pt>
                <c:pt idx="94">
                  <c:v>1.5277938524531616</c:v>
                </c:pt>
                <c:pt idx="95">
                  <c:v>1.5277938524531616</c:v>
                </c:pt>
                <c:pt idx="96">
                  <c:v>1.5198269429630467</c:v>
                </c:pt>
                <c:pt idx="97">
                  <c:v>1.5198269429630467</c:v>
                </c:pt>
                <c:pt idx="98">
                  <c:v>1.5190858351035013</c:v>
                </c:pt>
                <c:pt idx="99">
                  <c:v>1.5190858351035013</c:v>
                </c:pt>
                <c:pt idx="100">
                  <c:v>1.5190858351035013</c:v>
                </c:pt>
                <c:pt idx="101">
                  <c:v>1.5190858351035013</c:v>
                </c:pt>
                <c:pt idx="102">
                  <c:v>1.5190858351035013</c:v>
                </c:pt>
                <c:pt idx="103">
                  <c:v>1.5190858351035013</c:v>
                </c:pt>
                <c:pt idx="104">
                  <c:v>1.5213091586821379</c:v>
                </c:pt>
                <c:pt idx="105">
                  <c:v>1.5213091586821379</c:v>
                </c:pt>
                <c:pt idx="106">
                  <c:v>1.5213091586821379</c:v>
                </c:pt>
              </c:numCache>
            </c:numRef>
          </c:val>
          <c:smooth val="0"/>
        </c:ser>
        <c:dLbls>
          <c:showLegendKey val="0"/>
          <c:showVal val="0"/>
          <c:showCatName val="0"/>
          <c:showSerName val="0"/>
          <c:showPercent val="0"/>
          <c:showBubbleSize val="0"/>
        </c:dLbls>
        <c:marker val="1"/>
        <c:smooth val="0"/>
        <c:axId val="456229632"/>
        <c:axId val="456231168"/>
      </c:lineChart>
      <c:dateAx>
        <c:axId val="45622963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56231168"/>
        <c:crosses val="autoZero"/>
        <c:auto val="1"/>
        <c:lblOffset val="100"/>
        <c:baseTimeUnit val="days"/>
      </c:dateAx>
      <c:valAx>
        <c:axId val="45623116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62296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manualLayout>
          <c:layoutTarget val="inner"/>
          <c:xMode val="edge"/>
          <c:yMode val="edge"/>
          <c:x val="0.20409323654167674"/>
          <c:y val="0.23233367568184413"/>
          <c:w val="0.74358381879930169"/>
          <c:h val="0.55309070960776952"/>
        </c:manualLayout>
      </c:layout>
      <c:lineChart>
        <c:grouping val="standard"/>
        <c:varyColors val="0"/>
        <c:ser>
          <c:idx val="0"/>
          <c:order val="0"/>
          <c:tx>
            <c:strRef>
              <c:f>'subscription charts'!$D$2</c:f>
              <c:strCache>
                <c:ptCount val="1"/>
                <c:pt idx="0">
                  <c:v>RDC T3 V-MAX 0552</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charts'!$D$3:$D$109</c:f>
              <c:numCache>
                <c:formatCode>0.00%</c:formatCode>
                <c:ptCount val="107"/>
                <c:pt idx="0">
                  <c:v>0.28269855770157065</c:v>
                </c:pt>
                <c:pt idx="1">
                  <c:v>0.28269855770157065</c:v>
                </c:pt>
                <c:pt idx="2">
                  <c:v>0.2849386413600617</c:v>
                </c:pt>
                <c:pt idx="3">
                  <c:v>0.31786787113988008</c:v>
                </c:pt>
                <c:pt idx="4">
                  <c:v>0.32615618067629698</c:v>
                </c:pt>
                <c:pt idx="5">
                  <c:v>0.35998144391951187</c:v>
                </c:pt>
                <c:pt idx="6">
                  <c:v>0.36334156940724843</c:v>
                </c:pt>
                <c:pt idx="7">
                  <c:v>0.36602966979743773</c:v>
                </c:pt>
                <c:pt idx="8">
                  <c:v>0.59003803564654278</c:v>
                </c:pt>
                <c:pt idx="9">
                  <c:v>0.59048605237824103</c:v>
                </c:pt>
                <c:pt idx="10">
                  <c:v>0.59048605237824103</c:v>
                </c:pt>
                <c:pt idx="11">
                  <c:v>0.59048605237824103</c:v>
                </c:pt>
                <c:pt idx="12">
                  <c:v>0.59048605237824103</c:v>
                </c:pt>
                <c:pt idx="13">
                  <c:v>0.60347853759748915</c:v>
                </c:pt>
                <c:pt idx="14">
                  <c:v>0.60347853759748915</c:v>
                </c:pt>
                <c:pt idx="15">
                  <c:v>0.60504659615843281</c:v>
                </c:pt>
                <c:pt idx="16">
                  <c:v>0.60683866308522572</c:v>
                </c:pt>
                <c:pt idx="17">
                  <c:v>0.63371966698711835</c:v>
                </c:pt>
                <c:pt idx="18">
                  <c:v>0.6296875164018344</c:v>
                </c:pt>
                <c:pt idx="19">
                  <c:v>0.6296875164018344</c:v>
                </c:pt>
                <c:pt idx="20">
                  <c:v>0.6296875164018344</c:v>
                </c:pt>
                <c:pt idx="21">
                  <c:v>0.67404117283995724</c:v>
                </c:pt>
                <c:pt idx="22">
                  <c:v>0.67404117283995724</c:v>
                </c:pt>
                <c:pt idx="23">
                  <c:v>0.67404117283995724</c:v>
                </c:pt>
                <c:pt idx="24">
                  <c:v>0.66037666252316185</c:v>
                </c:pt>
                <c:pt idx="25">
                  <c:v>0.66037666252316185</c:v>
                </c:pt>
                <c:pt idx="26">
                  <c:v>0.66037666252316185</c:v>
                </c:pt>
                <c:pt idx="27">
                  <c:v>0.66037666252316185</c:v>
                </c:pt>
                <c:pt idx="28">
                  <c:v>0.67359315610825898</c:v>
                </c:pt>
                <c:pt idx="29">
                  <c:v>0.67157708081561707</c:v>
                </c:pt>
                <c:pt idx="30">
                  <c:v>0.66930000000000001</c:v>
                </c:pt>
                <c:pt idx="31">
                  <c:v>0.66866497205957864</c:v>
                </c:pt>
                <c:pt idx="32">
                  <c:v>0.66418480474259656</c:v>
                </c:pt>
                <c:pt idx="33">
                  <c:v>0.66418480474259656</c:v>
                </c:pt>
                <c:pt idx="34">
                  <c:v>0.66418480474259656</c:v>
                </c:pt>
                <c:pt idx="35">
                  <c:v>0.66418480474259656</c:v>
                </c:pt>
                <c:pt idx="36">
                  <c:v>0.66418480474259656</c:v>
                </c:pt>
                <c:pt idx="37">
                  <c:v>0.66418480474259656</c:v>
                </c:pt>
                <c:pt idx="38">
                  <c:v>0.66418480474259656</c:v>
                </c:pt>
                <c:pt idx="39">
                  <c:v>0.59250212767088295</c:v>
                </c:pt>
                <c:pt idx="40">
                  <c:v>0.59250212767088295</c:v>
                </c:pt>
                <c:pt idx="41">
                  <c:v>0.57794158389069117</c:v>
                </c:pt>
                <c:pt idx="42">
                  <c:v>0.57794158389069117</c:v>
                </c:pt>
                <c:pt idx="43">
                  <c:v>0.64962426096240478</c:v>
                </c:pt>
                <c:pt idx="44">
                  <c:v>0.64850421913315925</c:v>
                </c:pt>
                <c:pt idx="45">
                  <c:v>0.64850421913315925</c:v>
                </c:pt>
                <c:pt idx="46">
                  <c:v>0.64850421913315925</c:v>
                </c:pt>
                <c:pt idx="47">
                  <c:v>0.64850421913315925</c:v>
                </c:pt>
                <c:pt idx="48">
                  <c:v>0.64850421913315925</c:v>
                </c:pt>
                <c:pt idx="49">
                  <c:v>0.64850421913315925</c:v>
                </c:pt>
                <c:pt idx="50">
                  <c:v>0.64850421913315925</c:v>
                </c:pt>
                <c:pt idx="51">
                  <c:v>0.64850421913315925</c:v>
                </c:pt>
                <c:pt idx="52">
                  <c:v>0.64850421913315925</c:v>
                </c:pt>
                <c:pt idx="53">
                  <c:v>0.64850421913315925</c:v>
                </c:pt>
                <c:pt idx="54">
                  <c:v>0.64850421913315925</c:v>
                </c:pt>
                <c:pt idx="55">
                  <c:v>0.63416768371881649</c:v>
                </c:pt>
                <c:pt idx="56">
                  <c:v>0.62767144110919249</c:v>
                </c:pt>
                <c:pt idx="57">
                  <c:v>0.62767144110919249</c:v>
                </c:pt>
                <c:pt idx="58">
                  <c:v>0.63304764188957097</c:v>
                </c:pt>
                <c:pt idx="59">
                  <c:v>0.63170359169447643</c:v>
                </c:pt>
                <c:pt idx="60">
                  <c:v>0.63013553313353265</c:v>
                </c:pt>
                <c:pt idx="61">
                  <c:v>0.63013553313353265</c:v>
                </c:pt>
                <c:pt idx="62">
                  <c:v>0.62386329888975767</c:v>
                </c:pt>
                <c:pt idx="63">
                  <c:v>0.62386329888975767</c:v>
                </c:pt>
                <c:pt idx="64">
                  <c:v>0.61199085549975507</c:v>
                </c:pt>
                <c:pt idx="65">
                  <c:v>0.61199085549975507</c:v>
                </c:pt>
                <c:pt idx="66">
                  <c:v>0.60885473837786763</c:v>
                </c:pt>
                <c:pt idx="67">
                  <c:v>0.60796234016628159</c:v>
                </c:pt>
                <c:pt idx="68">
                  <c:v>0.60796234016628159</c:v>
                </c:pt>
                <c:pt idx="69">
                  <c:v>0.60796234016628159</c:v>
                </c:pt>
                <c:pt idx="70">
                  <c:v>0.60796234016628159</c:v>
                </c:pt>
                <c:pt idx="71">
                  <c:v>0.60124204900747968</c:v>
                </c:pt>
                <c:pt idx="72">
                  <c:v>0.60124204900747968</c:v>
                </c:pt>
                <c:pt idx="73">
                  <c:v>0.59989799077571926</c:v>
                </c:pt>
                <c:pt idx="74">
                  <c:v>0.59989799077571926</c:v>
                </c:pt>
                <c:pt idx="75">
                  <c:v>0.59989799077571926</c:v>
                </c:pt>
                <c:pt idx="76">
                  <c:v>0.59989799077571926</c:v>
                </c:pt>
                <c:pt idx="77">
                  <c:v>0.59989799077571926</c:v>
                </c:pt>
                <c:pt idx="78">
                  <c:v>0.59989799077571926</c:v>
                </c:pt>
                <c:pt idx="79">
                  <c:v>0.59989799077571926</c:v>
                </c:pt>
                <c:pt idx="80">
                  <c:v>0.59989799077571926</c:v>
                </c:pt>
                <c:pt idx="81">
                  <c:v>0.59989799077571926</c:v>
                </c:pt>
                <c:pt idx="82">
                  <c:v>0.59989799077571926</c:v>
                </c:pt>
                <c:pt idx="83">
                  <c:v>0.59989799077571926</c:v>
                </c:pt>
                <c:pt idx="84">
                  <c:v>0.59989799077571926</c:v>
                </c:pt>
                <c:pt idx="85">
                  <c:v>0.59989799077571926</c:v>
                </c:pt>
                <c:pt idx="86">
                  <c:v>0.59989799077571926</c:v>
                </c:pt>
                <c:pt idx="87">
                  <c:v>0.59989799077571926</c:v>
                </c:pt>
                <c:pt idx="88">
                  <c:v>0.59989799077571926</c:v>
                </c:pt>
                <c:pt idx="89">
                  <c:v>0.59989799077571926</c:v>
                </c:pt>
                <c:pt idx="90">
                  <c:v>0.59927927832161143</c:v>
                </c:pt>
                <c:pt idx="91">
                  <c:v>0.59860718941134416</c:v>
                </c:pt>
                <c:pt idx="92">
                  <c:v>0.59860718941134416</c:v>
                </c:pt>
                <c:pt idx="93">
                  <c:v>0.59950330795836726</c:v>
                </c:pt>
                <c:pt idx="94">
                  <c:v>0.59950330795836726</c:v>
                </c:pt>
                <c:pt idx="95">
                  <c:v>0.59950330795836726</c:v>
                </c:pt>
                <c:pt idx="96">
                  <c:v>0.59950330795836726</c:v>
                </c:pt>
                <c:pt idx="97">
                  <c:v>0.59950330795836726</c:v>
                </c:pt>
                <c:pt idx="98">
                  <c:v>0.60308778214645897</c:v>
                </c:pt>
                <c:pt idx="99">
                  <c:v>0.60241569323619182</c:v>
                </c:pt>
                <c:pt idx="100">
                  <c:v>0.59972733759512298</c:v>
                </c:pt>
                <c:pt idx="101">
                  <c:v>0.59972733759512298</c:v>
                </c:pt>
                <c:pt idx="102">
                  <c:v>0.60488001924050505</c:v>
                </c:pt>
                <c:pt idx="103">
                  <c:v>0.60488001924050505</c:v>
                </c:pt>
                <c:pt idx="104">
                  <c:v>0.60868852306535259</c:v>
                </c:pt>
                <c:pt idx="105">
                  <c:v>0.60868852306535259</c:v>
                </c:pt>
                <c:pt idx="106">
                  <c:v>0.60868852306535259</c:v>
                </c:pt>
              </c:numCache>
            </c:numRef>
          </c:val>
          <c:smooth val="0"/>
        </c:ser>
        <c:dLbls>
          <c:showLegendKey val="0"/>
          <c:showVal val="0"/>
          <c:showCatName val="0"/>
          <c:showSerName val="0"/>
          <c:showPercent val="0"/>
          <c:showBubbleSize val="0"/>
        </c:dLbls>
        <c:marker val="1"/>
        <c:smooth val="0"/>
        <c:axId val="456251264"/>
        <c:axId val="456252800"/>
      </c:lineChart>
      <c:dateAx>
        <c:axId val="456251264"/>
        <c:scaling>
          <c:orientation val="minMax"/>
        </c:scaling>
        <c:delete val="0"/>
        <c:axPos val="b"/>
        <c:numFmt formatCode="[$-409]d\-mmm\-yy;@" sourceLinked="0"/>
        <c:majorTickMark val="out"/>
        <c:minorTickMark val="none"/>
        <c:tickLblPos val="nextTo"/>
        <c:txPr>
          <a:bodyPr rot="-2700000" vert="horz"/>
          <a:lstStyle/>
          <a:p>
            <a:pPr>
              <a:defRPr/>
            </a:pPr>
            <a:endParaRPr lang="en-US"/>
          </a:p>
        </c:txPr>
        <c:crossAx val="456252800"/>
        <c:crosses val="autoZero"/>
        <c:auto val="1"/>
        <c:lblOffset val="100"/>
        <c:baseTimeUnit val="days"/>
      </c:dateAx>
      <c:valAx>
        <c:axId val="456252800"/>
        <c:scaling>
          <c:orientation val="minMax"/>
        </c:scaling>
        <c:delete val="0"/>
        <c:axPos val="l"/>
        <c:majorGridlines/>
        <c:numFmt formatCode="0.00%" sourceLinked="1"/>
        <c:majorTickMark val="out"/>
        <c:minorTickMark val="none"/>
        <c:tickLblPos val="nextTo"/>
        <c:txPr>
          <a:bodyPr rot="0" vert="horz"/>
          <a:lstStyle/>
          <a:p>
            <a:pPr>
              <a:defRPr/>
            </a:pPr>
            <a:endParaRPr lang="en-US"/>
          </a:p>
        </c:txPr>
        <c:crossAx val="456251264"/>
        <c:crosses val="autoZero"/>
        <c:crossBetween val="between"/>
      </c:valAx>
    </c:plotArea>
    <c:plotVisOnly val="1"/>
    <c:dispBlanksAs val="gap"/>
    <c:showDLblsOverMax val="0"/>
  </c:chart>
  <c:printSettings>
    <c:headerFooter/>
    <c:pageMargins b="0.75000000000001465" l="0.70000000000000062" r="0.70000000000000062" t="0.75000000000001465"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11332114358816"/>
        </c:manualLayout>
      </c:layout>
      <c:lineChart>
        <c:grouping val="standard"/>
        <c:varyColors val="0"/>
        <c:ser>
          <c:idx val="0"/>
          <c:order val="0"/>
          <c:tx>
            <c:strRef>
              <c:f>'subscription charts'!$L$2</c:f>
              <c:strCache>
                <c:ptCount val="1"/>
                <c:pt idx="0">
                  <c:v>FDC T4 V-MAX 0879</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charts'!$L$3:$L$109</c:f>
              <c:numCache>
                <c:formatCode>0.00%</c:formatCode>
                <c:ptCount val="107"/>
                <c:pt idx="0">
                  <c:v>0.65502429426443987</c:v>
                </c:pt>
                <c:pt idx="1">
                  <c:v>0.65799373773177205</c:v>
                </c:pt>
                <c:pt idx="2">
                  <c:v>0.65799373773177205</c:v>
                </c:pt>
                <c:pt idx="3">
                  <c:v>0.65799373773177205</c:v>
                </c:pt>
                <c:pt idx="4">
                  <c:v>0.65939112289286939</c:v>
                </c:pt>
                <c:pt idx="5">
                  <c:v>0.65939112289286939</c:v>
                </c:pt>
                <c:pt idx="6">
                  <c:v>0.66358327837616193</c:v>
                </c:pt>
                <c:pt idx="7">
                  <c:v>0.69956594627442181</c:v>
                </c:pt>
                <c:pt idx="8">
                  <c:v>0.7304830929637034</c:v>
                </c:pt>
                <c:pt idx="9">
                  <c:v>0.70585417949936047</c:v>
                </c:pt>
                <c:pt idx="10">
                  <c:v>0.70585417949936047</c:v>
                </c:pt>
                <c:pt idx="11">
                  <c:v>0.70637819893477194</c:v>
                </c:pt>
                <c:pt idx="12">
                  <c:v>0.70637819893477194</c:v>
                </c:pt>
                <c:pt idx="13">
                  <c:v>0.71388914417567084</c:v>
                </c:pt>
                <c:pt idx="14">
                  <c:v>0.71388914417567084</c:v>
                </c:pt>
                <c:pt idx="15">
                  <c:v>0.74061413538165999</c:v>
                </c:pt>
                <c:pt idx="16">
                  <c:v>0.81327816375872852</c:v>
                </c:pt>
                <c:pt idx="17">
                  <c:v>1.0807027489637573</c:v>
                </c:pt>
                <c:pt idx="18">
                  <c:v>1.0807027489637573</c:v>
                </c:pt>
                <c:pt idx="19">
                  <c:v>1.0807027489637573</c:v>
                </c:pt>
                <c:pt idx="20">
                  <c:v>1.0836721924310893</c:v>
                </c:pt>
                <c:pt idx="21">
                  <c:v>1.109174471621118</c:v>
                </c:pt>
                <c:pt idx="22">
                  <c:v>1.109174471621118</c:v>
                </c:pt>
                <c:pt idx="23">
                  <c:v>1.120353552909898</c:v>
                </c:pt>
                <c:pt idx="24">
                  <c:v>1.1648952049198797</c:v>
                </c:pt>
                <c:pt idx="25">
                  <c:v>1.2296989417657751</c:v>
                </c:pt>
                <c:pt idx="26">
                  <c:v>1.2296989417657751</c:v>
                </c:pt>
                <c:pt idx="27">
                  <c:v>1.2522317774884717</c:v>
                </c:pt>
                <c:pt idx="28">
                  <c:v>1.3289132882036956</c:v>
                </c:pt>
                <c:pt idx="29">
                  <c:v>1.3315333853807534</c:v>
                </c:pt>
                <c:pt idx="30">
                  <c:v>1.3303</c:v>
                </c:pt>
                <c:pt idx="31">
                  <c:v>1.3303106733647931</c:v>
                </c:pt>
                <c:pt idx="32">
                  <c:v>1.3303106733647931</c:v>
                </c:pt>
                <c:pt idx="33">
                  <c:v>1.3303106733647931</c:v>
                </c:pt>
                <c:pt idx="34">
                  <c:v>1.3303106733647931</c:v>
                </c:pt>
                <c:pt idx="35">
                  <c:v>1.3303106733647931</c:v>
                </c:pt>
                <c:pt idx="36">
                  <c:v>1.3303106733647931</c:v>
                </c:pt>
                <c:pt idx="37">
                  <c:v>1.4110096664181719</c:v>
                </c:pt>
                <c:pt idx="38">
                  <c:v>1.4110096664181719</c:v>
                </c:pt>
                <c:pt idx="39">
                  <c:v>1.4443722371393741</c:v>
                </c:pt>
                <c:pt idx="40">
                  <c:v>1.4122323784341324</c:v>
                </c:pt>
                <c:pt idx="41">
                  <c:v>1.4457696223004717</c:v>
                </c:pt>
                <c:pt idx="42">
                  <c:v>1.4480403731872551</c:v>
                </c:pt>
                <c:pt idx="43">
                  <c:v>1.4480403731872551</c:v>
                </c:pt>
                <c:pt idx="44">
                  <c:v>1.4581714156052119</c:v>
                </c:pt>
                <c:pt idx="45">
                  <c:v>1.4581714156052119</c:v>
                </c:pt>
                <c:pt idx="46">
                  <c:v>1.4564246841538397</c:v>
                </c:pt>
                <c:pt idx="47">
                  <c:v>1.4581714156052119</c:v>
                </c:pt>
                <c:pt idx="48">
                  <c:v>1.4581714156052119</c:v>
                </c:pt>
                <c:pt idx="49">
                  <c:v>1.4564246841538397</c:v>
                </c:pt>
                <c:pt idx="50">
                  <c:v>1.4564246841538397</c:v>
                </c:pt>
                <c:pt idx="51">
                  <c:v>1.4564246841538397</c:v>
                </c:pt>
                <c:pt idx="52">
                  <c:v>1.4564246841538397</c:v>
                </c:pt>
                <c:pt idx="53">
                  <c:v>1.4564246841538397</c:v>
                </c:pt>
                <c:pt idx="54">
                  <c:v>1.4214900551264031</c:v>
                </c:pt>
                <c:pt idx="55">
                  <c:v>1.4272542689159304</c:v>
                </c:pt>
                <c:pt idx="56">
                  <c:v>1.42603155689997</c:v>
                </c:pt>
                <c:pt idx="57">
                  <c:v>1.42603155689997</c:v>
                </c:pt>
                <c:pt idx="58">
                  <c:v>1.42603155689997</c:v>
                </c:pt>
                <c:pt idx="59">
                  <c:v>1.4269049226256558</c:v>
                </c:pt>
                <c:pt idx="60">
                  <c:v>1.42603155689997</c:v>
                </c:pt>
                <c:pt idx="61">
                  <c:v>1.4270795957707931</c:v>
                </c:pt>
                <c:pt idx="62">
                  <c:v>1.4590447813308975</c:v>
                </c:pt>
                <c:pt idx="63">
                  <c:v>1.4590447813308975</c:v>
                </c:pt>
                <c:pt idx="64">
                  <c:v>1.4590447813308975</c:v>
                </c:pt>
                <c:pt idx="65">
                  <c:v>1.4590447813308975</c:v>
                </c:pt>
                <c:pt idx="66">
                  <c:v>1.4637609562496015</c:v>
                </c:pt>
                <c:pt idx="67">
                  <c:v>1.4637768809544778</c:v>
                </c:pt>
                <c:pt idx="68">
                  <c:v>1.4637768809544778</c:v>
                </c:pt>
                <c:pt idx="69">
                  <c:v>1.4637768809544778</c:v>
                </c:pt>
                <c:pt idx="70">
                  <c:v>1.4637768809544778</c:v>
                </c:pt>
                <c:pt idx="71">
                  <c:v>1.4637768809544778</c:v>
                </c:pt>
                <c:pt idx="72">
                  <c:v>1.4637768809544778</c:v>
                </c:pt>
                <c:pt idx="73">
                  <c:v>1.4637768809544778</c:v>
                </c:pt>
                <c:pt idx="74">
                  <c:v>1.4637768809544778</c:v>
                </c:pt>
                <c:pt idx="75">
                  <c:v>1.4637768809544778</c:v>
                </c:pt>
                <c:pt idx="76">
                  <c:v>1.4637768809544778</c:v>
                </c:pt>
                <c:pt idx="77">
                  <c:v>1.4637768809544778</c:v>
                </c:pt>
                <c:pt idx="78">
                  <c:v>1.4637768809544778</c:v>
                </c:pt>
                <c:pt idx="79">
                  <c:v>1.4637768809544778</c:v>
                </c:pt>
                <c:pt idx="80">
                  <c:v>1.4676197319545969</c:v>
                </c:pt>
                <c:pt idx="81">
                  <c:v>1.4676197319545969</c:v>
                </c:pt>
                <c:pt idx="82">
                  <c:v>1.4676197319545969</c:v>
                </c:pt>
                <c:pt idx="83">
                  <c:v>1.4676197319545969</c:v>
                </c:pt>
                <c:pt idx="84">
                  <c:v>1.4676197319545969</c:v>
                </c:pt>
                <c:pt idx="85">
                  <c:v>1.4545191035450997</c:v>
                </c:pt>
                <c:pt idx="86">
                  <c:v>1.4545191035450997</c:v>
                </c:pt>
                <c:pt idx="87">
                  <c:v>1.4545191035450997</c:v>
                </c:pt>
                <c:pt idx="88">
                  <c:v>1.4545191035450997</c:v>
                </c:pt>
                <c:pt idx="89">
                  <c:v>1.4545191035450997</c:v>
                </c:pt>
                <c:pt idx="90">
                  <c:v>1.4546485206732738</c:v>
                </c:pt>
                <c:pt idx="91">
                  <c:v>1.4546485206732738</c:v>
                </c:pt>
                <c:pt idx="92">
                  <c:v>1.4567448077211997</c:v>
                </c:pt>
                <c:pt idx="93">
                  <c:v>1.4567448077211997</c:v>
                </c:pt>
                <c:pt idx="94">
                  <c:v>1.403114797411761</c:v>
                </c:pt>
                <c:pt idx="95">
                  <c:v>1.403114797411761</c:v>
                </c:pt>
                <c:pt idx="96">
                  <c:v>1.403114797411761</c:v>
                </c:pt>
                <c:pt idx="97">
                  <c:v>1.403114797411761</c:v>
                </c:pt>
                <c:pt idx="98">
                  <c:v>1.403114797411761</c:v>
                </c:pt>
                <c:pt idx="99">
                  <c:v>1.403114797411761</c:v>
                </c:pt>
                <c:pt idx="100">
                  <c:v>1.3863445010283535</c:v>
                </c:pt>
                <c:pt idx="101">
                  <c:v>1.3863445010283535</c:v>
                </c:pt>
                <c:pt idx="102">
                  <c:v>1.3863445010283535</c:v>
                </c:pt>
                <c:pt idx="103">
                  <c:v>1.3863445010283535</c:v>
                </c:pt>
                <c:pt idx="104">
                  <c:v>1.3873926445523164</c:v>
                </c:pt>
                <c:pt idx="105">
                  <c:v>1.3873926445523164</c:v>
                </c:pt>
                <c:pt idx="106">
                  <c:v>1.3873926445523164</c:v>
                </c:pt>
              </c:numCache>
            </c:numRef>
          </c:val>
          <c:smooth val="0"/>
        </c:ser>
        <c:dLbls>
          <c:showLegendKey val="0"/>
          <c:showVal val="0"/>
          <c:showCatName val="0"/>
          <c:showSerName val="0"/>
          <c:showPercent val="0"/>
          <c:showBubbleSize val="0"/>
        </c:dLbls>
        <c:marker val="1"/>
        <c:smooth val="0"/>
        <c:axId val="461716480"/>
        <c:axId val="461734656"/>
      </c:lineChart>
      <c:dateAx>
        <c:axId val="4617164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1734656"/>
        <c:crosses val="autoZero"/>
        <c:auto val="1"/>
        <c:lblOffset val="100"/>
        <c:baseTimeUnit val="days"/>
      </c:dateAx>
      <c:valAx>
        <c:axId val="46173465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17164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lgn="ct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4022472559613794"/>
          <c:y val="0.26710671804322333"/>
          <c:w val="0.70240037799843069"/>
          <c:h val="0.53539054529883767"/>
        </c:manualLayout>
      </c:layout>
      <c:lineChart>
        <c:grouping val="standard"/>
        <c:varyColors val="0"/>
        <c:ser>
          <c:idx val="0"/>
          <c:order val="0"/>
          <c:tx>
            <c:strRef>
              <c:f>'subscription charts'!$O$2</c:f>
              <c:strCache>
                <c:ptCount val="1"/>
                <c:pt idx="0">
                  <c:v>FDC T3 V-MAX 2231</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charts'!$O$3:$O$109</c:f>
              <c:numCache>
                <c:formatCode>0.00%</c:formatCode>
                <c:ptCount val="107"/>
                <c:pt idx="0">
                  <c:v>0.43652663741478664</c:v>
                </c:pt>
                <c:pt idx="1">
                  <c:v>0.43652663741478664</c:v>
                </c:pt>
                <c:pt idx="2">
                  <c:v>0.43848032306475482</c:v>
                </c:pt>
                <c:pt idx="3">
                  <c:v>0.44299822113030651</c:v>
                </c:pt>
                <c:pt idx="4">
                  <c:v>0.44360874789592158</c:v>
                </c:pt>
                <c:pt idx="5">
                  <c:v>0.44360874789592158</c:v>
                </c:pt>
                <c:pt idx="6">
                  <c:v>0.4821940394827951</c:v>
                </c:pt>
                <c:pt idx="7">
                  <c:v>0.49550352297320394</c:v>
                </c:pt>
                <c:pt idx="8">
                  <c:v>0.51650564371036278</c:v>
                </c:pt>
                <c:pt idx="9">
                  <c:v>0.51137721887919607</c:v>
                </c:pt>
                <c:pt idx="10">
                  <c:v>0.51137721887919607</c:v>
                </c:pt>
                <c:pt idx="11">
                  <c:v>0.51821511865408498</c:v>
                </c:pt>
                <c:pt idx="12">
                  <c:v>0.52407617560399</c:v>
                </c:pt>
                <c:pt idx="13">
                  <c:v>0.53628671091629176</c:v>
                </c:pt>
                <c:pt idx="14">
                  <c:v>0.53140249679137108</c:v>
                </c:pt>
                <c:pt idx="15">
                  <c:v>0.53360039314758523</c:v>
                </c:pt>
                <c:pt idx="16">
                  <c:v>0.54288039998493465</c:v>
                </c:pt>
                <c:pt idx="17">
                  <c:v>0.5995372838340145</c:v>
                </c:pt>
                <c:pt idx="18">
                  <c:v>0.60686360502139558</c:v>
                </c:pt>
                <c:pt idx="19">
                  <c:v>0.60686360502139558</c:v>
                </c:pt>
                <c:pt idx="20">
                  <c:v>0.61138150308694716</c:v>
                </c:pt>
                <c:pt idx="21">
                  <c:v>0.62749940969918561</c:v>
                </c:pt>
                <c:pt idx="22">
                  <c:v>0.62749940969918561</c:v>
                </c:pt>
                <c:pt idx="23">
                  <c:v>0.62981941140852271</c:v>
                </c:pt>
                <c:pt idx="24">
                  <c:v>0.63409309876782849</c:v>
                </c:pt>
                <c:pt idx="25">
                  <c:v>0.66632891199230504</c:v>
                </c:pt>
                <c:pt idx="26">
                  <c:v>0.66498575310795183</c:v>
                </c:pt>
                <c:pt idx="27">
                  <c:v>0.68232471325142019</c:v>
                </c:pt>
                <c:pt idx="28">
                  <c:v>0.68232471325142019</c:v>
                </c:pt>
                <c:pt idx="29">
                  <c:v>0.69136050938252347</c:v>
                </c:pt>
                <c:pt idx="30">
                  <c:v>0.69140000000000001</c:v>
                </c:pt>
                <c:pt idx="31">
                  <c:v>0.70894368023223808</c:v>
                </c:pt>
                <c:pt idx="32">
                  <c:v>0.72945737955690471</c:v>
                </c:pt>
                <c:pt idx="33">
                  <c:v>0.72933527420378197</c:v>
                </c:pt>
                <c:pt idx="34">
                  <c:v>0.72787000996630558</c:v>
                </c:pt>
                <c:pt idx="35">
                  <c:v>0.72787000996630558</c:v>
                </c:pt>
                <c:pt idx="36">
                  <c:v>0.72616053502258326</c:v>
                </c:pt>
                <c:pt idx="37">
                  <c:v>0.72616053502258326</c:v>
                </c:pt>
                <c:pt idx="38">
                  <c:v>0.72432895472573822</c:v>
                </c:pt>
                <c:pt idx="39">
                  <c:v>0.67640638973001377</c:v>
                </c:pt>
                <c:pt idx="40">
                  <c:v>0.674694587586807</c:v>
                </c:pt>
                <c:pt idx="41">
                  <c:v>0.674694587586807</c:v>
                </c:pt>
                <c:pt idx="42">
                  <c:v>0.67090416855542057</c:v>
                </c:pt>
                <c:pt idx="43">
                  <c:v>0.66980372432050173</c:v>
                </c:pt>
                <c:pt idx="44">
                  <c:v>0.70465112509292671</c:v>
                </c:pt>
                <c:pt idx="45">
                  <c:v>0.70465112509292671</c:v>
                </c:pt>
                <c:pt idx="46">
                  <c:v>1.0237799532193432</c:v>
                </c:pt>
                <c:pt idx="47">
                  <c:v>1.0237799532193432</c:v>
                </c:pt>
                <c:pt idx="48">
                  <c:v>1.0237799532193432</c:v>
                </c:pt>
                <c:pt idx="49">
                  <c:v>1.0146095845950209</c:v>
                </c:pt>
                <c:pt idx="50">
                  <c:v>1.0053169443890411</c:v>
                </c:pt>
                <c:pt idx="51">
                  <c:v>0.9516397200413409</c:v>
                </c:pt>
                <c:pt idx="52">
                  <c:v>0.94381433881525267</c:v>
                </c:pt>
                <c:pt idx="53">
                  <c:v>0.93195399539446244</c:v>
                </c:pt>
                <c:pt idx="54">
                  <c:v>0.93195399539446244</c:v>
                </c:pt>
                <c:pt idx="55">
                  <c:v>0.92828584794473346</c:v>
                </c:pt>
                <c:pt idx="56">
                  <c:v>0.92742994687313007</c:v>
                </c:pt>
                <c:pt idx="57">
                  <c:v>0.9237617994234012</c:v>
                </c:pt>
                <c:pt idx="58">
                  <c:v>0.9181373066671501</c:v>
                </c:pt>
                <c:pt idx="59">
                  <c:v>0.9181373066671501</c:v>
                </c:pt>
                <c:pt idx="60">
                  <c:v>0.9181373066671501</c:v>
                </c:pt>
                <c:pt idx="61">
                  <c:v>0.9181373066671501</c:v>
                </c:pt>
                <c:pt idx="62">
                  <c:v>0.91593641819731275</c:v>
                </c:pt>
                <c:pt idx="63">
                  <c:v>0.91593641819731275</c:v>
                </c:pt>
                <c:pt idx="64">
                  <c:v>0.91581414661565519</c:v>
                </c:pt>
                <c:pt idx="65">
                  <c:v>0.90970056753277362</c:v>
                </c:pt>
                <c:pt idx="66">
                  <c:v>0.90970056753277362</c:v>
                </c:pt>
                <c:pt idx="67">
                  <c:v>0.90970056753277362</c:v>
                </c:pt>
                <c:pt idx="68">
                  <c:v>0.90688832115464812</c:v>
                </c:pt>
                <c:pt idx="69">
                  <c:v>0.90688832115464812</c:v>
                </c:pt>
                <c:pt idx="70">
                  <c:v>0.90688832115464812</c:v>
                </c:pt>
                <c:pt idx="71">
                  <c:v>0.90688832115464812</c:v>
                </c:pt>
                <c:pt idx="72">
                  <c:v>0.90688832115464812</c:v>
                </c:pt>
                <c:pt idx="73">
                  <c:v>1.4496865471799785</c:v>
                </c:pt>
                <c:pt idx="74">
                  <c:v>1.4496865471799785</c:v>
                </c:pt>
                <c:pt idx="75">
                  <c:v>1.4481581480791033</c:v>
                </c:pt>
                <c:pt idx="76">
                  <c:v>1.4458655494277908</c:v>
                </c:pt>
                <c:pt idx="77">
                  <c:v>1.4451013498773533</c:v>
                </c:pt>
                <c:pt idx="78">
                  <c:v>1.4114765696581024</c:v>
                </c:pt>
                <c:pt idx="79">
                  <c:v>1.4114765696581024</c:v>
                </c:pt>
                <c:pt idx="80">
                  <c:v>1.3916073813467269</c:v>
                </c:pt>
                <c:pt idx="81">
                  <c:v>1.3673440456203354</c:v>
                </c:pt>
                <c:pt idx="82">
                  <c:v>1.357600501352257</c:v>
                </c:pt>
                <c:pt idx="83">
                  <c:v>1.357600501352257</c:v>
                </c:pt>
                <c:pt idx="84">
                  <c:v>1.357600501352257</c:v>
                </c:pt>
                <c:pt idx="85">
                  <c:v>1.3488122065222254</c:v>
                </c:pt>
                <c:pt idx="86">
                  <c:v>1.2632218568732232</c:v>
                </c:pt>
                <c:pt idx="87">
                  <c:v>1.2605471584466919</c:v>
                </c:pt>
                <c:pt idx="88">
                  <c:v>1.2366659224955194</c:v>
                </c:pt>
                <c:pt idx="89">
                  <c:v>1.2366659224955194</c:v>
                </c:pt>
                <c:pt idx="90">
                  <c:v>1.2367759559435569</c:v>
                </c:pt>
                <c:pt idx="91">
                  <c:v>1.2333367519875886</c:v>
                </c:pt>
                <c:pt idx="92">
                  <c:v>1.2333367519875886</c:v>
                </c:pt>
                <c:pt idx="93">
                  <c:v>1.4677758216527739</c:v>
                </c:pt>
                <c:pt idx="94">
                  <c:v>1.4677758216527739</c:v>
                </c:pt>
                <c:pt idx="95">
                  <c:v>1.4677758216527739</c:v>
                </c:pt>
                <c:pt idx="96">
                  <c:v>1.4677758216527739</c:v>
                </c:pt>
                <c:pt idx="97">
                  <c:v>1.4677758216527739</c:v>
                </c:pt>
                <c:pt idx="98">
                  <c:v>1.4616616812866075</c:v>
                </c:pt>
                <c:pt idx="99">
                  <c:v>1.4299445781371205</c:v>
                </c:pt>
                <c:pt idx="100">
                  <c:v>1.2835873431220168</c:v>
                </c:pt>
                <c:pt idx="101">
                  <c:v>1.2835873431220168</c:v>
                </c:pt>
                <c:pt idx="102">
                  <c:v>1.2835873431220168</c:v>
                </c:pt>
                <c:pt idx="103">
                  <c:v>1.2835873431220168</c:v>
                </c:pt>
                <c:pt idx="104">
                  <c:v>1.2835873431220168</c:v>
                </c:pt>
                <c:pt idx="105">
                  <c:v>1.2835873431220168</c:v>
                </c:pt>
                <c:pt idx="106">
                  <c:v>1.2598950492031227</c:v>
                </c:pt>
              </c:numCache>
            </c:numRef>
          </c:val>
          <c:smooth val="0"/>
        </c:ser>
        <c:dLbls>
          <c:showLegendKey val="0"/>
          <c:showVal val="0"/>
          <c:showCatName val="0"/>
          <c:showSerName val="0"/>
          <c:showPercent val="0"/>
          <c:showBubbleSize val="0"/>
        </c:dLbls>
        <c:marker val="1"/>
        <c:smooth val="0"/>
        <c:axId val="461758848"/>
        <c:axId val="461760384"/>
      </c:lineChart>
      <c:dateAx>
        <c:axId val="46175884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1760384"/>
        <c:crosses val="autoZero"/>
        <c:auto val="1"/>
        <c:lblOffset val="100"/>
        <c:baseTimeUnit val="days"/>
      </c:dateAx>
      <c:valAx>
        <c:axId val="46176038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17588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charts'!$G$2</c:f>
              <c:strCache>
                <c:ptCount val="1"/>
                <c:pt idx="0">
                  <c:v>RDC T4 V-MAX 3073</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charts'!$G$3:$G$109</c:f>
              <c:numCache>
                <c:formatCode>0.00%</c:formatCode>
                <c:ptCount val="107"/>
                <c:pt idx="0">
                  <c:v>1.0744288366003003</c:v>
                </c:pt>
                <c:pt idx="1">
                  <c:v>1.0744288366003003</c:v>
                </c:pt>
                <c:pt idx="2">
                  <c:v>1.0744288366003003</c:v>
                </c:pt>
                <c:pt idx="3">
                  <c:v>1.0744288366003003</c:v>
                </c:pt>
                <c:pt idx="4">
                  <c:v>1.078237640081642</c:v>
                </c:pt>
                <c:pt idx="5">
                  <c:v>1.078237640081642</c:v>
                </c:pt>
                <c:pt idx="6">
                  <c:v>1.0787570223745522</c:v>
                </c:pt>
                <c:pt idx="7">
                  <c:v>1.0787570223745522</c:v>
                </c:pt>
                <c:pt idx="8">
                  <c:v>1.0885387222243617</c:v>
                </c:pt>
                <c:pt idx="9">
                  <c:v>1.0885387222243617</c:v>
                </c:pt>
                <c:pt idx="10">
                  <c:v>1.0885387222243617</c:v>
                </c:pt>
                <c:pt idx="11">
                  <c:v>1.0885387222243617</c:v>
                </c:pt>
                <c:pt idx="12">
                  <c:v>1.0885387222243617</c:v>
                </c:pt>
                <c:pt idx="13">
                  <c:v>1.0885387222243617</c:v>
                </c:pt>
                <c:pt idx="14">
                  <c:v>1.0885387222243617</c:v>
                </c:pt>
                <c:pt idx="15">
                  <c:v>1.1361487657411329</c:v>
                </c:pt>
                <c:pt idx="16">
                  <c:v>1.1361487657411329</c:v>
                </c:pt>
                <c:pt idx="17">
                  <c:v>1.1603866060769439</c:v>
                </c:pt>
                <c:pt idx="18">
                  <c:v>1.1786515500442869</c:v>
                </c:pt>
                <c:pt idx="19">
                  <c:v>1.1786515500442869</c:v>
                </c:pt>
                <c:pt idx="20">
                  <c:v>1.1789978049062271</c:v>
                </c:pt>
                <c:pt idx="21">
                  <c:v>1.1789978049062271</c:v>
                </c:pt>
                <c:pt idx="22">
                  <c:v>1.1789978049062271</c:v>
                </c:pt>
                <c:pt idx="23">
                  <c:v>1.1790843686217121</c:v>
                </c:pt>
                <c:pt idx="24">
                  <c:v>1.1786515500442869</c:v>
                </c:pt>
                <c:pt idx="25">
                  <c:v>1.1786515500442869</c:v>
                </c:pt>
                <c:pt idx="26">
                  <c:v>1.1786515500442869</c:v>
                </c:pt>
                <c:pt idx="27">
                  <c:v>1.1786515500442869</c:v>
                </c:pt>
                <c:pt idx="28">
                  <c:v>1.1785649863288019</c:v>
                </c:pt>
                <c:pt idx="29">
                  <c:v>1.1784784226133167</c:v>
                </c:pt>
                <c:pt idx="30">
                  <c:v>1.1785000000000001</c:v>
                </c:pt>
                <c:pt idx="31">
                  <c:v>1.1784784226133167</c:v>
                </c:pt>
                <c:pt idx="32">
                  <c:v>1.1788246774752569</c:v>
                </c:pt>
                <c:pt idx="33">
                  <c:v>1.1788246774752569</c:v>
                </c:pt>
                <c:pt idx="34">
                  <c:v>1.1788246774752569</c:v>
                </c:pt>
                <c:pt idx="35">
                  <c:v>1.1788246774752569</c:v>
                </c:pt>
                <c:pt idx="36">
                  <c:v>1.1788246774752569</c:v>
                </c:pt>
                <c:pt idx="37">
                  <c:v>1.1788246774752569</c:v>
                </c:pt>
                <c:pt idx="38">
                  <c:v>1.1788246774752569</c:v>
                </c:pt>
                <c:pt idx="39">
                  <c:v>1.1788246774752569</c:v>
                </c:pt>
                <c:pt idx="40">
                  <c:v>3.4749718351750398</c:v>
                </c:pt>
                <c:pt idx="41">
                  <c:v>3.4861995309268168</c:v>
                </c:pt>
                <c:pt idx="42">
                  <c:v>3.4861995309268168</c:v>
                </c:pt>
                <c:pt idx="43">
                  <c:v>3.4861995309268168</c:v>
                </c:pt>
                <c:pt idx="44">
                  <c:v>3.4861995309268168</c:v>
                </c:pt>
                <c:pt idx="45">
                  <c:v>3.4861995309268168</c:v>
                </c:pt>
                <c:pt idx="46">
                  <c:v>3.4861995309268168</c:v>
                </c:pt>
                <c:pt idx="47">
                  <c:v>3.4861995309268168</c:v>
                </c:pt>
                <c:pt idx="48">
                  <c:v>3.4861995309268168</c:v>
                </c:pt>
                <c:pt idx="49">
                  <c:v>3.4861995309268168</c:v>
                </c:pt>
                <c:pt idx="50">
                  <c:v>3.4861995309268168</c:v>
                </c:pt>
                <c:pt idx="51">
                  <c:v>3.4861995309268168</c:v>
                </c:pt>
                <c:pt idx="52">
                  <c:v>3.4910478540923573</c:v>
                </c:pt>
                <c:pt idx="53">
                  <c:v>3.4910478540923573</c:v>
                </c:pt>
                <c:pt idx="54">
                  <c:v>3.4910478540923573</c:v>
                </c:pt>
                <c:pt idx="55">
                  <c:v>3.4905375042854581</c:v>
                </c:pt>
                <c:pt idx="56">
                  <c:v>3.4887512799613116</c:v>
                </c:pt>
                <c:pt idx="57">
                  <c:v>3.4675717629750045</c:v>
                </c:pt>
                <c:pt idx="58">
                  <c:v>3.4675717629750045</c:v>
                </c:pt>
                <c:pt idx="59">
                  <c:v>3.4703786869129494</c:v>
                </c:pt>
                <c:pt idx="60">
                  <c:v>3.4703786869129494</c:v>
                </c:pt>
                <c:pt idx="61">
                  <c:v>3.4703786869129494</c:v>
                </c:pt>
                <c:pt idx="62">
                  <c:v>3.5022755498441343</c:v>
                </c:pt>
                <c:pt idx="63">
                  <c:v>3.5022755498441343</c:v>
                </c:pt>
                <c:pt idx="64">
                  <c:v>3.4849236564095691</c:v>
                </c:pt>
                <c:pt idx="65">
                  <c:v>3.4849236564095691</c:v>
                </c:pt>
                <c:pt idx="66">
                  <c:v>3.4772684093060851</c:v>
                </c:pt>
                <c:pt idx="67">
                  <c:v>3.4765265643447463</c:v>
                </c:pt>
                <c:pt idx="68">
                  <c:v>3.4760162110616655</c:v>
                </c:pt>
                <c:pt idx="69">
                  <c:v>3.4760162110616655</c:v>
                </c:pt>
                <c:pt idx="70">
                  <c:v>3.4760162110616655</c:v>
                </c:pt>
                <c:pt idx="71">
                  <c:v>3.4760162110616655</c:v>
                </c:pt>
                <c:pt idx="72">
                  <c:v>3.4744851512124235</c:v>
                </c:pt>
                <c:pt idx="73">
                  <c:v>3.463767732267732</c:v>
                </c:pt>
                <c:pt idx="74">
                  <c:v>3.4331465352828987</c:v>
                </c:pt>
                <c:pt idx="75">
                  <c:v>3.4331465352828987</c:v>
                </c:pt>
                <c:pt idx="76">
                  <c:v>3.4331465352828987</c:v>
                </c:pt>
                <c:pt idx="77">
                  <c:v>3.4331465352828987</c:v>
                </c:pt>
                <c:pt idx="78">
                  <c:v>3.4331465352828987</c:v>
                </c:pt>
                <c:pt idx="79">
                  <c:v>3.4308499455090362</c:v>
                </c:pt>
                <c:pt idx="80">
                  <c:v>3.4229394696212876</c:v>
                </c:pt>
                <c:pt idx="81">
                  <c:v>3.4229394696212876</c:v>
                </c:pt>
                <c:pt idx="82">
                  <c:v>3.4229394696212876</c:v>
                </c:pt>
                <c:pt idx="83">
                  <c:v>3.4229394696212876</c:v>
                </c:pt>
                <c:pt idx="84">
                  <c:v>3.4229394696212876</c:v>
                </c:pt>
                <c:pt idx="85">
                  <c:v>3.4229394696212876</c:v>
                </c:pt>
                <c:pt idx="86">
                  <c:v>3.4229394696212876</c:v>
                </c:pt>
                <c:pt idx="87">
                  <c:v>3.4229394696212876</c:v>
                </c:pt>
                <c:pt idx="88">
                  <c:v>3.4170704068658613</c:v>
                </c:pt>
                <c:pt idx="89">
                  <c:v>3.4170704068658613</c:v>
                </c:pt>
                <c:pt idx="90">
                  <c:v>3.4173744437380797</c:v>
                </c:pt>
                <c:pt idx="91">
                  <c:v>3.4173744437380797</c:v>
                </c:pt>
                <c:pt idx="92">
                  <c:v>3.4173744437380797</c:v>
                </c:pt>
                <c:pt idx="93">
                  <c:v>3.4173744437380797</c:v>
                </c:pt>
                <c:pt idx="94">
                  <c:v>3.412780855508128</c:v>
                </c:pt>
                <c:pt idx="95">
                  <c:v>3.412780855508128</c:v>
                </c:pt>
                <c:pt idx="96">
                  <c:v>3.4018072836254651</c:v>
                </c:pt>
                <c:pt idx="97">
                  <c:v>3.4018072836254651</c:v>
                </c:pt>
                <c:pt idx="98">
                  <c:v>3.3915993097811277</c:v>
                </c:pt>
                <c:pt idx="99">
                  <c:v>3.3900681137044772</c:v>
                </c:pt>
                <c:pt idx="100">
                  <c:v>3.3849641267823083</c:v>
                </c:pt>
                <c:pt idx="101">
                  <c:v>3.3849641267823083</c:v>
                </c:pt>
                <c:pt idx="102">
                  <c:v>3.3849641267823083</c:v>
                </c:pt>
                <c:pt idx="103">
                  <c:v>3.3849641267823083</c:v>
                </c:pt>
                <c:pt idx="104">
                  <c:v>3.3852193261284169</c:v>
                </c:pt>
                <c:pt idx="105">
                  <c:v>3.2941131595677051</c:v>
                </c:pt>
                <c:pt idx="106">
                  <c:v>3.2920715647988374</c:v>
                </c:pt>
              </c:numCache>
            </c:numRef>
          </c:val>
          <c:smooth val="0"/>
        </c:ser>
        <c:dLbls>
          <c:showLegendKey val="0"/>
          <c:showVal val="0"/>
          <c:showCatName val="0"/>
          <c:showSerName val="0"/>
          <c:showPercent val="0"/>
          <c:showBubbleSize val="0"/>
        </c:dLbls>
        <c:marker val="1"/>
        <c:smooth val="0"/>
        <c:axId val="461919744"/>
        <c:axId val="461921280"/>
      </c:lineChart>
      <c:dateAx>
        <c:axId val="4619197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1921280"/>
        <c:crosses val="autoZero"/>
        <c:auto val="1"/>
        <c:lblOffset val="100"/>
        <c:baseTimeUnit val="days"/>
      </c:dateAx>
      <c:valAx>
        <c:axId val="46192128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19197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302847604007512"/>
        </c:manualLayout>
      </c:layout>
      <c:lineChart>
        <c:grouping val="standard"/>
        <c:varyColors val="0"/>
        <c:ser>
          <c:idx val="0"/>
          <c:order val="0"/>
          <c:tx>
            <c:strRef>
              <c:f>'subscription charts'!$F$2</c:f>
              <c:strCache>
                <c:ptCount val="1"/>
                <c:pt idx="0">
                  <c:v>RDC T3 V-MAX 3286</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charts'!$F$3:$F$109</c:f>
              <c:numCache>
                <c:formatCode>0.00%</c:formatCode>
                <c:ptCount val="107"/>
                <c:pt idx="0">
                  <c:v>0.67875096597185058</c:v>
                </c:pt>
                <c:pt idx="1">
                  <c:v>0.67875096597185058</c:v>
                </c:pt>
                <c:pt idx="2">
                  <c:v>0.67875096597185058</c:v>
                </c:pt>
                <c:pt idx="3">
                  <c:v>0.67875096597185058</c:v>
                </c:pt>
                <c:pt idx="4">
                  <c:v>0.67875096597185058</c:v>
                </c:pt>
                <c:pt idx="5">
                  <c:v>0.67000469940403828</c:v>
                </c:pt>
                <c:pt idx="6">
                  <c:v>0.67081830559639288</c:v>
                </c:pt>
                <c:pt idx="7">
                  <c:v>0.68464961086642162</c:v>
                </c:pt>
                <c:pt idx="8">
                  <c:v>0.68464961086642162</c:v>
                </c:pt>
                <c:pt idx="9">
                  <c:v>0.68464961086642162</c:v>
                </c:pt>
                <c:pt idx="10">
                  <c:v>0.68464961086642162</c:v>
                </c:pt>
                <c:pt idx="11">
                  <c:v>0.68464961086642162</c:v>
                </c:pt>
                <c:pt idx="12">
                  <c:v>0.68464961086642162</c:v>
                </c:pt>
                <c:pt idx="13">
                  <c:v>0.68464961086642162</c:v>
                </c:pt>
                <c:pt idx="14">
                  <c:v>0.68464961086642162</c:v>
                </c:pt>
                <c:pt idx="15">
                  <c:v>0.68464961086642162</c:v>
                </c:pt>
                <c:pt idx="16">
                  <c:v>0.68464961086642162</c:v>
                </c:pt>
                <c:pt idx="17">
                  <c:v>0.68464961086642162</c:v>
                </c:pt>
                <c:pt idx="18">
                  <c:v>0.68464961086642162</c:v>
                </c:pt>
                <c:pt idx="19">
                  <c:v>0.68464961086642162</c:v>
                </c:pt>
                <c:pt idx="20">
                  <c:v>0.68464961086642162</c:v>
                </c:pt>
                <c:pt idx="21">
                  <c:v>0.68464961086642162</c:v>
                </c:pt>
                <c:pt idx="22">
                  <c:v>0.68464961086642162</c:v>
                </c:pt>
                <c:pt idx="23">
                  <c:v>0.68464961086642162</c:v>
                </c:pt>
                <c:pt idx="24">
                  <c:v>0.68342920157788967</c:v>
                </c:pt>
                <c:pt idx="25">
                  <c:v>0.68098838300082576</c:v>
                </c:pt>
                <c:pt idx="26">
                  <c:v>0.68098838300082576</c:v>
                </c:pt>
                <c:pt idx="27">
                  <c:v>0.68098838300082576</c:v>
                </c:pt>
                <c:pt idx="28">
                  <c:v>0.68261559538553507</c:v>
                </c:pt>
                <c:pt idx="29">
                  <c:v>0.68261559538553507</c:v>
                </c:pt>
                <c:pt idx="30">
                  <c:v>0.68259999999999998</c:v>
                </c:pt>
                <c:pt idx="31">
                  <c:v>0.68261559538553507</c:v>
                </c:pt>
                <c:pt idx="32">
                  <c:v>0.698074113040273</c:v>
                </c:pt>
                <c:pt idx="33">
                  <c:v>0.7123122214064791</c:v>
                </c:pt>
                <c:pt idx="34">
                  <c:v>0.7123122214064791</c:v>
                </c:pt>
                <c:pt idx="35">
                  <c:v>0.7123122214064791</c:v>
                </c:pt>
                <c:pt idx="36">
                  <c:v>0.71800746475296151</c:v>
                </c:pt>
                <c:pt idx="37">
                  <c:v>0.72980475454210358</c:v>
                </c:pt>
                <c:pt idx="38">
                  <c:v>0.72980475454210358</c:v>
                </c:pt>
                <c:pt idx="39">
                  <c:v>0.73118184867651626</c:v>
                </c:pt>
                <c:pt idx="40">
                  <c:v>0.73403484362675908</c:v>
                </c:pt>
                <c:pt idx="41">
                  <c:v>0.73729540928417958</c:v>
                </c:pt>
                <c:pt idx="42">
                  <c:v>0.73729540928417958</c:v>
                </c:pt>
                <c:pt idx="43">
                  <c:v>0.73729540928417958</c:v>
                </c:pt>
                <c:pt idx="44">
                  <c:v>0.73729540928417958</c:v>
                </c:pt>
                <c:pt idx="45">
                  <c:v>0.73729540928417958</c:v>
                </c:pt>
                <c:pt idx="46">
                  <c:v>1.5561049600038681</c:v>
                </c:pt>
                <c:pt idx="47">
                  <c:v>1.5561049600038681</c:v>
                </c:pt>
                <c:pt idx="48">
                  <c:v>1.5561049600038681</c:v>
                </c:pt>
                <c:pt idx="49">
                  <c:v>1.5561049600038681</c:v>
                </c:pt>
                <c:pt idx="50">
                  <c:v>1.5561049600038681</c:v>
                </c:pt>
                <c:pt idx="51">
                  <c:v>1.5561049600038681</c:v>
                </c:pt>
                <c:pt idx="52">
                  <c:v>1.5931938943570247</c:v>
                </c:pt>
                <c:pt idx="53">
                  <c:v>1.5931938943570247</c:v>
                </c:pt>
                <c:pt idx="54">
                  <c:v>1.5931938943570247</c:v>
                </c:pt>
                <c:pt idx="55">
                  <c:v>1.5931938943570247</c:v>
                </c:pt>
                <c:pt idx="56">
                  <c:v>1.5891181872852491</c:v>
                </c:pt>
                <c:pt idx="57">
                  <c:v>1.5891181872852491</c:v>
                </c:pt>
                <c:pt idx="58">
                  <c:v>1.5891181872852491</c:v>
                </c:pt>
                <c:pt idx="59">
                  <c:v>1.5874879044565391</c:v>
                </c:pt>
                <c:pt idx="60">
                  <c:v>1.5874879044565391</c:v>
                </c:pt>
                <c:pt idx="61">
                  <c:v>1.5813743438488759</c:v>
                </c:pt>
                <c:pt idx="62">
                  <c:v>1.5805687553829648</c:v>
                </c:pt>
                <c:pt idx="63">
                  <c:v>1.5805687553829648</c:v>
                </c:pt>
                <c:pt idx="64">
                  <c:v>1.5805687553829648</c:v>
                </c:pt>
                <c:pt idx="65">
                  <c:v>1.5805687553829648</c:v>
                </c:pt>
                <c:pt idx="66">
                  <c:v>1.5805687553829648</c:v>
                </c:pt>
                <c:pt idx="67">
                  <c:v>1.5769005968480378</c:v>
                </c:pt>
                <c:pt idx="68">
                  <c:v>1.5683415602665416</c:v>
                </c:pt>
                <c:pt idx="69">
                  <c:v>1.5683415602665416</c:v>
                </c:pt>
                <c:pt idx="70">
                  <c:v>1.5683415602665416</c:v>
                </c:pt>
                <c:pt idx="71">
                  <c:v>1.5589673773439505</c:v>
                </c:pt>
                <c:pt idx="72">
                  <c:v>1.5487780480802646</c:v>
                </c:pt>
                <c:pt idx="73">
                  <c:v>1.5459250358864325</c:v>
                </c:pt>
                <c:pt idx="74">
                  <c:v>1.534105413940557</c:v>
                </c:pt>
                <c:pt idx="75">
                  <c:v>1.534105413940557</c:v>
                </c:pt>
                <c:pt idx="76">
                  <c:v>1.534105413940557</c:v>
                </c:pt>
                <c:pt idx="77">
                  <c:v>1.534105413940557</c:v>
                </c:pt>
                <c:pt idx="78">
                  <c:v>1.534105413940557</c:v>
                </c:pt>
                <c:pt idx="79">
                  <c:v>1.5308448285761773</c:v>
                </c:pt>
                <c:pt idx="80">
                  <c:v>1.5328826944289147</c:v>
                </c:pt>
                <c:pt idx="81">
                  <c:v>1.5267690968707031</c:v>
                </c:pt>
                <c:pt idx="82">
                  <c:v>1.5145419017542798</c:v>
                </c:pt>
                <c:pt idx="83">
                  <c:v>1.4888647920097913</c:v>
                </c:pt>
                <c:pt idx="84">
                  <c:v>1.4888647920097913</c:v>
                </c:pt>
                <c:pt idx="85">
                  <c:v>1.4680785603118718</c:v>
                </c:pt>
                <c:pt idx="86">
                  <c:v>1.4424014505673832</c:v>
                </c:pt>
                <c:pt idx="87">
                  <c:v>1.4424014505673832</c:v>
                </c:pt>
                <c:pt idx="88">
                  <c:v>1.4424014505673832</c:v>
                </c:pt>
                <c:pt idx="89">
                  <c:v>1.4424014505673832</c:v>
                </c:pt>
                <c:pt idx="90">
                  <c:v>1.4425297895166287</c:v>
                </c:pt>
                <c:pt idx="91">
                  <c:v>1.4425297895166287</c:v>
                </c:pt>
                <c:pt idx="92">
                  <c:v>1.4388613046040404</c:v>
                </c:pt>
                <c:pt idx="93">
                  <c:v>1.4388613046040404</c:v>
                </c:pt>
                <c:pt idx="94">
                  <c:v>1.4327471630830602</c:v>
                </c:pt>
                <c:pt idx="95">
                  <c:v>1.4327471630830602</c:v>
                </c:pt>
                <c:pt idx="96">
                  <c:v>1.4327471630830602</c:v>
                </c:pt>
                <c:pt idx="97">
                  <c:v>1.4327471630830602</c:v>
                </c:pt>
                <c:pt idx="98">
                  <c:v>1.4327471630830602</c:v>
                </c:pt>
                <c:pt idx="99">
                  <c:v>1.4294862876052039</c:v>
                </c:pt>
                <c:pt idx="100">
                  <c:v>1.4294862876052039</c:v>
                </c:pt>
                <c:pt idx="101">
                  <c:v>1.4294862876052039</c:v>
                </c:pt>
                <c:pt idx="102">
                  <c:v>1.4294862876052039</c:v>
                </c:pt>
                <c:pt idx="103">
                  <c:v>1.4294862876052039</c:v>
                </c:pt>
                <c:pt idx="104">
                  <c:v>1.4294862876052039</c:v>
                </c:pt>
                <c:pt idx="105">
                  <c:v>1.4294862876052039</c:v>
                </c:pt>
                <c:pt idx="106">
                  <c:v>1.4294862876052039</c:v>
                </c:pt>
              </c:numCache>
            </c:numRef>
          </c:val>
          <c:smooth val="0"/>
        </c:ser>
        <c:dLbls>
          <c:showLegendKey val="0"/>
          <c:showVal val="0"/>
          <c:showCatName val="0"/>
          <c:showSerName val="0"/>
          <c:showPercent val="0"/>
          <c:showBubbleSize val="0"/>
        </c:dLbls>
        <c:marker val="1"/>
        <c:smooth val="0"/>
        <c:axId val="461953664"/>
        <c:axId val="461963648"/>
      </c:lineChart>
      <c:dateAx>
        <c:axId val="4619536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1963648"/>
        <c:crosses val="autoZero"/>
        <c:auto val="1"/>
        <c:lblOffset val="100"/>
        <c:baseTimeUnit val="days"/>
      </c:dateAx>
      <c:valAx>
        <c:axId val="46196364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19536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147385222224667"/>
        </c:manualLayout>
      </c:layout>
      <c:lineChart>
        <c:grouping val="standard"/>
        <c:varyColors val="0"/>
        <c:ser>
          <c:idx val="0"/>
          <c:order val="0"/>
          <c:tx>
            <c:strRef>
              <c:f>'subscription charts'!$H$2</c:f>
              <c:strCache>
                <c:ptCount val="1"/>
                <c:pt idx="0">
                  <c:v>RDC T3 V-MAX 2230</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charts'!$H$3:$H$109</c:f>
              <c:numCache>
                <c:formatCode>0.00%</c:formatCode>
                <c:ptCount val="107"/>
                <c:pt idx="0">
                  <c:v>1.0875281595343522</c:v>
                </c:pt>
                <c:pt idx="1">
                  <c:v>1.0875281595343522</c:v>
                </c:pt>
                <c:pt idx="2">
                  <c:v>1.0875281595343522</c:v>
                </c:pt>
                <c:pt idx="3">
                  <c:v>1.0947822684045112</c:v>
                </c:pt>
                <c:pt idx="4">
                  <c:v>1.095762553386965</c:v>
                </c:pt>
                <c:pt idx="5">
                  <c:v>1.095762553386965</c:v>
                </c:pt>
                <c:pt idx="6">
                  <c:v>1.1079180871693932</c:v>
                </c:pt>
                <c:pt idx="7">
                  <c:v>1.1079180871693932</c:v>
                </c:pt>
                <c:pt idx="8">
                  <c:v>1.139287206607918</c:v>
                </c:pt>
                <c:pt idx="9">
                  <c:v>1.1537954243482356</c:v>
                </c:pt>
                <c:pt idx="10">
                  <c:v>1.1537954243482356</c:v>
                </c:pt>
                <c:pt idx="11">
                  <c:v>1.1537954243482356</c:v>
                </c:pt>
                <c:pt idx="12">
                  <c:v>1.1537954243482356</c:v>
                </c:pt>
                <c:pt idx="13">
                  <c:v>1.1883014557306129</c:v>
                </c:pt>
                <c:pt idx="14">
                  <c:v>1.1804591758709817</c:v>
                </c:pt>
                <c:pt idx="15">
                  <c:v>1.1804591758709817</c:v>
                </c:pt>
                <c:pt idx="16">
                  <c:v>1.2533923785655514</c:v>
                </c:pt>
                <c:pt idx="17">
                  <c:v>1.2916234928812533</c:v>
                </c:pt>
                <c:pt idx="18">
                  <c:v>1.3004460577233385</c:v>
                </c:pt>
                <c:pt idx="19">
                  <c:v>1.3004460577233385</c:v>
                </c:pt>
                <c:pt idx="20">
                  <c:v>1.3049553686426263</c:v>
                </c:pt>
                <c:pt idx="21">
                  <c:v>1.3624000686144246</c:v>
                </c:pt>
                <c:pt idx="22">
                  <c:v>1.3624000686144246</c:v>
                </c:pt>
                <c:pt idx="23">
                  <c:v>1.3624000686144246</c:v>
                </c:pt>
                <c:pt idx="24">
                  <c:v>1.3624000686144246</c:v>
                </c:pt>
                <c:pt idx="25">
                  <c:v>1.3624000686144246</c:v>
                </c:pt>
                <c:pt idx="26">
                  <c:v>1.3602434416530262</c:v>
                </c:pt>
                <c:pt idx="27">
                  <c:v>1.3761240583687793</c:v>
                </c:pt>
                <c:pt idx="28">
                  <c:v>1.3906322761090968</c:v>
                </c:pt>
                <c:pt idx="29">
                  <c:v>1.3906322761090968</c:v>
                </c:pt>
                <c:pt idx="30">
                  <c:v>1.3906000000000001</c:v>
                </c:pt>
                <c:pt idx="31">
                  <c:v>1.3969060999968019</c:v>
                </c:pt>
                <c:pt idx="32">
                  <c:v>1.396710043000311</c:v>
                </c:pt>
                <c:pt idx="33">
                  <c:v>1.3965139860038203</c:v>
                </c:pt>
                <c:pt idx="34">
                  <c:v>1.3941613020459309</c:v>
                </c:pt>
                <c:pt idx="35">
                  <c:v>1.3941613020459309</c:v>
                </c:pt>
                <c:pt idx="36">
                  <c:v>1.3914165040950601</c:v>
                </c:pt>
                <c:pt idx="37">
                  <c:v>1.3914165040950601</c:v>
                </c:pt>
                <c:pt idx="38">
                  <c:v>1.3884756491476984</c:v>
                </c:pt>
                <c:pt idx="39">
                  <c:v>1.3177682568612015</c:v>
                </c:pt>
                <c:pt idx="40">
                  <c:v>1.314612870433518</c:v>
                </c:pt>
                <c:pt idx="41">
                  <c:v>0.91447042907294085</c:v>
                </c:pt>
                <c:pt idx="42">
                  <c:v>0.91447042907294085</c:v>
                </c:pt>
                <c:pt idx="43">
                  <c:v>0.91269552420736899</c:v>
                </c:pt>
                <c:pt idx="44">
                  <c:v>0.96890084495047613</c:v>
                </c:pt>
                <c:pt idx="45">
                  <c:v>0.96890084495047613</c:v>
                </c:pt>
                <c:pt idx="46">
                  <c:v>0.96811199834355544</c:v>
                </c:pt>
                <c:pt idx="47">
                  <c:v>0.96811199834355544</c:v>
                </c:pt>
                <c:pt idx="48">
                  <c:v>0.96811199834355544</c:v>
                </c:pt>
                <c:pt idx="49">
                  <c:v>0.95332112446379036</c:v>
                </c:pt>
                <c:pt idx="50">
                  <c:v>0.93833303893229514</c:v>
                </c:pt>
                <c:pt idx="51">
                  <c:v>0.86970338413018533</c:v>
                </c:pt>
                <c:pt idx="52">
                  <c:v>0.86970338413018533</c:v>
                </c:pt>
                <c:pt idx="53">
                  <c:v>0.85057385391235585</c:v>
                </c:pt>
                <c:pt idx="54">
                  <c:v>0.85057385391235585</c:v>
                </c:pt>
                <c:pt idx="55">
                  <c:v>0.84465750436044973</c:v>
                </c:pt>
                <c:pt idx="56">
                  <c:v>0.84327702279833838</c:v>
                </c:pt>
                <c:pt idx="57">
                  <c:v>0.83736067324643226</c:v>
                </c:pt>
                <c:pt idx="58">
                  <c:v>0.82828893726684305</c:v>
                </c:pt>
                <c:pt idx="59">
                  <c:v>0.82828893726684305</c:v>
                </c:pt>
                <c:pt idx="60">
                  <c:v>0.82828893726684305</c:v>
                </c:pt>
                <c:pt idx="61">
                  <c:v>0.82828893726684305</c:v>
                </c:pt>
                <c:pt idx="62">
                  <c:v>0.8261196090978109</c:v>
                </c:pt>
                <c:pt idx="63">
                  <c:v>0.8261196090978109</c:v>
                </c:pt>
                <c:pt idx="64">
                  <c:v>0.8245419158839693</c:v>
                </c:pt>
                <c:pt idx="65">
                  <c:v>0.81921720128725395</c:v>
                </c:pt>
                <c:pt idx="66">
                  <c:v>0.81921720128725395</c:v>
                </c:pt>
                <c:pt idx="67">
                  <c:v>0.81921720128725395</c:v>
                </c:pt>
                <c:pt idx="68">
                  <c:v>0.81468133329745929</c:v>
                </c:pt>
                <c:pt idx="69">
                  <c:v>0.81468133329745929</c:v>
                </c:pt>
                <c:pt idx="70">
                  <c:v>0.81468133329745929</c:v>
                </c:pt>
                <c:pt idx="71">
                  <c:v>0.81468133329745929</c:v>
                </c:pt>
                <c:pt idx="72">
                  <c:v>0.81468133329745929</c:v>
                </c:pt>
                <c:pt idx="73">
                  <c:v>1.1774236350239591</c:v>
                </c:pt>
                <c:pt idx="74">
                  <c:v>1.1774236350239591</c:v>
                </c:pt>
                <c:pt idx="75">
                  <c:v>1.175200508028398</c:v>
                </c:pt>
                <c:pt idx="76">
                  <c:v>1.1718658175350565</c:v>
                </c:pt>
                <c:pt idx="77">
                  <c:v>1.1707542540372762</c:v>
                </c:pt>
                <c:pt idx="78">
                  <c:v>1.1615838551805875</c:v>
                </c:pt>
                <c:pt idx="79">
                  <c:v>1.1218454601349357</c:v>
                </c:pt>
                <c:pt idx="80">
                  <c:v>1.1021152080493324</c:v>
                </c:pt>
                <c:pt idx="81">
                  <c:v>1.0973910631837653</c:v>
                </c:pt>
                <c:pt idx="82">
                  <c:v>1.0582084498870039</c:v>
                </c:pt>
                <c:pt idx="83">
                  <c:v>1.0582084498870039</c:v>
                </c:pt>
                <c:pt idx="84">
                  <c:v>1.0582084498870039</c:v>
                </c:pt>
                <c:pt idx="85">
                  <c:v>0.98901362215016986</c:v>
                </c:pt>
                <c:pt idx="86">
                  <c:v>0.97345173318124334</c:v>
                </c:pt>
                <c:pt idx="87">
                  <c:v>0.97345173318124334</c:v>
                </c:pt>
                <c:pt idx="88">
                  <c:v>0.94288373699228056</c:v>
                </c:pt>
                <c:pt idx="89">
                  <c:v>0.94288373699228056</c:v>
                </c:pt>
                <c:pt idx="90">
                  <c:v>0.94296763090962132</c:v>
                </c:pt>
                <c:pt idx="91">
                  <c:v>0.9379651501090398</c:v>
                </c:pt>
                <c:pt idx="92">
                  <c:v>0.9379651501090398</c:v>
                </c:pt>
                <c:pt idx="93">
                  <c:v>0.93379641610855502</c:v>
                </c:pt>
                <c:pt idx="94">
                  <c:v>0.92212396090719817</c:v>
                </c:pt>
                <c:pt idx="95">
                  <c:v>0.92212396090719817</c:v>
                </c:pt>
                <c:pt idx="96">
                  <c:v>0.91489815530635821</c:v>
                </c:pt>
                <c:pt idx="97">
                  <c:v>0.91489815530635821</c:v>
                </c:pt>
                <c:pt idx="98">
                  <c:v>0.91267483050609965</c:v>
                </c:pt>
                <c:pt idx="99">
                  <c:v>0.89822321930441984</c:v>
                </c:pt>
                <c:pt idx="100">
                  <c:v>0.84486342409821646</c:v>
                </c:pt>
                <c:pt idx="101">
                  <c:v>0.84486342409821646</c:v>
                </c:pt>
                <c:pt idx="102">
                  <c:v>0.84486342409821646</c:v>
                </c:pt>
                <c:pt idx="103">
                  <c:v>0.84486342409821646</c:v>
                </c:pt>
                <c:pt idx="104">
                  <c:v>0.84486342409821646</c:v>
                </c:pt>
                <c:pt idx="105">
                  <c:v>0.84486342409821646</c:v>
                </c:pt>
                <c:pt idx="106">
                  <c:v>0.82763265689621357</c:v>
                </c:pt>
              </c:numCache>
            </c:numRef>
          </c:val>
          <c:smooth val="0"/>
        </c:ser>
        <c:dLbls>
          <c:showLegendKey val="0"/>
          <c:showVal val="0"/>
          <c:showCatName val="0"/>
          <c:showSerName val="0"/>
          <c:showPercent val="0"/>
          <c:showBubbleSize val="0"/>
        </c:dLbls>
        <c:marker val="1"/>
        <c:smooth val="0"/>
        <c:axId val="461987840"/>
        <c:axId val="461989376"/>
      </c:lineChart>
      <c:dateAx>
        <c:axId val="4619878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1989376"/>
        <c:crosses val="autoZero"/>
        <c:auto val="1"/>
        <c:lblOffset val="100"/>
        <c:baseTimeUnit val="days"/>
      </c:dateAx>
      <c:valAx>
        <c:axId val="461989376"/>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1987840"/>
        <c:crosses val="autoZero"/>
        <c:crossBetween val="between"/>
      </c:valAx>
    </c:plotArea>
    <c:plotVisOnly val="1"/>
    <c:dispBlanksAs val="gap"/>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733"/>
        </c:manualLayout>
      </c:layout>
      <c:lineChart>
        <c:grouping val="standard"/>
        <c:varyColors val="0"/>
        <c:ser>
          <c:idx val="0"/>
          <c:order val="0"/>
          <c:tx>
            <c:strRef>
              <c:f>'subscription charts'!$N$2</c:f>
              <c:strCache>
                <c:ptCount val="1"/>
                <c:pt idx="0">
                  <c:v>FDC T3 V-MAX 2804</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charts'!$N$3:$N$109</c:f>
              <c:numCache>
                <c:formatCode>0.00%</c:formatCode>
                <c:ptCount val="107"/>
                <c:pt idx="0">
                  <c:v>1.412610044942846</c:v>
                </c:pt>
                <c:pt idx="1">
                  <c:v>1.412610044942846</c:v>
                </c:pt>
                <c:pt idx="2">
                  <c:v>1.412610044942846</c:v>
                </c:pt>
                <c:pt idx="3">
                  <c:v>1.412610044942846</c:v>
                </c:pt>
                <c:pt idx="4">
                  <c:v>1.412610044942846</c:v>
                </c:pt>
                <c:pt idx="5">
                  <c:v>1.3951503634445583</c:v>
                </c:pt>
                <c:pt idx="6">
                  <c:v>1.3951503634445583</c:v>
                </c:pt>
                <c:pt idx="7">
                  <c:v>1.3951503634445583</c:v>
                </c:pt>
                <c:pt idx="8">
                  <c:v>1.3951503634445583</c:v>
                </c:pt>
                <c:pt idx="9">
                  <c:v>1.3951503634445583</c:v>
                </c:pt>
                <c:pt idx="10">
                  <c:v>1.3951503634445583</c:v>
                </c:pt>
                <c:pt idx="11">
                  <c:v>1.3951503634445583</c:v>
                </c:pt>
                <c:pt idx="12">
                  <c:v>1.3951503634445583</c:v>
                </c:pt>
                <c:pt idx="13">
                  <c:v>1.3951503634445583</c:v>
                </c:pt>
                <c:pt idx="14">
                  <c:v>1.3951503634445583</c:v>
                </c:pt>
                <c:pt idx="15">
                  <c:v>1.3951503634445583</c:v>
                </c:pt>
                <c:pt idx="16">
                  <c:v>1.3951503634445583</c:v>
                </c:pt>
                <c:pt idx="17">
                  <c:v>1.3951503634445583</c:v>
                </c:pt>
                <c:pt idx="18">
                  <c:v>1.3951503634445583</c:v>
                </c:pt>
                <c:pt idx="19">
                  <c:v>1.3951503634445583</c:v>
                </c:pt>
                <c:pt idx="20">
                  <c:v>1.3951503634445583</c:v>
                </c:pt>
                <c:pt idx="21">
                  <c:v>1.3951503634445583</c:v>
                </c:pt>
                <c:pt idx="22">
                  <c:v>1.3951503634445583</c:v>
                </c:pt>
                <c:pt idx="23">
                  <c:v>1.3951503634445583</c:v>
                </c:pt>
                <c:pt idx="24">
                  <c:v>1.3927141288168903</c:v>
                </c:pt>
                <c:pt idx="25">
                  <c:v>1.3927141288168903</c:v>
                </c:pt>
                <c:pt idx="26">
                  <c:v>1.3927141288168903</c:v>
                </c:pt>
                <c:pt idx="27">
                  <c:v>1.3927141288168903</c:v>
                </c:pt>
                <c:pt idx="28">
                  <c:v>1.3927141288168903</c:v>
                </c:pt>
                <c:pt idx="29">
                  <c:v>1.3927141288168903</c:v>
                </c:pt>
                <c:pt idx="30">
                  <c:v>1.3927</c:v>
                </c:pt>
                <c:pt idx="31">
                  <c:v>1.3927141288168903</c:v>
                </c:pt>
                <c:pt idx="32">
                  <c:v>1.4048953019552304</c:v>
                </c:pt>
                <c:pt idx="33">
                  <c:v>1.4792004580991054</c:v>
                </c:pt>
                <c:pt idx="34">
                  <c:v>1.4792004580991054</c:v>
                </c:pt>
                <c:pt idx="35">
                  <c:v>1.4792004580991054</c:v>
                </c:pt>
                <c:pt idx="36">
                  <c:v>1.4930057876558909</c:v>
                </c:pt>
                <c:pt idx="37">
                  <c:v>1.5084352736311217</c:v>
                </c:pt>
                <c:pt idx="38">
                  <c:v>1.5084352736311217</c:v>
                </c:pt>
                <c:pt idx="39">
                  <c:v>1.514127922578711</c:v>
                </c:pt>
                <c:pt idx="40">
                  <c:v>1.514127922578711</c:v>
                </c:pt>
                <c:pt idx="41">
                  <c:v>1.5169809227020086</c:v>
                </c:pt>
                <c:pt idx="42">
                  <c:v>1.5169809227020086</c:v>
                </c:pt>
                <c:pt idx="43">
                  <c:v>1.5169809227020086</c:v>
                </c:pt>
                <c:pt idx="44">
                  <c:v>1.5345064948879801</c:v>
                </c:pt>
                <c:pt idx="45">
                  <c:v>1.5345064948879801</c:v>
                </c:pt>
                <c:pt idx="46">
                  <c:v>1.6160207841250576</c:v>
                </c:pt>
                <c:pt idx="47">
                  <c:v>1.6160207841250576</c:v>
                </c:pt>
                <c:pt idx="48">
                  <c:v>1.6160207841250576</c:v>
                </c:pt>
                <c:pt idx="49">
                  <c:v>1.6160207841250576</c:v>
                </c:pt>
                <c:pt idx="50">
                  <c:v>1.6160207841250576</c:v>
                </c:pt>
                <c:pt idx="51">
                  <c:v>1.6531097857279278</c:v>
                </c:pt>
                <c:pt idx="52">
                  <c:v>1.6531097857279278</c:v>
                </c:pt>
                <c:pt idx="53">
                  <c:v>1.6531097857279278</c:v>
                </c:pt>
                <c:pt idx="54">
                  <c:v>1.6531097857279278</c:v>
                </c:pt>
                <c:pt idx="55">
                  <c:v>1.6531097857279278</c:v>
                </c:pt>
                <c:pt idx="56">
                  <c:v>1.6490340712660738</c:v>
                </c:pt>
                <c:pt idx="57">
                  <c:v>1.6490340712660738</c:v>
                </c:pt>
                <c:pt idx="58">
                  <c:v>1.6490340712660738</c:v>
                </c:pt>
                <c:pt idx="59">
                  <c:v>1.6474037854813324</c:v>
                </c:pt>
                <c:pt idx="60">
                  <c:v>1.6474037854813324</c:v>
                </c:pt>
                <c:pt idx="61">
                  <c:v>1.6412902137885514</c:v>
                </c:pt>
                <c:pt idx="62">
                  <c:v>1.6404750708961806</c:v>
                </c:pt>
                <c:pt idx="63">
                  <c:v>1.6404750708961806</c:v>
                </c:pt>
                <c:pt idx="64">
                  <c:v>1.6404750708961806</c:v>
                </c:pt>
                <c:pt idx="65">
                  <c:v>1.6404750708961806</c:v>
                </c:pt>
                <c:pt idx="66">
                  <c:v>1.6404750708961806</c:v>
                </c:pt>
                <c:pt idx="67">
                  <c:v>1.6368128636237811</c:v>
                </c:pt>
                <c:pt idx="68">
                  <c:v>1.6282538322153899</c:v>
                </c:pt>
                <c:pt idx="69">
                  <c:v>1.6282538322153899</c:v>
                </c:pt>
                <c:pt idx="70">
                  <c:v>1.6282538322153899</c:v>
                </c:pt>
                <c:pt idx="71">
                  <c:v>1.6188796549585802</c:v>
                </c:pt>
                <c:pt idx="72">
                  <c:v>1.6086903318533523</c:v>
                </c:pt>
                <c:pt idx="73">
                  <c:v>1.6037994567628431</c:v>
                </c:pt>
                <c:pt idx="74">
                  <c:v>1.5940177065818246</c:v>
                </c:pt>
                <c:pt idx="75">
                  <c:v>1.5940177065818246</c:v>
                </c:pt>
                <c:pt idx="76">
                  <c:v>1.5940177065818246</c:v>
                </c:pt>
                <c:pt idx="77">
                  <c:v>1.5940177065818246</c:v>
                </c:pt>
                <c:pt idx="78">
                  <c:v>1.5907571231881517</c:v>
                </c:pt>
                <c:pt idx="79">
                  <c:v>1.5907571231881517</c:v>
                </c:pt>
                <c:pt idx="80">
                  <c:v>1.5976858628997064</c:v>
                </c:pt>
                <c:pt idx="81">
                  <c:v>1.5972782899754971</c:v>
                </c:pt>
                <c:pt idx="82">
                  <c:v>1.5838283834765967</c:v>
                </c:pt>
                <c:pt idx="83">
                  <c:v>1.5536679870851229</c:v>
                </c:pt>
                <c:pt idx="84">
                  <c:v>1.5536679870851229</c:v>
                </c:pt>
                <c:pt idx="85">
                  <c:v>1.5438862369041042</c:v>
                </c:pt>
                <c:pt idx="86">
                  <c:v>1.5182091426789304</c:v>
                </c:pt>
                <c:pt idx="87">
                  <c:v>1.5182091426789304</c:v>
                </c:pt>
                <c:pt idx="88">
                  <c:v>1.5182091426789304</c:v>
                </c:pt>
                <c:pt idx="89">
                  <c:v>1.5182091426789304</c:v>
                </c:pt>
                <c:pt idx="90">
                  <c:v>0.90570761656208476</c:v>
                </c:pt>
                <c:pt idx="91">
                  <c:v>0.90570761656208476</c:v>
                </c:pt>
                <c:pt idx="92">
                  <c:v>0.89837065117139259</c:v>
                </c:pt>
                <c:pt idx="93">
                  <c:v>1.5146757439895171</c:v>
                </c:pt>
                <c:pt idx="94">
                  <c:v>1.502447468338364</c:v>
                </c:pt>
                <c:pt idx="95">
                  <c:v>1.502447468338364</c:v>
                </c:pt>
                <c:pt idx="96">
                  <c:v>1.502447468338364</c:v>
                </c:pt>
                <c:pt idx="97">
                  <c:v>1.502447468338364</c:v>
                </c:pt>
                <c:pt idx="98">
                  <c:v>1.502447468338364</c:v>
                </c:pt>
                <c:pt idx="99">
                  <c:v>1.502447468338364</c:v>
                </c:pt>
                <c:pt idx="100">
                  <c:v>1.502447468338364</c:v>
                </c:pt>
                <c:pt idx="101">
                  <c:v>1.502447468338364</c:v>
                </c:pt>
                <c:pt idx="102">
                  <c:v>1.502447468338364</c:v>
                </c:pt>
                <c:pt idx="103">
                  <c:v>1.502447468338364</c:v>
                </c:pt>
                <c:pt idx="104">
                  <c:v>1.502447468338364</c:v>
                </c:pt>
                <c:pt idx="105">
                  <c:v>1.502447468338364</c:v>
                </c:pt>
                <c:pt idx="106">
                  <c:v>1.502447468338364</c:v>
                </c:pt>
              </c:numCache>
            </c:numRef>
          </c:val>
          <c:smooth val="0"/>
        </c:ser>
        <c:dLbls>
          <c:showLegendKey val="0"/>
          <c:showVal val="0"/>
          <c:showCatName val="0"/>
          <c:showSerName val="0"/>
          <c:showPercent val="0"/>
          <c:showBubbleSize val="0"/>
        </c:dLbls>
        <c:marker val="1"/>
        <c:smooth val="0"/>
        <c:axId val="462005376"/>
        <c:axId val="462006912"/>
      </c:lineChart>
      <c:dateAx>
        <c:axId val="46200537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2006912"/>
        <c:crosses val="autoZero"/>
        <c:auto val="1"/>
        <c:lblOffset val="100"/>
        <c:baseTimeUnit val="days"/>
      </c:dateAx>
      <c:valAx>
        <c:axId val="46200691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20053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156"/>
        </c:manualLayout>
      </c:layout>
      <c:lineChart>
        <c:grouping val="standard"/>
        <c:varyColors val="0"/>
        <c:ser>
          <c:idx val="0"/>
          <c:order val="0"/>
          <c:tx>
            <c:strRef>
              <c:f>'subscription charts'!$M$2</c:f>
              <c:strCache>
                <c:ptCount val="1"/>
                <c:pt idx="0">
                  <c:v>FDC T4 V-MAX 3004</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charts'!$M$3:$M$109</c:f>
              <c:numCache>
                <c:formatCode>0.00%</c:formatCode>
                <c:ptCount val="107"/>
                <c:pt idx="0">
                  <c:v>1.0076170251510714</c:v>
                </c:pt>
                <c:pt idx="1">
                  <c:v>1.0076170251510714</c:v>
                </c:pt>
                <c:pt idx="2">
                  <c:v>1.0076170251510714</c:v>
                </c:pt>
                <c:pt idx="3">
                  <c:v>1.0076170251510714</c:v>
                </c:pt>
                <c:pt idx="4">
                  <c:v>1.0076170251510714</c:v>
                </c:pt>
                <c:pt idx="5">
                  <c:v>1.0076170251510714</c:v>
                </c:pt>
                <c:pt idx="6">
                  <c:v>1.0076170251510714</c:v>
                </c:pt>
                <c:pt idx="7">
                  <c:v>1.0209277876244323</c:v>
                </c:pt>
                <c:pt idx="8">
                  <c:v>1.0115410071518887</c:v>
                </c:pt>
                <c:pt idx="9">
                  <c:v>1.0437022713938824</c:v>
                </c:pt>
                <c:pt idx="10">
                  <c:v>1.0437022713938824</c:v>
                </c:pt>
                <c:pt idx="11">
                  <c:v>1.0437792122174276</c:v>
                </c:pt>
                <c:pt idx="12">
                  <c:v>0.94537189890281104</c:v>
                </c:pt>
                <c:pt idx="13">
                  <c:v>0.94783400525626516</c:v>
                </c:pt>
                <c:pt idx="14">
                  <c:v>0.80749394310938405</c:v>
                </c:pt>
                <c:pt idx="15">
                  <c:v>0.8076478247564749</c:v>
                </c:pt>
                <c:pt idx="16">
                  <c:v>0.80957134534511088</c:v>
                </c:pt>
                <c:pt idx="17">
                  <c:v>0.83650063358601467</c:v>
                </c:pt>
                <c:pt idx="18">
                  <c:v>0.83650063358601467</c:v>
                </c:pt>
                <c:pt idx="19">
                  <c:v>0.83650063358601467</c:v>
                </c:pt>
                <c:pt idx="20">
                  <c:v>0.83650063358601467</c:v>
                </c:pt>
                <c:pt idx="21">
                  <c:v>0.83650063358601467</c:v>
                </c:pt>
                <c:pt idx="22">
                  <c:v>0.83650063358601467</c:v>
                </c:pt>
                <c:pt idx="23">
                  <c:v>0.83650063358601467</c:v>
                </c:pt>
                <c:pt idx="24">
                  <c:v>0.83650063358601467</c:v>
                </c:pt>
                <c:pt idx="25">
                  <c:v>0.83650063358601467</c:v>
                </c:pt>
                <c:pt idx="26">
                  <c:v>0.83650063358601467</c:v>
                </c:pt>
                <c:pt idx="27">
                  <c:v>0.83650063358601467</c:v>
                </c:pt>
                <c:pt idx="28">
                  <c:v>0.83650063358601467</c:v>
                </c:pt>
                <c:pt idx="29">
                  <c:v>0.83650063358601467</c:v>
                </c:pt>
                <c:pt idx="30">
                  <c:v>0.83650000000000002</c:v>
                </c:pt>
                <c:pt idx="31">
                  <c:v>0.83650063358601467</c:v>
                </c:pt>
                <c:pt idx="32">
                  <c:v>0.83696227852728733</c:v>
                </c:pt>
                <c:pt idx="33">
                  <c:v>0.83696227852728733</c:v>
                </c:pt>
                <c:pt idx="34">
                  <c:v>0.83696227852728733</c:v>
                </c:pt>
                <c:pt idx="35">
                  <c:v>0.83696227852728733</c:v>
                </c:pt>
                <c:pt idx="36">
                  <c:v>0.83650063358601467</c:v>
                </c:pt>
                <c:pt idx="37">
                  <c:v>0.83650063358601467</c:v>
                </c:pt>
                <c:pt idx="38">
                  <c:v>0.83650063358601467</c:v>
                </c:pt>
                <c:pt idx="39">
                  <c:v>0.83650063358601467</c:v>
                </c:pt>
                <c:pt idx="40">
                  <c:v>2.7742615503027634</c:v>
                </c:pt>
                <c:pt idx="41">
                  <c:v>2.7742615503027634</c:v>
                </c:pt>
                <c:pt idx="42">
                  <c:v>2.7742615503027634</c:v>
                </c:pt>
                <c:pt idx="43">
                  <c:v>2.7742615503027634</c:v>
                </c:pt>
                <c:pt idx="44">
                  <c:v>2.7911030939304289</c:v>
                </c:pt>
                <c:pt idx="45">
                  <c:v>2.7908479190269797</c:v>
                </c:pt>
                <c:pt idx="46">
                  <c:v>0.86883801229030222</c:v>
                </c:pt>
                <c:pt idx="47">
                  <c:v>0.86883801229030222</c:v>
                </c:pt>
                <c:pt idx="48">
                  <c:v>0.86883801229030222</c:v>
                </c:pt>
                <c:pt idx="49">
                  <c:v>0.86883801229030222</c:v>
                </c:pt>
                <c:pt idx="50">
                  <c:v>0.86883801229030222</c:v>
                </c:pt>
                <c:pt idx="51">
                  <c:v>0.85501540882147975</c:v>
                </c:pt>
                <c:pt idx="52">
                  <c:v>0.85501540882147975</c:v>
                </c:pt>
                <c:pt idx="53">
                  <c:v>2.7464474858267698</c:v>
                </c:pt>
                <c:pt idx="54">
                  <c:v>2.7464474858267698</c:v>
                </c:pt>
                <c:pt idx="55">
                  <c:v>2.7464474858267698</c:v>
                </c:pt>
                <c:pt idx="56">
                  <c:v>2.7464474858267698</c:v>
                </c:pt>
                <c:pt idx="57">
                  <c:v>2.7367508394956896</c:v>
                </c:pt>
                <c:pt idx="58">
                  <c:v>2.7160816723162813</c:v>
                </c:pt>
                <c:pt idx="59">
                  <c:v>2.8441794738479214</c:v>
                </c:pt>
                <c:pt idx="60">
                  <c:v>2.8441794738479214</c:v>
                </c:pt>
                <c:pt idx="61">
                  <c:v>2.8441794738479214</c:v>
                </c:pt>
                <c:pt idx="62">
                  <c:v>2.8403518502961789</c:v>
                </c:pt>
                <c:pt idx="63">
                  <c:v>2.8403518502961789</c:v>
                </c:pt>
                <c:pt idx="64">
                  <c:v>2.8403518502961789</c:v>
                </c:pt>
                <c:pt idx="65">
                  <c:v>2.8403518502961789</c:v>
                </c:pt>
                <c:pt idx="66">
                  <c:v>2.8403518502961789</c:v>
                </c:pt>
                <c:pt idx="67">
                  <c:v>2.8350081963366986</c:v>
                </c:pt>
                <c:pt idx="68">
                  <c:v>2.8350081963366986</c:v>
                </c:pt>
                <c:pt idx="69">
                  <c:v>2.8350081963366986</c:v>
                </c:pt>
                <c:pt idx="70">
                  <c:v>2.8350081963366986</c:v>
                </c:pt>
                <c:pt idx="71">
                  <c:v>2.8189320922530614</c:v>
                </c:pt>
                <c:pt idx="72">
                  <c:v>2.818166563487174</c:v>
                </c:pt>
                <c:pt idx="73">
                  <c:v>2.8207183260401321</c:v>
                </c:pt>
                <c:pt idx="74">
                  <c:v>2.8168906822106945</c:v>
                </c:pt>
                <c:pt idx="75">
                  <c:v>2.8145940959130322</c:v>
                </c:pt>
                <c:pt idx="76">
                  <c:v>2.8566981780368446</c:v>
                </c:pt>
                <c:pt idx="77">
                  <c:v>2.8566981780368446</c:v>
                </c:pt>
                <c:pt idx="78">
                  <c:v>2.8199527972742446</c:v>
                </c:pt>
                <c:pt idx="79">
                  <c:v>2.8199527972742446</c:v>
                </c:pt>
                <c:pt idx="80">
                  <c:v>2.8207183260401321</c:v>
                </c:pt>
                <c:pt idx="81">
                  <c:v>2.8125526858706653</c:v>
                </c:pt>
                <c:pt idx="82">
                  <c:v>2.8125526858706653</c:v>
                </c:pt>
                <c:pt idx="83">
                  <c:v>2.6900680833286659</c:v>
                </c:pt>
                <c:pt idx="84">
                  <c:v>2.6900680833286659</c:v>
                </c:pt>
                <c:pt idx="85">
                  <c:v>2.6900680833286659</c:v>
                </c:pt>
                <c:pt idx="86">
                  <c:v>2.6734816267344366</c:v>
                </c:pt>
                <c:pt idx="87">
                  <c:v>2.6734816267344366</c:v>
                </c:pt>
                <c:pt idx="88">
                  <c:v>2.6035633327833785</c:v>
                </c:pt>
                <c:pt idx="89">
                  <c:v>2.6030529802727869</c:v>
                </c:pt>
                <c:pt idx="90">
                  <c:v>2.6032845892220058</c:v>
                </c:pt>
                <c:pt idx="91">
                  <c:v>2.6032845892220058</c:v>
                </c:pt>
                <c:pt idx="92">
                  <c:v>2.5055433876072595</c:v>
                </c:pt>
                <c:pt idx="93">
                  <c:v>2.5055433876072595</c:v>
                </c:pt>
                <c:pt idx="94">
                  <c:v>2.5055433876072595</c:v>
                </c:pt>
                <c:pt idx="95">
                  <c:v>2.5055433876072595</c:v>
                </c:pt>
                <c:pt idx="96">
                  <c:v>2.5055433876072595</c:v>
                </c:pt>
                <c:pt idx="97">
                  <c:v>2.5055433876072595</c:v>
                </c:pt>
                <c:pt idx="98">
                  <c:v>2.4927834396157782</c:v>
                </c:pt>
                <c:pt idx="99">
                  <c:v>2.492273041696119</c:v>
                </c:pt>
                <c:pt idx="100">
                  <c:v>2.4792578947448085</c:v>
                </c:pt>
                <c:pt idx="101">
                  <c:v>2.4386812601318981</c:v>
                </c:pt>
                <c:pt idx="102">
                  <c:v>2.4386812601318981</c:v>
                </c:pt>
                <c:pt idx="103">
                  <c:v>2.4386812601318981</c:v>
                </c:pt>
                <c:pt idx="104">
                  <c:v>2.4389364590917273</c:v>
                </c:pt>
                <c:pt idx="105">
                  <c:v>2.4389364590917273</c:v>
                </c:pt>
                <c:pt idx="106">
                  <c:v>2.4389364590917273</c:v>
                </c:pt>
              </c:numCache>
            </c:numRef>
          </c:val>
          <c:smooth val="0"/>
        </c:ser>
        <c:dLbls>
          <c:showLegendKey val="0"/>
          <c:showVal val="0"/>
          <c:showCatName val="0"/>
          <c:showSerName val="0"/>
          <c:showPercent val="0"/>
          <c:showBubbleSize val="0"/>
        </c:dLbls>
        <c:marker val="1"/>
        <c:smooth val="0"/>
        <c:axId val="462022912"/>
        <c:axId val="462106624"/>
      </c:lineChart>
      <c:dateAx>
        <c:axId val="46202291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2106624"/>
        <c:crosses val="autoZero"/>
        <c:auto val="1"/>
        <c:lblOffset val="100"/>
        <c:baseTimeUnit val="days"/>
      </c:dateAx>
      <c:valAx>
        <c:axId val="46210662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20229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charts'!$I$2</c:f>
              <c:strCache>
                <c:ptCount val="1"/>
                <c:pt idx="0">
                  <c:v>RDC T3 V-MAX 3696</c:v>
                </c:pt>
              </c:strCache>
            </c:strRef>
          </c:tx>
          <c:cat>
            <c:numRef>
              <c:f>'subscription charts'!$A$3:$A$96</c:f>
              <c:numCache>
                <c:formatCode>[$-409]d\-mmm\-yy;@</c:formatCode>
                <c:ptCount val="94"/>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numCache>
            </c:numRef>
          </c:cat>
          <c:val>
            <c:numRef>
              <c:f>'subscription charts'!$I$3:$I$95</c:f>
              <c:numCache>
                <c:formatCode>0.00%</c:formatCode>
                <c:ptCount val="93"/>
                <c:pt idx="0">
                  <c:v>0.30574670937752141</c:v>
                </c:pt>
                <c:pt idx="1">
                  <c:v>0.29823500403424896</c:v>
                </c:pt>
                <c:pt idx="2">
                  <c:v>0.28239951709437733</c:v>
                </c:pt>
                <c:pt idx="3">
                  <c:v>0.28239951709437733</c:v>
                </c:pt>
                <c:pt idx="4">
                  <c:v>0.28118140271438719</c:v>
                </c:pt>
                <c:pt idx="5">
                  <c:v>0.28118140271438719</c:v>
                </c:pt>
                <c:pt idx="6">
                  <c:v>0.28118140271438719</c:v>
                </c:pt>
                <c:pt idx="7">
                  <c:v>0.28118140271438719</c:v>
                </c:pt>
                <c:pt idx="8">
                  <c:v>0.2801663073977288</c:v>
                </c:pt>
                <c:pt idx="9">
                  <c:v>0.2801663073977288</c:v>
                </c:pt>
                <c:pt idx="10">
                  <c:v>0.2801663073977288</c:v>
                </c:pt>
                <c:pt idx="11">
                  <c:v>0.2801663073977288</c:v>
                </c:pt>
                <c:pt idx="12">
                  <c:v>0.2801663073977288</c:v>
                </c:pt>
                <c:pt idx="13">
                  <c:v>0.2801663073977288</c:v>
                </c:pt>
                <c:pt idx="14">
                  <c:v>0.2801663073977288</c:v>
                </c:pt>
                <c:pt idx="15">
                  <c:v>0.2801663073977288</c:v>
                </c:pt>
                <c:pt idx="16">
                  <c:v>0.2801663073977288</c:v>
                </c:pt>
                <c:pt idx="17">
                  <c:v>0.2801663073977288</c:v>
                </c:pt>
                <c:pt idx="18">
                  <c:v>0.2801663073977288</c:v>
                </c:pt>
                <c:pt idx="19">
                  <c:v>0.2801663073977288</c:v>
                </c:pt>
                <c:pt idx="20">
                  <c:v>0.2801663073977288</c:v>
                </c:pt>
                <c:pt idx="21">
                  <c:v>0.27996328833439704</c:v>
                </c:pt>
                <c:pt idx="22">
                  <c:v>0.27996328833439704</c:v>
                </c:pt>
                <c:pt idx="23">
                  <c:v>0.27996328833439704</c:v>
                </c:pt>
                <c:pt idx="24">
                  <c:v>0.27996328833439704</c:v>
                </c:pt>
                <c:pt idx="25">
                  <c:v>0.27996328833439704</c:v>
                </c:pt>
                <c:pt idx="26">
                  <c:v>0.27996328833439704</c:v>
                </c:pt>
                <c:pt idx="27">
                  <c:v>0.27996328833439704</c:v>
                </c:pt>
                <c:pt idx="28">
                  <c:v>0.27996328833439704</c:v>
                </c:pt>
                <c:pt idx="29">
                  <c:v>0.27996328833439704</c:v>
                </c:pt>
                <c:pt idx="30">
                  <c:v>0.27939999999999998</c:v>
                </c:pt>
                <c:pt idx="31">
                  <c:v>0.27935439935114786</c:v>
                </c:pt>
                <c:pt idx="32">
                  <c:v>0.27935439935114786</c:v>
                </c:pt>
                <c:pt idx="33">
                  <c:v>0.27935439935114786</c:v>
                </c:pt>
                <c:pt idx="34">
                  <c:v>0.27813628423769809</c:v>
                </c:pt>
                <c:pt idx="35">
                  <c:v>0.27813628423769809</c:v>
                </c:pt>
                <c:pt idx="36">
                  <c:v>0.26697022903107515</c:v>
                </c:pt>
                <c:pt idx="37">
                  <c:v>0.26169173020612613</c:v>
                </c:pt>
                <c:pt idx="38">
                  <c:v>0.26169173020612613</c:v>
                </c:pt>
                <c:pt idx="39">
                  <c:v>0.26267932077592798</c:v>
                </c:pt>
                <c:pt idx="40">
                  <c:v>0.26104903794721779</c:v>
                </c:pt>
                <c:pt idx="41">
                  <c:v>0.25310140915725565</c:v>
                </c:pt>
                <c:pt idx="42">
                  <c:v>0.25310140915725565</c:v>
                </c:pt>
                <c:pt idx="43">
                  <c:v>0.25310140915725565</c:v>
                </c:pt>
                <c:pt idx="44">
                  <c:v>0.16588127782126094</c:v>
                </c:pt>
                <c:pt idx="45">
                  <c:v>0.15834121973847637</c:v>
                </c:pt>
                <c:pt idx="46">
                  <c:v>0.13225669447911345</c:v>
                </c:pt>
                <c:pt idx="47">
                  <c:v>0.13225669447911345</c:v>
                </c:pt>
                <c:pt idx="48">
                  <c:v>0.12043714397096465</c:v>
                </c:pt>
                <c:pt idx="49">
                  <c:v>0.11962200255660957</c:v>
                </c:pt>
                <c:pt idx="50">
                  <c:v>0.11962200255660957</c:v>
                </c:pt>
                <c:pt idx="51">
                  <c:v>0.11819550508148816</c:v>
                </c:pt>
                <c:pt idx="52">
                  <c:v>0.11819550508148816</c:v>
                </c:pt>
                <c:pt idx="53">
                  <c:v>0.11819550508148816</c:v>
                </c:pt>
                <c:pt idx="54">
                  <c:v>0.11819550508148816</c:v>
                </c:pt>
                <c:pt idx="55">
                  <c:v>0.11819550508148816</c:v>
                </c:pt>
                <c:pt idx="56">
                  <c:v>0.11493493942406778</c:v>
                </c:pt>
                <c:pt idx="57">
                  <c:v>0.11167437376664743</c:v>
                </c:pt>
                <c:pt idx="58">
                  <c:v>0.11167437376664743</c:v>
                </c:pt>
                <c:pt idx="59">
                  <c:v>0.11167437376664743</c:v>
                </c:pt>
                <c:pt idx="60">
                  <c:v>0.11167437376664743</c:v>
                </c:pt>
                <c:pt idx="61">
                  <c:v>0.10556081315898425</c:v>
                </c:pt>
                <c:pt idx="62">
                  <c:v>0.10556081315898425</c:v>
                </c:pt>
                <c:pt idx="63">
                  <c:v>0.10556081315898425</c:v>
                </c:pt>
                <c:pt idx="64">
                  <c:v>0.10556081315898425</c:v>
                </c:pt>
                <c:pt idx="65">
                  <c:v>8.7016345982405929E-2</c:v>
                </c:pt>
                <c:pt idx="66">
                  <c:v>8.7016345982405929E-2</c:v>
                </c:pt>
                <c:pt idx="67">
                  <c:v>8.6689192240508819E-2</c:v>
                </c:pt>
                <c:pt idx="68">
                  <c:v>7.7147290518485595E-2</c:v>
                </c:pt>
                <c:pt idx="69">
                  <c:v>7.7147290518485595E-2</c:v>
                </c:pt>
                <c:pt idx="70">
                  <c:v>7.7147290518485595E-2</c:v>
                </c:pt>
                <c:pt idx="71">
                  <c:v>7.7147290518485595E-2</c:v>
                </c:pt>
                <c:pt idx="72">
                  <c:v>7.5117098662735984E-2</c:v>
                </c:pt>
                <c:pt idx="73">
                  <c:v>7.4914079477161027E-2</c:v>
                </c:pt>
                <c:pt idx="74">
                  <c:v>7.4914079477161027E-2</c:v>
                </c:pt>
                <c:pt idx="75">
                  <c:v>7.4914079477161027E-2</c:v>
                </c:pt>
                <c:pt idx="76">
                  <c:v>7.4914079477161027E-2</c:v>
                </c:pt>
                <c:pt idx="77">
                  <c:v>7.4914079477161027E-2</c:v>
                </c:pt>
                <c:pt idx="78">
                  <c:v>7.4914079477161027E-2</c:v>
                </c:pt>
                <c:pt idx="79">
                  <c:v>7.4914079477161027E-2</c:v>
                </c:pt>
                <c:pt idx="80">
                  <c:v>6.3138966713813208E-2</c:v>
                </c:pt>
                <c:pt idx="81">
                  <c:v>5.8063487074439167E-2</c:v>
                </c:pt>
                <c:pt idx="82">
                  <c:v>5.8063487074439167E-2</c:v>
                </c:pt>
                <c:pt idx="83">
                  <c:v>5.8063487074439167E-2</c:v>
                </c:pt>
                <c:pt idx="84">
                  <c:v>5.8063487074439167E-2</c:v>
                </c:pt>
                <c:pt idx="85">
                  <c:v>5.8063487074439167E-2</c:v>
                </c:pt>
                <c:pt idx="86">
                  <c:v>5.8063487074439167E-2</c:v>
                </c:pt>
                <c:pt idx="87">
                  <c:v>5.8063487074439167E-2</c:v>
                </c:pt>
                <c:pt idx="88">
                  <c:v>5.8063487074439167E-2</c:v>
                </c:pt>
                <c:pt idx="89">
                  <c:v>5.8063487074439167E-2</c:v>
                </c:pt>
                <c:pt idx="90">
                  <c:v>5.8068653324734959E-2</c:v>
                </c:pt>
                <c:pt idx="91">
                  <c:v>5.8068653324734959E-2</c:v>
                </c:pt>
                <c:pt idx="92">
                  <c:v>5.8068653324734959E-2</c:v>
                </c:pt>
              </c:numCache>
            </c:numRef>
          </c:val>
          <c:smooth val="0"/>
        </c:ser>
        <c:dLbls>
          <c:showLegendKey val="0"/>
          <c:showVal val="0"/>
          <c:showCatName val="0"/>
          <c:showSerName val="0"/>
          <c:showPercent val="0"/>
          <c:showBubbleSize val="0"/>
        </c:dLbls>
        <c:marker val="1"/>
        <c:smooth val="0"/>
        <c:axId val="462131584"/>
        <c:axId val="462133120"/>
      </c:lineChart>
      <c:dateAx>
        <c:axId val="46213158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2133120"/>
        <c:crosses val="autoZero"/>
        <c:auto val="1"/>
        <c:lblOffset val="100"/>
        <c:baseTimeUnit val="days"/>
      </c:dateAx>
      <c:valAx>
        <c:axId val="462133120"/>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21315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733"/>
        </c:manualLayout>
      </c:layout>
      <c:lineChart>
        <c:grouping val="standard"/>
        <c:varyColors val="0"/>
        <c:ser>
          <c:idx val="0"/>
          <c:order val="0"/>
          <c:tx>
            <c:strRef>
              <c:f>'subscription charts'!$P$2</c:f>
              <c:strCache>
                <c:ptCount val="1"/>
                <c:pt idx="0">
                  <c:v>FDC T3 V-MAX 3875</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charts'!$P$3:$P$95</c:f>
              <c:numCache>
                <c:formatCode>0.00%</c:formatCode>
                <c:ptCount val="93"/>
                <c:pt idx="0">
                  <c:v>0.79340041041055498</c:v>
                </c:pt>
                <c:pt idx="1">
                  <c:v>0.77837696353993546</c:v>
                </c:pt>
                <c:pt idx="2">
                  <c:v>0.74670591338025105</c:v>
                </c:pt>
                <c:pt idx="3">
                  <c:v>0.74670591338025105</c:v>
                </c:pt>
                <c:pt idx="4">
                  <c:v>0.7442696787525831</c:v>
                </c:pt>
                <c:pt idx="5">
                  <c:v>0.7442696787525831</c:v>
                </c:pt>
                <c:pt idx="6">
                  <c:v>0.7442696787525831</c:v>
                </c:pt>
                <c:pt idx="7">
                  <c:v>0.7442696787525831</c:v>
                </c:pt>
                <c:pt idx="8">
                  <c:v>0.74223948322952638</c:v>
                </c:pt>
                <c:pt idx="9">
                  <c:v>0.74223948322952638</c:v>
                </c:pt>
                <c:pt idx="10">
                  <c:v>0.74223948322952638</c:v>
                </c:pt>
                <c:pt idx="11">
                  <c:v>0.74223948322952638</c:v>
                </c:pt>
                <c:pt idx="12">
                  <c:v>0.74223948322952638</c:v>
                </c:pt>
                <c:pt idx="13">
                  <c:v>0.74223948322952638</c:v>
                </c:pt>
                <c:pt idx="14">
                  <c:v>0.74223948322952638</c:v>
                </c:pt>
                <c:pt idx="15">
                  <c:v>0.74223948322952638</c:v>
                </c:pt>
                <c:pt idx="16">
                  <c:v>0.74223948322952638</c:v>
                </c:pt>
                <c:pt idx="17">
                  <c:v>0.74223948322952638</c:v>
                </c:pt>
                <c:pt idx="18">
                  <c:v>0.74223948322952638</c:v>
                </c:pt>
                <c:pt idx="19">
                  <c:v>0.74223948322952638</c:v>
                </c:pt>
                <c:pt idx="20">
                  <c:v>0.74223948322952638</c:v>
                </c:pt>
                <c:pt idx="21">
                  <c:v>0.74183344412491503</c:v>
                </c:pt>
                <c:pt idx="22">
                  <c:v>0.74183344412491503</c:v>
                </c:pt>
                <c:pt idx="23">
                  <c:v>0.74183344412491503</c:v>
                </c:pt>
                <c:pt idx="24">
                  <c:v>0.74183344412491503</c:v>
                </c:pt>
                <c:pt idx="25">
                  <c:v>0.74183344412491503</c:v>
                </c:pt>
                <c:pt idx="26">
                  <c:v>0.74183344412491503</c:v>
                </c:pt>
                <c:pt idx="27">
                  <c:v>0.74183344412491503</c:v>
                </c:pt>
                <c:pt idx="28">
                  <c:v>0.74183344412491503</c:v>
                </c:pt>
                <c:pt idx="29">
                  <c:v>0.74183344412491503</c:v>
                </c:pt>
                <c:pt idx="30">
                  <c:v>0.74060000000000004</c:v>
                </c:pt>
                <c:pt idx="31">
                  <c:v>0.740615326811081</c:v>
                </c:pt>
                <c:pt idx="32">
                  <c:v>0.740615326811081</c:v>
                </c:pt>
                <c:pt idx="33">
                  <c:v>0.740615326811081</c:v>
                </c:pt>
                <c:pt idx="34">
                  <c:v>0.73817909218341304</c:v>
                </c:pt>
                <c:pt idx="35">
                  <c:v>0.73817909218341304</c:v>
                </c:pt>
                <c:pt idx="36">
                  <c:v>0.71584694142978933</c:v>
                </c:pt>
                <c:pt idx="37">
                  <c:v>0.7052899247098946</c:v>
                </c:pt>
                <c:pt idx="38">
                  <c:v>0.7052899247098946</c:v>
                </c:pt>
                <c:pt idx="39">
                  <c:v>0.70795160202401641</c:v>
                </c:pt>
                <c:pt idx="40">
                  <c:v>0.7046910304545333</c:v>
                </c:pt>
                <c:pt idx="41">
                  <c:v>0.6932790299613425</c:v>
                </c:pt>
                <c:pt idx="42">
                  <c:v>0.68879574405330324</c:v>
                </c:pt>
                <c:pt idx="43">
                  <c:v>0.68879574405330324</c:v>
                </c:pt>
                <c:pt idx="44">
                  <c:v>0.5143551650859578</c:v>
                </c:pt>
                <c:pt idx="45">
                  <c:v>0.49927502157709847</c:v>
                </c:pt>
                <c:pt idx="46">
                  <c:v>0.44710587646536903</c:v>
                </c:pt>
                <c:pt idx="47">
                  <c:v>0.44710587646536903</c:v>
                </c:pt>
                <c:pt idx="48">
                  <c:v>0.42346673258661655</c:v>
                </c:pt>
                <c:pt idx="49">
                  <c:v>0.4218364468018751</c:v>
                </c:pt>
                <c:pt idx="50">
                  <c:v>0.4218364468018751</c:v>
                </c:pt>
                <c:pt idx="51">
                  <c:v>0.41898344667857734</c:v>
                </c:pt>
                <c:pt idx="52">
                  <c:v>0.41898344667857734</c:v>
                </c:pt>
                <c:pt idx="53">
                  <c:v>0.41898344667857734</c:v>
                </c:pt>
                <c:pt idx="54">
                  <c:v>0.41898344667857734</c:v>
                </c:pt>
                <c:pt idx="55">
                  <c:v>0.41898344667857734</c:v>
                </c:pt>
                <c:pt idx="56">
                  <c:v>0.41246230353961116</c:v>
                </c:pt>
                <c:pt idx="57">
                  <c:v>0.40594116040064498</c:v>
                </c:pt>
                <c:pt idx="58">
                  <c:v>0.40594116040064498</c:v>
                </c:pt>
                <c:pt idx="59">
                  <c:v>0.40594116040064498</c:v>
                </c:pt>
                <c:pt idx="60">
                  <c:v>0.40594116040064498</c:v>
                </c:pt>
                <c:pt idx="61">
                  <c:v>0.39126858833797107</c:v>
                </c:pt>
                <c:pt idx="62">
                  <c:v>0.39126858833797107</c:v>
                </c:pt>
                <c:pt idx="63">
                  <c:v>0.39126858833797107</c:v>
                </c:pt>
                <c:pt idx="64">
                  <c:v>0.39126858833797107</c:v>
                </c:pt>
                <c:pt idx="65">
                  <c:v>0.35417958673510092</c:v>
                </c:pt>
                <c:pt idx="66">
                  <c:v>0.35417958673510092</c:v>
                </c:pt>
                <c:pt idx="67">
                  <c:v>0.35284713207047291</c:v>
                </c:pt>
                <c:pt idx="68">
                  <c:v>0.34756863642384905</c:v>
                </c:pt>
                <c:pt idx="69">
                  <c:v>0.34756863642384905</c:v>
                </c:pt>
                <c:pt idx="70">
                  <c:v>0.34756863642384905</c:v>
                </c:pt>
                <c:pt idx="71">
                  <c:v>0.34716259829718565</c:v>
                </c:pt>
                <c:pt idx="72">
                  <c:v>0.34066598827057165</c:v>
                </c:pt>
                <c:pt idx="73">
                  <c:v>0.34025995014390825</c:v>
                </c:pt>
                <c:pt idx="74">
                  <c:v>0.34025995014390825</c:v>
                </c:pt>
                <c:pt idx="75">
                  <c:v>0.32807880634400705</c:v>
                </c:pt>
                <c:pt idx="76">
                  <c:v>0.32807880634400705</c:v>
                </c:pt>
                <c:pt idx="77">
                  <c:v>0.32807880634400705</c:v>
                </c:pt>
                <c:pt idx="78">
                  <c:v>0.32807880634400705</c:v>
                </c:pt>
                <c:pt idx="79">
                  <c:v>0.32807880634400705</c:v>
                </c:pt>
                <c:pt idx="80">
                  <c:v>0.32807880634400705</c:v>
                </c:pt>
                <c:pt idx="81">
                  <c:v>0.32807880634400705</c:v>
                </c:pt>
                <c:pt idx="82">
                  <c:v>0.29437764183094689</c:v>
                </c:pt>
                <c:pt idx="83">
                  <c:v>0.29437764183094689</c:v>
                </c:pt>
                <c:pt idx="84">
                  <c:v>0.29437764183094689</c:v>
                </c:pt>
                <c:pt idx="85">
                  <c:v>0.29437764183094689</c:v>
                </c:pt>
                <c:pt idx="86">
                  <c:v>0.29437764183094689</c:v>
                </c:pt>
                <c:pt idx="87">
                  <c:v>0.29437764183094689</c:v>
                </c:pt>
                <c:pt idx="88">
                  <c:v>0.29437764183094689</c:v>
                </c:pt>
                <c:pt idx="89">
                  <c:v>0.29437764183094689</c:v>
                </c:pt>
                <c:pt idx="90">
                  <c:v>0.29440383434289913</c:v>
                </c:pt>
                <c:pt idx="91">
                  <c:v>0.29440383434289913</c:v>
                </c:pt>
                <c:pt idx="92">
                  <c:v>0.29440383434289913</c:v>
                </c:pt>
              </c:numCache>
            </c:numRef>
          </c:val>
          <c:smooth val="0"/>
        </c:ser>
        <c:dLbls>
          <c:showLegendKey val="0"/>
          <c:showVal val="0"/>
          <c:showCatName val="0"/>
          <c:showSerName val="0"/>
          <c:showPercent val="0"/>
          <c:showBubbleSize val="0"/>
        </c:dLbls>
        <c:marker val="1"/>
        <c:smooth val="0"/>
        <c:axId val="462165888"/>
        <c:axId val="462167424"/>
      </c:lineChart>
      <c:dateAx>
        <c:axId val="4621658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2167424"/>
        <c:crosses val="autoZero"/>
        <c:auto val="1"/>
        <c:lblOffset val="100"/>
        <c:baseTimeUnit val="days"/>
      </c:dateAx>
      <c:valAx>
        <c:axId val="46216742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21658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733"/>
        </c:manualLayout>
      </c:layout>
      <c:lineChart>
        <c:grouping val="standard"/>
        <c:varyColors val="0"/>
        <c:ser>
          <c:idx val="0"/>
          <c:order val="0"/>
          <c:tx>
            <c:strRef>
              <c:f>'subscription charts'!$T$2</c:f>
              <c:strCache>
                <c:ptCount val="1"/>
                <c:pt idx="0">
                  <c:v>ZDC T4 VMAV 0377</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charts'!$T$3:$T$94</c:f>
              <c:numCache>
                <c:formatCode>0.00%</c:formatCode>
                <c:ptCount val="92"/>
                <c:pt idx="0">
                  <c:v>1.2950637494144845</c:v>
                </c:pt>
                <c:pt idx="1">
                  <c:v>1.2950637494144845</c:v>
                </c:pt>
                <c:pt idx="2">
                  <c:v>1.2950637494144845</c:v>
                </c:pt>
                <c:pt idx="3">
                  <c:v>1.2950637494144845</c:v>
                </c:pt>
                <c:pt idx="4">
                  <c:v>1.2950637494144845</c:v>
                </c:pt>
                <c:pt idx="5">
                  <c:v>1.2950637494144845</c:v>
                </c:pt>
                <c:pt idx="6">
                  <c:v>1.2196627128632083</c:v>
                </c:pt>
                <c:pt idx="7">
                  <c:v>1.2196627128632083</c:v>
                </c:pt>
                <c:pt idx="8">
                  <c:v>1.2196627128632083</c:v>
                </c:pt>
                <c:pt idx="9">
                  <c:v>1.2196627128632083</c:v>
                </c:pt>
                <c:pt idx="10">
                  <c:v>1.2196627128632083</c:v>
                </c:pt>
                <c:pt idx="11">
                  <c:v>1.2196627128632083</c:v>
                </c:pt>
                <c:pt idx="12">
                  <c:v>1.2196627128632083</c:v>
                </c:pt>
                <c:pt idx="13">
                  <c:v>1.2196627128632083</c:v>
                </c:pt>
                <c:pt idx="14">
                  <c:v>1.2196627128632083</c:v>
                </c:pt>
                <c:pt idx="15">
                  <c:v>1.2196627128632083</c:v>
                </c:pt>
                <c:pt idx="16">
                  <c:v>1.2196627128632083</c:v>
                </c:pt>
                <c:pt idx="17">
                  <c:v>1.2196627128632083</c:v>
                </c:pt>
                <c:pt idx="18">
                  <c:v>1.2196627128632083</c:v>
                </c:pt>
                <c:pt idx="19">
                  <c:v>1.2196627128632083</c:v>
                </c:pt>
                <c:pt idx="20">
                  <c:v>1.2196627128632083</c:v>
                </c:pt>
                <c:pt idx="21">
                  <c:v>1.1238830177845605</c:v>
                </c:pt>
                <c:pt idx="22">
                  <c:v>1.1238830177845605</c:v>
                </c:pt>
                <c:pt idx="23">
                  <c:v>1.1238830177845605</c:v>
                </c:pt>
                <c:pt idx="24">
                  <c:v>1.1238830177845605</c:v>
                </c:pt>
                <c:pt idx="25">
                  <c:v>1.1238830177845605</c:v>
                </c:pt>
                <c:pt idx="26">
                  <c:v>1.1238830177845605</c:v>
                </c:pt>
                <c:pt idx="27">
                  <c:v>1.1238830177845605</c:v>
                </c:pt>
                <c:pt idx="28">
                  <c:v>1.1238830177845605</c:v>
                </c:pt>
                <c:pt idx="29">
                  <c:v>1.1238830177845605</c:v>
                </c:pt>
                <c:pt idx="30">
                  <c:v>1.1238999999999999</c:v>
                </c:pt>
                <c:pt idx="31">
                  <c:v>1.1238830177845605</c:v>
                </c:pt>
                <c:pt idx="32">
                  <c:v>1.1238830177845605</c:v>
                </c:pt>
                <c:pt idx="33">
                  <c:v>1.107580090962663</c:v>
                </c:pt>
                <c:pt idx="34">
                  <c:v>1.107580090962663</c:v>
                </c:pt>
                <c:pt idx="35">
                  <c:v>1.107580090962663</c:v>
                </c:pt>
                <c:pt idx="36">
                  <c:v>1.107580090962663</c:v>
                </c:pt>
                <c:pt idx="37">
                  <c:v>1.107580090962663</c:v>
                </c:pt>
                <c:pt idx="38">
                  <c:v>1.107580090962663</c:v>
                </c:pt>
                <c:pt idx="39">
                  <c:v>1.107580090962663</c:v>
                </c:pt>
                <c:pt idx="40">
                  <c:v>1.107580090962663</c:v>
                </c:pt>
                <c:pt idx="41">
                  <c:v>1.107580090962663</c:v>
                </c:pt>
                <c:pt idx="42">
                  <c:v>1.107580090962663</c:v>
                </c:pt>
                <c:pt idx="43">
                  <c:v>1.107580090962663</c:v>
                </c:pt>
                <c:pt idx="44">
                  <c:v>1.034216920264124</c:v>
                </c:pt>
                <c:pt idx="45">
                  <c:v>1.034216920264124</c:v>
                </c:pt>
                <c:pt idx="46">
                  <c:v>1.034216920264124</c:v>
                </c:pt>
                <c:pt idx="47">
                  <c:v>0.99244067028301175</c:v>
                </c:pt>
                <c:pt idx="48">
                  <c:v>0.99244067028301175</c:v>
                </c:pt>
                <c:pt idx="49">
                  <c:v>0.99244067028301175</c:v>
                </c:pt>
                <c:pt idx="50">
                  <c:v>0.99244067028301175</c:v>
                </c:pt>
                <c:pt idx="51">
                  <c:v>0.95881588371284809</c:v>
                </c:pt>
                <c:pt idx="52">
                  <c:v>0.95881588371284809</c:v>
                </c:pt>
                <c:pt idx="53">
                  <c:v>0.95881588371284809</c:v>
                </c:pt>
                <c:pt idx="54">
                  <c:v>0.95881588371284809</c:v>
                </c:pt>
                <c:pt idx="55">
                  <c:v>0.92417216421631587</c:v>
                </c:pt>
                <c:pt idx="56">
                  <c:v>0.92417216421631587</c:v>
                </c:pt>
                <c:pt idx="57">
                  <c:v>0.53290192049077523</c:v>
                </c:pt>
                <c:pt idx="58">
                  <c:v>0.53290192049077523</c:v>
                </c:pt>
                <c:pt idx="59">
                  <c:v>0.53290192049077523</c:v>
                </c:pt>
                <c:pt idx="60">
                  <c:v>0.53290192049077523</c:v>
                </c:pt>
                <c:pt idx="61">
                  <c:v>0.50742859733156043</c:v>
                </c:pt>
                <c:pt idx="62">
                  <c:v>0.50742859733156043</c:v>
                </c:pt>
                <c:pt idx="63">
                  <c:v>0.50742859733156043</c:v>
                </c:pt>
                <c:pt idx="64">
                  <c:v>0.50742859733156043</c:v>
                </c:pt>
                <c:pt idx="65">
                  <c:v>0.50742859733156043</c:v>
                </c:pt>
                <c:pt idx="66">
                  <c:v>0.50742859733156043</c:v>
                </c:pt>
                <c:pt idx="67">
                  <c:v>0.50742859733156043</c:v>
                </c:pt>
                <c:pt idx="68">
                  <c:v>0.50742859733156043</c:v>
                </c:pt>
                <c:pt idx="69">
                  <c:v>0.50742859733156043</c:v>
                </c:pt>
                <c:pt idx="70">
                  <c:v>0.50742859733156043</c:v>
                </c:pt>
                <c:pt idx="71">
                  <c:v>0.50742859733156043</c:v>
                </c:pt>
                <c:pt idx="72">
                  <c:v>0.50742859733156043</c:v>
                </c:pt>
                <c:pt idx="73">
                  <c:v>0.4921446034360315</c:v>
                </c:pt>
                <c:pt idx="74">
                  <c:v>0.4921446034360315</c:v>
                </c:pt>
                <c:pt idx="75">
                  <c:v>0.4921446034360315</c:v>
                </c:pt>
                <c:pt idx="76">
                  <c:v>0.4921446034360315</c:v>
                </c:pt>
                <c:pt idx="77">
                  <c:v>0.38821344494643478</c:v>
                </c:pt>
                <c:pt idx="78">
                  <c:v>0.38821344494643478</c:v>
                </c:pt>
                <c:pt idx="79">
                  <c:v>0.38821344494643478</c:v>
                </c:pt>
                <c:pt idx="80">
                  <c:v>0.38821344494643478</c:v>
                </c:pt>
                <c:pt idx="81">
                  <c:v>0.38821344494643478</c:v>
                </c:pt>
                <c:pt idx="82">
                  <c:v>0.38821344494643478</c:v>
                </c:pt>
                <c:pt idx="83">
                  <c:v>0.38821344494643478</c:v>
                </c:pt>
                <c:pt idx="84">
                  <c:v>0.38821344494643478</c:v>
                </c:pt>
                <c:pt idx="85">
                  <c:v>0.35153185959716532</c:v>
                </c:pt>
                <c:pt idx="86">
                  <c:v>0.35153185959716532</c:v>
                </c:pt>
                <c:pt idx="87">
                  <c:v>0.35153185959716532</c:v>
                </c:pt>
                <c:pt idx="88">
                  <c:v>0.35153185959716532</c:v>
                </c:pt>
                <c:pt idx="89">
                  <c:v>0.35153185959716532</c:v>
                </c:pt>
                <c:pt idx="90">
                  <c:v>0.35156313745636963</c:v>
                </c:pt>
                <c:pt idx="91">
                  <c:v>0.32099242985146792</c:v>
                </c:pt>
              </c:numCache>
            </c:numRef>
          </c:val>
          <c:smooth val="0"/>
        </c:ser>
        <c:dLbls>
          <c:showLegendKey val="0"/>
          <c:showVal val="0"/>
          <c:showCatName val="0"/>
          <c:showSerName val="0"/>
          <c:showPercent val="0"/>
          <c:showBubbleSize val="0"/>
        </c:dLbls>
        <c:marker val="1"/>
        <c:smooth val="0"/>
        <c:axId val="462183808"/>
        <c:axId val="462193792"/>
      </c:lineChart>
      <c:dateAx>
        <c:axId val="4621838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2193792"/>
        <c:crosses val="autoZero"/>
        <c:auto val="1"/>
        <c:lblOffset val="100"/>
        <c:baseTimeUnit val="days"/>
      </c:dateAx>
      <c:valAx>
        <c:axId val="46219379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21838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156"/>
        </c:manualLayout>
      </c:layout>
      <c:lineChart>
        <c:grouping val="standard"/>
        <c:varyColors val="0"/>
        <c:ser>
          <c:idx val="0"/>
          <c:order val="0"/>
          <c:tx>
            <c:strRef>
              <c:f>'subscription charts'!$S$2</c:f>
              <c:strCache>
                <c:ptCount val="1"/>
                <c:pt idx="0">
                  <c:v>ZDC T4 VMAX 1383</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charts'!$S$3:$S$95</c:f>
              <c:numCache>
                <c:formatCode>0.00%</c:formatCode>
                <c:ptCount val="93"/>
                <c:pt idx="0">
                  <c:v>1.0257868986683678</c:v>
                </c:pt>
                <c:pt idx="1">
                  <c:v>0</c:v>
                </c:pt>
                <c:pt idx="2">
                  <c:v>1.0257868986683678</c:v>
                </c:pt>
                <c:pt idx="3">
                  <c:v>1.0257868986683678</c:v>
                </c:pt>
                <c:pt idx="4">
                  <c:v>1.0257868986683678</c:v>
                </c:pt>
                <c:pt idx="5">
                  <c:v>1.0257868986683678</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numCache>
            </c:numRef>
          </c:val>
          <c:smooth val="0"/>
        </c:ser>
        <c:dLbls>
          <c:showLegendKey val="0"/>
          <c:showVal val="0"/>
          <c:showCatName val="0"/>
          <c:showSerName val="0"/>
          <c:showPercent val="0"/>
          <c:showBubbleSize val="0"/>
        </c:dLbls>
        <c:marker val="1"/>
        <c:smooth val="0"/>
        <c:axId val="462222848"/>
        <c:axId val="462224384"/>
      </c:lineChart>
      <c:dateAx>
        <c:axId val="46222284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2224384"/>
        <c:crosses val="autoZero"/>
        <c:auto val="1"/>
        <c:lblOffset val="100"/>
        <c:baseTimeUnit val="days"/>
      </c:dateAx>
      <c:valAx>
        <c:axId val="46222438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22228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7147385222224667"/>
        </c:manualLayout>
      </c:layout>
      <c:lineChart>
        <c:grouping val="standard"/>
        <c:varyColors val="0"/>
        <c:ser>
          <c:idx val="0"/>
          <c:order val="0"/>
          <c:tx>
            <c:strRef>
              <c:f>'subscription charts'!$J$2</c:f>
              <c:strCache>
                <c:ptCount val="1"/>
                <c:pt idx="0">
                  <c:v>RDC T3 V-MAX 4330</c:v>
                </c:pt>
              </c:strCache>
            </c:strRef>
          </c:tx>
          <c:cat>
            <c:numRef>
              <c:f>'subscription charts'!$A$3:$A$73</c:f>
              <c:numCache>
                <c:formatCode>[$-409]d\-mmm\-yy;@</c:formatCode>
                <c:ptCount val="71"/>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numCache>
            </c:numRef>
          </c:cat>
          <c:val>
            <c:numRef>
              <c:f>'subscription charts'!$J$3:$J$73</c:f>
              <c:numCache>
                <c:formatCode>0.00%</c:formatCode>
                <c:ptCount val="71"/>
                <c:pt idx="0">
                  <c:v>1.6290402131282897</c:v>
                </c:pt>
                <c:pt idx="1">
                  <c:v>1.627408997961606</c:v>
                </c:pt>
                <c:pt idx="2">
                  <c:v>1.6564990017674681</c:v>
                </c:pt>
                <c:pt idx="3">
                  <c:v>1.6564990017674681</c:v>
                </c:pt>
                <c:pt idx="4">
                  <c:v>1.6540521790174425</c:v>
                </c:pt>
                <c:pt idx="5">
                  <c:v>1.6529647022396532</c:v>
                </c:pt>
                <c:pt idx="6">
                  <c:v>1.6488866643229434</c:v>
                </c:pt>
                <c:pt idx="7">
                  <c:v>1.6505178794896276</c:v>
                </c:pt>
                <c:pt idx="8">
                  <c:v>1.6505178794896276</c:v>
                </c:pt>
                <c:pt idx="9">
                  <c:v>1.6551396557952316</c:v>
                </c:pt>
                <c:pt idx="10">
                  <c:v>1.6551396557952316</c:v>
                </c:pt>
                <c:pt idx="11">
                  <c:v>1.6551396557952316</c:v>
                </c:pt>
                <c:pt idx="12">
                  <c:v>1.6551396557952316</c:v>
                </c:pt>
                <c:pt idx="13">
                  <c:v>1.6548677866007844</c:v>
                </c:pt>
                <c:pt idx="14">
                  <c:v>1.6497022719062855</c:v>
                </c:pt>
                <c:pt idx="15">
                  <c:v>1.6497022719062855</c:v>
                </c:pt>
                <c:pt idx="16">
                  <c:v>1.6475273183507069</c:v>
                </c:pt>
                <c:pt idx="17">
                  <c:v>1.6475273183507069</c:v>
                </c:pt>
                <c:pt idx="18">
                  <c:v>1.6458961031840231</c:v>
                </c:pt>
                <c:pt idx="19">
                  <c:v>1.6458961031840231</c:v>
                </c:pt>
                <c:pt idx="20">
                  <c:v>1.6458961031840231</c:v>
                </c:pt>
                <c:pt idx="21">
                  <c:v>1.644808626406234</c:v>
                </c:pt>
                <c:pt idx="22">
                  <c:v>1.644808626406234</c:v>
                </c:pt>
                <c:pt idx="23">
                  <c:v>1.6255059136004748</c:v>
                </c:pt>
                <c:pt idx="24">
                  <c:v>1.6255059136004748</c:v>
                </c:pt>
                <c:pt idx="25">
                  <c:v>1.6192529221281866</c:v>
                </c:pt>
                <c:pt idx="26">
                  <c:v>1.6192529221281866</c:v>
                </c:pt>
                <c:pt idx="27">
                  <c:v>1.6149030150170296</c:v>
                </c:pt>
                <c:pt idx="28">
                  <c:v>1.589891049127877</c:v>
                </c:pt>
                <c:pt idx="29">
                  <c:v>1.589891049127877</c:v>
                </c:pt>
                <c:pt idx="30">
                  <c:v>1.5899000000000001</c:v>
                </c:pt>
                <c:pt idx="31">
                  <c:v>1.1073232289838992</c:v>
                </c:pt>
                <c:pt idx="32">
                  <c:v>1.1043326678449787</c:v>
                </c:pt>
                <c:pt idx="33">
                  <c:v>1.0263062090386004</c:v>
                </c:pt>
                <c:pt idx="34">
                  <c:v>1.0233156478996801</c:v>
                </c:pt>
                <c:pt idx="35">
                  <c:v>1.0233156478996801</c:v>
                </c:pt>
                <c:pt idx="36">
                  <c:v>1.0159751796496026</c:v>
                </c:pt>
                <c:pt idx="37">
                  <c:v>1.011897141732893</c:v>
                </c:pt>
                <c:pt idx="38">
                  <c:v>1.0110815341495512</c:v>
                </c:pt>
                <c:pt idx="39">
                  <c:v>1.033043640521788</c:v>
                </c:pt>
                <c:pt idx="40">
                  <c:v>1.0149882932150076</c:v>
                </c:pt>
                <c:pt idx="41">
                  <c:v>1.0022106628132863</c:v>
                </c:pt>
                <c:pt idx="42">
                  <c:v>1.0022106628132863</c:v>
                </c:pt>
                <c:pt idx="43">
                  <c:v>0.9938774255947721</c:v>
                </c:pt>
                <c:pt idx="44">
                  <c:v>1.1007729440892702</c:v>
                </c:pt>
                <c:pt idx="45">
                  <c:v>1.1007729440892702</c:v>
                </c:pt>
                <c:pt idx="46">
                  <c:v>1.0953000921962177</c:v>
                </c:pt>
                <c:pt idx="47">
                  <c:v>1.0953000921962177</c:v>
                </c:pt>
                <c:pt idx="48">
                  <c:v>1.0923812378532562</c:v>
                </c:pt>
                <c:pt idx="49">
                  <c:v>1.0675709759380856</c:v>
                </c:pt>
                <c:pt idx="50">
                  <c:v>1.0617332672521631</c:v>
                </c:pt>
                <c:pt idx="51">
                  <c:v>1.0493281362945777</c:v>
                </c:pt>
                <c:pt idx="52">
                  <c:v>1.022693590415056</c:v>
                </c:pt>
                <c:pt idx="53">
                  <c:v>1.022693590415056</c:v>
                </c:pt>
                <c:pt idx="54">
                  <c:v>1.022693590415056</c:v>
                </c:pt>
                <c:pt idx="55">
                  <c:v>0.95774908128416769</c:v>
                </c:pt>
                <c:pt idx="56">
                  <c:v>0.95774908128416769</c:v>
                </c:pt>
                <c:pt idx="57">
                  <c:v>0.6592962247163775</c:v>
                </c:pt>
                <c:pt idx="58">
                  <c:v>0.56808202649883777</c:v>
                </c:pt>
                <c:pt idx="59">
                  <c:v>0.45169270957325702</c:v>
                </c:pt>
                <c:pt idx="60">
                  <c:v>0.35938394097710669</c:v>
                </c:pt>
                <c:pt idx="61">
                  <c:v>0.21818436213635517</c:v>
                </c:pt>
                <c:pt idx="62">
                  <c:v>0.18498239398517069</c:v>
                </c:pt>
                <c:pt idx="63">
                  <c:v>0.18498239398517069</c:v>
                </c:pt>
                <c:pt idx="64">
                  <c:v>0.13390244298334839</c:v>
                </c:pt>
                <c:pt idx="65">
                  <c:v>0.13390244298334839</c:v>
                </c:pt>
                <c:pt idx="66">
                  <c:v>3.2472254565444163E-2</c:v>
                </c:pt>
                <c:pt idx="67">
                  <c:v>3.1572815595270413E-2</c:v>
                </c:pt>
                <c:pt idx="68">
                  <c:v>0</c:v>
                </c:pt>
                <c:pt idx="69">
                  <c:v>0</c:v>
                </c:pt>
                <c:pt idx="70">
                  <c:v>0</c:v>
                </c:pt>
              </c:numCache>
            </c:numRef>
          </c:val>
          <c:smooth val="0"/>
        </c:ser>
        <c:dLbls>
          <c:showLegendKey val="0"/>
          <c:showVal val="0"/>
          <c:showCatName val="0"/>
          <c:showSerName val="0"/>
          <c:showPercent val="0"/>
          <c:showBubbleSize val="0"/>
        </c:dLbls>
        <c:marker val="1"/>
        <c:smooth val="0"/>
        <c:axId val="463362688"/>
        <c:axId val="463376768"/>
      </c:lineChart>
      <c:dateAx>
        <c:axId val="4633626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3376768"/>
        <c:crosses val="autoZero"/>
        <c:auto val="1"/>
        <c:lblOffset val="100"/>
        <c:baseTimeUnit val="days"/>
      </c:dateAx>
      <c:valAx>
        <c:axId val="46337676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3362688"/>
        <c:crosses val="autoZero"/>
        <c:crossBetween val="between"/>
      </c:valAx>
    </c:plotArea>
    <c:plotVisOnly val="1"/>
    <c:dispBlanksAs val="gap"/>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733"/>
        </c:manualLayout>
      </c:layout>
      <c:lineChart>
        <c:grouping val="standard"/>
        <c:varyColors val="0"/>
        <c:ser>
          <c:idx val="0"/>
          <c:order val="0"/>
          <c:tx>
            <c:strRef>
              <c:f>'subscription charts'!$Q$2</c:f>
              <c:strCache>
                <c:ptCount val="1"/>
                <c:pt idx="0">
                  <c:v>FDC T3 V-MAX 4652</c:v>
                </c:pt>
              </c:strCache>
            </c:strRef>
          </c:tx>
          <c:cat>
            <c:numRef>
              <c:f>'subscription charts'!$A$3:$A$73</c:f>
              <c:numCache>
                <c:formatCode>[$-409]d\-mmm\-yy;@</c:formatCode>
                <c:ptCount val="71"/>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numCache>
            </c:numRef>
          </c:cat>
          <c:val>
            <c:numRef>
              <c:f>'subscription charts'!$Q$3:$Q$73</c:f>
              <c:numCache>
                <c:formatCode>0.00%</c:formatCode>
                <c:ptCount val="71"/>
                <c:pt idx="0">
                  <c:v>0.81574720981618642</c:v>
                </c:pt>
                <c:pt idx="1">
                  <c:v>0.81469145415205857</c:v>
                </c:pt>
                <c:pt idx="2">
                  <c:v>0.81293186137851203</c:v>
                </c:pt>
                <c:pt idx="3">
                  <c:v>0.81293186137851203</c:v>
                </c:pt>
                <c:pt idx="4">
                  <c:v>0.82876819634043108</c:v>
                </c:pt>
                <c:pt idx="5">
                  <c:v>0.82859223706307639</c:v>
                </c:pt>
                <c:pt idx="6">
                  <c:v>0.82595284790275658</c:v>
                </c:pt>
                <c:pt idx="7">
                  <c:v>0.82595284790275658</c:v>
                </c:pt>
                <c:pt idx="8">
                  <c:v>0.82595284790275658</c:v>
                </c:pt>
                <c:pt idx="9">
                  <c:v>0.82331345874243667</c:v>
                </c:pt>
                <c:pt idx="10">
                  <c:v>0.82331345874243667</c:v>
                </c:pt>
                <c:pt idx="11">
                  <c:v>0.81803468042179694</c:v>
                </c:pt>
                <c:pt idx="12">
                  <c:v>0.81803468042179694</c:v>
                </c:pt>
                <c:pt idx="13">
                  <c:v>0.81785872114444225</c:v>
                </c:pt>
                <c:pt idx="14">
                  <c:v>0.81451549487470387</c:v>
                </c:pt>
                <c:pt idx="15">
                  <c:v>0.81451549487470387</c:v>
                </c:pt>
                <c:pt idx="16">
                  <c:v>0.81310782065586662</c:v>
                </c:pt>
                <c:pt idx="17">
                  <c:v>0.81310782065586662</c:v>
                </c:pt>
                <c:pt idx="18">
                  <c:v>0.82225770307830881</c:v>
                </c:pt>
                <c:pt idx="19">
                  <c:v>0.82225770307830881</c:v>
                </c:pt>
                <c:pt idx="20">
                  <c:v>0.82225770307830881</c:v>
                </c:pt>
                <c:pt idx="21">
                  <c:v>0.82155386596889002</c:v>
                </c:pt>
                <c:pt idx="22">
                  <c:v>0.82155386596889002</c:v>
                </c:pt>
                <c:pt idx="23">
                  <c:v>0.80906075727670956</c:v>
                </c:pt>
                <c:pt idx="24">
                  <c:v>0.80906075727670956</c:v>
                </c:pt>
                <c:pt idx="25">
                  <c:v>0.8050136938975524</c:v>
                </c:pt>
                <c:pt idx="26">
                  <c:v>0.8050136938975524</c:v>
                </c:pt>
                <c:pt idx="27">
                  <c:v>0.7993829970222035</c:v>
                </c:pt>
                <c:pt idx="28">
                  <c:v>0.78319474350557505</c:v>
                </c:pt>
                <c:pt idx="29">
                  <c:v>0.78319474350557505</c:v>
                </c:pt>
                <c:pt idx="30">
                  <c:v>0.78320000000000001</c:v>
                </c:pt>
                <c:pt idx="31">
                  <c:v>0.78055535434525525</c:v>
                </c:pt>
                <c:pt idx="32">
                  <c:v>0.77791596518493533</c:v>
                </c:pt>
                <c:pt idx="33">
                  <c:v>0.72741565258414909</c:v>
                </c:pt>
                <c:pt idx="34">
                  <c:v>0.7210811185993814</c:v>
                </c:pt>
                <c:pt idx="35">
                  <c:v>0.7210811185993814</c:v>
                </c:pt>
                <c:pt idx="36">
                  <c:v>0.72072920004467211</c:v>
                </c:pt>
                <c:pt idx="37">
                  <c:v>0.7180898108843522</c:v>
                </c:pt>
                <c:pt idx="38">
                  <c:v>0.71756193305228833</c:v>
                </c:pt>
                <c:pt idx="39">
                  <c:v>0.72757308648037688</c:v>
                </c:pt>
                <c:pt idx="40">
                  <c:v>0.71597616381700646</c:v>
                </c:pt>
                <c:pt idx="41">
                  <c:v>0.71597616381700646</c:v>
                </c:pt>
                <c:pt idx="42">
                  <c:v>0.70776911085523675</c:v>
                </c:pt>
                <c:pt idx="43">
                  <c:v>0.70241668501060417</c:v>
                </c:pt>
                <c:pt idx="44">
                  <c:v>0.55879325817963232</c:v>
                </c:pt>
                <c:pt idx="45">
                  <c:v>0.55879325817963232</c:v>
                </c:pt>
                <c:pt idx="46">
                  <c:v>0.55611704525731598</c:v>
                </c:pt>
                <c:pt idx="47">
                  <c:v>0.54059501030788182</c:v>
                </c:pt>
                <c:pt idx="48">
                  <c:v>0.53916769674931309</c:v>
                </c:pt>
                <c:pt idx="49">
                  <c:v>0.5198989637086362</c:v>
                </c:pt>
                <c:pt idx="50">
                  <c:v>0.51704433659149884</c:v>
                </c:pt>
                <c:pt idx="51">
                  <c:v>0.48385929635477737</c:v>
                </c:pt>
                <c:pt idx="52">
                  <c:v>0.45602668196268842</c:v>
                </c:pt>
                <c:pt idx="53">
                  <c:v>0.45602668196268842</c:v>
                </c:pt>
                <c:pt idx="54">
                  <c:v>0.45602668196268842</c:v>
                </c:pt>
                <c:pt idx="55">
                  <c:v>0.42212798494668258</c:v>
                </c:pt>
                <c:pt idx="56">
                  <c:v>0.42212798494668258</c:v>
                </c:pt>
                <c:pt idx="57">
                  <c:v>0.34291208244612176</c:v>
                </c:pt>
                <c:pt idx="58">
                  <c:v>0.29937901890977742</c:v>
                </c:pt>
                <c:pt idx="59">
                  <c:v>0.23390100941043995</c:v>
                </c:pt>
                <c:pt idx="60">
                  <c:v>0.1983965846410444</c:v>
                </c:pt>
                <c:pt idx="61">
                  <c:v>0.12257055184208408</c:v>
                </c:pt>
                <c:pt idx="62">
                  <c:v>0.1066916885030077</c:v>
                </c:pt>
                <c:pt idx="63">
                  <c:v>0.1066916885030077</c:v>
                </c:pt>
                <c:pt idx="64">
                  <c:v>6.7262151447548324E-2</c:v>
                </c:pt>
                <c:pt idx="65">
                  <c:v>6.7262151447548324E-2</c:v>
                </c:pt>
                <c:pt idx="66">
                  <c:v>2.8546271171373292E-2</c:v>
                </c:pt>
                <c:pt idx="67">
                  <c:v>2.8546271171373292E-2</c:v>
                </c:pt>
                <c:pt idx="68">
                  <c:v>0</c:v>
                </c:pt>
                <c:pt idx="69">
                  <c:v>0</c:v>
                </c:pt>
                <c:pt idx="70">
                  <c:v>0</c:v>
                </c:pt>
              </c:numCache>
            </c:numRef>
          </c:val>
          <c:smooth val="0"/>
        </c:ser>
        <c:dLbls>
          <c:showLegendKey val="0"/>
          <c:showVal val="0"/>
          <c:showCatName val="0"/>
          <c:showSerName val="0"/>
          <c:showPercent val="0"/>
          <c:showBubbleSize val="0"/>
        </c:dLbls>
        <c:marker val="1"/>
        <c:smooth val="0"/>
        <c:axId val="463409152"/>
        <c:axId val="463410688"/>
      </c:lineChart>
      <c:dateAx>
        <c:axId val="46340915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3410688"/>
        <c:crosses val="autoZero"/>
        <c:auto val="1"/>
        <c:lblOffset val="100"/>
        <c:baseTimeUnit val="days"/>
      </c:dateAx>
      <c:valAx>
        <c:axId val="46341068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34091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5910631320941762"/>
        </c:manualLayout>
      </c:layout>
      <c:lineChart>
        <c:grouping val="standard"/>
        <c:varyColors val="0"/>
        <c:ser>
          <c:idx val="0"/>
          <c:order val="0"/>
          <c:tx>
            <c:strRef>
              <c:f>'subscription charts'!$K$2</c:f>
              <c:strCache>
                <c:ptCount val="1"/>
                <c:pt idx="0">
                  <c:v>RDC T4 V-MAX 0347</c:v>
                </c:pt>
              </c:strCache>
            </c:strRef>
          </c:tx>
          <c:cat>
            <c:numRef>
              <c:f>'subscription charts'!$A$3:$A$69</c:f>
              <c:numCache>
                <c:formatCode>[$-409]d\-mmm\-yy;@</c:formatCode>
                <c:ptCount val="6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numCache>
            </c:numRef>
          </c:cat>
          <c:val>
            <c:numRef>
              <c:f>'subscription charts'!$K$3:$K$69</c:f>
              <c:numCache>
                <c:formatCode>0.00%</c:formatCode>
                <c:ptCount val="67"/>
                <c:pt idx="0">
                  <c:v>0.97657945331662421</c:v>
                </c:pt>
                <c:pt idx="1">
                  <c:v>0.97642897882458779</c:v>
                </c:pt>
                <c:pt idx="2">
                  <c:v>0.97642897882458779</c:v>
                </c:pt>
                <c:pt idx="3">
                  <c:v>0.97642897882458779</c:v>
                </c:pt>
                <c:pt idx="4">
                  <c:v>0.97642897882458779</c:v>
                </c:pt>
                <c:pt idx="5">
                  <c:v>0.99930110161412966</c:v>
                </c:pt>
                <c:pt idx="6">
                  <c:v>0.9977963566937651</c:v>
                </c:pt>
                <c:pt idx="7">
                  <c:v>0.9977963566937651</c:v>
                </c:pt>
                <c:pt idx="8">
                  <c:v>1.0000534740743121</c:v>
                </c:pt>
                <c:pt idx="9">
                  <c:v>0.99975252509023904</c:v>
                </c:pt>
                <c:pt idx="10">
                  <c:v>0.99704398423358287</c:v>
                </c:pt>
                <c:pt idx="11">
                  <c:v>0.99975252509023904</c:v>
                </c:pt>
                <c:pt idx="12">
                  <c:v>0.99629161177340042</c:v>
                </c:pt>
                <c:pt idx="13">
                  <c:v>0.98921931064768687</c:v>
                </c:pt>
                <c:pt idx="14">
                  <c:v>0.98741361674324946</c:v>
                </c:pt>
                <c:pt idx="15">
                  <c:v>0.99674303524950991</c:v>
                </c:pt>
                <c:pt idx="16">
                  <c:v>0.98590887182288478</c:v>
                </c:pt>
                <c:pt idx="17">
                  <c:v>1.0134457038655569</c:v>
                </c:pt>
                <c:pt idx="18">
                  <c:v>1.0268379336568019</c:v>
                </c:pt>
                <c:pt idx="19">
                  <c:v>1.0268379336568019</c:v>
                </c:pt>
                <c:pt idx="20">
                  <c:v>1.0257846122125467</c:v>
                </c:pt>
                <c:pt idx="21">
                  <c:v>1.0257846122125467</c:v>
                </c:pt>
                <c:pt idx="22">
                  <c:v>1.0257846122125467</c:v>
                </c:pt>
                <c:pt idx="23">
                  <c:v>1.0063734027398434</c:v>
                </c:pt>
                <c:pt idx="24">
                  <c:v>0.99584018829729115</c:v>
                </c:pt>
                <c:pt idx="25">
                  <c:v>0.99132595353619735</c:v>
                </c:pt>
                <c:pt idx="26">
                  <c:v>0.98952025963175982</c:v>
                </c:pt>
                <c:pt idx="27">
                  <c:v>0.90164315628246727</c:v>
                </c:pt>
                <c:pt idx="28">
                  <c:v>0.85003040551396147</c:v>
                </c:pt>
                <c:pt idx="29">
                  <c:v>0.81782886421815915</c:v>
                </c:pt>
                <c:pt idx="30">
                  <c:v>0.79769999999999996</c:v>
                </c:pt>
                <c:pt idx="31">
                  <c:v>0.75011534280175229</c:v>
                </c:pt>
                <c:pt idx="32">
                  <c:v>0.74499921007251257</c:v>
                </c:pt>
                <c:pt idx="33">
                  <c:v>0.74319351616807516</c:v>
                </c:pt>
                <c:pt idx="34">
                  <c:v>0.73341267418570522</c:v>
                </c:pt>
                <c:pt idx="35">
                  <c:v>0.73341267418570522</c:v>
                </c:pt>
                <c:pt idx="36">
                  <c:v>0.72498610263166341</c:v>
                </c:pt>
                <c:pt idx="37">
                  <c:v>0.71174434733245506</c:v>
                </c:pt>
                <c:pt idx="38">
                  <c:v>0.612581657080428</c:v>
                </c:pt>
                <c:pt idx="39">
                  <c:v>0.62085775414243327</c:v>
                </c:pt>
                <c:pt idx="40">
                  <c:v>1.5590790794280018</c:v>
                </c:pt>
                <c:pt idx="41">
                  <c:v>1.2133825744235605</c:v>
                </c:pt>
                <c:pt idx="42">
                  <c:v>1.2133825744235605</c:v>
                </c:pt>
                <c:pt idx="43">
                  <c:v>1.1886610189660332</c:v>
                </c:pt>
                <c:pt idx="44">
                  <c:v>0.89281289627758975</c:v>
                </c:pt>
                <c:pt idx="45">
                  <c:v>0.89281289627758975</c:v>
                </c:pt>
                <c:pt idx="46">
                  <c:v>0.33174045195141838</c:v>
                </c:pt>
                <c:pt idx="47">
                  <c:v>0.32202944722007371</c:v>
                </c:pt>
                <c:pt idx="48">
                  <c:v>0.2747274564319111</c:v>
                </c:pt>
                <c:pt idx="49">
                  <c:v>0.24747399154071814</c:v>
                </c:pt>
                <c:pt idx="50">
                  <c:v>0.24183534363219542</c:v>
                </c:pt>
                <c:pt idx="51">
                  <c:v>0.16555696775856901</c:v>
                </c:pt>
                <c:pt idx="52">
                  <c:v>0.11872486429611667</c:v>
                </c:pt>
                <c:pt idx="53">
                  <c:v>0.30358984137505007</c:v>
                </c:pt>
                <c:pt idx="54">
                  <c:v>0.23087617165463886</c:v>
                </c:pt>
                <c:pt idx="55">
                  <c:v>7.0483098856533644E-2</c:v>
                </c:pt>
                <c:pt idx="56">
                  <c:v>7.0483098856533644E-2</c:v>
                </c:pt>
                <c:pt idx="57">
                  <c:v>5.388041334810572E-2</c:v>
                </c:pt>
                <c:pt idx="58">
                  <c:v>5.419367156524587E-2</c:v>
                </c:pt>
                <c:pt idx="59">
                  <c:v>4.6988732571022429E-2</c:v>
                </c:pt>
                <c:pt idx="60">
                  <c:v>4.6988732571022429E-2</c:v>
                </c:pt>
                <c:pt idx="61">
                  <c:v>3.273548369114563E-2</c:v>
                </c:pt>
                <c:pt idx="62">
                  <c:v>2.2210789732717496E-2</c:v>
                </c:pt>
                <c:pt idx="63">
                  <c:v>2.2210789732717496E-2</c:v>
                </c:pt>
                <c:pt idx="64">
                  <c:v>2.2210789732717496E-2</c:v>
                </c:pt>
                <c:pt idx="65">
                  <c:v>2.2210789732717496E-2</c:v>
                </c:pt>
                <c:pt idx="66">
                  <c:v>2.2210789732717496E-2</c:v>
                </c:pt>
              </c:numCache>
            </c:numRef>
          </c:val>
          <c:smooth val="0"/>
        </c:ser>
        <c:dLbls>
          <c:showLegendKey val="0"/>
          <c:showVal val="0"/>
          <c:showCatName val="0"/>
          <c:showSerName val="0"/>
          <c:showPercent val="0"/>
          <c:showBubbleSize val="0"/>
        </c:dLbls>
        <c:marker val="1"/>
        <c:smooth val="0"/>
        <c:axId val="463438976"/>
        <c:axId val="463440512"/>
      </c:lineChart>
      <c:dateAx>
        <c:axId val="46343897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3440512"/>
        <c:crosses val="autoZero"/>
        <c:auto val="1"/>
        <c:lblOffset val="100"/>
        <c:baseTimeUnit val="days"/>
      </c:dateAx>
      <c:valAx>
        <c:axId val="46344051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34389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8146835614823733"/>
        </c:manualLayout>
      </c:layout>
      <c:lineChart>
        <c:grouping val="standard"/>
        <c:varyColors val="0"/>
        <c:ser>
          <c:idx val="0"/>
          <c:order val="0"/>
          <c:tx>
            <c:strRef>
              <c:f>'subscription charts'!$R$2</c:f>
              <c:strCache>
                <c:ptCount val="1"/>
                <c:pt idx="0">
                  <c:v>FDC T4 V-MAX 0349</c:v>
                </c:pt>
              </c:strCache>
            </c:strRef>
          </c:tx>
          <c:cat>
            <c:numRef>
              <c:f>'subscription charts'!$A$3:$A$69</c:f>
              <c:numCache>
                <c:formatCode>[$-409]d\-mmm\-yy;@</c:formatCode>
                <c:ptCount val="6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numCache>
            </c:numRef>
          </c:cat>
          <c:val>
            <c:numRef>
              <c:f>'subscription charts'!$R$3:$R$69</c:f>
              <c:numCache>
                <c:formatCode>0.00%</c:formatCode>
                <c:ptCount val="67"/>
                <c:pt idx="0">
                  <c:v>1.1007658768632602</c:v>
                </c:pt>
                <c:pt idx="1">
                  <c:v>1.1006373277710186</c:v>
                </c:pt>
                <c:pt idx="2">
                  <c:v>1.1164488661167131</c:v>
                </c:pt>
                <c:pt idx="3">
                  <c:v>1.1164488661167131</c:v>
                </c:pt>
                <c:pt idx="4">
                  <c:v>1.2335570891486447</c:v>
                </c:pt>
                <c:pt idx="5">
                  <c:v>1.2335570891486447</c:v>
                </c:pt>
                <c:pt idx="6">
                  <c:v>1.2335570891486447</c:v>
                </c:pt>
                <c:pt idx="7">
                  <c:v>1.2335570891486447</c:v>
                </c:pt>
                <c:pt idx="8">
                  <c:v>1.2356138746245076</c:v>
                </c:pt>
                <c:pt idx="9">
                  <c:v>1.2577243184900311</c:v>
                </c:pt>
                <c:pt idx="10">
                  <c:v>1.2577243184900311</c:v>
                </c:pt>
                <c:pt idx="11">
                  <c:v>1.2601667512426182</c:v>
                </c:pt>
                <c:pt idx="12">
                  <c:v>1.2601667512426182</c:v>
                </c:pt>
                <c:pt idx="13">
                  <c:v>1.2663371076702064</c:v>
                </c:pt>
                <c:pt idx="14">
                  <c:v>1.2663371076702064</c:v>
                </c:pt>
                <c:pt idx="15">
                  <c:v>1.2644088712865851</c:v>
                </c:pt>
                <c:pt idx="16">
                  <c:v>1.2993742243762505</c:v>
                </c:pt>
                <c:pt idx="17">
                  <c:v>1.2993742243762505</c:v>
                </c:pt>
                <c:pt idx="18">
                  <c:v>1.2974459879926292</c:v>
                </c:pt>
                <c:pt idx="19">
                  <c:v>1.2974459879926292</c:v>
                </c:pt>
                <c:pt idx="20">
                  <c:v>1.2995027734684921</c:v>
                </c:pt>
                <c:pt idx="21">
                  <c:v>1.2991171261917678</c:v>
                </c:pt>
                <c:pt idx="22">
                  <c:v>1.2991171261917678</c:v>
                </c:pt>
                <c:pt idx="23">
                  <c:v>1.3198562739809956</c:v>
                </c:pt>
                <c:pt idx="24">
                  <c:v>1.3099197631516188</c:v>
                </c:pt>
                <c:pt idx="25">
                  <c:v>1.3095275324609859</c:v>
                </c:pt>
                <c:pt idx="26">
                  <c:v>1.3040363027921198</c:v>
                </c:pt>
                <c:pt idx="27">
                  <c:v>1.2840325375698225</c:v>
                </c:pt>
                <c:pt idx="28">
                  <c:v>1.2624598495849919</c:v>
                </c:pt>
                <c:pt idx="29">
                  <c:v>1.4269496079817485</c:v>
                </c:pt>
                <c:pt idx="30">
                  <c:v>1.4160999999999999</c:v>
                </c:pt>
                <c:pt idx="31">
                  <c:v>1.3884281380204146</c:v>
                </c:pt>
                <c:pt idx="32">
                  <c:v>1.3837634287672846</c:v>
                </c:pt>
                <c:pt idx="33">
                  <c:v>1.3837634287672846</c:v>
                </c:pt>
                <c:pt idx="34">
                  <c:v>1.3052157439242524</c:v>
                </c:pt>
                <c:pt idx="35">
                  <c:v>1.3052157439242524</c:v>
                </c:pt>
                <c:pt idx="36">
                  <c:v>1.2916730396409712</c:v>
                </c:pt>
                <c:pt idx="37">
                  <c:v>1.1625659254736886</c:v>
                </c:pt>
                <c:pt idx="38">
                  <c:v>1.1618135530135063</c:v>
                </c:pt>
                <c:pt idx="39">
                  <c:v>1.1618135530135063</c:v>
                </c:pt>
                <c:pt idx="40">
                  <c:v>3.0683097765400058</c:v>
                </c:pt>
                <c:pt idx="41">
                  <c:v>2.7712458396487332</c:v>
                </c:pt>
                <c:pt idx="42">
                  <c:v>2.7141025721157597</c:v>
                </c:pt>
                <c:pt idx="43">
                  <c:v>2.671549075016737</c:v>
                </c:pt>
                <c:pt idx="44">
                  <c:v>2.2926203151349638</c:v>
                </c:pt>
                <c:pt idx="45">
                  <c:v>2.2926203151349638</c:v>
                </c:pt>
                <c:pt idx="46">
                  <c:v>0.34693347548271558</c:v>
                </c:pt>
                <c:pt idx="47">
                  <c:v>0.31075215140302831</c:v>
                </c:pt>
                <c:pt idx="48">
                  <c:v>9.7266676422016418E-2</c:v>
                </c:pt>
                <c:pt idx="49">
                  <c:v>0.56715400213224076</c:v>
                </c:pt>
                <c:pt idx="50">
                  <c:v>0.55979243402944723</c:v>
                </c:pt>
                <c:pt idx="51">
                  <c:v>0.46550171067026219</c:v>
                </c:pt>
                <c:pt idx="52">
                  <c:v>0.48836956052149311</c:v>
                </c:pt>
                <c:pt idx="53">
                  <c:v>1.2620151425367294</c:v>
                </c:pt>
                <c:pt idx="54">
                  <c:v>1.2445884722961771</c:v>
                </c:pt>
                <c:pt idx="55">
                  <c:v>0.46691137264739285</c:v>
                </c:pt>
                <c:pt idx="56">
                  <c:v>0.46691137264739285</c:v>
                </c:pt>
                <c:pt idx="57">
                  <c:v>0.44451341012187212</c:v>
                </c:pt>
                <c:pt idx="58">
                  <c:v>0.39313906251088765</c:v>
                </c:pt>
                <c:pt idx="59">
                  <c:v>0.37825929719673052</c:v>
                </c:pt>
                <c:pt idx="60">
                  <c:v>0.37825929719673052</c:v>
                </c:pt>
                <c:pt idx="61">
                  <c:v>0.22852186940373906</c:v>
                </c:pt>
                <c:pt idx="62">
                  <c:v>5.1059286741879303E-2</c:v>
                </c:pt>
                <c:pt idx="63">
                  <c:v>5.1059286741879303E-2</c:v>
                </c:pt>
                <c:pt idx="64">
                  <c:v>5.1059286741879303E-2</c:v>
                </c:pt>
                <c:pt idx="65">
                  <c:v>5.1059286741879303E-2</c:v>
                </c:pt>
                <c:pt idx="66">
                  <c:v>5.3612251078973272E-3</c:v>
                </c:pt>
              </c:numCache>
            </c:numRef>
          </c:val>
          <c:smooth val="0"/>
        </c:ser>
        <c:dLbls>
          <c:showLegendKey val="0"/>
          <c:showVal val="0"/>
          <c:showCatName val="0"/>
          <c:showSerName val="0"/>
          <c:showPercent val="0"/>
          <c:showBubbleSize val="0"/>
        </c:dLbls>
        <c:marker val="1"/>
        <c:smooth val="0"/>
        <c:axId val="463460608"/>
        <c:axId val="463540224"/>
      </c:lineChart>
      <c:dateAx>
        <c:axId val="4634606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3540224"/>
        <c:crosses val="autoZero"/>
        <c:auto val="1"/>
        <c:lblOffset val="100"/>
        <c:baseTimeUnit val="days"/>
      </c:dateAx>
      <c:valAx>
        <c:axId val="463540224"/>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34606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156"/>
        </c:manualLayout>
      </c:layout>
      <c:lineChart>
        <c:grouping val="standard"/>
        <c:varyColors val="0"/>
        <c:ser>
          <c:idx val="0"/>
          <c:order val="0"/>
          <c:tx>
            <c:strRef>
              <c:f>'subscription charts'!$U$2</c:f>
              <c:strCache>
                <c:ptCount val="1"/>
                <c:pt idx="0">
                  <c:v>FDC T3 VMAX 667</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charts'!$U$3:$U$44</c:f>
              <c:numCache>
                <c:formatCode>0.00%</c:formatCode>
                <c:ptCount val="42"/>
                <c:pt idx="0">
                  <c:v>0.62916361127827269</c:v>
                </c:pt>
                <c:pt idx="1">
                  <c:v>0.62916361127827269</c:v>
                </c:pt>
                <c:pt idx="2">
                  <c:v>0.62916361127827269</c:v>
                </c:pt>
                <c:pt idx="3">
                  <c:v>0.62916361127827269</c:v>
                </c:pt>
                <c:pt idx="4">
                  <c:v>0.6242147627364929</c:v>
                </c:pt>
                <c:pt idx="5">
                  <c:v>0.6242147627364929</c:v>
                </c:pt>
                <c:pt idx="6">
                  <c:v>0.6242147627364929</c:v>
                </c:pt>
                <c:pt idx="7">
                  <c:v>0.6242147627364929</c:v>
                </c:pt>
                <c:pt idx="8">
                  <c:v>0.6242147627364929</c:v>
                </c:pt>
                <c:pt idx="9">
                  <c:v>0.6242147627364929</c:v>
                </c:pt>
                <c:pt idx="10">
                  <c:v>0.6242147627364929</c:v>
                </c:pt>
                <c:pt idx="11">
                  <c:v>0.6242147627364929</c:v>
                </c:pt>
                <c:pt idx="12">
                  <c:v>0.6242147627364929</c:v>
                </c:pt>
                <c:pt idx="13">
                  <c:v>0.6242147627364929</c:v>
                </c:pt>
                <c:pt idx="14">
                  <c:v>0.61761629801411977</c:v>
                </c:pt>
                <c:pt idx="15">
                  <c:v>0.61761629801411977</c:v>
                </c:pt>
                <c:pt idx="16">
                  <c:v>0.61761629801411977</c:v>
                </c:pt>
                <c:pt idx="17">
                  <c:v>0.61629660506964523</c:v>
                </c:pt>
                <c:pt idx="18">
                  <c:v>0.61629660506964523</c:v>
                </c:pt>
                <c:pt idx="19">
                  <c:v>0.61629660506964523</c:v>
                </c:pt>
                <c:pt idx="20">
                  <c:v>0.61299737270845867</c:v>
                </c:pt>
                <c:pt idx="21">
                  <c:v>0.61299737270845867</c:v>
                </c:pt>
                <c:pt idx="22">
                  <c:v>0.61299737270845867</c:v>
                </c:pt>
                <c:pt idx="23">
                  <c:v>0.61299737270845867</c:v>
                </c:pt>
                <c:pt idx="24">
                  <c:v>0.61299737270845867</c:v>
                </c:pt>
                <c:pt idx="25">
                  <c:v>0.6096981403472721</c:v>
                </c:pt>
                <c:pt idx="26">
                  <c:v>0.6096981403472721</c:v>
                </c:pt>
                <c:pt idx="27">
                  <c:v>0.6096981403472721</c:v>
                </c:pt>
                <c:pt idx="28">
                  <c:v>0.6096981403472721</c:v>
                </c:pt>
                <c:pt idx="29">
                  <c:v>0.6096981403472721</c:v>
                </c:pt>
                <c:pt idx="30">
                  <c:v>0.39389999999999997</c:v>
                </c:pt>
                <c:pt idx="31">
                  <c:v>0.38831964891165549</c:v>
                </c:pt>
                <c:pt idx="32">
                  <c:v>0.38831964891165549</c:v>
                </c:pt>
                <c:pt idx="33">
                  <c:v>0.38831964891165549</c:v>
                </c:pt>
                <c:pt idx="34">
                  <c:v>0.38337080036987564</c:v>
                </c:pt>
                <c:pt idx="35">
                  <c:v>0.38337080036987564</c:v>
                </c:pt>
                <c:pt idx="36">
                  <c:v>0.24843219679734627</c:v>
                </c:pt>
                <c:pt idx="37">
                  <c:v>0.21445010347712495</c:v>
                </c:pt>
                <c:pt idx="38">
                  <c:v>0.21115087111593839</c:v>
                </c:pt>
                <c:pt idx="39">
                  <c:v>0.21508975828557186</c:v>
                </c:pt>
                <c:pt idx="40">
                  <c:v>2.6886219785696483E-2</c:v>
                </c:pt>
                <c:pt idx="41">
                  <c:v>2.2181131323199602E-2</c:v>
                </c:pt>
              </c:numCache>
            </c:numRef>
          </c:val>
          <c:smooth val="0"/>
        </c:ser>
        <c:dLbls>
          <c:showLegendKey val="0"/>
          <c:showVal val="0"/>
          <c:showCatName val="0"/>
          <c:showSerName val="0"/>
          <c:showPercent val="0"/>
          <c:showBubbleSize val="0"/>
        </c:dLbls>
        <c:marker val="1"/>
        <c:smooth val="0"/>
        <c:axId val="463572992"/>
        <c:axId val="463574528"/>
      </c:lineChart>
      <c:dateAx>
        <c:axId val="4635729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3574528"/>
        <c:crosses val="autoZero"/>
        <c:auto val="1"/>
        <c:lblOffset val="100"/>
        <c:baseTimeUnit val="days"/>
      </c:dateAx>
      <c:valAx>
        <c:axId val="463574528"/>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35729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8571716658585938"/>
          <c:y val="3.7636257810872417E-2"/>
        </c:manualLayout>
      </c:layout>
      <c:overlay val="0"/>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2006925991853179"/>
          <c:y val="0.20469537052550021"/>
          <c:w val="0.70240037799843069"/>
          <c:h val="0.59306430429154156"/>
        </c:manualLayout>
      </c:layout>
      <c:lineChart>
        <c:grouping val="standard"/>
        <c:varyColors val="0"/>
        <c:ser>
          <c:idx val="0"/>
          <c:order val="0"/>
          <c:tx>
            <c:strRef>
              <c:f>'subscription charts'!$V$2</c:f>
              <c:strCache>
                <c:ptCount val="1"/>
                <c:pt idx="0">
                  <c:v>RDC T3 VMAX 0671</c:v>
                </c:pt>
              </c:strCache>
            </c:strRef>
          </c:tx>
          <c:cat>
            <c:numRef>
              <c:f>'subscription charts'!$A$3:$A$109</c:f>
              <c:numCache>
                <c:formatCode>[$-409]d\-mmm\-yy;@</c:formatCode>
                <c:ptCount val="107"/>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pt idx="45">
                  <c:v>41626</c:v>
                </c:pt>
                <c:pt idx="46">
                  <c:v>41617</c:v>
                </c:pt>
                <c:pt idx="47">
                  <c:v>41610</c:v>
                </c:pt>
                <c:pt idx="48">
                  <c:v>41603</c:v>
                </c:pt>
                <c:pt idx="49">
                  <c:v>41596</c:v>
                </c:pt>
                <c:pt idx="50">
                  <c:v>41589</c:v>
                </c:pt>
                <c:pt idx="51">
                  <c:v>41561</c:v>
                </c:pt>
                <c:pt idx="52">
                  <c:v>41548</c:v>
                </c:pt>
                <c:pt idx="53">
                  <c:v>41541</c:v>
                </c:pt>
                <c:pt idx="54">
                  <c:v>41534</c:v>
                </c:pt>
                <c:pt idx="55">
                  <c:v>41519</c:v>
                </c:pt>
                <c:pt idx="56">
                  <c:v>41513</c:v>
                </c:pt>
                <c:pt idx="57">
                  <c:v>41498</c:v>
                </c:pt>
                <c:pt idx="58">
                  <c:v>41491</c:v>
                </c:pt>
                <c:pt idx="59">
                  <c:v>41485</c:v>
                </c:pt>
                <c:pt idx="60">
                  <c:v>41478</c:v>
                </c:pt>
                <c:pt idx="61">
                  <c:v>41470</c:v>
                </c:pt>
                <c:pt idx="62">
                  <c:v>41464</c:v>
                </c:pt>
                <c:pt idx="63">
                  <c:v>41449</c:v>
                </c:pt>
                <c:pt idx="64">
                  <c:v>41445</c:v>
                </c:pt>
                <c:pt idx="65">
                  <c:v>41443</c:v>
                </c:pt>
                <c:pt idx="66">
                  <c:v>41437</c:v>
                </c:pt>
                <c:pt idx="67">
                  <c:v>41430</c:v>
                </c:pt>
                <c:pt idx="68">
                  <c:v>41428</c:v>
                </c:pt>
                <c:pt idx="69">
                  <c:v>41423</c:v>
                </c:pt>
                <c:pt idx="70">
                  <c:v>41422</c:v>
                </c:pt>
                <c:pt idx="71">
                  <c:v>41414</c:v>
                </c:pt>
                <c:pt idx="72">
                  <c:v>41408</c:v>
                </c:pt>
                <c:pt idx="73">
                  <c:v>41401</c:v>
                </c:pt>
                <c:pt idx="74">
                  <c:v>41395</c:v>
                </c:pt>
                <c:pt idx="75">
                  <c:v>41393</c:v>
                </c:pt>
                <c:pt idx="76">
                  <c:v>41390</c:v>
                </c:pt>
                <c:pt idx="77">
                  <c:v>41387</c:v>
                </c:pt>
                <c:pt idx="78">
                  <c:v>41383</c:v>
                </c:pt>
                <c:pt idx="79">
                  <c:v>41379</c:v>
                </c:pt>
                <c:pt idx="80">
                  <c:v>41374</c:v>
                </c:pt>
                <c:pt idx="81">
                  <c:v>41373</c:v>
                </c:pt>
                <c:pt idx="82">
                  <c:v>41361</c:v>
                </c:pt>
                <c:pt idx="83">
                  <c:v>41359</c:v>
                </c:pt>
                <c:pt idx="84">
                  <c:v>41355</c:v>
                </c:pt>
                <c:pt idx="85">
                  <c:v>41353</c:v>
                </c:pt>
                <c:pt idx="86">
                  <c:v>41351</c:v>
                </c:pt>
                <c:pt idx="87">
                  <c:v>41347</c:v>
                </c:pt>
                <c:pt idx="88">
                  <c:v>41345</c:v>
                </c:pt>
                <c:pt idx="89">
                  <c:v>41344</c:v>
                </c:pt>
                <c:pt idx="90">
                  <c:v>41341</c:v>
                </c:pt>
                <c:pt idx="91">
                  <c:v>41340</c:v>
                </c:pt>
                <c:pt idx="92">
                  <c:v>41337</c:v>
                </c:pt>
                <c:pt idx="93">
                  <c:v>41334</c:v>
                </c:pt>
                <c:pt idx="94">
                  <c:v>41330</c:v>
                </c:pt>
                <c:pt idx="95">
                  <c:v>41327</c:v>
                </c:pt>
                <c:pt idx="96">
                  <c:v>41326</c:v>
                </c:pt>
                <c:pt idx="97">
                  <c:v>41323</c:v>
                </c:pt>
                <c:pt idx="98">
                  <c:v>41310</c:v>
                </c:pt>
                <c:pt idx="99">
                  <c:v>41304</c:v>
                </c:pt>
                <c:pt idx="100">
                  <c:v>41297</c:v>
                </c:pt>
                <c:pt idx="101">
                  <c:v>41296</c:v>
                </c:pt>
                <c:pt idx="102">
                  <c:v>41292</c:v>
                </c:pt>
                <c:pt idx="103">
                  <c:v>41289</c:v>
                </c:pt>
                <c:pt idx="104">
                  <c:v>41285</c:v>
                </c:pt>
                <c:pt idx="105">
                  <c:v>41283</c:v>
                </c:pt>
                <c:pt idx="106">
                  <c:v>41281</c:v>
                </c:pt>
              </c:numCache>
            </c:numRef>
          </c:cat>
          <c:val>
            <c:numRef>
              <c:f>'subscription charts'!$V$3:$V$44</c:f>
              <c:numCache>
                <c:formatCode>0.00%</c:formatCode>
                <c:ptCount val="42"/>
                <c:pt idx="0">
                  <c:v>0.40074812705701529</c:v>
                </c:pt>
                <c:pt idx="1">
                  <c:v>0.40074812705701529</c:v>
                </c:pt>
                <c:pt idx="2">
                  <c:v>0.40074812705701529</c:v>
                </c:pt>
                <c:pt idx="3">
                  <c:v>0.40074812705701529</c:v>
                </c:pt>
                <c:pt idx="4">
                  <c:v>0.39833398171329831</c:v>
                </c:pt>
                <c:pt idx="5">
                  <c:v>0.39833398171329831</c:v>
                </c:pt>
                <c:pt idx="6">
                  <c:v>0.39962152589661404</c:v>
                </c:pt>
                <c:pt idx="7">
                  <c:v>0.40622018983610703</c:v>
                </c:pt>
                <c:pt idx="8">
                  <c:v>0.40622018983610703</c:v>
                </c:pt>
                <c:pt idx="9">
                  <c:v>0.40622018983610703</c:v>
                </c:pt>
                <c:pt idx="10">
                  <c:v>0.40622018983610703</c:v>
                </c:pt>
                <c:pt idx="11">
                  <c:v>0.40622018983610703</c:v>
                </c:pt>
                <c:pt idx="12">
                  <c:v>0.40622018983610703</c:v>
                </c:pt>
                <c:pt idx="13">
                  <c:v>0.40622018983610703</c:v>
                </c:pt>
                <c:pt idx="14">
                  <c:v>0.4030013293778178</c:v>
                </c:pt>
                <c:pt idx="15">
                  <c:v>0.4030013293778178</c:v>
                </c:pt>
                <c:pt idx="16">
                  <c:v>0.4030013293778178</c:v>
                </c:pt>
                <c:pt idx="17">
                  <c:v>0.40235755728615991</c:v>
                </c:pt>
                <c:pt idx="18">
                  <c:v>0.40235755728615991</c:v>
                </c:pt>
                <c:pt idx="19">
                  <c:v>0.40235755728615991</c:v>
                </c:pt>
                <c:pt idx="20">
                  <c:v>0.40074812705701529</c:v>
                </c:pt>
                <c:pt idx="21">
                  <c:v>0.40074812705701529</c:v>
                </c:pt>
                <c:pt idx="22">
                  <c:v>0.40074812705701529</c:v>
                </c:pt>
                <c:pt idx="23">
                  <c:v>0.40074812705701529</c:v>
                </c:pt>
                <c:pt idx="24">
                  <c:v>0.40074812705701529</c:v>
                </c:pt>
                <c:pt idx="25">
                  <c:v>0.39913869682787068</c:v>
                </c:pt>
                <c:pt idx="26">
                  <c:v>0.39913869682787068</c:v>
                </c:pt>
                <c:pt idx="27">
                  <c:v>0.39913869682787068</c:v>
                </c:pt>
                <c:pt idx="28">
                  <c:v>0.39913869682787068</c:v>
                </c:pt>
                <c:pt idx="29">
                  <c:v>0.39913869682787068</c:v>
                </c:pt>
                <c:pt idx="30">
                  <c:v>0.19220000000000001</c:v>
                </c:pt>
                <c:pt idx="31">
                  <c:v>0.18942993797032409</c:v>
                </c:pt>
                <c:pt idx="32">
                  <c:v>0.18942993797032409</c:v>
                </c:pt>
                <c:pt idx="33">
                  <c:v>0.18942993797032409</c:v>
                </c:pt>
                <c:pt idx="34">
                  <c:v>0.18701579262660711</c:v>
                </c:pt>
                <c:pt idx="35">
                  <c:v>0.18701579262660711</c:v>
                </c:pt>
                <c:pt idx="36">
                  <c:v>0.12119009625459136</c:v>
                </c:pt>
                <c:pt idx="37">
                  <c:v>0.10461296489440157</c:v>
                </c:pt>
                <c:pt idx="38">
                  <c:v>0.10300353466525693</c:v>
                </c:pt>
                <c:pt idx="39">
                  <c:v>0.10393199277543647</c:v>
                </c:pt>
                <c:pt idx="40">
                  <c:v>0.10393199277543647</c:v>
                </c:pt>
                <c:pt idx="41">
                  <c:v>0</c:v>
                </c:pt>
              </c:numCache>
            </c:numRef>
          </c:val>
          <c:smooth val="0"/>
        </c:ser>
        <c:dLbls>
          <c:showLegendKey val="0"/>
          <c:showVal val="0"/>
          <c:showCatName val="0"/>
          <c:showSerName val="0"/>
          <c:showPercent val="0"/>
          <c:showBubbleSize val="0"/>
        </c:dLbls>
        <c:marker val="1"/>
        <c:smooth val="0"/>
        <c:axId val="463591296"/>
        <c:axId val="463592832"/>
      </c:lineChart>
      <c:dateAx>
        <c:axId val="46359129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3592832"/>
        <c:crosses val="autoZero"/>
        <c:auto val="1"/>
        <c:lblOffset val="100"/>
        <c:baseTimeUnit val="days"/>
      </c:dateAx>
      <c:valAx>
        <c:axId val="463592832"/>
        <c:scaling>
          <c:orientation val="minMax"/>
        </c:scaling>
        <c:delete val="0"/>
        <c:axPos val="l"/>
        <c:majorGridlines/>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35912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5760320915278594"/>
          <c:y val="0.19166340015358338"/>
          <c:w val="0.78659097286547364"/>
          <c:h val="0.60212245410911736"/>
        </c:manualLayout>
      </c:layout>
      <c:lineChart>
        <c:grouping val="stacked"/>
        <c:varyColors val="0"/>
        <c:ser>
          <c:idx val="0"/>
          <c:order val="0"/>
          <c:tx>
            <c:strRef>
              <c:f>'Allocated charts'!$B$2</c:f>
              <c:strCache>
                <c:ptCount val="1"/>
                <c:pt idx="0">
                  <c:v>CGC T4 V-MAX 0623</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charts'!$B$41:$B$108</c:f>
              <c:numCache>
                <c:formatCode>0</c:formatCode>
                <c:ptCount val="68"/>
                <c:pt idx="0">
                  <c:v>184.88374511718749</c:v>
                </c:pt>
                <c:pt idx="1">
                  <c:v>184.88374511718749</c:v>
                </c:pt>
                <c:pt idx="2">
                  <c:v>184.88374511718749</c:v>
                </c:pt>
                <c:pt idx="3">
                  <c:v>183.5996015625</c:v>
                </c:pt>
                <c:pt idx="4">
                  <c:v>183.5996015625</c:v>
                </c:pt>
                <c:pt idx="5">
                  <c:v>183.5996015625</c:v>
                </c:pt>
                <c:pt idx="6">
                  <c:v>182.216677734375</c:v>
                </c:pt>
                <c:pt idx="7">
                  <c:v>182.216677734375</c:v>
                </c:pt>
                <c:pt idx="8">
                  <c:v>182.216677734375</c:v>
                </c:pt>
                <c:pt idx="9">
                  <c:v>184.65325781249999</c:v>
                </c:pt>
                <c:pt idx="10">
                  <c:v>184.35691699218751</c:v>
                </c:pt>
                <c:pt idx="11">
                  <c:v>184.35691699218751</c:v>
                </c:pt>
                <c:pt idx="12">
                  <c:v>184.35691699218751</c:v>
                </c:pt>
                <c:pt idx="13">
                  <c:v>183.56667480468749</c:v>
                </c:pt>
                <c:pt idx="14">
                  <c:v>183.56667480468749</c:v>
                </c:pt>
                <c:pt idx="15">
                  <c:v>183.56667480468749</c:v>
                </c:pt>
                <c:pt idx="16">
                  <c:v>183.33618749999999</c:v>
                </c:pt>
                <c:pt idx="17">
                  <c:v>181.36058203125</c:v>
                </c:pt>
                <c:pt idx="18">
                  <c:v>180.57033984374999</c:v>
                </c:pt>
                <c:pt idx="19">
                  <c:v>180.07643847656249</c:v>
                </c:pt>
                <c:pt idx="20">
                  <c:v>180.07643847656249</c:v>
                </c:pt>
                <c:pt idx="21">
                  <c:v>180.07643847656249</c:v>
                </c:pt>
                <c:pt idx="22">
                  <c:v>180.07643847656249</c:v>
                </c:pt>
                <c:pt idx="23">
                  <c:v>180.07643847656249</c:v>
                </c:pt>
                <c:pt idx="24">
                  <c:v>178.98985546874999</c:v>
                </c:pt>
                <c:pt idx="25">
                  <c:v>178.98985546874999</c:v>
                </c:pt>
                <c:pt idx="26">
                  <c:v>178.00205273437498</c:v>
                </c:pt>
                <c:pt idx="27">
                  <c:v>178.00205273437498</c:v>
                </c:pt>
                <c:pt idx="28">
                  <c:v>175.79595996093749</c:v>
                </c:pt>
                <c:pt idx="29">
                  <c:v>175.79595996093749</c:v>
                </c:pt>
                <c:pt idx="30">
                  <c:v>175.79595996093749</c:v>
                </c:pt>
                <c:pt idx="31">
                  <c:v>175.79595996093749</c:v>
                </c:pt>
                <c:pt idx="32">
                  <c:v>175.79595996093749</c:v>
                </c:pt>
                <c:pt idx="33">
                  <c:v>175.73010644531249</c:v>
                </c:pt>
                <c:pt idx="34">
                  <c:v>174.34718261718749</c:v>
                </c:pt>
                <c:pt idx="35">
                  <c:v>172.14108984375</c:v>
                </c:pt>
                <c:pt idx="36">
                  <c:v>188.04471386718748</c:v>
                </c:pt>
                <c:pt idx="37">
                  <c:v>188.04471386718748</c:v>
                </c:pt>
                <c:pt idx="38">
                  <c:v>188.04471386718748</c:v>
                </c:pt>
                <c:pt idx="39">
                  <c:v>187.748373046875</c:v>
                </c:pt>
                <c:pt idx="40">
                  <c:v>187.748373046875</c:v>
                </c:pt>
                <c:pt idx="41">
                  <c:v>187.748373046875</c:v>
                </c:pt>
                <c:pt idx="42">
                  <c:v>187.748373046875</c:v>
                </c:pt>
                <c:pt idx="43">
                  <c:v>187.748373046875</c:v>
                </c:pt>
                <c:pt idx="44">
                  <c:v>187.748373046875</c:v>
                </c:pt>
                <c:pt idx="45">
                  <c:v>187.748373046875</c:v>
                </c:pt>
                <c:pt idx="46">
                  <c:v>187.748373046875</c:v>
                </c:pt>
                <c:pt idx="47">
                  <c:v>187.748373046875</c:v>
                </c:pt>
                <c:pt idx="48">
                  <c:v>187.748373046875</c:v>
                </c:pt>
                <c:pt idx="49">
                  <c:v>187.748373046875</c:v>
                </c:pt>
                <c:pt idx="50">
                  <c:v>187.748373046875</c:v>
                </c:pt>
                <c:pt idx="51">
                  <c:v>187.748373046875</c:v>
                </c:pt>
                <c:pt idx="52">
                  <c:v>186.8759765625</c:v>
                </c:pt>
                <c:pt idx="53">
                  <c:v>185.65757812499999</c:v>
                </c:pt>
                <c:pt idx="54">
                  <c:v>185.65757812499999</c:v>
                </c:pt>
                <c:pt idx="55">
                  <c:v>185.65757812499999</c:v>
                </c:pt>
                <c:pt idx="56">
                  <c:v>185.65757812499999</c:v>
                </c:pt>
                <c:pt idx="57">
                  <c:v>185.65757812499999</c:v>
                </c:pt>
                <c:pt idx="58">
                  <c:v>185.65757812499999</c:v>
                </c:pt>
                <c:pt idx="59">
                  <c:v>185.65757812499999</c:v>
                </c:pt>
                <c:pt idx="60">
                  <c:v>185.03191406249999</c:v>
                </c:pt>
                <c:pt idx="61">
                  <c:v>185.03191406249999</c:v>
                </c:pt>
                <c:pt idx="62">
                  <c:v>184.90019531249999</c:v>
                </c:pt>
                <c:pt idx="63">
                  <c:v>184.90019531249999</c:v>
                </c:pt>
                <c:pt idx="64">
                  <c:v>185.06484374999999</c:v>
                </c:pt>
                <c:pt idx="65">
                  <c:v>185.06484374999999</c:v>
                </c:pt>
                <c:pt idx="66">
                  <c:v>181.179140625</c:v>
                </c:pt>
                <c:pt idx="67">
                  <c:v>181.179140625</c:v>
                </c:pt>
              </c:numCache>
            </c:numRef>
          </c:val>
          <c:smooth val="0"/>
        </c:ser>
        <c:dLbls>
          <c:showLegendKey val="0"/>
          <c:showVal val="0"/>
          <c:showCatName val="0"/>
          <c:showSerName val="0"/>
          <c:showPercent val="0"/>
          <c:showBubbleSize val="0"/>
        </c:dLbls>
        <c:marker val="1"/>
        <c:smooth val="0"/>
        <c:axId val="470643840"/>
        <c:axId val="470645376"/>
      </c:lineChart>
      <c:dateAx>
        <c:axId val="4706438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0645376"/>
        <c:crosses val="autoZero"/>
        <c:auto val="1"/>
        <c:lblOffset val="100"/>
        <c:baseTimeUnit val="days"/>
      </c:dateAx>
      <c:valAx>
        <c:axId val="47064537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0643840"/>
        <c:crosses val="autoZero"/>
        <c:crossBetween val="between"/>
      </c:valAx>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00" b="1" i="0" u="none" strike="noStrike" baseline="0">
                <a:solidFill>
                  <a:srgbClr val="000000"/>
                </a:solidFill>
                <a:latin typeface="Calibri"/>
                <a:ea typeface="Calibri"/>
                <a:cs typeface="Calibri"/>
              </a:defRPr>
            </a:pPr>
            <a:r>
              <a:rPr lang="en-GB" sz="1500"/>
              <a:t>CGC Tier 3 VMAX 745 (TB Allocated)</a:t>
            </a:r>
          </a:p>
        </c:rich>
      </c:tx>
      <c:layout>
        <c:manualLayout>
          <c:xMode val="edge"/>
          <c:yMode val="edge"/>
          <c:x val="0.13494546515020353"/>
          <c:y val="4.7197535090722414E-2"/>
        </c:manualLayout>
      </c:layout>
      <c:overlay val="0"/>
      <c:spPr>
        <a:noFill/>
        <a:ln w="25400">
          <a:noFill/>
        </a:ln>
      </c:spPr>
    </c:title>
    <c:autoTitleDeleted val="0"/>
    <c:plotArea>
      <c:layout/>
      <c:lineChart>
        <c:grouping val="standard"/>
        <c:varyColors val="0"/>
        <c:ser>
          <c:idx val="0"/>
          <c:order val="0"/>
          <c:tx>
            <c:strRef>
              <c:f>'Allocated charts'!$C$2</c:f>
              <c:strCache>
                <c:ptCount val="1"/>
                <c:pt idx="0">
                  <c:v>CGC T3 V-MAX 0745</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charts'!$C$41:$C$108</c:f>
              <c:numCache>
                <c:formatCode>0</c:formatCode>
                <c:ptCount val="68"/>
                <c:pt idx="0">
                  <c:v>96.771741210937492</c:v>
                </c:pt>
                <c:pt idx="1">
                  <c:v>86.235178710937504</c:v>
                </c:pt>
                <c:pt idx="2">
                  <c:v>86.235178710937504</c:v>
                </c:pt>
                <c:pt idx="3">
                  <c:v>83.963232421874991</c:v>
                </c:pt>
                <c:pt idx="4">
                  <c:v>83.963232421874991</c:v>
                </c:pt>
                <c:pt idx="5">
                  <c:v>94.499794921874994</c:v>
                </c:pt>
                <c:pt idx="6">
                  <c:v>94.335161132812502</c:v>
                </c:pt>
                <c:pt idx="7">
                  <c:v>94.335161132812502</c:v>
                </c:pt>
                <c:pt idx="8">
                  <c:v>94.335161132812502</c:v>
                </c:pt>
                <c:pt idx="9">
                  <c:v>94.335161132812502</c:v>
                </c:pt>
                <c:pt idx="10">
                  <c:v>94.335161132812502</c:v>
                </c:pt>
                <c:pt idx="11">
                  <c:v>94.335161132812502</c:v>
                </c:pt>
                <c:pt idx="12">
                  <c:v>94.335161132812502</c:v>
                </c:pt>
                <c:pt idx="13">
                  <c:v>94.335161132812502</c:v>
                </c:pt>
                <c:pt idx="14">
                  <c:v>94.335161132812502</c:v>
                </c:pt>
                <c:pt idx="15">
                  <c:v>94.335161132812502</c:v>
                </c:pt>
                <c:pt idx="16">
                  <c:v>94.335161132812502</c:v>
                </c:pt>
                <c:pt idx="17">
                  <c:v>92.227848632812496</c:v>
                </c:pt>
                <c:pt idx="18">
                  <c:v>91.832727539062503</c:v>
                </c:pt>
                <c:pt idx="19">
                  <c:v>91.240045898437501</c:v>
                </c:pt>
                <c:pt idx="20">
                  <c:v>92.030288085937499</c:v>
                </c:pt>
                <c:pt idx="21">
                  <c:v>91.832727539062503</c:v>
                </c:pt>
                <c:pt idx="22">
                  <c:v>91.602240234375003</c:v>
                </c:pt>
                <c:pt idx="23">
                  <c:v>91.602240234375003</c:v>
                </c:pt>
                <c:pt idx="24">
                  <c:v>90.680291015625002</c:v>
                </c:pt>
                <c:pt idx="25">
                  <c:v>90.680291015625002</c:v>
                </c:pt>
                <c:pt idx="26">
                  <c:v>88.935172851562498</c:v>
                </c:pt>
                <c:pt idx="27">
                  <c:v>88.935172851562498</c:v>
                </c:pt>
                <c:pt idx="28">
                  <c:v>88.474198242187498</c:v>
                </c:pt>
                <c:pt idx="29">
                  <c:v>88.342491210937496</c:v>
                </c:pt>
                <c:pt idx="30">
                  <c:v>88.342491210937496</c:v>
                </c:pt>
                <c:pt idx="31">
                  <c:v>88.342491210937496</c:v>
                </c:pt>
                <c:pt idx="32">
                  <c:v>88.342491210937496</c:v>
                </c:pt>
                <c:pt idx="33">
                  <c:v>87.354688476562501</c:v>
                </c:pt>
                <c:pt idx="34">
                  <c:v>87.354688476562501</c:v>
                </c:pt>
                <c:pt idx="35">
                  <c:v>87.157127929687491</c:v>
                </c:pt>
                <c:pt idx="36">
                  <c:v>87.157127929687491</c:v>
                </c:pt>
                <c:pt idx="37">
                  <c:v>87.157127929687491</c:v>
                </c:pt>
                <c:pt idx="38">
                  <c:v>87.157127929687491</c:v>
                </c:pt>
                <c:pt idx="39">
                  <c:v>87.157127929687491</c:v>
                </c:pt>
                <c:pt idx="40">
                  <c:v>87.157127929687491</c:v>
                </c:pt>
                <c:pt idx="41">
                  <c:v>87.157127929687491</c:v>
                </c:pt>
                <c:pt idx="42">
                  <c:v>87.157127929687491</c:v>
                </c:pt>
                <c:pt idx="43">
                  <c:v>87.157127929687491</c:v>
                </c:pt>
                <c:pt idx="44">
                  <c:v>87.157127929687491</c:v>
                </c:pt>
                <c:pt idx="45">
                  <c:v>87.157127929687491</c:v>
                </c:pt>
                <c:pt idx="46">
                  <c:v>87.157127929687491</c:v>
                </c:pt>
                <c:pt idx="47">
                  <c:v>87.157127929687491</c:v>
                </c:pt>
                <c:pt idx="48">
                  <c:v>87.157127929687491</c:v>
                </c:pt>
                <c:pt idx="49">
                  <c:v>87.157127929687491</c:v>
                </c:pt>
                <c:pt idx="50">
                  <c:v>87.157127929687491</c:v>
                </c:pt>
                <c:pt idx="51">
                  <c:v>87.157127929687491</c:v>
                </c:pt>
                <c:pt idx="52">
                  <c:v>87.066093749999993</c:v>
                </c:pt>
                <c:pt idx="53">
                  <c:v>86.967304687500004</c:v>
                </c:pt>
                <c:pt idx="54">
                  <c:v>86.967304687500004</c:v>
                </c:pt>
                <c:pt idx="55">
                  <c:v>87.494179687499994</c:v>
                </c:pt>
                <c:pt idx="56">
                  <c:v>87.494179687499994</c:v>
                </c:pt>
                <c:pt idx="57">
                  <c:v>87.494179687499994</c:v>
                </c:pt>
                <c:pt idx="58">
                  <c:v>87.494179687499994</c:v>
                </c:pt>
                <c:pt idx="59">
                  <c:v>87.494179687499994</c:v>
                </c:pt>
                <c:pt idx="60">
                  <c:v>88.021054687499998</c:v>
                </c:pt>
                <c:pt idx="61">
                  <c:v>87.922265624999994</c:v>
                </c:pt>
                <c:pt idx="62">
                  <c:v>87.527109374999995</c:v>
                </c:pt>
                <c:pt idx="63">
                  <c:v>87.527109374999995</c:v>
                </c:pt>
                <c:pt idx="64">
                  <c:v>88.284492187499993</c:v>
                </c:pt>
                <c:pt idx="65">
                  <c:v>88.284492187499993</c:v>
                </c:pt>
                <c:pt idx="66">
                  <c:v>88.976015625000002</c:v>
                </c:pt>
                <c:pt idx="67">
                  <c:v>88.976015625000002</c:v>
                </c:pt>
              </c:numCache>
            </c:numRef>
          </c:val>
          <c:smooth val="0"/>
        </c:ser>
        <c:dLbls>
          <c:showLegendKey val="0"/>
          <c:showVal val="0"/>
          <c:showCatName val="0"/>
          <c:showSerName val="0"/>
          <c:showPercent val="0"/>
          <c:showBubbleSize val="0"/>
        </c:dLbls>
        <c:marker val="1"/>
        <c:smooth val="0"/>
        <c:axId val="470673664"/>
        <c:axId val="463732736"/>
      </c:lineChart>
      <c:dateAx>
        <c:axId val="4706736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3732736"/>
        <c:crosses val="autoZero"/>
        <c:auto val="1"/>
        <c:lblOffset val="100"/>
        <c:baseTimeUnit val="days"/>
      </c:dateAx>
      <c:valAx>
        <c:axId val="46373273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06736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RDC Tier 4 VMAX 678 (TB Allocated)</a:t>
            </a:r>
          </a:p>
        </c:rich>
      </c:tx>
      <c:overlay val="0"/>
      <c:spPr>
        <a:noFill/>
        <a:ln w="25400">
          <a:noFill/>
        </a:ln>
      </c:spPr>
    </c:title>
    <c:autoTitleDeleted val="0"/>
    <c:plotArea>
      <c:layout>
        <c:manualLayout>
          <c:layoutTarget val="inner"/>
          <c:xMode val="edge"/>
          <c:yMode val="edge"/>
          <c:x val="0.21828971437625141"/>
          <c:y val="0.21261682242990654"/>
          <c:w val="0.73746525127111962"/>
          <c:h val="0.58411214953264734"/>
        </c:manualLayout>
      </c:layout>
      <c:lineChart>
        <c:grouping val="standard"/>
        <c:varyColors val="0"/>
        <c:ser>
          <c:idx val="0"/>
          <c:order val="0"/>
          <c:tx>
            <c:strRef>
              <c:f>'Allocated charts'!$E$2</c:f>
              <c:strCache>
                <c:ptCount val="1"/>
                <c:pt idx="0">
                  <c:v>RDC T4 V-MAX 0678</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charts'!$E$41:$E$108</c:f>
              <c:numCache>
                <c:formatCode>0</c:formatCode>
                <c:ptCount val="68"/>
                <c:pt idx="0">
                  <c:v>266.57503124999999</c:v>
                </c:pt>
                <c:pt idx="1">
                  <c:v>266.57503124999999</c:v>
                </c:pt>
                <c:pt idx="2">
                  <c:v>266.57503124999999</c:v>
                </c:pt>
                <c:pt idx="3">
                  <c:v>273.06160253906251</c:v>
                </c:pt>
                <c:pt idx="4">
                  <c:v>273.06160253906251</c:v>
                </c:pt>
                <c:pt idx="5">
                  <c:v>273.06160253906251</c:v>
                </c:pt>
                <c:pt idx="6">
                  <c:v>274.18111230468747</c:v>
                </c:pt>
                <c:pt idx="7">
                  <c:v>274.18111230468747</c:v>
                </c:pt>
                <c:pt idx="8">
                  <c:v>274.18111230468747</c:v>
                </c:pt>
                <c:pt idx="9">
                  <c:v>274.18111230468747</c:v>
                </c:pt>
                <c:pt idx="10">
                  <c:v>274.18111230468747</c:v>
                </c:pt>
                <c:pt idx="11">
                  <c:v>274.18111230468747</c:v>
                </c:pt>
                <c:pt idx="12">
                  <c:v>274.18111230468747</c:v>
                </c:pt>
                <c:pt idx="13">
                  <c:v>274.18111230468747</c:v>
                </c:pt>
                <c:pt idx="14">
                  <c:v>274.18111230468747</c:v>
                </c:pt>
                <c:pt idx="15">
                  <c:v>274.18111230468747</c:v>
                </c:pt>
                <c:pt idx="16">
                  <c:v>274.18111230468747</c:v>
                </c:pt>
                <c:pt idx="17">
                  <c:v>274.18111230468747</c:v>
                </c:pt>
                <c:pt idx="18">
                  <c:v>274.18111230468747</c:v>
                </c:pt>
                <c:pt idx="19">
                  <c:v>272.30428710937497</c:v>
                </c:pt>
                <c:pt idx="20">
                  <c:v>271.81038574218746</c:v>
                </c:pt>
                <c:pt idx="21">
                  <c:v>271.81038574218746</c:v>
                </c:pt>
                <c:pt idx="22">
                  <c:v>271.81038574218746</c:v>
                </c:pt>
                <c:pt idx="23">
                  <c:v>272.04087304687499</c:v>
                </c:pt>
                <c:pt idx="24">
                  <c:v>270.46038867187497</c:v>
                </c:pt>
                <c:pt idx="25">
                  <c:v>270.46038867187497</c:v>
                </c:pt>
                <c:pt idx="26">
                  <c:v>270.46038867187497</c:v>
                </c:pt>
                <c:pt idx="27">
                  <c:v>270.46038867187497</c:v>
                </c:pt>
                <c:pt idx="28">
                  <c:v>271.51404492187498</c:v>
                </c:pt>
                <c:pt idx="29">
                  <c:v>271.51404492187498</c:v>
                </c:pt>
                <c:pt idx="30">
                  <c:v>271.51404492187498</c:v>
                </c:pt>
                <c:pt idx="31">
                  <c:v>271.51404492187498</c:v>
                </c:pt>
                <c:pt idx="32">
                  <c:v>271.51404492187498</c:v>
                </c:pt>
                <c:pt idx="33">
                  <c:v>271.51404492187498</c:v>
                </c:pt>
                <c:pt idx="34">
                  <c:v>271.51404492187498</c:v>
                </c:pt>
                <c:pt idx="35">
                  <c:v>271.51404492187498</c:v>
                </c:pt>
                <c:pt idx="36">
                  <c:v>271.51404492187498</c:v>
                </c:pt>
                <c:pt idx="37">
                  <c:v>271.51404492187498</c:v>
                </c:pt>
                <c:pt idx="38">
                  <c:v>271.51404492187498</c:v>
                </c:pt>
                <c:pt idx="39">
                  <c:v>271.51404492187498</c:v>
                </c:pt>
                <c:pt idx="40">
                  <c:v>271.51404492187498</c:v>
                </c:pt>
                <c:pt idx="41">
                  <c:v>270.32868164062501</c:v>
                </c:pt>
                <c:pt idx="42">
                  <c:v>271.51404492187498</c:v>
                </c:pt>
                <c:pt idx="43">
                  <c:v>271.51404492187498</c:v>
                </c:pt>
                <c:pt idx="44">
                  <c:v>271.51404492187498</c:v>
                </c:pt>
                <c:pt idx="45">
                  <c:v>271.51404492187498</c:v>
                </c:pt>
                <c:pt idx="46">
                  <c:v>271.51404492187498</c:v>
                </c:pt>
                <c:pt idx="47">
                  <c:v>271.51404492187498</c:v>
                </c:pt>
                <c:pt idx="48">
                  <c:v>271.51404492187498</c:v>
                </c:pt>
                <c:pt idx="49">
                  <c:v>271.51404492187498</c:v>
                </c:pt>
                <c:pt idx="50">
                  <c:v>271.51404492187498</c:v>
                </c:pt>
                <c:pt idx="51">
                  <c:v>271.51404492187498</c:v>
                </c:pt>
                <c:pt idx="52">
                  <c:v>271.538203125</c:v>
                </c:pt>
                <c:pt idx="53">
                  <c:v>271.538203125</c:v>
                </c:pt>
                <c:pt idx="54">
                  <c:v>271.538203125</c:v>
                </c:pt>
                <c:pt idx="55">
                  <c:v>271.538203125</c:v>
                </c:pt>
                <c:pt idx="56">
                  <c:v>271.538203125</c:v>
                </c:pt>
                <c:pt idx="57">
                  <c:v>271.538203125</c:v>
                </c:pt>
                <c:pt idx="58">
                  <c:v>270.12222656249997</c:v>
                </c:pt>
                <c:pt idx="59">
                  <c:v>270.12222656249997</c:v>
                </c:pt>
                <c:pt idx="60">
                  <c:v>269.99050781249997</c:v>
                </c:pt>
                <c:pt idx="61">
                  <c:v>269.99050781249997</c:v>
                </c:pt>
                <c:pt idx="62">
                  <c:v>269.99050781249997</c:v>
                </c:pt>
                <c:pt idx="63">
                  <c:v>269.99050781249997</c:v>
                </c:pt>
                <c:pt idx="64">
                  <c:v>269.99050781249997</c:v>
                </c:pt>
                <c:pt idx="65">
                  <c:v>269.99050781249997</c:v>
                </c:pt>
                <c:pt idx="66">
                  <c:v>270.38566406249998</c:v>
                </c:pt>
                <c:pt idx="67">
                  <c:v>270.38566406249998</c:v>
                </c:pt>
              </c:numCache>
            </c:numRef>
          </c:val>
          <c:smooth val="0"/>
        </c:ser>
        <c:dLbls>
          <c:showLegendKey val="0"/>
          <c:showVal val="0"/>
          <c:showCatName val="0"/>
          <c:showSerName val="0"/>
          <c:showPercent val="0"/>
          <c:showBubbleSize val="0"/>
        </c:dLbls>
        <c:marker val="1"/>
        <c:smooth val="0"/>
        <c:axId val="393239936"/>
        <c:axId val="463709312"/>
      </c:lineChart>
      <c:dateAx>
        <c:axId val="3932399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3709312"/>
        <c:crosses val="autoZero"/>
        <c:auto val="1"/>
        <c:lblOffset val="100"/>
        <c:baseTimeUnit val="days"/>
      </c:dateAx>
      <c:valAx>
        <c:axId val="463709312"/>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932399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RDC Tier 3 VMAX 552 (TB Allocated)</a:t>
            </a:r>
          </a:p>
        </c:rich>
      </c:tx>
      <c:overlay val="0"/>
      <c:spPr>
        <a:noFill/>
        <a:ln w="25400">
          <a:noFill/>
        </a:ln>
      </c:spPr>
    </c:title>
    <c:autoTitleDeleted val="0"/>
    <c:plotArea>
      <c:layout>
        <c:manualLayout>
          <c:layoutTarget val="inner"/>
          <c:xMode val="edge"/>
          <c:yMode val="edge"/>
          <c:x val="0.20409323654167683"/>
          <c:y val="0.23233367568184413"/>
          <c:w val="0.74358381879930169"/>
          <c:h val="0.55425416587119958"/>
        </c:manualLayout>
      </c:layout>
      <c:lineChart>
        <c:grouping val="standard"/>
        <c:varyColors val="0"/>
        <c:ser>
          <c:idx val="0"/>
          <c:order val="0"/>
          <c:tx>
            <c:strRef>
              <c:f>'Allocated charts'!$D$2</c:f>
              <c:strCache>
                <c:ptCount val="1"/>
                <c:pt idx="0">
                  <c:v>RDC T3 V-MAX 0552</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charts'!$D$41:$D$108</c:f>
              <c:numCache>
                <c:formatCode>0</c:formatCode>
                <c:ptCount val="68"/>
                <c:pt idx="0">
                  <c:v>97.627836914062499</c:v>
                </c:pt>
                <c:pt idx="1">
                  <c:v>87.091274414062497</c:v>
                </c:pt>
                <c:pt idx="2">
                  <c:v>87.091274414062497</c:v>
                </c:pt>
                <c:pt idx="3">
                  <c:v>84.951035156250001</c:v>
                </c:pt>
                <c:pt idx="4">
                  <c:v>84.951035156250001</c:v>
                </c:pt>
                <c:pt idx="5">
                  <c:v>95.487597656250003</c:v>
                </c:pt>
                <c:pt idx="6">
                  <c:v>95.322963867187497</c:v>
                </c:pt>
                <c:pt idx="7">
                  <c:v>95.322963867187497</c:v>
                </c:pt>
                <c:pt idx="8">
                  <c:v>95.322963867187497</c:v>
                </c:pt>
                <c:pt idx="9">
                  <c:v>95.322963867187497</c:v>
                </c:pt>
                <c:pt idx="10">
                  <c:v>95.322963867187497</c:v>
                </c:pt>
                <c:pt idx="11">
                  <c:v>95.322963867187497</c:v>
                </c:pt>
                <c:pt idx="12">
                  <c:v>95.322963867187497</c:v>
                </c:pt>
                <c:pt idx="13">
                  <c:v>95.322963867187497</c:v>
                </c:pt>
                <c:pt idx="14">
                  <c:v>95.322963867187497</c:v>
                </c:pt>
                <c:pt idx="15">
                  <c:v>95.322963867187497</c:v>
                </c:pt>
                <c:pt idx="16">
                  <c:v>95.322963867187497</c:v>
                </c:pt>
                <c:pt idx="17">
                  <c:v>93.21565136718749</c:v>
                </c:pt>
                <c:pt idx="18">
                  <c:v>92.260775390625</c:v>
                </c:pt>
                <c:pt idx="19">
                  <c:v>92.260775390625</c:v>
                </c:pt>
                <c:pt idx="20">
                  <c:v>93.051017578124998</c:v>
                </c:pt>
                <c:pt idx="21">
                  <c:v>92.853457031250002</c:v>
                </c:pt>
                <c:pt idx="22">
                  <c:v>92.622969726562502</c:v>
                </c:pt>
                <c:pt idx="23">
                  <c:v>92.622969726562502</c:v>
                </c:pt>
                <c:pt idx="24">
                  <c:v>91.701020507812501</c:v>
                </c:pt>
                <c:pt idx="25">
                  <c:v>91.701020507812501</c:v>
                </c:pt>
                <c:pt idx="26">
                  <c:v>89.955902343749997</c:v>
                </c:pt>
                <c:pt idx="27">
                  <c:v>89.955902343749997</c:v>
                </c:pt>
                <c:pt idx="28">
                  <c:v>89.494927734374997</c:v>
                </c:pt>
                <c:pt idx="29">
                  <c:v>89.363220703124995</c:v>
                </c:pt>
                <c:pt idx="30">
                  <c:v>89.363220703124995</c:v>
                </c:pt>
                <c:pt idx="31">
                  <c:v>89.363220703124995</c:v>
                </c:pt>
                <c:pt idx="32">
                  <c:v>89.363220703124995</c:v>
                </c:pt>
                <c:pt idx="33">
                  <c:v>88.37541796875</c:v>
                </c:pt>
                <c:pt idx="34">
                  <c:v>88.37541796875</c:v>
                </c:pt>
                <c:pt idx="35">
                  <c:v>88.177857421875004</c:v>
                </c:pt>
                <c:pt idx="36">
                  <c:v>88.177857421875004</c:v>
                </c:pt>
                <c:pt idx="37">
                  <c:v>88.177857421875004</c:v>
                </c:pt>
                <c:pt idx="38">
                  <c:v>88.177857421875004</c:v>
                </c:pt>
                <c:pt idx="39">
                  <c:v>88.177857421875004</c:v>
                </c:pt>
                <c:pt idx="40">
                  <c:v>88.177857421875004</c:v>
                </c:pt>
                <c:pt idx="41">
                  <c:v>88.177857421875004</c:v>
                </c:pt>
                <c:pt idx="42">
                  <c:v>88.177857421875004</c:v>
                </c:pt>
                <c:pt idx="43">
                  <c:v>88.177857421875004</c:v>
                </c:pt>
                <c:pt idx="44">
                  <c:v>88.177857421875004</c:v>
                </c:pt>
                <c:pt idx="45">
                  <c:v>88.177857421875004</c:v>
                </c:pt>
                <c:pt idx="46">
                  <c:v>88.177857421875004</c:v>
                </c:pt>
                <c:pt idx="47">
                  <c:v>88.177857421875004</c:v>
                </c:pt>
                <c:pt idx="48">
                  <c:v>88.177857421875004</c:v>
                </c:pt>
                <c:pt idx="49">
                  <c:v>88.177857421875004</c:v>
                </c:pt>
                <c:pt idx="50">
                  <c:v>88.177857421875004</c:v>
                </c:pt>
                <c:pt idx="51">
                  <c:v>88.177857421875004</c:v>
                </c:pt>
                <c:pt idx="52">
                  <c:v>88.0869140625</c:v>
                </c:pt>
                <c:pt idx="53">
                  <c:v>87.988124999999997</c:v>
                </c:pt>
                <c:pt idx="54">
                  <c:v>87.988124999999997</c:v>
                </c:pt>
                <c:pt idx="55">
                  <c:v>88.119843750000001</c:v>
                </c:pt>
                <c:pt idx="56">
                  <c:v>88.119843750000001</c:v>
                </c:pt>
                <c:pt idx="57">
                  <c:v>88.119843750000001</c:v>
                </c:pt>
                <c:pt idx="58">
                  <c:v>88.119843750000001</c:v>
                </c:pt>
                <c:pt idx="59">
                  <c:v>88.119843750000001</c:v>
                </c:pt>
                <c:pt idx="60">
                  <c:v>88.646718749999991</c:v>
                </c:pt>
                <c:pt idx="61">
                  <c:v>88.547929687500002</c:v>
                </c:pt>
                <c:pt idx="62">
                  <c:v>88.152773437500002</c:v>
                </c:pt>
                <c:pt idx="63">
                  <c:v>88.152773437500002</c:v>
                </c:pt>
                <c:pt idx="64">
                  <c:v>88.91015625</c:v>
                </c:pt>
                <c:pt idx="65">
                  <c:v>88.91015625</c:v>
                </c:pt>
                <c:pt idx="66">
                  <c:v>89.469960937499991</c:v>
                </c:pt>
                <c:pt idx="67">
                  <c:v>89.469960937499991</c:v>
                </c:pt>
              </c:numCache>
            </c:numRef>
          </c:val>
          <c:smooth val="0"/>
        </c:ser>
        <c:dLbls>
          <c:showLegendKey val="0"/>
          <c:showVal val="0"/>
          <c:showCatName val="0"/>
          <c:showSerName val="0"/>
          <c:showPercent val="0"/>
          <c:showBubbleSize val="0"/>
        </c:dLbls>
        <c:marker val="1"/>
        <c:smooth val="0"/>
        <c:axId val="463774464"/>
        <c:axId val="463776000"/>
      </c:lineChart>
      <c:dateAx>
        <c:axId val="4637744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3776000"/>
        <c:crosses val="autoZero"/>
        <c:auto val="1"/>
        <c:lblOffset val="100"/>
        <c:baseTimeUnit val="days"/>
      </c:dateAx>
      <c:valAx>
        <c:axId val="46377600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37744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Calibri"/>
                <a:ea typeface="Calibri"/>
                <a:cs typeface="Calibri"/>
              </a:defRPr>
            </a:pPr>
            <a:r>
              <a:rPr lang="en-GB" sz="1600"/>
              <a:t>FDC Tier 4 VMAX 879 (TB Allocated)</a:t>
            </a:r>
          </a:p>
        </c:rich>
      </c:tx>
      <c:layout>
        <c:manualLayout>
          <c:xMode val="edge"/>
          <c:yMode val="edge"/>
          <c:x val="0.1448657092570412"/>
          <c:y val="5.1063845468125146E-2"/>
        </c:manualLayout>
      </c:layout>
      <c:overlay val="0"/>
      <c:spPr>
        <a:noFill/>
        <a:ln w="25400">
          <a:noFill/>
        </a:ln>
      </c:spPr>
    </c:title>
    <c:autoTitleDeleted val="0"/>
    <c:plotArea>
      <c:layout/>
      <c:lineChart>
        <c:grouping val="standard"/>
        <c:varyColors val="0"/>
        <c:ser>
          <c:idx val="0"/>
          <c:order val="0"/>
          <c:tx>
            <c:strRef>
              <c:f>'Allocated charts'!$L$2</c:f>
              <c:strCache>
                <c:ptCount val="1"/>
                <c:pt idx="0">
                  <c:v>FDC T4 V-MAX 0879</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charts'!$L$41:$L$108</c:f>
              <c:numCache>
                <c:formatCode>0</c:formatCode>
                <c:ptCount val="68"/>
                <c:pt idx="0">
                  <c:v>265.98234960937498</c:v>
                </c:pt>
                <c:pt idx="1">
                  <c:v>272.27136035156246</c:v>
                </c:pt>
                <c:pt idx="2">
                  <c:v>266.21283691406251</c:v>
                </c:pt>
                <c:pt idx="3">
                  <c:v>272.5347744140625</c:v>
                </c:pt>
                <c:pt idx="4">
                  <c:v>272.96282226562499</c:v>
                </c:pt>
                <c:pt idx="5">
                  <c:v>272.96282226562499</c:v>
                </c:pt>
                <c:pt idx="6">
                  <c:v>274.87257421875</c:v>
                </c:pt>
                <c:pt idx="7">
                  <c:v>274.87257421875</c:v>
                </c:pt>
                <c:pt idx="8">
                  <c:v>274.54330664062496</c:v>
                </c:pt>
                <c:pt idx="9">
                  <c:v>274.87257421875</c:v>
                </c:pt>
                <c:pt idx="10">
                  <c:v>274.87257421875</c:v>
                </c:pt>
                <c:pt idx="11">
                  <c:v>274.54330664062496</c:v>
                </c:pt>
                <c:pt idx="12">
                  <c:v>274.54330664062496</c:v>
                </c:pt>
                <c:pt idx="13">
                  <c:v>274.54330664062496</c:v>
                </c:pt>
                <c:pt idx="14">
                  <c:v>274.54330664062496</c:v>
                </c:pt>
                <c:pt idx="15">
                  <c:v>274.54330664062496</c:v>
                </c:pt>
                <c:pt idx="16">
                  <c:v>267.957955078125</c:v>
                </c:pt>
                <c:pt idx="17">
                  <c:v>269.04453808593752</c:v>
                </c:pt>
                <c:pt idx="18">
                  <c:v>268.81405078124999</c:v>
                </c:pt>
                <c:pt idx="19">
                  <c:v>268.81405078124999</c:v>
                </c:pt>
                <c:pt idx="20">
                  <c:v>268.81405078124999</c:v>
                </c:pt>
                <c:pt idx="21">
                  <c:v>268.97868457031251</c:v>
                </c:pt>
                <c:pt idx="22">
                  <c:v>268.81405078124999</c:v>
                </c:pt>
                <c:pt idx="23">
                  <c:v>269.01161132812501</c:v>
                </c:pt>
                <c:pt idx="24">
                  <c:v>275.03720800781247</c:v>
                </c:pt>
                <c:pt idx="25">
                  <c:v>275.03720800781247</c:v>
                </c:pt>
                <c:pt idx="26">
                  <c:v>275.03720800781247</c:v>
                </c:pt>
                <c:pt idx="27">
                  <c:v>275.03720800781247</c:v>
                </c:pt>
                <c:pt idx="28">
                  <c:v>275.92623046874996</c:v>
                </c:pt>
                <c:pt idx="29">
                  <c:v>275.92623046874996</c:v>
                </c:pt>
                <c:pt idx="30">
                  <c:v>275.92623046874996</c:v>
                </c:pt>
                <c:pt idx="31">
                  <c:v>275.92623046874996</c:v>
                </c:pt>
                <c:pt idx="32">
                  <c:v>275.92623046874996</c:v>
                </c:pt>
                <c:pt idx="33">
                  <c:v>275.92623046874996</c:v>
                </c:pt>
                <c:pt idx="34">
                  <c:v>275.92623046874996</c:v>
                </c:pt>
                <c:pt idx="35">
                  <c:v>275.92623046874996</c:v>
                </c:pt>
                <c:pt idx="36">
                  <c:v>275.92623046874996</c:v>
                </c:pt>
                <c:pt idx="37">
                  <c:v>275.92623046874996</c:v>
                </c:pt>
                <c:pt idx="38">
                  <c:v>275.92623046874996</c:v>
                </c:pt>
                <c:pt idx="39">
                  <c:v>275.92623046874996</c:v>
                </c:pt>
                <c:pt idx="40">
                  <c:v>275.92623046874996</c:v>
                </c:pt>
                <c:pt idx="41">
                  <c:v>275.92623046874996</c:v>
                </c:pt>
                <c:pt idx="42">
                  <c:v>276.650619140625</c:v>
                </c:pt>
                <c:pt idx="43">
                  <c:v>276.650619140625</c:v>
                </c:pt>
                <c:pt idx="44">
                  <c:v>276.650619140625</c:v>
                </c:pt>
                <c:pt idx="45">
                  <c:v>276.650619140625</c:v>
                </c:pt>
                <c:pt idx="46">
                  <c:v>276.650619140625</c:v>
                </c:pt>
                <c:pt idx="47">
                  <c:v>274.18111230468747</c:v>
                </c:pt>
                <c:pt idx="48">
                  <c:v>274.18111230468747</c:v>
                </c:pt>
                <c:pt idx="49">
                  <c:v>274.18111230468747</c:v>
                </c:pt>
                <c:pt idx="50">
                  <c:v>274.18111230468747</c:v>
                </c:pt>
                <c:pt idx="51">
                  <c:v>274.18111230468747</c:v>
                </c:pt>
                <c:pt idx="52">
                  <c:v>274.2055078125</c:v>
                </c:pt>
                <c:pt idx="53">
                  <c:v>274.2055078125</c:v>
                </c:pt>
                <c:pt idx="54">
                  <c:v>274.60066406250002</c:v>
                </c:pt>
                <c:pt idx="55">
                  <c:v>274.60066406250002</c:v>
                </c:pt>
                <c:pt idx="56">
                  <c:v>264.49124999999998</c:v>
                </c:pt>
                <c:pt idx="57">
                  <c:v>264.49124999999998</c:v>
                </c:pt>
                <c:pt idx="58">
                  <c:v>264.49124999999998</c:v>
                </c:pt>
                <c:pt idx="59">
                  <c:v>264.49124999999998</c:v>
                </c:pt>
                <c:pt idx="60">
                  <c:v>264.49124999999998</c:v>
                </c:pt>
                <c:pt idx="61">
                  <c:v>264.49124999999998</c:v>
                </c:pt>
                <c:pt idx="62">
                  <c:v>261.33</c:v>
                </c:pt>
                <c:pt idx="63">
                  <c:v>261.33</c:v>
                </c:pt>
                <c:pt idx="64">
                  <c:v>261.33</c:v>
                </c:pt>
                <c:pt idx="65">
                  <c:v>261.33</c:v>
                </c:pt>
                <c:pt idx="66">
                  <c:v>261.52757812499999</c:v>
                </c:pt>
                <c:pt idx="67">
                  <c:v>261.52757812499999</c:v>
                </c:pt>
              </c:numCache>
            </c:numRef>
          </c:val>
          <c:smooth val="0"/>
        </c:ser>
        <c:dLbls>
          <c:showLegendKey val="0"/>
          <c:showVal val="0"/>
          <c:showCatName val="0"/>
          <c:showSerName val="0"/>
          <c:showPercent val="0"/>
          <c:showBubbleSize val="0"/>
        </c:dLbls>
        <c:marker val="1"/>
        <c:smooth val="0"/>
        <c:axId val="463783808"/>
        <c:axId val="463785344"/>
      </c:lineChart>
      <c:dateAx>
        <c:axId val="46378380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63785344"/>
        <c:crosses val="autoZero"/>
        <c:auto val="1"/>
        <c:lblOffset val="100"/>
        <c:baseTimeUnit val="days"/>
      </c:dateAx>
      <c:valAx>
        <c:axId val="46378534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637838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3099899232015191"/>
          <c:y val="0.14218065230273069"/>
          <c:w val="0.81319518969812365"/>
          <c:h val="0.64123990235887707"/>
        </c:manualLayout>
      </c:layout>
      <c:lineChart>
        <c:grouping val="standard"/>
        <c:varyColors val="0"/>
        <c:ser>
          <c:idx val="0"/>
          <c:order val="0"/>
          <c:tx>
            <c:strRef>
              <c:f>'Allocated charts'!$O$2</c:f>
              <c:strCache>
                <c:ptCount val="1"/>
                <c:pt idx="0">
                  <c:v>FDC T3 V-MAX 2231</c:v>
                </c:pt>
              </c:strCache>
            </c:strRef>
          </c:tx>
          <c:cat>
            <c:numRef>
              <c:f>'Allocated charts'!$A$41:$A$109</c:f>
              <c:numCache>
                <c:formatCode>[$-409]d\-mmm\-yy;@</c:formatCode>
                <c:ptCount val="6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charts'!$O$41:$O$108</c:f>
              <c:numCache>
                <c:formatCode>0</c:formatCode>
                <c:ptCount val="68"/>
                <c:pt idx="0">
                  <c:v>195.32152734375001</c:v>
                </c:pt>
                <c:pt idx="1">
                  <c:v>182.15082421874996</c:v>
                </c:pt>
                <c:pt idx="2">
                  <c:v>181.68984960937496</c:v>
                </c:pt>
                <c:pt idx="3">
                  <c:v>181.68984960937496</c:v>
                </c:pt>
                <c:pt idx="4">
                  <c:v>180.6691201171875</c:v>
                </c:pt>
                <c:pt idx="5">
                  <c:v>180.37277929687497</c:v>
                </c:pt>
                <c:pt idx="6">
                  <c:v>189.7569052734375</c:v>
                </c:pt>
                <c:pt idx="7">
                  <c:v>189.7569052734375</c:v>
                </c:pt>
                <c:pt idx="8">
                  <c:v>275.69574316406249</c:v>
                </c:pt>
                <c:pt idx="9">
                  <c:v>275.69574316406249</c:v>
                </c:pt>
                <c:pt idx="10">
                  <c:v>275.69574316406249</c:v>
                </c:pt>
                <c:pt idx="11">
                  <c:v>273.22623632812497</c:v>
                </c:pt>
                <c:pt idx="12">
                  <c:v>270.723802734375</c:v>
                </c:pt>
                <c:pt idx="13">
                  <c:v>256.26895605468746</c:v>
                </c:pt>
                <c:pt idx="14">
                  <c:v>254.16164355468749</c:v>
                </c:pt>
                <c:pt idx="15">
                  <c:v>250.96774804687499</c:v>
                </c:pt>
                <c:pt idx="16">
                  <c:v>250.96774804687499</c:v>
                </c:pt>
                <c:pt idx="17">
                  <c:v>249.97994531249998</c:v>
                </c:pt>
                <c:pt idx="18">
                  <c:v>249.74945800781248</c:v>
                </c:pt>
                <c:pt idx="19">
                  <c:v>248.7616552734375</c:v>
                </c:pt>
                <c:pt idx="20">
                  <c:v>247.24702441406248</c:v>
                </c:pt>
                <c:pt idx="21">
                  <c:v>247.24702441406248</c:v>
                </c:pt>
                <c:pt idx="22">
                  <c:v>247.24702441406248</c:v>
                </c:pt>
                <c:pt idx="23">
                  <c:v>247.24702441406248</c:v>
                </c:pt>
                <c:pt idx="24">
                  <c:v>246.65434277343749</c:v>
                </c:pt>
                <c:pt idx="25">
                  <c:v>246.65434277343749</c:v>
                </c:pt>
                <c:pt idx="26">
                  <c:v>246.62141601562499</c:v>
                </c:pt>
                <c:pt idx="27">
                  <c:v>244.97507812499998</c:v>
                </c:pt>
                <c:pt idx="28">
                  <c:v>244.97507812499998</c:v>
                </c:pt>
                <c:pt idx="29">
                  <c:v>244.97507812499998</c:v>
                </c:pt>
                <c:pt idx="30">
                  <c:v>244.2177626953125</c:v>
                </c:pt>
                <c:pt idx="31">
                  <c:v>244.2177626953125</c:v>
                </c:pt>
                <c:pt idx="32">
                  <c:v>244.2177626953125</c:v>
                </c:pt>
                <c:pt idx="33">
                  <c:v>244.2177626953125</c:v>
                </c:pt>
                <c:pt idx="34">
                  <c:v>244.2177626953125</c:v>
                </c:pt>
                <c:pt idx="35">
                  <c:v>249.84823828124999</c:v>
                </c:pt>
                <c:pt idx="36">
                  <c:v>249.84823828124999</c:v>
                </c:pt>
                <c:pt idx="37">
                  <c:v>249.58482421874999</c:v>
                </c:pt>
                <c:pt idx="38">
                  <c:v>249.18970312499999</c:v>
                </c:pt>
                <c:pt idx="39">
                  <c:v>249.05799609374998</c:v>
                </c:pt>
                <c:pt idx="40">
                  <c:v>243.26288671875</c:v>
                </c:pt>
                <c:pt idx="41">
                  <c:v>243.26288671875</c:v>
                </c:pt>
                <c:pt idx="42">
                  <c:v>239.83850390625</c:v>
                </c:pt>
                <c:pt idx="43">
                  <c:v>235.65680566406249</c:v>
                </c:pt>
                <c:pt idx="44">
                  <c:v>233.97754101562498</c:v>
                </c:pt>
                <c:pt idx="45">
                  <c:v>233.97754101562498</c:v>
                </c:pt>
                <c:pt idx="46">
                  <c:v>233.97754101562498</c:v>
                </c:pt>
                <c:pt idx="47">
                  <c:v>232.46291015624999</c:v>
                </c:pt>
                <c:pt idx="48">
                  <c:v>217.71172265625</c:v>
                </c:pt>
                <c:pt idx="49">
                  <c:v>217.250748046875</c:v>
                </c:pt>
                <c:pt idx="50">
                  <c:v>213.1349033203125</c:v>
                </c:pt>
                <c:pt idx="51">
                  <c:v>213.1349033203125</c:v>
                </c:pt>
                <c:pt idx="52">
                  <c:v>213.1538671875</c:v>
                </c:pt>
                <c:pt idx="53">
                  <c:v>212.56113281250001</c:v>
                </c:pt>
                <c:pt idx="54">
                  <c:v>212.56113281250001</c:v>
                </c:pt>
                <c:pt idx="55">
                  <c:v>252.96585937500001</c:v>
                </c:pt>
                <c:pt idx="56">
                  <c:v>252.96585937500001</c:v>
                </c:pt>
                <c:pt idx="57">
                  <c:v>252.96585937500001</c:v>
                </c:pt>
                <c:pt idx="58">
                  <c:v>252.96585937500001</c:v>
                </c:pt>
                <c:pt idx="59">
                  <c:v>252.96585937500001</c:v>
                </c:pt>
                <c:pt idx="60">
                  <c:v>251.91210937499997</c:v>
                </c:pt>
                <c:pt idx="61">
                  <c:v>246.44578125000001</c:v>
                </c:pt>
                <c:pt idx="62">
                  <c:v>221.22164062499999</c:v>
                </c:pt>
                <c:pt idx="63">
                  <c:v>221.22164062499999</c:v>
                </c:pt>
                <c:pt idx="64">
                  <c:v>221.22164062499999</c:v>
                </c:pt>
                <c:pt idx="65">
                  <c:v>221.22164062499999</c:v>
                </c:pt>
                <c:pt idx="66">
                  <c:v>221.22164062499999</c:v>
                </c:pt>
                <c:pt idx="67">
                  <c:v>221.22164062499999</c:v>
                </c:pt>
              </c:numCache>
            </c:numRef>
          </c:val>
          <c:smooth val="0"/>
        </c:ser>
        <c:dLbls>
          <c:showLegendKey val="0"/>
          <c:showVal val="0"/>
          <c:showCatName val="0"/>
          <c:showSerName val="0"/>
          <c:showPercent val="0"/>
          <c:showBubbleSize val="0"/>
        </c:dLbls>
        <c:marker val="1"/>
        <c:smooth val="0"/>
        <c:axId val="470764544"/>
        <c:axId val="470778624"/>
      </c:lineChart>
      <c:dateAx>
        <c:axId val="47076454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0778624"/>
        <c:crosses val="autoZero"/>
        <c:auto val="1"/>
        <c:lblOffset val="100"/>
        <c:baseTimeUnit val="days"/>
      </c:dateAx>
      <c:valAx>
        <c:axId val="47077862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07645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782913522709693"/>
        </c:manualLayout>
      </c:layout>
      <c:lineChart>
        <c:grouping val="standard"/>
        <c:varyColors val="0"/>
        <c:ser>
          <c:idx val="0"/>
          <c:order val="0"/>
          <c:tx>
            <c:strRef>
              <c:f>'Allocated charts'!$G$2</c:f>
              <c:strCache>
                <c:ptCount val="1"/>
                <c:pt idx="0">
                  <c:v>RDC T4 V-MAX 3073</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charts'!$G$41:$G$108</c:f>
              <c:numCache>
                <c:formatCode>0</c:formatCode>
                <c:ptCount val="68"/>
                <c:pt idx="0">
                  <c:v>448.39658789062497</c:v>
                </c:pt>
                <c:pt idx="1">
                  <c:v>448.39658789062497</c:v>
                </c:pt>
                <c:pt idx="2">
                  <c:v>448.39658789062497</c:v>
                </c:pt>
                <c:pt idx="3">
                  <c:v>449.84536523437498</c:v>
                </c:pt>
                <c:pt idx="4">
                  <c:v>449.84536523437498</c:v>
                </c:pt>
                <c:pt idx="5">
                  <c:v>449.84536523437498</c:v>
                </c:pt>
                <c:pt idx="6">
                  <c:v>449.84536523437498</c:v>
                </c:pt>
                <c:pt idx="7">
                  <c:v>449.84536523437498</c:v>
                </c:pt>
                <c:pt idx="8">
                  <c:v>449.84536523437498</c:v>
                </c:pt>
                <c:pt idx="9">
                  <c:v>449.84536523437498</c:v>
                </c:pt>
                <c:pt idx="10">
                  <c:v>449.84536523437498</c:v>
                </c:pt>
                <c:pt idx="11">
                  <c:v>449.84536523437498</c:v>
                </c:pt>
                <c:pt idx="12">
                  <c:v>449.84536523437498</c:v>
                </c:pt>
                <c:pt idx="13">
                  <c:v>449.84536523437498</c:v>
                </c:pt>
                <c:pt idx="14">
                  <c:v>450.4709736328125</c:v>
                </c:pt>
                <c:pt idx="15">
                  <c:v>450.4709736328125</c:v>
                </c:pt>
                <c:pt idx="16">
                  <c:v>450.4709736328125</c:v>
                </c:pt>
                <c:pt idx="17">
                  <c:v>450.40512011718749</c:v>
                </c:pt>
                <c:pt idx="18">
                  <c:v>450.17463281249996</c:v>
                </c:pt>
                <c:pt idx="19">
                  <c:v>447.44171191406247</c:v>
                </c:pt>
                <c:pt idx="20">
                  <c:v>447.44171191406247</c:v>
                </c:pt>
                <c:pt idx="21">
                  <c:v>447.80390625000001</c:v>
                </c:pt>
                <c:pt idx="22">
                  <c:v>447.80390625000001</c:v>
                </c:pt>
                <c:pt idx="23">
                  <c:v>447.80390625000001</c:v>
                </c:pt>
                <c:pt idx="24">
                  <c:v>451.91975097656251</c:v>
                </c:pt>
                <c:pt idx="25">
                  <c:v>451.91975097656251</c:v>
                </c:pt>
                <c:pt idx="26">
                  <c:v>449.68073144531246</c:v>
                </c:pt>
                <c:pt idx="27">
                  <c:v>449.68073144531246</c:v>
                </c:pt>
                <c:pt idx="28">
                  <c:v>448.69292871093751</c:v>
                </c:pt>
                <c:pt idx="29">
                  <c:v>448.5941484375</c:v>
                </c:pt>
                <c:pt idx="30">
                  <c:v>448.52829492187499</c:v>
                </c:pt>
                <c:pt idx="31">
                  <c:v>448.52829492187499</c:v>
                </c:pt>
                <c:pt idx="32">
                  <c:v>448.52829492187499</c:v>
                </c:pt>
                <c:pt idx="33">
                  <c:v>448.52829492187499</c:v>
                </c:pt>
                <c:pt idx="34">
                  <c:v>448.33073437499996</c:v>
                </c:pt>
                <c:pt idx="35">
                  <c:v>446.94781054687496</c:v>
                </c:pt>
                <c:pt idx="36">
                  <c:v>442.99659960937498</c:v>
                </c:pt>
                <c:pt idx="37">
                  <c:v>442.99659960937498</c:v>
                </c:pt>
                <c:pt idx="38">
                  <c:v>442.99659960937498</c:v>
                </c:pt>
                <c:pt idx="39">
                  <c:v>442.99659960937498</c:v>
                </c:pt>
                <c:pt idx="40">
                  <c:v>442.99659960937498</c:v>
                </c:pt>
                <c:pt idx="41">
                  <c:v>442.7002587890625</c:v>
                </c:pt>
                <c:pt idx="42">
                  <c:v>441.67952929687499</c:v>
                </c:pt>
                <c:pt idx="43">
                  <c:v>441.67952929687499</c:v>
                </c:pt>
                <c:pt idx="44">
                  <c:v>441.67952929687499</c:v>
                </c:pt>
                <c:pt idx="45">
                  <c:v>441.67952929687499</c:v>
                </c:pt>
                <c:pt idx="46">
                  <c:v>441.67952929687499</c:v>
                </c:pt>
                <c:pt idx="47">
                  <c:v>441.67952929687499</c:v>
                </c:pt>
                <c:pt idx="48">
                  <c:v>441.67952929687499</c:v>
                </c:pt>
                <c:pt idx="49">
                  <c:v>441.67952929687499</c:v>
                </c:pt>
                <c:pt idx="50">
                  <c:v>440.92221386718751</c:v>
                </c:pt>
                <c:pt idx="51">
                  <c:v>440.92221386718751</c:v>
                </c:pt>
                <c:pt idx="52">
                  <c:v>440.96144531249996</c:v>
                </c:pt>
                <c:pt idx="53">
                  <c:v>440.96144531249996</c:v>
                </c:pt>
                <c:pt idx="54">
                  <c:v>440.96144531249996</c:v>
                </c:pt>
                <c:pt idx="55">
                  <c:v>440.96144531249996</c:v>
                </c:pt>
                <c:pt idx="56">
                  <c:v>440.3687109375</c:v>
                </c:pt>
                <c:pt idx="57">
                  <c:v>440.3687109375</c:v>
                </c:pt>
                <c:pt idx="58">
                  <c:v>438.95273437499998</c:v>
                </c:pt>
                <c:pt idx="59">
                  <c:v>438.95273437499998</c:v>
                </c:pt>
                <c:pt idx="60">
                  <c:v>437.63554687499999</c:v>
                </c:pt>
                <c:pt idx="61">
                  <c:v>437.43796874999998</c:v>
                </c:pt>
                <c:pt idx="62">
                  <c:v>436.77937499999996</c:v>
                </c:pt>
                <c:pt idx="63">
                  <c:v>436.77937499999996</c:v>
                </c:pt>
                <c:pt idx="64">
                  <c:v>436.77937499999996</c:v>
                </c:pt>
                <c:pt idx="65">
                  <c:v>436.77937499999996</c:v>
                </c:pt>
                <c:pt idx="66">
                  <c:v>436.81230468749999</c:v>
                </c:pt>
                <c:pt idx="67">
                  <c:v>425.05640625000001</c:v>
                </c:pt>
              </c:numCache>
            </c:numRef>
          </c:val>
          <c:smooth val="0"/>
        </c:ser>
        <c:dLbls>
          <c:showLegendKey val="0"/>
          <c:showVal val="0"/>
          <c:showCatName val="0"/>
          <c:showSerName val="0"/>
          <c:showPercent val="0"/>
          <c:showBubbleSize val="0"/>
        </c:dLbls>
        <c:marker val="1"/>
        <c:smooth val="0"/>
        <c:axId val="470798720"/>
        <c:axId val="470800256"/>
      </c:lineChart>
      <c:dateAx>
        <c:axId val="47079872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0800256"/>
        <c:crosses val="autoZero"/>
        <c:auto val="1"/>
        <c:lblOffset val="100"/>
        <c:baseTimeUnit val="days"/>
      </c:dateAx>
      <c:valAx>
        <c:axId val="47080025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07987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58828289894840857"/>
        </c:manualLayout>
      </c:layout>
      <c:lineChart>
        <c:grouping val="standard"/>
        <c:varyColors val="0"/>
        <c:ser>
          <c:idx val="0"/>
          <c:order val="0"/>
          <c:tx>
            <c:strRef>
              <c:f>'Allocated charts'!$H$2</c:f>
              <c:strCache>
                <c:ptCount val="1"/>
                <c:pt idx="0">
                  <c:v>RDC T3 V-MAX 2230</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charts'!$H$41:$H$108</c:f>
              <c:numCache>
                <c:formatCode>0</c:formatCode>
                <c:ptCount val="68"/>
                <c:pt idx="0">
                  <c:v>233.18729882812499</c:v>
                </c:pt>
                <c:pt idx="1">
                  <c:v>220.01659570312501</c:v>
                </c:pt>
                <c:pt idx="2">
                  <c:v>219.489767578125</c:v>
                </c:pt>
                <c:pt idx="3">
                  <c:v>218.53489160156249</c:v>
                </c:pt>
                <c:pt idx="4">
                  <c:v>152.68137597656249</c:v>
                </c:pt>
                <c:pt idx="5">
                  <c:v>152.38503515624998</c:v>
                </c:pt>
                <c:pt idx="6">
                  <c:v>161.76916113281248</c:v>
                </c:pt>
                <c:pt idx="7">
                  <c:v>161.76916113281248</c:v>
                </c:pt>
                <c:pt idx="8">
                  <c:v>161.6374541015625</c:v>
                </c:pt>
                <c:pt idx="9">
                  <c:v>161.6374541015625</c:v>
                </c:pt>
                <c:pt idx="10">
                  <c:v>161.6374541015625</c:v>
                </c:pt>
                <c:pt idx="11">
                  <c:v>159.167947265625</c:v>
                </c:pt>
                <c:pt idx="12">
                  <c:v>156.665513671875</c:v>
                </c:pt>
                <c:pt idx="13">
                  <c:v>145.207001953125</c:v>
                </c:pt>
                <c:pt idx="14">
                  <c:v>145.207001953125</c:v>
                </c:pt>
                <c:pt idx="15">
                  <c:v>142.0131064453125</c:v>
                </c:pt>
                <c:pt idx="16">
                  <c:v>142.0131064453125</c:v>
                </c:pt>
                <c:pt idx="17">
                  <c:v>141.02530371093749</c:v>
                </c:pt>
                <c:pt idx="18">
                  <c:v>140.79481640624999</c:v>
                </c:pt>
                <c:pt idx="19">
                  <c:v>139.80701367187498</c:v>
                </c:pt>
                <c:pt idx="20">
                  <c:v>138.29238281249999</c:v>
                </c:pt>
                <c:pt idx="21">
                  <c:v>138.29238281249999</c:v>
                </c:pt>
                <c:pt idx="22">
                  <c:v>138.29238281249999</c:v>
                </c:pt>
                <c:pt idx="23">
                  <c:v>138.29238281249999</c:v>
                </c:pt>
                <c:pt idx="24">
                  <c:v>137.93018847656251</c:v>
                </c:pt>
                <c:pt idx="25">
                  <c:v>137.93018847656251</c:v>
                </c:pt>
                <c:pt idx="26">
                  <c:v>137.6667744140625</c:v>
                </c:pt>
                <c:pt idx="27">
                  <c:v>136.77775195312501</c:v>
                </c:pt>
                <c:pt idx="28">
                  <c:v>136.77775195312501</c:v>
                </c:pt>
                <c:pt idx="29">
                  <c:v>136.77775195312501</c:v>
                </c:pt>
                <c:pt idx="30">
                  <c:v>136.0204365234375</c:v>
                </c:pt>
                <c:pt idx="31">
                  <c:v>136.0204365234375</c:v>
                </c:pt>
                <c:pt idx="32">
                  <c:v>136.0204365234375</c:v>
                </c:pt>
                <c:pt idx="33">
                  <c:v>136.0204365234375</c:v>
                </c:pt>
                <c:pt idx="34">
                  <c:v>136.0204365234375</c:v>
                </c:pt>
                <c:pt idx="35">
                  <c:v>139.5106728515625</c:v>
                </c:pt>
                <c:pt idx="36">
                  <c:v>139.5106728515625</c:v>
                </c:pt>
                <c:pt idx="37">
                  <c:v>139.2472587890625</c:v>
                </c:pt>
                <c:pt idx="38">
                  <c:v>138.85213769531248</c:v>
                </c:pt>
                <c:pt idx="39">
                  <c:v>138.72043066406249</c:v>
                </c:pt>
                <c:pt idx="40">
                  <c:v>137.63384765625</c:v>
                </c:pt>
                <c:pt idx="41">
                  <c:v>132.92532128906248</c:v>
                </c:pt>
                <c:pt idx="42">
                  <c:v>130.587521484375</c:v>
                </c:pt>
                <c:pt idx="43">
                  <c:v>130.02776660156249</c:v>
                </c:pt>
                <c:pt idx="44">
                  <c:v>125.38509374999998</c:v>
                </c:pt>
                <c:pt idx="45">
                  <c:v>125.38509374999998</c:v>
                </c:pt>
                <c:pt idx="46">
                  <c:v>125.38509374999998</c:v>
                </c:pt>
                <c:pt idx="47">
                  <c:v>117.18633105468749</c:v>
                </c:pt>
                <c:pt idx="48">
                  <c:v>115.34243261718748</c:v>
                </c:pt>
                <c:pt idx="49">
                  <c:v>115.34243261718748</c:v>
                </c:pt>
                <c:pt idx="50">
                  <c:v>111.72048925781249</c:v>
                </c:pt>
                <c:pt idx="51">
                  <c:v>111.72048925781249</c:v>
                </c:pt>
                <c:pt idx="52">
                  <c:v>111.73042968749999</c:v>
                </c:pt>
                <c:pt idx="53">
                  <c:v>111.1376953125</c:v>
                </c:pt>
                <c:pt idx="54">
                  <c:v>111.1376953125</c:v>
                </c:pt>
                <c:pt idx="55">
                  <c:v>110.64374999999998</c:v>
                </c:pt>
                <c:pt idx="56">
                  <c:v>109.26070312499999</c:v>
                </c:pt>
                <c:pt idx="57">
                  <c:v>109.26070312499999</c:v>
                </c:pt>
                <c:pt idx="58">
                  <c:v>108.40453124999999</c:v>
                </c:pt>
                <c:pt idx="59">
                  <c:v>108.40453124999999</c:v>
                </c:pt>
                <c:pt idx="60">
                  <c:v>108.14109374999998</c:v>
                </c:pt>
                <c:pt idx="61">
                  <c:v>106.42875000000001</c:v>
                </c:pt>
                <c:pt idx="62">
                  <c:v>100.10624999999999</c:v>
                </c:pt>
                <c:pt idx="63">
                  <c:v>100.10624999999999</c:v>
                </c:pt>
                <c:pt idx="64">
                  <c:v>100.10624999999999</c:v>
                </c:pt>
                <c:pt idx="65">
                  <c:v>100.10624999999999</c:v>
                </c:pt>
                <c:pt idx="66">
                  <c:v>100.10624999999999</c:v>
                </c:pt>
                <c:pt idx="67">
                  <c:v>100.10624999999999</c:v>
                </c:pt>
              </c:numCache>
            </c:numRef>
          </c:val>
          <c:smooth val="0"/>
        </c:ser>
        <c:dLbls>
          <c:showLegendKey val="0"/>
          <c:showVal val="0"/>
          <c:showCatName val="0"/>
          <c:showSerName val="0"/>
          <c:showPercent val="0"/>
          <c:showBubbleSize val="0"/>
        </c:dLbls>
        <c:marker val="1"/>
        <c:smooth val="0"/>
        <c:axId val="470832640"/>
        <c:axId val="470834176"/>
      </c:lineChart>
      <c:dateAx>
        <c:axId val="47083264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0834176"/>
        <c:crosses val="autoZero"/>
        <c:auto val="1"/>
        <c:lblOffset val="100"/>
        <c:baseTimeUnit val="days"/>
      </c:dateAx>
      <c:valAx>
        <c:axId val="47083417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08326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008773460594501"/>
        </c:manualLayout>
      </c:layout>
      <c:lineChart>
        <c:grouping val="standard"/>
        <c:varyColors val="0"/>
        <c:ser>
          <c:idx val="0"/>
          <c:order val="0"/>
          <c:tx>
            <c:strRef>
              <c:f>'Allocated charts'!$M$2</c:f>
              <c:strCache>
                <c:ptCount val="1"/>
                <c:pt idx="0">
                  <c:v>FDC T4 V-MAX 3004</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charts'!$M$41:$M$108</c:f>
              <c:numCache>
                <c:formatCode>0</c:formatCode>
                <c:ptCount val="68"/>
                <c:pt idx="0">
                  <c:v>357.97971093749999</c:v>
                </c:pt>
                <c:pt idx="1">
                  <c:v>357.97971093749999</c:v>
                </c:pt>
                <c:pt idx="2">
                  <c:v>357.97971093749999</c:v>
                </c:pt>
                <c:pt idx="3">
                  <c:v>357.97971093749999</c:v>
                </c:pt>
                <c:pt idx="4">
                  <c:v>357.97971093749999</c:v>
                </c:pt>
                <c:pt idx="5">
                  <c:v>357.97971093749999</c:v>
                </c:pt>
                <c:pt idx="6">
                  <c:v>360.15287695312497</c:v>
                </c:pt>
                <c:pt idx="7">
                  <c:v>360.11995019531247</c:v>
                </c:pt>
                <c:pt idx="8">
                  <c:v>360.11995019531247</c:v>
                </c:pt>
                <c:pt idx="9">
                  <c:v>360.11995019531247</c:v>
                </c:pt>
                <c:pt idx="10">
                  <c:v>360.11995019531247</c:v>
                </c:pt>
                <c:pt idx="11">
                  <c:v>360.11995019531247</c:v>
                </c:pt>
                <c:pt idx="12">
                  <c:v>360.11995019531247</c:v>
                </c:pt>
                <c:pt idx="13">
                  <c:v>354.3906943359375</c:v>
                </c:pt>
                <c:pt idx="14">
                  <c:v>354.3906943359375</c:v>
                </c:pt>
                <c:pt idx="15">
                  <c:v>354.3906943359375</c:v>
                </c:pt>
                <c:pt idx="16">
                  <c:v>354.3906943359375</c:v>
                </c:pt>
                <c:pt idx="17">
                  <c:v>354.3906943359375</c:v>
                </c:pt>
                <c:pt idx="18">
                  <c:v>354.3906943359375</c:v>
                </c:pt>
                <c:pt idx="19">
                  <c:v>353.13947753906251</c:v>
                </c:pt>
                <c:pt idx="20">
                  <c:v>350.47241015624996</c:v>
                </c:pt>
                <c:pt idx="21">
                  <c:v>367.00164257812497</c:v>
                </c:pt>
                <c:pt idx="22">
                  <c:v>367.00164257812497</c:v>
                </c:pt>
                <c:pt idx="23">
                  <c:v>367.00164257812497</c:v>
                </c:pt>
                <c:pt idx="24">
                  <c:v>366.50774121093747</c:v>
                </c:pt>
                <c:pt idx="25">
                  <c:v>366.50774121093747</c:v>
                </c:pt>
                <c:pt idx="26">
                  <c:v>366.50774121093747</c:v>
                </c:pt>
                <c:pt idx="27">
                  <c:v>366.50774121093747</c:v>
                </c:pt>
                <c:pt idx="28">
                  <c:v>366.50774121093747</c:v>
                </c:pt>
                <c:pt idx="29">
                  <c:v>365.816279296875</c:v>
                </c:pt>
                <c:pt idx="30">
                  <c:v>365.816279296875</c:v>
                </c:pt>
                <c:pt idx="31">
                  <c:v>365.816279296875</c:v>
                </c:pt>
                <c:pt idx="32">
                  <c:v>365.816279296875</c:v>
                </c:pt>
                <c:pt idx="33">
                  <c:v>363.74189355468746</c:v>
                </c:pt>
                <c:pt idx="34">
                  <c:v>363.64311328125001</c:v>
                </c:pt>
                <c:pt idx="35">
                  <c:v>363.97238085937499</c:v>
                </c:pt>
                <c:pt idx="36">
                  <c:v>363.47847949218749</c:v>
                </c:pt>
                <c:pt idx="37">
                  <c:v>363.18213867187501</c:v>
                </c:pt>
                <c:pt idx="38">
                  <c:v>368.6150537109375</c:v>
                </c:pt>
                <c:pt idx="39">
                  <c:v>368.6150537109375</c:v>
                </c:pt>
                <c:pt idx="40">
                  <c:v>363.87360058593748</c:v>
                </c:pt>
                <c:pt idx="41">
                  <c:v>363.87360058593748</c:v>
                </c:pt>
                <c:pt idx="42">
                  <c:v>363.97238085937499</c:v>
                </c:pt>
                <c:pt idx="43">
                  <c:v>362.91872460937498</c:v>
                </c:pt>
                <c:pt idx="44">
                  <c:v>362.91872460937498</c:v>
                </c:pt>
                <c:pt idx="45">
                  <c:v>347.113880859375</c:v>
                </c:pt>
                <c:pt idx="46">
                  <c:v>347.113880859375</c:v>
                </c:pt>
                <c:pt idx="47">
                  <c:v>347.113880859375</c:v>
                </c:pt>
                <c:pt idx="48">
                  <c:v>344.97364160156246</c:v>
                </c:pt>
                <c:pt idx="49">
                  <c:v>344.97364160156246</c:v>
                </c:pt>
                <c:pt idx="50">
                  <c:v>335.95170996093748</c:v>
                </c:pt>
                <c:pt idx="51">
                  <c:v>335.88585644531247</c:v>
                </c:pt>
                <c:pt idx="52">
                  <c:v>335.91574218749997</c:v>
                </c:pt>
                <c:pt idx="53">
                  <c:v>335.91574218749997</c:v>
                </c:pt>
                <c:pt idx="54">
                  <c:v>323.30367187499996</c:v>
                </c:pt>
                <c:pt idx="55">
                  <c:v>323.30367187499996</c:v>
                </c:pt>
                <c:pt idx="56">
                  <c:v>323.30367187499996</c:v>
                </c:pt>
                <c:pt idx="57">
                  <c:v>323.30367187499996</c:v>
                </c:pt>
                <c:pt idx="58">
                  <c:v>323.30367187499996</c:v>
                </c:pt>
                <c:pt idx="59">
                  <c:v>323.30367187499996</c:v>
                </c:pt>
                <c:pt idx="60">
                  <c:v>321.65718749999996</c:v>
                </c:pt>
                <c:pt idx="61">
                  <c:v>321.59132812499996</c:v>
                </c:pt>
                <c:pt idx="62">
                  <c:v>319.91191406249999</c:v>
                </c:pt>
                <c:pt idx="63">
                  <c:v>314.67609375000001</c:v>
                </c:pt>
                <c:pt idx="64">
                  <c:v>314.67609375000001</c:v>
                </c:pt>
                <c:pt idx="65">
                  <c:v>314.67609375000001</c:v>
                </c:pt>
                <c:pt idx="66">
                  <c:v>314.70902343749998</c:v>
                </c:pt>
                <c:pt idx="67">
                  <c:v>314.70902343749998</c:v>
                </c:pt>
              </c:numCache>
            </c:numRef>
          </c:val>
          <c:smooth val="0"/>
        </c:ser>
        <c:dLbls>
          <c:showLegendKey val="0"/>
          <c:showVal val="0"/>
          <c:showCatName val="0"/>
          <c:showSerName val="0"/>
          <c:showPercent val="0"/>
          <c:showBubbleSize val="0"/>
        </c:dLbls>
        <c:marker val="1"/>
        <c:smooth val="0"/>
        <c:axId val="470862464"/>
        <c:axId val="470942080"/>
      </c:lineChart>
      <c:dateAx>
        <c:axId val="470862464"/>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0942080"/>
        <c:crosses val="autoZero"/>
        <c:auto val="1"/>
        <c:lblOffset val="100"/>
        <c:baseTimeUnit val="days"/>
      </c:dateAx>
      <c:valAx>
        <c:axId val="47094208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08624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149672353331264"/>
        </c:manualLayout>
      </c:layout>
      <c:lineChart>
        <c:grouping val="standard"/>
        <c:varyColors val="0"/>
        <c:ser>
          <c:idx val="0"/>
          <c:order val="0"/>
          <c:tx>
            <c:strRef>
              <c:f>'Allocated charts'!$N$2</c:f>
              <c:strCache>
                <c:ptCount val="1"/>
                <c:pt idx="0">
                  <c:v>FDC T3 V-MAX 2804</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charts'!$N$41:$N$108</c:f>
              <c:numCache>
                <c:formatCode>0</c:formatCode>
                <c:ptCount val="68"/>
                <c:pt idx="0">
                  <c:v>122.3229052734375</c:v>
                </c:pt>
                <c:pt idx="1">
                  <c:v>122.3229052734375</c:v>
                </c:pt>
                <c:pt idx="2">
                  <c:v>122.3229052734375</c:v>
                </c:pt>
                <c:pt idx="3">
                  <c:v>122.553392578125</c:v>
                </c:pt>
                <c:pt idx="4">
                  <c:v>122.553392578125</c:v>
                </c:pt>
                <c:pt idx="5">
                  <c:v>122.553392578125</c:v>
                </c:pt>
                <c:pt idx="6">
                  <c:v>123.96924316406249</c:v>
                </c:pt>
                <c:pt idx="7">
                  <c:v>123.96924316406249</c:v>
                </c:pt>
                <c:pt idx="8">
                  <c:v>130.5545947265625</c:v>
                </c:pt>
                <c:pt idx="9">
                  <c:v>130.5545947265625</c:v>
                </c:pt>
                <c:pt idx="10">
                  <c:v>130.5545947265625</c:v>
                </c:pt>
                <c:pt idx="11">
                  <c:v>130.5545947265625</c:v>
                </c:pt>
                <c:pt idx="12">
                  <c:v>130.5545947265625</c:v>
                </c:pt>
                <c:pt idx="13">
                  <c:v>133.5509296875</c:v>
                </c:pt>
                <c:pt idx="14">
                  <c:v>133.5509296875</c:v>
                </c:pt>
                <c:pt idx="15">
                  <c:v>133.5509296875</c:v>
                </c:pt>
                <c:pt idx="16">
                  <c:v>133.5509296875</c:v>
                </c:pt>
                <c:pt idx="17">
                  <c:v>133.5509296875</c:v>
                </c:pt>
                <c:pt idx="18">
                  <c:v>133.22166210937499</c:v>
                </c:pt>
                <c:pt idx="19">
                  <c:v>133.22166210937499</c:v>
                </c:pt>
                <c:pt idx="20">
                  <c:v>133.22166210937499</c:v>
                </c:pt>
                <c:pt idx="21">
                  <c:v>133.089955078125</c:v>
                </c:pt>
                <c:pt idx="22">
                  <c:v>133.089955078125</c:v>
                </c:pt>
                <c:pt idx="23">
                  <c:v>132.5960537109375</c:v>
                </c:pt>
                <c:pt idx="24">
                  <c:v>132.53020019531249</c:v>
                </c:pt>
                <c:pt idx="25">
                  <c:v>132.53020019531249</c:v>
                </c:pt>
                <c:pt idx="26">
                  <c:v>132.53020019531249</c:v>
                </c:pt>
                <c:pt idx="27">
                  <c:v>132.53020019531249</c:v>
                </c:pt>
                <c:pt idx="28">
                  <c:v>132.53020019531249</c:v>
                </c:pt>
                <c:pt idx="29">
                  <c:v>132.23385937500001</c:v>
                </c:pt>
                <c:pt idx="30">
                  <c:v>131.54239746093751</c:v>
                </c:pt>
                <c:pt idx="31">
                  <c:v>131.54239746093751</c:v>
                </c:pt>
                <c:pt idx="32">
                  <c:v>131.54239746093751</c:v>
                </c:pt>
                <c:pt idx="33">
                  <c:v>130.78508203125</c:v>
                </c:pt>
                <c:pt idx="34">
                  <c:v>129.96191308593748</c:v>
                </c:pt>
                <c:pt idx="35">
                  <c:v>129.56679199218749</c:v>
                </c:pt>
                <c:pt idx="36">
                  <c:v>128.77654980468751</c:v>
                </c:pt>
                <c:pt idx="37">
                  <c:v>128.77654980468751</c:v>
                </c:pt>
                <c:pt idx="38">
                  <c:v>128.77654980468751</c:v>
                </c:pt>
                <c:pt idx="39">
                  <c:v>128.77654980468751</c:v>
                </c:pt>
                <c:pt idx="40">
                  <c:v>128.5131357421875</c:v>
                </c:pt>
                <c:pt idx="41">
                  <c:v>128.5131357421875</c:v>
                </c:pt>
                <c:pt idx="42">
                  <c:v>129.07289062499999</c:v>
                </c:pt>
                <c:pt idx="43">
                  <c:v>129.03996386718748</c:v>
                </c:pt>
                <c:pt idx="44">
                  <c:v>127.95338085937499</c:v>
                </c:pt>
                <c:pt idx="45">
                  <c:v>125.51680078125</c:v>
                </c:pt>
                <c:pt idx="46">
                  <c:v>125.51680078125</c:v>
                </c:pt>
                <c:pt idx="47">
                  <c:v>124.72655859375</c:v>
                </c:pt>
                <c:pt idx="48">
                  <c:v>122.6521728515625</c:v>
                </c:pt>
                <c:pt idx="49">
                  <c:v>122.6521728515625</c:v>
                </c:pt>
                <c:pt idx="50">
                  <c:v>122.6521728515625</c:v>
                </c:pt>
                <c:pt idx="51">
                  <c:v>122.6521728515625</c:v>
                </c:pt>
                <c:pt idx="52">
                  <c:v>73.169765624999997</c:v>
                </c:pt>
                <c:pt idx="53">
                  <c:v>73.169765624999997</c:v>
                </c:pt>
                <c:pt idx="54">
                  <c:v>72.577031249999976</c:v>
                </c:pt>
                <c:pt idx="55">
                  <c:v>122.36671874999999</c:v>
                </c:pt>
                <c:pt idx="56">
                  <c:v>121.378828125</c:v>
                </c:pt>
                <c:pt idx="57">
                  <c:v>121.378828125</c:v>
                </c:pt>
                <c:pt idx="58">
                  <c:v>121.378828125</c:v>
                </c:pt>
                <c:pt idx="59">
                  <c:v>121.378828125</c:v>
                </c:pt>
                <c:pt idx="60">
                  <c:v>121.378828125</c:v>
                </c:pt>
                <c:pt idx="61">
                  <c:v>121.378828125</c:v>
                </c:pt>
                <c:pt idx="62">
                  <c:v>121.378828125</c:v>
                </c:pt>
                <c:pt idx="63">
                  <c:v>121.378828125</c:v>
                </c:pt>
                <c:pt idx="64">
                  <c:v>121.378828125</c:v>
                </c:pt>
                <c:pt idx="65">
                  <c:v>121.378828125</c:v>
                </c:pt>
                <c:pt idx="66">
                  <c:v>121.378828125</c:v>
                </c:pt>
                <c:pt idx="67">
                  <c:v>121.378828125</c:v>
                </c:pt>
              </c:numCache>
            </c:numRef>
          </c:val>
          <c:smooth val="0"/>
        </c:ser>
        <c:dLbls>
          <c:showLegendKey val="0"/>
          <c:showVal val="0"/>
          <c:showCatName val="0"/>
          <c:showSerName val="0"/>
          <c:showPercent val="0"/>
          <c:showBubbleSize val="0"/>
        </c:dLbls>
        <c:marker val="1"/>
        <c:smooth val="0"/>
        <c:axId val="470970368"/>
        <c:axId val="470971904"/>
      </c:lineChart>
      <c:dateAx>
        <c:axId val="47097036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0971904"/>
        <c:crosses val="autoZero"/>
        <c:auto val="1"/>
        <c:lblOffset val="100"/>
        <c:baseTimeUnit val="days"/>
      </c:dateAx>
      <c:valAx>
        <c:axId val="47097190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09703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0925288148977474"/>
        </c:manualLayout>
      </c:layout>
      <c:lineChart>
        <c:grouping val="standard"/>
        <c:varyColors val="0"/>
        <c:ser>
          <c:idx val="0"/>
          <c:order val="0"/>
          <c:tx>
            <c:strRef>
              <c:f>'Allocated charts'!$F$2</c:f>
              <c:strCache>
                <c:ptCount val="1"/>
                <c:pt idx="0">
                  <c:v>RDC T3 V-MAX 3286</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charts'!$F$41:$F$108</c:f>
              <c:numCache>
                <c:formatCode>0</c:formatCode>
                <c:ptCount val="68"/>
                <c:pt idx="0">
                  <c:v>118.14120703124999</c:v>
                </c:pt>
                <c:pt idx="1">
                  <c:v>118.14120703124999</c:v>
                </c:pt>
                <c:pt idx="2">
                  <c:v>118.60218164062499</c:v>
                </c:pt>
                <c:pt idx="3">
                  <c:v>119.129009765625</c:v>
                </c:pt>
                <c:pt idx="4">
                  <c:v>119.129009765625</c:v>
                </c:pt>
                <c:pt idx="5">
                  <c:v>119.129009765625</c:v>
                </c:pt>
                <c:pt idx="6">
                  <c:v>119.129009765625</c:v>
                </c:pt>
                <c:pt idx="7">
                  <c:v>119.129009765625</c:v>
                </c:pt>
                <c:pt idx="8">
                  <c:v>251.42872265624999</c:v>
                </c:pt>
                <c:pt idx="9">
                  <c:v>251.42872265624999</c:v>
                </c:pt>
                <c:pt idx="10">
                  <c:v>251.42872265624999</c:v>
                </c:pt>
                <c:pt idx="11">
                  <c:v>251.42872265624999</c:v>
                </c:pt>
                <c:pt idx="12">
                  <c:v>251.42872265624999</c:v>
                </c:pt>
                <c:pt idx="13">
                  <c:v>251.42872265624999</c:v>
                </c:pt>
                <c:pt idx="14">
                  <c:v>257.42139257812499</c:v>
                </c:pt>
                <c:pt idx="15">
                  <c:v>257.42139257812499</c:v>
                </c:pt>
                <c:pt idx="16">
                  <c:v>257.42139257812499</c:v>
                </c:pt>
                <c:pt idx="17">
                  <c:v>257.42139257812499</c:v>
                </c:pt>
                <c:pt idx="18">
                  <c:v>256.76285742187497</c:v>
                </c:pt>
                <c:pt idx="19">
                  <c:v>256.76285742187497</c:v>
                </c:pt>
                <c:pt idx="20">
                  <c:v>256.76285742187497</c:v>
                </c:pt>
                <c:pt idx="21">
                  <c:v>256.49944335937499</c:v>
                </c:pt>
                <c:pt idx="22">
                  <c:v>256.49944335937499</c:v>
                </c:pt>
                <c:pt idx="23">
                  <c:v>255.51164062499998</c:v>
                </c:pt>
                <c:pt idx="24">
                  <c:v>255.37993359375</c:v>
                </c:pt>
                <c:pt idx="25">
                  <c:v>255.37993359375</c:v>
                </c:pt>
                <c:pt idx="26">
                  <c:v>255.37993359375</c:v>
                </c:pt>
                <c:pt idx="27">
                  <c:v>255.37993359375</c:v>
                </c:pt>
                <c:pt idx="28">
                  <c:v>255.37993359375</c:v>
                </c:pt>
                <c:pt idx="29">
                  <c:v>254.78725195312498</c:v>
                </c:pt>
                <c:pt idx="30">
                  <c:v>253.40432812499998</c:v>
                </c:pt>
                <c:pt idx="31">
                  <c:v>253.40432812499998</c:v>
                </c:pt>
                <c:pt idx="32">
                  <c:v>253.40432812499998</c:v>
                </c:pt>
                <c:pt idx="33">
                  <c:v>251.88969726562499</c:v>
                </c:pt>
                <c:pt idx="34">
                  <c:v>250.24335937499998</c:v>
                </c:pt>
                <c:pt idx="35">
                  <c:v>249.78238476562498</c:v>
                </c:pt>
                <c:pt idx="36">
                  <c:v>247.8726328125</c:v>
                </c:pt>
                <c:pt idx="37">
                  <c:v>247.8726328125</c:v>
                </c:pt>
                <c:pt idx="38">
                  <c:v>247.8726328125</c:v>
                </c:pt>
                <c:pt idx="39">
                  <c:v>247.8726328125</c:v>
                </c:pt>
                <c:pt idx="40">
                  <c:v>247.8726328125</c:v>
                </c:pt>
                <c:pt idx="41">
                  <c:v>247.34580468749999</c:v>
                </c:pt>
                <c:pt idx="42">
                  <c:v>247.675072265625</c:v>
                </c:pt>
                <c:pt idx="43">
                  <c:v>246.68726953125</c:v>
                </c:pt>
                <c:pt idx="44">
                  <c:v>244.71166406249998</c:v>
                </c:pt>
                <c:pt idx="45">
                  <c:v>240.562892578125</c:v>
                </c:pt>
                <c:pt idx="46">
                  <c:v>240.562892578125</c:v>
                </c:pt>
                <c:pt idx="47">
                  <c:v>237.20436328124998</c:v>
                </c:pt>
                <c:pt idx="48">
                  <c:v>233.05559179687498</c:v>
                </c:pt>
                <c:pt idx="49">
                  <c:v>233.05559179687498</c:v>
                </c:pt>
                <c:pt idx="50">
                  <c:v>233.05559179687498</c:v>
                </c:pt>
                <c:pt idx="51">
                  <c:v>233.05559179687498</c:v>
                </c:pt>
                <c:pt idx="52">
                  <c:v>233.076328125</c:v>
                </c:pt>
                <c:pt idx="53">
                  <c:v>233.076328125</c:v>
                </c:pt>
                <c:pt idx="54">
                  <c:v>232.48359374999998</c:v>
                </c:pt>
                <c:pt idx="55">
                  <c:v>232.48359374999998</c:v>
                </c:pt>
                <c:pt idx="56">
                  <c:v>231.49570312500001</c:v>
                </c:pt>
                <c:pt idx="57">
                  <c:v>231.49570312500001</c:v>
                </c:pt>
                <c:pt idx="58">
                  <c:v>231.49570312500001</c:v>
                </c:pt>
                <c:pt idx="59">
                  <c:v>231.49570312500001</c:v>
                </c:pt>
                <c:pt idx="60">
                  <c:v>231.49570312500001</c:v>
                </c:pt>
                <c:pt idx="61">
                  <c:v>230.96882812499999</c:v>
                </c:pt>
                <c:pt idx="62">
                  <c:v>230.96882812499999</c:v>
                </c:pt>
                <c:pt idx="63">
                  <c:v>230.96882812499999</c:v>
                </c:pt>
                <c:pt idx="64">
                  <c:v>230.96882812499999</c:v>
                </c:pt>
                <c:pt idx="65">
                  <c:v>230.96882812499999</c:v>
                </c:pt>
                <c:pt idx="66">
                  <c:v>230.96882812499999</c:v>
                </c:pt>
                <c:pt idx="67">
                  <c:v>230.96882812499999</c:v>
                </c:pt>
              </c:numCache>
            </c:numRef>
          </c:val>
          <c:smooth val="0"/>
        </c:ser>
        <c:dLbls>
          <c:showLegendKey val="0"/>
          <c:showVal val="0"/>
          <c:showCatName val="0"/>
          <c:showSerName val="0"/>
          <c:showPercent val="0"/>
          <c:showBubbleSize val="0"/>
        </c:dLbls>
        <c:marker val="1"/>
        <c:smooth val="0"/>
        <c:axId val="471004288"/>
        <c:axId val="471005824"/>
      </c:lineChart>
      <c:dateAx>
        <c:axId val="47100428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1005824"/>
        <c:crosses val="autoZero"/>
        <c:auto val="1"/>
        <c:lblOffset val="100"/>
        <c:baseTimeUnit val="days"/>
      </c:dateAx>
      <c:valAx>
        <c:axId val="47100582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10042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782913522709693"/>
        </c:manualLayout>
      </c:layout>
      <c:lineChart>
        <c:grouping val="standard"/>
        <c:varyColors val="0"/>
        <c:ser>
          <c:idx val="0"/>
          <c:order val="0"/>
          <c:tx>
            <c:strRef>
              <c:f>'Allocated charts'!$I$2</c:f>
              <c:strCache>
                <c:ptCount val="1"/>
                <c:pt idx="0">
                  <c:v>RDC T3 V-MAX 3696</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charts'!$I$41:$I$95</c:f>
              <c:numCache>
                <c:formatCode>0</c:formatCode>
                <c:ptCount val="55"/>
                <c:pt idx="0">
                  <c:v>42.442590820312496</c:v>
                </c:pt>
                <c:pt idx="1">
                  <c:v>42.442590820312496</c:v>
                </c:pt>
                <c:pt idx="2">
                  <c:v>42.179176757812499</c:v>
                </c:pt>
                <c:pt idx="3">
                  <c:v>40.895033203124996</c:v>
                </c:pt>
                <c:pt idx="4">
                  <c:v>40.895033203124996</c:v>
                </c:pt>
                <c:pt idx="5">
                  <c:v>40.895033203124996</c:v>
                </c:pt>
                <c:pt idx="6">
                  <c:v>26.802380859374999</c:v>
                </c:pt>
                <c:pt idx="7">
                  <c:v>25.5840908203125</c:v>
                </c:pt>
                <c:pt idx="8">
                  <c:v>21.369465820312499</c:v>
                </c:pt>
                <c:pt idx="9">
                  <c:v>21.369465820312499</c:v>
                </c:pt>
                <c:pt idx="10">
                  <c:v>19.459713867187499</c:v>
                </c:pt>
                <c:pt idx="11">
                  <c:v>19.328006835937501</c:v>
                </c:pt>
                <c:pt idx="12">
                  <c:v>19.328006835937501</c:v>
                </c:pt>
                <c:pt idx="13">
                  <c:v>19.097519531250001</c:v>
                </c:pt>
                <c:pt idx="14">
                  <c:v>19.097519531250001</c:v>
                </c:pt>
                <c:pt idx="15">
                  <c:v>19.097519531250001</c:v>
                </c:pt>
                <c:pt idx="16">
                  <c:v>19.097519531250001</c:v>
                </c:pt>
                <c:pt idx="17">
                  <c:v>19.097519531250001</c:v>
                </c:pt>
                <c:pt idx="18">
                  <c:v>18.570691406249999</c:v>
                </c:pt>
                <c:pt idx="19">
                  <c:v>18.043863281250001</c:v>
                </c:pt>
                <c:pt idx="20">
                  <c:v>18.043863281250001</c:v>
                </c:pt>
                <c:pt idx="21">
                  <c:v>18.043863281250001</c:v>
                </c:pt>
                <c:pt idx="22">
                  <c:v>18.043863281250001</c:v>
                </c:pt>
                <c:pt idx="23">
                  <c:v>17.056060546874999</c:v>
                </c:pt>
                <c:pt idx="24">
                  <c:v>17.056060546874999</c:v>
                </c:pt>
                <c:pt idx="25">
                  <c:v>17.056060546874999</c:v>
                </c:pt>
                <c:pt idx="26">
                  <c:v>17.056060546874999</c:v>
                </c:pt>
                <c:pt idx="27">
                  <c:v>14.0597255859375</c:v>
                </c:pt>
                <c:pt idx="28">
                  <c:v>14.0597255859375</c:v>
                </c:pt>
                <c:pt idx="29">
                  <c:v>14.0597255859375</c:v>
                </c:pt>
                <c:pt idx="30">
                  <c:v>12.512167968749999</c:v>
                </c:pt>
                <c:pt idx="31">
                  <c:v>12.512167968749999</c:v>
                </c:pt>
                <c:pt idx="32">
                  <c:v>12.512167968749999</c:v>
                </c:pt>
                <c:pt idx="33">
                  <c:v>12.512167968749999</c:v>
                </c:pt>
                <c:pt idx="34">
                  <c:v>12.182900390624999</c:v>
                </c:pt>
                <c:pt idx="35">
                  <c:v>12.1499736328125</c:v>
                </c:pt>
                <c:pt idx="36">
                  <c:v>12.1499736328125</c:v>
                </c:pt>
                <c:pt idx="37">
                  <c:v>12.1499736328125</c:v>
                </c:pt>
                <c:pt idx="38">
                  <c:v>12.1499736328125</c:v>
                </c:pt>
                <c:pt idx="39">
                  <c:v>12.1499736328125</c:v>
                </c:pt>
                <c:pt idx="40">
                  <c:v>12.1499736328125</c:v>
                </c:pt>
                <c:pt idx="41">
                  <c:v>12.1499736328125</c:v>
                </c:pt>
                <c:pt idx="42">
                  <c:v>10.240221679687499</c:v>
                </c:pt>
                <c:pt idx="43">
                  <c:v>9.4170527343749999</c:v>
                </c:pt>
                <c:pt idx="44">
                  <c:v>9.4170527343749999</c:v>
                </c:pt>
                <c:pt idx="45">
                  <c:v>9.4170527343749999</c:v>
                </c:pt>
                <c:pt idx="46">
                  <c:v>9.4170527343749999</c:v>
                </c:pt>
                <c:pt idx="47">
                  <c:v>9.4170527343749999</c:v>
                </c:pt>
                <c:pt idx="48">
                  <c:v>9.4170527343749999</c:v>
                </c:pt>
                <c:pt idx="49">
                  <c:v>9.4170527343749999</c:v>
                </c:pt>
                <c:pt idx="50">
                  <c:v>9.4170527343749999</c:v>
                </c:pt>
                <c:pt idx="51">
                  <c:v>9.4170527343749999</c:v>
                </c:pt>
                <c:pt idx="52">
                  <c:v>9.4178906250000001</c:v>
                </c:pt>
                <c:pt idx="53">
                  <c:v>9.4178906250000001</c:v>
                </c:pt>
                <c:pt idx="54">
                  <c:v>9.4178906250000001</c:v>
                </c:pt>
              </c:numCache>
            </c:numRef>
          </c:val>
          <c:smooth val="0"/>
        </c:ser>
        <c:dLbls>
          <c:showLegendKey val="0"/>
          <c:showVal val="0"/>
          <c:showCatName val="0"/>
          <c:showSerName val="0"/>
          <c:showPercent val="0"/>
          <c:showBubbleSize val="0"/>
        </c:dLbls>
        <c:marker val="1"/>
        <c:smooth val="0"/>
        <c:axId val="471017728"/>
        <c:axId val="471040000"/>
      </c:lineChart>
      <c:dateAx>
        <c:axId val="47101772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1040000"/>
        <c:crosses val="autoZero"/>
        <c:auto val="1"/>
        <c:lblOffset val="100"/>
        <c:baseTimeUnit val="days"/>
      </c:dateAx>
      <c:valAx>
        <c:axId val="47104000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10177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7813233100132753"/>
          <c:y val="0.18584090027572303"/>
          <c:w val="0.75908709652645689"/>
          <c:h val="0.61008773460594501"/>
        </c:manualLayout>
      </c:layout>
      <c:lineChart>
        <c:grouping val="standard"/>
        <c:varyColors val="0"/>
        <c:ser>
          <c:idx val="0"/>
          <c:order val="0"/>
          <c:tx>
            <c:strRef>
              <c:f>'Allocated charts'!$P$2</c:f>
              <c:strCache>
                <c:ptCount val="1"/>
                <c:pt idx="0">
                  <c:v>FDC T3 V-MAX 3875</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charts'!$P$41:$P$95</c:f>
              <c:numCache>
                <c:formatCode>0</c:formatCode>
                <c:ptCount val="55"/>
                <c:pt idx="0">
                  <c:v>57.193778320312497</c:v>
                </c:pt>
                <c:pt idx="1">
                  <c:v>57.193778320312497</c:v>
                </c:pt>
                <c:pt idx="2">
                  <c:v>56.930364257812499</c:v>
                </c:pt>
                <c:pt idx="3">
                  <c:v>56.008415039062498</c:v>
                </c:pt>
                <c:pt idx="4">
                  <c:v>55.646220703124996</c:v>
                </c:pt>
                <c:pt idx="5">
                  <c:v>55.646220703124996</c:v>
                </c:pt>
                <c:pt idx="6">
                  <c:v>41.553568359374999</c:v>
                </c:pt>
                <c:pt idx="7">
                  <c:v>40.335278320312497</c:v>
                </c:pt>
                <c:pt idx="8">
                  <c:v>36.120653320312499</c:v>
                </c:pt>
                <c:pt idx="9">
                  <c:v>36.120653320312499</c:v>
                </c:pt>
                <c:pt idx="10">
                  <c:v>34.210901367187496</c:v>
                </c:pt>
                <c:pt idx="11">
                  <c:v>34.079194335937501</c:v>
                </c:pt>
                <c:pt idx="12">
                  <c:v>34.079194335937501</c:v>
                </c:pt>
                <c:pt idx="13">
                  <c:v>33.848707031250001</c:v>
                </c:pt>
                <c:pt idx="14">
                  <c:v>33.848707031250001</c:v>
                </c:pt>
                <c:pt idx="15">
                  <c:v>33.848707031250001</c:v>
                </c:pt>
                <c:pt idx="16">
                  <c:v>33.848707031250001</c:v>
                </c:pt>
                <c:pt idx="17">
                  <c:v>33.848707031250001</c:v>
                </c:pt>
                <c:pt idx="18">
                  <c:v>33.321878906249999</c:v>
                </c:pt>
                <c:pt idx="19">
                  <c:v>32.795050781249998</c:v>
                </c:pt>
                <c:pt idx="20">
                  <c:v>32.795050781249998</c:v>
                </c:pt>
                <c:pt idx="21">
                  <c:v>32.795050781249998</c:v>
                </c:pt>
                <c:pt idx="22">
                  <c:v>32.795050781249998</c:v>
                </c:pt>
                <c:pt idx="23">
                  <c:v>31.6096875</c:v>
                </c:pt>
                <c:pt idx="24">
                  <c:v>31.6096875</c:v>
                </c:pt>
                <c:pt idx="25">
                  <c:v>31.6096875</c:v>
                </c:pt>
                <c:pt idx="26">
                  <c:v>31.6096875</c:v>
                </c:pt>
                <c:pt idx="27">
                  <c:v>28.6133525390625</c:v>
                </c:pt>
                <c:pt idx="28">
                  <c:v>28.6133525390625</c:v>
                </c:pt>
                <c:pt idx="29">
                  <c:v>28.6133525390625</c:v>
                </c:pt>
                <c:pt idx="30">
                  <c:v>28.1853046875</c:v>
                </c:pt>
                <c:pt idx="31">
                  <c:v>28.1853046875</c:v>
                </c:pt>
                <c:pt idx="32">
                  <c:v>28.1853046875</c:v>
                </c:pt>
                <c:pt idx="33">
                  <c:v>28.1523779296875</c:v>
                </c:pt>
                <c:pt idx="34">
                  <c:v>27.625549804687498</c:v>
                </c:pt>
                <c:pt idx="35">
                  <c:v>27.592623046874998</c:v>
                </c:pt>
                <c:pt idx="36">
                  <c:v>27.592623046874998</c:v>
                </c:pt>
                <c:pt idx="37">
                  <c:v>26.604820312499999</c:v>
                </c:pt>
                <c:pt idx="38">
                  <c:v>26.604820312499999</c:v>
                </c:pt>
                <c:pt idx="39">
                  <c:v>26.604820312499999</c:v>
                </c:pt>
                <c:pt idx="40">
                  <c:v>26.604820312499999</c:v>
                </c:pt>
                <c:pt idx="41">
                  <c:v>26.604820312499999</c:v>
                </c:pt>
                <c:pt idx="42">
                  <c:v>26.604820312499999</c:v>
                </c:pt>
                <c:pt idx="43">
                  <c:v>26.604820312499999</c:v>
                </c:pt>
                <c:pt idx="44">
                  <c:v>23.871899414062501</c:v>
                </c:pt>
                <c:pt idx="45">
                  <c:v>23.871899414062501</c:v>
                </c:pt>
                <c:pt idx="46">
                  <c:v>23.871899414062501</c:v>
                </c:pt>
                <c:pt idx="47">
                  <c:v>23.871899414062501</c:v>
                </c:pt>
                <c:pt idx="48">
                  <c:v>23.871899414062501</c:v>
                </c:pt>
                <c:pt idx="49">
                  <c:v>23.871899414062501</c:v>
                </c:pt>
                <c:pt idx="50">
                  <c:v>23.871899414062501</c:v>
                </c:pt>
                <c:pt idx="51">
                  <c:v>23.871899414062501</c:v>
                </c:pt>
                <c:pt idx="52">
                  <c:v>23.8740234375</c:v>
                </c:pt>
                <c:pt idx="53">
                  <c:v>23.8740234375</c:v>
                </c:pt>
                <c:pt idx="54">
                  <c:v>23.8740234375</c:v>
                </c:pt>
              </c:numCache>
            </c:numRef>
          </c:val>
          <c:smooth val="0"/>
        </c:ser>
        <c:dLbls>
          <c:showLegendKey val="0"/>
          <c:showVal val="0"/>
          <c:showCatName val="0"/>
          <c:showSerName val="0"/>
          <c:showPercent val="0"/>
          <c:showBubbleSize val="0"/>
        </c:dLbls>
        <c:marker val="1"/>
        <c:smooth val="0"/>
        <c:axId val="471047552"/>
        <c:axId val="471049344"/>
      </c:lineChart>
      <c:dateAx>
        <c:axId val="47104755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1049344"/>
        <c:crosses val="autoZero"/>
        <c:auto val="1"/>
        <c:lblOffset val="100"/>
        <c:baseTimeUnit val="days"/>
      </c:dateAx>
      <c:valAx>
        <c:axId val="471049344"/>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10475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008773460594501"/>
        </c:manualLayout>
      </c:layout>
      <c:lineChart>
        <c:grouping val="standard"/>
        <c:varyColors val="0"/>
        <c:ser>
          <c:idx val="0"/>
          <c:order val="0"/>
          <c:tx>
            <c:strRef>
              <c:f>'Allocated charts'!$V$2</c:f>
              <c:strCache>
                <c:ptCount val="1"/>
                <c:pt idx="0">
                  <c:v>RDC T3 VMAX 0671</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charts'!#REF!</c:f>
              <c:numCache>
                <c:formatCode>General</c:formatCode>
                <c:ptCount val="1"/>
                <c:pt idx="0">
                  <c:v>1</c:v>
                </c:pt>
              </c:numCache>
            </c:numRef>
          </c:val>
          <c:smooth val="0"/>
        </c:ser>
        <c:dLbls>
          <c:showLegendKey val="0"/>
          <c:showVal val="0"/>
          <c:showCatName val="0"/>
          <c:showSerName val="0"/>
          <c:showPercent val="0"/>
          <c:showBubbleSize val="0"/>
        </c:dLbls>
        <c:marker val="1"/>
        <c:smooth val="0"/>
        <c:axId val="471081728"/>
        <c:axId val="471083264"/>
      </c:lineChart>
      <c:dateAx>
        <c:axId val="47108172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1083264"/>
        <c:crosses val="autoZero"/>
        <c:auto val="1"/>
        <c:lblOffset val="100"/>
        <c:baseTimeUnit val="days"/>
      </c:dateAx>
      <c:valAx>
        <c:axId val="471083264"/>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10817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149672353331264"/>
        </c:manualLayout>
      </c:layout>
      <c:lineChart>
        <c:grouping val="standard"/>
        <c:varyColors val="0"/>
        <c:ser>
          <c:idx val="0"/>
          <c:order val="0"/>
          <c:tx>
            <c:strRef>
              <c:f>'Allocated charts'!$U$2</c:f>
              <c:strCache>
                <c:ptCount val="1"/>
                <c:pt idx="0">
                  <c:v>FDC T3 VMAX 667</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charts'!#REF!</c:f>
              <c:numCache>
                <c:formatCode>General</c:formatCode>
                <c:ptCount val="1"/>
                <c:pt idx="0">
                  <c:v>1</c:v>
                </c:pt>
              </c:numCache>
            </c:numRef>
          </c:val>
          <c:smooth val="0"/>
        </c:ser>
        <c:dLbls>
          <c:showLegendKey val="0"/>
          <c:showVal val="0"/>
          <c:showCatName val="0"/>
          <c:showSerName val="0"/>
          <c:showPercent val="0"/>
          <c:showBubbleSize val="0"/>
        </c:dLbls>
        <c:marker val="1"/>
        <c:smooth val="0"/>
        <c:axId val="471099648"/>
        <c:axId val="471203840"/>
      </c:lineChart>
      <c:dateAx>
        <c:axId val="471099648"/>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1203840"/>
        <c:crosses val="autoZero"/>
        <c:auto val="1"/>
        <c:lblOffset val="100"/>
        <c:baseTimeUnit val="days"/>
      </c:dateAx>
      <c:valAx>
        <c:axId val="471203840"/>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10996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58828289894840857"/>
        </c:manualLayout>
      </c:layout>
      <c:lineChart>
        <c:grouping val="standard"/>
        <c:varyColors val="0"/>
        <c:ser>
          <c:idx val="0"/>
          <c:order val="0"/>
          <c:tx>
            <c:strRef>
              <c:f>'Allocated charts'!$J$2</c:f>
              <c:strCache>
                <c:ptCount val="1"/>
                <c:pt idx="0">
                  <c:v>RDC T3 V-MAX 4330</c:v>
                </c:pt>
              </c:strCache>
            </c:strRef>
          </c:tx>
          <c:cat>
            <c:numRef>
              <c:f>'Allocated charts'!$A$41:$A$73</c:f>
              <c:numCache>
                <c:formatCode>[$-409]d\-mmm\-yy;@</c:formatCode>
                <c:ptCount val="33"/>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numCache>
            </c:numRef>
          </c:cat>
          <c:val>
            <c:numRef>
              <c:f>'Allocated charts'!$J$41:$J$73</c:f>
              <c:numCache>
                <c:formatCode>0</c:formatCode>
                <c:ptCount val="33"/>
                <c:pt idx="0">
                  <c:v>122.4546123046875</c:v>
                </c:pt>
                <c:pt idx="1">
                  <c:v>122.4546123046875</c:v>
                </c:pt>
                <c:pt idx="2">
                  <c:v>120.31437304687499</c:v>
                </c:pt>
                <c:pt idx="3">
                  <c:v>118.7997421875</c:v>
                </c:pt>
                <c:pt idx="4">
                  <c:v>118.7997421875</c:v>
                </c:pt>
                <c:pt idx="5">
                  <c:v>117.81193945312499</c:v>
                </c:pt>
                <c:pt idx="6">
                  <c:v>99.340028320312499</c:v>
                </c:pt>
                <c:pt idx="7">
                  <c:v>99.340028320312499</c:v>
                </c:pt>
                <c:pt idx="8">
                  <c:v>98.846126953124994</c:v>
                </c:pt>
                <c:pt idx="9">
                  <c:v>98.846126953124994</c:v>
                </c:pt>
                <c:pt idx="10">
                  <c:v>98.58271289062499</c:v>
                </c:pt>
                <c:pt idx="11">
                  <c:v>96.343693359374996</c:v>
                </c:pt>
                <c:pt idx="12">
                  <c:v>95.816865234375001</c:v>
                </c:pt>
                <c:pt idx="13">
                  <c:v>94.69735546874999</c:v>
                </c:pt>
                <c:pt idx="14">
                  <c:v>92.29370214843749</c:v>
                </c:pt>
                <c:pt idx="15">
                  <c:v>92.29370214843749</c:v>
                </c:pt>
                <c:pt idx="16">
                  <c:v>92.29370214843749</c:v>
                </c:pt>
                <c:pt idx="17">
                  <c:v>86.4327392578125</c:v>
                </c:pt>
                <c:pt idx="18">
                  <c:v>86.4327392578125</c:v>
                </c:pt>
                <c:pt idx="19">
                  <c:v>59.498651367187499</c:v>
                </c:pt>
                <c:pt idx="20">
                  <c:v>51.266961914062499</c:v>
                </c:pt>
                <c:pt idx="21">
                  <c:v>40.763326171875001</c:v>
                </c:pt>
                <c:pt idx="22">
                  <c:v>32.432856445312495</c:v>
                </c:pt>
                <c:pt idx="23">
                  <c:v>19.690201171875</c:v>
                </c:pt>
                <c:pt idx="24">
                  <c:v>16.6938662109375</c:v>
                </c:pt>
                <c:pt idx="25">
                  <c:v>16.6938662109375</c:v>
                </c:pt>
                <c:pt idx="26">
                  <c:v>12.084120117187499</c:v>
                </c:pt>
                <c:pt idx="27">
                  <c:v>12.084120117187499</c:v>
                </c:pt>
                <c:pt idx="28">
                  <c:v>2.9304814453125001</c:v>
                </c:pt>
                <c:pt idx="29">
                  <c:v>2.9304814453125001</c:v>
                </c:pt>
                <c:pt idx="30">
                  <c:v>0</c:v>
                </c:pt>
                <c:pt idx="31">
                  <c:v>0</c:v>
                </c:pt>
                <c:pt idx="32">
                  <c:v>0</c:v>
                </c:pt>
              </c:numCache>
            </c:numRef>
          </c:val>
          <c:smooth val="0"/>
        </c:ser>
        <c:dLbls>
          <c:showLegendKey val="0"/>
          <c:showVal val="0"/>
          <c:showCatName val="0"/>
          <c:showSerName val="0"/>
          <c:showPercent val="0"/>
          <c:showBubbleSize val="0"/>
        </c:dLbls>
        <c:marker val="1"/>
        <c:smooth val="0"/>
        <c:axId val="471223680"/>
        <c:axId val="471229568"/>
      </c:lineChart>
      <c:dateAx>
        <c:axId val="47122368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1229568"/>
        <c:crosses val="autoZero"/>
        <c:auto val="1"/>
        <c:lblOffset val="100"/>
        <c:baseTimeUnit val="days"/>
      </c:dateAx>
      <c:valAx>
        <c:axId val="47122956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12236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149672353331264"/>
        </c:manualLayout>
      </c:layout>
      <c:lineChart>
        <c:grouping val="standard"/>
        <c:varyColors val="0"/>
        <c:ser>
          <c:idx val="0"/>
          <c:order val="0"/>
          <c:tx>
            <c:strRef>
              <c:f>'Allocated charts'!$Q$2</c:f>
              <c:strCache>
                <c:ptCount val="1"/>
                <c:pt idx="0">
                  <c:v>FDC T3 V-MAX 4652</c:v>
                </c:pt>
              </c:strCache>
            </c:strRef>
          </c:tx>
          <c:cat>
            <c:numRef>
              <c:f>'Allocated charts'!$A$41:$A$108</c:f>
              <c:numCache>
                <c:formatCode>[$-409]d\-mmm\-yy;@</c:formatCode>
                <c:ptCount val="68"/>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pt idx="29">
                  <c:v>41430</c:v>
                </c:pt>
                <c:pt idx="30">
                  <c:v>41428</c:v>
                </c:pt>
                <c:pt idx="31">
                  <c:v>41423</c:v>
                </c:pt>
                <c:pt idx="32">
                  <c:v>41422</c:v>
                </c:pt>
                <c:pt idx="33">
                  <c:v>41414</c:v>
                </c:pt>
                <c:pt idx="34">
                  <c:v>41408</c:v>
                </c:pt>
                <c:pt idx="35">
                  <c:v>41401</c:v>
                </c:pt>
                <c:pt idx="36">
                  <c:v>41395</c:v>
                </c:pt>
                <c:pt idx="37">
                  <c:v>41393</c:v>
                </c:pt>
                <c:pt idx="38">
                  <c:v>41390</c:v>
                </c:pt>
                <c:pt idx="39">
                  <c:v>41387</c:v>
                </c:pt>
                <c:pt idx="40">
                  <c:v>41383</c:v>
                </c:pt>
                <c:pt idx="41">
                  <c:v>41379</c:v>
                </c:pt>
                <c:pt idx="42">
                  <c:v>41374</c:v>
                </c:pt>
                <c:pt idx="43">
                  <c:v>41373</c:v>
                </c:pt>
                <c:pt idx="44">
                  <c:v>41361</c:v>
                </c:pt>
                <c:pt idx="45">
                  <c:v>41359</c:v>
                </c:pt>
                <c:pt idx="46">
                  <c:v>41355</c:v>
                </c:pt>
                <c:pt idx="47">
                  <c:v>41353</c:v>
                </c:pt>
                <c:pt idx="48">
                  <c:v>41351</c:v>
                </c:pt>
                <c:pt idx="49">
                  <c:v>41347</c:v>
                </c:pt>
                <c:pt idx="50">
                  <c:v>41345</c:v>
                </c:pt>
                <c:pt idx="51">
                  <c:v>41344</c:v>
                </c:pt>
                <c:pt idx="52">
                  <c:v>41341</c:v>
                </c:pt>
                <c:pt idx="53">
                  <c:v>41340</c:v>
                </c:pt>
                <c:pt idx="54">
                  <c:v>41337</c:v>
                </c:pt>
                <c:pt idx="55">
                  <c:v>41334</c:v>
                </c:pt>
                <c:pt idx="56">
                  <c:v>41330</c:v>
                </c:pt>
                <c:pt idx="57">
                  <c:v>41327</c:v>
                </c:pt>
                <c:pt idx="58">
                  <c:v>41326</c:v>
                </c:pt>
                <c:pt idx="59">
                  <c:v>41323</c:v>
                </c:pt>
                <c:pt idx="60">
                  <c:v>41310</c:v>
                </c:pt>
                <c:pt idx="61">
                  <c:v>41304</c:v>
                </c:pt>
                <c:pt idx="62">
                  <c:v>41297</c:v>
                </c:pt>
                <c:pt idx="63">
                  <c:v>41296</c:v>
                </c:pt>
                <c:pt idx="64">
                  <c:v>41292</c:v>
                </c:pt>
                <c:pt idx="65">
                  <c:v>41289</c:v>
                </c:pt>
                <c:pt idx="66">
                  <c:v>41285</c:v>
                </c:pt>
                <c:pt idx="67">
                  <c:v>41283</c:v>
                </c:pt>
              </c:numCache>
            </c:numRef>
          </c:cat>
          <c:val>
            <c:numRef>
              <c:f>'Allocated charts'!$Q$41:$Q$73</c:f>
              <c:numCache>
                <c:formatCode>0</c:formatCode>
                <c:ptCount val="33"/>
                <c:pt idx="0">
                  <c:v>134.27531835937501</c:v>
                </c:pt>
                <c:pt idx="1">
                  <c:v>134.27531835937501</c:v>
                </c:pt>
                <c:pt idx="2">
                  <c:v>132.1350791015625</c:v>
                </c:pt>
                <c:pt idx="3">
                  <c:v>132.1350791015625</c:v>
                </c:pt>
                <c:pt idx="4">
                  <c:v>130.62044824218751</c:v>
                </c:pt>
                <c:pt idx="5">
                  <c:v>129.6326455078125</c:v>
                </c:pt>
                <c:pt idx="6">
                  <c:v>103.12660546875</c:v>
                </c:pt>
                <c:pt idx="7">
                  <c:v>103.12660546875</c:v>
                </c:pt>
                <c:pt idx="8">
                  <c:v>102.6327041015625</c:v>
                </c:pt>
                <c:pt idx="9">
                  <c:v>99.768076171874995</c:v>
                </c:pt>
                <c:pt idx="10">
                  <c:v>99.504662109374991</c:v>
                </c:pt>
                <c:pt idx="11">
                  <c:v>95.948572265625003</c:v>
                </c:pt>
                <c:pt idx="12">
                  <c:v>95.421744140624995</c:v>
                </c:pt>
                <c:pt idx="13">
                  <c:v>89.297367187500001</c:v>
                </c:pt>
                <c:pt idx="14">
                  <c:v>84.160792968750002</c:v>
                </c:pt>
                <c:pt idx="15">
                  <c:v>84.160792968750002</c:v>
                </c:pt>
                <c:pt idx="16">
                  <c:v>84.160792968750002</c:v>
                </c:pt>
                <c:pt idx="17">
                  <c:v>77.904708984374992</c:v>
                </c:pt>
                <c:pt idx="18">
                  <c:v>77.904708984374992</c:v>
                </c:pt>
                <c:pt idx="19">
                  <c:v>63.285228515625001</c:v>
                </c:pt>
                <c:pt idx="20">
                  <c:v>55.251099609374997</c:v>
                </c:pt>
                <c:pt idx="21">
                  <c:v>43.166979492187501</c:v>
                </c:pt>
                <c:pt idx="22">
                  <c:v>36.614554687499997</c:v>
                </c:pt>
                <c:pt idx="23">
                  <c:v>22.620682617187498</c:v>
                </c:pt>
                <c:pt idx="24">
                  <c:v>19.690201171875</c:v>
                </c:pt>
                <c:pt idx="25">
                  <c:v>19.690201171875</c:v>
                </c:pt>
                <c:pt idx="26">
                  <c:v>12.413387695312499</c:v>
                </c:pt>
                <c:pt idx="27">
                  <c:v>12.413387695312499</c:v>
                </c:pt>
                <c:pt idx="28">
                  <c:v>5.2682812499999994</c:v>
                </c:pt>
                <c:pt idx="29">
                  <c:v>5.2682812499999994</c:v>
                </c:pt>
                <c:pt idx="30">
                  <c:v>0</c:v>
                </c:pt>
                <c:pt idx="31">
                  <c:v>0</c:v>
                </c:pt>
                <c:pt idx="32">
                  <c:v>0</c:v>
                </c:pt>
              </c:numCache>
            </c:numRef>
          </c:val>
          <c:smooth val="0"/>
        </c:ser>
        <c:dLbls>
          <c:showLegendKey val="0"/>
          <c:showVal val="0"/>
          <c:showCatName val="0"/>
          <c:showSerName val="0"/>
          <c:showPercent val="0"/>
          <c:showBubbleSize val="0"/>
        </c:dLbls>
        <c:marker val="1"/>
        <c:smooth val="0"/>
        <c:axId val="471253760"/>
        <c:axId val="471255296"/>
      </c:lineChart>
      <c:dateAx>
        <c:axId val="471253760"/>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1255296"/>
        <c:crosses val="autoZero"/>
        <c:auto val="1"/>
        <c:lblOffset val="100"/>
        <c:baseTimeUnit val="days"/>
      </c:dateAx>
      <c:valAx>
        <c:axId val="471255296"/>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12537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8510708549183902"/>
          <c:y val="0.18584098385083075"/>
          <c:w val="0.75908709652645689"/>
          <c:h val="0.61782913522709693"/>
        </c:manualLayout>
      </c:layout>
      <c:lineChart>
        <c:grouping val="standard"/>
        <c:varyColors val="0"/>
        <c:ser>
          <c:idx val="0"/>
          <c:order val="0"/>
          <c:tx>
            <c:strRef>
              <c:f>'Allocated charts'!$K$2</c:f>
              <c:strCache>
                <c:ptCount val="1"/>
                <c:pt idx="0">
                  <c:v>RDC T4 V-MAX 0347</c:v>
                </c:pt>
              </c:strCache>
            </c:strRef>
          </c:tx>
          <c:cat>
            <c:numRef>
              <c:f>'Allocated charts'!$A$41:$A$69</c:f>
              <c:numCache>
                <c:formatCode>[$-409]d\-mmm\-yy;@</c:formatCode>
                <c:ptCount val="2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numCache>
            </c:numRef>
          </c:cat>
          <c:val>
            <c:numRef>
              <c:f>'Allocated charts'!$K$41:$K$69</c:f>
              <c:numCache>
                <c:formatCode>0</c:formatCode>
                <c:ptCount val="29"/>
                <c:pt idx="0">
                  <c:v>134.04483105468751</c:v>
                </c:pt>
                <c:pt idx="1">
                  <c:v>135.855802734375</c:v>
                </c:pt>
                <c:pt idx="2">
                  <c:v>126.6692373046875</c:v>
                </c:pt>
                <c:pt idx="3">
                  <c:v>98.58271289062499</c:v>
                </c:pt>
                <c:pt idx="4">
                  <c:v>98.58271289062499</c:v>
                </c:pt>
                <c:pt idx="5">
                  <c:v>96.574180664062496</c:v>
                </c:pt>
                <c:pt idx="6">
                  <c:v>72.537647460937492</c:v>
                </c:pt>
                <c:pt idx="7">
                  <c:v>72.537647460937492</c:v>
                </c:pt>
                <c:pt idx="8">
                  <c:v>69.738873046875</c:v>
                </c:pt>
                <c:pt idx="9">
                  <c:v>67.697414062500002</c:v>
                </c:pt>
                <c:pt idx="10">
                  <c:v>57.753533203124995</c:v>
                </c:pt>
                <c:pt idx="11">
                  <c:v>52.024277343750001</c:v>
                </c:pt>
                <c:pt idx="12">
                  <c:v>50.838914062499995</c:v>
                </c:pt>
                <c:pt idx="13">
                  <c:v>34.803583007812499</c:v>
                </c:pt>
                <c:pt idx="14">
                  <c:v>24.958482421875001</c:v>
                </c:pt>
                <c:pt idx="15">
                  <c:v>24.332874023437498</c:v>
                </c:pt>
                <c:pt idx="16">
                  <c:v>18.504837890624998</c:v>
                </c:pt>
                <c:pt idx="17">
                  <c:v>14.817041015625</c:v>
                </c:pt>
                <c:pt idx="18">
                  <c:v>14.817041015625</c:v>
                </c:pt>
                <c:pt idx="19">
                  <c:v>11.326804687499999</c:v>
                </c:pt>
                <c:pt idx="20">
                  <c:v>11.392658203125</c:v>
                </c:pt>
                <c:pt idx="21">
                  <c:v>9.8780273437500004</c:v>
                </c:pt>
                <c:pt idx="22">
                  <c:v>9.8780273437500004</c:v>
                </c:pt>
                <c:pt idx="23">
                  <c:v>6.8816923828125001</c:v>
                </c:pt>
                <c:pt idx="24">
                  <c:v>2.8646279296874999</c:v>
                </c:pt>
                <c:pt idx="25">
                  <c:v>2.8646279296874999</c:v>
                </c:pt>
                <c:pt idx="26">
                  <c:v>2.8646279296874999</c:v>
                </c:pt>
                <c:pt idx="27">
                  <c:v>2.8646279296874999</c:v>
                </c:pt>
                <c:pt idx="28">
                  <c:v>2.8646279296874999</c:v>
                </c:pt>
              </c:numCache>
            </c:numRef>
          </c:val>
          <c:smooth val="0"/>
        </c:ser>
        <c:dLbls>
          <c:showLegendKey val="0"/>
          <c:showVal val="0"/>
          <c:showCatName val="0"/>
          <c:showSerName val="0"/>
          <c:showPercent val="0"/>
          <c:showBubbleSize val="0"/>
        </c:dLbls>
        <c:marker val="1"/>
        <c:smooth val="0"/>
        <c:axId val="471275392"/>
        <c:axId val="471276928"/>
      </c:lineChart>
      <c:dateAx>
        <c:axId val="471275392"/>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1276928"/>
        <c:crosses val="autoZero"/>
        <c:auto val="1"/>
        <c:lblOffset val="100"/>
        <c:baseTimeUnit val="days"/>
      </c:dateAx>
      <c:valAx>
        <c:axId val="471276928"/>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12753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autoTitleDeleted val="0"/>
    <c:plotArea>
      <c:layout>
        <c:manualLayout>
          <c:layoutTarget val="inner"/>
          <c:xMode val="edge"/>
          <c:yMode val="edge"/>
          <c:x val="0.17813233100132753"/>
          <c:y val="0.18584090027572303"/>
          <c:w val="0.75908709652645689"/>
          <c:h val="0.61008773460594501"/>
        </c:manualLayout>
      </c:layout>
      <c:lineChart>
        <c:grouping val="standard"/>
        <c:varyColors val="0"/>
        <c:ser>
          <c:idx val="0"/>
          <c:order val="0"/>
          <c:tx>
            <c:strRef>
              <c:f>'Allocated charts'!$R$2</c:f>
              <c:strCache>
                <c:ptCount val="1"/>
                <c:pt idx="0">
                  <c:v>FDC T4 V-MAX 0349</c:v>
                </c:pt>
              </c:strCache>
            </c:strRef>
          </c:tx>
          <c:cat>
            <c:numRef>
              <c:f>'Allocated charts'!$A$41:$A$69</c:f>
              <c:numCache>
                <c:formatCode>[$-409]d\-mmm\-yy;@</c:formatCode>
                <c:ptCount val="29"/>
                <c:pt idx="0">
                  <c:v>41703</c:v>
                </c:pt>
                <c:pt idx="1">
                  <c:v>41702</c:v>
                </c:pt>
                <c:pt idx="2">
                  <c:v>41695</c:v>
                </c:pt>
                <c:pt idx="3">
                  <c:v>41690</c:v>
                </c:pt>
                <c:pt idx="4">
                  <c:v>41684</c:v>
                </c:pt>
                <c:pt idx="5">
                  <c:v>41676</c:v>
                </c:pt>
                <c:pt idx="6">
                  <c:v>41642</c:v>
                </c:pt>
                <c:pt idx="7">
                  <c:v>41626</c:v>
                </c:pt>
                <c:pt idx="8">
                  <c:v>41617</c:v>
                </c:pt>
                <c:pt idx="9">
                  <c:v>41610</c:v>
                </c:pt>
                <c:pt idx="10">
                  <c:v>41603</c:v>
                </c:pt>
                <c:pt idx="11">
                  <c:v>41596</c:v>
                </c:pt>
                <c:pt idx="12">
                  <c:v>41589</c:v>
                </c:pt>
                <c:pt idx="13">
                  <c:v>41561</c:v>
                </c:pt>
                <c:pt idx="14">
                  <c:v>41548</c:v>
                </c:pt>
                <c:pt idx="15">
                  <c:v>41541</c:v>
                </c:pt>
                <c:pt idx="16">
                  <c:v>41534</c:v>
                </c:pt>
                <c:pt idx="17">
                  <c:v>41519</c:v>
                </c:pt>
                <c:pt idx="18">
                  <c:v>41513</c:v>
                </c:pt>
                <c:pt idx="19">
                  <c:v>41498</c:v>
                </c:pt>
                <c:pt idx="20">
                  <c:v>41491</c:v>
                </c:pt>
                <c:pt idx="21">
                  <c:v>41485</c:v>
                </c:pt>
                <c:pt idx="22">
                  <c:v>41478</c:v>
                </c:pt>
                <c:pt idx="23">
                  <c:v>41470</c:v>
                </c:pt>
                <c:pt idx="24">
                  <c:v>41464</c:v>
                </c:pt>
                <c:pt idx="25">
                  <c:v>41449</c:v>
                </c:pt>
                <c:pt idx="26">
                  <c:v>41445</c:v>
                </c:pt>
                <c:pt idx="27">
                  <c:v>41443</c:v>
                </c:pt>
                <c:pt idx="28">
                  <c:v>41437</c:v>
                </c:pt>
              </c:numCache>
            </c:numRef>
          </c:cat>
          <c:val>
            <c:numRef>
              <c:f>'Allocated charts'!$R$41:$R$69</c:f>
              <c:numCache>
                <c:formatCode>0</c:formatCode>
                <c:ptCount val="29"/>
                <c:pt idx="0">
                  <c:v>254.22749707031249</c:v>
                </c:pt>
                <c:pt idx="1">
                  <c:v>254.22749707031249</c:v>
                </c:pt>
                <c:pt idx="2">
                  <c:v>249.28848339843748</c:v>
                </c:pt>
                <c:pt idx="3">
                  <c:v>225.15316992187499</c:v>
                </c:pt>
                <c:pt idx="4">
                  <c:v>220.51049707031248</c:v>
                </c:pt>
                <c:pt idx="5">
                  <c:v>217.05318749999998</c:v>
                </c:pt>
                <c:pt idx="6">
                  <c:v>186.26666894531249</c:v>
                </c:pt>
                <c:pt idx="7">
                  <c:v>186.26666894531249</c:v>
                </c:pt>
                <c:pt idx="8">
                  <c:v>72.932768554687499</c:v>
                </c:pt>
                <c:pt idx="9">
                  <c:v>65.326687499999991</c:v>
                </c:pt>
                <c:pt idx="10">
                  <c:v>20.447516601562498</c:v>
                </c:pt>
                <c:pt idx="11">
                  <c:v>119.2277900390625</c:v>
                </c:pt>
                <c:pt idx="12">
                  <c:v>117.68023242187499</c:v>
                </c:pt>
                <c:pt idx="13">
                  <c:v>97.858324218749999</c:v>
                </c:pt>
                <c:pt idx="14">
                  <c:v>102.665630859375</c:v>
                </c:pt>
                <c:pt idx="15">
                  <c:v>102.533923828125</c:v>
                </c:pt>
                <c:pt idx="16">
                  <c:v>101.11807324218749</c:v>
                </c:pt>
                <c:pt idx="17">
                  <c:v>98.154665039062493</c:v>
                </c:pt>
                <c:pt idx="18">
                  <c:v>98.154665039062493</c:v>
                </c:pt>
                <c:pt idx="19">
                  <c:v>93.446138671874991</c:v>
                </c:pt>
                <c:pt idx="20">
                  <c:v>82.646162109374998</c:v>
                </c:pt>
                <c:pt idx="21">
                  <c:v>79.518120117187493</c:v>
                </c:pt>
                <c:pt idx="22">
                  <c:v>79.518120117187493</c:v>
                </c:pt>
                <c:pt idx="23">
                  <c:v>48.040139648437496</c:v>
                </c:pt>
                <c:pt idx="24">
                  <c:v>6.5853515624999996</c:v>
                </c:pt>
                <c:pt idx="25">
                  <c:v>6.5853515624999996</c:v>
                </c:pt>
                <c:pt idx="26">
                  <c:v>6.5853515624999996</c:v>
                </c:pt>
                <c:pt idx="27">
                  <c:v>6.5853515624999996</c:v>
                </c:pt>
                <c:pt idx="28">
                  <c:v>0.69146191406250002</c:v>
                </c:pt>
              </c:numCache>
            </c:numRef>
          </c:val>
          <c:smooth val="0"/>
        </c:ser>
        <c:dLbls>
          <c:showLegendKey val="0"/>
          <c:showVal val="0"/>
          <c:showCatName val="0"/>
          <c:showSerName val="0"/>
          <c:showPercent val="0"/>
          <c:showBubbleSize val="0"/>
        </c:dLbls>
        <c:marker val="1"/>
        <c:smooth val="0"/>
        <c:axId val="471284736"/>
        <c:axId val="471315200"/>
      </c:lineChart>
      <c:dateAx>
        <c:axId val="471284736"/>
        <c:scaling>
          <c:orientation val="minMax"/>
        </c:scaling>
        <c:delete val="0"/>
        <c:axPos val="b"/>
        <c:numFmt formatCode="[$-409]d\-mmm\-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471315200"/>
        <c:crosses val="autoZero"/>
        <c:auto val="1"/>
        <c:lblOffset val="100"/>
        <c:baseTimeUnit val="days"/>
      </c:dateAx>
      <c:valAx>
        <c:axId val="471315200"/>
        <c:scaling>
          <c:orientation val="minMax"/>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712847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'Usable  Feed'!$B$1</c:f>
              <c:strCache>
                <c:ptCount val="1"/>
                <c:pt idx="0">
                  <c:v>CGC Tier 4  (TB Pool Size)</c:v>
                </c:pt>
              </c:strCache>
            </c:strRef>
          </c:tx>
          <c:cat>
            <c:numRef>
              <c:f>'Usable  Feed'!$A$2:$A$46</c:f>
              <c:numCache>
                <c:formatCode>[$-409]d\-mmm\-yy;@</c:formatCode>
                <c:ptCount val="45"/>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numCache>
            </c:numRef>
          </c:cat>
          <c:val>
            <c:numRef>
              <c:f>'Usable  Feed'!$B$2:$B$46</c:f>
              <c:numCache>
                <c:formatCode>0</c:formatCode>
                <c:ptCount val="45"/>
                <c:pt idx="0">
                  <c:v>462.97812499999998</c:v>
                </c:pt>
                <c:pt idx="1">
                  <c:v>462.97812499999998</c:v>
                </c:pt>
                <c:pt idx="2">
                  <c:v>462.97812499999998</c:v>
                </c:pt>
                <c:pt idx="3">
                  <c:v>462.97812499999998</c:v>
                </c:pt>
                <c:pt idx="4">
                  <c:v>462.97812499999998</c:v>
                </c:pt>
                <c:pt idx="5">
                  <c:v>462.97812499999998</c:v>
                </c:pt>
                <c:pt idx="6">
                  <c:v>462.97812499999998</c:v>
                </c:pt>
                <c:pt idx="7">
                  <c:v>462.97812499999998</c:v>
                </c:pt>
                <c:pt idx="8">
                  <c:v>462.97812499999998</c:v>
                </c:pt>
                <c:pt idx="9">
                  <c:v>462.97812499999998</c:v>
                </c:pt>
                <c:pt idx="10">
                  <c:v>462.97812499999998</c:v>
                </c:pt>
                <c:pt idx="11">
                  <c:v>462.97812499999998</c:v>
                </c:pt>
                <c:pt idx="12">
                  <c:v>462.97812499999998</c:v>
                </c:pt>
                <c:pt idx="13">
                  <c:v>462.97812499999998</c:v>
                </c:pt>
                <c:pt idx="14">
                  <c:v>462.97812499999998</c:v>
                </c:pt>
                <c:pt idx="15">
                  <c:v>462.97812499999998</c:v>
                </c:pt>
                <c:pt idx="16">
                  <c:v>462.97812499999998</c:v>
                </c:pt>
                <c:pt idx="17">
                  <c:v>462.97812499999998</c:v>
                </c:pt>
                <c:pt idx="18">
                  <c:v>462.97812499999998</c:v>
                </c:pt>
                <c:pt idx="19">
                  <c:v>462.97812499999998</c:v>
                </c:pt>
                <c:pt idx="20">
                  <c:v>462.97812499999998</c:v>
                </c:pt>
                <c:pt idx="21">
                  <c:v>462.97812499999998</c:v>
                </c:pt>
                <c:pt idx="22">
                  <c:v>462.97812499999998</c:v>
                </c:pt>
                <c:pt idx="23">
                  <c:v>244.15859374999999</c:v>
                </c:pt>
                <c:pt idx="24">
                  <c:v>244.15859374999999</c:v>
                </c:pt>
                <c:pt idx="25">
                  <c:v>244.15859374999999</c:v>
                </c:pt>
                <c:pt idx="26">
                  <c:v>244.15859374999999</c:v>
                </c:pt>
                <c:pt idx="27">
                  <c:v>244.15859374999999</c:v>
                </c:pt>
                <c:pt idx="28">
                  <c:v>244.15859374999999</c:v>
                </c:pt>
                <c:pt idx="29">
                  <c:v>244.15859374999999</c:v>
                </c:pt>
                <c:pt idx="30">
                  <c:v>244.158203125</c:v>
                </c:pt>
                <c:pt idx="31">
                  <c:v>244.15859374999999</c:v>
                </c:pt>
                <c:pt idx="32">
                  <c:v>244.15859374999999</c:v>
                </c:pt>
                <c:pt idx="33">
                  <c:v>244.15859374999999</c:v>
                </c:pt>
                <c:pt idx="34">
                  <c:v>244.15859374999999</c:v>
                </c:pt>
                <c:pt idx="35">
                  <c:v>244.15859374999999</c:v>
                </c:pt>
                <c:pt idx="36">
                  <c:v>244.15859374999999</c:v>
                </c:pt>
                <c:pt idx="37">
                  <c:v>244.15859374999999</c:v>
                </c:pt>
                <c:pt idx="38">
                  <c:v>244.15859374999999</c:v>
                </c:pt>
                <c:pt idx="39">
                  <c:v>244.15859374999999</c:v>
                </c:pt>
                <c:pt idx="40">
                  <c:v>140.0322265625</c:v>
                </c:pt>
                <c:pt idx="41">
                  <c:v>140.0322265625</c:v>
                </c:pt>
                <c:pt idx="42">
                  <c:v>140.0322265625</c:v>
                </c:pt>
                <c:pt idx="43">
                  <c:v>140.0322265625</c:v>
                </c:pt>
                <c:pt idx="44">
                  <c:v>140.0322265625</c:v>
                </c:pt>
              </c:numCache>
            </c:numRef>
          </c:val>
          <c:smooth val="0"/>
        </c:ser>
        <c:ser>
          <c:idx val="1"/>
          <c:order val="1"/>
          <c:tx>
            <c:strRef>
              <c:f>'Usable  Feed'!$C$1</c:f>
              <c:strCache>
                <c:ptCount val="1"/>
                <c:pt idx="0">
                  <c:v>CGC Tier 3  (TB Pool Size)</c:v>
                </c:pt>
              </c:strCache>
            </c:strRef>
          </c:tx>
          <c:cat>
            <c:numRef>
              <c:f>'Usable  Feed'!$A$2:$A$46</c:f>
              <c:numCache>
                <c:formatCode>[$-409]d\-mmm\-yy;@</c:formatCode>
                <c:ptCount val="45"/>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numCache>
            </c:numRef>
          </c:cat>
          <c:val>
            <c:numRef>
              <c:f>'Usable  Feed'!$C$2:$C$46</c:f>
              <c:numCache>
                <c:formatCode>0</c:formatCode>
                <c:ptCount val="45"/>
                <c:pt idx="0">
                  <c:v>299.52226562500005</c:v>
                </c:pt>
                <c:pt idx="1">
                  <c:v>299.52226562500005</c:v>
                </c:pt>
                <c:pt idx="2">
                  <c:v>299.52226562500005</c:v>
                </c:pt>
                <c:pt idx="3">
                  <c:v>299.52226562500005</c:v>
                </c:pt>
                <c:pt idx="4">
                  <c:v>299.52226562500005</c:v>
                </c:pt>
                <c:pt idx="5">
                  <c:v>299.52226562500005</c:v>
                </c:pt>
                <c:pt idx="6">
                  <c:v>299.52226562500005</c:v>
                </c:pt>
                <c:pt idx="7">
                  <c:v>299.52226562500005</c:v>
                </c:pt>
                <c:pt idx="8">
                  <c:v>299.52226562500005</c:v>
                </c:pt>
                <c:pt idx="9">
                  <c:v>299.52226562500005</c:v>
                </c:pt>
                <c:pt idx="10">
                  <c:v>299.52226562500005</c:v>
                </c:pt>
                <c:pt idx="11">
                  <c:v>299.52226562500005</c:v>
                </c:pt>
                <c:pt idx="12">
                  <c:v>299.52226562500005</c:v>
                </c:pt>
                <c:pt idx="13">
                  <c:v>299.52226562500005</c:v>
                </c:pt>
                <c:pt idx="14">
                  <c:v>299.52226562500005</c:v>
                </c:pt>
                <c:pt idx="15">
                  <c:v>299.52226562500005</c:v>
                </c:pt>
                <c:pt idx="16">
                  <c:v>299.52226562500005</c:v>
                </c:pt>
                <c:pt idx="17">
                  <c:v>299.52226562500005</c:v>
                </c:pt>
                <c:pt idx="18">
                  <c:v>299.52226562500005</c:v>
                </c:pt>
                <c:pt idx="19">
                  <c:v>299.52226562500005</c:v>
                </c:pt>
                <c:pt idx="20">
                  <c:v>299.52226562500005</c:v>
                </c:pt>
                <c:pt idx="21">
                  <c:v>299.52226562500005</c:v>
                </c:pt>
                <c:pt idx="22">
                  <c:v>299.52226562500005</c:v>
                </c:pt>
                <c:pt idx="23">
                  <c:v>146.98896484375001</c:v>
                </c:pt>
                <c:pt idx="24">
                  <c:v>146.98896484375001</c:v>
                </c:pt>
                <c:pt idx="25">
                  <c:v>146.98896484375001</c:v>
                </c:pt>
                <c:pt idx="26">
                  <c:v>146.98896484375001</c:v>
                </c:pt>
                <c:pt idx="27">
                  <c:v>146.98896484375001</c:v>
                </c:pt>
                <c:pt idx="28">
                  <c:v>146.98896484375001</c:v>
                </c:pt>
                <c:pt idx="29">
                  <c:v>146.98896484375001</c:v>
                </c:pt>
                <c:pt idx="30">
                  <c:v>146.9892578125</c:v>
                </c:pt>
                <c:pt idx="31">
                  <c:v>146.98896484375001</c:v>
                </c:pt>
                <c:pt idx="32">
                  <c:v>146.98896484375001</c:v>
                </c:pt>
                <c:pt idx="33">
                  <c:v>146.98896484375001</c:v>
                </c:pt>
                <c:pt idx="34">
                  <c:v>146.98896484375001</c:v>
                </c:pt>
                <c:pt idx="35">
                  <c:v>146.98896484375001</c:v>
                </c:pt>
                <c:pt idx="36">
                  <c:v>146.98896484375001</c:v>
                </c:pt>
                <c:pt idx="37">
                  <c:v>146.98896484375001</c:v>
                </c:pt>
                <c:pt idx="38">
                  <c:v>146.98896484375001</c:v>
                </c:pt>
                <c:pt idx="39">
                  <c:v>146.98896484375001</c:v>
                </c:pt>
                <c:pt idx="40">
                  <c:v>146.98896484375001</c:v>
                </c:pt>
                <c:pt idx="41">
                  <c:v>146.98896484375001</c:v>
                </c:pt>
                <c:pt idx="42">
                  <c:v>146.98896484375001</c:v>
                </c:pt>
                <c:pt idx="43">
                  <c:v>146.98896484375001</c:v>
                </c:pt>
                <c:pt idx="44">
                  <c:v>146.98896484375001</c:v>
                </c:pt>
              </c:numCache>
            </c:numRef>
          </c:val>
          <c:smooth val="0"/>
        </c:ser>
        <c:ser>
          <c:idx val="2"/>
          <c:order val="2"/>
          <c:tx>
            <c:strRef>
              <c:f>'Usable  Feed'!$D$1</c:f>
              <c:strCache>
                <c:ptCount val="1"/>
                <c:pt idx="0">
                  <c:v>RDC Tier 3 (TB Pool Size)</c:v>
                </c:pt>
              </c:strCache>
            </c:strRef>
          </c:tx>
          <c:cat>
            <c:numRef>
              <c:f>'Usable  Feed'!$A$2:$A$46</c:f>
              <c:numCache>
                <c:formatCode>[$-409]d\-mmm\-yy;@</c:formatCode>
                <c:ptCount val="45"/>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numCache>
            </c:numRef>
          </c:cat>
          <c:val>
            <c:numRef>
              <c:f>'Usable  Feed'!$D$2:$D$46</c:f>
              <c:numCache>
                <c:formatCode>0</c:formatCode>
                <c:ptCount val="45"/>
                <c:pt idx="0">
                  <c:v>1316.8346679687502</c:v>
                </c:pt>
                <c:pt idx="1">
                  <c:v>1316.8346679687502</c:v>
                </c:pt>
                <c:pt idx="2">
                  <c:v>1316.8346679687502</c:v>
                </c:pt>
                <c:pt idx="3">
                  <c:v>1316.8346679687502</c:v>
                </c:pt>
                <c:pt idx="4">
                  <c:v>1316.8346679687502</c:v>
                </c:pt>
                <c:pt idx="5">
                  <c:v>1316.8346679687502</c:v>
                </c:pt>
                <c:pt idx="6">
                  <c:v>1316.8346679687502</c:v>
                </c:pt>
                <c:pt idx="7">
                  <c:v>1316.8346679687502</c:v>
                </c:pt>
                <c:pt idx="8">
                  <c:v>1316.8346679687502</c:v>
                </c:pt>
                <c:pt idx="9">
                  <c:v>1316.8346679687502</c:v>
                </c:pt>
                <c:pt idx="10">
                  <c:v>1316.8346679687502</c:v>
                </c:pt>
                <c:pt idx="11">
                  <c:v>1316.8346679687502</c:v>
                </c:pt>
                <c:pt idx="12">
                  <c:v>1316.8346679687502</c:v>
                </c:pt>
                <c:pt idx="13">
                  <c:v>1316.8346679687502</c:v>
                </c:pt>
                <c:pt idx="14">
                  <c:v>1316.8346679687502</c:v>
                </c:pt>
                <c:pt idx="15">
                  <c:v>1316.8346679687502</c:v>
                </c:pt>
                <c:pt idx="16">
                  <c:v>1316.8346679687502</c:v>
                </c:pt>
                <c:pt idx="17">
                  <c:v>1316.8346679687502</c:v>
                </c:pt>
                <c:pt idx="18">
                  <c:v>1316.8346679687502</c:v>
                </c:pt>
                <c:pt idx="19">
                  <c:v>1316.8346679687502</c:v>
                </c:pt>
                <c:pt idx="20">
                  <c:v>1316.8346679687502</c:v>
                </c:pt>
                <c:pt idx="21">
                  <c:v>1316.8346679687502</c:v>
                </c:pt>
                <c:pt idx="22">
                  <c:v>1316.8346679687502</c:v>
                </c:pt>
                <c:pt idx="23">
                  <c:v>1164.3013671875001</c:v>
                </c:pt>
                <c:pt idx="24">
                  <c:v>1164.3013671875001</c:v>
                </c:pt>
                <c:pt idx="25">
                  <c:v>1164.3013671875001</c:v>
                </c:pt>
                <c:pt idx="26">
                  <c:v>1164.3013671875001</c:v>
                </c:pt>
                <c:pt idx="27">
                  <c:v>1164.3013671875001</c:v>
                </c:pt>
                <c:pt idx="28">
                  <c:v>1164.3013671875001</c:v>
                </c:pt>
                <c:pt idx="29">
                  <c:v>1164.3013671875001</c:v>
                </c:pt>
                <c:pt idx="30">
                  <c:v>1164.3037109375</c:v>
                </c:pt>
                <c:pt idx="31">
                  <c:v>1064.5</c:v>
                </c:pt>
                <c:pt idx="32">
                  <c:v>1064.5</c:v>
                </c:pt>
                <c:pt idx="33">
                  <c:v>964.69873046875</c:v>
                </c:pt>
                <c:pt idx="34">
                  <c:v>964.69873046875</c:v>
                </c:pt>
                <c:pt idx="35">
                  <c:v>964.69873046875</c:v>
                </c:pt>
                <c:pt idx="36">
                  <c:v>964.69873046875</c:v>
                </c:pt>
                <c:pt idx="37">
                  <c:v>964.69873046875</c:v>
                </c:pt>
                <c:pt idx="38">
                  <c:v>964.69873046875</c:v>
                </c:pt>
                <c:pt idx="39">
                  <c:v>958.39833984375002</c:v>
                </c:pt>
                <c:pt idx="40">
                  <c:v>958.39833984375002</c:v>
                </c:pt>
                <c:pt idx="41">
                  <c:v>755.63955078125002</c:v>
                </c:pt>
                <c:pt idx="42">
                  <c:v>755.63955078125002</c:v>
                </c:pt>
                <c:pt idx="43">
                  <c:v>755.63955078125002</c:v>
                </c:pt>
                <c:pt idx="44">
                  <c:v>727.34755859375002</c:v>
                </c:pt>
              </c:numCache>
            </c:numRef>
          </c:val>
          <c:smooth val="0"/>
        </c:ser>
        <c:ser>
          <c:idx val="3"/>
          <c:order val="3"/>
          <c:tx>
            <c:strRef>
              <c:f>'Usable  Feed'!$E$1</c:f>
              <c:strCache>
                <c:ptCount val="1"/>
                <c:pt idx="0">
                  <c:v>RDC Tier 4 (TB Pool Size)</c:v>
                </c:pt>
              </c:strCache>
            </c:strRef>
          </c:tx>
          <c:cat>
            <c:numRef>
              <c:f>'Usable  Feed'!$A$2:$A$46</c:f>
              <c:numCache>
                <c:formatCode>[$-409]d\-mmm\-yy;@</c:formatCode>
                <c:ptCount val="45"/>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numCache>
            </c:numRef>
          </c:cat>
          <c:val>
            <c:numRef>
              <c:f>'Usable  Feed'!$E$2:$E$46</c:f>
              <c:numCache>
                <c:formatCode>0</c:formatCode>
                <c:ptCount val="45"/>
                <c:pt idx="0">
                  <c:v>1400.9654296874999</c:v>
                </c:pt>
                <c:pt idx="1">
                  <c:v>1400.9654296874999</c:v>
                </c:pt>
                <c:pt idx="2">
                  <c:v>1400.9654296874999</c:v>
                </c:pt>
                <c:pt idx="3">
                  <c:v>1400.9654296874999</c:v>
                </c:pt>
                <c:pt idx="4">
                  <c:v>1400.9654296874999</c:v>
                </c:pt>
                <c:pt idx="5">
                  <c:v>1400.9654296874999</c:v>
                </c:pt>
                <c:pt idx="6">
                  <c:v>1400.9654296874999</c:v>
                </c:pt>
                <c:pt idx="7">
                  <c:v>1400.9654296874999</c:v>
                </c:pt>
                <c:pt idx="8">
                  <c:v>1214.5677734374999</c:v>
                </c:pt>
                <c:pt idx="9">
                  <c:v>1214.5677734374999</c:v>
                </c:pt>
                <c:pt idx="10">
                  <c:v>1214.5677734374999</c:v>
                </c:pt>
                <c:pt idx="11">
                  <c:v>1214.5677734374999</c:v>
                </c:pt>
                <c:pt idx="12">
                  <c:v>1214.56279296875</c:v>
                </c:pt>
                <c:pt idx="13">
                  <c:v>1214.56279296875</c:v>
                </c:pt>
                <c:pt idx="14">
                  <c:v>1214.56279296875</c:v>
                </c:pt>
                <c:pt idx="15">
                  <c:v>1214.56279296875</c:v>
                </c:pt>
                <c:pt idx="16">
                  <c:v>1214.56279296875</c:v>
                </c:pt>
                <c:pt idx="17">
                  <c:v>1214.56279296875</c:v>
                </c:pt>
                <c:pt idx="18">
                  <c:v>1214.56279296875</c:v>
                </c:pt>
                <c:pt idx="19">
                  <c:v>1214.56279296875</c:v>
                </c:pt>
                <c:pt idx="20">
                  <c:v>995.74824218749995</c:v>
                </c:pt>
                <c:pt idx="21">
                  <c:v>995.74824218749995</c:v>
                </c:pt>
                <c:pt idx="22">
                  <c:v>995.74824218749995</c:v>
                </c:pt>
                <c:pt idx="23">
                  <c:v>776.9287109375</c:v>
                </c:pt>
                <c:pt idx="24">
                  <c:v>776.9287109375</c:v>
                </c:pt>
                <c:pt idx="25">
                  <c:v>776.9287109375</c:v>
                </c:pt>
                <c:pt idx="26">
                  <c:v>776.9287109375</c:v>
                </c:pt>
                <c:pt idx="27">
                  <c:v>776.9287109375</c:v>
                </c:pt>
                <c:pt idx="28">
                  <c:v>776.9287109375</c:v>
                </c:pt>
                <c:pt idx="29">
                  <c:v>776.9287109375</c:v>
                </c:pt>
                <c:pt idx="30">
                  <c:v>776.9287109375</c:v>
                </c:pt>
                <c:pt idx="31">
                  <c:v>776.9287109375</c:v>
                </c:pt>
                <c:pt idx="32">
                  <c:v>776.9287109375</c:v>
                </c:pt>
                <c:pt idx="33">
                  <c:v>776.9287109375</c:v>
                </c:pt>
                <c:pt idx="34">
                  <c:v>776.9287109375</c:v>
                </c:pt>
                <c:pt idx="35">
                  <c:v>776.9287109375</c:v>
                </c:pt>
                <c:pt idx="36">
                  <c:v>776.9287109375</c:v>
                </c:pt>
                <c:pt idx="37">
                  <c:v>776.9287109375</c:v>
                </c:pt>
                <c:pt idx="38">
                  <c:v>776.9287109375</c:v>
                </c:pt>
                <c:pt idx="39">
                  <c:v>776.9287109375</c:v>
                </c:pt>
                <c:pt idx="40">
                  <c:v>388.01542968749993</c:v>
                </c:pt>
                <c:pt idx="41">
                  <c:v>388.01542968749993</c:v>
                </c:pt>
                <c:pt idx="42">
                  <c:v>388.01542968749993</c:v>
                </c:pt>
                <c:pt idx="43">
                  <c:v>388.01542968749993</c:v>
                </c:pt>
                <c:pt idx="44">
                  <c:v>388.01542968749993</c:v>
                </c:pt>
              </c:numCache>
            </c:numRef>
          </c:val>
          <c:smooth val="0"/>
        </c:ser>
        <c:ser>
          <c:idx val="4"/>
          <c:order val="4"/>
          <c:tx>
            <c:strRef>
              <c:f>'Usable  Feed'!$F$1</c:f>
              <c:strCache>
                <c:ptCount val="1"/>
                <c:pt idx="0">
                  <c:v>FDC Tier 4  (TB Pool Size)</c:v>
                </c:pt>
              </c:strCache>
            </c:strRef>
          </c:tx>
          <c:cat>
            <c:numRef>
              <c:f>'Usable  Feed'!$A$2:$A$46</c:f>
              <c:numCache>
                <c:formatCode>[$-409]d\-mmm\-yy;@</c:formatCode>
                <c:ptCount val="45"/>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numCache>
            </c:numRef>
          </c:cat>
          <c:val>
            <c:numRef>
              <c:f>'Usable  Feed'!$F$2:$F$46</c:f>
              <c:numCache>
                <c:formatCode>0</c:formatCode>
                <c:ptCount val="45"/>
                <c:pt idx="0">
                  <c:v>1379.98466796875</c:v>
                </c:pt>
                <c:pt idx="1">
                  <c:v>1379.98466796875</c:v>
                </c:pt>
                <c:pt idx="2">
                  <c:v>1379.98466796875</c:v>
                </c:pt>
                <c:pt idx="3">
                  <c:v>1379.98466796875</c:v>
                </c:pt>
                <c:pt idx="4">
                  <c:v>1379.98466796875</c:v>
                </c:pt>
                <c:pt idx="5">
                  <c:v>1379.98466796875</c:v>
                </c:pt>
                <c:pt idx="6">
                  <c:v>1379.98466796875</c:v>
                </c:pt>
                <c:pt idx="7">
                  <c:v>1379.98466796875</c:v>
                </c:pt>
                <c:pt idx="8">
                  <c:v>1379.98466796875</c:v>
                </c:pt>
                <c:pt idx="9">
                  <c:v>1379.98466796875</c:v>
                </c:pt>
                <c:pt idx="10">
                  <c:v>1379.98466796875</c:v>
                </c:pt>
                <c:pt idx="11">
                  <c:v>1379.98466796875</c:v>
                </c:pt>
                <c:pt idx="12">
                  <c:v>1379.98466796875</c:v>
                </c:pt>
                <c:pt idx="13">
                  <c:v>1379.98466796875</c:v>
                </c:pt>
                <c:pt idx="14">
                  <c:v>1379.98466796875</c:v>
                </c:pt>
                <c:pt idx="15">
                  <c:v>1379.98466796875</c:v>
                </c:pt>
                <c:pt idx="16">
                  <c:v>1379.98466796875</c:v>
                </c:pt>
                <c:pt idx="17">
                  <c:v>1379.98466796875</c:v>
                </c:pt>
                <c:pt idx="18">
                  <c:v>1379.98466796875</c:v>
                </c:pt>
                <c:pt idx="19">
                  <c:v>1379.98466796875</c:v>
                </c:pt>
                <c:pt idx="20">
                  <c:v>1379.98466796875</c:v>
                </c:pt>
                <c:pt idx="21">
                  <c:v>1379.98466796875</c:v>
                </c:pt>
                <c:pt idx="22">
                  <c:v>1379.98466796875</c:v>
                </c:pt>
                <c:pt idx="23">
                  <c:v>1375.6854492187499</c:v>
                </c:pt>
                <c:pt idx="24">
                  <c:v>1311.1958984374999</c:v>
                </c:pt>
                <c:pt idx="25">
                  <c:v>1091.4151367187501</c:v>
                </c:pt>
                <c:pt idx="26">
                  <c:v>1091.4151367187501</c:v>
                </c:pt>
                <c:pt idx="27">
                  <c:v>1091.4151367187501</c:v>
                </c:pt>
                <c:pt idx="28">
                  <c:v>1091.4151367187501</c:v>
                </c:pt>
                <c:pt idx="29">
                  <c:v>835.27363281249995</c:v>
                </c:pt>
                <c:pt idx="30">
                  <c:v>835.2734375</c:v>
                </c:pt>
                <c:pt idx="31">
                  <c:v>835.27363281249995</c:v>
                </c:pt>
                <c:pt idx="32">
                  <c:v>835.27363281249995</c:v>
                </c:pt>
                <c:pt idx="33">
                  <c:v>835.27363281249995</c:v>
                </c:pt>
                <c:pt idx="34">
                  <c:v>835.27363281249995</c:v>
                </c:pt>
                <c:pt idx="35">
                  <c:v>835.27363281249995</c:v>
                </c:pt>
                <c:pt idx="36">
                  <c:v>835.27363281249995</c:v>
                </c:pt>
                <c:pt idx="37">
                  <c:v>835.27363281249995</c:v>
                </c:pt>
                <c:pt idx="38">
                  <c:v>835.27363281249995</c:v>
                </c:pt>
                <c:pt idx="39">
                  <c:v>835.27363281249995</c:v>
                </c:pt>
                <c:pt idx="40">
                  <c:v>398.78720703124998</c:v>
                </c:pt>
                <c:pt idx="41">
                  <c:v>398.78720703124998</c:v>
                </c:pt>
                <c:pt idx="42">
                  <c:v>398.78720703124998</c:v>
                </c:pt>
                <c:pt idx="43">
                  <c:v>398.78720703124998</c:v>
                </c:pt>
                <c:pt idx="44">
                  <c:v>398.78720703124998</c:v>
                </c:pt>
              </c:numCache>
            </c:numRef>
          </c:val>
          <c:smooth val="0"/>
        </c:ser>
        <c:ser>
          <c:idx val="5"/>
          <c:order val="5"/>
          <c:tx>
            <c:strRef>
              <c:f>'Usable  Feed'!$G$1</c:f>
              <c:strCache>
                <c:ptCount val="1"/>
                <c:pt idx="0">
                  <c:v>FDC tier 3  (TB Pool Size)</c:v>
                </c:pt>
              </c:strCache>
            </c:strRef>
          </c:tx>
          <c:cat>
            <c:numRef>
              <c:f>'Usable  Feed'!$A$2:$A$46</c:f>
              <c:numCache>
                <c:formatCode>[$-409]d\-mmm\-yy;@</c:formatCode>
                <c:ptCount val="45"/>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numCache>
            </c:numRef>
          </c:cat>
          <c:val>
            <c:numRef>
              <c:f>'Usable  Feed'!$G$2:$G$46</c:f>
              <c:numCache>
                <c:formatCode>0</c:formatCode>
                <c:ptCount val="45"/>
                <c:pt idx="0">
                  <c:v>1127.94501953125</c:v>
                </c:pt>
                <c:pt idx="1">
                  <c:v>1127.94501953125</c:v>
                </c:pt>
                <c:pt idx="2">
                  <c:v>1127.94501953125</c:v>
                </c:pt>
                <c:pt idx="3">
                  <c:v>1127.94501953125</c:v>
                </c:pt>
                <c:pt idx="4">
                  <c:v>1127.94501953125</c:v>
                </c:pt>
                <c:pt idx="5">
                  <c:v>1127.94501953125</c:v>
                </c:pt>
                <c:pt idx="6">
                  <c:v>1127.94501953125</c:v>
                </c:pt>
                <c:pt idx="7">
                  <c:v>1127.94501953125</c:v>
                </c:pt>
                <c:pt idx="8">
                  <c:v>1127.94501953125</c:v>
                </c:pt>
                <c:pt idx="9">
                  <c:v>1127.94501953125</c:v>
                </c:pt>
                <c:pt idx="10">
                  <c:v>1127.94501953125</c:v>
                </c:pt>
                <c:pt idx="11">
                  <c:v>1127.94501953125</c:v>
                </c:pt>
                <c:pt idx="12">
                  <c:v>1127.94501953125</c:v>
                </c:pt>
                <c:pt idx="13">
                  <c:v>1127.94501953125</c:v>
                </c:pt>
                <c:pt idx="14">
                  <c:v>1127.94501953125</c:v>
                </c:pt>
                <c:pt idx="15">
                  <c:v>1127.94501953125</c:v>
                </c:pt>
                <c:pt idx="16">
                  <c:v>1127.94501953125</c:v>
                </c:pt>
                <c:pt idx="17">
                  <c:v>1127.94501953125</c:v>
                </c:pt>
                <c:pt idx="18">
                  <c:v>1228.1774414062502</c:v>
                </c:pt>
                <c:pt idx="19">
                  <c:v>1228.1774414062502</c:v>
                </c:pt>
                <c:pt idx="20">
                  <c:v>1228.1774414062502</c:v>
                </c:pt>
                <c:pt idx="21">
                  <c:v>1228.1774414062502</c:v>
                </c:pt>
                <c:pt idx="22">
                  <c:v>1228.1774414062502</c:v>
                </c:pt>
                <c:pt idx="23">
                  <c:v>1223.87822265625</c:v>
                </c:pt>
                <c:pt idx="24">
                  <c:v>1223.87822265625</c:v>
                </c:pt>
                <c:pt idx="25">
                  <c:v>1223.87822265625</c:v>
                </c:pt>
                <c:pt idx="26">
                  <c:v>1223.87822265625</c:v>
                </c:pt>
                <c:pt idx="27">
                  <c:v>1223.87822265625</c:v>
                </c:pt>
                <c:pt idx="28">
                  <c:v>1223.87822265625</c:v>
                </c:pt>
                <c:pt idx="29">
                  <c:v>1190.85546875</c:v>
                </c:pt>
                <c:pt idx="30">
                  <c:v>1190.85546875</c:v>
                </c:pt>
                <c:pt idx="31">
                  <c:v>1190.8553710937501</c:v>
                </c:pt>
                <c:pt idx="32">
                  <c:v>1190.8553710937501</c:v>
                </c:pt>
                <c:pt idx="33">
                  <c:v>1190.8553710937501</c:v>
                </c:pt>
                <c:pt idx="34">
                  <c:v>1190.8553710937501</c:v>
                </c:pt>
                <c:pt idx="35">
                  <c:v>1190.8553710937501</c:v>
                </c:pt>
                <c:pt idx="36">
                  <c:v>1190.8553710937501</c:v>
                </c:pt>
                <c:pt idx="37">
                  <c:v>1190.8553710937501</c:v>
                </c:pt>
                <c:pt idx="38">
                  <c:v>1190.8553710937501</c:v>
                </c:pt>
                <c:pt idx="39">
                  <c:v>1186.3208984374999</c:v>
                </c:pt>
                <c:pt idx="40">
                  <c:v>911.17421874999991</c:v>
                </c:pt>
                <c:pt idx="41">
                  <c:v>911.17421874999991</c:v>
                </c:pt>
                <c:pt idx="42">
                  <c:v>911.17421874999991</c:v>
                </c:pt>
                <c:pt idx="43">
                  <c:v>911.17421874999991</c:v>
                </c:pt>
                <c:pt idx="44">
                  <c:v>882.88222656249991</c:v>
                </c:pt>
              </c:numCache>
            </c:numRef>
          </c:val>
          <c:smooth val="0"/>
        </c:ser>
        <c:ser>
          <c:idx val="6"/>
          <c:order val="6"/>
          <c:tx>
            <c:strRef>
              <c:f>'Usable  Feed'!$H$1</c:f>
              <c:strCache>
                <c:ptCount val="1"/>
                <c:pt idx="0">
                  <c:v>ZDC Tier 4  (TB Pool Size)</c:v>
                </c:pt>
              </c:strCache>
            </c:strRef>
          </c:tx>
          <c:cat>
            <c:numRef>
              <c:f>'Usable  Feed'!$A$2:$A$46</c:f>
              <c:numCache>
                <c:formatCode>[$-409]d\-mmm\-yy;@</c:formatCode>
                <c:ptCount val="45"/>
                <c:pt idx="0">
                  <c:v>41977</c:v>
                </c:pt>
                <c:pt idx="1">
                  <c:v>41970</c:v>
                </c:pt>
                <c:pt idx="2">
                  <c:v>41963</c:v>
                </c:pt>
                <c:pt idx="3">
                  <c:v>41956</c:v>
                </c:pt>
                <c:pt idx="4">
                  <c:v>41949</c:v>
                </c:pt>
                <c:pt idx="5">
                  <c:v>41942</c:v>
                </c:pt>
                <c:pt idx="6">
                  <c:v>41935</c:v>
                </c:pt>
                <c:pt idx="7">
                  <c:v>41928</c:v>
                </c:pt>
                <c:pt idx="8">
                  <c:v>41921</c:v>
                </c:pt>
                <c:pt idx="9">
                  <c:v>41914</c:v>
                </c:pt>
                <c:pt idx="10">
                  <c:v>41907</c:v>
                </c:pt>
                <c:pt idx="11">
                  <c:v>41900</c:v>
                </c:pt>
                <c:pt idx="12">
                  <c:v>41893</c:v>
                </c:pt>
                <c:pt idx="13">
                  <c:v>41886</c:v>
                </c:pt>
                <c:pt idx="14">
                  <c:v>41878</c:v>
                </c:pt>
                <c:pt idx="15">
                  <c:v>41871</c:v>
                </c:pt>
                <c:pt idx="16">
                  <c:v>41864</c:v>
                </c:pt>
                <c:pt idx="17">
                  <c:v>41857</c:v>
                </c:pt>
                <c:pt idx="18">
                  <c:v>41850</c:v>
                </c:pt>
                <c:pt idx="19">
                  <c:v>41843</c:v>
                </c:pt>
                <c:pt idx="20">
                  <c:v>41836</c:v>
                </c:pt>
                <c:pt idx="21">
                  <c:v>41829</c:v>
                </c:pt>
                <c:pt idx="22">
                  <c:v>41822</c:v>
                </c:pt>
                <c:pt idx="23">
                  <c:v>41815</c:v>
                </c:pt>
                <c:pt idx="24">
                  <c:v>41808</c:v>
                </c:pt>
                <c:pt idx="25">
                  <c:v>41801</c:v>
                </c:pt>
                <c:pt idx="26">
                  <c:v>41794</c:v>
                </c:pt>
                <c:pt idx="27">
                  <c:v>41787</c:v>
                </c:pt>
                <c:pt idx="28">
                  <c:v>41780</c:v>
                </c:pt>
                <c:pt idx="29">
                  <c:v>41773</c:v>
                </c:pt>
                <c:pt idx="30">
                  <c:v>41766</c:v>
                </c:pt>
                <c:pt idx="31">
                  <c:v>41752</c:v>
                </c:pt>
                <c:pt idx="32">
                  <c:v>41745</c:v>
                </c:pt>
                <c:pt idx="33">
                  <c:v>41739</c:v>
                </c:pt>
                <c:pt idx="34">
                  <c:v>41732</c:v>
                </c:pt>
                <c:pt idx="35">
                  <c:v>41725</c:v>
                </c:pt>
                <c:pt idx="36">
                  <c:v>41709</c:v>
                </c:pt>
                <c:pt idx="37">
                  <c:v>41704</c:v>
                </c:pt>
                <c:pt idx="38">
                  <c:v>41703</c:v>
                </c:pt>
                <c:pt idx="39">
                  <c:v>41702</c:v>
                </c:pt>
                <c:pt idx="40">
                  <c:v>41695</c:v>
                </c:pt>
                <c:pt idx="41">
                  <c:v>41690</c:v>
                </c:pt>
                <c:pt idx="42">
                  <c:v>41684</c:v>
                </c:pt>
                <c:pt idx="43">
                  <c:v>41676</c:v>
                </c:pt>
                <c:pt idx="44">
                  <c:v>41642</c:v>
                </c:pt>
              </c:numCache>
            </c:numRef>
          </c:cat>
          <c:val>
            <c:numRef>
              <c:f>'Usable  Feed'!$H$2:$H$46</c:f>
              <c:numCache>
                <c:formatCode>0</c:formatCode>
                <c:ptCount val="45"/>
                <c:pt idx="0">
                  <c:v>90.638867187499997</c:v>
                </c:pt>
                <c:pt idx="1">
                  <c:v>0</c:v>
                </c:pt>
                <c:pt idx="2">
                  <c:v>90.638867187499997</c:v>
                </c:pt>
                <c:pt idx="3">
                  <c:v>90.638867187499997</c:v>
                </c:pt>
                <c:pt idx="4">
                  <c:v>90.638867187499997</c:v>
                </c:pt>
                <c:pt idx="5">
                  <c:v>90.638867187499997</c:v>
                </c:pt>
                <c:pt idx="6">
                  <c:v>32.31494140625</c:v>
                </c:pt>
                <c:pt idx="7">
                  <c:v>32.31494140625</c:v>
                </c:pt>
                <c:pt idx="8">
                  <c:v>32.31494140625</c:v>
                </c:pt>
                <c:pt idx="9">
                  <c:v>32.31494140625</c:v>
                </c:pt>
                <c:pt idx="10">
                  <c:v>32.31494140625</c:v>
                </c:pt>
                <c:pt idx="11">
                  <c:v>32.31494140625</c:v>
                </c:pt>
                <c:pt idx="12">
                  <c:v>32.31494140625</c:v>
                </c:pt>
                <c:pt idx="13">
                  <c:v>32.31494140625</c:v>
                </c:pt>
                <c:pt idx="14">
                  <c:v>32.31494140625</c:v>
                </c:pt>
                <c:pt idx="15">
                  <c:v>32.31494140625</c:v>
                </c:pt>
                <c:pt idx="16">
                  <c:v>32.31494140625</c:v>
                </c:pt>
                <c:pt idx="17">
                  <c:v>32.31494140625</c:v>
                </c:pt>
                <c:pt idx="18">
                  <c:v>32.31494140625</c:v>
                </c:pt>
                <c:pt idx="19">
                  <c:v>32.31494140625</c:v>
                </c:pt>
                <c:pt idx="20">
                  <c:v>32.31494140625</c:v>
                </c:pt>
                <c:pt idx="21">
                  <c:v>32.31494140625</c:v>
                </c:pt>
                <c:pt idx="22">
                  <c:v>32.31494140625</c:v>
                </c:pt>
                <c:pt idx="23">
                  <c:v>32.31494140625</c:v>
                </c:pt>
                <c:pt idx="24">
                  <c:v>32.31494140625</c:v>
                </c:pt>
                <c:pt idx="25">
                  <c:v>32.31494140625</c:v>
                </c:pt>
                <c:pt idx="26">
                  <c:v>32.31494140625</c:v>
                </c:pt>
                <c:pt idx="27">
                  <c:v>32.31494140625</c:v>
                </c:pt>
                <c:pt idx="28">
                  <c:v>32.31494140625</c:v>
                </c:pt>
                <c:pt idx="29">
                  <c:v>32.31494140625</c:v>
                </c:pt>
                <c:pt idx="30">
                  <c:v>32.3154296875</c:v>
                </c:pt>
                <c:pt idx="31">
                  <c:v>32.31494140625</c:v>
                </c:pt>
                <c:pt idx="32">
                  <c:v>32.31494140625</c:v>
                </c:pt>
                <c:pt idx="33">
                  <c:v>32.31494140625</c:v>
                </c:pt>
                <c:pt idx="34">
                  <c:v>32.31494140625</c:v>
                </c:pt>
                <c:pt idx="35">
                  <c:v>32.31494140625</c:v>
                </c:pt>
                <c:pt idx="36">
                  <c:v>32.31494140625</c:v>
                </c:pt>
                <c:pt idx="37">
                  <c:v>32.31494140625</c:v>
                </c:pt>
                <c:pt idx="38">
                  <c:v>32.31494140625</c:v>
                </c:pt>
                <c:pt idx="39">
                  <c:v>32.31494140625</c:v>
                </c:pt>
                <c:pt idx="40">
                  <c:v>32.31494140625</c:v>
                </c:pt>
                <c:pt idx="41">
                  <c:v>32.31494140625</c:v>
                </c:pt>
                <c:pt idx="42">
                  <c:v>32.31494140625</c:v>
                </c:pt>
                <c:pt idx="43">
                  <c:v>32.31494140625</c:v>
                </c:pt>
                <c:pt idx="44">
                  <c:v>32.31494140625</c:v>
                </c:pt>
              </c:numCache>
            </c:numRef>
          </c:val>
          <c:smooth val="0"/>
        </c:ser>
        <c:dLbls>
          <c:showLegendKey val="0"/>
          <c:showVal val="0"/>
          <c:showCatName val="0"/>
          <c:showSerName val="0"/>
          <c:showPercent val="0"/>
          <c:showBubbleSize val="0"/>
        </c:dLbls>
        <c:marker val="1"/>
        <c:smooth val="0"/>
        <c:axId val="471436288"/>
        <c:axId val="471438080"/>
      </c:lineChart>
      <c:dateAx>
        <c:axId val="471436288"/>
        <c:scaling>
          <c:orientation val="minMax"/>
        </c:scaling>
        <c:delete val="0"/>
        <c:axPos val="b"/>
        <c:numFmt formatCode="[$-409]d\-mmm\-yy;@" sourceLinked="1"/>
        <c:majorTickMark val="out"/>
        <c:minorTickMark val="none"/>
        <c:tickLblPos val="nextTo"/>
        <c:crossAx val="471438080"/>
        <c:crosses val="autoZero"/>
        <c:auto val="1"/>
        <c:lblOffset val="100"/>
        <c:baseTimeUnit val="days"/>
      </c:dateAx>
      <c:valAx>
        <c:axId val="471438080"/>
        <c:scaling>
          <c:orientation val="minMax"/>
        </c:scaling>
        <c:delete val="0"/>
        <c:axPos val="l"/>
        <c:majorGridlines/>
        <c:numFmt formatCode="0" sourceLinked="1"/>
        <c:majorTickMark val="out"/>
        <c:minorTickMark val="none"/>
        <c:tickLblPos val="nextTo"/>
        <c:crossAx val="471436288"/>
        <c:crosses val="autoZero"/>
        <c:crossBetween val="between"/>
      </c:valAx>
    </c:plotArea>
    <c:legend>
      <c:legendPos val="r"/>
      <c:layout/>
      <c:overlay val="0"/>
    </c:legend>
    <c:plotVisOnly val="1"/>
    <c:dispBlanksAs val="gap"/>
    <c:showDLblsOverMax val="0"/>
  </c:chart>
  <c:printSettings>
    <c:headerFooter/>
    <c:pageMargins b="0.750000000000002" l="0.70000000000000062" r="0.70000000000000062" t="0.750000000000002" header="0.30000000000000032" footer="0.3000000000000003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'Used Feed'!$B$1</c:f>
              <c:strCache>
                <c:ptCount val="1"/>
                <c:pt idx="0">
                  <c:v>CGC Tier 4  (TB Used)</c:v>
                </c:pt>
              </c:strCache>
            </c:strRef>
          </c:tx>
          <c:cat>
            <c:numRef>
              <c:f>'Used Feed'!$A$2:$A$45</c:f>
              <c:numCache>
                <c:formatCode>[$-409]d\-mmm\-yy;@</c:formatCode>
                <c:ptCount val="44"/>
                <c:pt idx="0">
                  <c:v>41977</c:v>
                </c:pt>
                <c:pt idx="1">
                  <c:v>41970</c:v>
                </c:pt>
                <c:pt idx="2">
                  <c:v>41963</c:v>
                </c:pt>
                <c:pt idx="3">
                  <c:v>41956</c:v>
                </c:pt>
                <c:pt idx="4">
                  <c:v>41949</c:v>
                </c:pt>
                <c:pt idx="5">
                  <c:v>41935</c:v>
                </c:pt>
                <c:pt idx="6">
                  <c:v>41928</c:v>
                </c:pt>
                <c:pt idx="7">
                  <c:v>41921</c:v>
                </c:pt>
                <c:pt idx="8">
                  <c:v>41914</c:v>
                </c:pt>
                <c:pt idx="9">
                  <c:v>41907</c:v>
                </c:pt>
                <c:pt idx="10">
                  <c:v>41900</c:v>
                </c:pt>
                <c:pt idx="11">
                  <c:v>41893</c:v>
                </c:pt>
                <c:pt idx="12">
                  <c:v>41886</c:v>
                </c:pt>
                <c:pt idx="13">
                  <c:v>41878</c:v>
                </c:pt>
                <c:pt idx="14">
                  <c:v>41871</c:v>
                </c:pt>
                <c:pt idx="15">
                  <c:v>41864</c:v>
                </c:pt>
                <c:pt idx="16">
                  <c:v>41857</c:v>
                </c:pt>
                <c:pt idx="17">
                  <c:v>41850</c:v>
                </c:pt>
                <c:pt idx="18">
                  <c:v>41843</c:v>
                </c:pt>
                <c:pt idx="19">
                  <c:v>41836</c:v>
                </c:pt>
                <c:pt idx="20">
                  <c:v>41829</c:v>
                </c:pt>
                <c:pt idx="21">
                  <c:v>41822</c:v>
                </c:pt>
                <c:pt idx="22">
                  <c:v>41815</c:v>
                </c:pt>
                <c:pt idx="23">
                  <c:v>41808</c:v>
                </c:pt>
                <c:pt idx="24">
                  <c:v>41801</c:v>
                </c:pt>
                <c:pt idx="25">
                  <c:v>41794</c:v>
                </c:pt>
                <c:pt idx="26">
                  <c:v>41787</c:v>
                </c:pt>
                <c:pt idx="27">
                  <c:v>41780</c:v>
                </c:pt>
                <c:pt idx="28">
                  <c:v>41773</c:v>
                </c:pt>
                <c:pt idx="29">
                  <c:v>41766</c:v>
                </c:pt>
                <c:pt idx="30">
                  <c:v>41752</c:v>
                </c:pt>
                <c:pt idx="31">
                  <c:v>41745</c:v>
                </c:pt>
                <c:pt idx="32">
                  <c:v>41739</c:v>
                </c:pt>
                <c:pt idx="33">
                  <c:v>41732</c:v>
                </c:pt>
                <c:pt idx="34">
                  <c:v>41725</c:v>
                </c:pt>
                <c:pt idx="35">
                  <c:v>41709</c:v>
                </c:pt>
                <c:pt idx="36">
                  <c:v>41704</c:v>
                </c:pt>
                <c:pt idx="37">
                  <c:v>41703</c:v>
                </c:pt>
                <c:pt idx="38">
                  <c:v>41702</c:v>
                </c:pt>
                <c:pt idx="39">
                  <c:v>41695</c:v>
                </c:pt>
                <c:pt idx="40">
                  <c:v>41690</c:v>
                </c:pt>
                <c:pt idx="41">
                  <c:v>41684</c:v>
                </c:pt>
                <c:pt idx="42">
                  <c:v>41676</c:v>
                </c:pt>
                <c:pt idx="43">
                  <c:v>41642</c:v>
                </c:pt>
              </c:numCache>
            </c:numRef>
          </c:cat>
          <c:val>
            <c:numRef>
              <c:f>'Used Feed'!$B$2:$B$45</c:f>
              <c:numCache>
                <c:formatCode>0</c:formatCode>
                <c:ptCount val="44"/>
                <c:pt idx="0">
                  <c:v>133.06611328125001</c:v>
                </c:pt>
                <c:pt idx="1">
                  <c:v>131.53466796875</c:v>
                </c:pt>
                <c:pt idx="2">
                  <c:v>128.84511718749999</c:v>
                </c:pt>
                <c:pt idx="3">
                  <c:v>127.58701171875001</c:v>
                </c:pt>
                <c:pt idx="4">
                  <c:v>127.38027343749999</c:v>
                </c:pt>
                <c:pt idx="5">
                  <c:v>123.68007812499999</c:v>
                </c:pt>
                <c:pt idx="6">
                  <c:v>118.65107421875001</c:v>
                </c:pt>
                <c:pt idx="7">
                  <c:v>118.28701171875001</c:v>
                </c:pt>
                <c:pt idx="8">
                  <c:v>114.6169921875</c:v>
                </c:pt>
                <c:pt idx="9">
                  <c:v>114.4607421875</c:v>
                </c:pt>
                <c:pt idx="10">
                  <c:v>111.21142578125</c:v>
                </c:pt>
                <c:pt idx="11">
                  <c:v>109.6013671875</c:v>
                </c:pt>
                <c:pt idx="12">
                  <c:v>111.244921875</c:v>
                </c:pt>
                <c:pt idx="13">
                  <c:v>110.40048828125001</c:v>
                </c:pt>
                <c:pt idx="14">
                  <c:v>127.4814453125</c:v>
                </c:pt>
                <c:pt idx="15">
                  <c:v>127.16875</c:v>
                </c:pt>
                <c:pt idx="16">
                  <c:v>130.75322265624999</c:v>
                </c:pt>
                <c:pt idx="17">
                  <c:v>141.38408203124999</c:v>
                </c:pt>
                <c:pt idx="18">
                  <c:v>141.38408203124999</c:v>
                </c:pt>
                <c:pt idx="19">
                  <c:v>102.18076171875001</c:v>
                </c:pt>
                <c:pt idx="20">
                  <c:v>101.2490234375</c:v>
                </c:pt>
                <c:pt idx="21">
                  <c:v>101.2490234375</c:v>
                </c:pt>
                <c:pt idx="22">
                  <c:v>100.90361328125</c:v>
                </c:pt>
                <c:pt idx="23">
                  <c:v>100.29677734374999</c:v>
                </c:pt>
                <c:pt idx="24">
                  <c:v>100.29677734374999</c:v>
                </c:pt>
                <c:pt idx="25">
                  <c:v>99.743945312500003</c:v>
                </c:pt>
                <c:pt idx="26">
                  <c:v>101.85146484374999</c:v>
                </c:pt>
                <c:pt idx="27">
                  <c:v>101.87138671875</c:v>
                </c:pt>
                <c:pt idx="28">
                  <c:v>101.54648437500001</c:v>
                </c:pt>
                <c:pt idx="29">
                  <c:v>101.45986328124999</c:v>
                </c:pt>
                <c:pt idx="30">
                  <c:v>102.39833984374999</c:v>
                </c:pt>
                <c:pt idx="31">
                  <c:v>103.059765625</c:v>
                </c:pt>
                <c:pt idx="32">
                  <c:v>102.97402343749999</c:v>
                </c:pt>
                <c:pt idx="33">
                  <c:v>102.10400390625</c:v>
                </c:pt>
                <c:pt idx="34">
                  <c:v>101.59218749999999</c:v>
                </c:pt>
                <c:pt idx="35">
                  <c:v>98.920605468749997</c:v>
                </c:pt>
                <c:pt idx="36">
                  <c:v>98.359667968750003</c:v>
                </c:pt>
                <c:pt idx="37">
                  <c:v>98.325976562500003</c:v>
                </c:pt>
                <c:pt idx="38">
                  <c:v>98.328808593749997</c:v>
                </c:pt>
                <c:pt idx="39">
                  <c:v>51.736035156249997</c:v>
                </c:pt>
                <c:pt idx="40">
                  <c:v>51.684863281250003</c:v>
                </c:pt>
                <c:pt idx="41">
                  <c:v>51.684863281250003</c:v>
                </c:pt>
                <c:pt idx="42">
                  <c:v>51.081152343749999</c:v>
                </c:pt>
                <c:pt idx="43">
                  <c:v>50.74609375</c:v>
                </c:pt>
              </c:numCache>
            </c:numRef>
          </c:val>
          <c:smooth val="0"/>
        </c:ser>
        <c:ser>
          <c:idx val="1"/>
          <c:order val="1"/>
          <c:tx>
            <c:strRef>
              <c:f>'Used Feed'!$C$1</c:f>
              <c:strCache>
                <c:ptCount val="1"/>
                <c:pt idx="0">
                  <c:v>CGC Tier 3  (TB Used)</c:v>
                </c:pt>
              </c:strCache>
            </c:strRef>
          </c:tx>
          <c:cat>
            <c:numRef>
              <c:f>'Used Feed'!$A$2:$A$45</c:f>
              <c:numCache>
                <c:formatCode>[$-409]d\-mmm\-yy;@</c:formatCode>
                <c:ptCount val="44"/>
                <c:pt idx="0">
                  <c:v>41977</c:v>
                </c:pt>
                <c:pt idx="1">
                  <c:v>41970</c:v>
                </c:pt>
                <c:pt idx="2">
                  <c:v>41963</c:v>
                </c:pt>
                <c:pt idx="3">
                  <c:v>41956</c:v>
                </c:pt>
                <c:pt idx="4">
                  <c:v>41949</c:v>
                </c:pt>
                <c:pt idx="5">
                  <c:v>41935</c:v>
                </c:pt>
                <c:pt idx="6">
                  <c:v>41928</c:v>
                </c:pt>
                <c:pt idx="7">
                  <c:v>41921</c:v>
                </c:pt>
                <c:pt idx="8">
                  <c:v>41914</c:v>
                </c:pt>
                <c:pt idx="9">
                  <c:v>41907</c:v>
                </c:pt>
                <c:pt idx="10">
                  <c:v>41900</c:v>
                </c:pt>
                <c:pt idx="11">
                  <c:v>41893</c:v>
                </c:pt>
                <c:pt idx="12">
                  <c:v>41886</c:v>
                </c:pt>
                <c:pt idx="13">
                  <c:v>41878</c:v>
                </c:pt>
                <c:pt idx="14">
                  <c:v>41871</c:v>
                </c:pt>
                <c:pt idx="15">
                  <c:v>41864</c:v>
                </c:pt>
                <c:pt idx="16">
                  <c:v>41857</c:v>
                </c:pt>
                <c:pt idx="17">
                  <c:v>41850</c:v>
                </c:pt>
                <c:pt idx="18">
                  <c:v>41843</c:v>
                </c:pt>
                <c:pt idx="19">
                  <c:v>41836</c:v>
                </c:pt>
                <c:pt idx="20">
                  <c:v>41829</c:v>
                </c:pt>
                <c:pt idx="21">
                  <c:v>41822</c:v>
                </c:pt>
                <c:pt idx="22">
                  <c:v>41815</c:v>
                </c:pt>
                <c:pt idx="23">
                  <c:v>41808</c:v>
                </c:pt>
                <c:pt idx="24">
                  <c:v>41801</c:v>
                </c:pt>
                <c:pt idx="25">
                  <c:v>41794</c:v>
                </c:pt>
                <c:pt idx="26">
                  <c:v>41787</c:v>
                </c:pt>
                <c:pt idx="27">
                  <c:v>41780</c:v>
                </c:pt>
                <c:pt idx="28">
                  <c:v>41773</c:v>
                </c:pt>
                <c:pt idx="29">
                  <c:v>41766</c:v>
                </c:pt>
                <c:pt idx="30">
                  <c:v>41752</c:v>
                </c:pt>
                <c:pt idx="31">
                  <c:v>41745</c:v>
                </c:pt>
                <c:pt idx="32">
                  <c:v>41739</c:v>
                </c:pt>
                <c:pt idx="33">
                  <c:v>41732</c:v>
                </c:pt>
                <c:pt idx="34">
                  <c:v>41725</c:v>
                </c:pt>
                <c:pt idx="35">
                  <c:v>41709</c:v>
                </c:pt>
                <c:pt idx="36">
                  <c:v>41704</c:v>
                </c:pt>
                <c:pt idx="37">
                  <c:v>41703</c:v>
                </c:pt>
                <c:pt idx="38">
                  <c:v>41702</c:v>
                </c:pt>
                <c:pt idx="39">
                  <c:v>41695</c:v>
                </c:pt>
                <c:pt idx="40">
                  <c:v>41690</c:v>
                </c:pt>
                <c:pt idx="41">
                  <c:v>41684</c:v>
                </c:pt>
                <c:pt idx="42">
                  <c:v>41676</c:v>
                </c:pt>
                <c:pt idx="43">
                  <c:v>41642</c:v>
                </c:pt>
              </c:numCache>
            </c:numRef>
          </c:cat>
          <c:val>
            <c:numRef>
              <c:f>'Used Feed'!$C$2:$C$45</c:f>
              <c:numCache>
                <c:formatCode>0</c:formatCode>
                <c:ptCount val="44"/>
                <c:pt idx="0">
                  <c:v>117.25986328125001</c:v>
                </c:pt>
                <c:pt idx="1">
                  <c:v>117.24775390625</c:v>
                </c:pt>
                <c:pt idx="2">
                  <c:v>116.49638671874999</c:v>
                </c:pt>
                <c:pt idx="3">
                  <c:v>110.49277343750001</c:v>
                </c:pt>
                <c:pt idx="4">
                  <c:v>109.26103515625</c:v>
                </c:pt>
                <c:pt idx="5">
                  <c:v>105.93984374999999</c:v>
                </c:pt>
                <c:pt idx="6">
                  <c:v>105.15371093749999</c:v>
                </c:pt>
                <c:pt idx="7">
                  <c:v>103.48574218750001</c:v>
                </c:pt>
                <c:pt idx="8">
                  <c:v>102.77587890625</c:v>
                </c:pt>
                <c:pt idx="9">
                  <c:v>102.73007812500001</c:v>
                </c:pt>
                <c:pt idx="10">
                  <c:v>98.002148437499997</c:v>
                </c:pt>
                <c:pt idx="11">
                  <c:v>97.342578124999989</c:v>
                </c:pt>
                <c:pt idx="12">
                  <c:v>92.297949218750006</c:v>
                </c:pt>
                <c:pt idx="13">
                  <c:v>92.130273437499994</c:v>
                </c:pt>
                <c:pt idx="14">
                  <c:v>90.557421874999989</c:v>
                </c:pt>
                <c:pt idx="15">
                  <c:v>89.617480468750003</c:v>
                </c:pt>
                <c:pt idx="16">
                  <c:v>87.874121093750006</c:v>
                </c:pt>
                <c:pt idx="17">
                  <c:v>86.966503906249997</c:v>
                </c:pt>
                <c:pt idx="18">
                  <c:v>86.966503906249997</c:v>
                </c:pt>
                <c:pt idx="19">
                  <c:v>84.624902343749994</c:v>
                </c:pt>
                <c:pt idx="20">
                  <c:v>83.279101562499989</c:v>
                </c:pt>
                <c:pt idx="21">
                  <c:v>83.279101562499989</c:v>
                </c:pt>
                <c:pt idx="22">
                  <c:v>81.887597656249994</c:v>
                </c:pt>
                <c:pt idx="23">
                  <c:v>81.599414062500003</c:v>
                </c:pt>
                <c:pt idx="24">
                  <c:v>81.599414062500003</c:v>
                </c:pt>
                <c:pt idx="25">
                  <c:v>81.565624999999997</c:v>
                </c:pt>
                <c:pt idx="26">
                  <c:v>81.4814453125</c:v>
                </c:pt>
                <c:pt idx="27">
                  <c:v>82.491601562499994</c:v>
                </c:pt>
                <c:pt idx="28">
                  <c:v>82.464648437500003</c:v>
                </c:pt>
                <c:pt idx="29">
                  <c:v>82.121972656249994</c:v>
                </c:pt>
                <c:pt idx="30">
                  <c:v>81.948046875000003</c:v>
                </c:pt>
                <c:pt idx="31">
                  <c:v>81.91845703125</c:v>
                </c:pt>
                <c:pt idx="32">
                  <c:v>81.835742187500003</c:v>
                </c:pt>
                <c:pt idx="33">
                  <c:v>81.38916015625</c:v>
                </c:pt>
                <c:pt idx="34">
                  <c:v>81.294042968750006</c:v>
                </c:pt>
                <c:pt idx="35">
                  <c:v>81.162011718749994</c:v>
                </c:pt>
                <c:pt idx="36">
                  <c:v>80.8115234375</c:v>
                </c:pt>
                <c:pt idx="37">
                  <c:v>80.810351562500003</c:v>
                </c:pt>
                <c:pt idx="38">
                  <c:v>80.810351562500003</c:v>
                </c:pt>
                <c:pt idx="39">
                  <c:v>80.800585937500003</c:v>
                </c:pt>
                <c:pt idx="40">
                  <c:v>80.777929687500006</c:v>
                </c:pt>
                <c:pt idx="41">
                  <c:v>80.777929687500006</c:v>
                </c:pt>
                <c:pt idx="42">
                  <c:v>80.741503906250003</c:v>
                </c:pt>
                <c:pt idx="43">
                  <c:v>80.017773437499997</c:v>
                </c:pt>
              </c:numCache>
            </c:numRef>
          </c:val>
          <c:smooth val="0"/>
        </c:ser>
        <c:ser>
          <c:idx val="2"/>
          <c:order val="2"/>
          <c:tx>
            <c:strRef>
              <c:f>'Used Feed'!$D$1</c:f>
              <c:strCache>
                <c:ptCount val="1"/>
                <c:pt idx="0">
                  <c:v>RDC Tier 3 (TB Used)</c:v>
                </c:pt>
              </c:strCache>
            </c:strRef>
          </c:tx>
          <c:cat>
            <c:numRef>
              <c:f>'Used Feed'!$A$2:$A$45</c:f>
              <c:numCache>
                <c:formatCode>[$-409]d\-mmm\-yy;@</c:formatCode>
                <c:ptCount val="44"/>
                <c:pt idx="0">
                  <c:v>41977</c:v>
                </c:pt>
                <c:pt idx="1">
                  <c:v>41970</c:v>
                </c:pt>
                <c:pt idx="2">
                  <c:v>41963</c:v>
                </c:pt>
                <c:pt idx="3">
                  <c:v>41956</c:v>
                </c:pt>
                <c:pt idx="4">
                  <c:v>41949</c:v>
                </c:pt>
                <c:pt idx="5">
                  <c:v>41935</c:v>
                </c:pt>
                <c:pt idx="6">
                  <c:v>41928</c:v>
                </c:pt>
                <c:pt idx="7">
                  <c:v>41921</c:v>
                </c:pt>
                <c:pt idx="8">
                  <c:v>41914</c:v>
                </c:pt>
                <c:pt idx="9">
                  <c:v>41907</c:v>
                </c:pt>
                <c:pt idx="10">
                  <c:v>41900</c:v>
                </c:pt>
                <c:pt idx="11">
                  <c:v>41893</c:v>
                </c:pt>
                <c:pt idx="12">
                  <c:v>41886</c:v>
                </c:pt>
                <c:pt idx="13">
                  <c:v>41878</c:v>
                </c:pt>
                <c:pt idx="14">
                  <c:v>41871</c:v>
                </c:pt>
                <c:pt idx="15">
                  <c:v>41864</c:v>
                </c:pt>
                <c:pt idx="16">
                  <c:v>41857</c:v>
                </c:pt>
                <c:pt idx="17">
                  <c:v>41850</c:v>
                </c:pt>
                <c:pt idx="18">
                  <c:v>41843</c:v>
                </c:pt>
                <c:pt idx="19">
                  <c:v>41836</c:v>
                </c:pt>
                <c:pt idx="20">
                  <c:v>41829</c:v>
                </c:pt>
                <c:pt idx="21">
                  <c:v>41822</c:v>
                </c:pt>
                <c:pt idx="22">
                  <c:v>41815</c:v>
                </c:pt>
                <c:pt idx="23">
                  <c:v>41808</c:v>
                </c:pt>
                <c:pt idx="24">
                  <c:v>41801</c:v>
                </c:pt>
                <c:pt idx="25">
                  <c:v>41794</c:v>
                </c:pt>
                <c:pt idx="26">
                  <c:v>41787</c:v>
                </c:pt>
                <c:pt idx="27">
                  <c:v>41780</c:v>
                </c:pt>
                <c:pt idx="28">
                  <c:v>41773</c:v>
                </c:pt>
                <c:pt idx="29">
                  <c:v>41766</c:v>
                </c:pt>
                <c:pt idx="30">
                  <c:v>41752</c:v>
                </c:pt>
                <c:pt idx="31">
                  <c:v>41745</c:v>
                </c:pt>
                <c:pt idx="32">
                  <c:v>41739</c:v>
                </c:pt>
                <c:pt idx="33">
                  <c:v>41732</c:v>
                </c:pt>
                <c:pt idx="34">
                  <c:v>41725</c:v>
                </c:pt>
                <c:pt idx="35">
                  <c:v>41709</c:v>
                </c:pt>
                <c:pt idx="36">
                  <c:v>41704</c:v>
                </c:pt>
                <c:pt idx="37">
                  <c:v>41703</c:v>
                </c:pt>
                <c:pt idx="38">
                  <c:v>41702</c:v>
                </c:pt>
                <c:pt idx="39">
                  <c:v>41695</c:v>
                </c:pt>
                <c:pt idx="40">
                  <c:v>41690</c:v>
                </c:pt>
                <c:pt idx="41">
                  <c:v>41684</c:v>
                </c:pt>
                <c:pt idx="42">
                  <c:v>41676</c:v>
                </c:pt>
                <c:pt idx="43">
                  <c:v>41642</c:v>
                </c:pt>
              </c:numCache>
            </c:numRef>
          </c:cat>
          <c:val>
            <c:numRef>
              <c:f>'Used Feed'!$D$2:$D$45</c:f>
              <c:numCache>
                <c:formatCode>0</c:formatCode>
                <c:ptCount val="44"/>
                <c:pt idx="0">
                  <c:v>572.98984374999998</c:v>
                </c:pt>
                <c:pt idx="1">
                  <c:v>570.57353515624993</c:v>
                </c:pt>
                <c:pt idx="2">
                  <c:v>569.79609375000007</c:v>
                </c:pt>
                <c:pt idx="3">
                  <c:v>557.888671875</c:v>
                </c:pt>
                <c:pt idx="4">
                  <c:v>544.94697265624995</c:v>
                </c:pt>
                <c:pt idx="5">
                  <c:v>521.65292968749998</c:v>
                </c:pt>
                <c:pt idx="6">
                  <c:v>517.2958984375</c:v>
                </c:pt>
                <c:pt idx="7">
                  <c:v>504.45878906250005</c:v>
                </c:pt>
                <c:pt idx="8">
                  <c:v>500.40937500000001</c:v>
                </c:pt>
                <c:pt idx="9">
                  <c:v>499.5071289062501</c:v>
                </c:pt>
                <c:pt idx="10">
                  <c:v>493.27880859375</c:v>
                </c:pt>
                <c:pt idx="11">
                  <c:v>490.93212890625006</c:v>
                </c:pt>
                <c:pt idx="12">
                  <c:v>487.33828124999997</c:v>
                </c:pt>
                <c:pt idx="13">
                  <c:v>485.24091796875007</c:v>
                </c:pt>
                <c:pt idx="14">
                  <c:v>482.15263671875005</c:v>
                </c:pt>
                <c:pt idx="15">
                  <c:v>486.12841796874994</c:v>
                </c:pt>
                <c:pt idx="16">
                  <c:v>487.30166015624997</c:v>
                </c:pt>
                <c:pt idx="17">
                  <c:v>481.05009765624999</c:v>
                </c:pt>
                <c:pt idx="18">
                  <c:v>481.05009765624999</c:v>
                </c:pt>
                <c:pt idx="19">
                  <c:v>476.29941406249998</c:v>
                </c:pt>
                <c:pt idx="20">
                  <c:v>470.22119140624994</c:v>
                </c:pt>
                <c:pt idx="21">
                  <c:v>470.22119140624994</c:v>
                </c:pt>
                <c:pt idx="22">
                  <c:v>467.24326171874998</c:v>
                </c:pt>
                <c:pt idx="23">
                  <c:v>464.51123046875</c:v>
                </c:pt>
                <c:pt idx="24">
                  <c:v>455.29482421874997</c:v>
                </c:pt>
                <c:pt idx="25">
                  <c:v>448.68671874999995</c:v>
                </c:pt>
                <c:pt idx="26">
                  <c:v>450.64277343749995</c:v>
                </c:pt>
                <c:pt idx="27">
                  <c:v>450.22167968749989</c:v>
                </c:pt>
                <c:pt idx="28">
                  <c:v>444.19218749999999</c:v>
                </c:pt>
                <c:pt idx="29">
                  <c:v>437.73916015624991</c:v>
                </c:pt>
                <c:pt idx="30">
                  <c:v>429.41650390625</c:v>
                </c:pt>
                <c:pt idx="31">
                  <c:v>424.75917968749997</c:v>
                </c:pt>
                <c:pt idx="32">
                  <c:v>425.74492187500005</c:v>
                </c:pt>
                <c:pt idx="33">
                  <c:v>423.23554687500001</c:v>
                </c:pt>
                <c:pt idx="34">
                  <c:v>419.50839843749998</c:v>
                </c:pt>
                <c:pt idx="35">
                  <c:v>400.84814453125</c:v>
                </c:pt>
                <c:pt idx="36">
                  <c:v>398.84550781249999</c:v>
                </c:pt>
                <c:pt idx="37">
                  <c:v>398.41142578124999</c:v>
                </c:pt>
                <c:pt idx="38">
                  <c:v>398.41142578124999</c:v>
                </c:pt>
                <c:pt idx="39">
                  <c:v>389.43662109375003</c:v>
                </c:pt>
                <c:pt idx="40">
                  <c:v>384.24238281250001</c:v>
                </c:pt>
                <c:pt idx="41">
                  <c:v>383.96708984374999</c:v>
                </c:pt>
                <c:pt idx="42">
                  <c:v>380.10488281250002</c:v>
                </c:pt>
                <c:pt idx="43">
                  <c:v>367.84423828125</c:v>
                </c:pt>
              </c:numCache>
            </c:numRef>
          </c:val>
          <c:smooth val="0"/>
        </c:ser>
        <c:ser>
          <c:idx val="3"/>
          <c:order val="3"/>
          <c:tx>
            <c:strRef>
              <c:f>'Used Feed'!$E$1</c:f>
              <c:strCache>
                <c:ptCount val="1"/>
                <c:pt idx="0">
                  <c:v>RDC Tier 4 (TB Used)</c:v>
                </c:pt>
              </c:strCache>
            </c:strRef>
          </c:tx>
          <c:cat>
            <c:numRef>
              <c:f>'Used Feed'!$A$2:$A$45</c:f>
              <c:numCache>
                <c:formatCode>[$-409]d\-mmm\-yy;@</c:formatCode>
                <c:ptCount val="44"/>
                <c:pt idx="0">
                  <c:v>41977</c:v>
                </c:pt>
                <c:pt idx="1">
                  <c:v>41970</c:v>
                </c:pt>
                <c:pt idx="2">
                  <c:v>41963</c:v>
                </c:pt>
                <c:pt idx="3">
                  <c:v>41956</c:v>
                </c:pt>
                <c:pt idx="4">
                  <c:v>41949</c:v>
                </c:pt>
                <c:pt idx="5">
                  <c:v>41935</c:v>
                </c:pt>
                <c:pt idx="6">
                  <c:v>41928</c:v>
                </c:pt>
                <c:pt idx="7">
                  <c:v>41921</c:v>
                </c:pt>
                <c:pt idx="8">
                  <c:v>41914</c:v>
                </c:pt>
                <c:pt idx="9">
                  <c:v>41907</c:v>
                </c:pt>
                <c:pt idx="10">
                  <c:v>41900</c:v>
                </c:pt>
                <c:pt idx="11">
                  <c:v>41893</c:v>
                </c:pt>
                <c:pt idx="12">
                  <c:v>41886</c:v>
                </c:pt>
                <c:pt idx="13">
                  <c:v>41878</c:v>
                </c:pt>
                <c:pt idx="14">
                  <c:v>41871</c:v>
                </c:pt>
                <c:pt idx="15">
                  <c:v>41864</c:v>
                </c:pt>
                <c:pt idx="16">
                  <c:v>41857</c:v>
                </c:pt>
                <c:pt idx="17">
                  <c:v>41850</c:v>
                </c:pt>
                <c:pt idx="18">
                  <c:v>41843</c:v>
                </c:pt>
                <c:pt idx="19">
                  <c:v>41836</c:v>
                </c:pt>
                <c:pt idx="20">
                  <c:v>41829</c:v>
                </c:pt>
                <c:pt idx="21">
                  <c:v>41822</c:v>
                </c:pt>
                <c:pt idx="22">
                  <c:v>41815</c:v>
                </c:pt>
                <c:pt idx="23">
                  <c:v>41808</c:v>
                </c:pt>
                <c:pt idx="24">
                  <c:v>41801</c:v>
                </c:pt>
                <c:pt idx="25">
                  <c:v>41794</c:v>
                </c:pt>
                <c:pt idx="26">
                  <c:v>41787</c:v>
                </c:pt>
                <c:pt idx="27">
                  <c:v>41780</c:v>
                </c:pt>
                <c:pt idx="28">
                  <c:v>41773</c:v>
                </c:pt>
                <c:pt idx="29">
                  <c:v>41766</c:v>
                </c:pt>
                <c:pt idx="30">
                  <c:v>41752</c:v>
                </c:pt>
                <c:pt idx="31">
                  <c:v>41745</c:v>
                </c:pt>
                <c:pt idx="32">
                  <c:v>41739</c:v>
                </c:pt>
                <c:pt idx="33">
                  <c:v>41732</c:v>
                </c:pt>
                <c:pt idx="34">
                  <c:v>41725</c:v>
                </c:pt>
                <c:pt idx="35">
                  <c:v>41709</c:v>
                </c:pt>
                <c:pt idx="36">
                  <c:v>41704</c:v>
                </c:pt>
                <c:pt idx="37">
                  <c:v>41703</c:v>
                </c:pt>
                <c:pt idx="38">
                  <c:v>41702</c:v>
                </c:pt>
                <c:pt idx="39">
                  <c:v>41695</c:v>
                </c:pt>
                <c:pt idx="40">
                  <c:v>41690</c:v>
                </c:pt>
                <c:pt idx="41">
                  <c:v>41684</c:v>
                </c:pt>
                <c:pt idx="42">
                  <c:v>41676</c:v>
                </c:pt>
                <c:pt idx="43">
                  <c:v>41642</c:v>
                </c:pt>
              </c:numCache>
            </c:numRef>
          </c:cat>
          <c:val>
            <c:numRef>
              <c:f>'Used Feed'!$E$2:$E$45</c:f>
              <c:numCache>
                <c:formatCode>0</c:formatCode>
                <c:ptCount val="44"/>
                <c:pt idx="0">
                  <c:v>483.32783203124995</c:v>
                </c:pt>
                <c:pt idx="1">
                  <c:v>480.06357421875009</c:v>
                </c:pt>
                <c:pt idx="2">
                  <c:v>472.73222656250005</c:v>
                </c:pt>
                <c:pt idx="3">
                  <c:v>469.98642578125009</c:v>
                </c:pt>
                <c:pt idx="4">
                  <c:v>460.71787109375009</c:v>
                </c:pt>
                <c:pt idx="5">
                  <c:v>436.58056640625</c:v>
                </c:pt>
                <c:pt idx="6">
                  <c:v>427.74580078125001</c:v>
                </c:pt>
                <c:pt idx="7">
                  <c:v>422.45126953125003</c:v>
                </c:pt>
                <c:pt idx="8">
                  <c:v>418.66220703125003</c:v>
                </c:pt>
                <c:pt idx="9">
                  <c:v>415.56181640624999</c:v>
                </c:pt>
                <c:pt idx="10">
                  <c:v>408.32451171874999</c:v>
                </c:pt>
                <c:pt idx="11">
                  <c:v>409.18339843749999</c:v>
                </c:pt>
                <c:pt idx="12">
                  <c:v>401.10556640624998</c:v>
                </c:pt>
                <c:pt idx="13">
                  <c:v>398.82851562500002</c:v>
                </c:pt>
                <c:pt idx="14">
                  <c:v>439.25830078125006</c:v>
                </c:pt>
                <c:pt idx="15">
                  <c:v>436.3447265625</c:v>
                </c:pt>
                <c:pt idx="16">
                  <c:v>431.53603515624997</c:v>
                </c:pt>
                <c:pt idx="17">
                  <c:v>427.88847656249999</c:v>
                </c:pt>
                <c:pt idx="18">
                  <c:v>427.88847656249999</c:v>
                </c:pt>
                <c:pt idx="19">
                  <c:v>422.74960937499998</c:v>
                </c:pt>
                <c:pt idx="20">
                  <c:v>423.41933593750002</c:v>
                </c:pt>
                <c:pt idx="21">
                  <c:v>423.41933593750002</c:v>
                </c:pt>
                <c:pt idx="22">
                  <c:v>421.64257812500006</c:v>
                </c:pt>
                <c:pt idx="23">
                  <c:v>415.46318359374999</c:v>
                </c:pt>
                <c:pt idx="24">
                  <c:v>423.41054687499997</c:v>
                </c:pt>
                <c:pt idx="25">
                  <c:v>418.314453125</c:v>
                </c:pt>
                <c:pt idx="26">
                  <c:v>409.56826171875002</c:v>
                </c:pt>
                <c:pt idx="27">
                  <c:v>411.93994140625</c:v>
                </c:pt>
                <c:pt idx="28">
                  <c:v>407.21796875000001</c:v>
                </c:pt>
                <c:pt idx="29">
                  <c:v>404.03437499999995</c:v>
                </c:pt>
                <c:pt idx="30">
                  <c:v>395.46259765625001</c:v>
                </c:pt>
                <c:pt idx="31">
                  <c:v>391.58564453125001</c:v>
                </c:pt>
                <c:pt idx="32">
                  <c:v>383.015625</c:v>
                </c:pt>
                <c:pt idx="33">
                  <c:v>379.21249999999998</c:v>
                </c:pt>
                <c:pt idx="34">
                  <c:v>378.03154296875005</c:v>
                </c:pt>
                <c:pt idx="35">
                  <c:v>367.13984374999995</c:v>
                </c:pt>
                <c:pt idx="36">
                  <c:v>374.67109375000001</c:v>
                </c:pt>
                <c:pt idx="37">
                  <c:v>373.67910156249997</c:v>
                </c:pt>
                <c:pt idx="38">
                  <c:v>373.70175781249998</c:v>
                </c:pt>
                <c:pt idx="39">
                  <c:v>226.26035156249998</c:v>
                </c:pt>
                <c:pt idx="40">
                  <c:v>222.46953125000002</c:v>
                </c:pt>
                <c:pt idx="41">
                  <c:v>222.46953125000002</c:v>
                </c:pt>
                <c:pt idx="42">
                  <c:v>222.25400390624998</c:v>
                </c:pt>
                <c:pt idx="43">
                  <c:v>211.60683593749999</c:v>
                </c:pt>
              </c:numCache>
            </c:numRef>
          </c:val>
          <c:smooth val="0"/>
        </c:ser>
        <c:ser>
          <c:idx val="4"/>
          <c:order val="4"/>
          <c:tx>
            <c:strRef>
              <c:f>'Used Feed'!$F$1</c:f>
              <c:strCache>
                <c:ptCount val="1"/>
                <c:pt idx="0">
                  <c:v>FDC Tier 4  (TB Used)</c:v>
                </c:pt>
              </c:strCache>
            </c:strRef>
          </c:tx>
          <c:trendline>
            <c:trendlineType val="power"/>
            <c:dispRSqr val="0"/>
            <c:dispEq val="0"/>
          </c:trendline>
          <c:cat>
            <c:numRef>
              <c:f>'Used Feed'!$A$2:$A$45</c:f>
              <c:numCache>
                <c:formatCode>[$-409]d\-mmm\-yy;@</c:formatCode>
                <c:ptCount val="44"/>
                <c:pt idx="0">
                  <c:v>41977</c:v>
                </c:pt>
                <c:pt idx="1">
                  <c:v>41970</c:v>
                </c:pt>
                <c:pt idx="2">
                  <c:v>41963</c:v>
                </c:pt>
                <c:pt idx="3">
                  <c:v>41956</c:v>
                </c:pt>
                <c:pt idx="4">
                  <c:v>41949</c:v>
                </c:pt>
                <c:pt idx="5">
                  <c:v>41935</c:v>
                </c:pt>
                <c:pt idx="6">
                  <c:v>41928</c:v>
                </c:pt>
                <c:pt idx="7">
                  <c:v>41921</c:v>
                </c:pt>
                <c:pt idx="8">
                  <c:v>41914</c:v>
                </c:pt>
                <c:pt idx="9">
                  <c:v>41907</c:v>
                </c:pt>
                <c:pt idx="10">
                  <c:v>41900</c:v>
                </c:pt>
                <c:pt idx="11">
                  <c:v>41893</c:v>
                </c:pt>
                <c:pt idx="12">
                  <c:v>41886</c:v>
                </c:pt>
                <c:pt idx="13">
                  <c:v>41878</c:v>
                </c:pt>
                <c:pt idx="14">
                  <c:v>41871</c:v>
                </c:pt>
                <c:pt idx="15">
                  <c:v>41864</c:v>
                </c:pt>
                <c:pt idx="16">
                  <c:v>41857</c:v>
                </c:pt>
                <c:pt idx="17">
                  <c:v>41850</c:v>
                </c:pt>
                <c:pt idx="18">
                  <c:v>41843</c:v>
                </c:pt>
                <c:pt idx="19">
                  <c:v>41836</c:v>
                </c:pt>
                <c:pt idx="20">
                  <c:v>41829</c:v>
                </c:pt>
                <c:pt idx="21">
                  <c:v>41822</c:v>
                </c:pt>
                <c:pt idx="22">
                  <c:v>41815</c:v>
                </c:pt>
                <c:pt idx="23">
                  <c:v>41808</c:v>
                </c:pt>
                <c:pt idx="24">
                  <c:v>41801</c:v>
                </c:pt>
                <c:pt idx="25">
                  <c:v>41794</c:v>
                </c:pt>
                <c:pt idx="26">
                  <c:v>41787</c:v>
                </c:pt>
                <c:pt idx="27">
                  <c:v>41780</c:v>
                </c:pt>
                <c:pt idx="28">
                  <c:v>41773</c:v>
                </c:pt>
                <c:pt idx="29">
                  <c:v>41766</c:v>
                </c:pt>
                <c:pt idx="30">
                  <c:v>41752</c:v>
                </c:pt>
                <c:pt idx="31">
                  <c:v>41745</c:v>
                </c:pt>
                <c:pt idx="32">
                  <c:v>41739</c:v>
                </c:pt>
                <c:pt idx="33">
                  <c:v>41732</c:v>
                </c:pt>
                <c:pt idx="34">
                  <c:v>41725</c:v>
                </c:pt>
                <c:pt idx="35">
                  <c:v>41709</c:v>
                </c:pt>
                <c:pt idx="36">
                  <c:v>41704</c:v>
                </c:pt>
                <c:pt idx="37">
                  <c:v>41703</c:v>
                </c:pt>
                <c:pt idx="38">
                  <c:v>41702</c:v>
                </c:pt>
                <c:pt idx="39">
                  <c:v>41695</c:v>
                </c:pt>
                <c:pt idx="40">
                  <c:v>41690</c:v>
                </c:pt>
                <c:pt idx="41">
                  <c:v>41684</c:v>
                </c:pt>
                <c:pt idx="42">
                  <c:v>41676</c:v>
                </c:pt>
                <c:pt idx="43">
                  <c:v>41642</c:v>
                </c:pt>
              </c:numCache>
            </c:numRef>
          </c:cat>
          <c:val>
            <c:numRef>
              <c:f>'Used Feed'!$F$2:$F$45</c:f>
              <c:numCache>
                <c:formatCode>0</c:formatCode>
                <c:ptCount val="44"/>
                <c:pt idx="0">
                  <c:v>583.10361328125009</c:v>
                </c:pt>
                <c:pt idx="1">
                  <c:v>581.12255859375011</c:v>
                </c:pt>
                <c:pt idx="2">
                  <c:v>613.50341796875</c:v>
                </c:pt>
                <c:pt idx="3">
                  <c:v>610.22265625</c:v>
                </c:pt>
                <c:pt idx="4">
                  <c:v>606.24375000000009</c:v>
                </c:pt>
                <c:pt idx="5">
                  <c:v>601.12539062500002</c:v>
                </c:pt>
                <c:pt idx="6">
                  <c:v>598.23759765624993</c:v>
                </c:pt>
                <c:pt idx="7">
                  <c:v>596.00556640624995</c:v>
                </c:pt>
                <c:pt idx="8">
                  <c:v>588.14150390625002</c:v>
                </c:pt>
                <c:pt idx="9">
                  <c:v>578.56005859375</c:v>
                </c:pt>
                <c:pt idx="10">
                  <c:v>558.98564453125005</c:v>
                </c:pt>
                <c:pt idx="11">
                  <c:v>551.50664062500005</c:v>
                </c:pt>
                <c:pt idx="12">
                  <c:v>542.22246093750005</c:v>
                </c:pt>
                <c:pt idx="13">
                  <c:v>524.38691406250007</c:v>
                </c:pt>
                <c:pt idx="14">
                  <c:v>524.20351562500002</c:v>
                </c:pt>
                <c:pt idx="15">
                  <c:v>531.72998046875</c:v>
                </c:pt>
                <c:pt idx="16">
                  <c:v>546.97089843750007</c:v>
                </c:pt>
                <c:pt idx="17">
                  <c:v>542.51630859374995</c:v>
                </c:pt>
                <c:pt idx="18">
                  <c:v>542.51630859374995</c:v>
                </c:pt>
                <c:pt idx="19">
                  <c:v>540.21865234375002</c:v>
                </c:pt>
                <c:pt idx="20">
                  <c:v>533.63984374999995</c:v>
                </c:pt>
                <c:pt idx="21">
                  <c:v>533.63984374999995</c:v>
                </c:pt>
                <c:pt idx="22">
                  <c:v>531.9091796875</c:v>
                </c:pt>
                <c:pt idx="23">
                  <c:v>523.94248046874998</c:v>
                </c:pt>
                <c:pt idx="24">
                  <c:v>531.34111328124993</c:v>
                </c:pt>
                <c:pt idx="25">
                  <c:v>525.97314453124989</c:v>
                </c:pt>
                <c:pt idx="26">
                  <c:v>520.97617187500009</c:v>
                </c:pt>
                <c:pt idx="27">
                  <c:v>515.77509765624995</c:v>
                </c:pt>
                <c:pt idx="28">
                  <c:v>508.98154296874998</c:v>
                </c:pt>
                <c:pt idx="29">
                  <c:v>505.79521484375005</c:v>
                </c:pt>
                <c:pt idx="30">
                  <c:v>498.95576171875001</c:v>
                </c:pt>
                <c:pt idx="31">
                  <c:v>496.0087890625</c:v>
                </c:pt>
                <c:pt idx="32">
                  <c:v>491.60625000000005</c:v>
                </c:pt>
                <c:pt idx="33">
                  <c:v>475.96191406250006</c:v>
                </c:pt>
                <c:pt idx="34">
                  <c:v>470.43417968750003</c:v>
                </c:pt>
                <c:pt idx="35">
                  <c:v>462.91904296874998</c:v>
                </c:pt>
                <c:pt idx="36">
                  <c:v>469.97685546874999</c:v>
                </c:pt>
                <c:pt idx="37">
                  <c:v>466.25361328125001</c:v>
                </c:pt>
                <c:pt idx="38">
                  <c:v>466.28886718750005</c:v>
                </c:pt>
                <c:pt idx="39">
                  <c:v>290.70957031249998</c:v>
                </c:pt>
                <c:pt idx="40">
                  <c:v>282.88818359375</c:v>
                </c:pt>
                <c:pt idx="41">
                  <c:v>278.70839843750002</c:v>
                </c:pt>
                <c:pt idx="42">
                  <c:v>273.82675781249998</c:v>
                </c:pt>
                <c:pt idx="43">
                  <c:v>264.89248046875002</c:v>
                </c:pt>
              </c:numCache>
            </c:numRef>
          </c:val>
          <c:smooth val="0"/>
        </c:ser>
        <c:ser>
          <c:idx val="5"/>
          <c:order val="5"/>
          <c:tx>
            <c:strRef>
              <c:f>'Used Feed'!$G$1</c:f>
              <c:strCache>
                <c:ptCount val="1"/>
                <c:pt idx="0">
                  <c:v>FDC tier 3  (TB Used)</c:v>
                </c:pt>
              </c:strCache>
            </c:strRef>
          </c:tx>
          <c:cat>
            <c:numRef>
              <c:f>'Used Feed'!$A$2:$A$45</c:f>
              <c:numCache>
                <c:formatCode>[$-409]d\-mmm\-yy;@</c:formatCode>
                <c:ptCount val="44"/>
                <c:pt idx="0">
                  <c:v>41977</c:v>
                </c:pt>
                <c:pt idx="1">
                  <c:v>41970</c:v>
                </c:pt>
                <c:pt idx="2">
                  <c:v>41963</c:v>
                </c:pt>
                <c:pt idx="3">
                  <c:v>41956</c:v>
                </c:pt>
                <c:pt idx="4">
                  <c:v>41949</c:v>
                </c:pt>
                <c:pt idx="5">
                  <c:v>41935</c:v>
                </c:pt>
                <c:pt idx="6">
                  <c:v>41928</c:v>
                </c:pt>
                <c:pt idx="7">
                  <c:v>41921</c:v>
                </c:pt>
                <c:pt idx="8">
                  <c:v>41914</c:v>
                </c:pt>
                <c:pt idx="9">
                  <c:v>41907</c:v>
                </c:pt>
                <c:pt idx="10">
                  <c:v>41900</c:v>
                </c:pt>
                <c:pt idx="11">
                  <c:v>41893</c:v>
                </c:pt>
                <c:pt idx="12">
                  <c:v>41886</c:v>
                </c:pt>
                <c:pt idx="13">
                  <c:v>41878</c:v>
                </c:pt>
                <c:pt idx="14">
                  <c:v>41871</c:v>
                </c:pt>
                <c:pt idx="15">
                  <c:v>41864</c:v>
                </c:pt>
                <c:pt idx="16">
                  <c:v>41857</c:v>
                </c:pt>
                <c:pt idx="17">
                  <c:v>41850</c:v>
                </c:pt>
                <c:pt idx="18">
                  <c:v>41843</c:v>
                </c:pt>
                <c:pt idx="19">
                  <c:v>41836</c:v>
                </c:pt>
                <c:pt idx="20">
                  <c:v>41829</c:v>
                </c:pt>
                <c:pt idx="21">
                  <c:v>41822</c:v>
                </c:pt>
                <c:pt idx="22">
                  <c:v>41815</c:v>
                </c:pt>
                <c:pt idx="23">
                  <c:v>41808</c:v>
                </c:pt>
                <c:pt idx="24">
                  <c:v>41801</c:v>
                </c:pt>
                <c:pt idx="25">
                  <c:v>41794</c:v>
                </c:pt>
                <c:pt idx="26">
                  <c:v>41787</c:v>
                </c:pt>
                <c:pt idx="27">
                  <c:v>41780</c:v>
                </c:pt>
                <c:pt idx="28">
                  <c:v>41773</c:v>
                </c:pt>
                <c:pt idx="29">
                  <c:v>41766</c:v>
                </c:pt>
                <c:pt idx="30">
                  <c:v>41752</c:v>
                </c:pt>
                <c:pt idx="31">
                  <c:v>41745</c:v>
                </c:pt>
                <c:pt idx="32">
                  <c:v>41739</c:v>
                </c:pt>
                <c:pt idx="33">
                  <c:v>41732</c:v>
                </c:pt>
                <c:pt idx="34">
                  <c:v>41725</c:v>
                </c:pt>
                <c:pt idx="35">
                  <c:v>41709</c:v>
                </c:pt>
                <c:pt idx="36">
                  <c:v>41704</c:v>
                </c:pt>
                <c:pt idx="37">
                  <c:v>41703</c:v>
                </c:pt>
                <c:pt idx="38">
                  <c:v>41702</c:v>
                </c:pt>
                <c:pt idx="39">
                  <c:v>41695</c:v>
                </c:pt>
                <c:pt idx="40">
                  <c:v>41690</c:v>
                </c:pt>
                <c:pt idx="41">
                  <c:v>41684</c:v>
                </c:pt>
                <c:pt idx="42">
                  <c:v>41676</c:v>
                </c:pt>
                <c:pt idx="43">
                  <c:v>41642</c:v>
                </c:pt>
              </c:numCache>
            </c:numRef>
          </c:cat>
          <c:val>
            <c:numRef>
              <c:f>'Used Feed'!$G$2:$G$45</c:f>
              <c:numCache>
                <c:formatCode>0</c:formatCode>
                <c:ptCount val="44"/>
                <c:pt idx="0">
                  <c:v>617.62539062500002</c:v>
                </c:pt>
                <c:pt idx="1">
                  <c:v>613.93515624999998</c:v>
                </c:pt>
                <c:pt idx="2">
                  <c:v>614.36904296875002</c:v>
                </c:pt>
                <c:pt idx="3">
                  <c:v>603.966796875</c:v>
                </c:pt>
                <c:pt idx="4">
                  <c:v>580.94892578125007</c:v>
                </c:pt>
                <c:pt idx="5">
                  <c:v>552.41083984374995</c:v>
                </c:pt>
                <c:pt idx="6">
                  <c:v>545.58769531250005</c:v>
                </c:pt>
                <c:pt idx="7">
                  <c:v>523.837890625</c:v>
                </c:pt>
                <c:pt idx="8">
                  <c:v>519.48291015625</c:v>
                </c:pt>
                <c:pt idx="9">
                  <c:v>518.12968750000005</c:v>
                </c:pt>
                <c:pt idx="10">
                  <c:v>515.98388671875011</c:v>
                </c:pt>
                <c:pt idx="11">
                  <c:v>513.0361328125</c:v>
                </c:pt>
                <c:pt idx="12">
                  <c:v>517.50449218749998</c:v>
                </c:pt>
                <c:pt idx="13">
                  <c:v>514.41484374999993</c:v>
                </c:pt>
                <c:pt idx="14">
                  <c:v>511.88564453125008</c:v>
                </c:pt>
                <c:pt idx="15">
                  <c:v>522.01416015625</c:v>
                </c:pt>
                <c:pt idx="16">
                  <c:v>526.29570312499993</c:v>
                </c:pt>
                <c:pt idx="17">
                  <c:v>517.28193359374995</c:v>
                </c:pt>
                <c:pt idx="18">
                  <c:v>517.28193359374995</c:v>
                </c:pt>
                <c:pt idx="19">
                  <c:v>513.10185546875005</c:v>
                </c:pt>
                <c:pt idx="20">
                  <c:v>504.94267578125005</c:v>
                </c:pt>
                <c:pt idx="21">
                  <c:v>504.94267578125005</c:v>
                </c:pt>
                <c:pt idx="22">
                  <c:v>502.36806640625008</c:v>
                </c:pt>
                <c:pt idx="23">
                  <c:v>498.73261718750001</c:v>
                </c:pt>
                <c:pt idx="24">
                  <c:v>478.10781250000002</c:v>
                </c:pt>
                <c:pt idx="25">
                  <c:v>471.20830078125005</c:v>
                </c:pt>
                <c:pt idx="26">
                  <c:v>478.82041015624998</c:v>
                </c:pt>
                <c:pt idx="27">
                  <c:v>476.97158203125008</c:v>
                </c:pt>
                <c:pt idx="28">
                  <c:v>466.51679687499995</c:v>
                </c:pt>
                <c:pt idx="29">
                  <c:v>462.35693359375011</c:v>
                </c:pt>
                <c:pt idx="30">
                  <c:v>450.71279296874997</c:v>
                </c:pt>
                <c:pt idx="31">
                  <c:v>443.00976562500006</c:v>
                </c:pt>
                <c:pt idx="32">
                  <c:v>441.92871093750006</c:v>
                </c:pt>
                <c:pt idx="33">
                  <c:v>438.1728515625</c:v>
                </c:pt>
                <c:pt idx="34">
                  <c:v>434.94257812500001</c:v>
                </c:pt>
                <c:pt idx="35">
                  <c:v>418.97500000000002</c:v>
                </c:pt>
                <c:pt idx="36">
                  <c:v>416.13837890625001</c:v>
                </c:pt>
                <c:pt idx="37">
                  <c:v>415.63749999999999</c:v>
                </c:pt>
                <c:pt idx="38">
                  <c:v>415.63749999999999</c:v>
                </c:pt>
                <c:pt idx="39">
                  <c:v>405.88417968750002</c:v>
                </c:pt>
                <c:pt idx="40">
                  <c:v>400.53476562499998</c:v>
                </c:pt>
                <c:pt idx="41">
                  <c:v>398.71738281249998</c:v>
                </c:pt>
                <c:pt idx="42">
                  <c:v>388.92753906249999</c:v>
                </c:pt>
                <c:pt idx="43">
                  <c:v>374.46357421875001</c:v>
                </c:pt>
              </c:numCache>
            </c:numRef>
          </c:val>
          <c:smooth val="0"/>
        </c:ser>
        <c:ser>
          <c:idx val="6"/>
          <c:order val="6"/>
          <c:tx>
            <c:strRef>
              <c:f>'Used Feed'!$H$1</c:f>
              <c:strCache>
                <c:ptCount val="1"/>
                <c:pt idx="0">
                  <c:v>ZDC Tier 4  (TB Used)</c:v>
                </c:pt>
              </c:strCache>
            </c:strRef>
          </c:tx>
          <c:cat>
            <c:numRef>
              <c:f>'Used Feed'!$A$2:$A$45</c:f>
              <c:numCache>
                <c:formatCode>[$-409]d\-mmm\-yy;@</c:formatCode>
                <c:ptCount val="44"/>
                <c:pt idx="0">
                  <c:v>41977</c:v>
                </c:pt>
                <c:pt idx="1">
                  <c:v>41970</c:v>
                </c:pt>
                <c:pt idx="2">
                  <c:v>41963</c:v>
                </c:pt>
                <c:pt idx="3">
                  <c:v>41956</c:v>
                </c:pt>
                <c:pt idx="4">
                  <c:v>41949</c:v>
                </c:pt>
                <c:pt idx="5">
                  <c:v>41935</c:v>
                </c:pt>
                <c:pt idx="6">
                  <c:v>41928</c:v>
                </c:pt>
                <c:pt idx="7">
                  <c:v>41921</c:v>
                </c:pt>
                <c:pt idx="8">
                  <c:v>41914</c:v>
                </c:pt>
                <c:pt idx="9">
                  <c:v>41907</c:v>
                </c:pt>
                <c:pt idx="10">
                  <c:v>41900</c:v>
                </c:pt>
                <c:pt idx="11">
                  <c:v>41893</c:v>
                </c:pt>
                <c:pt idx="12">
                  <c:v>41886</c:v>
                </c:pt>
                <c:pt idx="13">
                  <c:v>41878</c:v>
                </c:pt>
                <c:pt idx="14">
                  <c:v>41871</c:v>
                </c:pt>
                <c:pt idx="15">
                  <c:v>41864</c:v>
                </c:pt>
                <c:pt idx="16">
                  <c:v>41857</c:v>
                </c:pt>
                <c:pt idx="17">
                  <c:v>41850</c:v>
                </c:pt>
                <c:pt idx="18">
                  <c:v>41843</c:v>
                </c:pt>
                <c:pt idx="19">
                  <c:v>41836</c:v>
                </c:pt>
                <c:pt idx="20">
                  <c:v>41829</c:v>
                </c:pt>
                <c:pt idx="21">
                  <c:v>41822</c:v>
                </c:pt>
                <c:pt idx="22">
                  <c:v>41815</c:v>
                </c:pt>
                <c:pt idx="23">
                  <c:v>41808</c:v>
                </c:pt>
                <c:pt idx="24">
                  <c:v>41801</c:v>
                </c:pt>
                <c:pt idx="25">
                  <c:v>41794</c:v>
                </c:pt>
                <c:pt idx="26">
                  <c:v>41787</c:v>
                </c:pt>
                <c:pt idx="27">
                  <c:v>41780</c:v>
                </c:pt>
                <c:pt idx="28">
                  <c:v>41773</c:v>
                </c:pt>
                <c:pt idx="29">
                  <c:v>41766</c:v>
                </c:pt>
                <c:pt idx="30">
                  <c:v>41752</c:v>
                </c:pt>
                <c:pt idx="31">
                  <c:v>41745</c:v>
                </c:pt>
                <c:pt idx="32">
                  <c:v>41739</c:v>
                </c:pt>
                <c:pt idx="33">
                  <c:v>41732</c:v>
                </c:pt>
                <c:pt idx="34">
                  <c:v>41725</c:v>
                </c:pt>
                <c:pt idx="35">
                  <c:v>41709</c:v>
                </c:pt>
                <c:pt idx="36">
                  <c:v>41704</c:v>
                </c:pt>
                <c:pt idx="37">
                  <c:v>41703</c:v>
                </c:pt>
                <c:pt idx="38">
                  <c:v>41702</c:v>
                </c:pt>
                <c:pt idx="39">
                  <c:v>41695</c:v>
                </c:pt>
                <c:pt idx="40">
                  <c:v>41690</c:v>
                </c:pt>
                <c:pt idx="41">
                  <c:v>41684</c:v>
                </c:pt>
                <c:pt idx="42">
                  <c:v>41676</c:v>
                </c:pt>
                <c:pt idx="43">
                  <c:v>41642</c:v>
                </c:pt>
              </c:numCache>
            </c:numRef>
          </c:cat>
          <c:val>
            <c:numRef>
              <c:f>'Used Feed'!$H$2:$H$45</c:f>
              <c:numCache>
                <c:formatCode>0</c:formatCode>
                <c:ptCount val="44"/>
                <c:pt idx="0">
                  <c:v>53.499902343749994</c:v>
                </c:pt>
                <c:pt idx="1">
                  <c:v>0</c:v>
                </c:pt>
                <c:pt idx="2">
                  <c:v>53.499902343749994</c:v>
                </c:pt>
                <c:pt idx="3">
                  <c:v>53.499902343749994</c:v>
                </c:pt>
                <c:pt idx="4">
                  <c:v>53.499902343749994</c:v>
                </c:pt>
                <c:pt idx="5">
                  <c:v>11.2826171875</c:v>
                </c:pt>
                <c:pt idx="6">
                  <c:v>11.2826171875</c:v>
                </c:pt>
                <c:pt idx="7">
                  <c:v>11.2826171875</c:v>
                </c:pt>
                <c:pt idx="8">
                  <c:v>11.2826171875</c:v>
                </c:pt>
                <c:pt idx="9">
                  <c:v>11.2826171875</c:v>
                </c:pt>
                <c:pt idx="10">
                  <c:v>11.2826171875</c:v>
                </c:pt>
                <c:pt idx="11">
                  <c:v>11.2826171875</c:v>
                </c:pt>
                <c:pt idx="12">
                  <c:v>11.2826171875</c:v>
                </c:pt>
                <c:pt idx="13">
                  <c:v>11.2826171875</c:v>
                </c:pt>
                <c:pt idx="14">
                  <c:v>11.2826171875</c:v>
                </c:pt>
                <c:pt idx="15">
                  <c:v>11.2826171875</c:v>
                </c:pt>
                <c:pt idx="16">
                  <c:v>11.2826171875</c:v>
                </c:pt>
                <c:pt idx="17">
                  <c:v>11.2826171875</c:v>
                </c:pt>
                <c:pt idx="18">
                  <c:v>11.2826171875</c:v>
                </c:pt>
                <c:pt idx="19">
                  <c:v>11.2826171875</c:v>
                </c:pt>
                <c:pt idx="20">
                  <c:v>9.9869140625000004</c:v>
                </c:pt>
                <c:pt idx="21">
                  <c:v>9.9869140625000004</c:v>
                </c:pt>
                <c:pt idx="22">
                  <c:v>9.9869140625000004</c:v>
                </c:pt>
                <c:pt idx="23">
                  <c:v>9.9869140625000004</c:v>
                </c:pt>
                <c:pt idx="24">
                  <c:v>9.9869140625000004</c:v>
                </c:pt>
                <c:pt idx="25">
                  <c:v>9.9869140625000004</c:v>
                </c:pt>
                <c:pt idx="26">
                  <c:v>9.9869140625000004</c:v>
                </c:pt>
                <c:pt idx="27">
                  <c:v>9.9869140625000004</c:v>
                </c:pt>
                <c:pt idx="28">
                  <c:v>9.2347656249999996</c:v>
                </c:pt>
                <c:pt idx="29">
                  <c:v>9.2347656249999996</c:v>
                </c:pt>
                <c:pt idx="30">
                  <c:v>9.2347656249999996</c:v>
                </c:pt>
                <c:pt idx="31">
                  <c:v>9.2347656249999996</c:v>
                </c:pt>
                <c:pt idx="32">
                  <c:v>7.14794921875</c:v>
                </c:pt>
                <c:pt idx="33">
                  <c:v>7.14794921875</c:v>
                </c:pt>
                <c:pt idx="34">
                  <c:v>7.14794921875</c:v>
                </c:pt>
                <c:pt idx="35">
                  <c:v>7.14794921875</c:v>
                </c:pt>
                <c:pt idx="36">
                  <c:v>7.14794921875</c:v>
                </c:pt>
                <c:pt idx="37">
                  <c:v>7.14794921875</c:v>
                </c:pt>
                <c:pt idx="38">
                  <c:v>7.14794921875</c:v>
                </c:pt>
                <c:pt idx="39">
                  <c:v>7.14794921875</c:v>
                </c:pt>
                <c:pt idx="40">
                  <c:v>7.14794921875</c:v>
                </c:pt>
                <c:pt idx="41">
                  <c:v>7.14794921875</c:v>
                </c:pt>
                <c:pt idx="42">
                  <c:v>7.14794921875</c:v>
                </c:pt>
                <c:pt idx="43">
                  <c:v>6.833984375</c:v>
                </c:pt>
              </c:numCache>
            </c:numRef>
          </c:val>
          <c:smooth val="0"/>
        </c:ser>
        <c:dLbls>
          <c:showLegendKey val="0"/>
          <c:showVal val="0"/>
          <c:showCatName val="0"/>
          <c:showSerName val="0"/>
          <c:showPercent val="0"/>
          <c:showBubbleSize val="0"/>
        </c:dLbls>
        <c:marker val="1"/>
        <c:smooth val="0"/>
        <c:axId val="393981952"/>
        <c:axId val="393983488"/>
      </c:lineChart>
      <c:dateAx>
        <c:axId val="393981952"/>
        <c:scaling>
          <c:orientation val="minMax"/>
        </c:scaling>
        <c:delete val="0"/>
        <c:axPos val="b"/>
        <c:numFmt formatCode="[$-409]d\-mmm\-yy;@" sourceLinked="1"/>
        <c:majorTickMark val="out"/>
        <c:minorTickMark val="none"/>
        <c:tickLblPos val="nextTo"/>
        <c:crossAx val="393983488"/>
        <c:crosses val="autoZero"/>
        <c:auto val="1"/>
        <c:lblOffset val="100"/>
        <c:baseTimeUnit val="days"/>
      </c:dateAx>
      <c:valAx>
        <c:axId val="393983488"/>
        <c:scaling>
          <c:orientation val="minMax"/>
        </c:scaling>
        <c:delete val="0"/>
        <c:axPos val="l"/>
        <c:majorGridlines/>
        <c:numFmt formatCode="0" sourceLinked="1"/>
        <c:majorTickMark val="out"/>
        <c:minorTickMark val="none"/>
        <c:tickLblPos val="nextTo"/>
        <c:crossAx val="393981952"/>
        <c:crosses val="autoZero"/>
        <c:crossBetween val="between"/>
      </c:valAx>
      <c:spPr>
        <a:ln>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c:spPr>
    </c:plotArea>
    <c:legend>
      <c:legendPos val="r"/>
      <c:layout/>
      <c:overlay val="0"/>
    </c:legend>
    <c:plotVisOnly val="1"/>
    <c:dispBlanksAs val="gap"/>
    <c:showDLblsOverMax val="0"/>
  </c:chart>
  <c:printSettings>
    <c:headerFooter/>
    <c:pageMargins b="0.750000000000002" l="0.70000000000000062" r="0.70000000000000062" t="0.750000000000002" header="0.30000000000000032" footer="0.3000000000000003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754482568949964E-2"/>
          <c:y val="2.2127058800110181E-2"/>
          <c:w val="0.74342271566851637"/>
          <c:h val="0.9121138383026155"/>
        </c:manualLayout>
      </c:layout>
      <c:lineChart>
        <c:grouping val="standard"/>
        <c:varyColors val="0"/>
        <c:ser>
          <c:idx val="0"/>
          <c:order val="0"/>
          <c:tx>
            <c:strRef>
              <c:f>'Alloc Feed'!$B$1</c:f>
              <c:strCache>
                <c:ptCount val="1"/>
                <c:pt idx="0">
                  <c:v>CGC Tier 4  (TB Alloc)</c:v>
                </c:pt>
              </c:strCache>
            </c:strRef>
          </c:tx>
          <c:cat>
            <c:numRef>
              <c:f>'Alloc Feed'!$A$19:$A$45</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Feed'!$B$19:$B$45</c:f>
              <c:numCache>
                <c:formatCode>0</c:formatCode>
                <c:ptCount val="27"/>
                <c:pt idx="0">
                  <c:v>225.38365722656249</c:v>
                </c:pt>
                <c:pt idx="1">
                  <c:v>225.38365722656249</c:v>
                </c:pt>
                <c:pt idx="2">
                  <c:v>179.31912304687498</c:v>
                </c:pt>
                <c:pt idx="3">
                  <c:v>174.61059667968749</c:v>
                </c:pt>
                <c:pt idx="4">
                  <c:v>174.61059667968749</c:v>
                </c:pt>
                <c:pt idx="5">
                  <c:v>174.34718261718749</c:v>
                </c:pt>
                <c:pt idx="6">
                  <c:v>175.20327832031251</c:v>
                </c:pt>
                <c:pt idx="7">
                  <c:v>175.20327832031251</c:v>
                </c:pt>
                <c:pt idx="8">
                  <c:v>175.20327832031251</c:v>
                </c:pt>
                <c:pt idx="9">
                  <c:v>176.65205566406249</c:v>
                </c:pt>
                <c:pt idx="10">
                  <c:v>177.7057119140625</c:v>
                </c:pt>
                <c:pt idx="11">
                  <c:v>177.7057119140625</c:v>
                </c:pt>
                <c:pt idx="12">
                  <c:v>177.7060546875</c:v>
                </c:pt>
                <c:pt idx="13">
                  <c:v>181.7886298828125</c:v>
                </c:pt>
                <c:pt idx="14">
                  <c:v>181.755703125</c:v>
                </c:pt>
                <c:pt idx="15">
                  <c:v>181.72277636718749</c:v>
                </c:pt>
                <c:pt idx="16">
                  <c:v>181.45936230468749</c:v>
                </c:pt>
                <c:pt idx="17">
                  <c:v>181.45936230468749</c:v>
                </c:pt>
                <c:pt idx="18">
                  <c:v>182.4471650390625</c:v>
                </c:pt>
                <c:pt idx="19">
                  <c:v>184.88374511718749</c:v>
                </c:pt>
                <c:pt idx="20">
                  <c:v>184.88374511718749</c:v>
                </c:pt>
                <c:pt idx="21">
                  <c:v>184.88374511718749</c:v>
                </c:pt>
                <c:pt idx="22">
                  <c:v>184.88374511718749</c:v>
                </c:pt>
                <c:pt idx="23">
                  <c:v>183.5996015625</c:v>
                </c:pt>
                <c:pt idx="24">
                  <c:v>183.5996015625</c:v>
                </c:pt>
                <c:pt idx="25">
                  <c:v>183.5996015625</c:v>
                </c:pt>
                <c:pt idx="26">
                  <c:v>182.216677734375</c:v>
                </c:pt>
              </c:numCache>
            </c:numRef>
          </c:val>
          <c:smooth val="0"/>
        </c:ser>
        <c:ser>
          <c:idx val="1"/>
          <c:order val="1"/>
          <c:tx>
            <c:strRef>
              <c:f>'Alloc Feed'!$C$1</c:f>
              <c:strCache>
                <c:ptCount val="1"/>
                <c:pt idx="0">
                  <c:v>CGC Tier 3  (TB Alloc)</c:v>
                </c:pt>
              </c:strCache>
            </c:strRef>
          </c:tx>
          <c:cat>
            <c:numRef>
              <c:f>'Alloc Feed'!$A$19:$A$45</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Feed'!$C$19:$C$45</c:f>
              <c:numCache>
                <c:formatCode>0</c:formatCode>
                <c:ptCount val="27"/>
                <c:pt idx="0">
                  <c:v>98.977833984374996</c:v>
                </c:pt>
                <c:pt idx="1">
                  <c:v>98.977833984374996</c:v>
                </c:pt>
                <c:pt idx="2">
                  <c:v>99.208321289062496</c:v>
                </c:pt>
                <c:pt idx="3">
                  <c:v>99.076614257812494</c:v>
                </c:pt>
                <c:pt idx="4">
                  <c:v>99.076614257812494</c:v>
                </c:pt>
                <c:pt idx="5">
                  <c:v>99.076614257812494</c:v>
                </c:pt>
                <c:pt idx="6">
                  <c:v>97.06808203125</c:v>
                </c:pt>
                <c:pt idx="7">
                  <c:v>97.06808203125</c:v>
                </c:pt>
                <c:pt idx="8">
                  <c:v>97.06808203125</c:v>
                </c:pt>
                <c:pt idx="9">
                  <c:v>97.06808203125</c:v>
                </c:pt>
                <c:pt idx="10">
                  <c:v>98.154665039062493</c:v>
                </c:pt>
                <c:pt idx="11">
                  <c:v>97.858324218749999</c:v>
                </c:pt>
                <c:pt idx="12">
                  <c:v>97.529296875</c:v>
                </c:pt>
                <c:pt idx="13">
                  <c:v>97.430276367187503</c:v>
                </c:pt>
                <c:pt idx="14">
                  <c:v>96.771741210937492</c:v>
                </c:pt>
                <c:pt idx="15">
                  <c:v>96.771741210937492</c:v>
                </c:pt>
                <c:pt idx="16">
                  <c:v>96.771741210937492</c:v>
                </c:pt>
                <c:pt idx="17">
                  <c:v>96.771741210937492</c:v>
                </c:pt>
                <c:pt idx="18">
                  <c:v>96.771741210937492</c:v>
                </c:pt>
                <c:pt idx="19">
                  <c:v>96.771741210937492</c:v>
                </c:pt>
                <c:pt idx="20">
                  <c:v>96.771741210937492</c:v>
                </c:pt>
                <c:pt idx="21">
                  <c:v>86.235178710937504</c:v>
                </c:pt>
                <c:pt idx="22">
                  <c:v>86.235178710937504</c:v>
                </c:pt>
                <c:pt idx="23">
                  <c:v>83.963232421874991</c:v>
                </c:pt>
                <c:pt idx="24">
                  <c:v>83.963232421874991</c:v>
                </c:pt>
                <c:pt idx="25">
                  <c:v>94.499794921874994</c:v>
                </c:pt>
                <c:pt idx="26">
                  <c:v>94.335161132812502</c:v>
                </c:pt>
              </c:numCache>
            </c:numRef>
          </c:val>
          <c:smooth val="0"/>
        </c:ser>
        <c:ser>
          <c:idx val="2"/>
          <c:order val="2"/>
          <c:tx>
            <c:strRef>
              <c:f>'Alloc Feed'!$D$1</c:f>
              <c:strCache>
                <c:ptCount val="1"/>
                <c:pt idx="0">
                  <c:v>RDC Tier 3 (TB Alloc)</c:v>
                </c:pt>
              </c:strCache>
            </c:strRef>
          </c:tx>
          <c:cat>
            <c:numRef>
              <c:f>'Alloc Feed'!$A$19:$A$45</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Feed'!$D$19:$D$45</c:f>
              <c:numCache>
                <c:formatCode>0</c:formatCode>
                <c:ptCount val="27"/>
                <c:pt idx="0">
                  <c:v>812.00677441406253</c:v>
                </c:pt>
                <c:pt idx="1">
                  <c:v>812.00677441406253</c:v>
                </c:pt>
                <c:pt idx="2">
                  <c:v>809.37263378906243</c:v>
                </c:pt>
                <c:pt idx="3">
                  <c:v>822.41162988281235</c:v>
                </c:pt>
                <c:pt idx="4">
                  <c:v>822.41162988281235</c:v>
                </c:pt>
                <c:pt idx="5">
                  <c:v>818.16407812499983</c:v>
                </c:pt>
                <c:pt idx="6">
                  <c:v>810.39336328124989</c:v>
                </c:pt>
                <c:pt idx="7">
                  <c:v>759.29103515625002</c:v>
                </c:pt>
                <c:pt idx="8">
                  <c:v>758.92884082031253</c:v>
                </c:pt>
                <c:pt idx="9">
                  <c:v>761.06908007812501</c:v>
                </c:pt>
                <c:pt idx="10">
                  <c:v>762.68249121093754</c:v>
                </c:pt>
                <c:pt idx="11">
                  <c:v>762.38615039062495</c:v>
                </c:pt>
                <c:pt idx="12">
                  <c:v>719.6142578125</c:v>
                </c:pt>
                <c:pt idx="13">
                  <c:v>661.56441796874992</c:v>
                </c:pt>
                <c:pt idx="14">
                  <c:v>663.01319531249999</c:v>
                </c:pt>
                <c:pt idx="15">
                  <c:v>655.83516210937501</c:v>
                </c:pt>
                <c:pt idx="16">
                  <c:v>654.38638476562494</c:v>
                </c:pt>
                <c:pt idx="17">
                  <c:v>654.38638476562494</c:v>
                </c:pt>
                <c:pt idx="18">
                  <c:v>638.68032128906236</c:v>
                </c:pt>
                <c:pt idx="19">
                  <c:v>635.84862011718747</c:v>
                </c:pt>
                <c:pt idx="20">
                  <c:v>634.92667089843746</c:v>
                </c:pt>
                <c:pt idx="21">
                  <c:v>611.21940527343747</c:v>
                </c:pt>
                <c:pt idx="22">
                  <c:v>608.74989843749995</c:v>
                </c:pt>
                <c:pt idx="23">
                  <c:v>582.30971191406252</c:v>
                </c:pt>
                <c:pt idx="24">
                  <c:v>516.45619628906252</c:v>
                </c:pt>
                <c:pt idx="25">
                  <c:v>525.70861523437497</c:v>
                </c:pt>
                <c:pt idx="26">
                  <c:v>502.36354394531247</c:v>
                </c:pt>
              </c:numCache>
            </c:numRef>
          </c:val>
          <c:smooth val="0"/>
        </c:ser>
        <c:ser>
          <c:idx val="3"/>
          <c:order val="3"/>
          <c:tx>
            <c:strRef>
              <c:f>'Alloc Feed'!$E$1</c:f>
              <c:strCache>
                <c:ptCount val="1"/>
                <c:pt idx="0">
                  <c:v>RDC Tier 4 (TB Alloc)</c:v>
                </c:pt>
              </c:strCache>
            </c:strRef>
          </c:tx>
          <c:cat>
            <c:numRef>
              <c:f>'Alloc Feed'!$A$19:$A$45</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Feed'!$E$19:$E$45</c:f>
              <c:numCache>
                <c:formatCode>0</c:formatCode>
                <c:ptCount val="27"/>
                <c:pt idx="0">
                  <c:v>1097.2183505859375</c:v>
                </c:pt>
                <c:pt idx="1">
                  <c:v>1097.2183505859375</c:v>
                </c:pt>
                <c:pt idx="2">
                  <c:v>908.21876074218744</c:v>
                </c:pt>
                <c:pt idx="3">
                  <c:v>913.2236279296875</c:v>
                </c:pt>
                <c:pt idx="4">
                  <c:v>913.2236279296875</c:v>
                </c:pt>
                <c:pt idx="5">
                  <c:v>893.23708593749996</c:v>
                </c:pt>
                <c:pt idx="6">
                  <c:v>901.43584863281251</c:v>
                </c:pt>
                <c:pt idx="7">
                  <c:v>912.99314062499991</c:v>
                </c:pt>
                <c:pt idx="8">
                  <c:v>912.59801953124986</c:v>
                </c:pt>
                <c:pt idx="9">
                  <c:v>893.36879296874986</c:v>
                </c:pt>
                <c:pt idx="10">
                  <c:v>887.87002441406241</c:v>
                </c:pt>
                <c:pt idx="11">
                  <c:v>880.790771484375</c:v>
                </c:pt>
                <c:pt idx="12">
                  <c:v>876.279296875</c:v>
                </c:pt>
                <c:pt idx="13">
                  <c:v>865.87495019531241</c:v>
                </c:pt>
                <c:pt idx="14">
                  <c:v>864.8871474609374</c:v>
                </c:pt>
                <c:pt idx="15">
                  <c:v>864.55787988281247</c:v>
                </c:pt>
                <c:pt idx="16">
                  <c:v>862.41764062499988</c:v>
                </c:pt>
                <c:pt idx="17">
                  <c:v>862.41764062499988</c:v>
                </c:pt>
                <c:pt idx="18">
                  <c:v>862.15422656250007</c:v>
                </c:pt>
                <c:pt idx="19">
                  <c:v>870.71518359375</c:v>
                </c:pt>
                <c:pt idx="20">
                  <c:v>849.01645019531247</c:v>
                </c:pt>
                <c:pt idx="21">
                  <c:v>850.82742187500003</c:v>
                </c:pt>
                <c:pt idx="22">
                  <c:v>841.64085644531247</c:v>
                </c:pt>
                <c:pt idx="23">
                  <c:v>821.48968066406246</c:v>
                </c:pt>
                <c:pt idx="24">
                  <c:v>821.48968066406246</c:v>
                </c:pt>
                <c:pt idx="25">
                  <c:v>819.4811484375</c:v>
                </c:pt>
                <c:pt idx="26">
                  <c:v>796.56412499999988</c:v>
                </c:pt>
              </c:numCache>
            </c:numRef>
          </c:val>
          <c:smooth val="0"/>
        </c:ser>
        <c:ser>
          <c:idx val="4"/>
          <c:order val="4"/>
          <c:tx>
            <c:strRef>
              <c:f>'Alloc Feed'!$F$1</c:f>
              <c:strCache>
                <c:ptCount val="1"/>
                <c:pt idx="0">
                  <c:v>FDC Tier 4  (TB Alloc)</c:v>
                </c:pt>
              </c:strCache>
            </c:strRef>
          </c:tx>
          <c:cat>
            <c:numRef>
              <c:f>'Alloc Feed'!$A$19:$A$45</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Feed'!$F$19:$F$45</c:f>
              <c:numCache>
                <c:formatCode>0</c:formatCode>
                <c:ptCount val="27"/>
                <c:pt idx="0">
                  <c:v>1066.4647587890624</c:v>
                </c:pt>
                <c:pt idx="1">
                  <c:v>1066.4647587890624</c:v>
                </c:pt>
                <c:pt idx="2">
                  <c:v>997.48320117187495</c:v>
                </c:pt>
                <c:pt idx="3">
                  <c:v>974.99422558593744</c:v>
                </c:pt>
                <c:pt idx="4">
                  <c:v>974.99422558593744</c:v>
                </c:pt>
                <c:pt idx="5">
                  <c:v>966.69668261718743</c:v>
                </c:pt>
                <c:pt idx="6">
                  <c:v>933.63821777343753</c:v>
                </c:pt>
                <c:pt idx="7">
                  <c:v>919.57849218749993</c:v>
                </c:pt>
                <c:pt idx="8">
                  <c:v>918.19556835937499</c:v>
                </c:pt>
                <c:pt idx="9">
                  <c:v>917.405326171875</c:v>
                </c:pt>
                <c:pt idx="10">
                  <c:v>926.42725781249987</c:v>
                </c:pt>
                <c:pt idx="11">
                  <c:v>921.22483007812502</c:v>
                </c:pt>
                <c:pt idx="12">
                  <c:v>918.6240234375</c:v>
                </c:pt>
                <c:pt idx="13">
                  <c:v>912.56509277343741</c:v>
                </c:pt>
                <c:pt idx="14">
                  <c:v>911.74192382812498</c:v>
                </c:pt>
                <c:pt idx="15">
                  <c:v>911.74192382812498</c:v>
                </c:pt>
                <c:pt idx="16">
                  <c:v>894.55415625000001</c:v>
                </c:pt>
                <c:pt idx="17">
                  <c:v>894.55415625000001</c:v>
                </c:pt>
                <c:pt idx="18">
                  <c:v>891.39318749999995</c:v>
                </c:pt>
                <c:pt idx="19">
                  <c:v>878.35419140624992</c:v>
                </c:pt>
                <c:pt idx="20">
                  <c:v>878.18955761718735</c:v>
                </c:pt>
                <c:pt idx="21">
                  <c:v>884.478568359375</c:v>
                </c:pt>
                <c:pt idx="22">
                  <c:v>873.48103125</c:v>
                </c:pt>
                <c:pt idx="23">
                  <c:v>855.6676552734375</c:v>
                </c:pt>
                <c:pt idx="24">
                  <c:v>851.45303027343743</c:v>
                </c:pt>
                <c:pt idx="25">
                  <c:v>847.99572070312502</c:v>
                </c:pt>
                <c:pt idx="26">
                  <c:v>821.29212011718744</c:v>
                </c:pt>
              </c:numCache>
            </c:numRef>
          </c:val>
          <c:smooth val="0"/>
        </c:ser>
        <c:ser>
          <c:idx val="5"/>
          <c:order val="5"/>
          <c:tx>
            <c:strRef>
              <c:f>'Alloc Feed'!$G$1</c:f>
              <c:strCache>
                <c:ptCount val="1"/>
                <c:pt idx="0">
                  <c:v>FDC tier 3  (TB Alloc)</c:v>
                </c:pt>
              </c:strCache>
            </c:strRef>
          </c:tx>
          <c:cat>
            <c:numRef>
              <c:f>'Alloc Feed'!$A$19:$A$45</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Feed'!$G$19:$G$45</c:f>
              <c:numCache>
                <c:formatCode>0</c:formatCode>
                <c:ptCount val="27"/>
                <c:pt idx="0">
                  <c:v>640.06324511718742</c:v>
                </c:pt>
                <c:pt idx="1">
                  <c:v>640.06324511718742</c:v>
                </c:pt>
                <c:pt idx="2">
                  <c:v>639.40470996093734</c:v>
                </c:pt>
                <c:pt idx="3">
                  <c:v>641.05104785156243</c:v>
                </c:pt>
                <c:pt idx="4">
                  <c:v>641.05104785156243</c:v>
                </c:pt>
                <c:pt idx="5">
                  <c:v>638.21934667968731</c:v>
                </c:pt>
                <c:pt idx="6">
                  <c:v>633.60960058593741</c:v>
                </c:pt>
                <c:pt idx="7">
                  <c:v>564.26584863281244</c:v>
                </c:pt>
                <c:pt idx="8">
                  <c:v>563.90365429687495</c:v>
                </c:pt>
                <c:pt idx="9">
                  <c:v>567.52559765624994</c:v>
                </c:pt>
                <c:pt idx="10">
                  <c:v>564.49633593749991</c:v>
                </c:pt>
                <c:pt idx="11">
                  <c:v>566.93291601562487</c:v>
                </c:pt>
                <c:pt idx="12">
                  <c:v>545.2998046875</c:v>
                </c:pt>
                <c:pt idx="13">
                  <c:v>548.98783300781247</c:v>
                </c:pt>
                <c:pt idx="14">
                  <c:v>555.01342968749998</c:v>
                </c:pt>
                <c:pt idx="15">
                  <c:v>551.55612011718756</c:v>
                </c:pt>
                <c:pt idx="16">
                  <c:v>549.28417382812495</c:v>
                </c:pt>
                <c:pt idx="17">
                  <c:v>549.28417382812495</c:v>
                </c:pt>
                <c:pt idx="18">
                  <c:v>534.59883984374994</c:v>
                </c:pt>
                <c:pt idx="19">
                  <c:v>531.10860351562496</c:v>
                </c:pt>
                <c:pt idx="20">
                  <c:v>530.18665429687496</c:v>
                </c:pt>
                <c:pt idx="21">
                  <c:v>517.01595117187492</c:v>
                </c:pt>
                <c:pt idx="22">
                  <c:v>495.71233886718744</c:v>
                </c:pt>
                <c:pt idx="23">
                  <c:v>494.55990234374991</c:v>
                </c:pt>
                <c:pt idx="24">
                  <c:v>489.48918164062502</c:v>
                </c:pt>
                <c:pt idx="25">
                  <c:v>488.20503808593742</c:v>
                </c:pt>
                <c:pt idx="26">
                  <c:v>458.40632226562502</c:v>
                </c:pt>
              </c:numCache>
            </c:numRef>
          </c:val>
          <c:smooth val="0"/>
        </c:ser>
        <c:ser>
          <c:idx val="6"/>
          <c:order val="6"/>
          <c:tx>
            <c:strRef>
              <c:f>'Alloc Feed'!$H$1</c:f>
              <c:strCache>
                <c:ptCount val="1"/>
                <c:pt idx="0">
                  <c:v>ZDC Tier 4  (TB Alloc)</c:v>
                </c:pt>
              </c:strCache>
            </c:strRef>
          </c:tx>
          <c:cat>
            <c:numRef>
              <c:f>'Alloc Feed'!$A$19:$A$45</c:f>
              <c:numCache>
                <c:formatCode>[$-409]d\-mmm\-yy;@</c:formatCode>
                <c:ptCount val="27"/>
                <c:pt idx="0">
                  <c:v>41850</c:v>
                </c:pt>
                <c:pt idx="1">
                  <c:v>41843</c:v>
                </c:pt>
                <c:pt idx="2">
                  <c:v>41836</c:v>
                </c:pt>
                <c:pt idx="3">
                  <c:v>41829</c:v>
                </c:pt>
                <c:pt idx="4">
                  <c:v>41822</c:v>
                </c:pt>
                <c:pt idx="5">
                  <c:v>41815</c:v>
                </c:pt>
                <c:pt idx="6">
                  <c:v>41808</c:v>
                </c:pt>
                <c:pt idx="7">
                  <c:v>41801</c:v>
                </c:pt>
                <c:pt idx="8">
                  <c:v>41794</c:v>
                </c:pt>
                <c:pt idx="9">
                  <c:v>41787</c:v>
                </c:pt>
                <c:pt idx="10">
                  <c:v>41780</c:v>
                </c:pt>
                <c:pt idx="11">
                  <c:v>41773</c:v>
                </c:pt>
                <c:pt idx="12">
                  <c:v>41766</c:v>
                </c:pt>
                <c:pt idx="13">
                  <c:v>41752</c:v>
                </c:pt>
                <c:pt idx="14">
                  <c:v>41745</c:v>
                </c:pt>
                <c:pt idx="15">
                  <c:v>41739</c:v>
                </c:pt>
                <c:pt idx="16">
                  <c:v>41732</c:v>
                </c:pt>
                <c:pt idx="17">
                  <c:v>41725</c:v>
                </c:pt>
                <c:pt idx="18">
                  <c:v>41709</c:v>
                </c:pt>
                <c:pt idx="19">
                  <c:v>41704</c:v>
                </c:pt>
                <c:pt idx="20">
                  <c:v>41703</c:v>
                </c:pt>
                <c:pt idx="21">
                  <c:v>41702</c:v>
                </c:pt>
                <c:pt idx="22">
                  <c:v>41695</c:v>
                </c:pt>
                <c:pt idx="23">
                  <c:v>41690</c:v>
                </c:pt>
                <c:pt idx="24">
                  <c:v>41684</c:v>
                </c:pt>
                <c:pt idx="25">
                  <c:v>41676</c:v>
                </c:pt>
                <c:pt idx="26">
                  <c:v>41642</c:v>
                </c:pt>
              </c:numCache>
            </c:numRef>
          </c:cat>
          <c:val>
            <c:numRef>
              <c:f>'Alloc Feed'!$H$19:$H$45</c:f>
              <c:numCache>
                <c:formatCode>0</c:formatCode>
                <c:ptCount val="27"/>
                <c:pt idx="0">
                  <c:v>39.413329101562496</c:v>
                </c:pt>
                <c:pt idx="1">
                  <c:v>39.413329101562496</c:v>
                </c:pt>
                <c:pt idx="2">
                  <c:v>39.413329101562496</c:v>
                </c:pt>
                <c:pt idx="3">
                  <c:v>36.318213867187495</c:v>
                </c:pt>
                <c:pt idx="4">
                  <c:v>36.318213867187495</c:v>
                </c:pt>
                <c:pt idx="5">
                  <c:v>36.318213867187495</c:v>
                </c:pt>
                <c:pt idx="6">
                  <c:v>36.318213867187495</c:v>
                </c:pt>
                <c:pt idx="7">
                  <c:v>36.318213867187495</c:v>
                </c:pt>
                <c:pt idx="8">
                  <c:v>36.318213867187495</c:v>
                </c:pt>
                <c:pt idx="9">
                  <c:v>36.318213867187495</c:v>
                </c:pt>
                <c:pt idx="10">
                  <c:v>36.318213867187495</c:v>
                </c:pt>
                <c:pt idx="11">
                  <c:v>36.318213867187495</c:v>
                </c:pt>
                <c:pt idx="12">
                  <c:v>36.318359375</c:v>
                </c:pt>
                <c:pt idx="13">
                  <c:v>36.318213867187495</c:v>
                </c:pt>
                <c:pt idx="14">
                  <c:v>36.318213867187495</c:v>
                </c:pt>
                <c:pt idx="15">
                  <c:v>35.791385742187501</c:v>
                </c:pt>
                <c:pt idx="16">
                  <c:v>35.791385742187501</c:v>
                </c:pt>
                <c:pt idx="17">
                  <c:v>35.791385742187501</c:v>
                </c:pt>
                <c:pt idx="18">
                  <c:v>35.791385742187501</c:v>
                </c:pt>
                <c:pt idx="19">
                  <c:v>35.791385742187501</c:v>
                </c:pt>
                <c:pt idx="20">
                  <c:v>35.791385742187501</c:v>
                </c:pt>
                <c:pt idx="21">
                  <c:v>35.791385742187501</c:v>
                </c:pt>
                <c:pt idx="22">
                  <c:v>35.791385742187501</c:v>
                </c:pt>
                <c:pt idx="23">
                  <c:v>35.791385742187501</c:v>
                </c:pt>
                <c:pt idx="24">
                  <c:v>35.791385742187501</c:v>
                </c:pt>
                <c:pt idx="25">
                  <c:v>35.791385742187501</c:v>
                </c:pt>
                <c:pt idx="26">
                  <c:v>33.420659179687497</c:v>
                </c:pt>
              </c:numCache>
            </c:numRef>
          </c:val>
          <c:smooth val="0"/>
        </c:ser>
        <c:dLbls>
          <c:showLegendKey val="0"/>
          <c:showVal val="0"/>
          <c:showCatName val="0"/>
          <c:showSerName val="0"/>
          <c:showPercent val="0"/>
          <c:showBubbleSize val="0"/>
        </c:dLbls>
        <c:marker val="1"/>
        <c:smooth val="0"/>
        <c:axId val="471660800"/>
        <c:axId val="471478272"/>
      </c:lineChart>
      <c:dateAx>
        <c:axId val="471660800"/>
        <c:scaling>
          <c:orientation val="minMax"/>
        </c:scaling>
        <c:delete val="0"/>
        <c:axPos val="b"/>
        <c:numFmt formatCode="[$-409]d\-mmm\-yy;@" sourceLinked="1"/>
        <c:majorTickMark val="out"/>
        <c:minorTickMark val="none"/>
        <c:tickLblPos val="nextTo"/>
        <c:crossAx val="471478272"/>
        <c:crosses val="autoZero"/>
        <c:auto val="1"/>
        <c:lblOffset val="100"/>
        <c:baseTimeUnit val="days"/>
      </c:dateAx>
      <c:valAx>
        <c:axId val="471478272"/>
        <c:scaling>
          <c:orientation val="minMax"/>
        </c:scaling>
        <c:delete val="0"/>
        <c:axPos val="l"/>
        <c:majorGridlines/>
        <c:numFmt formatCode="0" sourceLinked="1"/>
        <c:majorTickMark val="out"/>
        <c:minorTickMark val="none"/>
        <c:tickLblPos val="nextTo"/>
        <c:crossAx val="471660800"/>
        <c:crosses val="autoZero"/>
        <c:crossBetween val="between"/>
      </c:valAx>
    </c:plotArea>
    <c:legend>
      <c:legendPos val="r"/>
      <c:layout/>
      <c:overlay val="0"/>
    </c:legend>
    <c:plotVisOnly val="1"/>
    <c:dispBlanksAs val="gap"/>
    <c:showDLblsOverMax val="0"/>
  </c:chart>
  <c:printSettings>
    <c:headerFooter/>
    <c:pageMargins b="0.75000000000000189" l="0.70000000000000062" r="0.70000000000000062" t="0.7500000000000018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27.xml"/><Relationship Id="rId13" Type="http://schemas.openxmlformats.org/officeDocument/2006/relationships/chart" Target="../charts/chart32.xml"/><Relationship Id="rId18" Type="http://schemas.openxmlformats.org/officeDocument/2006/relationships/chart" Target="../charts/chart37.xml"/><Relationship Id="rId3" Type="http://schemas.openxmlformats.org/officeDocument/2006/relationships/chart" Target="../charts/chart22.xml"/><Relationship Id="rId21" Type="http://schemas.openxmlformats.org/officeDocument/2006/relationships/chart" Target="../charts/chart40.xml"/><Relationship Id="rId7" Type="http://schemas.openxmlformats.org/officeDocument/2006/relationships/chart" Target="../charts/chart26.xml"/><Relationship Id="rId12" Type="http://schemas.openxmlformats.org/officeDocument/2006/relationships/chart" Target="../charts/chart31.xml"/><Relationship Id="rId17" Type="http://schemas.openxmlformats.org/officeDocument/2006/relationships/chart" Target="../charts/chart36.xml"/><Relationship Id="rId2" Type="http://schemas.openxmlformats.org/officeDocument/2006/relationships/chart" Target="../charts/chart21.xml"/><Relationship Id="rId16" Type="http://schemas.openxmlformats.org/officeDocument/2006/relationships/chart" Target="../charts/chart35.xml"/><Relationship Id="rId20" Type="http://schemas.openxmlformats.org/officeDocument/2006/relationships/chart" Target="../charts/chart39.xml"/><Relationship Id="rId1" Type="http://schemas.openxmlformats.org/officeDocument/2006/relationships/chart" Target="../charts/chart20.xml"/><Relationship Id="rId6" Type="http://schemas.openxmlformats.org/officeDocument/2006/relationships/chart" Target="../charts/chart25.xml"/><Relationship Id="rId11" Type="http://schemas.openxmlformats.org/officeDocument/2006/relationships/chart" Target="../charts/chart30.xml"/><Relationship Id="rId5" Type="http://schemas.openxmlformats.org/officeDocument/2006/relationships/chart" Target="../charts/chart24.xml"/><Relationship Id="rId15" Type="http://schemas.openxmlformats.org/officeDocument/2006/relationships/chart" Target="../charts/chart34.xml"/><Relationship Id="rId10" Type="http://schemas.openxmlformats.org/officeDocument/2006/relationships/chart" Target="../charts/chart29.xml"/><Relationship Id="rId19" Type="http://schemas.openxmlformats.org/officeDocument/2006/relationships/chart" Target="../charts/chart38.xml"/><Relationship Id="rId4" Type="http://schemas.openxmlformats.org/officeDocument/2006/relationships/chart" Target="../charts/chart23.xml"/><Relationship Id="rId9" Type="http://schemas.openxmlformats.org/officeDocument/2006/relationships/chart" Target="../charts/chart28.xml"/><Relationship Id="rId14" Type="http://schemas.openxmlformats.org/officeDocument/2006/relationships/chart" Target="../charts/chart33.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8.xml"/><Relationship Id="rId13" Type="http://schemas.openxmlformats.org/officeDocument/2006/relationships/chart" Target="../charts/chart53.xml"/><Relationship Id="rId18" Type="http://schemas.openxmlformats.org/officeDocument/2006/relationships/chart" Target="../charts/chart58.xml"/><Relationship Id="rId3" Type="http://schemas.openxmlformats.org/officeDocument/2006/relationships/chart" Target="../charts/chart43.xml"/><Relationship Id="rId7" Type="http://schemas.openxmlformats.org/officeDocument/2006/relationships/chart" Target="../charts/chart47.xml"/><Relationship Id="rId12" Type="http://schemas.openxmlformats.org/officeDocument/2006/relationships/chart" Target="../charts/chart52.xml"/><Relationship Id="rId17" Type="http://schemas.openxmlformats.org/officeDocument/2006/relationships/chart" Target="../charts/chart57.xml"/><Relationship Id="rId2" Type="http://schemas.openxmlformats.org/officeDocument/2006/relationships/chart" Target="../charts/chart42.xml"/><Relationship Id="rId16" Type="http://schemas.openxmlformats.org/officeDocument/2006/relationships/chart" Target="../charts/chart56.xml"/><Relationship Id="rId1" Type="http://schemas.openxmlformats.org/officeDocument/2006/relationships/chart" Target="../charts/chart41.xml"/><Relationship Id="rId6" Type="http://schemas.openxmlformats.org/officeDocument/2006/relationships/chart" Target="../charts/chart46.xml"/><Relationship Id="rId11" Type="http://schemas.openxmlformats.org/officeDocument/2006/relationships/chart" Target="../charts/chart51.xml"/><Relationship Id="rId5" Type="http://schemas.openxmlformats.org/officeDocument/2006/relationships/chart" Target="../charts/chart45.xml"/><Relationship Id="rId15" Type="http://schemas.openxmlformats.org/officeDocument/2006/relationships/chart" Target="../charts/chart55.xml"/><Relationship Id="rId10" Type="http://schemas.openxmlformats.org/officeDocument/2006/relationships/chart" Target="../charts/chart50.xml"/><Relationship Id="rId19" Type="http://schemas.openxmlformats.org/officeDocument/2006/relationships/chart" Target="../charts/chart59.xml"/><Relationship Id="rId4" Type="http://schemas.openxmlformats.org/officeDocument/2006/relationships/chart" Target="../charts/chart44.xml"/><Relationship Id="rId9" Type="http://schemas.openxmlformats.org/officeDocument/2006/relationships/chart" Target="../charts/chart49.xml"/><Relationship Id="rId14" Type="http://schemas.openxmlformats.org/officeDocument/2006/relationships/chart" Target="../charts/chart5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2.xml"/></Relationships>
</file>

<file path=xl/drawings/drawing1.xml><?xml version="1.0" encoding="utf-8"?>
<xdr:wsDr xmlns:xdr="http://schemas.openxmlformats.org/drawingml/2006/spreadsheetDrawing" xmlns:a="http://schemas.openxmlformats.org/drawingml/2006/main">
  <xdr:twoCellAnchor>
    <xdr:from>
      <xdr:col>41</xdr:col>
      <xdr:colOff>493695</xdr:colOff>
      <xdr:row>131</xdr:row>
      <xdr:rowOff>156249</xdr:rowOff>
    </xdr:from>
    <xdr:to>
      <xdr:col>47</xdr:col>
      <xdr:colOff>450272</xdr:colOff>
      <xdr:row>147</xdr:row>
      <xdr:rowOff>51954</xdr:rowOff>
    </xdr:to>
    <xdr:graphicFrame macro="">
      <xdr:nvGraphicFramePr>
        <xdr:cNvPr id="3174748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104138</xdr:colOff>
      <xdr:row>131</xdr:row>
      <xdr:rowOff>121227</xdr:rowOff>
    </xdr:from>
    <xdr:to>
      <xdr:col>72</xdr:col>
      <xdr:colOff>525818</xdr:colOff>
      <xdr:row>194</xdr:row>
      <xdr:rowOff>162047</xdr:rowOff>
    </xdr:to>
    <xdr:grpSp>
      <xdr:nvGrpSpPr>
        <xdr:cNvPr id="2" name="Group 1"/>
        <xdr:cNvGrpSpPr/>
      </xdr:nvGrpSpPr>
      <xdr:grpSpPr>
        <a:xfrm>
          <a:off x="24202388" y="27324627"/>
          <a:ext cx="35988030" cy="13242470"/>
          <a:chOff x="24202388" y="17913927"/>
          <a:chExt cx="26710680" cy="13242470"/>
        </a:xfrm>
      </xdr:grpSpPr>
      <xdr:graphicFrame macro="">
        <xdr:nvGraphicFramePr>
          <xdr:cNvPr id="14" name="Chart 4"/>
          <xdr:cNvGraphicFramePr>
            <a:graphicFrameLocks/>
          </xdr:cNvGraphicFramePr>
        </xdr:nvGraphicFramePr>
        <xdr:xfrm>
          <a:off x="39896883" y="17928772"/>
          <a:ext cx="3549981" cy="3240232"/>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31747489" name="Chart 8"/>
          <xdr:cNvGraphicFramePr>
            <a:graphicFrameLocks/>
          </xdr:cNvGraphicFramePr>
        </xdr:nvGraphicFramePr>
        <xdr:xfrm>
          <a:off x="35619451" y="17947929"/>
          <a:ext cx="3572370" cy="326266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31747491" name="Chart 9"/>
          <xdr:cNvGraphicFramePr>
            <a:graphicFrameLocks/>
          </xdr:cNvGraphicFramePr>
        </xdr:nvGraphicFramePr>
        <xdr:xfrm>
          <a:off x="35616022" y="21233518"/>
          <a:ext cx="3586548" cy="3232595"/>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9" name="Chart 4"/>
          <xdr:cNvGraphicFramePr>
            <a:graphicFrameLocks/>
          </xdr:cNvGraphicFramePr>
        </xdr:nvGraphicFramePr>
        <xdr:xfrm>
          <a:off x="31988891" y="24479891"/>
          <a:ext cx="3614818" cy="3307029"/>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10" name="Chart 4"/>
          <xdr:cNvGraphicFramePr>
            <a:graphicFrameLocks/>
          </xdr:cNvGraphicFramePr>
        </xdr:nvGraphicFramePr>
        <xdr:xfrm>
          <a:off x="43463117" y="17939050"/>
          <a:ext cx="3509159" cy="3230337"/>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12" name="Chart 4"/>
          <xdr:cNvGraphicFramePr>
            <a:graphicFrameLocks/>
          </xdr:cNvGraphicFramePr>
        </xdr:nvGraphicFramePr>
        <xdr:xfrm>
          <a:off x="39894199" y="21193669"/>
          <a:ext cx="3552282" cy="3267878"/>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13" name="Chart 4"/>
          <xdr:cNvGraphicFramePr>
            <a:graphicFrameLocks/>
          </xdr:cNvGraphicFramePr>
        </xdr:nvGraphicFramePr>
        <xdr:xfrm>
          <a:off x="43474696" y="21200163"/>
          <a:ext cx="3521467" cy="3251489"/>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16" name="Chart 4"/>
          <xdr:cNvGraphicFramePr>
            <a:graphicFrameLocks/>
          </xdr:cNvGraphicFramePr>
        </xdr:nvGraphicFramePr>
        <xdr:xfrm>
          <a:off x="31986545" y="21221200"/>
          <a:ext cx="3606883" cy="3239195"/>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15" name="Chart 9"/>
          <xdr:cNvGraphicFramePr>
            <a:graphicFrameLocks/>
          </xdr:cNvGraphicFramePr>
        </xdr:nvGraphicFramePr>
        <xdr:xfrm>
          <a:off x="32032486" y="27816522"/>
          <a:ext cx="3599537" cy="3294278"/>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17" name="Chart 4"/>
          <xdr:cNvGraphicFramePr>
            <a:graphicFrameLocks/>
          </xdr:cNvGraphicFramePr>
        </xdr:nvGraphicFramePr>
        <xdr:xfrm>
          <a:off x="39875174" y="27785032"/>
          <a:ext cx="3515344" cy="3289884"/>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8" name="Chart 4"/>
          <xdr:cNvGraphicFramePr>
            <a:graphicFrameLocks/>
          </xdr:cNvGraphicFramePr>
        </xdr:nvGraphicFramePr>
        <xdr:xfrm>
          <a:off x="47450049" y="21189426"/>
          <a:ext cx="3463019" cy="3267879"/>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9" name="Chart 4"/>
          <xdr:cNvGraphicFramePr>
            <a:graphicFrameLocks/>
          </xdr:cNvGraphicFramePr>
        </xdr:nvGraphicFramePr>
        <xdr:xfrm>
          <a:off x="47441921" y="17913927"/>
          <a:ext cx="3467904" cy="3253221"/>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31747486" name="Chart 4"/>
          <xdr:cNvGraphicFramePr>
            <a:graphicFrameLocks/>
          </xdr:cNvGraphicFramePr>
        </xdr:nvGraphicFramePr>
        <xdr:xfrm>
          <a:off x="27867037" y="17927117"/>
          <a:ext cx="3576325" cy="3189181"/>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31747487" name="Chart 6"/>
          <xdr:cNvGraphicFramePr>
            <a:graphicFrameLocks/>
          </xdr:cNvGraphicFramePr>
        </xdr:nvGraphicFramePr>
        <xdr:xfrm>
          <a:off x="24202388" y="17927063"/>
          <a:ext cx="3621868" cy="3182067"/>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20" name="Chart 4"/>
          <xdr:cNvGraphicFramePr>
            <a:graphicFrameLocks/>
          </xdr:cNvGraphicFramePr>
        </xdr:nvGraphicFramePr>
        <xdr:xfrm>
          <a:off x="35666796" y="27839842"/>
          <a:ext cx="3614817" cy="3316555"/>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21" name="Chart 4"/>
          <xdr:cNvGraphicFramePr>
            <a:graphicFrameLocks/>
          </xdr:cNvGraphicFramePr>
        </xdr:nvGraphicFramePr>
        <xdr:xfrm>
          <a:off x="39882041" y="24498300"/>
          <a:ext cx="3552282" cy="3267878"/>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22" name="Chart 9"/>
          <xdr:cNvGraphicFramePr>
            <a:graphicFrameLocks/>
          </xdr:cNvGraphicFramePr>
        </xdr:nvGraphicFramePr>
        <xdr:xfrm>
          <a:off x="35614842" y="24515619"/>
          <a:ext cx="3599536" cy="3292546"/>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23" name="Chart 4"/>
          <xdr:cNvGraphicFramePr>
            <a:graphicFrameLocks/>
          </xdr:cNvGraphicFramePr>
        </xdr:nvGraphicFramePr>
        <xdr:xfrm>
          <a:off x="43462947" y="24486673"/>
          <a:ext cx="3522147" cy="326675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744683</xdr:colOff>
      <xdr:row>117</xdr:row>
      <xdr:rowOff>196996</xdr:rowOff>
    </xdr:from>
    <xdr:to>
      <xdr:col>79</xdr:col>
      <xdr:colOff>495148</xdr:colOff>
      <xdr:row>171</xdr:row>
      <xdr:rowOff>86592</xdr:rowOff>
    </xdr:to>
    <xdr:grpSp>
      <xdr:nvGrpSpPr>
        <xdr:cNvPr id="3" name="Group 2"/>
        <xdr:cNvGrpSpPr/>
      </xdr:nvGrpSpPr>
      <xdr:grpSpPr>
        <a:xfrm>
          <a:off x="25471583" y="29095846"/>
          <a:ext cx="39012515" cy="13262696"/>
          <a:chOff x="25471583" y="19437496"/>
          <a:chExt cx="32287865" cy="13262696"/>
        </a:xfrm>
      </xdr:grpSpPr>
      <xdr:graphicFrame macro="">
        <xdr:nvGraphicFramePr>
          <xdr:cNvPr id="31755678" name="Chart 4"/>
          <xdr:cNvGraphicFramePr>
            <a:graphicFrameLocks/>
          </xdr:cNvGraphicFramePr>
        </xdr:nvGraphicFramePr>
        <xdr:xfrm>
          <a:off x="30295067" y="19545325"/>
          <a:ext cx="3580024" cy="324886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1755679" name="Chart 6"/>
          <xdr:cNvGraphicFramePr>
            <a:graphicFrameLocks/>
          </xdr:cNvGraphicFramePr>
        </xdr:nvGraphicFramePr>
        <xdr:xfrm>
          <a:off x="25471583" y="19540453"/>
          <a:ext cx="4756297" cy="3236422"/>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31755680" name="Chart 7"/>
          <xdr:cNvGraphicFramePr>
            <a:graphicFrameLocks/>
          </xdr:cNvGraphicFramePr>
        </xdr:nvGraphicFramePr>
        <xdr:xfrm>
          <a:off x="38311282" y="19508468"/>
          <a:ext cx="3603062" cy="3233767"/>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31755681" name="Chart 8"/>
          <xdr:cNvGraphicFramePr>
            <a:graphicFrameLocks/>
          </xdr:cNvGraphicFramePr>
        </xdr:nvGraphicFramePr>
        <xdr:xfrm>
          <a:off x="34795692" y="19510145"/>
          <a:ext cx="3443732" cy="324941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31755682" name="Chart 9"/>
          <xdr:cNvGraphicFramePr>
            <a:graphicFrameLocks/>
          </xdr:cNvGraphicFramePr>
        </xdr:nvGraphicFramePr>
        <xdr:xfrm>
          <a:off x="46015931" y="19454964"/>
          <a:ext cx="3560268" cy="3252636"/>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31755683" name="Chart 9"/>
          <xdr:cNvGraphicFramePr>
            <a:graphicFrameLocks/>
          </xdr:cNvGraphicFramePr>
        </xdr:nvGraphicFramePr>
        <xdr:xfrm>
          <a:off x="42439810" y="19448470"/>
          <a:ext cx="3512266" cy="325913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1" name="Chart 9"/>
          <xdr:cNvGraphicFramePr>
            <a:graphicFrameLocks/>
          </xdr:cNvGraphicFramePr>
        </xdr:nvGraphicFramePr>
        <xdr:xfrm>
          <a:off x="38337257" y="22800684"/>
          <a:ext cx="3568563" cy="3299547"/>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22" name="Chart 9"/>
          <xdr:cNvGraphicFramePr>
            <a:graphicFrameLocks/>
          </xdr:cNvGraphicFramePr>
        </xdr:nvGraphicFramePr>
        <xdr:xfrm>
          <a:off x="34795691" y="22826663"/>
          <a:ext cx="3468246" cy="3273569"/>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23" name="Chart 9"/>
          <xdr:cNvGraphicFramePr>
            <a:graphicFrameLocks/>
          </xdr:cNvGraphicFramePr>
        </xdr:nvGraphicFramePr>
        <xdr:xfrm>
          <a:off x="34795692" y="26176863"/>
          <a:ext cx="3480672" cy="3234604"/>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24" name="Chart 9"/>
          <xdr:cNvGraphicFramePr>
            <a:graphicFrameLocks/>
          </xdr:cNvGraphicFramePr>
        </xdr:nvGraphicFramePr>
        <xdr:xfrm>
          <a:off x="42420453" y="22759554"/>
          <a:ext cx="3556136" cy="3357996"/>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25" name="Chart 9"/>
          <xdr:cNvGraphicFramePr>
            <a:graphicFrameLocks/>
          </xdr:cNvGraphicFramePr>
        </xdr:nvGraphicFramePr>
        <xdr:xfrm>
          <a:off x="46019605" y="22759556"/>
          <a:ext cx="3556137" cy="3375313"/>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3" name="Chart 9"/>
          <xdr:cNvGraphicFramePr>
            <a:graphicFrameLocks/>
          </xdr:cNvGraphicFramePr>
        </xdr:nvGraphicFramePr>
        <xdr:xfrm>
          <a:off x="34778372" y="29459093"/>
          <a:ext cx="3568563" cy="3225943"/>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4" name="Chart 9"/>
          <xdr:cNvGraphicFramePr>
            <a:graphicFrameLocks/>
          </xdr:cNvGraphicFramePr>
        </xdr:nvGraphicFramePr>
        <xdr:xfrm>
          <a:off x="42439936" y="26198511"/>
          <a:ext cx="3546612" cy="3357996"/>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15" name="Chart 9"/>
          <xdr:cNvGraphicFramePr>
            <a:graphicFrameLocks/>
          </xdr:cNvGraphicFramePr>
        </xdr:nvGraphicFramePr>
        <xdr:xfrm>
          <a:off x="50046514" y="22698507"/>
          <a:ext cx="3543148" cy="3338946"/>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16" name="Chart 9"/>
          <xdr:cNvGraphicFramePr>
            <a:graphicFrameLocks/>
          </xdr:cNvGraphicFramePr>
        </xdr:nvGraphicFramePr>
        <xdr:xfrm>
          <a:off x="50040021" y="19437496"/>
          <a:ext cx="3543148" cy="3219449"/>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17" name="Chart 9"/>
          <xdr:cNvGraphicFramePr>
            <a:graphicFrameLocks/>
          </xdr:cNvGraphicFramePr>
        </xdr:nvGraphicFramePr>
        <xdr:xfrm>
          <a:off x="38401336" y="29482905"/>
          <a:ext cx="3515592" cy="3199967"/>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18" name="Chart 9"/>
          <xdr:cNvGraphicFramePr>
            <a:graphicFrameLocks/>
          </xdr:cNvGraphicFramePr>
        </xdr:nvGraphicFramePr>
        <xdr:xfrm>
          <a:off x="42470243" y="29641800"/>
          <a:ext cx="3556136" cy="3058392"/>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19" name="Chart 9"/>
          <xdr:cNvGraphicFramePr>
            <a:graphicFrameLocks/>
          </xdr:cNvGraphicFramePr>
        </xdr:nvGraphicFramePr>
        <xdr:xfrm>
          <a:off x="38328600" y="26181503"/>
          <a:ext cx="3552234" cy="3232747"/>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20" name="Chart 9"/>
          <xdr:cNvGraphicFramePr>
            <a:graphicFrameLocks/>
          </xdr:cNvGraphicFramePr>
        </xdr:nvGraphicFramePr>
        <xdr:xfrm>
          <a:off x="46015275" y="26201914"/>
          <a:ext cx="3540426" cy="3351192"/>
        </xdr:xfrm>
        <a:graphic>
          <a:graphicData uri="http://schemas.openxmlformats.org/drawingml/2006/chart">
            <c:chart xmlns:c="http://schemas.openxmlformats.org/drawingml/2006/chart" xmlns:r="http://schemas.openxmlformats.org/officeDocument/2006/relationships" r:id="rId19"/>
          </a:graphicData>
        </a:graphic>
      </xdr:graphicFrame>
      <xdr:graphicFrame macro="">
        <xdr:nvGraphicFramePr>
          <xdr:cNvPr id="26" name="Chart 9"/>
          <xdr:cNvGraphicFramePr>
            <a:graphicFrameLocks/>
          </xdr:cNvGraphicFramePr>
        </xdr:nvGraphicFramePr>
        <xdr:xfrm>
          <a:off x="54216300" y="19488150"/>
          <a:ext cx="3543148" cy="3219449"/>
        </xdr:xfrm>
        <a:graphic>
          <a:graphicData uri="http://schemas.openxmlformats.org/drawingml/2006/chart">
            <c:chart xmlns:c="http://schemas.openxmlformats.org/drawingml/2006/chart" xmlns:r="http://schemas.openxmlformats.org/officeDocument/2006/relationships" r:id="rId20"/>
          </a:graphicData>
        </a:graphic>
      </xdr:graphicFrame>
      <xdr:graphicFrame macro="">
        <xdr:nvGraphicFramePr>
          <xdr:cNvPr id="27" name="Chart 9"/>
          <xdr:cNvGraphicFramePr>
            <a:graphicFrameLocks/>
          </xdr:cNvGraphicFramePr>
        </xdr:nvGraphicFramePr>
        <xdr:xfrm>
          <a:off x="54216300" y="23450550"/>
          <a:ext cx="3543148" cy="3219449"/>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wsDr>
</file>

<file path=xl/drawings/drawing3.xml><?xml version="1.0" encoding="utf-8"?>
<xdr:wsDr xmlns:xdr="http://schemas.openxmlformats.org/drawingml/2006/spreadsheetDrawing" xmlns:a="http://schemas.openxmlformats.org/drawingml/2006/main">
  <xdr:twoCellAnchor>
    <xdr:from>
      <xdr:col>35</xdr:col>
      <xdr:colOff>0</xdr:colOff>
      <xdr:row>117</xdr:row>
      <xdr:rowOff>155972</xdr:rowOff>
    </xdr:from>
    <xdr:to>
      <xdr:col>38</xdr:col>
      <xdr:colOff>504741</xdr:colOff>
      <xdr:row>133</xdr:row>
      <xdr:rowOff>68036</xdr:rowOff>
    </xdr:to>
    <xdr:graphicFrame macro="">
      <xdr:nvGraphicFramePr>
        <xdr:cNvPr id="3177923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95250</xdr:colOff>
      <xdr:row>117</xdr:row>
      <xdr:rowOff>151038</xdr:rowOff>
    </xdr:from>
    <xdr:to>
      <xdr:col>28</xdr:col>
      <xdr:colOff>0</xdr:colOff>
      <xdr:row>133</xdr:row>
      <xdr:rowOff>72118</xdr:rowOff>
    </xdr:to>
    <xdr:graphicFrame macro="">
      <xdr:nvGraphicFramePr>
        <xdr:cNvPr id="31779231"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46</xdr:col>
      <xdr:colOff>149848</xdr:colOff>
      <xdr:row>118</xdr:row>
      <xdr:rowOff>10037</xdr:rowOff>
    </xdr:from>
    <xdr:to>
      <xdr:col>52</xdr:col>
      <xdr:colOff>224263</xdr:colOff>
      <xdr:row>133</xdr:row>
      <xdr:rowOff>117703</xdr:rowOff>
    </xdr:to>
    <xdr:graphicFrame macro="">
      <xdr:nvGraphicFramePr>
        <xdr:cNvPr id="3177923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40</xdr:col>
      <xdr:colOff>78550</xdr:colOff>
      <xdr:row>117</xdr:row>
      <xdr:rowOff>179294</xdr:rowOff>
    </xdr:from>
    <xdr:to>
      <xdr:col>46</xdr:col>
      <xdr:colOff>127024</xdr:colOff>
      <xdr:row>133</xdr:row>
      <xdr:rowOff>100853</xdr:rowOff>
    </xdr:to>
    <xdr:graphicFrame macro="">
      <xdr:nvGraphicFramePr>
        <xdr:cNvPr id="31779233"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58</xdr:col>
      <xdr:colOff>382106</xdr:colOff>
      <xdr:row>118</xdr:row>
      <xdr:rowOff>22113</xdr:rowOff>
    </xdr:from>
    <xdr:to>
      <xdr:col>64</xdr:col>
      <xdr:colOff>317047</xdr:colOff>
      <xdr:row>133</xdr:row>
      <xdr:rowOff>133351</xdr:rowOff>
    </xdr:to>
    <xdr:graphicFrame macro="">
      <xdr:nvGraphicFramePr>
        <xdr:cNvPr id="31779234"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52</xdr:col>
      <xdr:colOff>457033</xdr:colOff>
      <xdr:row>118</xdr:row>
      <xdr:rowOff>21348</xdr:rowOff>
    </xdr:from>
    <xdr:to>
      <xdr:col>58</xdr:col>
      <xdr:colOff>331420</xdr:colOff>
      <xdr:row>133</xdr:row>
      <xdr:rowOff>130630</xdr:rowOff>
    </xdr:to>
    <xdr:graphicFrame macro="">
      <xdr:nvGraphicFramePr>
        <xdr:cNvPr id="3177923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46</xdr:col>
      <xdr:colOff>161247</xdr:colOff>
      <xdr:row>133</xdr:row>
      <xdr:rowOff>153760</xdr:rowOff>
    </xdr:from>
    <xdr:to>
      <xdr:col>52</xdr:col>
      <xdr:colOff>228601</xdr:colOff>
      <xdr:row>149</xdr:row>
      <xdr:rowOff>47625</xdr:rowOff>
    </xdr:to>
    <xdr:graphicFrame macro="">
      <xdr:nvGraphicFramePr>
        <xdr:cNvPr id="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40</xdr:col>
      <xdr:colOff>61293</xdr:colOff>
      <xdr:row>149</xdr:row>
      <xdr:rowOff>92592</xdr:rowOff>
    </xdr:from>
    <xdr:to>
      <xdr:col>46</xdr:col>
      <xdr:colOff>114300</xdr:colOff>
      <xdr:row>164</xdr:row>
      <xdr:rowOff>179677</xdr:rowOff>
    </xdr:to>
    <xdr:graphicFrame macro="">
      <xdr:nvGraphicFramePr>
        <xdr:cNvPr id="1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58</xdr:col>
      <xdr:colOff>385516</xdr:colOff>
      <xdr:row>133</xdr:row>
      <xdr:rowOff>181346</xdr:rowOff>
    </xdr:from>
    <xdr:to>
      <xdr:col>64</xdr:col>
      <xdr:colOff>328180</xdr:colOff>
      <xdr:row>149</xdr:row>
      <xdr:rowOff>133350</xdr:rowOff>
    </xdr:to>
    <xdr:graphicFrame macro="">
      <xdr:nvGraphicFramePr>
        <xdr:cNvPr id="1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52</xdr:col>
      <xdr:colOff>457202</xdr:colOff>
      <xdr:row>133</xdr:row>
      <xdr:rowOff>172812</xdr:rowOff>
    </xdr:from>
    <xdr:to>
      <xdr:col>58</xdr:col>
      <xdr:colOff>329911</xdr:colOff>
      <xdr:row>149</xdr:row>
      <xdr:rowOff>129268</xdr:rowOff>
    </xdr:to>
    <xdr:graphicFrame macro="">
      <xdr:nvGraphicFramePr>
        <xdr:cNvPr id="12"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40</xdr:col>
      <xdr:colOff>78441</xdr:colOff>
      <xdr:row>133</xdr:row>
      <xdr:rowOff>140834</xdr:rowOff>
    </xdr:from>
    <xdr:to>
      <xdr:col>46</xdr:col>
      <xdr:colOff>123264</xdr:colOff>
      <xdr:row>149</xdr:row>
      <xdr:rowOff>51026</xdr:rowOff>
    </xdr:to>
    <xdr:graphicFrame macro="">
      <xdr:nvGraphicFramePr>
        <xdr:cNvPr id="1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40</xdr:col>
      <xdr:colOff>39460</xdr:colOff>
      <xdr:row>165</xdr:row>
      <xdr:rowOff>23132</xdr:rowOff>
    </xdr:from>
    <xdr:to>
      <xdr:col>46</xdr:col>
      <xdr:colOff>106136</xdr:colOff>
      <xdr:row>180</xdr:row>
      <xdr:rowOff>99332</xdr:rowOff>
    </xdr:to>
    <xdr:graphicFrame macro="">
      <xdr:nvGraphicFramePr>
        <xdr:cNvPr id="1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52</xdr:col>
      <xdr:colOff>449655</xdr:colOff>
      <xdr:row>149</xdr:row>
      <xdr:rowOff>159141</xdr:rowOff>
    </xdr:from>
    <xdr:to>
      <xdr:col>58</xdr:col>
      <xdr:colOff>340178</xdr:colOff>
      <xdr:row>165</xdr:row>
      <xdr:rowOff>148255</xdr:rowOff>
    </xdr:to>
    <xdr:graphicFrame macro="">
      <xdr:nvGraphicFramePr>
        <xdr:cNvPr id="1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65</xdr:col>
      <xdr:colOff>212148</xdr:colOff>
      <xdr:row>134</xdr:row>
      <xdr:rowOff>61354</xdr:rowOff>
    </xdr:from>
    <xdr:to>
      <xdr:col>71</xdr:col>
      <xdr:colOff>216971</xdr:colOff>
      <xdr:row>150</xdr:row>
      <xdr:rowOff>50468</xdr:rowOff>
    </xdr:to>
    <xdr:graphicFrame macro="">
      <xdr:nvGraphicFramePr>
        <xdr:cNvPr id="1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65</xdr:col>
      <xdr:colOff>260454</xdr:colOff>
      <xdr:row>117</xdr:row>
      <xdr:rowOff>162358</xdr:rowOff>
    </xdr:from>
    <xdr:to>
      <xdr:col>71</xdr:col>
      <xdr:colOff>213569</xdr:colOff>
      <xdr:row>133</xdr:row>
      <xdr:rowOff>118814</xdr:rowOff>
    </xdr:to>
    <xdr:graphicFrame macro="">
      <xdr:nvGraphicFramePr>
        <xdr:cNvPr id="17"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46</xdr:col>
      <xdr:colOff>170708</xdr:colOff>
      <xdr:row>165</xdr:row>
      <xdr:rowOff>8658</xdr:rowOff>
    </xdr:from>
    <xdr:to>
      <xdr:col>52</xdr:col>
      <xdr:colOff>223715</xdr:colOff>
      <xdr:row>180</xdr:row>
      <xdr:rowOff>95743</xdr:rowOff>
    </xdr:to>
    <xdr:graphicFrame macro="">
      <xdr:nvGraphicFramePr>
        <xdr:cNvPr id="18"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52</xdr:col>
      <xdr:colOff>450271</xdr:colOff>
      <xdr:row>166</xdr:row>
      <xdr:rowOff>1</xdr:rowOff>
    </xdr:from>
    <xdr:to>
      <xdr:col>58</xdr:col>
      <xdr:colOff>322980</xdr:colOff>
      <xdr:row>181</xdr:row>
      <xdr:rowOff>146957</xdr:rowOff>
    </xdr:to>
    <xdr:graphicFrame macro="">
      <xdr:nvGraphicFramePr>
        <xdr:cNvPr id="1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46</xdr:col>
      <xdr:colOff>156883</xdr:colOff>
      <xdr:row>149</xdr:row>
      <xdr:rowOff>99252</xdr:rowOff>
    </xdr:from>
    <xdr:to>
      <xdr:col>52</xdr:col>
      <xdr:colOff>223558</xdr:colOff>
      <xdr:row>164</xdr:row>
      <xdr:rowOff>175452</xdr:rowOff>
    </xdr:to>
    <xdr:graphicFrame macro="">
      <xdr:nvGraphicFramePr>
        <xdr:cNvPr id="2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58</xdr:col>
      <xdr:colOff>367393</xdr:colOff>
      <xdr:row>149</xdr:row>
      <xdr:rowOff>176892</xdr:rowOff>
    </xdr:from>
    <xdr:to>
      <xdr:col>64</xdr:col>
      <xdr:colOff>343889</xdr:colOff>
      <xdr:row>165</xdr:row>
      <xdr:rowOff>166006</xdr:rowOff>
    </xdr:to>
    <xdr:graphicFrame macro="">
      <xdr:nvGraphicFramePr>
        <xdr:cNvPr id="2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333375</xdr:colOff>
      <xdr:row>0</xdr:row>
      <xdr:rowOff>309561</xdr:rowOff>
    </xdr:from>
    <xdr:to>
      <xdr:col>23</xdr:col>
      <xdr:colOff>219075</xdr:colOff>
      <xdr:row>50</xdr:row>
      <xdr:rowOff>171449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571499</xdr:colOff>
      <xdr:row>1</xdr:row>
      <xdr:rowOff>85725</xdr:rowOff>
    </xdr:from>
    <xdr:to>
      <xdr:col>24</xdr:col>
      <xdr:colOff>276225</xdr:colOff>
      <xdr:row>53</xdr:row>
      <xdr:rowOff>76200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12</xdr:col>
      <xdr:colOff>66675</xdr:colOff>
      <xdr:row>0</xdr:row>
      <xdr:rowOff>328611</xdr:rowOff>
    </xdr:from>
    <xdr:to>
      <xdr:col>19</xdr:col>
      <xdr:colOff>1076325</xdr:colOff>
      <xdr:row>51</xdr:row>
      <xdr:rowOff>38099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D1" workbookViewId="0">
      <selection sqref="A1:P43"/>
    </sheetView>
  </sheetViews>
  <sheetFormatPr defaultRowHeight="15" x14ac:dyDescent="0.25"/>
  <cols>
    <col min="1" max="1" width="12" bestFit="1" customWidth="1"/>
    <col min="2" max="2" width="10.7109375" bestFit="1" customWidth="1"/>
    <col min="3" max="3" width="8.7109375" bestFit="1" customWidth="1"/>
    <col min="5" max="5" width="18.42578125" bestFit="1" customWidth="1"/>
    <col min="6" max="6" width="16.7109375" bestFit="1" customWidth="1"/>
    <col min="7" max="7" width="20.5703125" bestFit="1" customWidth="1"/>
    <col min="10" max="10" width="10" bestFit="1" customWidth="1"/>
  </cols>
  <sheetData>
    <row r="1" spans="1:19" x14ac:dyDescent="0.25">
      <c r="A1" s="951" t="s">
        <v>254</v>
      </c>
      <c r="B1" s="949" t="s">
        <v>248</v>
      </c>
      <c r="C1" s="949" t="s">
        <v>249</v>
      </c>
      <c r="D1" s="952" t="s">
        <v>250</v>
      </c>
      <c r="E1" s="949" t="s">
        <v>251</v>
      </c>
      <c r="F1" s="952" t="s">
        <v>252</v>
      </c>
      <c r="G1" s="952" t="s">
        <v>253</v>
      </c>
      <c r="H1" s="35" t="s">
        <v>12</v>
      </c>
      <c r="I1" s="947"/>
      <c r="J1" s="951" t="s">
        <v>254</v>
      </c>
      <c r="K1" s="949" t="s">
        <v>248</v>
      </c>
      <c r="L1" s="949" t="s">
        <v>249</v>
      </c>
      <c r="M1" s="952" t="s">
        <v>250</v>
      </c>
      <c r="N1" s="949" t="s">
        <v>251</v>
      </c>
      <c r="O1" s="952" t="s">
        <v>252</v>
      </c>
      <c r="P1" s="952" t="s">
        <v>253</v>
      </c>
    </row>
    <row r="2" spans="1:19" x14ac:dyDescent="0.25">
      <c r="A2" s="965">
        <v>292600623</v>
      </c>
      <c r="B2" s="965">
        <v>250018.4</v>
      </c>
      <c r="C2" s="965">
        <v>195678.7</v>
      </c>
      <c r="D2" s="965">
        <v>54338.400000000001</v>
      </c>
      <c r="E2" s="965">
        <v>3713</v>
      </c>
      <c r="F2" s="965">
        <v>1723</v>
      </c>
      <c r="G2" s="965">
        <v>57121.599999999999</v>
      </c>
      <c r="H2" s="947"/>
      <c r="I2" s="947"/>
      <c r="J2" s="965">
        <v>292600623</v>
      </c>
      <c r="K2" s="965">
        <v>250018.4</v>
      </c>
      <c r="L2" s="965">
        <v>195704.9</v>
      </c>
      <c r="M2" s="965">
        <v>54312.2</v>
      </c>
      <c r="N2" s="965">
        <v>3713</v>
      </c>
      <c r="O2" s="965">
        <v>1723</v>
      </c>
      <c r="P2" s="965">
        <v>57121.599999999999</v>
      </c>
      <c r="S2" t="s">
        <v>308</v>
      </c>
    </row>
    <row r="3" spans="1:19" x14ac:dyDescent="0.25">
      <c r="A3" s="965">
        <v>292600745</v>
      </c>
      <c r="B3" s="965">
        <v>150516.70000000001</v>
      </c>
      <c r="C3" s="965">
        <v>63410.6</v>
      </c>
      <c r="D3" s="965">
        <v>87105.2</v>
      </c>
      <c r="E3" s="965">
        <v>3620</v>
      </c>
      <c r="F3" s="965">
        <v>1971</v>
      </c>
      <c r="G3" s="965">
        <v>55194.400000000001</v>
      </c>
      <c r="H3" s="947"/>
      <c r="I3" s="947"/>
      <c r="J3" s="965">
        <v>292600745</v>
      </c>
      <c r="K3" s="965">
        <v>150516.70000000001</v>
      </c>
      <c r="L3" s="965">
        <v>63410.6</v>
      </c>
      <c r="M3" s="965">
        <v>87105.2</v>
      </c>
      <c r="N3" s="965">
        <v>3620</v>
      </c>
      <c r="O3" s="965">
        <v>1971</v>
      </c>
      <c r="P3" s="965">
        <v>55194.400000000001</v>
      </c>
    </row>
    <row r="4" spans="1:19" x14ac:dyDescent="0.25">
      <c r="A4" s="965">
        <v>295700703</v>
      </c>
      <c r="B4" s="965">
        <v>224071.2</v>
      </c>
      <c r="C4" s="965">
        <v>142149.1</v>
      </c>
      <c r="D4" s="965">
        <v>81921.3</v>
      </c>
      <c r="E4" s="965">
        <v>6399</v>
      </c>
      <c r="F4" s="965">
        <v>2427</v>
      </c>
      <c r="G4" s="965">
        <v>133975</v>
      </c>
      <c r="H4" s="947"/>
      <c r="I4" s="947"/>
      <c r="J4" s="965">
        <v>295700703</v>
      </c>
      <c r="K4" s="965">
        <v>224071.2</v>
      </c>
      <c r="L4" s="965">
        <v>143691</v>
      </c>
      <c r="M4" s="965">
        <v>80379.3</v>
      </c>
      <c r="N4" s="965">
        <v>6399</v>
      </c>
      <c r="O4" s="965">
        <v>2488</v>
      </c>
      <c r="P4" s="965">
        <v>131918</v>
      </c>
    </row>
    <row r="5" spans="1:19" x14ac:dyDescent="0.25">
      <c r="A5" s="965">
        <v>295700705</v>
      </c>
      <c r="B5" s="965">
        <v>156194.1</v>
      </c>
      <c r="C5" s="965">
        <v>123223.2</v>
      </c>
      <c r="D5" s="965">
        <v>32968.9</v>
      </c>
      <c r="E5" s="965">
        <v>4800</v>
      </c>
      <c r="F5" s="965">
        <v>3238</v>
      </c>
      <c r="G5" s="965">
        <v>52690.9</v>
      </c>
      <c r="H5" s="947"/>
      <c r="I5" s="947"/>
      <c r="J5" s="965">
        <v>295700705</v>
      </c>
      <c r="K5" s="965">
        <v>156194.1</v>
      </c>
      <c r="L5" s="965">
        <v>123235.5</v>
      </c>
      <c r="M5" s="965">
        <v>32956.5</v>
      </c>
      <c r="N5" s="965">
        <v>4800</v>
      </c>
      <c r="O5" s="965">
        <v>3357</v>
      </c>
      <c r="P5" s="965">
        <v>48678.6</v>
      </c>
    </row>
    <row r="6" spans="1:19" x14ac:dyDescent="0.25">
      <c r="A6" s="948"/>
      <c r="B6" s="950"/>
      <c r="C6" s="950"/>
      <c r="D6" s="950"/>
      <c r="E6" s="950"/>
      <c r="F6" s="950"/>
      <c r="G6" s="950"/>
      <c r="H6" s="953"/>
      <c r="I6" s="947"/>
      <c r="J6" s="948"/>
      <c r="K6" s="950"/>
      <c r="L6" s="950"/>
      <c r="M6" s="950"/>
      <c r="N6" s="950"/>
      <c r="O6" s="950"/>
      <c r="P6" s="950"/>
    </row>
    <row r="7" spans="1:19" x14ac:dyDescent="0.25">
      <c r="A7" s="947"/>
      <c r="B7" s="947"/>
      <c r="C7" s="947"/>
      <c r="D7" s="947"/>
      <c r="E7" s="947"/>
      <c r="F7" s="947"/>
      <c r="G7" s="947"/>
      <c r="H7" s="953"/>
      <c r="I7" s="947"/>
      <c r="J7" s="947"/>
      <c r="K7" s="947"/>
      <c r="L7" s="947"/>
      <c r="M7" s="947"/>
      <c r="N7" s="947"/>
      <c r="O7" s="947"/>
      <c r="P7" s="947"/>
    </row>
    <row r="8" spans="1:19" x14ac:dyDescent="0.25">
      <c r="A8" s="951" t="s">
        <v>254</v>
      </c>
      <c r="B8" s="949" t="s">
        <v>248</v>
      </c>
      <c r="C8" s="949" t="s">
        <v>249</v>
      </c>
      <c r="D8" s="952" t="s">
        <v>250</v>
      </c>
      <c r="E8" s="949" t="s">
        <v>251</v>
      </c>
      <c r="F8" s="952" t="s">
        <v>252</v>
      </c>
      <c r="G8" s="952" t="s">
        <v>253</v>
      </c>
      <c r="H8" s="35" t="s">
        <v>13</v>
      </c>
      <c r="I8" s="947"/>
      <c r="J8" s="951" t="s">
        <v>254</v>
      </c>
      <c r="K8" s="949" t="s">
        <v>248</v>
      </c>
      <c r="L8" s="949" t="s">
        <v>249</v>
      </c>
      <c r="M8" s="952" t="s">
        <v>250</v>
      </c>
      <c r="N8" s="949" t="s">
        <v>251</v>
      </c>
      <c r="O8" s="952" t="s">
        <v>252</v>
      </c>
      <c r="P8" s="952" t="s">
        <v>253</v>
      </c>
    </row>
    <row r="9" spans="1:19" x14ac:dyDescent="0.25">
      <c r="A9" s="951">
        <v>292600552</v>
      </c>
      <c r="B9" s="965">
        <v>150516.70000000001</v>
      </c>
      <c r="C9" s="965">
        <v>63663.3</v>
      </c>
      <c r="D9" s="965">
        <v>86852.6</v>
      </c>
      <c r="E9" s="965">
        <v>3560</v>
      </c>
      <c r="F9" s="965">
        <v>2298</v>
      </c>
      <c r="G9" s="965">
        <v>42146</v>
      </c>
      <c r="H9" s="947"/>
      <c r="I9" s="947"/>
      <c r="J9" s="951">
        <v>292600552</v>
      </c>
      <c r="K9" s="965">
        <v>150516.70000000001</v>
      </c>
      <c r="L9" s="965">
        <v>63663.3</v>
      </c>
      <c r="M9" s="965">
        <v>86852.5</v>
      </c>
      <c r="N9" s="965">
        <v>3560</v>
      </c>
      <c r="O9" s="965">
        <v>2298</v>
      </c>
      <c r="P9" s="965">
        <v>42146</v>
      </c>
    </row>
    <row r="10" spans="1:19" x14ac:dyDescent="0.25">
      <c r="A10" s="951">
        <v>292600678</v>
      </c>
      <c r="B10" s="965">
        <v>181998.8</v>
      </c>
      <c r="C10" s="965">
        <v>79318.5</v>
      </c>
      <c r="D10" s="965">
        <v>102679.2</v>
      </c>
      <c r="E10" s="965">
        <v>6588</v>
      </c>
      <c r="F10" s="965">
        <v>2001</v>
      </c>
      <c r="G10" s="965">
        <v>122319</v>
      </c>
      <c r="H10" s="947"/>
      <c r="I10" s="947"/>
      <c r="J10" s="951">
        <v>292600678</v>
      </c>
      <c r="K10" s="965">
        <v>181998.8</v>
      </c>
      <c r="L10" s="965">
        <v>79344.5</v>
      </c>
      <c r="M10" s="965">
        <v>102653.3</v>
      </c>
      <c r="N10" s="965">
        <v>6588</v>
      </c>
      <c r="O10" s="965">
        <v>2001</v>
      </c>
      <c r="P10" s="965">
        <v>122319</v>
      </c>
    </row>
    <row r="11" spans="1:19" x14ac:dyDescent="0.25">
      <c r="A11" s="951">
        <v>292602230</v>
      </c>
      <c r="B11" s="965">
        <v>171975.5</v>
      </c>
      <c r="C11" s="965">
        <v>73628.3</v>
      </c>
      <c r="D11" s="965">
        <v>98346.3</v>
      </c>
      <c r="E11" s="965">
        <v>7076</v>
      </c>
      <c r="F11" s="965">
        <v>3745</v>
      </c>
      <c r="G11" s="965">
        <v>109776</v>
      </c>
      <c r="H11" s="947"/>
      <c r="I11" s="947"/>
      <c r="J11" s="951">
        <v>292602230</v>
      </c>
      <c r="K11" s="965">
        <v>171975.5</v>
      </c>
      <c r="L11" s="965">
        <v>73752.899999999994</v>
      </c>
      <c r="M11" s="965">
        <v>98221.5</v>
      </c>
      <c r="N11" s="965">
        <v>7076</v>
      </c>
      <c r="O11" s="965">
        <v>3745</v>
      </c>
      <c r="P11" s="965">
        <v>109776</v>
      </c>
    </row>
    <row r="12" spans="1:19" x14ac:dyDescent="0.25">
      <c r="A12" s="951">
        <v>292603073</v>
      </c>
      <c r="B12" s="965">
        <v>389505</v>
      </c>
      <c r="C12" s="965">
        <v>177955.6</v>
      </c>
      <c r="D12" s="965">
        <v>211547.4</v>
      </c>
      <c r="E12" s="965">
        <v>14882</v>
      </c>
      <c r="F12" s="965">
        <v>2470</v>
      </c>
      <c r="G12" s="965">
        <v>422468</v>
      </c>
      <c r="H12" s="947"/>
      <c r="I12" s="947"/>
      <c r="J12" s="951">
        <v>292603073</v>
      </c>
      <c r="K12" s="965">
        <v>389505</v>
      </c>
      <c r="L12" s="965">
        <v>178396.79999999999</v>
      </c>
      <c r="M12" s="965">
        <v>211105.9</v>
      </c>
      <c r="N12" s="965">
        <v>14882</v>
      </c>
      <c r="O12" s="965">
        <v>2470</v>
      </c>
      <c r="P12" s="965">
        <v>422468</v>
      </c>
    </row>
    <row r="13" spans="1:19" x14ac:dyDescent="0.25">
      <c r="A13" s="951">
        <v>292603286</v>
      </c>
      <c r="B13" s="965">
        <v>165765.70000000001</v>
      </c>
      <c r="C13" s="965">
        <v>45046</v>
      </c>
      <c r="D13" s="965">
        <v>120718.8</v>
      </c>
      <c r="E13" s="965">
        <v>8432</v>
      </c>
      <c r="F13" s="965">
        <v>5095</v>
      </c>
      <c r="G13" s="965">
        <v>110224</v>
      </c>
      <c r="H13" s="947"/>
      <c r="I13" s="947"/>
      <c r="J13" s="951">
        <v>292603286</v>
      </c>
      <c r="K13" s="965">
        <v>165765.70000000001</v>
      </c>
      <c r="L13" s="965">
        <v>45198.8</v>
      </c>
      <c r="M13" s="965">
        <v>120565.9</v>
      </c>
      <c r="N13" s="965">
        <v>8432</v>
      </c>
      <c r="O13" s="965">
        <v>5095</v>
      </c>
      <c r="P13" s="965">
        <v>110224</v>
      </c>
    </row>
    <row r="14" spans="1:19" x14ac:dyDescent="0.25">
      <c r="A14" s="951">
        <v>292603696</v>
      </c>
      <c r="B14" s="965">
        <v>166078</v>
      </c>
      <c r="C14" s="965">
        <v>112602.6</v>
      </c>
      <c r="D14" s="965">
        <v>53474.400000000001</v>
      </c>
      <c r="E14" s="965">
        <v>9599</v>
      </c>
      <c r="F14" s="965">
        <v>8093</v>
      </c>
      <c r="G14" s="965">
        <v>50818.6</v>
      </c>
      <c r="H14" s="947"/>
      <c r="I14" s="947"/>
      <c r="J14" s="951">
        <v>292603696</v>
      </c>
      <c r="K14" s="965">
        <v>166078</v>
      </c>
      <c r="L14" s="965">
        <v>112665.5</v>
      </c>
      <c r="M14" s="965">
        <v>53411.5</v>
      </c>
      <c r="N14" s="965">
        <v>9599</v>
      </c>
      <c r="O14" s="965">
        <v>8130</v>
      </c>
      <c r="P14" s="965">
        <v>49571.1</v>
      </c>
    </row>
    <row r="15" spans="1:19" s="743" customFormat="1" x14ac:dyDescent="0.25">
      <c r="A15" s="951">
        <v>292604330</v>
      </c>
      <c r="B15" s="965">
        <v>124019.2</v>
      </c>
      <c r="C15" s="965">
        <v>22662.9</v>
      </c>
      <c r="D15" s="965">
        <v>101353.3</v>
      </c>
      <c r="E15" s="965">
        <v>6863</v>
      </c>
      <c r="F15" s="965">
        <v>2631</v>
      </c>
      <c r="G15" s="965">
        <v>143613</v>
      </c>
      <c r="H15" s="947"/>
      <c r="I15" s="947"/>
      <c r="J15" s="951">
        <v>292604330</v>
      </c>
      <c r="K15" s="965">
        <v>124019.2</v>
      </c>
      <c r="L15" s="965">
        <v>23205</v>
      </c>
      <c r="M15" s="965">
        <v>100811.1</v>
      </c>
      <c r="N15" s="965">
        <v>6863</v>
      </c>
      <c r="O15" s="965">
        <v>2637</v>
      </c>
      <c r="P15" s="965">
        <v>143410</v>
      </c>
    </row>
    <row r="16" spans="1:19" x14ac:dyDescent="0.25">
      <c r="A16" s="951">
        <v>295700347</v>
      </c>
      <c r="B16" s="965">
        <v>224071.2</v>
      </c>
      <c r="C16" s="965">
        <v>122681</v>
      </c>
      <c r="D16" s="965">
        <v>101389.3</v>
      </c>
      <c r="E16" s="965">
        <v>9273</v>
      </c>
      <c r="F16" s="965">
        <v>2783</v>
      </c>
      <c r="G16" s="965">
        <v>219211</v>
      </c>
      <c r="H16" s="947"/>
      <c r="I16" s="947"/>
      <c r="J16" s="951">
        <v>295700347</v>
      </c>
      <c r="K16" s="965">
        <v>224071.2</v>
      </c>
      <c r="L16" s="965">
        <v>123009.7</v>
      </c>
      <c r="M16" s="965">
        <v>101060.6</v>
      </c>
      <c r="N16" s="965">
        <v>9273</v>
      </c>
      <c r="O16" s="965">
        <v>2784</v>
      </c>
      <c r="P16" s="965">
        <v>219177</v>
      </c>
    </row>
    <row r="17" spans="1:16" s="743" customFormat="1" x14ac:dyDescent="0.25">
      <c r="A17" s="951">
        <v>295700485</v>
      </c>
      <c r="B17" s="965">
        <v>190871.2</v>
      </c>
      <c r="C17" s="965">
        <v>190870</v>
      </c>
      <c r="D17" s="965">
        <v>4.9000000000000004</v>
      </c>
      <c r="E17" s="965">
        <v>6400</v>
      </c>
      <c r="F17" s="965">
        <v>6400</v>
      </c>
      <c r="G17" s="965">
        <v>0</v>
      </c>
      <c r="H17" s="947"/>
      <c r="I17" s="947"/>
      <c r="J17" s="951">
        <v>295700485</v>
      </c>
      <c r="K17" s="965">
        <v>190871.2</v>
      </c>
      <c r="L17" s="965">
        <v>190870</v>
      </c>
      <c r="M17" s="965">
        <v>4.9000000000000004</v>
      </c>
      <c r="N17" s="965">
        <v>6400</v>
      </c>
      <c r="O17" s="965">
        <v>6400</v>
      </c>
      <c r="P17" s="965">
        <v>0</v>
      </c>
    </row>
    <row r="18" spans="1:16" x14ac:dyDescent="0.25">
      <c r="A18" s="951">
        <v>295700671</v>
      </c>
      <c r="B18" s="965">
        <v>209496.5</v>
      </c>
      <c r="C18" s="965">
        <v>177250</v>
      </c>
      <c r="D18" s="965">
        <v>32240.400000000001</v>
      </c>
      <c r="E18" s="965">
        <v>7999</v>
      </c>
      <c r="F18" s="965">
        <v>5509</v>
      </c>
      <c r="G18" s="965">
        <v>62682.8</v>
      </c>
      <c r="H18" s="947"/>
      <c r="I18" s="947"/>
      <c r="J18" s="951">
        <v>295700671</v>
      </c>
      <c r="K18" s="965">
        <v>209496.5</v>
      </c>
      <c r="L18" s="965">
        <v>177272.6</v>
      </c>
      <c r="M18" s="965">
        <v>32218</v>
      </c>
      <c r="N18" s="965">
        <v>7999</v>
      </c>
      <c r="O18" s="965">
        <v>5509</v>
      </c>
      <c r="P18" s="965">
        <v>62682.8</v>
      </c>
    </row>
    <row r="19" spans="1:16" x14ac:dyDescent="0.25">
      <c r="A19" s="951">
        <v>295700688</v>
      </c>
      <c r="B19" s="965">
        <v>156194.1</v>
      </c>
      <c r="C19" s="965">
        <v>123195.8</v>
      </c>
      <c r="D19" s="965">
        <v>32996.199999999997</v>
      </c>
      <c r="E19" s="965">
        <v>4800</v>
      </c>
      <c r="F19" s="965">
        <v>3238</v>
      </c>
      <c r="G19" s="965">
        <v>52705.599999999999</v>
      </c>
      <c r="H19" s="953"/>
      <c r="I19" s="947"/>
      <c r="J19" s="951">
        <v>295700688</v>
      </c>
      <c r="K19" s="965">
        <v>156194.1</v>
      </c>
      <c r="L19" s="965">
        <v>123208.3</v>
      </c>
      <c r="M19" s="965">
        <v>32983.699999999997</v>
      </c>
      <c r="N19" s="965">
        <v>4800</v>
      </c>
      <c r="O19" s="965">
        <v>3357</v>
      </c>
      <c r="P19" s="965">
        <v>48693.3</v>
      </c>
    </row>
    <row r="20" spans="1:16" x14ac:dyDescent="0.25">
      <c r="A20" s="951">
        <v>295700689</v>
      </c>
      <c r="B20" s="965">
        <v>102196.5</v>
      </c>
      <c r="C20" s="965">
        <v>57774.2</v>
      </c>
      <c r="D20" s="965">
        <v>44419.9</v>
      </c>
      <c r="E20" s="965">
        <v>3999</v>
      </c>
      <c r="F20" s="965">
        <v>1921</v>
      </c>
      <c r="G20" s="965">
        <v>70122.7</v>
      </c>
      <c r="H20" s="953"/>
      <c r="I20" s="947"/>
      <c r="J20" s="951">
        <v>295700689</v>
      </c>
      <c r="K20" s="965">
        <v>102196.5</v>
      </c>
      <c r="L20" s="965">
        <v>58560.5</v>
      </c>
      <c r="M20" s="965">
        <v>43633.5</v>
      </c>
      <c r="N20" s="965">
        <v>3999</v>
      </c>
      <c r="O20" s="965">
        <v>1921</v>
      </c>
      <c r="P20" s="965">
        <v>70122.7</v>
      </c>
    </row>
    <row r="21" spans="1:16" x14ac:dyDescent="0.25">
      <c r="A21" s="951">
        <v>295700699</v>
      </c>
      <c r="B21" s="965">
        <v>224071.2</v>
      </c>
      <c r="C21" s="965">
        <v>200240.5</v>
      </c>
      <c r="D21" s="965">
        <v>23829.599999999999</v>
      </c>
      <c r="E21" s="965">
        <v>6399</v>
      </c>
      <c r="F21" s="965">
        <v>2256</v>
      </c>
      <c r="G21" s="965">
        <v>139723</v>
      </c>
      <c r="H21" s="953"/>
      <c r="I21" s="947"/>
      <c r="J21" s="951">
        <v>295700699</v>
      </c>
      <c r="K21" s="965">
        <v>224071.2</v>
      </c>
      <c r="L21" s="965">
        <v>202103.4</v>
      </c>
      <c r="M21" s="965">
        <v>21966.9</v>
      </c>
      <c r="N21" s="965">
        <v>6399</v>
      </c>
      <c r="O21" s="965">
        <v>2256</v>
      </c>
      <c r="P21" s="965">
        <v>139723</v>
      </c>
    </row>
    <row r="22" spans="1:16" x14ac:dyDescent="0.25">
      <c r="A22" s="951">
        <v>295700704</v>
      </c>
      <c r="B22" s="965">
        <v>224071.2</v>
      </c>
      <c r="C22" s="965">
        <v>168592.9</v>
      </c>
      <c r="D22" s="965">
        <v>55477.3</v>
      </c>
      <c r="E22" s="965">
        <v>6399</v>
      </c>
      <c r="F22" s="965">
        <v>2307</v>
      </c>
      <c r="G22" s="965">
        <v>138063</v>
      </c>
      <c r="H22" s="953"/>
      <c r="I22" s="947"/>
      <c r="J22" s="951">
        <v>295700704</v>
      </c>
      <c r="K22" s="965">
        <v>224071.2</v>
      </c>
      <c r="L22" s="965">
        <v>169276.7</v>
      </c>
      <c r="M22" s="965">
        <v>54793.5</v>
      </c>
      <c r="N22" s="965">
        <v>6399</v>
      </c>
      <c r="O22" s="965">
        <v>2383</v>
      </c>
      <c r="P22" s="965">
        <v>135501</v>
      </c>
    </row>
    <row r="23" spans="1:16" x14ac:dyDescent="0.25">
      <c r="A23" s="951">
        <v>295700706</v>
      </c>
      <c r="B23" s="949">
        <v>102196.5</v>
      </c>
      <c r="C23" s="949">
        <v>60004.5</v>
      </c>
      <c r="D23" s="949">
        <v>42189.599999999999</v>
      </c>
      <c r="E23" s="949">
        <v>3999</v>
      </c>
      <c r="F23" s="949">
        <v>1447</v>
      </c>
      <c r="G23" s="949">
        <v>86114.1</v>
      </c>
      <c r="H23" s="953"/>
      <c r="I23" s="947"/>
      <c r="J23" s="951">
        <v>295700706</v>
      </c>
      <c r="K23" s="949">
        <v>102196.5</v>
      </c>
      <c r="L23" s="949">
        <v>60806</v>
      </c>
      <c r="M23" s="949">
        <v>41388.1</v>
      </c>
      <c r="N23" s="949">
        <v>3999</v>
      </c>
      <c r="O23" s="949">
        <v>1447</v>
      </c>
      <c r="P23" s="949">
        <v>86114.1</v>
      </c>
    </row>
    <row r="24" spans="1:16" x14ac:dyDescent="0.25">
      <c r="A24" s="947"/>
      <c r="B24" s="947"/>
      <c r="C24" s="947"/>
      <c r="D24" s="947"/>
      <c r="E24" s="947"/>
      <c r="F24" s="947"/>
      <c r="G24" s="947"/>
      <c r="H24" s="947"/>
      <c r="I24" s="947"/>
      <c r="J24" s="947"/>
      <c r="K24" s="947"/>
      <c r="L24" s="947"/>
      <c r="M24" s="947"/>
      <c r="N24" s="947"/>
      <c r="O24" s="947"/>
      <c r="P24" s="947"/>
    </row>
    <row r="25" spans="1:16" x14ac:dyDescent="0.25">
      <c r="A25" s="948"/>
      <c r="B25" s="947"/>
      <c r="C25" s="947"/>
      <c r="D25" s="953"/>
      <c r="E25" s="953"/>
      <c r="F25" s="953"/>
      <c r="G25" s="953"/>
      <c r="H25" s="35" t="s">
        <v>2</v>
      </c>
      <c r="I25" s="947"/>
      <c r="J25" s="948"/>
      <c r="K25" s="947"/>
      <c r="L25" s="947"/>
      <c r="M25" s="953"/>
      <c r="N25" s="953"/>
      <c r="O25" s="953"/>
      <c r="P25" s="953"/>
    </row>
    <row r="26" spans="1:16" x14ac:dyDescent="0.25">
      <c r="A26" s="951" t="s">
        <v>254</v>
      </c>
      <c r="B26" s="949" t="s">
        <v>248</v>
      </c>
      <c r="C26" s="949" t="s">
        <v>249</v>
      </c>
      <c r="D26" s="952" t="s">
        <v>250</v>
      </c>
      <c r="E26" s="949" t="s">
        <v>251</v>
      </c>
      <c r="F26" s="952" t="s">
        <v>252</v>
      </c>
      <c r="G26" s="952" t="s">
        <v>253</v>
      </c>
      <c r="H26" s="947"/>
      <c r="I26" s="947"/>
      <c r="J26" s="951" t="s">
        <v>254</v>
      </c>
      <c r="K26" s="949" t="s">
        <v>248</v>
      </c>
      <c r="L26" s="949" t="s">
        <v>249</v>
      </c>
      <c r="M26" s="952" t="s">
        <v>250</v>
      </c>
      <c r="N26" s="949" t="s">
        <v>251</v>
      </c>
      <c r="O26" s="952" t="s">
        <v>252</v>
      </c>
      <c r="P26" s="952" t="s">
        <v>253</v>
      </c>
    </row>
    <row r="27" spans="1:16" x14ac:dyDescent="0.25">
      <c r="A27" s="951">
        <v>292600879</v>
      </c>
      <c r="B27" s="965">
        <v>193029.1</v>
      </c>
      <c r="C27" s="965">
        <v>111707.8</v>
      </c>
      <c r="D27" s="965">
        <v>81320.2</v>
      </c>
      <c r="E27" s="965">
        <v>5429</v>
      </c>
      <c r="F27" s="965">
        <v>1679</v>
      </c>
      <c r="G27" s="965">
        <v>139133</v>
      </c>
      <c r="H27" s="947"/>
      <c r="I27" s="947"/>
      <c r="J27" s="951">
        <v>292600879</v>
      </c>
      <c r="K27" s="965">
        <v>193029.1</v>
      </c>
      <c r="L27" s="965">
        <v>111887.8</v>
      </c>
      <c r="M27" s="965">
        <v>81140.100000000006</v>
      </c>
      <c r="N27" s="965">
        <v>5429</v>
      </c>
      <c r="O27" s="965">
        <v>1662</v>
      </c>
      <c r="P27" s="965">
        <v>139706</v>
      </c>
    </row>
    <row r="28" spans="1:16" s="743" customFormat="1" x14ac:dyDescent="0.25">
      <c r="A28" s="951">
        <v>292602231</v>
      </c>
      <c r="B28" s="965">
        <v>276130.40000000002</v>
      </c>
      <c r="C28" s="965">
        <v>90974.7</v>
      </c>
      <c r="D28" s="965">
        <v>185154.8</v>
      </c>
      <c r="E28" s="965">
        <v>8508</v>
      </c>
      <c r="F28" s="965">
        <v>4933</v>
      </c>
      <c r="G28" s="965">
        <v>92441.600000000006</v>
      </c>
      <c r="H28" s="947"/>
      <c r="I28" s="947"/>
      <c r="J28" s="951">
        <v>292602231</v>
      </c>
      <c r="K28" s="965">
        <v>276130.40000000002</v>
      </c>
      <c r="L28" s="965">
        <v>91202.9</v>
      </c>
      <c r="M28" s="965">
        <v>184926.8</v>
      </c>
      <c r="N28" s="965">
        <v>8508</v>
      </c>
      <c r="O28" s="965">
        <v>4933</v>
      </c>
      <c r="P28" s="965">
        <v>92441.600000000006</v>
      </c>
    </row>
    <row r="29" spans="1:16" x14ac:dyDescent="0.25">
      <c r="A29" s="951">
        <v>292602804</v>
      </c>
      <c r="B29" s="965">
        <v>83038.8</v>
      </c>
      <c r="C29" s="965">
        <v>22105.8</v>
      </c>
      <c r="D29" s="965">
        <v>60932.7</v>
      </c>
      <c r="E29" s="965">
        <v>4357</v>
      </c>
      <c r="F29" s="965">
        <v>878</v>
      </c>
      <c r="G29" s="965">
        <v>117345</v>
      </c>
      <c r="H29" s="947"/>
      <c r="I29" s="947"/>
      <c r="J29" s="951">
        <v>292602804</v>
      </c>
      <c r="K29" s="965">
        <v>83038.8</v>
      </c>
      <c r="L29" s="965">
        <v>22156.7</v>
      </c>
      <c r="M29" s="965">
        <v>60881.8</v>
      </c>
      <c r="N29" s="965">
        <v>4357</v>
      </c>
      <c r="O29" s="965">
        <v>878</v>
      </c>
      <c r="P29" s="965">
        <v>117345</v>
      </c>
    </row>
    <row r="30" spans="1:16" s="743" customFormat="1" x14ac:dyDescent="0.25">
      <c r="A30" s="951">
        <v>292603004</v>
      </c>
      <c r="B30" s="965">
        <v>438219.9</v>
      </c>
      <c r="C30" s="965">
        <v>221715.3</v>
      </c>
      <c r="D30" s="965">
        <v>216504.2</v>
      </c>
      <c r="E30" s="965">
        <v>14829</v>
      </c>
      <c r="F30" s="965">
        <v>1733</v>
      </c>
      <c r="G30" s="965">
        <v>441635</v>
      </c>
      <c r="H30" s="947"/>
      <c r="I30" s="947"/>
      <c r="J30" s="951">
        <v>292603004</v>
      </c>
      <c r="K30" s="965">
        <v>438219.9</v>
      </c>
      <c r="L30" s="965">
        <v>222403.1</v>
      </c>
      <c r="M30" s="965">
        <v>215816.2</v>
      </c>
      <c r="N30" s="965">
        <v>14829</v>
      </c>
      <c r="O30" s="965">
        <v>1733</v>
      </c>
      <c r="P30" s="965">
        <v>441635</v>
      </c>
    </row>
    <row r="31" spans="1:16" s="743" customFormat="1" x14ac:dyDescent="0.25">
      <c r="A31" s="951">
        <v>292603875</v>
      </c>
      <c r="B31" s="965">
        <v>83038.8</v>
      </c>
      <c r="C31" s="965">
        <v>55414.1</v>
      </c>
      <c r="D31" s="965">
        <v>27624.5</v>
      </c>
      <c r="E31" s="965">
        <v>4799</v>
      </c>
      <c r="F31" s="965">
        <v>2845</v>
      </c>
      <c r="G31" s="965">
        <v>65934.2</v>
      </c>
      <c r="H31" s="947"/>
      <c r="I31" s="947"/>
      <c r="J31" s="951">
        <v>292603875</v>
      </c>
      <c r="K31" s="965">
        <v>83038.8</v>
      </c>
      <c r="L31" s="965">
        <v>55445.5</v>
      </c>
      <c r="M31" s="965">
        <v>27593</v>
      </c>
      <c r="N31" s="965">
        <v>4799</v>
      </c>
      <c r="O31" s="965">
        <v>2882</v>
      </c>
      <c r="P31" s="965">
        <v>64686.7</v>
      </c>
    </row>
    <row r="32" spans="1:16" x14ac:dyDescent="0.25">
      <c r="A32" s="951">
        <v>292604652</v>
      </c>
      <c r="B32" s="965">
        <v>191618.2</v>
      </c>
      <c r="C32" s="965">
        <v>39758.800000000003</v>
      </c>
      <c r="D32" s="965">
        <v>151854.70000000001</v>
      </c>
      <c r="E32" s="965">
        <v>9395</v>
      </c>
      <c r="F32" s="965">
        <v>4759</v>
      </c>
      <c r="G32" s="965">
        <v>142414</v>
      </c>
      <c r="H32" s="947"/>
      <c r="I32" s="947"/>
      <c r="J32" s="951">
        <v>292604652</v>
      </c>
      <c r="K32" s="965">
        <v>191618.2</v>
      </c>
      <c r="L32" s="965">
        <v>40319</v>
      </c>
      <c r="M32" s="965">
        <v>151294.1</v>
      </c>
      <c r="N32" s="965">
        <v>9395</v>
      </c>
      <c r="O32" s="965">
        <v>4765</v>
      </c>
      <c r="P32" s="965">
        <v>142212</v>
      </c>
    </row>
    <row r="33" spans="1:16" x14ac:dyDescent="0.25">
      <c r="A33" s="951">
        <v>295700349</v>
      </c>
      <c r="B33" s="965">
        <v>262288.90000000002</v>
      </c>
      <c r="C33" s="965">
        <v>105246.1</v>
      </c>
      <c r="D33" s="965">
        <v>157041.20000000001</v>
      </c>
      <c r="E33" s="965">
        <v>10561</v>
      </c>
      <c r="F33" s="965">
        <v>1998</v>
      </c>
      <c r="G33" s="965">
        <v>288880</v>
      </c>
      <c r="H33" s="947"/>
      <c r="I33" s="947"/>
      <c r="J33" s="951">
        <v>295700349</v>
      </c>
      <c r="K33" s="965">
        <v>262288.90000000002</v>
      </c>
      <c r="L33" s="965">
        <v>105808</v>
      </c>
      <c r="M33" s="965">
        <v>156479.4</v>
      </c>
      <c r="N33" s="965">
        <v>10561</v>
      </c>
      <c r="O33" s="965">
        <v>1999</v>
      </c>
      <c r="P33" s="965">
        <v>288847</v>
      </c>
    </row>
    <row r="34" spans="1:16" x14ac:dyDescent="0.25">
      <c r="A34" s="951">
        <v>295700667</v>
      </c>
      <c r="B34" s="965">
        <v>102196.5</v>
      </c>
      <c r="C34" s="965">
        <v>86068.1</v>
      </c>
      <c r="D34" s="965">
        <v>16126.2</v>
      </c>
      <c r="E34" s="965">
        <v>3999</v>
      </c>
      <c r="F34" s="965">
        <v>2092</v>
      </c>
      <c r="G34" s="965">
        <v>64335</v>
      </c>
      <c r="H34" s="947"/>
      <c r="I34" s="947"/>
      <c r="J34" s="951">
        <v>295700667</v>
      </c>
      <c r="K34" s="965">
        <v>102196.5</v>
      </c>
      <c r="L34" s="965">
        <v>86079.2</v>
      </c>
      <c r="M34" s="965">
        <v>16114.9</v>
      </c>
      <c r="N34" s="965">
        <v>3999</v>
      </c>
      <c r="O34" s="965">
        <v>2092</v>
      </c>
      <c r="P34" s="965">
        <v>64335</v>
      </c>
    </row>
    <row r="35" spans="1:16" x14ac:dyDescent="0.25">
      <c r="A35" s="951">
        <v>295700709</v>
      </c>
      <c r="B35" s="965">
        <v>328695.2</v>
      </c>
      <c r="C35" s="965">
        <v>186464</v>
      </c>
      <c r="D35" s="965">
        <v>142227.6</v>
      </c>
      <c r="E35" s="965">
        <v>11649</v>
      </c>
      <c r="F35" s="965">
        <v>4632</v>
      </c>
      <c r="G35" s="965">
        <v>236737</v>
      </c>
      <c r="H35" s="947"/>
      <c r="I35" s="947"/>
      <c r="J35" s="951">
        <v>295700709</v>
      </c>
      <c r="K35" s="965">
        <v>328695.2</v>
      </c>
      <c r="L35" s="965">
        <v>187062.7</v>
      </c>
      <c r="M35" s="965">
        <v>141628.9</v>
      </c>
      <c r="N35" s="965">
        <v>11649</v>
      </c>
      <c r="O35" s="965">
        <v>4677</v>
      </c>
      <c r="P35" s="965">
        <v>235220</v>
      </c>
    </row>
    <row r="36" spans="1:16" x14ac:dyDescent="0.25">
      <c r="A36" s="951">
        <v>295700710</v>
      </c>
      <c r="B36" s="965">
        <v>209496.5</v>
      </c>
      <c r="C36" s="965">
        <v>121529.2</v>
      </c>
      <c r="D36" s="965">
        <v>87961.7</v>
      </c>
      <c r="E36" s="965">
        <v>7999</v>
      </c>
      <c r="F36" s="965">
        <v>5298</v>
      </c>
      <c r="G36" s="965">
        <v>70088.899999999994</v>
      </c>
      <c r="H36" s="947"/>
      <c r="I36" s="947"/>
      <c r="J36" s="951">
        <v>295700710</v>
      </c>
      <c r="K36" s="965">
        <v>209496.5</v>
      </c>
      <c r="L36" s="965">
        <v>123105.9</v>
      </c>
      <c r="M36" s="965">
        <v>86385.1</v>
      </c>
      <c r="N36" s="965">
        <v>7999</v>
      </c>
      <c r="O36" s="965">
        <v>5298</v>
      </c>
      <c r="P36" s="965">
        <v>70088.899999999994</v>
      </c>
    </row>
    <row r="37" spans="1:16" x14ac:dyDescent="0.25">
      <c r="A37" s="951">
        <v>295700712</v>
      </c>
      <c r="B37" s="965">
        <v>209496.5</v>
      </c>
      <c r="C37" s="965">
        <v>132547.1</v>
      </c>
      <c r="D37" s="965">
        <v>76943.899999999994</v>
      </c>
      <c r="E37" s="965">
        <v>7999</v>
      </c>
      <c r="F37" s="965">
        <v>4088</v>
      </c>
      <c r="G37" s="965">
        <v>82434.8</v>
      </c>
      <c r="H37" s="953"/>
      <c r="I37" s="947"/>
      <c r="J37" s="951">
        <v>295700712</v>
      </c>
      <c r="K37" s="965">
        <v>209496.5</v>
      </c>
      <c r="L37" s="965">
        <v>133835.6</v>
      </c>
      <c r="M37" s="965">
        <v>75655.399999999994</v>
      </c>
      <c r="N37" s="965">
        <v>7999</v>
      </c>
      <c r="O37" s="965">
        <v>4088</v>
      </c>
      <c r="P37" s="965">
        <v>82434.8</v>
      </c>
    </row>
    <row r="38" spans="1:16" x14ac:dyDescent="0.25">
      <c r="A38" s="951">
        <v>295700713</v>
      </c>
      <c r="B38" s="965">
        <v>190871.2</v>
      </c>
      <c r="C38" s="965">
        <v>190870</v>
      </c>
      <c r="D38" s="965">
        <v>4.9000000000000004</v>
      </c>
      <c r="E38" s="965">
        <v>6400</v>
      </c>
      <c r="F38" s="965">
        <v>6400</v>
      </c>
      <c r="G38" s="965">
        <v>0</v>
      </c>
      <c r="H38" s="953"/>
      <c r="I38" s="947"/>
      <c r="J38" s="951">
        <v>295700713</v>
      </c>
      <c r="K38" s="965">
        <v>190871.2</v>
      </c>
      <c r="L38" s="965">
        <v>190870</v>
      </c>
      <c r="M38" s="965">
        <v>4.9000000000000004</v>
      </c>
      <c r="N38" s="965">
        <v>6400</v>
      </c>
      <c r="O38" s="965">
        <v>6400</v>
      </c>
      <c r="P38" s="965">
        <v>0</v>
      </c>
    </row>
    <row r="39" spans="1:16" x14ac:dyDescent="0.25">
      <c r="A39" s="947"/>
      <c r="B39" s="950"/>
      <c r="C39" s="950"/>
      <c r="D39" s="950"/>
      <c r="E39" s="950"/>
      <c r="F39" s="950"/>
      <c r="G39" s="950"/>
      <c r="H39" s="947"/>
      <c r="I39" s="947"/>
      <c r="J39" s="947"/>
      <c r="K39" s="950"/>
      <c r="L39" s="950"/>
      <c r="M39" s="950"/>
      <c r="N39" s="950"/>
      <c r="O39" s="950"/>
      <c r="P39" s="950"/>
    </row>
    <row r="40" spans="1:16" x14ac:dyDescent="0.25">
      <c r="A40" s="948"/>
      <c r="B40" s="947"/>
      <c r="C40" s="947"/>
      <c r="D40" s="953"/>
      <c r="E40" s="953"/>
      <c r="F40" s="953"/>
      <c r="G40" s="953"/>
      <c r="H40" s="35" t="s">
        <v>183</v>
      </c>
      <c r="I40" s="947"/>
      <c r="J40" s="948"/>
      <c r="K40" s="947"/>
      <c r="L40" s="947"/>
      <c r="M40" s="953"/>
      <c r="N40" s="953"/>
      <c r="O40" s="953"/>
      <c r="P40" s="953"/>
    </row>
    <row r="41" spans="1:16" x14ac:dyDescent="0.25">
      <c r="A41" s="954" t="s">
        <v>254</v>
      </c>
      <c r="B41" s="954" t="s">
        <v>248</v>
      </c>
      <c r="C41" s="954" t="s">
        <v>249</v>
      </c>
      <c r="D41" s="955" t="s">
        <v>250</v>
      </c>
      <c r="E41" s="954" t="s">
        <v>251</v>
      </c>
      <c r="F41" s="955" t="s">
        <v>252</v>
      </c>
      <c r="G41" s="955" t="s">
        <v>253</v>
      </c>
      <c r="H41" s="947"/>
      <c r="I41" s="947"/>
      <c r="J41" s="954" t="s">
        <v>254</v>
      </c>
      <c r="K41" s="954" t="s">
        <v>248</v>
      </c>
      <c r="L41" s="954" t="s">
        <v>249</v>
      </c>
      <c r="M41" s="955" t="s">
        <v>250</v>
      </c>
      <c r="N41" s="954" t="s">
        <v>251</v>
      </c>
      <c r="O41" s="955" t="s">
        <v>252</v>
      </c>
      <c r="P41" s="955" t="s">
        <v>253</v>
      </c>
    </row>
    <row r="42" spans="1:16" x14ac:dyDescent="0.25">
      <c r="A42" s="965">
        <v>492600377</v>
      </c>
      <c r="B42" s="965">
        <v>33090.5</v>
      </c>
      <c r="C42" s="965">
        <v>18801.7</v>
      </c>
      <c r="D42" s="965">
        <v>14288.8</v>
      </c>
      <c r="E42" s="965">
        <v>1570</v>
      </c>
      <c r="F42" s="965">
        <v>299</v>
      </c>
      <c r="G42" s="965">
        <v>42854.1</v>
      </c>
      <c r="H42" s="947"/>
      <c r="I42" s="947"/>
      <c r="J42" s="965">
        <v>492600377</v>
      </c>
      <c r="K42" s="965">
        <v>33090.5</v>
      </c>
      <c r="L42" s="965">
        <v>18801.7</v>
      </c>
      <c r="M42" s="965">
        <v>14288.8</v>
      </c>
      <c r="N42" s="965">
        <v>1570</v>
      </c>
      <c r="O42" s="965">
        <v>299</v>
      </c>
      <c r="P42" s="965">
        <v>42854.1</v>
      </c>
    </row>
    <row r="43" spans="1:16" x14ac:dyDescent="0.25">
      <c r="A43" s="965">
        <v>298701383</v>
      </c>
      <c r="B43" s="965">
        <v>59723.7</v>
      </c>
      <c r="C43" s="965">
        <v>19227.8</v>
      </c>
      <c r="D43" s="965">
        <v>40495.1</v>
      </c>
      <c r="E43" s="965">
        <v>2479</v>
      </c>
      <c r="F43" s="965">
        <v>662</v>
      </c>
      <c r="G43" s="966">
        <v>61297.2</v>
      </c>
      <c r="H43" s="947"/>
      <c r="I43" s="947"/>
      <c r="J43" s="965">
        <v>298701383</v>
      </c>
      <c r="K43" s="965">
        <v>59723.7</v>
      </c>
      <c r="L43" s="965">
        <v>19227.8</v>
      </c>
      <c r="M43" s="965">
        <v>40495.1</v>
      </c>
      <c r="N43" s="965">
        <v>2479</v>
      </c>
      <c r="O43" s="965">
        <v>662</v>
      </c>
      <c r="P43" s="966">
        <v>61297.2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C1416"/>
  <sheetViews>
    <sheetView zoomScaleNormal="100" workbookViewId="0">
      <selection activeCell="A29" sqref="A29:C29"/>
    </sheetView>
  </sheetViews>
  <sheetFormatPr defaultRowHeight="15" x14ac:dyDescent="0.25"/>
  <cols>
    <col min="2" max="2" width="23.140625" bestFit="1" customWidth="1"/>
    <col min="3" max="3" width="8.5703125" style="55" customWidth="1"/>
    <col min="4" max="4" width="9.140625" style="55" customWidth="1"/>
    <col min="5" max="5" width="12.140625" style="55" customWidth="1"/>
    <col min="6" max="8" width="9.140625" style="55" customWidth="1"/>
    <col min="9" max="9" width="10" style="11" customWidth="1"/>
    <col min="10" max="10" width="9" style="61" customWidth="1"/>
    <col min="11" max="11" width="9.42578125" style="61" customWidth="1"/>
    <col min="12" max="12" width="8.5703125" style="55" customWidth="1"/>
    <col min="13" max="13" width="9.140625" style="55" customWidth="1"/>
    <col min="14" max="14" width="9.140625" customWidth="1"/>
    <col min="15" max="15" width="8.5703125" customWidth="1"/>
    <col min="16" max="16" width="8.5703125" style="267" customWidth="1"/>
    <col min="17" max="17" width="7.85546875" style="267" customWidth="1"/>
    <col min="18" max="18" width="9" style="12" customWidth="1"/>
    <col min="19" max="19" width="8.5703125" style="70" bestFit="1" customWidth="1"/>
    <col min="20" max="20" width="8.42578125" style="70" customWidth="1"/>
    <col min="21" max="21" width="8.140625" style="70" bestFit="1" customWidth="1"/>
    <col min="22" max="22" width="8.42578125" style="70" customWidth="1"/>
    <col min="23" max="23" width="9.5703125" style="70" customWidth="1"/>
    <col min="24" max="24" width="13.140625" style="70" customWidth="1"/>
    <col min="25" max="25" width="12.5703125" style="70" customWidth="1"/>
    <col min="26" max="26" width="11.7109375" style="70" customWidth="1"/>
    <col min="27" max="27" width="17.5703125" style="55" bestFit="1" customWidth="1"/>
    <col min="28" max="28" width="12" style="55" customWidth="1"/>
    <col min="29" max="29" width="13.42578125" customWidth="1"/>
    <col min="30" max="35" width="13.42578125" style="743" customWidth="1"/>
    <col min="36" max="36" width="12.85546875" bestFit="1" customWidth="1"/>
    <col min="37" max="37" width="23.140625" bestFit="1" customWidth="1"/>
    <col min="38" max="38" width="12.85546875" bestFit="1" customWidth="1"/>
    <col min="39" max="39" width="12.7109375" bestFit="1" customWidth="1"/>
    <col min="40" max="40" width="12.7109375" style="743" customWidth="1"/>
    <col min="41" max="41" width="13.85546875" style="743" bestFit="1" customWidth="1"/>
    <col min="42" max="42" width="13.85546875" bestFit="1" customWidth="1"/>
    <col min="43" max="43" width="12.7109375" bestFit="1" customWidth="1"/>
    <col min="44" max="45" width="13.85546875" bestFit="1" customWidth="1"/>
    <col min="46" max="46" width="14.140625" customWidth="1"/>
    <col min="47" max="47" width="18.42578125" bestFit="1" customWidth="1"/>
  </cols>
  <sheetData>
    <row r="1" spans="1:55" s="591" customFormat="1" x14ac:dyDescent="0.25">
      <c r="A1" s="1041">
        <v>41977</v>
      </c>
      <c r="B1" s="1041"/>
      <c r="C1" s="1041"/>
      <c r="D1" s="529"/>
      <c r="E1" s="529"/>
      <c r="F1" s="529"/>
      <c r="G1" s="529"/>
      <c r="H1" s="529"/>
      <c r="I1" s="525"/>
      <c r="J1" s="531"/>
      <c r="K1" s="531"/>
      <c r="L1" s="529"/>
      <c r="M1" s="529"/>
      <c r="N1" s="527"/>
      <c r="R1" s="526"/>
      <c r="S1" s="534"/>
      <c r="T1" s="534"/>
      <c r="U1" s="534"/>
      <c r="V1" s="534"/>
      <c r="W1" s="534"/>
      <c r="X1" s="534"/>
      <c r="Y1" s="534"/>
      <c r="Z1" s="534"/>
      <c r="AA1" s="534"/>
      <c r="AB1" s="534"/>
      <c r="AC1" s="534"/>
      <c r="AD1" s="534"/>
      <c r="AE1" s="534"/>
      <c r="AF1" s="534"/>
      <c r="AG1" s="534"/>
      <c r="AH1" s="534"/>
      <c r="AI1" s="534"/>
      <c r="AJ1" s="534"/>
      <c r="AK1" s="534"/>
      <c r="AL1" s="534"/>
      <c r="AM1" s="534"/>
      <c r="AN1" s="534"/>
      <c r="AO1" s="534"/>
    </row>
    <row r="2" spans="1:55" s="591" customFormat="1" x14ac:dyDescent="0.25">
      <c r="A2" s="1042" t="s">
        <v>1</v>
      </c>
      <c r="B2" s="1042"/>
      <c r="C2" s="828" t="s">
        <v>12</v>
      </c>
      <c r="D2" s="828" t="s">
        <v>12</v>
      </c>
      <c r="E2" s="828" t="s">
        <v>13</v>
      </c>
      <c r="F2" s="828" t="s">
        <v>13</v>
      </c>
      <c r="G2" s="828" t="s">
        <v>13</v>
      </c>
      <c r="H2" s="828" t="s">
        <v>13</v>
      </c>
      <c r="I2" s="828" t="s">
        <v>13</v>
      </c>
      <c r="J2" s="828" t="s">
        <v>13</v>
      </c>
      <c r="K2" s="828" t="s">
        <v>13</v>
      </c>
      <c r="L2" s="828" t="s">
        <v>13</v>
      </c>
      <c r="M2" s="829" t="s">
        <v>2</v>
      </c>
      <c r="N2" s="828" t="s">
        <v>2</v>
      </c>
      <c r="O2" s="828" t="s">
        <v>2</v>
      </c>
      <c r="P2" s="828" t="s">
        <v>2</v>
      </c>
      <c r="Q2" s="828" t="s">
        <v>2</v>
      </c>
      <c r="R2" s="828" t="s">
        <v>2</v>
      </c>
      <c r="S2" s="828" t="s">
        <v>308</v>
      </c>
      <c r="T2" s="830" t="s">
        <v>183</v>
      </c>
      <c r="U2" s="830" t="s">
        <v>183</v>
      </c>
      <c r="V2" s="830" t="s">
        <v>2</v>
      </c>
      <c r="W2" s="830" t="s">
        <v>13</v>
      </c>
      <c r="X2" s="830" t="s">
        <v>13</v>
      </c>
      <c r="Y2" s="830" t="s">
        <v>2</v>
      </c>
      <c r="Z2" s="830" t="s">
        <v>13</v>
      </c>
      <c r="AA2" s="830" t="s">
        <v>2</v>
      </c>
      <c r="AB2" s="888" t="s">
        <v>2</v>
      </c>
      <c r="AC2" s="888" t="s">
        <v>2</v>
      </c>
      <c r="AD2" s="888" t="s">
        <v>13</v>
      </c>
      <c r="AE2" s="888" t="s">
        <v>12</v>
      </c>
      <c r="AF2" s="888" t="s">
        <v>13</v>
      </c>
      <c r="AG2" s="888" t="s">
        <v>12</v>
      </c>
      <c r="AH2" s="888" t="s">
        <v>13</v>
      </c>
      <c r="AI2" s="888" t="s">
        <v>13</v>
      </c>
      <c r="AJ2" s="831" t="s">
        <v>219</v>
      </c>
      <c r="AK2" s="1042" t="s">
        <v>0</v>
      </c>
      <c r="AL2" s="1042"/>
      <c r="AM2" s="833"/>
      <c r="AN2" s="833"/>
      <c r="AO2" s="833"/>
      <c r="AP2" s="833"/>
      <c r="AQ2" s="833"/>
      <c r="AR2" s="833"/>
      <c r="AS2" s="833"/>
      <c r="AT2" s="833"/>
      <c r="AU2" s="803"/>
      <c r="AV2" s="803"/>
      <c r="AW2" s="1042" t="s">
        <v>1</v>
      </c>
      <c r="AX2" s="1043"/>
      <c r="AY2" s="828" t="s">
        <v>12</v>
      </c>
      <c r="AZ2" s="1044" t="s">
        <v>13</v>
      </c>
      <c r="BA2" s="1045"/>
      <c r="BB2" s="1044" t="s">
        <v>2</v>
      </c>
      <c r="BC2" s="1045"/>
    </row>
    <row r="3" spans="1:55" s="591" customFormat="1" x14ac:dyDescent="0.25">
      <c r="A3" s="1042" t="s">
        <v>0</v>
      </c>
      <c r="B3" s="1042"/>
      <c r="C3" s="834" t="s">
        <v>99</v>
      </c>
      <c r="D3" s="835" t="s">
        <v>100</v>
      </c>
      <c r="E3" s="835" t="s">
        <v>101</v>
      </c>
      <c r="F3" s="834" t="s">
        <v>102</v>
      </c>
      <c r="G3" s="835" t="s">
        <v>97</v>
      </c>
      <c r="H3" s="834" t="s">
        <v>104</v>
      </c>
      <c r="I3" s="835" t="s">
        <v>103</v>
      </c>
      <c r="J3" s="835" t="s">
        <v>178</v>
      </c>
      <c r="K3" s="835" t="s">
        <v>199</v>
      </c>
      <c r="L3" s="834" t="s">
        <v>206</v>
      </c>
      <c r="M3" s="834" t="s">
        <v>105</v>
      </c>
      <c r="N3" s="834" t="s">
        <v>107</v>
      </c>
      <c r="O3" s="835" t="s">
        <v>98</v>
      </c>
      <c r="P3" s="835" t="s">
        <v>106</v>
      </c>
      <c r="Q3" s="835" t="s">
        <v>179</v>
      </c>
      <c r="R3" s="835" t="s">
        <v>198</v>
      </c>
      <c r="S3" s="834" t="s">
        <v>207</v>
      </c>
      <c r="T3" s="834" t="s">
        <v>307</v>
      </c>
      <c r="U3" s="834" t="s">
        <v>184</v>
      </c>
      <c r="V3" s="835" t="s">
        <v>221</v>
      </c>
      <c r="W3" s="835" t="s">
        <v>222</v>
      </c>
      <c r="X3" s="835" t="s">
        <v>255</v>
      </c>
      <c r="Y3" s="835" t="s">
        <v>256</v>
      </c>
      <c r="Z3" s="835" t="s">
        <v>266</v>
      </c>
      <c r="AA3" s="835" t="s">
        <v>267</v>
      </c>
      <c r="AB3" s="889" t="s">
        <v>268</v>
      </c>
      <c r="AC3" s="889" t="s">
        <v>269</v>
      </c>
      <c r="AD3" s="889" t="s">
        <v>295</v>
      </c>
      <c r="AE3" s="889" t="s">
        <v>290</v>
      </c>
      <c r="AF3" s="946" t="s">
        <v>291</v>
      </c>
      <c r="AG3" s="946" t="s">
        <v>292</v>
      </c>
      <c r="AH3" s="889" t="s">
        <v>293</v>
      </c>
      <c r="AI3" s="889" t="s">
        <v>294</v>
      </c>
      <c r="AJ3" s="836"/>
      <c r="AK3" s="903" t="s">
        <v>1</v>
      </c>
      <c r="AL3" s="838" t="s">
        <v>257</v>
      </c>
      <c r="AM3" s="838" t="s">
        <v>258</v>
      </c>
      <c r="AN3" s="838" t="s">
        <v>259</v>
      </c>
      <c r="AO3" s="838" t="s">
        <v>260</v>
      </c>
      <c r="AP3" s="838" t="s">
        <v>261</v>
      </c>
      <c r="AQ3" s="838" t="s">
        <v>262</v>
      </c>
      <c r="AR3" s="838" t="s">
        <v>263</v>
      </c>
      <c r="AS3" s="904" t="s">
        <v>264</v>
      </c>
      <c r="AT3" s="904" t="s">
        <v>265</v>
      </c>
      <c r="AU3" s="988" t="s">
        <v>306</v>
      </c>
      <c r="AV3" s="988"/>
      <c r="AW3" s="1046" t="s">
        <v>0</v>
      </c>
      <c r="AX3" s="1043"/>
      <c r="AY3" s="834" t="s">
        <v>99</v>
      </c>
      <c r="AZ3" s="834" t="s">
        <v>104</v>
      </c>
      <c r="BA3" s="834" t="s">
        <v>206</v>
      </c>
      <c r="BB3" s="834" t="s">
        <v>107</v>
      </c>
      <c r="BC3" s="834" t="s">
        <v>207</v>
      </c>
    </row>
    <row r="4" spans="1:55" s="591" customFormat="1" ht="30" x14ac:dyDescent="0.25">
      <c r="A4" s="1047" t="s">
        <v>9</v>
      </c>
      <c r="B4" s="839" t="s">
        <v>4</v>
      </c>
      <c r="C4" s="840">
        <f>Source!B2</f>
        <v>250018.4</v>
      </c>
      <c r="D4" s="840">
        <f>Source!B3</f>
        <v>150516.70000000001</v>
      </c>
      <c r="E4" s="840">
        <f>Source!B9</f>
        <v>150516.70000000001</v>
      </c>
      <c r="F4" s="840">
        <f>Source!B10</f>
        <v>181998.8</v>
      </c>
      <c r="G4" s="840">
        <f>Source!B13</f>
        <v>165765.70000000001</v>
      </c>
      <c r="H4" s="840">
        <f>Source!B12</f>
        <v>389505</v>
      </c>
      <c r="I4" s="840">
        <f>Source!B11</f>
        <v>171975.5</v>
      </c>
      <c r="J4" s="840">
        <f>Source!B14</f>
        <v>166078</v>
      </c>
      <c r="K4" s="840">
        <f>Source!B15</f>
        <v>124019.2</v>
      </c>
      <c r="L4" s="840">
        <f>Source!B16</f>
        <v>224071.2</v>
      </c>
      <c r="M4" s="840">
        <f>Source!B27</f>
        <v>193029.1</v>
      </c>
      <c r="N4" s="840">
        <f>Source!B30</f>
        <v>438219.9</v>
      </c>
      <c r="O4" s="840">
        <f>Source!B29</f>
        <v>83038.8</v>
      </c>
      <c r="P4" s="840">
        <f>Source!B28</f>
        <v>276130.40000000002</v>
      </c>
      <c r="Q4" s="840">
        <f>Source!B31</f>
        <v>83038.8</v>
      </c>
      <c r="R4" s="840">
        <f>Source!B32</f>
        <v>191618.2</v>
      </c>
      <c r="S4" s="840">
        <f>Source!B33</f>
        <v>262288.90000000002</v>
      </c>
      <c r="T4" s="840">
        <f>Source!B43</f>
        <v>59723.7</v>
      </c>
      <c r="U4" s="840">
        <f>Source!B42</f>
        <v>33090.5</v>
      </c>
      <c r="V4" s="840">
        <f>Source!B34</f>
        <v>102196.5</v>
      </c>
      <c r="W4" s="840">
        <f>Source!B18</f>
        <v>209496.5</v>
      </c>
      <c r="X4" s="840">
        <f>Source!B20</f>
        <v>102196.5</v>
      </c>
      <c r="Y4" s="840">
        <f>Source!B36</f>
        <v>209496.5</v>
      </c>
      <c r="Z4" s="840">
        <f>Source!B23</f>
        <v>102196.5</v>
      </c>
      <c r="AA4" s="840">
        <f>Source!B37</f>
        <v>209496.5</v>
      </c>
      <c r="AB4" s="840">
        <f>Source!B35</f>
        <v>328695.2</v>
      </c>
      <c r="AC4" s="901">
        <f>Source!B38</f>
        <v>190871.2</v>
      </c>
      <c r="AD4" s="901">
        <f>Source!B22</f>
        <v>224071.2</v>
      </c>
      <c r="AE4" s="901">
        <f>Source!B4</f>
        <v>224071.2</v>
      </c>
      <c r="AF4" s="901">
        <f>Source!B19</f>
        <v>156194.1</v>
      </c>
      <c r="AG4" s="901">
        <f>Source!B5</f>
        <v>156194.1</v>
      </c>
      <c r="AH4" s="901">
        <f>Source!B21</f>
        <v>224071.2</v>
      </c>
      <c r="AI4" s="901">
        <f>Source!B17</f>
        <v>190871.2</v>
      </c>
      <c r="AJ4" s="840">
        <f>SUM(C4:AI4)</f>
        <v>6224761.9000000004</v>
      </c>
      <c r="AK4" s="841" t="s">
        <v>4</v>
      </c>
      <c r="AL4" s="863">
        <f>C4+AE4</f>
        <v>474089.6</v>
      </c>
      <c r="AM4" s="863">
        <f>D4+AG4</f>
        <v>306710.80000000005</v>
      </c>
      <c r="AN4" s="863">
        <f>F4+H4+L4+AD4+AH4+AI4</f>
        <v>1434588.5999999999</v>
      </c>
      <c r="AO4" s="863">
        <f>E4+G4+I4+J4+K4+W4+X4+Z4+AF4</f>
        <v>1348438.7000000002</v>
      </c>
      <c r="AP4" s="863">
        <f>M4+N4+S4+AB4+AC4</f>
        <v>1413104.3</v>
      </c>
      <c r="AQ4" s="863">
        <f>O4+P4+Q4+R4+V4+Y4+AA4</f>
        <v>1155015.7</v>
      </c>
      <c r="AR4" s="863">
        <f>T4+U4</f>
        <v>92814.2</v>
      </c>
      <c r="AS4" s="863">
        <f>AM4+AO4+AQ4</f>
        <v>2810165.2</v>
      </c>
      <c r="AT4" s="863">
        <f>AL4+AN4+AP4+AR4</f>
        <v>3414596.7</v>
      </c>
      <c r="AU4" s="863">
        <f>SUM(AS4:AT4)</f>
        <v>6224761.9000000004</v>
      </c>
      <c r="AV4" s="989"/>
      <c r="AW4" s="875" t="s">
        <v>194</v>
      </c>
      <c r="AX4" s="872" t="s">
        <v>4</v>
      </c>
      <c r="AY4" s="840">
        <v>143393</v>
      </c>
      <c r="AZ4" s="840">
        <v>132132</v>
      </c>
      <c r="BA4" s="840">
        <v>83196.100000000006</v>
      </c>
      <c r="BB4" s="840">
        <v>132132.20000000001</v>
      </c>
      <c r="BC4" s="840">
        <v>83196.100000000006</v>
      </c>
    </row>
    <row r="5" spans="1:55" s="591" customFormat="1" x14ac:dyDescent="0.25">
      <c r="A5" s="1047"/>
      <c r="B5" s="844" t="s">
        <v>5</v>
      </c>
      <c r="C5" s="583">
        <f>Source!D2</f>
        <v>54338.400000000001</v>
      </c>
      <c r="D5" s="583">
        <f>Source!D3</f>
        <v>87105.2</v>
      </c>
      <c r="E5" s="583">
        <f>Source!D9</f>
        <v>86852.6</v>
      </c>
      <c r="F5" s="583">
        <f>Source!D10</f>
        <v>102679.2</v>
      </c>
      <c r="G5" s="583">
        <f>Source!D13</f>
        <v>120718.8</v>
      </c>
      <c r="H5" s="583">
        <f>Source!D12</f>
        <v>211547.4</v>
      </c>
      <c r="I5" s="583">
        <f>Source!D11</f>
        <v>98346.3</v>
      </c>
      <c r="J5" s="583">
        <f>Source!D14</f>
        <v>53474.400000000001</v>
      </c>
      <c r="K5" s="583">
        <f>Source!D15</f>
        <v>101353.3</v>
      </c>
      <c r="L5" s="583">
        <f>Source!D16</f>
        <v>101389.3</v>
      </c>
      <c r="M5" s="583">
        <f>Source!D27</f>
        <v>81320.2</v>
      </c>
      <c r="N5" s="583">
        <f>Source!D30</f>
        <v>216504.2</v>
      </c>
      <c r="O5" s="583">
        <f>Source!D29</f>
        <v>60932.7</v>
      </c>
      <c r="P5" s="583">
        <f>Source!D28</f>
        <v>185154.8</v>
      </c>
      <c r="Q5" s="583">
        <f>Source!D31</f>
        <v>27624.5</v>
      </c>
      <c r="R5" s="583">
        <f>Source!D32</f>
        <v>151854.70000000001</v>
      </c>
      <c r="S5" s="583">
        <f>Source!D33</f>
        <v>157041.20000000001</v>
      </c>
      <c r="T5" s="583">
        <f>Source!D43</f>
        <v>40495.1</v>
      </c>
      <c r="U5" s="583">
        <f>Source!D42</f>
        <v>14288.8</v>
      </c>
      <c r="V5" s="583">
        <f>Source!D34</f>
        <v>16126.2</v>
      </c>
      <c r="W5" s="583">
        <f>Source!D18</f>
        <v>32240.400000000001</v>
      </c>
      <c r="X5" s="583">
        <f>Source!D20</f>
        <v>44419.9</v>
      </c>
      <c r="Y5" s="583">
        <f>Source!D36</f>
        <v>87961.7</v>
      </c>
      <c r="Z5" s="583">
        <f>Source!D23</f>
        <v>42189.599999999999</v>
      </c>
      <c r="AA5" s="583">
        <f>Source!D37</f>
        <v>76943.899999999994</v>
      </c>
      <c r="AB5" s="583">
        <f>Source!D35</f>
        <v>142227.6</v>
      </c>
      <c r="AC5" s="583">
        <f>Source!D38</f>
        <v>4.9000000000000004</v>
      </c>
      <c r="AD5" s="583">
        <f>Source!D22</f>
        <v>55477.3</v>
      </c>
      <c r="AE5" s="583">
        <f>Source!D4</f>
        <v>81921.3</v>
      </c>
      <c r="AF5" s="583">
        <f>Source!D19</f>
        <v>32996.199999999997</v>
      </c>
      <c r="AG5" s="583">
        <f>Source!D5</f>
        <v>32968.9</v>
      </c>
      <c r="AH5" s="583">
        <f>Source!D21</f>
        <v>23829.599999999999</v>
      </c>
      <c r="AI5" s="583">
        <f>Source!D17</f>
        <v>4.9000000000000004</v>
      </c>
      <c r="AJ5" s="845">
        <f>SUM(C5:AI5)</f>
        <v>2622333.4999999995</v>
      </c>
      <c r="AK5" s="846" t="s">
        <v>5</v>
      </c>
      <c r="AL5" s="863">
        <f>C5+AE5</f>
        <v>136259.70000000001</v>
      </c>
      <c r="AM5" s="863">
        <f>D5+AG5</f>
        <v>120074.1</v>
      </c>
      <c r="AN5" s="863">
        <f>H5+F5+L5+AD5+AH5+AI5</f>
        <v>494927.69999999995</v>
      </c>
      <c r="AO5" s="863">
        <f>E5+G5+I5+J5+K5+W5+X5+Z5+AF5</f>
        <v>612591.5</v>
      </c>
      <c r="AP5" s="863">
        <f>M5+N5+S5+AB5+AC5</f>
        <v>597098.10000000009</v>
      </c>
      <c r="AQ5" s="863">
        <f>O5+P5+Q5+R5+V5+Y5+AA5</f>
        <v>606598.5</v>
      </c>
      <c r="AR5" s="863">
        <f>T5+U5</f>
        <v>54783.899999999994</v>
      </c>
      <c r="AS5" s="863">
        <f>AM5+AO5+AQ5</f>
        <v>1339264.1000000001</v>
      </c>
      <c r="AT5" s="863">
        <f>AL5+AN5+AP5+AR5</f>
        <v>1283069.3999999999</v>
      </c>
      <c r="AU5" s="863">
        <f>SUM(AS5:AT5)</f>
        <v>2622333.5</v>
      </c>
      <c r="AV5" s="990"/>
      <c r="AW5" s="876"/>
      <c r="AX5" s="873" t="s">
        <v>5</v>
      </c>
      <c r="AY5" s="583">
        <v>51964.9</v>
      </c>
      <c r="AZ5" s="583">
        <v>58542</v>
      </c>
      <c r="BA5" s="583">
        <v>2519</v>
      </c>
      <c r="BB5" s="583">
        <v>70731</v>
      </c>
      <c r="BC5" s="583">
        <v>31444.9</v>
      </c>
    </row>
    <row r="6" spans="1:55" s="591" customFormat="1" x14ac:dyDescent="0.25">
      <c r="A6" s="1047"/>
      <c r="B6" s="848" t="s">
        <v>3</v>
      </c>
      <c r="C6" s="866">
        <f t="shared" ref="C6:L6" si="0">C5/C4</f>
        <v>0.21733760395234911</v>
      </c>
      <c r="D6" s="866">
        <f t="shared" si="0"/>
        <v>0.57870787759763531</v>
      </c>
      <c r="E6" s="866">
        <f t="shared" si="0"/>
        <v>0.57702965850300991</v>
      </c>
      <c r="F6" s="866">
        <f t="shared" si="0"/>
        <v>0.56417514840757199</v>
      </c>
      <c r="G6" s="866">
        <f t="shared" si="0"/>
        <v>0.72824957153379732</v>
      </c>
      <c r="H6" s="866">
        <f t="shared" si="0"/>
        <v>0.54311857357415183</v>
      </c>
      <c r="I6" s="866">
        <f t="shared" si="0"/>
        <v>0.57186227107931076</v>
      </c>
      <c r="J6" s="866">
        <f t="shared" si="0"/>
        <v>0.32198364623851444</v>
      </c>
      <c r="K6" s="866">
        <f t="shared" si="0"/>
        <v>0.81723878238208281</v>
      </c>
      <c r="L6" s="866">
        <f t="shared" si="0"/>
        <v>0.45248697735362686</v>
      </c>
      <c r="M6" s="866">
        <f>M5/M4</f>
        <v>0.42128466640522072</v>
      </c>
      <c r="N6" s="866">
        <f>N5/N4</f>
        <v>0.49405378441280279</v>
      </c>
      <c r="O6" s="866">
        <f>O5/O4</f>
        <v>0.7337858928597234</v>
      </c>
      <c r="P6" s="866">
        <f>P5/P4</f>
        <v>0.67053392165440662</v>
      </c>
      <c r="Q6" s="866">
        <f>Q5/Q4</f>
        <v>0.33266978809905728</v>
      </c>
      <c r="R6" s="866">
        <f t="shared" ref="R6:S6" si="1">R5/R4</f>
        <v>0.79248578684070725</v>
      </c>
      <c r="S6" s="866">
        <f t="shared" si="1"/>
        <v>0.59873368640457147</v>
      </c>
      <c r="T6" s="866">
        <f t="shared" ref="T6:AJ6" si="2">T5/T4</f>
        <v>0.67804071080659778</v>
      </c>
      <c r="U6" s="866">
        <f t="shared" si="2"/>
        <v>0.43180973391154559</v>
      </c>
      <c r="V6" s="866">
        <f t="shared" si="2"/>
        <v>0.15779601062658702</v>
      </c>
      <c r="W6" s="866">
        <f t="shared" si="2"/>
        <v>0.15389469513810494</v>
      </c>
      <c r="X6" s="866">
        <f t="shared" si="2"/>
        <v>0.43465187163943975</v>
      </c>
      <c r="Y6" s="866">
        <f t="shared" si="2"/>
        <v>0.41987193103464732</v>
      </c>
      <c r="Z6" s="866">
        <f t="shared" ref="Z6:AA6" si="3">Z5/Z4</f>
        <v>0.41282822797258223</v>
      </c>
      <c r="AA6" s="866">
        <f t="shared" si="3"/>
        <v>0.36728012162494361</v>
      </c>
      <c r="AB6" s="866">
        <f t="shared" ref="AB6:AC6" si="4">AB5/AB4</f>
        <v>0.43270361112666084</v>
      </c>
      <c r="AC6" s="866">
        <f t="shared" si="4"/>
        <v>2.5671761900171424E-5</v>
      </c>
      <c r="AD6" s="866">
        <f t="shared" ref="AD6:AE6" si="5">AD5/AD4</f>
        <v>0.24758782029997609</v>
      </c>
      <c r="AE6" s="866">
        <f t="shared" si="5"/>
        <v>0.36560387948116491</v>
      </c>
      <c r="AF6" s="866">
        <f t="shared" ref="AF6:AG6" si="6">AF5/AF4</f>
        <v>0.21125125724979366</v>
      </c>
      <c r="AG6" s="866">
        <f t="shared" si="6"/>
        <v>0.21107647471959567</v>
      </c>
      <c r="AH6" s="866">
        <f t="shared" ref="AH6:AI6" si="7">AH5/AH4</f>
        <v>0.10634833927787238</v>
      </c>
      <c r="AI6" s="866">
        <f t="shared" si="7"/>
        <v>2.5671761900171424E-5</v>
      </c>
      <c r="AJ6" s="869">
        <f t="shared" si="2"/>
        <v>0.4212745069012197</v>
      </c>
      <c r="AK6" s="852" t="s">
        <v>3</v>
      </c>
      <c r="AL6" s="849">
        <f t="shared" ref="AL6:AM6" si="8">AL5/AL4</f>
        <v>0.28741339189891535</v>
      </c>
      <c r="AM6" s="849">
        <f t="shared" si="8"/>
        <v>0.39148963779560414</v>
      </c>
      <c r="AN6" s="849">
        <f t="shared" ref="AN6:AO6" si="9">AN5/AN4</f>
        <v>0.34499625885776591</v>
      </c>
      <c r="AO6" s="849">
        <f t="shared" si="9"/>
        <v>0.45429688424101139</v>
      </c>
      <c r="AP6" s="849">
        <f t="shared" ref="AP6:AS6" si="10">AP5/AP4</f>
        <v>0.42254354473339306</v>
      </c>
      <c r="AQ6" s="849">
        <f t="shared" si="10"/>
        <v>0.52518636759656168</v>
      </c>
      <c r="AR6" s="849">
        <f t="shared" si="10"/>
        <v>0.59025343104826633</v>
      </c>
      <c r="AS6" s="849">
        <f t="shared" si="10"/>
        <v>0.47657842321867766</v>
      </c>
      <c r="AT6" s="849">
        <f t="shared" ref="AT6:AU6" si="11">AT5/AT4</f>
        <v>0.3757601593183757</v>
      </c>
      <c r="AU6" s="849">
        <f t="shared" si="11"/>
        <v>0.42127450690121976</v>
      </c>
      <c r="AV6" s="991"/>
      <c r="AW6" s="876"/>
      <c r="AX6" s="874" t="s">
        <v>3</v>
      </c>
      <c r="AY6" s="849">
        <f>AY5/AY4</f>
        <v>0.36239495651810061</v>
      </c>
      <c r="AZ6" s="849">
        <f>AZ5/AZ4</f>
        <v>0.44305694305694304</v>
      </c>
      <c r="BA6" s="849">
        <f>BA5/BA4</f>
        <v>3.0277861582453984E-2</v>
      </c>
      <c r="BB6" s="849">
        <f>BB5/BB4</f>
        <v>0.53530479322981073</v>
      </c>
      <c r="BC6" s="849">
        <f>BC5/BC4</f>
        <v>0.37796122654787906</v>
      </c>
    </row>
    <row r="7" spans="1:55" s="591" customFormat="1" ht="30" x14ac:dyDescent="0.25">
      <c r="A7" s="1040" t="s">
        <v>6</v>
      </c>
      <c r="B7" s="854" t="s">
        <v>7</v>
      </c>
      <c r="C7" s="840">
        <f>Source!E2</f>
        <v>3713</v>
      </c>
      <c r="D7" s="840">
        <f>Source!E3</f>
        <v>3620</v>
      </c>
      <c r="E7" s="840">
        <f>Source!E9</f>
        <v>3560</v>
      </c>
      <c r="F7" s="840">
        <f>Source!E10</f>
        <v>6588</v>
      </c>
      <c r="G7" s="840">
        <f>Source!E13</f>
        <v>8432</v>
      </c>
      <c r="H7" s="840">
        <f>Source!E12</f>
        <v>14882</v>
      </c>
      <c r="I7" s="840">
        <f>Source!E11</f>
        <v>7076</v>
      </c>
      <c r="J7" s="840">
        <f>Source!E14</f>
        <v>9599</v>
      </c>
      <c r="K7" s="840">
        <f>Source!E15</f>
        <v>6863</v>
      </c>
      <c r="L7" s="840">
        <f>Source!E16</f>
        <v>9273</v>
      </c>
      <c r="M7" s="840">
        <f>Source!E27</f>
        <v>5429</v>
      </c>
      <c r="N7" s="840">
        <f>Source!E30</f>
        <v>14829</v>
      </c>
      <c r="O7" s="840">
        <f>Source!E29</f>
        <v>4357</v>
      </c>
      <c r="P7" s="840">
        <f>Source!E28</f>
        <v>8508</v>
      </c>
      <c r="Q7" s="840">
        <f>Source!E31</f>
        <v>4799</v>
      </c>
      <c r="R7" s="840">
        <f>Source!E32</f>
        <v>9395</v>
      </c>
      <c r="S7" s="840">
        <f>Source!E33</f>
        <v>10561</v>
      </c>
      <c r="T7" s="855">
        <f>Source!E43</f>
        <v>2479</v>
      </c>
      <c r="U7" s="855">
        <f>Source!E42</f>
        <v>1570</v>
      </c>
      <c r="V7" s="840">
        <f>Source!E34</f>
        <v>3999</v>
      </c>
      <c r="W7" s="840">
        <f>Source!E18</f>
        <v>7999</v>
      </c>
      <c r="X7" s="840">
        <f>Source!E20</f>
        <v>3999</v>
      </c>
      <c r="Y7" s="840">
        <f>Source!E36</f>
        <v>7999</v>
      </c>
      <c r="Z7" s="840">
        <f>Source!E23</f>
        <v>3999</v>
      </c>
      <c r="AA7" s="840">
        <f>Source!E37</f>
        <v>7999</v>
      </c>
      <c r="AB7" s="840">
        <f>Source!E35</f>
        <v>11649</v>
      </c>
      <c r="AC7" s="840">
        <f>Source!E38</f>
        <v>6400</v>
      </c>
      <c r="AD7" s="840">
        <f>Source!E22</f>
        <v>6399</v>
      </c>
      <c r="AE7" s="840">
        <f>Source!E4</f>
        <v>6399</v>
      </c>
      <c r="AF7" s="840">
        <f>Source!E19</f>
        <v>4800</v>
      </c>
      <c r="AG7" s="840">
        <f>Source!E5</f>
        <v>4800</v>
      </c>
      <c r="AH7" s="840">
        <f>Source!E21</f>
        <v>6399</v>
      </c>
      <c r="AI7" s="840">
        <f>Source!E17</f>
        <v>6400</v>
      </c>
      <c r="AJ7" s="840">
        <f>SUM(C7:AI7)</f>
        <v>224773</v>
      </c>
      <c r="AK7" s="856" t="s">
        <v>7</v>
      </c>
      <c r="AL7" s="858">
        <f>C7+AE7</f>
        <v>10112</v>
      </c>
      <c r="AM7" s="858">
        <f>D7+AG7</f>
        <v>8420</v>
      </c>
      <c r="AN7" s="858">
        <f>F7+H7+L7+AD7+AH7+AI7</f>
        <v>49941</v>
      </c>
      <c r="AO7" s="858">
        <f>E7+G7+I7+J7+K7+W7+X7+Z7+AF7</f>
        <v>56327</v>
      </c>
      <c r="AP7" s="858">
        <f>M7+N7+S7+AB7+AC7</f>
        <v>48868</v>
      </c>
      <c r="AQ7" s="858">
        <f>O7+P7+Q7+R7+V7+Y7+AA7</f>
        <v>47056</v>
      </c>
      <c r="AR7" s="858">
        <f>T7+U7</f>
        <v>4049</v>
      </c>
      <c r="AS7" s="858">
        <f>AM7+AO7+AQ7</f>
        <v>111803</v>
      </c>
      <c r="AT7" s="858">
        <f>AL7+AN7+AP7+AR7</f>
        <v>112970</v>
      </c>
      <c r="AU7" s="858">
        <f>SUM(AS7:AT7)</f>
        <v>224773</v>
      </c>
      <c r="AV7" s="657"/>
      <c r="AW7" s="880" t="s">
        <v>190</v>
      </c>
      <c r="AX7" s="879" t="s">
        <v>4</v>
      </c>
      <c r="AY7" s="857">
        <v>9191.7999999999993</v>
      </c>
      <c r="AZ7" s="857">
        <v>13787.7</v>
      </c>
      <c r="BA7" s="857">
        <v>8804.7999999999993</v>
      </c>
      <c r="BB7" s="857">
        <v>13787.7</v>
      </c>
      <c r="BC7" s="857">
        <v>8804.7999999999993</v>
      </c>
    </row>
    <row r="8" spans="1:55" s="591" customFormat="1" x14ac:dyDescent="0.25">
      <c r="A8" s="1040"/>
      <c r="B8" s="839" t="s">
        <v>11</v>
      </c>
      <c r="C8" s="858">
        <f t="shared" ref="C8:S8" si="12">C7*33.717</f>
        <v>125191.22099999999</v>
      </c>
      <c r="D8" s="858">
        <f t="shared" si="12"/>
        <v>122055.54</v>
      </c>
      <c r="E8" s="858">
        <f t="shared" si="12"/>
        <v>120032.51999999999</v>
      </c>
      <c r="F8" s="858">
        <f t="shared" si="12"/>
        <v>222127.59599999999</v>
      </c>
      <c r="G8" s="858">
        <f t="shared" si="12"/>
        <v>284301.74400000001</v>
      </c>
      <c r="H8" s="858">
        <f t="shared" si="12"/>
        <v>501776.39399999997</v>
      </c>
      <c r="I8" s="858">
        <f t="shared" si="12"/>
        <v>238581.492</v>
      </c>
      <c r="J8" s="858">
        <f t="shared" si="12"/>
        <v>323649.48300000001</v>
      </c>
      <c r="K8" s="858">
        <f t="shared" si="12"/>
        <v>231399.77099999998</v>
      </c>
      <c r="L8" s="858">
        <f t="shared" si="12"/>
        <v>312657.74099999998</v>
      </c>
      <c r="M8" s="858">
        <f t="shared" si="12"/>
        <v>183049.59299999999</v>
      </c>
      <c r="N8" s="858">
        <f t="shared" si="12"/>
        <v>499989.39299999998</v>
      </c>
      <c r="O8" s="858">
        <f t="shared" si="12"/>
        <v>146904.96899999998</v>
      </c>
      <c r="P8" s="858">
        <f t="shared" si="12"/>
        <v>286864.23599999998</v>
      </c>
      <c r="Q8" s="858">
        <f t="shared" si="12"/>
        <v>161807.883</v>
      </c>
      <c r="R8" s="858">
        <f t="shared" si="12"/>
        <v>316771.21499999997</v>
      </c>
      <c r="S8" s="858">
        <f t="shared" si="12"/>
        <v>356085.23699999996</v>
      </c>
      <c r="T8" s="858">
        <f t="shared" ref="T8:Y8" si="13">T7*33.717</f>
        <v>83584.442999999999</v>
      </c>
      <c r="U8" s="858">
        <f t="shared" si="13"/>
        <v>52935.689999999995</v>
      </c>
      <c r="V8" s="858">
        <f t="shared" si="13"/>
        <v>134834.283</v>
      </c>
      <c r="W8" s="858">
        <f t="shared" si="13"/>
        <v>269702.283</v>
      </c>
      <c r="X8" s="858">
        <f t="shared" si="13"/>
        <v>134834.283</v>
      </c>
      <c r="Y8" s="858">
        <f t="shared" si="13"/>
        <v>269702.283</v>
      </c>
      <c r="Z8" s="858">
        <f t="shared" ref="Z8:AA8" si="14">Z7*33.717</f>
        <v>134834.283</v>
      </c>
      <c r="AA8" s="858">
        <f t="shared" si="14"/>
        <v>269702.283</v>
      </c>
      <c r="AB8" s="858">
        <f t="shared" ref="AB8:AC8" si="15">AB7*33.717</f>
        <v>392769.33299999998</v>
      </c>
      <c r="AC8" s="858">
        <f t="shared" si="15"/>
        <v>215788.79999999999</v>
      </c>
      <c r="AD8" s="858">
        <f t="shared" ref="AD8:AE8" si="16">AD7*33.717</f>
        <v>215755.08299999998</v>
      </c>
      <c r="AE8" s="858">
        <f t="shared" si="16"/>
        <v>215755.08299999998</v>
      </c>
      <c r="AF8" s="858">
        <f t="shared" ref="AF8:AG8" si="17">AF7*33.717</f>
        <v>161841.60000000001</v>
      </c>
      <c r="AG8" s="858">
        <f t="shared" si="17"/>
        <v>161841.60000000001</v>
      </c>
      <c r="AH8" s="858">
        <f t="shared" ref="AH8:AI8" si="18">AH7*33.717</f>
        <v>215755.08299999998</v>
      </c>
      <c r="AI8" s="858">
        <f t="shared" si="18"/>
        <v>215788.79999999999</v>
      </c>
      <c r="AJ8" s="859">
        <f>SUM(C8:AI8)</f>
        <v>7578671.2409999967</v>
      </c>
      <c r="AK8" s="841" t="s">
        <v>11</v>
      </c>
      <c r="AL8" s="858">
        <f t="shared" ref="AL8:AM8" si="19">AL7*33.717</f>
        <v>340946.304</v>
      </c>
      <c r="AM8" s="858">
        <f t="shared" si="19"/>
        <v>283897.14</v>
      </c>
      <c r="AN8" s="858">
        <f t="shared" ref="AN8:AO8" si="20">AN7*33.717</f>
        <v>1683860.6969999999</v>
      </c>
      <c r="AO8" s="858">
        <f t="shared" si="20"/>
        <v>1899177.459</v>
      </c>
      <c r="AP8" s="858">
        <f t="shared" ref="AP8:AS8" si="21">AP7*33.717</f>
        <v>1647682.3559999999</v>
      </c>
      <c r="AQ8" s="858">
        <f t="shared" si="21"/>
        <v>1586587.152</v>
      </c>
      <c r="AR8" s="858">
        <f t="shared" si="21"/>
        <v>136520.133</v>
      </c>
      <c r="AS8" s="858">
        <f t="shared" si="21"/>
        <v>3769661.7509999997</v>
      </c>
      <c r="AT8" s="858">
        <f t="shared" ref="AT8" si="22">AT7*33.717</f>
        <v>3809009.4899999998</v>
      </c>
      <c r="AU8" s="858">
        <f>SUM(AS8:AT8)</f>
        <v>7578671.2409999995</v>
      </c>
      <c r="AV8" s="992"/>
      <c r="AW8" s="876"/>
      <c r="AX8" s="873" t="s">
        <v>5</v>
      </c>
      <c r="AY8" s="583">
        <v>7975.5</v>
      </c>
      <c r="AZ8" s="583">
        <v>13649</v>
      </c>
      <c r="BA8" s="583">
        <v>1289.9000000000001</v>
      </c>
      <c r="BB8" s="583">
        <v>13642</v>
      </c>
      <c r="BC8" s="583">
        <v>5483.9</v>
      </c>
    </row>
    <row r="9" spans="1:55" s="591" customFormat="1" x14ac:dyDescent="0.25">
      <c r="A9" s="1040"/>
      <c r="B9" s="839" t="s">
        <v>79</v>
      </c>
      <c r="C9" s="858">
        <v>164000</v>
      </c>
      <c r="D9" s="858">
        <v>109880</v>
      </c>
      <c r="E9" s="858">
        <v>109880</v>
      </c>
      <c r="F9" s="858">
        <v>328000</v>
      </c>
      <c r="G9" s="858">
        <v>330905</v>
      </c>
      <c r="H9" s="858">
        <v>264264</v>
      </c>
      <c r="I9" s="858">
        <v>242663.6</v>
      </c>
      <c r="J9" s="858">
        <v>328000</v>
      </c>
      <c r="K9" s="858">
        <v>328000</v>
      </c>
      <c r="L9" s="858">
        <v>328000</v>
      </c>
      <c r="M9" s="858">
        <v>328000</v>
      </c>
      <c r="N9" s="858">
        <v>264264.40000000002</v>
      </c>
      <c r="O9" s="858">
        <v>328000</v>
      </c>
      <c r="P9" s="858">
        <v>352965.4</v>
      </c>
      <c r="Q9" s="858">
        <v>328000</v>
      </c>
      <c r="R9" s="858">
        <v>328000</v>
      </c>
      <c r="S9" s="858">
        <v>328000</v>
      </c>
      <c r="T9" s="858">
        <f t="shared" ref="T9:Y9" si="23">2*T4</f>
        <v>119447.4</v>
      </c>
      <c r="U9" s="858">
        <f t="shared" si="23"/>
        <v>66181</v>
      </c>
      <c r="V9" s="858">
        <f t="shared" si="23"/>
        <v>204393</v>
      </c>
      <c r="W9" s="858">
        <f t="shared" si="23"/>
        <v>418993</v>
      </c>
      <c r="X9" s="858">
        <f t="shared" si="23"/>
        <v>204393</v>
      </c>
      <c r="Y9" s="858">
        <f t="shared" si="23"/>
        <v>418993</v>
      </c>
      <c r="Z9" s="858">
        <f t="shared" ref="Z9:AA9" si="24">2*Z4</f>
        <v>204393</v>
      </c>
      <c r="AA9" s="858">
        <f t="shared" si="24"/>
        <v>418993</v>
      </c>
      <c r="AB9" s="858">
        <f t="shared" ref="AB9:AC9" si="25">2*AB4</f>
        <v>657390.4</v>
      </c>
      <c r="AC9" s="858">
        <f t="shared" si="25"/>
        <v>381742.4</v>
      </c>
      <c r="AD9" s="858">
        <f t="shared" ref="AD9:AE9" si="26">2*AD4</f>
        <v>448142.4</v>
      </c>
      <c r="AE9" s="858">
        <f t="shared" si="26"/>
        <v>448142.4</v>
      </c>
      <c r="AF9" s="858">
        <f t="shared" ref="AF9:AG9" si="27">2*AF4</f>
        <v>312388.2</v>
      </c>
      <c r="AG9" s="858">
        <f t="shared" si="27"/>
        <v>312388.2</v>
      </c>
      <c r="AH9" s="858">
        <f t="shared" ref="AH9:AI9" si="28">2*AH4</f>
        <v>448142.4</v>
      </c>
      <c r="AI9" s="858">
        <f t="shared" si="28"/>
        <v>381742.4</v>
      </c>
      <c r="AJ9" s="859">
        <f>SUM(C9:AI9)</f>
        <v>10236687.600000001</v>
      </c>
      <c r="AK9" s="841" t="s">
        <v>79</v>
      </c>
      <c r="AL9" s="858">
        <f t="shared" ref="AL9:AM9" si="29">2*AL4</f>
        <v>948179.2</v>
      </c>
      <c r="AM9" s="858">
        <f t="shared" si="29"/>
        <v>613421.60000000009</v>
      </c>
      <c r="AN9" s="858">
        <f t="shared" ref="AN9:AO9" si="30">2*AN4</f>
        <v>2869177.1999999997</v>
      </c>
      <c r="AO9" s="858">
        <f t="shared" si="30"/>
        <v>2696877.4000000004</v>
      </c>
      <c r="AP9" s="858">
        <f t="shared" ref="AP9:AT9" si="31">2*AP4</f>
        <v>2826208.6</v>
      </c>
      <c r="AQ9" s="858">
        <f t="shared" si="31"/>
        <v>2310031.4</v>
      </c>
      <c r="AR9" s="858">
        <f t="shared" si="31"/>
        <v>185628.4</v>
      </c>
      <c r="AS9" s="858">
        <f t="shared" si="31"/>
        <v>5620330.4000000004</v>
      </c>
      <c r="AT9" s="858">
        <f t="shared" si="31"/>
        <v>6829193.4000000004</v>
      </c>
      <c r="AU9" s="858">
        <f>SUM(AS9:AT9)</f>
        <v>12449523.800000001</v>
      </c>
      <c r="AV9" s="993"/>
      <c r="AW9" s="877"/>
      <c r="AX9" s="874" t="s">
        <v>3</v>
      </c>
      <c r="AY9" s="849">
        <f>AY8/AY7</f>
        <v>0.86767553689157739</v>
      </c>
      <c r="AZ9" s="849">
        <f>AZ8/AZ7</f>
        <v>0.98994030911609621</v>
      </c>
      <c r="BA9" s="849">
        <f>BA8/BA7</f>
        <v>0.14649963656187537</v>
      </c>
      <c r="BB9" s="849">
        <f>BB8/BB7</f>
        <v>0.98943261022505558</v>
      </c>
      <c r="BC9" s="849">
        <f>BC8/BC7</f>
        <v>0.62283072869343992</v>
      </c>
    </row>
    <row r="10" spans="1:55" s="591" customFormat="1" ht="45" x14ac:dyDescent="0.25">
      <c r="A10" s="1040"/>
      <c r="B10" s="844" t="s">
        <v>8</v>
      </c>
      <c r="C10" s="861">
        <f>SUM(C7-Source!F2)</f>
        <v>1990</v>
      </c>
      <c r="D10" s="861">
        <f>SUM(D7-Source!F3)</f>
        <v>1649</v>
      </c>
      <c r="E10" s="861">
        <f>SUM(E7-Source!F9)</f>
        <v>1262</v>
      </c>
      <c r="F10" s="861">
        <f>SUM(F7-Source!F10)</f>
        <v>4587</v>
      </c>
      <c r="G10" s="861">
        <f>SUM(G7-Source!F13)</f>
        <v>3337</v>
      </c>
      <c r="H10" s="861">
        <f>SUM(H7-Source!F12)</f>
        <v>12412</v>
      </c>
      <c r="I10" s="861">
        <f>SUM(I7-(Source!F11-2216))</f>
        <v>5547</v>
      </c>
      <c r="J10" s="861">
        <f>SUM(J7-Source!F14)</f>
        <v>1506</v>
      </c>
      <c r="K10" s="861">
        <f>SUM(K7-(Source!F15-1760))</f>
        <v>5992</v>
      </c>
      <c r="L10" s="861">
        <f>SUM(L7-Source!F16)</f>
        <v>6490</v>
      </c>
      <c r="M10" s="861">
        <f>SUM(M7-Source!F27)</f>
        <v>3750</v>
      </c>
      <c r="N10" s="861">
        <f>SUM(N7-Source!F30)</f>
        <v>13096</v>
      </c>
      <c r="O10" s="861">
        <f>SUM(O7-Source!F29)</f>
        <v>3479</v>
      </c>
      <c r="P10" s="861">
        <f>SUM(P7-(Source!F28-2614))</f>
        <v>6189</v>
      </c>
      <c r="Q10" s="861">
        <f>SUM(Q7-Source!F31)</f>
        <v>1954</v>
      </c>
      <c r="R10" s="861">
        <f>SUM(R7-Source!F32)</f>
        <v>4636</v>
      </c>
      <c r="S10" s="861">
        <f>SUM(S7-Source!F33)</f>
        <v>8563</v>
      </c>
      <c r="T10" s="598">
        <f>SUM(T7-Source!F43)</f>
        <v>1817</v>
      </c>
      <c r="U10" s="598">
        <f>SUM(U7-Source!F42)</f>
        <v>1271</v>
      </c>
      <c r="V10" s="861">
        <f>SUM(V7-Source!F34)</f>
        <v>1907</v>
      </c>
      <c r="W10" s="861">
        <f>SUM(W7-Source!F18)</f>
        <v>2490</v>
      </c>
      <c r="X10" s="861">
        <f>SUM(X7-Source!F20)</f>
        <v>2078</v>
      </c>
      <c r="Y10" s="861">
        <f>SUM(Y7-Source!F36)</f>
        <v>2701</v>
      </c>
      <c r="Z10" s="861">
        <f>SUM(Z7-Source!F23)</f>
        <v>2552</v>
      </c>
      <c r="AA10" s="861">
        <f>SUM(AA7-Source!F37)</f>
        <v>3911</v>
      </c>
      <c r="AB10" s="861">
        <f>SUM(AB7-Source!F35)</f>
        <v>7017</v>
      </c>
      <c r="AC10" s="861">
        <f>SUM(AC7-Source!F38)</f>
        <v>0</v>
      </c>
      <c r="AD10" s="861">
        <f>SUM(AD7-Source!F22)</f>
        <v>4092</v>
      </c>
      <c r="AE10" s="861">
        <f>SUM(AE7-Source!F4)</f>
        <v>3972</v>
      </c>
      <c r="AF10" s="861">
        <f>SUM(AF7-Source!F19)</f>
        <v>1562</v>
      </c>
      <c r="AG10" s="861">
        <f>SUM(AG7-Source!F5)</f>
        <v>1562</v>
      </c>
      <c r="AH10" s="861">
        <f>SUM(AH7-Source!F21)</f>
        <v>4143</v>
      </c>
      <c r="AI10" s="861">
        <f>SUM(AI7-Source!F17)</f>
        <v>0</v>
      </c>
      <c r="AJ10" s="840">
        <f>SUM(C10:AI10)</f>
        <v>127514</v>
      </c>
      <c r="AK10" s="846" t="s">
        <v>8</v>
      </c>
      <c r="AL10" s="858">
        <f>C10+AE10</f>
        <v>5962</v>
      </c>
      <c r="AM10" s="858">
        <f>D10+AG10</f>
        <v>3211</v>
      </c>
      <c r="AN10" s="858">
        <f>F10+H10+L10+AD10+AH10+AI10</f>
        <v>31724</v>
      </c>
      <c r="AO10" s="858">
        <f>E10+G10+I10+J10+K10+W10+X10+Z10+AF10</f>
        <v>26326</v>
      </c>
      <c r="AP10" s="858">
        <f>M10+N10+S10+AB10+AC10</f>
        <v>32426</v>
      </c>
      <c r="AQ10" s="858">
        <f>O10+P10+Q10+R10+V10+Y10+AA10</f>
        <v>24777</v>
      </c>
      <c r="AR10" s="858">
        <f>T10+U10</f>
        <v>3088</v>
      </c>
      <c r="AS10" s="858">
        <f>AM10+AO10+AQ10</f>
        <v>54314</v>
      </c>
      <c r="AT10" s="858">
        <f>AL10+AN10+AP10+AR10</f>
        <v>73200</v>
      </c>
      <c r="AU10" s="858">
        <f>SUM(AS10:AT10)</f>
        <v>127514</v>
      </c>
      <c r="AV10" s="993"/>
      <c r="AW10" s="877" t="s">
        <v>191</v>
      </c>
      <c r="AX10" s="839" t="s">
        <v>4</v>
      </c>
      <c r="AY10" s="840">
        <v>97433.600000000006</v>
      </c>
      <c r="AZ10" s="840">
        <v>243584.4</v>
      </c>
      <c r="BA10" s="840">
        <v>132070.29999999999</v>
      </c>
      <c r="BB10" s="840">
        <v>292299.3</v>
      </c>
      <c r="BC10" s="840">
        <v>132070.39999999999</v>
      </c>
    </row>
    <row r="11" spans="1:55" s="591" customFormat="1" x14ac:dyDescent="0.25">
      <c r="A11" s="1040"/>
      <c r="B11" s="839" t="s">
        <v>77</v>
      </c>
      <c r="C11" s="858">
        <f t="shared" ref="C11:N11" si="32">C10*33.717</f>
        <v>67096.83</v>
      </c>
      <c r="D11" s="858">
        <f t="shared" si="32"/>
        <v>55599.332999999999</v>
      </c>
      <c r="E11" s="858">
        <f t="shared" si="32"/>
        <v>42550.853999999999</v>
      </c>
      <c r="F11" s="858">
        <f t="shared" si="32"/>
        <v>154659.87899999999</v>
      </c>
      <c r="G11" s="858">
        <f t="shared" si="32"/>
        <v>112513.629</v>
      </c>
      <c r="H11" s="858">
        <f t="shared" si="32"/>
        <v>418495.40399999998</v>
      </c>
      <c r="I11" s="858">
        <f t="shared" si="32"/>
        <v>187028.19899999999</v>
      </c>
      <c r="J11" s="858">
        <f t="shared" si="32"/>
        <v>50777.801999999996</v>
      </c>
      <c r="K11" s="858">
        <f t="shared" si="32"/>
        <v>202032.264</v>
      </c>
      <c r="L11" s="858">
        <f t="shared" si="32"/>
        <v>218823.33</v>
      </c>
      <c r="M11" s="858">
        <f t="shared" si="32"/>
        <v>126438.75</v>
      </c>
      <c r="N11" s="858">
        <f t="shared" si="32"/>
        <v>441557.83199999999</v>
      </c>
      <c r="O11" s="858">
        <f>(O10*33.717)</f>
        <v>117301.443</v>
      </c>
      <c r="P11" s="858">
        <f>P10*33.717-(2614*33.717)</f>
        <v>120538.27500000001</v>
      </c>
      <c r="Q11" s="858">
        <f t="shared" ref="Q11:Y11" si="33">Q10*33.717</f>
        <v>65883.017999999996</v>
      </c>
      <c r="R11" s="858">
        <f t="shared" si="33"/>
        <v>156312.01199999999</v>
      </c>
      <c r="S11" s="858">
        <f t="shared" si="33"/>
        <v>288718.67099999997</v>
      </c>
      <c r="T11" s="863">
        <f t="shared" si="33"/>
        <v>61263.788999999997</v>
      </c>
      <c r="U11" s="863">
        <f t="shared" si="33"/>
        <v>42854.307000000001</v>
      </c>
      <c r="V11" s="863">
        <f t="shared" si="33"/>
        <v>64298.318999999996</v>
      </c>
      <c r="W11" s="863">
        <f t="shared" si="33"/>
        <v>83955.33</v>
      </c>
      <c r="X11" s="863">
        <f t="shared" si="33"/>
        <v>70063.925999999992</v>
      </c>
      <c r="Y11" s="863">
        <f t="shared" si="33"/>
        <v>91069.616999999998</v>
      </c>
      <c r="Z11" s="863">
        <f t="shared" ref="Z11:AA11" si="34">Z10*33.717</f>
        <v>86045.784</v>
      </c>
      <c r="AA11" s="863">
        <f t="shared" si="34"/>
        <v>131867.18700000001</v>
      </c>
      <c r="AB11" s="863">
        <f t="shared" ref="AB11:AC11" si="35">AB10*33.717</f>
        <v>236592.18899999998</v>
      </c>
      <c r="AC11" s="863">
        <f t="shared" si="35"/>
        <v>0</v>
      </c>
      <c r="AD11" s="863">
        <f t="shared" ref="AD11:AE11" si="36">AD10*33.717</f>
        <v>137969.96400000001</v>
      </c>
      <c r="AE11" s="863">
        <f t="shared" si="36"/>
        <v>133923.924</v>
      </c>
      <c r="AF11" s="863">
        <f t="shared" ref="AF11:AG11" si="37">AF10*33.717</f>
        <v>52665.953999999998</v>
      </c>
      <c r="AG11" s="863">
        <f t="shared" si="37"/>
        <v>52665.953999999998</v>
      </c>
      <c r="AH11" s="863">
        <f t="shared" ref="AH11:AI11" si="38">AH10*33.717</f>
        <v>139689.53099999999</v>
      </c>
      <c r="AI11" s="863">
        <f t="shared" si="38"/>
        <v>0</v>
      </c>
      <c r="AJ11" s="864">
        <f>SUM(C11:AI11)</f>
        <v>4211253.3000000007</v>
      </c>
      <c r="AK11" s="841" t="s">
        <v>77</v>
      </c>
      <c r="AL11" s="858">
        <f t="shared" ref="AL11:AM11" si="39">AL10*33.717</f>
        <v>201020.75399999999</v>
      </c>
      <c r="AM11" s="858">
        <f t="shared" si="39"/>
        <v>108265.287</v>
      </c>
      <c r="AN11" s="858">
        <f t="shared" ref="AN11:AO11" si="40">AN10*33.717</f>
        <v>1069638.108</v>
      </c>
      <c r="AO11" s="858">
        <f t="shared" si="40"/>
        <v>887633.74199999997</v>
      </c>
      <c r="AP11" s="858">
        <f t="shared" ref="AP11:AS11" si="41">AP10*33.717</f>
        <v>1093307.442</v>
      </c>
      <c r="AQ11" s="858">
        <f t="shared" si="41"/>
        <v>835406.10899999994</v>
      </c>
      <c r="AR11" s="858">
        <f t="shared" si="41"/>
        <v>104118.09599999999</v>
      </c>
      <c r="AS11" s="858">
        <f t="shared" si="41"/>
        <v>1831305.138</v>
      </c>
      <c r="AT11" s="858">
        <f t="shared" ref="AT11" si="42">AT10*33.717</f>
        <v>2468084.4</v>
      </c>
      <c r="AU11" s="858">
        <f>SUM(AS11:AT11)</f>
        <v>4299389.5379999997</v>
      </c>
      <c r="AV11" s="915"/>
      <c r="AW11" s="843"/>
      <c r="AX11" s="844" t="s">
        <v>5</v>
      </c>
      <c r="AY11" s="583">
        <v>38973.199999999997</v>
      </c>
      <c r="AZ11" s="583">
        <v>124350.5</v>
      </c>
      <c r="BA11" s="583">
        <v>3817.1</v>
      </c>
      <c r="BB11" s="583">
        <v>109009</v>
      </c>
      <c r="BC11" s="583">
        <v>33401</v>
      </c>
    </row>
    <row r="12" spans="1:55" s="591" customFormat="1" x14ac:dyDescent="0.25">
      <c r="A12" s="1040"/>
      <c r="B12" s="848" t="s">
        <v>217</v>
      </c>
      <c r="C12" s="849">
        <f t="shared" ref="C12:AJ12" si="43">C11/C4</f>
        <v>0.26836756814698437</v>
      </c>
      <c r="D12" s="849">
        <f t="shared" si="43"/>
        <v>0.36938979528517429</v>
      </c>
      <c r="E12" s="866">
        <f t="shared" si="43"/>
        <v>0.28269855770157065</v>
      </c>
      <c r="F12" s="866">
        <f t="shared" si="43"/>
        <v>0.84978515792411813</v>
      </c>
      <c r="G12" s="866">
        <f t="shared" si="43"/>
        <v>0.67875096597185058</v>
      </c>
      <c r="H12" s="866">
        <f t="shared" si="43"/>
        <v>1.0744288366003003</v>
      </c>
      <c r="I12" s="866">
        <f t="shared" si="43"/>
        <v>1.0875281595343522</v>
      </c>
      <c r="J12" s="866">
        <f t="shared" si="43"/>
        <v>0.30574670937752141</v>
      </c>
      <c r="K12" s="866">
        <f t="shared" si="43"/>
        <v>1.6290402131282897</v>
      </c>
      <c r="L12" s="866">
        <f t="shared" si="43"/>
        <v>0.97657945331662421</v>
      </c>
      <c r="M12" s="866">
        <f t="shared" si="43"/>
        <v>0.65502429426443987</v>
      </c>
      <c r="N12" s="866">
        <f t="shared" si="43"/>
        <v>1.0076170251510714</v>
      </c>
      <c r="O12" s="866">
        <f t="shared" si="43"/>
        <v>1.412610044942846</v>
      </c>
      <c r="P12" s="866">
        <f t="shared" si="43"/>
        <v>0.43652663741478664</v>
      </c>
      <c r="Q12" s="866">
        <f t="shared" si="43"/>
        <v>0.79340041041055498</v>
      </c>
      <c r="R12" s="866">
        <f t="shared" si="43"/>
        <v>0.81574720981618642</v>
      </c>
      <c r="S12" s="866">
        <f t="shared" si="43"/>
        <v>1.1007658768632602</v>
      </c>
      <c r="T12" s="849">
        <f t="shared" si="43"/>
        <v>1.0257868986683678</v>
      </c>
      <c r="U12" s="849">
        <f t="shared" si="43"/>
        <v>1.2950637494144845</v>
      </c>
      <c r="V12" s="849">
        <f t="shared" si="43"/>
        <v>0.62916361127827269</v>
      </c>
      <c r="W12" s="849">
        <f t="shared" si="43"/>
        <v>0.40074812705701529</v>
      </c>
      <c r="X12" s="849">
        <f t="shared" si="43"/>
        <v>0.68558048465456245</v>
      </c>
      <c r="Y12" s="849">
        <f t="shared" si="43"/>
        <v>0.43470710489196718</v>
      </c>
      <c r="Z12" s="849">
        <f t="shared" ref="Z12:AA12" si="44">Z11/Z4</f>
        <v>0.84196409857480436</v>
      </c>
      <c r="AA12" s="849">
        <f t="shared" si="44"/>
        <v>0.62944816261846859</v>
      </c>
      <c r="AB12" s="849">
        <f t="shared" ref="AB12:AC12" si="45">AB11/AB4</f>
        <v>0.71979204138058595</v>
      </c>
      <c r="AC12" s="849">
        <f t="shared" si="45"/>
        <v>0</v>
      </c>
      <c r="AD12" s="849">
        <f t="shared" ref="AD12:AE12" si="46">AD11/AD4</f>
        <v>0.61574162141319366</v>
      </c>
      <c r="AE12" s="849">
        <f t="shared" si="46"/>
        <v>0.59768468236881844</v>
      </c>
      <c r="AF12" s="849">
        <f t="shared" ref="AF12:AG12" si="47">AF11/AF4</f>
        <v>0.33718273609566557</v>
      </c>
      <c r="AG12" s="849">
        <f t="shared" si="47"/>
        <v>0.33718273609566557</v>
      </c>
      <c r="AH12" s="849">
        <f t="shared" ref="AH12:AI12" si="48">AH11/AH4</f>
        <v>0.62341582050705302</v>
      </c>
      <c r="AI12" s="849">
        <f t="shared" si="48"/>
        <v>0</v>
      </c>
      <c r="AJ12" s="851">
        <f t="shared" si="43"/>
        <v>0.67653243090310011</v>
      </c>
      <c r="AK12" s="852" t="s">
        <v>217</v>
      </c>
      <c r="AL12" s="849">
        <f t="shared" ref="AL12:AM12" si="49">AL11/AL4</f>
        <v>0.42401426650152207</v>
      </c>
      <c r="AM12" s="849">
        <f t="shared" si="49"/>
        <v>0.35298817974456714</v>
      </c>
      <c r="AN12" s="849">
        <f t="shared" ref="AN12:AO12" si="50">AN11/AN4</f>
        <v>0.74560616751032327</v>
      </c>
      <c r="AO12" s="849">
        <f t="shared" si="50"/>
        <v>0.65826777442682405</v>
      </c>
      <c r="AP12" s="849">
        <f t="shared" ref="AP12:AS12" si="51">AP11/AP4</f>
        <v>0.77369196456340839</v>
      </c>
      <c r="AQ12" s="849">
        <f t="shared" si="51"/>
        <v>0.72328550079449139</v>
      </c>
      <c r="AR12" s="849">
        <f t="shared" si="51"/>
        <v>1.1217905880781174</v>
      </c>
      <c r="AS12" s="849">
        <f t="shared" si="51"/>
        <v>0.6516717017205963</v>
      </c>
      <c r="AT12" s="849">
        <f t="shared" ref="AT12:AU12" si="52">AT11/AT4</f>
        <v>0.72280407229351562</v>
      </c>
      <c r="AU12" s="849">
        <f t="shared" si="52"/>
        <v>0.69069140427684461</v>
      </c>
      <c r="AV12" s="914"/>
      <c r="AW12" s="843"/>
      <c r="AX12" s="848" t="s">
        <v>3</v>
      </c>
      <c r="AY12" s="849">
        <f>AY11/AY10</f>
        <v>0.39999753678402516</v>
      </c>
      <c r="AZ12" s="849">
        <f>AZ11/AZ10</f>
        <v>0.51050272513346506</v>
      </c>
      <c r="BA12" s="849">
        <f>BA11/BA10</f>
        <v>2.8902031720984961E-2</v>
      </c>
      <c r="BB12" s="849">
        <f>BB11/BB10</f>
        <v>0.37293623351133581</v>
      </c>
      <c r="BC12" s="849">
        <f>BC11/BC10</f>
        <v>0.25290299718937781</v>
      </c>
    </row>
    <row r="13" spans="1:55" s="591" customFormat="1" x14ac:dyDescent="0.25">
      <c r="A13" s="843"/>
      <c r="B13" s="848" t="s">
        <v>218</v>
      </c>
      <c r="C13" s="598">
        <f>Source!G2</f>
        <v>57121.599999999999</v>
      </c>
      <c r="D13" s="598">
        <f>Source!G3</f>
        <v>55194.400000000001</v>
      </c>
      <c r="E13" s="598">
        <f>Source!G9</f>
        <v>42146</v>
      </c>
      <c r="F13" s="598">
        <f>Source!G10</f>
        <v>122319</v>
      </c>
      <c r="G13" s="598">
        <f>Source!G13</f>
        <v>110224</v>
      </c>
      <c r="H13" s="598">
        <f>Source!G12</f>
        <v>422468</v>
      </c>
      <c r="I13" s="598">
        <f>Source!G11</f>
        <v>109776</v>
      </c>
      <c r="J13" s="598">
        <f>Source!G14</f>
        <v>50818.6</v>
      </c>
      <c r="K13" s="598">
        <f>Source!G15</f>
        <v>143613</v>
      </c>
      <c r="L13" s="598">
        <f>Source!G16</f>
        <v>219211</v>
      </c>
      <c r="M13" s="598">
        <f>Source!G27</f>
        <v>139133</v>
      </c>
      <c r="N13" s="598">
        <f>Source!G30</f>
        <v>441635</v>
      </c>
      <c r="O13" s="598">
        <f>Source!G29</f>
        <v>117345</v>
      </c>
      <c r="P13" s="598">
        <f>Source!G28</f>
        <v>92441.600000000006</v>
      </c>
      <c r="Q13" s="598">
        <f>Source!G31</f>
        <v>65934.2</v>
      </c>
      <c r="R13" s="598">
        <f>Source!G32</f>
        <v>142414</v>
      </c>
      <c r="S13" s="598">
        <f>Source!G33</f>
        <v>288880</v>
      </c>
      <c r="T13" s="598">
        <f>Source!G43</f>
        <v>61297.2</v>
      </c>
      <c r="U13" s="598">
        <f>Source!G42</f>
        <v>42854.1</v>
      </c>
      <c r="V13" s="598">
        <f>Source!G34</f>
        <v>64335</v>
      </c>
      <c r="W13" s="598">
        <f>Source!G18</f>
        <v>62682.8</v>
      </c>
      <c r="X13" s="598">
        <f>Source!G20</f>
        <v>70122.7</v>
      </c>
      <c r="Y13" s="598">
        <f>Source!G36</f>
        <v>70088.899999999994</v>
      </c>
      <c r="Z13" s="598">
        <f>Source!G23</f>
        <v>86114.1</v>
      </c>
      <c r="AA13" s="598">
        <f>Source!G37</f>
        <v>82434.8</v>
      </c>
      <c r="AB13" s="598">
        <f>Source!G35</f>
        <v>236737</v>
      </c>
      <c r="AC13" s="598">
        <f>Source!G38</f>
        <v>0</v>
      </c>
      <c r="AD13" s="598">
        <f>Source!G22</f>
        <v>138063</v>
      </c>
      <c r="AE13" s="598">
        <f>Source!G4</f>
        <v>133975</v>
      </c>
      <c r="AF13" s="598">
        <f>Source!G19</f>
        <v>52705.599999999999</v>
      </c>
      <c r="AG13" s="598">
        <f>Source!G5</f>
        <v>52690.9</v>
      </c>
      <c r="AH13" s="598">
        <f>Source!G21</f>
        <v>139723</v>
      </c>
      <c r="AI13" s="598">
        <f>Source!G17</f>
        <v>0</v>
      </c>
      <c r="AJ13" s="867">
        <f>SUM(C13:AI13)</f>
        <v>3914498.5000000005</v>
      </c>
      <c r="AK13" s="852" t="s">
        <v>218</v>
      </c>
      <c r="AL13" s="861">
        <f>C13+AE13</f>
        <v>191096.6</v>
      </c>
      <c r="AM13" s="861">
        <f>D13+AG13</f>
        <v>107885.3</v>
      </c>
      <c r="AN13" s="861">
        <f>F13+H13+L13+AD13+AH13+AI13</f>
        <v>1041784</v>
      </c>
      <c r="AO13" s="861">
        <f>E13+G13+I13+J13+K13+W13+X13+Z13+AF13</f>
        <v>728202.79999999993</v>
      </c>
      <c r="AP13" s="861">
        <f>M13+N13+S13+AB13+AC13</f>
        <v>1106385</v>
      </c>
      <c r="AQ13" s="861">
        <f>O13+P13+Q13+R13+V13+Y13+AA13</f>
        <v>634993.5</v>
      </c>
      <c r="AR13" s="861">
        <f>T13+U13</f>
        <v>104151.29999999999</v>
      </c>
      <c r="AS13" s="861">
        <f>AM13+AO13+AQ13</f>
        <v>1471081.6</v>
      </c>
      <c r="AT13" s="861">
        <f>AL13+AN13+AP13+AR13</f>
        <v>2443416.9</v>
      </c>
      <c r="AU13" s="861">
        <f>SUM(AS13:AT13)</f>
        <v>3914498.5</v>
      </c>
      <c r="AV13" s="916"/>
      <c r="AW13" s="843" t="s">
        <v>219</v>
      </c>
      <c r="AX13" s="848" t="s">
        <v>3</v>
      </c>
      <c r="AY13" s="849">
        <f>(AY6+AY12)/2</f>
        <v>0.38119624665106289</v>
      </c>
      <c r="AZ13" s="849">
        <f t="shared" ref="AZ13:BC13" si="53">(AZ6+AZ12)/2</f>
        <v>0.47677983409520408</v>
      </c>
      <c r="BA13" s="849">
        <f t="shared" si="53"/>
        <v>2.9589946651719472E-2</v>
      </c>
      <c r="BB13" s="849">
        <f t="shared" si="53"/>
        <v>0.45412051337057324</v>
      </c>
      <c r="BC13" s="849">
        <f t="shared" si="53"/>
        <v>0.31543211186862841</v>
      </c>
    </row>
    <row r="14" spans="1:55" s="591" customFormat="1" x14ac:dyDescent="0.25">
      <c r="A14" s="843"/>
      <c r="B14" s="848" t="s">
        <v>216</v>
      </c>
      <c r="C14" s="866">
        <f t="shared" ref="C14:AJ14" si="54">C13/C4</f>
        <v>0.22846958463857059</v>
      </c>
      <c r="D14" s="866">
        <f t="shared" si="54"/>
        <v>0.36669950909101778</v>
      </c>
      <c r="E14" s="866">
        <f t="shared" si="54"/>
        <v>0.28000879636611747</v>
      </c>
      <c r="F14" s="866">
        <f t="shared" si="54"/>
        <v>0.67208684892427861</v>
      </c>
      <c r="G14" s="866">
        <f t="shared" si="54"/>
        <v>0.66493852467669723</v>
      </c>
      <c r="H14" s="866">
        <f t="shared" si="54"/>
        <v>1.0846279251870965</v>
      </c>
      <c r="I14" s="866">
        <f t="shared" si="54"/>
        <v>0.63832348212390722</v>
      </c>
      <c r="J14" s="866">
        <f t="shared" si="54"/>
        <v>0.30599236503329758</v>
      </c>
      <c r="K14" s="866">
        <f t="shared" si="54"/>
        <v>1.1579900531530603</v>
      </c>
      <c r="L14" s="866">
        <f t="shared" si="54"/>
        <v>0.97830957302857302</v>
      </c>
      <c r="M14" s="866">
        <f t="shared" si="54"/>
        <v>0.72078769470509885</v>
      </c>
      <c r="N14" s="866">
        <f t="shared" si="54"/>
        <v>1.0077931193905161</v>
      </c>
      <c r="O14" s="866">
        <f t="shared" si="54"/>
        <v>1.4131345828696946</v>
      </c>
      <c r="P14" s="866">
        <f t="shared" si="54"/>
        <v>0.3347751641977848</v>
      </c>
      <c r="Q14" s="866">
        <f t="shared" si="54"/>
        <v>0.7940167728820744</v>
      </c>
      <c r="R14" s="866">
        <f t="shared" si="54"/>
        <v>0.74321750230406081</v>
      </c>
      <c r="S14" s="866">
        <f t="shared" si="54"/>
        <v>1.1013809581724578</v>
      </c>
      <c r="T14" s="866">
        <f t="shared" si="54"/>
        <v>1.0263463248258229</v>
      </c>
      <c r="U14" s="866">
        <f t="shared" si="54"/>
        <v>1.2950574938426436</v>
      </c>
      <c r="V14" s="866">
        <f t="shared" si="54"/>
        <v>0.6295225374645903</v>
      </c>
      <c r="W14" s="866">
        <f t="shared" si="54"/>
        <v>0.29920690799130295</v>
      </c>
      <c r="X14" s="866">
        <f t="shared" si="54"/>
        <v>0.686155592412656</v>
      </c>
      <c r="Y14" s="866">
        <f t="shared" si="54"/>
        <v>0.3345588112450566</v>
      </c>
      <c r="Z14" s="866">
        <f t="shared" ref="Z14:AA14" si="55">Z13/Z4</f>
        <v>0.84263257547959081</v>
      </c>
      <c r="AA14" s="866">
        <f t="shared" si="55"/>
        <v>0.39349010603995771</v>
      </c>
      <c r="AB14" s="866">
        <f t="shared" ref="AB14:AC14" si="56">AB13/AB4</f>
        <v>0.72023260455278926</v>
      </c>
      <c r="AC14" s="866">
        <f t="shared" si="56"/>
        <v>0</v>
      </c>
      <c r="AD14" s="866">
        <f t="shared" ref="AD14:AE14" si="57">AD13/AD4</f>
        <v>0.61615682872229893</v>
      </c>
      <c r="AE14" s="866">
        <f t="shared" si="57"/>
        <v>0.59791262777188681</v>
      </c>
      <c r="AF14" s="866">
        <f t="shared" ref="AF14:AG14" si="58">AF13/AF4</f>
        <v>0.33743656130417216</v>
      </c>
      <c r="AG14" s="866">
        <f t="shared" si="58"/>
        <v>0.33734244763406557</v>
      </c>
      <c r="AH14" s="866">
        <f t="shared" ref="AH14:AI14" si="59">AH13/AH4</f>
        <v>0.62356518820803386</v>
      </c>
      <c r="AI14" s="866">
        <f t="shared" si="59"/>
        <v>0</v>
      </c>
      <c r="AJ14" s="869">
        <f t="shared" si="54"/>
        <v>0.62885915363284828</v>
      </c>
      <c r="AK14" s="852" t="s">
        <v>216</v>
      </c>
      <c r="AL14" s="849">
        <f t="shared" ref="AL14:AM14" si="60">AL13/AL4</f>
        <v>0.40308118971603685</v>
      </c>
      <c r="AM14" s="849">
        <f t="shared" si="60"/>
        <v>0.35174926999636136</v>
      </c>
      <c r="AN14" s="849">
        <f t="shared" ref="AN14:AO14" si="61">AN13/AN4</f>
        <v>0.72619007288918935</v>
      </c>
      <c r="AO14" s="849">
        <f t="shared" si="61"/>
        <v>0.54003404085035522</v>
      </c>
      <c r="AP14" s="849">
        <f t="shared" ref="AP14:AS14" si="62">AP13/AP4</f>
        <v>0.78294645342173252</v>
      </c>
      <c r="AQ14" s="849">
        <f t="shared" si="62"/>
        <v>0.54977044900774941</v>
      </c>
      <c r="AR14" s="849">
        <f t="shared" si="62"/>
        <v>1.1221483350607988</v>
      </c>
      <c r="AS14" s="849">
        <f t="shared" si="62"/>
        <v>0.52348580788061849</v>
      </c>
      <c r="AT14" s="849">
        <f t="shared" ref="AT14:AU14" si="63">AT13/AT4</f>
        <v>0.71557993949915077</v>
      </c>
      <c r="AU14" s="849">
        <f t="shared" si="63"/>
        <v>0.62885915363284817</v>
      </c>
      <c r="AV14" s="914"/>
      <c r="AW14" s="843"/>
      <c r="AX14" s="848"/>
      <c r="AY14" s="849"/>
      <c r="AZ14" s="849"/>
      <c r="BA14" s="849"/>
      <c r="BB14" s="849"/>
      <c r="BC14" s="849"/>
    </row>
    <row r="15" spans="1:55" s="947" customFormat="1" x14ac:dyDescent="0.25">
      <c r="A15" s="1041">
        <v>41970</v>
      </c>
      <c r="B15" s="1041"/>
      <c r="C15" s="1041"/>
      <c r="D15" s="529"/>
      <c r="E15" s="529"/>
      <c r="F15" s="529"/>
      <c r="G15" s="529"/>
      <c r="H15" s="529"/>
      <c r="I15" s="525"/>
      <c r="J15" s="531"/>
      <c r="K15" s="531"/>
      <c r="L15" s="529"/>
      <c r="M15" s="529"/>
      <c r="N15" s="527"/>
      <c r="R15" s="526"/>
      <c r="S15" s="534"/>
      <c r="T15" s="534"/>
      <c r="U15" s="534"/>
      <c r="V15" s="534"/>
      <c r="W15" s="534"/>
      <c r="X15" s="534"/>
      <c r="Y15" s="534"/>
      <c r="Z15" s="534"/>
      <c r="AA15" s="534"/>
      <c r="AB15" s="534"/>
      <c r="AC15" s="534"/>
      <c r="AD15" s="534"/>
      <c r="AE15" s="534"/>
      <c r="AF15" s="534"/>
      <c r="AG15" s="534"/>
      <c r="AH15" s="534"/>
      <c r="AI15" s="534"/>
      <c r="AJ15" s="534"/>
      <c r="AK15" s="534"/>
      <c r="AL15" s="534"/>
      <c r="AM15" s="534"/>
      <c r="AN15" s="534"/>
      <c r="AO15" s="534"/>
    </row>
    <row r="16" spans="1:55" s="947" customFormat="1" x14ac:dyDescent="0.25">
      <c r="A16" s="1042" t="s">
        <v>1</v>
      </c>
      <c r="B16" s="1042"/>
      <c r="C16" s="1038" t="s">
        <v>12</v>
      </c>
      <c r="D16" s="1038" t="s">
        <v>12</v>
      </c>
      <c r="E16" s="1038" t="s">
        <v>13</v>
      </c>
      <c r="F16" s="1038" t="s">
        <v>13</v>
      </c>
      <c r="G16" s="1038" t="s">
        <v>13</v>
      </c>
      <c r="H16" s="1038" t="s">
        <v>13</v>
      </c>
      <c r="I16" s="1038" t="s">
        <v>13</v>
      </c>
      <c r="J16" s="1038" t="s">
        <v>13</v>
      </c>
      <c r="K16" s="1038" t="s">
        <v>13</v>
      </c>
      <c r="L16" s="1038" t="s">
        <v>13</v>
      </c>
      <c r="M16" s="829" t="s">
        <v>2</v>
      </c>
      <c r="N16" s="1038" t="s">
        <v>2</v>
      </c>
      <c r="O16" s="1038" t="s">
        <v>2</v>
      </c>
      <c r="P16" s="1038" t="s">
        <v>2</v>
      </c>
      <c r="Q16" s="1038" t="s">
        <v>2</v>
      </c>
      <c r="R16" s="1038" t="s">
        <v>2</v>
      </c>
      <c r="S16" s="1038" t="s">
        <v>2</v>
      </c>
      <c r="T16" s="830" t="s">
        <v>183</v>
      </c>
      <c r="U16" s="830" t="s">
        <v>183</v>
      </c>
      <c r="V16" s="830" t="s">
        <v>2</v>
      </c>
      <c r="W16" s="830" t="s">
        <v>13</v>
      </c>
      <c r="X16" s="830" t="s">
        <v>13</v>
      </c>
      <c r="Y16" s="830" t="s">
        <v>2</v>
      </c>
      <c r="Z16" s="830" t="s">
        <v>13</v>
      </c>
      <c r="AA16" s="830" t="s">
        <v>2</v>
      </c>
      <c r="AB16" s="888" t="s">
        <v>2</v>
      </c>
      <c r="AC16" s="888" t="s">
        <v>2</v>
      </c>
      <c r="AD16" s="888" t="s">
        <v>13</v>
      </c>
      <c r="AE16" s="888" t="s">
        <v>12</v>
      </c>
      <c r="AF16" s="888" t="s">
        <v>13</v>
      </c>
      <c r="AG16" s="888" t="s">
        <v>12</v>
      </c>
      <c r="AH16" s="888" t="s">
        <v>13</v>
      </c>
      <c r="AI16" s="888" t="s">
        <v>13</v>
      </c>
      <c r="AJ16" s="831" t="s">
        <v>219</v>
      </c>
      <c r="AK16" s="1042" t="s">
        <v>0</v>
      </c>
      <c r="AL16" s="1042"/>
      <c r="AM16" s="833"/>
      <c r="AN16" s="833"/>
      <c r="AO16" s="833"/>
      <c r="AP16" s="833"/>
      <c r="AQ16" s="833"/>
      <c r="AR16" s="833"/>
      <c r="AS16" s="833"/>
      <c r="AT16" s="833"/>
      <c r="AU16" s="803"/>
      <c r="AV16" s="803"/>
      <c r="AW16" s="1042" t="s">
        <v>1</v>
      </c>
      <c r="AX16" s="1043"/>
      <c r="AY16" s="1038" t="s">
        <v>12</v>
      </c>
      <c r="AZ16" s="1044" t="s">
        <v>13</v>
      </c>
      <c r="BA16" s="1045"/>
      <c r="BB16" s="1044" t="s">
        <v>2</v>
      </c>
      <c r="BC16" s="1045"/>
    </row>
    <row r="17" spans="1:55" s="947" customFormat="1" x14ac:dyDescent="0.25">
      <c r="A17" s="1042" t="s">
        <v>0</v>
      </c>
      <c r="B17" s="1042"/>
      <c r="C17" s="834" t="s">
        <v>99</v>
      </c>
      <c r="D17" s="835" t="s">
        <v>100</v>
      </c>
      <c r="E17" s="835" t="s">
        <v>101</v>
      </c>
      <c r="F17" s="834" t="s">
        <v>102</v>
      </c>
      <c r="G17" s="835" t="s">
        <v>97</v>
      </c>
      <c r="H17" s="834" t="s">
        <v>104</v>
      </c>
      <c r="I17" s="835" t="s">
        <v>103</v>
      </c>
      <c r="J17" s="835" t="s">
        <v>178</v>
      </c>
      <c r="K17" s="835" t="s">
        <v>199</v>
      </c>
      <c r="L17" s="834" t="s">
        <v>206</v>
      </c>
      <c r="M17" s="834" t="s">
        <v>105</v>
      </c>
      <c r="N17" s="834" t="s">
        <v>107</v>
      </c>
      <c r="O17" s="835" t="s">
        <v>98</v>
      </c>
      <c r="P17" s="835" t="s">
        <v>106</v>
      </c>
      <c r="Q17" s="835" t="s">
        <v>179</v>
      </c>
      <c r="R17" s="835" t="s">
        <v>198</v>
      </c>
      <c r="S17" s="834" t="s">
        <v>207</v>
      </c>
      <c r="T17" s="834">
        <v>1383</v>
      </c>
      <c r="U17" s="834" t="s">
        <v>184</v>
      </c>
      <c r="V17" s="835" t="s">
        <v>221</v>
      </c>
      <c r="W17" s="835" t="s">
        <v>222</v>
      </c>
      <c r="X17" s="835" t="s">
        <v>255</v>
      </c>
      <c r="Y17" s="835" t="s">
        <v>256</v>
      </c>
      <c r="Z17" s="835" t="s">
        <v>266</v>
      </c>
      <c r="AA17" s="835" t="s">
        <v>267</v>
      </c>
      <c r="AB17" s="889" t="s">
        <v>268</v>
      </c>
      <c r="AC17" s="889" t="s">
        <v>269</v>
      </c>
      <c r="AD17" s="889" t="s">
        <v>295</v>
      </c>
      <c r="AE17" s="889" t="s">
        <v>290</v>
      </c>
      <c r="AF17" s="946" t="s">
        <v>291</v>
      </c>
      <c r="AG17" s="946" t="s">
        <v>292</v>
      </c>
      <c r="AH17" s="889" t="s">
        <v>293</v>
      </c>
      <c r="AI17" s="889" t="s">
        <v>294</v>
      </c>
      <c r="AJ17" s="836"/>
      <c r="AK17" s="903" t="s">
        <v>1</v>
      </c>
      <c r="AL17" s="838" t="s">
        <v>257</v>
      </c>
      <c r="AM17" s="838" t="s">
        <v>258</v>
      </c>
      <c r="AN17" s="838" t="s">
        <v>259</v>
      </c>
      <c r="AO17" s="838" t="s">
        <v>260</v>
      </c>
      <c r="AP17" s="838" t="s">
        <v>261</v>
      </c>
      <c r="AQ17" s="838" t="s">
        <v>262</v>
      </c>
      <c r="AR17" s="838" t="s">
        <v>263</v>
      </c>
      <c r="AS17" s="904" t="s">
        <v>264</v>
      </c>
      <c r="AT17" s="904" t="s">
        <v>265</v>
      </c>
      <c r="AU17" s="988" t="s">
        <v>306</v>
      </c>
      <c r="AV17" s="988"/>
      <c r="AW17" s="1046" t="s">
        <v>0</v>
      </c>
      <c r="AX17" s="1043"/>
      <c r="AY17" s="834" t="s">
        <v>99</v>
      </c>
      <c r="AZ17" s="834" t="s">
        <v>104</v>
      </c>
      <c r="BA17" s="834" t="s">
        <v>206</v>
      </c>
      <c r="BB17" s="834" t="s">
        <v>107</v>
      </c>
      <c r="BC17" s="834" t="s">
        <v>207</v>
      </c>
    </row>
    <row r="18" spans="1:55" s="947" customFormat="1" ht="30" x14ac:dyDescent="0.25">
      <c r="A18" s="1047" t="s">
        <v>9</v>
      </c>
      <c r="B18" s="839" t="s">
        <v>4</v>
      </c>
      <c r="C18" s="840">
        <v>250018.4</v>
      </c>
      <c r="D18" s="840">
        <v>150516.70000000001</v>
      </c>
      <c r="E18" s="840">
        <v>150516.70000000001</v>
      </c>
      <c r="F18" s="840">
        <v>181998.8</v>
      </c>
      <c r="G18" s="840">
        <v>165765.70000000001</v>
      </c>
      <c r="H18" s="840">
        <v>389505</v>
      </c>
      <c r="I18" s="840">
        <v>171975.5</v>
      </c>
      <c r="J18" s="840">
        <v>166078</v>
      </c>
      <c r="K18" s="840">
        <v>124019.2</v>
      </c>
      <c r="L18" s="840">
        <v>224071.2</v>
      </c>
      <c r="M18" s="840">
        <v>193029.1</v>
      </c>
      <c r="N18" s="840">
        <v>438219.9</v>
      </c>
      <c r="O18" s="840">
        <v>83038.8</v>
      </c>
      <c r="P18" s="840">
        <v>276130.40000000002</v>
      </c>
      <c r="Q18" s="840">
        <v>83038.8</v>
      </c>
      <c r="R18" s="840">
        <v>191618.2</v>
      </c>
      <c r="S18" s="840">
        <v>262288.90000000002</v>
      </c>
      <c r="T18" s="840">
        <v>59723.7</v>
      </c>
      <c r="U18" s="840">
        <v>33090.5</v>
      </c>
      <c r="V18" s="840">
        <v>102196.5</v>
      </c>
      <c r="W18" s="840">
        <v>209496.5</v>
      </c>
      <c r="X18" s="840">
        <v>102196.5</v>
      </c>
      <c r="Y18" s="840">
        <v>209496.5</v>
      </c>
      <c r="Z18" s="840">
        <v>102196.5</v>
      </c>
      <c r="AA18" s="840">
        <v>209496.5</v>
      </c>
      <c r="AB18" s="840">
        <v>328695.2</v>
      </c>
      <c r="AC18" s="901">
        <v>190871.2</v>
      </c>
      <c r="AD18" s="901">
        <v>224071.2</v>
      </c>
      <c r="AE18" s="901">
        <v>224071.2</v>
      </c>
      <c r="AF18" s="901">
        <v>156194.1</v>
      </c>
      <c r="AG18" s="901">
        <v>156194.1</v>
      </c>
      <c r="AH18" s="901">
        <v>224071.2</v>
      </c>
      <c r="AI18" s="901">
        <v>190871.2</v>
      </c>
      <c r="AJ18" s="840">
        <v>6224761.9000000004</v>
      </c>
      <c r="AK18" s="841" t="s">
        <v>4</v>
      </c>
      <c r="AL18" s="863">
        <v>474089.6</v>
      </c>
      <c r="AM18" s="863">
        <v>306710.80000000005</v>
      </c>
      <c r="AN18" s="863">
        <v>1434588.5999999999</v>
      </c>
      <c r="AO18" s="863">
        <v>1348438.7000000002</v>
      </c>
      <c r="AP18" s="863">
        <v>1413104.3</v>
      </c>
      <c r="AQ18" s="863">
        <v>1155015.7</v>
      </c>
      <c r="AR18" s="863">
        <v>92814.2</v>
      </c>
      <c r="AS18" s="863">
        <v>2810165.2</v>
      </c>
      <c r="AT18" s="863">
        <v>3414596.7</v>
      </c>
      <c r="AU18" s="863">
        <v>6224761.9000000004</v>
      </c>
      <c r="AV18" s="989"/>
      <c r="AW18" s="875" t="s">
        <v>194</v>
      </c>
      <c r="AX18" s="872" t="s">
        <v>4</v>
      </c>
      <c r="AY18" s="840">
        <v>143393</v>
      </c>
      <c r="AZ18" s="840">
        <v>132132</v>
      </c>
      <c r="BA18" s="840">
        <v>83196.100000000006</v>
      </c>
      <c r="BB18" s="840">
        <v>132132.20000000001</v>
      </c>
      <c r="BC18" s="840">
        <v>83196.100000000006</v>
      </c>
    </row>
    <row r="19" spans="1:55" s="947" customFormat="1" x14ac:dyDescent="0.25">
      <c r="A19" s="1047"/>
      <c r="B19" s="844" t="s">
        <v>5</v>
      </c>
      <c r="C19" s="583">
        <v>54312.2</v>
      </c>
      <c r="D19" s="583">
        <v>87105.2</v>
      </c>
      <c r="E19" s="583">
        <v>86852.5</v>
      </c>
      <c r="F19" s="583">
        <v>102653.3</v>
      </c>
      <c r="G19" s="583">
        <v>120565.9</v>
      </c>
      <c r="H19" s="583">
        <v>211105.9</v>
      </c>
      <c r="I19" s="583">
        <v>98221.5</v>
      </c>
      <c r="J19" s="583">
        <v>53411.5</v>
      </c>
      <c r="K19" s="583">
        <v>100811.1</v>
      </c>
      <c r="L19" s="583">
        <v>101060.6</v>
      </c>
      <c r="M19" s="583">
        <v>81140.100000000006</v>
      </c>
      <c r="N19" s="583">
        <v>215816.2</v>
      </c>
      <c r="O19" s="583">
        <v>60881.8</v>
      </c>
      <c r="P19" s="583">
        <v>184926.8</v>
      </c>
      <c r="Q19" s="583">
        <v>27593</v>
      </c>
      <c r="R19" s="583">
        <v>151294.1</v>
      </c>
      <c r="S19" s="583">
        <v>156479.4</v>
      </c>
      <c r="T19" s="583">
        <v>40495.1</v>
      </c>
      <c r="U19" s="583">
        <v>14288.8</v>
      </c>
      <c r="V19" s="583">
        <v>16114.9</v>
      </c>
      <c r="W19" s="583">
        <v>32218</v>
      </c>
      <c r="X19" s="583">
        <v>43633.5</v>
      </c>
      <c r="Y19" s="583">
        <v>86385.1</v>
      </c>
      <c r="Z19" s="583">
        <v>41388.1</v>
      </c>
      <c r="AA19" s="583">
        <v>75655.399999999994</v>
      </c>
      <c r="AB19" s="583">
        <v>141628.9</v>
      </c>
      <c r="AC19" s="583">
        <v>4.9000000000000004</v>
      </c>
      <c r="AD19" s="583">
        <v>54793.5</v>
      </c>
      <c r="AE19" s="583">
        <v>80379.3</v>
      </c>
      <c r="AF19" s="583">
        <v>32983.699999999997</v>
      </c>
      <c r="AG19" s="583">
        <v>32956.5</v>
      </c>
      <c r="AH19" s="583">
        <v>21966.9</v>
      </c>
      <c r="AI19" s="583">
        <v>4.9000000000000004</v>
      </c>
      <c r="AJ19" s="845">
        <v>2609128.5999999996</v>
      </c>
      <c r="AK19" s="846" t="s">
        <v>5</v>
      </c>
      <c r="AL19" s="863">
        <v>134691.5</v>
      </c>
      <c r="AM19" s="863">
        <v>120061.7</v>
      </c>
      <c r="AN19" s="863">
        <v>491585.10000000009</v>
      </c>
      <c r="AO19" s="863">
        <v>610085.79999999993</v>
      </c>
      <c r="AP19" s="863">
        <v>595069.50000000012</v>
      </c>
      <c r="AQ19" s="863">
        <v>602851.1</v>
      </c>
      <c r="AR19" s="863">
        <v>54783.899999999994</v>
      </c>
      <c r="AS19" s="863">
        <v>1332998.5999999999</v>
      </c>
      <c r="AT19" s="863">
        <v>1276130</v>
      </c>
      <c r="AU19" s="863">
        <v>2609128.5999999996</v>
      </c>
      <c r="AV19" s="990"/>
      <c r="AW19" s="876"/>
      <c r="AX19" s="873" t="s">
        <v>5</v>
      </c>
      <c r="AY19" s="583">
        <v>51964.9</v>
      </c>
      <c r="AZ19" s="583">
        <v>58542</v>
      </c>
      <c r="BA19" s="583">
        <v>2519</v>
      </c>
      <c r="BB19" s="583">
        <v>70731</v>
      </c>
      <c r="BC19" s="583">
        <v>31444.9</v>
      </c>
    </row>
    <row r="20" spans="1:55" s="947" customFormat="1" x14ac:dyDescent="0.25">
      <c r="A20" s="1047"/>
      <c r="B20" s="848" t="s">
        <v>3</v>
      </c>
      <c r="C20" s="866">
        <v>0.21723281166506145</v>
      </c>
      <c r="D20" s="866">
        <v>0.57870787759763531</v>
      </c>
      <c r="E20" s="866">
        <v>0.57702899412490438</v>
      </c>
      <c r="F20" s="866">
        <v>0.56403283977696561</v>
      </c>
      <c r="G20" s="866">
        <v>0.72732718529828544</v>
      </c>
      <c r="H20" s="866">
        <v>0.5419850836317891</v>
      </c>
      <c r="I20" s="866">
        <v>0.57113658631607411</v>
      </c>
      <c r="J20" s="866">
        <v>0.32160490853695251</v>
      </c>
      <c r="K20" s="866">
        <v>0.81286687867685015</v>
      </c>
      <c r="L20" s="866">
        <v>0.45102003291810816</v>
      </c>
      <c r="M20" s="866">
        <v>0.42035164646159573</v>
      </c>
      <c r="N20" s="866">
        <v>0.4924837963771157</v>
      </c>
      <c r="O20" s="866">
        <v>0.73317292639103648</v>
      </c>
      <c r="P20" s="866">
        <v>0.66970822480972747</v>
      </c>
      <c r="Q20" s="866">
        <v>0.33229044735713908</v>
      </c>
      <c r="R20" s="866">
        <v>0.78956017747792218</v>
      </c>
      <c r="S20" s="866">
        <v>0.59659177342235981</v>
      </c>
      <c r="T20" s="866">
        <v>0.67804071080659778</v>
      </c>
      <c r="U20" s="866">
        <v>0.43180973391154559</v>
      </c>
      <c r="V20" s="866">
        <v>0.1576854393252215</v>
      </c>
      <c r="W20" s="866">
        <v>0.15378777211075126</v>
      </c>
      <c r="X20" s="866">
        <v>0.42695689187007385</v>
      </c>
      <c r="Y20" s="866">
        <v>0.41234626831474513</v>
      </c>
      <c r="Z20" s="866">
        <v>0.40498549363236508</v>
      </c>
      <c r="AA20" s="866">
        <v>0.36112966087738935</v>
      </c>
      <c r="AB20" s="866">
        <v>0.4308821668220284</v>
      </c>
      <c r="AC20" s="866">
        <v>2.5671761900171424E-5</v>
      </c>
      <c r="AD20" s="866">
        <v>0.2445361117359125</v>
      </c>
      <c r="AE20" s="866">
        <v>0.35872213832031963</v>
      </c>
      <c r="AF20" s="866">
        <v>0.21117122861875062</v>
      </c>
      <c r="AG20" s="866">
        <v>0.21099708631760097</v>
      </c>
      <c r="AH20" s="866">
        <v>9.8035356618789024E-2</v>
      </c>
      <c r="AI20" s="866">
        <v>2.5671761900171424E-5</v>
      </c>
      <c r="AJ20" s="869">
        <v>0.4191531566853986</v>
      </c>
      <c r="AK20" s="852" t="s">
        <v>3</v>
      </c>
      <c r="AL20" s="849">
        <v>0.28410557835480887</v>
      </c>
      <c r="AM20" s="849">
        <v>0.39144920883125073</v>
      </c>
      <c r="AN20" s="849">
        <v>0.34266625288950447</v>
      </c>
      <c r="AO20" s="849">
        <v>0.45243866109746023</v>
      </c>
      <c r="AP20" s="849">
        <v>0.42110798190904952</v>
      </c>
      <c r="AQ20" s="849">
        <v>0.52194190953421671</v>
      </c>
      <c r="AR20" s="849">
        <v>0.59025343104826633</v>
      </c>
      <c r="AS20" s="849">
        <v>0.47434883899352243</v>
      </c>
      <c r="AT20" s="849">
        <v>0.37372788417443265</v>
      </c>
      <c r="AU20" s="849">
        <v>0.4191531566853986</v>
      </c>
      <c r="AV20" s="991"/>
      <c r="AW20" s="876"/>
      <c r="AX20" s="874" t="s">
        <v>3</v>
      </c>
      <c r="AY20" s="849">
        <v>0.36239495651810061</v>
      </c>
      <c r="AZ20" s="849">
        <v>0.44305694305694304</v>
      </c>
      <c r="BA20" s="849">
        <v>3.0277861582453984E-2</v>
      </c>
      <c r="BB20" s="849">
        <v>0.53530479322981073</v>
      </c>
      <c r="BC20" s="849">
        <v>0.37796122654787906</v>
      </c>
    </row>
    <row r="21" spans="1:55" s="947" customFormat="1" ht="30" x14ac:dyDescent="0.25">
      <c r="A21" s="1040" t="s">
        <v>6</v>
      </c>
      <c r="B21" s="854" t="s">
        <v>7</v>
      </c>
      <c r="C21" s="840">
        <v>3713</v>
      </c>
      <c r="D21" s="840">
        <v>3620</v>
      </c>
      <c r="E21" s="840">
        <v>3560</v>
      </c>
      <c r="F21" s="840">
        <v>6588</v>
      </c>
      <c r="G21" s="840">
        <v>8432</v>
      </c>
      <c r="H21" s="840">
        <v>14882</v>
      </c>
      <c r="I21" s="840">
        <v>7076</v>
      </c>
      <c r="J21" s="840">
        <v>9599</v>
      </c>
      <c r="K21" s="840">
        <v>6863</v>
      </c>
      <c r="L21" s="840">
        <v>9273</v>
      </c>
      <c r="M21" s="840">
        <v>5429</v>
      </c>
      <c r="N21" s="840">
        <v>14829</v>
      </c>
      <c r="O21" s="840">
        <v>4357</v>
      </c>
      <c r="P21" s="840">
        <v>8508</v>
      </c>
      <c r="Q21" s="840">
        <v>4799</v>
      </c>
      <c r="R21" s="840">
        <v>9395</v>
      </c>
      <c r="S21" s="867">
        <v>10561</v>
      </c>
      <c r="T21" s="855">
        <v>2479</v>
      </c>
      <c r="U21" s="857">
        <v>1570</v>
      </c>
      <c r="V21" s="840">
        <v>3999</v>
      </c>
      <c r="W21" s="840">
        <v>7999</v>
      </c>
      <c r="X21" s="840">
        <v>3999</v>
      </c>
      <c r="Y21" s="840">
        <v>7999</v>
      </c>
      <c r="Z21" s="840">
        <v>3999</v>
      </c>
      <c r="AA21" s="840">
        <v>7999</v>
      </c>
      <c r="AB21" s="840">
        <v>11649</v>
      </c>
      <c r="AC21" s="840">
        <v>6400</v>
      </c>
      <c r="AD21" s="840">
        <v>6399</v>
      </c>
      <c r="AE21" s="840">
        <v>6399</v>
      </c>
      <c r="AF21" s="840">
        <v>4800</v>
      </c>
      <c r="AG21" s="840">
        <v>4800</v>
      </c>
      <c r="AH21" s="840">
        <v>6399</v>
      </c>
      <c r="AI21" s="840">
        <v>6400</v>
      </c>
      <c r="AJ21" s="840">
        <v>224773</v>
      </c>
      <c r="AK21" s="856" t="s">
        <v>7</v>
      </c>
      <c r="AL21" s="858">
        <v>10112</v>
      </c>
      <c r="AM21" s="858">
        <v>8420</v>
      </c>
      <c r="AN21" s="858">
        <v>49941</v>
      </c>
      <c r="AO21" s="858">
        <v>56327</v>
      </c>
      <c r="AP21" s="858">
        <v>48868</v>
      </c>
      <c r="AQ21" s="858">
        <v>47056</v>
      </c>
      <c r="AR21" s="858">
        <v>4049</v>
      </c>
      <c r="AS21" s="858">
        <v>111803</v>
      </c>
      <c r="AT21" s="858">
        <v>112970</v>
      </c>
      <c r="AU21" s="858">
        <v>224773</v>
      </c>
      <c r="AV21" s="657"/>
      <c r="AW21" s="880" t="s">
        <v>190</v>
      </c>
      <c r="AX21" s="879" t="s">
        <v>4</v>
      </c>
      <c r="AY21" s="857">
        <v>9191.7999999999993</v>
      </c>
      <c r="AZ21" s="857">
        <v>13787.7</v>
      </c>
      <c r="BA21" s="857">
        <v>8804.7999999999993</v>
      </c>
      <c r="BB21" s="857">
        <v>13787.7</v>
      </c>
      <c r="BC21" s="857">
        <v>8804.7999999999993</v>
      </c>
    </row>
    <row r="22" spans="1:55" s="947" customFormat="1" x14ac:dyDescent="0.25">
      <c r="A22" s="1040"/>
      <c r="B22" s="839" t="s">
        <v>11</v>
      </c>
      <c r="C22" s="858">
        <v>125191.22099999999</v>
      </c>
      <c r="D22" s="858">
        <v>122055.54</v>
      </c>
      <c r="E22" s="858">
        <v>120032.51999999999</v>
      </c>
      <c r="F22" s="858">
        <v>222127.59599999999</v>
      </c>
      <c r="G22" s="858">
        <v>284301.74400000001</v>
      </c>
      <c r="H22" s="858">
        <v>501776.39399999997</v>
      </c>
      <c r="I22" s="858">
        <v>238581.492</v>
      </c>
      <c r="J22" s="858">
        <v>323649.48300000001</v>
      </c>
      <c r="K22" s="858">
        <v>231399.77099999998</v>
      </c>
      <c r="L22" s="858">
        <v>312657.74099999998</v>
      </c>
      <c r="M22" s="858">
        <v>183049.59299999999</v>
      </c>
      <c r="N22" s="858">
        <v>499989.39299999998</v>
      </c>
      <c r="O22" s="858">
        <v>146904.96899999998</v>
      </c>
      <c r="P22" s="858">
        <v>286864.23599999998</v>
      </c>
      <c r="Q22" s="858">
        <v>161807.883</v>
      </c>
      <c r="R22" s="858">
        <v>316771.21499999997</v>
      </c>
      <c r="S22" s="858">
        <v>356085.23699999996</v>
      </c>
      <c r="T22" s="858">
        <v>83584.442999999999</v>
      </c>
      <c r="U22" s="858">
        <v>52935.689999999995</v>
      </c>
      <c r="V22" s="858">
        <v>134834.283</v>
      </c>
      <c r="W22" s="858">
        <v>269702.283</v>
      </c>
      <c r="X22" s="858">
        <v>134834.283</v>
      </c>
      <c r="Y22" s="858">
        <v>269702.283</v>
      </c>
      <c r="Z22" s="858">
        <v>134834.283</v>
      </c>
      <c r="AA22" s="858">
        <v>269702.283</v>
      </c>
      <c r="AB22" s="858">
        <v>392769.33299999998</v>
      </c>
      <c r="AC22" s="858">
        <v>215788.79999999999</v>
      </c>
      <c r="AD22" s="858">
        <v>215755.08299999998</v>
      </c>
      <c r="AE22" s="858">
        <v>215755.08299999998</v>
      </c>
      <c r="AF22" s="858">
        <v>161841.60000000001</v>
      </c>
      <c r="AG22" s="858">
        <v>161841.60000000001</v>
      </c>
      <c r="AH22" s="858">
        <v>215755.08299999998</v>
      </c>
      <c r="AI22" s="858">
        <v>215788.79999999999</v>
      </c>
      <c r="AJ22" s="859">
        <v>7578671.2409999967</v>
      </c>
      <c r="AK22" s="841" t="s">
        <v>11</v>
      </c>
      <c r="AL22" s="858">
        <v>340946.304</v>
      </c>
      <c r="AM22" s="858">
        <v>283897.14</v>
      </c>
      <c r="AN22" s="858">
        <v>1683860.6969999999</v>
      </c>
      <c r="AO22" s="858">
        <v>1899177.459</v>
      </c>
      <c r="AP22" s="858">
        <v>1647682.3559999999</v>
      </c>
      <c r="AQ22" s="858">
        <v>1586587.152</v>
      </c>
      <c r="AR22" s="858">
        <v>136520.133</v>
      </c>
      <c r="AS22" s="858">
        <v>3769661.7509999997</v>
      </c>
      <c r="AT22" s="858">
        <v>3809009.4899999998</v>
      </c>
      <c r="AU22" s="858">
        <v>7578671.2409999995</v>
      </c>
      <c r="AV22" s="992"/>
      <c r="AW22" s="876"/>
      <c r="AX22" s="873" t="s">
        <v>5</v>
      </c>
      <c r="AY22" s="583">
        <v>7975.5</v>
      </c>
      <c r="AZ22" s="583">
        <v>13649</v>
      </c>
      <c r="BA22" s="583">
        <v>1289.9000000000001</v>
      </c>
      <c r="BB22" s="583">
        <v>13642</v>
      </c>
      <c r="BC22" s="583">
        <v>5483.9</v>
      </c>
    </row>
    <row r="23" spans="1:55" s="947" customFormat="1" x14ac:dyDescent="0.25">
      <c r="A23" s="1040"/>
      <c r="B23" s="839" t="s">
        <v>79</v>
      </c>
      <c r="C23" s="858">
        <v>164000</v>
      </c>
      <c r="D23" s="858">
        <v>109880</v>
      </c>
      <c r="E23" s="858">
        <v>109880</v>
      </c>
      <c r="F23" s="858">
        <v>328000</v>
      </c>
      <c r="G23" s="858">
        <v>330905</v>
      </c>
      <c r="H23" s="858">
        <v>264264</v>
      </c>
      <c r="I23" s="858">
        <v>242663.6</v>
      </c>
      <c r="J23" s="858">
        <v>328000</v>
      </c>
      <c r="K23" s="858">
        <v>328000</v>
      </c>
      <c r="L23" s="858">
        <v>328000</v>
      </c>
      <c r="M23" s="858">
        <v>328000</v>
      </c>
      <c r="N23" s="858">
        <v>264264.40000000002</v>
      </c>
      <c r="O23" s="858">
        <v>328000</v>
      </c>
      <c r="P23" s="858">
        <v>352965.4</v>
      </c>
      <c r="Q23" s="858">
        <v>328000</v>
      </c>
      <c r="R23" s="858">
        <v>328000</v>
      </c>
      <c r="S23" s="858">
        <v>328000</v>
      </c>
      <c r="T23" s="858">
        <v>119447.4</v>
      </c>
      <c r="U23" s="858">
        <v>66181</v>
      </c>
      <c r="V23" s="858">
        <v>204393</v>
      </c>
      <c r="W23" s="858">
        <v>418993</v>
      </c>
      <c r="X23" s="858">
        <v>204393</v>
      </c>
      <c r="Y23" s="858">
        <v>418993</v>
      </c>
      <c r="Z23" s="858">
        <v>204393</v>
      </c>
      <c r="AA23" s="858">
        <v>418993</v>
      </c>
      <c r="AB23" s="858">
        <v>657390.4</v>
      </c>
      <c r="AC23" s="858">
        <v>381742.4</v>
      </c>
      <c r="AD23" s="858">
        <v>448142.4</v>
      </c>
      <c r="AE23" s="858">
        <v>448142.4</v>
      </c>
      <c r="AF23" s="858">
        <v>312388.2</v>
      </c>
      <c r="AG23" s="858">
        <v>312388.2</v>
      </c>
      <c r="AH23" s="858">
        <v>448142.4</v>
      </c>
      <c r="AI23" s="858">
        <v>381742.4</v>
      </c>
      <c r="AJ23" s="859">
        <v>10236687.600000001</v>
      </c>
      <c r="AK23" s="841" t="s">
        <v>79</v>
      </c>
      <c r="AL23" s="858">
        <v>948179.2</v>
      </c>
      <c r="AM23" s="858">
        <v>613421.60000000009</v>
      </c>
      <c r="AN23" s="858">
        <v>2869177.1999999997</v>
      </c>
      <c r="AO23" s="858">
        <v>2696877.4000000004</v>
      </c>
      <c r="AP23" s="858">
        <v>2826208.6</v>
      </c>
      <c r="AQ23" s="858">
        <v>2310031.4</v>
      </c>
      <c r="AR23" s="858">
        <v>185628.4</v>
      </c>
      <c r="AS23" s="858">
        <v>5620330.4000000004</v>
      </c>
      <c r="AT23" s="858">
        <v>6829193.4000000004</v>
      </c>
      <c r="AU23" s="858">
        <v>12449523.800000001</v>
      </c>
      <c r="AV23" s="993"/>
      <c r="AW23" s="877"/>
      <c r="AX23" s="874" t="s">
        <v>3</v>
      </c>
      <c r="AY23" s="849">
        <v>0.86767553689157739</v>
      </c>
      <c r="AZ23" s="849">
        <v>0.98994030911609621</v>
      </c>
      <c r="BA23" s="849">
        <v>0.14649963656187537</v>
      </c>
      <c r="BB23" s="849">
        <v>0.98943261022505558</v>
      </c>
      <c r="BC23" s="849">
        <v>0.62283072869343992</v>
      </c>
    </row>
    <row r="24" spans="1:55" s="947" customFormat="1" ht="45" x14ac:dyDescent="0.25">
      <c r="A24" s="1040"/>
      <c r="B24" s="844" t="s">
        <v>8</v>
      </c>
      <c r="C24" s="861">
        <v>1990</v>
      </c>
      <c r="D24" s="861">
        <v>1649</v>
      </c>
      <c r="E24" s="861">
        <v>1262</v>
      </c>
      <c r="F24" s="861">
        <v>4587</v>
      </c>
      <c r="G24" s="861">
        <v>3337</v>
      </c>
      <c r="H24" s="861">
        <v>12412</v>
      </c>
      <c r="I24" s="861">
        <v>5547</v>
      </c>
      <c r="J24" s="861">
        <v>1469</v>
      </c>
      <c r="K24" s="861">
        <v>5986</v>
      </c>
      <c r="L24" s="861">
        <v>6489</v>
      </c>
      <c r="M24" s="861">
        <v>3767</v>
      </c>
      <c r="N24" s="861">
        <v>13096</v>
      </c>
      <c r="O24" s="861">
        <v>3479</v>
      </c>
      <c r="P24" s="861">
        <v>6189</v>
      </c>
      <c r="Q24" s="861">
        <v>1917</v>
      </c>
      <c r="R24" s="861">
        <v>4630</v>
      </c>
      <c r="S24" s="861">
        <v>8562</v>
      </c>
      <c r="T24" s="861">
        <v>1817</v>
      </c>
      <c r="U24" s="861">
        <v>1271</v>
      </c>
      <c r="V24" s="861">
        <v>1907</v>
      </c>
      <c r="W24" s="861">
        <v>2490</v>
      </c>
      <c r="X24" s="861">
        <v>2078</v>
      </c>
      <c r="Y24" s="861">
        <v>2701</v>
      </c>
      <c r="Z24" s="861">
        <v>2552</v>
      </c>
      <c r="AA24" s="861">
        <v>3911</v>
      </c>
      <c r="AB24" s="861">
        <v>6972</v>
      </c>
      <c r="AC24" s="861">
        <v>0</v>
      </c>
      <c r="AD24" s="861">
        <v>4016</v>
      </c>
      <c r="AE24" s="861">
        <v>3911</v>
      </c>
      <c r="AF24" s="861">
        <v>1443</v>
      </c>
      <c r="AG24" s="861">
        <v>1443</v>
      </c>
      <c r="AH24" s="861">
        <v>4143</v>
      </c>
      <c r="AI24" s="861">
        <v>0</v>
      </c>
      <c r="AJ24" s="840">
        <v>127023</v>
      </c>
      <c r="AK24" s="846" t="s">
        <v>8</v>
      </c>
      <c r="AL24" s="858">
        <v>5901</v>
      </c>
      <c r="AM24" s="858">
        <v>3092</v>
      </c>
      <c r="AN24" s="858">
        <v>31647</v>
      </c>
      <c r="AO24" s="858">
        <v>26164</v>
      </c>
      <c r="AP24" s="858">
        <v>32397</v>
      </c>
      <c r="AQ24" s="858">
        <v>24734</v>
      </c>
      <c r="AR24" s="858">
        <v>3088</v>
      </c>
      <c r="AS24" s="858">
        <v>53990</v>
      </c>
      <c r="AT24" s="858">
        <v>73033</v>
      </c>
      <c r="AU24" s="858">
        <v>127023</v>
      </c>
      <c r="AV24" s="993"/>
      <c r="AW24" s="877" t="s">
        <v>191</v>
      </c>
      <c r="AX24" s="839" t="s">
        <v>4</v>
      </c>
      <c r="AY24" s="840">
        <v>97433.600000000006</v>
      </c>
      <c r="AZ24" s="840">
        <v>243584.4</v>
      </c>
      <c r="BA24" s="840">
        <v>132070.29999999999</v>
      </c>
      <c r="BB24" s="840">
        <v>292299.3</v>
      </c>
      <c r="BC24" s="840">
        <v>132070.39999999999</v>
      </c>
    </row>
    <row r="25" spans="1:55" s="947" customFormat="1" x14ac:dyDescent="0.25">
      <c r="A25" s="1040"/>
      <c r="B25" s="839" t="s">
        <v>77</v>
      </c>
      <c r="C25" s="858">
        <v>67096.83</v>
      </c>
      <c r="D25" s="858">
        <v>55599.332999999999</v>
      </c>
      <c r="E25" s="858">
        <v>42550.853999999999</v>
      </c>
      <c r="F25" s="858">
        <v>154659.87899999999</v>
      </c>
      <c r="G25" s="858">
        <v>112513.629</v>
      </c>
      <c r="H25" s="858">
        <v>418495.40399999998</v>
      </c>
      <c r="I25" s="858">
        <v>187028.19899999999</v>
      </c>
      <c r="J25" s="858">
        <v>49530.273000000001</v>
      </c>
      <c r="K25" s="858">
        <v>201829.962</v>
      </c>
      <c r="L25" s="858">
        <v>218789.61299999998</v>
      </c>
      <c r="M25" s="858">
        <v>127011.939</v>
      </c>
      <c r="N25" s="858">
        <v>441557.83199999999</v>
      </c>
      <c r="O25" s="858">
        <v>117301.443</v>
      </c>
      <c r="P25" s="858">
        <v>120538.27500000001</v>
      </c>
      <c r="Q25" s="858">
        <v>64635.488999999994</v>
      </c>
      <c r="R25" s="858">
        <v>156109.71</v>
      </c>
      <c r="S25" s="858">
        <v>288684.95399999997</v>
      </c>
      <c r="T25" s="863">
        <v>61263.788999999997</v>
      </c>
      <c r="U25" s="863">
        <v>42854.307000000001</v>
      </c>
      <c r="V25" s="863">
        <v>64298.318999999996</v>
      </c>
      <c r="W25" s="863">
        <v>83955.33</v>
      </c>
      <c r="X25" s="863">
        <v>70063.925999999992</v>
      </c>
      <c r="Y25" s="863">
        <v>91069.616999999998</v>
      </c>
      <c r="Z25" s="863">
        <v>86045.784</v>
      </c>
      <c r="AA25" s="863">
        <v>131867.18700000001</v>
      </c>
      <c r="AB25" s="863">
        <v>235074.924</v>
      </c>
      <c r="AC25" s="863">
        <v>0</v>
      </c>
      <c r="AD25" s="863">
        <v>135407.47200000001</v>
      </c>
      <c r="AE25" s="863">
        <v>131867.18700000001</v>
      </c>
      <c r="AF25" s="863">
        <v>48653.631000000001</v>
      </c>
      <c r="AG25" s="863">
        <v>48653.631000000001</v>
      </c>
      <c r="AH25" s="863">
        <v>139689.53099999999</v>
      </c>
      <c r="AI25" s="863">
        <v>0</v>
      </c>
      <c r="AJ25" s="864">
        <v>4194698.2530000005</v>
      </c>
      <c r="AK25" s="841" t="s">
        <v>77</v>
      </c>
      <c r="AL25" s="858">
        <v>198964.01699999999</v>
      </c>
      <c r="AM25" s="858">
        <v>104252.96399999999</v>
      </c>
      <c r="AN25" s="858">
        <v>1067041.899</v>
      </c>
      <c r="AO25" s="858">
        <v>882171.58799999999</v>
      </c>
      <c r="AP25" s="858">
        <v>1092329.649</v>
      </c>
      <c r="AQ25" s="858">
        <v>833956.27799999993</v>
      </c>
      <c r="AR25" s="858">
        <v>104118.09599999999</v>
      </c>
      <c r="AS25" s="858">
        <v>1820380.8299999998</v>
      </c>
      <c r="AT25" s="858">
        <v>2462453.6609999998</v>
      </c>
      <c r="AU25" s="858">
        <v>4282834.4909999995</v>
      </c>
      <c r="AV25" s="915"/>
      <c r="AW25" s="1037"/>
      <c r="AX25" s="844" t="s">
        <v>5</v>
      </c>
      <c r="AY25" s="583">
        <v>38973.199999999997</v>
      </c>
      <c r="AZ25" s="583">
        <v>124350.5</v>
      </c>
      <c r="BA25" s="583">
        <v>3817.1</v>
      </c>
      <c r="BB25" s="583">
        <v>109009</v>
      </c>
      <c r="BC25" s="583">
        <v>33401</v>
      </c>
    </row>
    <row r="26" spans="1:55" s="947" customFormat="1" x14ac:dyDescent="0.25">
      <c r="A26" s="1040"/>
      <c r="B26" s="848" t="s">
        <v>217</v>
      </c>
      <c r="C26" s="849">
        <v>0.26836756814698437</v>
      </c>
      <c r="D26" s="849">
        <v>0.36938979528517429</v>
      </c>
      <c r="E26" s="866">
        <v>0.28269855770157065</v>
      </c>
      <c r="F26" s="866">
        <v>0.84978515792411813</v>
      </c>
      <c r="G26" s="866">
        <v>0.67875096597185058</v>
      </c>
      <c r="H26" s="866">
        <v>1.0744288366003003</v>
      </c>
      <c r="I26" s="866">
        <v>1.0875281595343522</v>
      </c>
      <c r="J26" s="866">
        <v>0.29823500403424896</v>
      </c>
      <c r="K26" s="866">
        <v>1.627408997961606</v>
      </c>
      <c r="L26" s="866">
        <v>0.97642897882458779</v>
      </c>
      <c r="M26" s="866">
        <v>0.65799373773177205</v>
      </c>
      <c r="N26" s="866">
        <v>1.0076170251510714</v>
      </c>
      <c r="O26" s="866">
        <v>1.412610044942846</v>
      </c>
      <c r="P26" s="866">
        <v>0.43652663741478664</v>
      </c>
      <c r="Q26" s="866">
        <v>0.77837696353993546</v>
      </c>
      <c r="R26" s="866">
        <v>0.81469145415205857</v>
      </c>
      <c r="S26" s="866">
        <v>1.1006373277710186</v>
      </c>
      <c r="T26" s="849">
        <v>1.0257868986683678</v>
      </c>
      <c r="U26" s="849">
        <v>1.2950637494144845</v>
      </c>
      <c r="V26" s="849">
        <v>0.62916361127827269</v>
      </c>
      <c r="W26" s="849">
        <v>0.40074812705701529</v>
      </c>
      <c r="X26" s="849">
        <v>0.68558048465456245</v>
      </c>
      <c r="Y26" s="849">
        <v>0.43470710489196718</v>
      </c>
      <c r="Z26" s="849">
        <v>0.84196409857480436</v>
      </c>
      <c r="AA26" s="849">
        <v>0.62944816261846859</v>
      </c>
      <c r="AB26" s="849">
        <v>0.71517601717335688</v>
      </c>
      <c r="AC26" s="849">
        <v>0</v>
      </c>
      <c r="AD26" s="849">
        <v>0.60430556001842273</v>
      </c>
      <c r="AE26" s="849">
        <v>0.58850573835459441</v>
      </c>
      <c r="AF26" s="849">
        <v>0.31149467873626469</v>
      </c>
      <c r="AG26" s="849">
        <v>0.31149467873626469</v>
      </c>
      <c r="AH26" s="849">
        <v>0.62341582050705302</v>
      </c>
      <c r="AI26" s="849">
        <v>0</v>
      </c>
      <c r="AJ26" s="851">
        <v>0.67387288387689182</v>
      </c>
      <c r="AK26" s="852" t="s">
        <v>217</v>
      </c>
      <c r="AL26" s="849">
        <v>0.41967597897106368</v>
      </c>
      <c r="AM26" s="849">
        <v>0.3399064004267211</v>
      </c>
      <c r="AN26" s="849">
        <v>0.74379644380277388</v>
      </c>
      <c r="AO26" s="849">
        <v>0.65421704968865091</v>
      </c>
      <c r="AP26" s="849">
        <v>0.77300001776231231</v>
      </c>
      <c r="AQ26" s="849">
        <v>0.7220302529221031</v>
      </c>
      <c r="AR26" s="849">
        <v>1.1217905880781174</v>
      </c>
      <c r="AS26" s="849">
        <v>0.64778427616995604</v>
      </c>
      <c r="AT26" s="849">
        <v>0.72115505207393882</v>
      </c>
      <c r="AU26" s="849">
        <v>0.6880318572506362</v>
      </c>
      <c r="AV26" s="914"/>
      <c r="AW26" s="1037"/>
      <c r="AX26" s="848" t="s">
        <v>3</v>
      </c>
      <c r="AY26" s="849">
        <v>0.39999753678402516</v>
      </c>
      <c r="AZ26" s="849">
        <v>0.51050272513346506</v>
      </c>
      <c r="BA26" s="849">
        <v>2.8902031720984961E-2</v>
      </c>
      <c r="BB26" s="849">
        <v>0.37293623351133581</v>
      </c>
      <c r="BC26" s="849">
        <v>0.25290299718937781</v>
      </c>
    </row>
    <row r="27" spans="1:55" s="947" customFormat="1" x14ac:dyDescent="0.25">
      <c r="A27" s="1037"/>
      <c r="B27" s="848" t="s">
        <v>218</v>
      </c>
      <c r="C27" s="598">
        <v>57121.599999999999</v>
      </c>
      <c r="D27" s="598">
        <v>55194.400000000001</v>
      </c>
      <c r="E27" s="598">
        <v>42146</v>
      </c>
      <c r="F27" s="598">
        <v>122319</v>
      </c>
      <c r="G27" s="598">
        <v>110224</v>
      </c>
      <c r="H27" s="598">
        <v>422468</v>
      </c>
      <c r="I27" s="598">
        <v>109776</v>
      </c>
      <c r="J27" s="598">
        <v>49571.1</v>
      </c>
      <c r="K27" s="598">
        <v>143410</v>
      </c>
      <c r="L27" s="598">
        <v>219177</v>
      </c>
      <c r="M27" s="598">
        <v>139706</v>
      </c>
      <c r="N27" s="598">
        <v>441635</v>
      </c>
      <c r="O27" s="598">
        <v>117345</v>
      </c>
      <c r="P27" s="598">
        <v>92441.600000000006</v>
      </c>
      <c r="Q27" s="598">
        <v>64686.7</v>
      </c>
      <c r="R27" s="598">
        <v>142212</v>
      </c>
      <c r="S27" s="598">
        <v>288847</v>
      </c>
      <c r="T27" s="598">
        <v>61297.2</v>
      </c>
      <c r="U27" s="598">
        <v>42854.1</v>
      </c>
      <c r="V27" s="598">
        <v>64335</v>
      </c>
      <c r="W27" s="598">
        <v>62682.8</v>
      </c>
      <c r="X27" s="598">
        <v>70122.7</v>
      </c>
      <c r="Y27" s="598">
        <v>70088.899999999994</v>
      </c>
      <c r="Z27" s="598">
        <v>86114.1</v>
      </c>
      <c r="AA27" s="598">
        <v>82434.8</v>
      </c>
      <c r="AB27" s="598">
        <v>235220</v>
      </c>
      <c r="AC27" s="598">
        <v>0</v>
      </c>
      <c r="AD27" s="598">
        <v>135501</v>
      </c>
      <c r="AE27" s="598">
        <v>131918</v>
      </c>
      <c r="AF27" s="598">
        <v>48693.3</v>
      </c>
      <c r="AG27" s="598">
        <v>48678.6</v>
      </c>
      <c r="AH27" s="598">
        <v>139723</v>
      </c>
      <c r="AI27" s="598">
        <v>0</v>
      </c>
      <c r="AJ27" s="867">
        <v>3897943.9000000004</v>
      </c>
      <c r="AK27" s="852" t="s">
        <v>218</v>
      </c>
      <c r="AL27" s="861">
        <v>189039.6</v>
      </c>
      <c r="AM27" s="861">
        <v>103873</v>
      </c>
      <c r="AN27" s="861">
        <v>1039188</v>
      </c>
      <c r="AO27" s="861">
        <v>722740</v>
      </c>
      <c r="AP27" s="861">
        <v>1105408</v>
      </c>
      <c r="AQ27" s="861">
        <v>633544</v>
      </c>
      <c r="AR27" s="861">
        <v>104151.29999999999</v>
      </c>
      <c r="AS27" s="861">
        <v>1460157</v>
      </c>
      <c r="AT27" s="861">
        <v>2437786.9</v>
      </c>
      <c r="AU27" s="861">
        <v>3897943.9</v>
      </c>
      <c r="AV27" s="916"/>
      <c r="AW27" s="1037" t="s">
        <v>219</v>
      </c>
      <c r="AX27" s="848" t="s">
        <v>3</v>
      </c>
      <c r="AY27" s="849">
        <v>0.38119624665106289</v>
      </c>
      <c r="AZ27" s="849">
        <v>0.47677983409520408</v>
      </c>
      <c r="BA27" s="849">
        <v>2.9589946651719472E-2</v>
      </c>
      <c r="BB27" s="849">
        <v>0.45412051337057324</v>
      </c>
      <c r="BC27" s="849">
        <v>0.31543211186862841</v>
      </c>
    </row>
    <row r="28" spans="1:55" s="947" customFormat="1" x14ac:dyDescent="0.25">
      <c r="A28" s="1037"/>
      <c r="B28" s="848" t="s">
        <v>216</v>
      </c>
      <c r="C28" s="866">
        <v>0.22846958463857059</v>
      </c>
      <c r="D28" s="866">
        <v>0.36669950909101778</v>
      </c>
      <c r="E28" s="866">
        <v>0.28000879636611747</v>
      </c>
      <c r="F28" s="866">
        <v>0.67208684892427861</v>
      </c>
      <c r="G28" s="866">
        <v>0.66493852467669723</v>
      </c>
      <c r="H28" s="866">
        <v>1.0846279251870965</v>
      </c>
      <c r="I28" s="866">
        <v>0.63832348212390722</v>
      </c>
      <c r="J28" s="866">
        <v>0.29848083430677153</v>
      </c>
      <c r="K28" s="866">
        <v>1.1563532098255753</v>
      </c>
      <c r="L28" s="866">
        <v>0.97815783554513025</v>
      </c>
      <c r="M28" s="866">
        <v>0.72375615904544965</v>
      </c>
      <c r="N28" s="866">
        <v>1.0077931193905161</v>
      </c>
      <c r="O28" s="866">
        <v>1.4131345828696946</v>
      </c>
      <c r="P28" s="866">
        <v>0.3347751641977848</v>
      </c>
      <c r="Q28" s="866">
        <v>0.77899367524578866</v>
      </c>
      <c r="R28" s="866">
        <v>0.74216332269064211</v>
      </c>
      <c r="S28" s="866">
        <v>1.1012551427071446</v>
      </c>
      <c r="T28" s="866">
        <v>1.0263463248258229</v>
      </c>
      <c r="U28" s="866">
        <v>1.2950574938426436</v>
      </c>
      <c r="V28" s="866">
        <v>0.6295225374645903</v>
      </c>
      <c r="W28" s="866">
        <v>0.29920690799130295</v>
      </c>
      <c r="X28" s="866">
        <v>0.686155592412656</v>
      </c>
      <c r="Y28" s="866">
        <v>0.3345588112450566</v>
      </c>
      <c r="Z28" s="866">
        <v>0.84263257547959081</v>
      </c>
      <c r="AA28" s="866">
        <v>0.39349010603995771</v>
      </c>
      <c r="AB28" s="866">
        <v>0.71561738656360052</v>
      </c>
      <c r="AC28" s="866">
        <v>0</v>
      </c>
      <c r="AD28" s="866">
        <v>0.60472296305817075</v>
      </c>
      <c r="AE28" s="866">
        <v>0.58873251002359961</v>
      </c>
      <c r="AF28" s="866">
        <v>0.31174865119745243</v>
      </c>
      <c r="AG28" s="866">
        <v>0.31165453752734579</v>
      </c>
      <c r="AH28" s="866">
        <v>0.62356518820803386</v>
      </c>
      <c r="AI28" s="866">
        <v>0</v>
      </c>
      <c r="AJ28" s="869">
        <v>0.62619967841661539</v>
      </c>
      <c r="AK28" s="852" t="s">
        <v>216</v>
      </c>
      <c r="AL28" s="849">
        <v>0.39874234743812143</v>
      </c>
      <c r="AM28" s="849">
        <v>0.33866756566772344</v>
      </c>
      <c r="AN28" s="849">
        <v>0.72438049486800615</v>
      </c>
      <c r="AO28" s="849">
        <v>0.53598283703960725</v>
      </c>
      <c r="AP28" s="849">
        <v>0.7822550677964818</v>
      </c>
      <c r="AQ28" s="849">
        <v>0.54851548771155234</v>
      </c>
      <c r="AR28" s="849">
        <v>1.1221483350607988</v>
      </c>
      <c r="AS28" s="849">
        <v>0.51959827842149631</v>
      </c>
      <c r="AT28" s="849">
        <v>0.71393113570337596</v>
      </c>
      <c r="AU28" s="849">
        <v>0.62619967841661539</v>
      </c>
      <c r="AV28" s="914"/>
      <c r="AW28" s="1037"/>
      <c r="AX28" s="848"/>
      <c r="AY28" s="849"/>
      <c r="AZ28" s="849"/>
      <c r="BA28" s="849"/>
      <c r="BB28" s="849"/>
      <c r="BC28" s="849"/>
    </row>
    <row r="29" spans="1:55" s="947" customFormat="1" x14ac:dyDescent="0.25">
      <c r="A29" s="1041">
        <v>41963</v>
      </c>
      <c r="B29" s="1041"/>
      <c r="C29" s="1041"/>
      <c r="D29" s="529"/>
      <c r="E29" s="529"/>
      <c r="F29" s="529"/>
      <c r="G29" s="529"/>
      <c r="H29" s="529"/>
      <c r="I29" s="525"/>
      <c r="J29" s="531"/>
      <c r="K29" s="531"/>
      <c r="L29" s="529"/>
      <c r="M29" s="529"/>
      <c r="N29" s="527"/>
      <c r="R29" s="526"/>
      <c r="S29" s="534"/>
      <c r="T29" s="534"/>
      <c r="U29" s="534"/>
      <c r="V29" s="534"/>
      <c r="W29" s="534"/>
      <c r="X29" s="534"/>
      <c r="Y29" s="534"/>
      <c r="Z29" s="534"/>
      <c r="AA29" s="534"/>
      <c r="AB29" s="534"/>
      <c r="AC29" s="534"/>
      <c r="AD29" s="534"/>
      <c r="AE29" s="534"/>
      <c r="AF29" s="534"/>
      <c r="AG29" s="534"/>
      <c r="AH29" s="534"/>
      <c r="AI29" s="534"/>
      <c r="AJ29" s="534"/>
      <c r="AK29" s="534"/>
      <c r="AL29" s="534"/>
      <c r="AM29" s="534"/>
      <c r="AN29" s="534"/>
      <c r="AO29" s="534"/>
    </row>
    <row r="30" spans="1:55" s="947" customFormat="1" x14ac:dyDescent="0.25">
      <c r="A30" s="1042" t="s">
        <v>1</v>
      </c>
      <c r="B30" s="1042"/>
      <c r="C30" s="1038" t="s">
        <v>12</v>
      </c>
      <c r="D30" s="1038" t="s">
        <v>12</v>
      </c>
      <c r="E30" s="1038" t="s">
        <v>13</v>
      </c>
      <c r="F30" s="1038" t="s">
        <v>13</v>
      </c>
      <c r="G30" s="1038" t="s">
        <v>13</v>
      </c>
      <c r="H30" s="1038" t="s">
        <v>13</v>
      </c>
      <c r="I30" s="1038" t="s">
        <v>13</v>
      </c>
      <c r="J30" s="1038" t="s">
        <v>13</v>
      </c>
      <c r="K30" s="1038" t="s">
        <v>13</v>
      </c>
      <c r="L30" s="1038" t="s">
        <v>13</v>
      </c>
      <c r="M30" s="829" t="s">
        <v>2</v>
      </c>
      <c r="N30" s="1038" t="s">
        <v>2</v>
      </c>
      <c r="O30" s="1038" t="s">
        <v>2</v>
      </c>
      <c r="P30" s="1038" t="s">
        <v>2</v>
      </c>
      <c r="Q30" s="1038" t="s">
        <v>2</v>
      </c>
      <c r="R30" s="1038" t="s">
        <v>2</v>
      </c>
      <c r="S30" s="1038" t="s">
        <v>308</v>
      </c>
      <c r="T30" s="830" t="s">
        <v>183</v>
      </c>
      <c r="U30" s="830" t="s">
        <v>183</v>
      </c>
      <c r="V30" s="830" t="s">
        <v>2</v>
      </c>
      <c r="W30" s="830" t="s">
        <v>13</v>
      </c>
      <c r="X30" s="830" t="s">
        <v>13</v>
      </c>
      <c r="Y30" s="830" t="s">
        <v>2</v>
      </c>
      <c r="Z30" s="830" t="s">
        <v>13</v>
      </c>
      <c r="AA30" s="830" t="s">
        <v>2</v>
      </c>
      <c r="AB30" s="888" t="s">
        <v>2</v>
      </c>
      <c r="AC30" s="888" t="s">
        <v>2</v>
      </c>
      <c r="AD30" s="888" t="s">
        <v>13</v>
      </c>
      <c r="AE30" s="888" t="s">
        <v>12</v>
      </c>
      <c r="AF30" s="888" t="s">
        <v>13</v>
      </c>
      <c r="AG30" s="888" t="s">
        <v>12</v>
      </c>
      <c r="AH30" s="888" t="s">
        <v>13</v>
      </c>
      <c r="AI30" s="888" t="s">
        <v>13</v>
      </c>
      <c r="AJ30" s="831" t="s">
        <v>219</v>
      </c>
      <c r="AK30" s="1042" t="s">
        <v>0</v>
      </c>
      <c r="AL30" s="1042"/>
      <c r="AM30" s="833"/>
      <c r="AN30" s="833"/>
      <c r="AO30" s="833"/>
      <c r="AP30" s="833"/>
      <c r="AQ30" s="833"/>
      <c r="AR30" s="833"/>
      <c r="AS30" s="833"/>
      <c r="AT30" s="833"/>
      <c r="AU30" s="803"/>
      <c r="AV30" s="803"/>
      <c r="AW30" s="1042" t="s">
        <v>1</v>
      </c>
      <c r="AX30" s="1043"/>
      <c r="AY30" s="1038" t="s">
        <v>12</v>
      </c>
      <c r="AZ30" s="1044" t="s">
        <v>13</v>
      </c>
      <c r="BA30" s="1045"/>
      <c r="BB30" s="1044" t="s">
        <v>2</v>
      </c>
      <c r="BC30" s="1045"/>
    </row>
    <row r="31" spans="1:55" s="947" customFormat="1" x14ac:dyDescent="0.25">
      <c r="A31" s="1042" t="s">
        <v>0</v>
      </c>
      <c r="B31" s="1042"/>
      <c r="C31" s="834" t="s">
        <v>99</v>
      </c>
      <c r="D31" s="835" t="s">
        <v>100</v>
      </c>
      <c r="E31" s="835" t="s">
        <v>101</v>
      </c>
      <c r="F31" s="834" t="s">
        <v>102</v>
      </c>
      <c r="G31" s="835" t="s">
        <v>97</v>
      </c>
      <c r="H31" s="834" t="s">
        <v>104</v>
      </c>
      <c r="I31" s="835" t="s">
        <v>103</v>
      </c>
      <c r="J31" s="835" t="s">
        <v>178</v>
      </c>
      <c r="K31" s="835" t="s">
        <v>199</v>
      </c>
      <c r="L31" s="834" t="s">
        <v>206</v>
      </c>
      <c r="M31" s="834" t="s">
        <v>105</v>
      </c>
      <c r="N31" s="834" t="s">
        <v>107</v>
      </c>
      <c r="O31" s="835" t="s">
        <v>98</v>
      </c>
      <c r="P31" s="835" t="s">
        <v>106</v>
      </c>
      <c r="Q31" s="835" t="s">
        <v>179</v>
      </c>
      <c r="R31" s="835" t="s">
        <v>198</v>
      </c>
      <c r="S31" s="834" t="s">
        <v>207</v>
      </c>
      <c r="T31" s="834" t="s">
        <v>307</v>
      </c>
      <c r="U31" s="834" t="s">
        <v>184</v>
      </c>
      <c r="V31" s="835" t="s">
        <v>221</v>
      </c>
      <c r="W31" s="835" t="s">
        <v>222</v>
      </c>
      <c r="X31" s="835" t="s">
        <v>255</v>
      </c>
      <c r="Y31" s="835" t="s">
        <v>256</v>
      </c>
      <c r="Z31" s="835" t="s">
        <v>266</v>
      </c>
      <c r="AA31" s="835" t="s">
        <v>267</v>
      </c>
      <c r="AB31" s="889" t="s">
        <v>268</v>
      </c>
      <c r="AC31" s="889" t="s">
        <v>269</v>
      </c>
      <c r="AD31" s="889" t="s">
        <v>295</v>
      </c>
      <c r="AE31" s="889" t="s">
        <v>290</v>
      </c>
      <c r="AF31" s="946" t="s">
        <v>291</v>
      </c>
      <c r="AG31" s="946" t="s">
        <v>292</v>
      </c>
      <c r="AH31" s="889" t="s">
        <v>293</v>
      </c>
      <c r="AI31" s="889" t="s">
        <v>294</v>
      </c>
      <c r="AJ31" s="836"/>
      <c r="AK31" s="903" t="s">
        <v>1</v>
      </c>
      <c r="AL31" s="838" t="s">
        <v>257</v>
      </c>
      <c r="AM31" s="838" t="s">
        <v>258</v>
      </c>
      <c r="AN31" s="838" t="s">
        <v>259</v>
      </c>
      <c r="AO31" s="838" t="s">
        <v>260</v>
      </c>
      <c r="AP31" s="838" t="s">
        <v>261</v>
      </c>
      <c r="AQ31" s="838" t="s">
        <v>262</v>
      </c>
      <c r="AR31" s="838" t="s">
        <v>263</v>
      </c>
      <c r="AS31" s="904" t="s">
        <v>264</v>
      </c>
      <c r="AT31" s="904" t="s">
        <v>265</v>
      </c>
      <c r="AU31" s="988" t="s">
        <v>306</v>
      </c>
      <c r="AV31" s="988"/>
      <c r="AW31" s="1046" t="s">
        <v>0</v>
      </c>
      <c r="AX31" s="1043"/>
      <c r="AY31" s="834" t="s">
        <v>99</v>
      </c>
      <c r="AZ31" s="834" t="s">
        <v>104</v>
      </c>
      <c r="BA31" s="834" t="s">
        <v>206</v>
      </c>
      <c r="BB31" s="834" t="s">
        <v>107</v>
      </c>
      <c r="BC31" s="834" t="s">
        <v>207</v>
      </c>
    </row>
    <row r="32" spans="1:55" s="947" customFormat="1" ht="30" x14ac:dyDescent="0.25">
      <c r="A32" s="1047" t="s">
        <v>9</v>
      </c>
      <c r="B32" s="839" t="s">
        <v>4</v>
      </c>
      <c r="C32" s="840">
        <v>250018.4</v>
      </c>
      <c r="D32" s="840">
        <v>150516.70000000001</v>
      </c>
      <c r="E32" s="840">
        <v>150516.70000000001</v>
      </c>
      <c r="F32" s="840">
        <v>181998.8</v>
      </c>
      <c r="G32" s="840">
        <v>165765.70000000001</v>
      </c>
      <c r="H32" s="840">
        <v>389505</v>
      </c>
      <c r="I32" s="840">
        <v>171975.5</v>
      </c>
      <c r="J32" s="840">
        <v>166078</v>
      </c>
      <c r="K32" s="840">
        <v>124019.2</v>
      </c>
      <c r="L32" s="840">
        <v>224071.2</v>
      </c>
      <c r="M32" s="840">
        <v>193029.1</v>
      </c>
      <c r="N32" s="840">
        <v>438219.9</v>
      </c>
      <c r="O32" s="840">
        <v>83038.8</v>
      </c>
      <c r="P32" s="840">
        <v>276130.40000000002</v>
      </c>
      <c r="Q32" s="840">
        <v>83038.8</v>
      </c>
      <c r="R32" s="840">
        <v>191618.2</v>
      </c>
      <c r="S32" s="840">
        <v>262288.90000000002</v>
      </c>
      <c r="T32" s="840">
        <v>59723.7</v>
      </c>
      <c r="U32" s="840">
        <v>33090.5</v>
      </c>
      <c r="V32" s="840">
        <v>102196.5</v>
      </c>
      <c r="W32" s="840">
        <v>209496.5</v>
      </c>
      <c r="X32" s="840">
        <v>102196.5</v>
      </c>
      <c r="Y32" s="840">
        <v>209496.5</v>
      </c>
      <c r="Z32" s="840">
        <v>102196.5</v>
      </c>
      <c r="AA32" s="840">
        <v>209496.5</v>
      </c>
      <c r="AB32" s="840">
        <v>328695.2</v>
      </c>
      <c r="AC32" s="901">
        <v>190871.2</v>
      </c>
      <c r="AD32" s="901">
        <v>224071.2</v>
      </c>
      <c r="AE32" s="901">
        <v>224071.2</v>
      </c>
      <c r="AF32" s="901">
        <v>156194.1</v>
      </c>
      <c r="AG32" s="901">
        <v>156194.1</v>
      </c>
      <c r="AH32" s="901">
        <v>224071.2</v>
      </c>
      <c r="AI32" s="901">
        <v>190871.2</v>
      </c>
      <c r="AJ32" s="840">
        <v>6224761.9000000004</v>
      </c>
      <c r="AK32" s="841" t="s">
        <v>4</v>
      </c>
      <c r="AL32" s="863">
        <v>474089.6</v>
      </c>
      <c r="AM32" s="863">
        <v>306710.80000000005</v>
      </c>
      <c r="AN32" s="863">
        <v>1434588.5999999999</v>
      </c>
      <c r="AO32" s="863">
        <v>1348438.7000000002</v>
      </c>
      <c r="AP32" s="863">
        <v>1413104.3</v>
      </c>
      <c r="AQ32" s="863">
        <v>1155015.7</v>
      </c>
      <c r="AR32" s="863">
        <v>92814.2</v>
      </c>
      <c r="AS32" s="863">
        <v>2810165.2</v>
      </c>
      <c r="AT32" s="863">
        <v>3414596.7</v>
      </c>
      <c r="AU32" s="863">
        <v>6224761.9000000004</v>
      </c>
      <c r="AV32" s="989"/>
      <c r="AW32" s="875" t="s">
        <v>194</v>
      </c>
      <c r="AX32" s="872" t="s">
        <v>4</v>
      </c>
      <c r="AY32" s="840">
        <v>143393</v>
      </c>
      <c r="AZ32" s="840">
        <v>132132</v>
      </c>
      <c r="BA32" s="840">
        <v>83196.100000000006</v>
      </c>
      <c r="BB32" s="840">
        <v>132132.20000000001</v>
      </c>
      <c r="BC32" s="840">
        <v>83196.100000000006</v>
      </c>
    </row>
    <row r="33" spans="1:55" s="947" customFormat="1" x14ac:dyDescent="0.25">
      <c r="A33" s="1047"/>
      <c r="B33" s="844" t="s">
        <v>5</v>
      </c>
      <c r="C33" s="583">
        <v>54262.5</v>
      </c>
      <c r="D33" s="583">
        <v>87105.2</v>
      </c>
      <c r="E33" s="583">
        <v>86852.5</v>
      </c>
      <c r="F33" s="583">
        <v>102628.1</v>
      </c>
      <c r="G33" s="583">
        <v>120466.2</v>
      </c>
      <c r="H33" s="583">
        <v>210310.3</v>
      </c>
      <c r="I33" s="583">
        <v>98060.7</v>
      </c>
      <c r="J33" s="583">
        <v>53353.599999999999</v>
      </c>
      <c r="K33" s="583">
        <v>103854.5</v>
      </c>
      <c r="L33" s="583">
        <v>100848.8</v>
      </c>
      <c r="M33" s="583">
        <v>81108.2</v>
      </c>
      <c r="N33" s="583">
        <v>219330.6</v>
      </c>
      <c r="O33" s="583">
        <v>60848.9</v>
      </c>
      <c r="P33" s="583">
        <v>184627.7</v>
      </c>
      <c r="Q33" s="583">
        <v>27564.1</v>
      </c>
      <c r="R33" s="583">
        <v>157662.1</v>
      </c>
      <c r="S33" s="583">
        <v>188003</v>
      </c>
      <c r="T33" s="583">
        <v>40495.1</v>
      </c>
      <c r="U33" s="583">
        <v>14288.8</v>
      </c>
      <c r="V33" s="583">
        <v>16111.8</v>
      </c>
      <c r="W33" s="583">
        <v>32211.8</v>
      </c>
      <c r="X33" s="583">
        <v>42586.2</v>
      </c>
      <c r="Y33" s="583">
        <v>84285.3</v>
      </c>
      <c r="Z33" s="583">
        <v>39660.800000000003</v>
      </c>
      <c r="AA33" s="583">
        <v>72224.5</v>
      </c>
      <c r="AB33" s="583">
        <v>139780.79999999999</v>
      </c>
      <c r="AC33" s="583">
        <v>4.9000000000000004</v>
      </c>
      <c r="AD33" s="583">
        <v>48411.4</v>
      </c>
      <c r="AE33" s="583">
        <v>77674.899999999994</v>
      </c>
      <c r="AF33" s="583">
        <v>32214.400000000001</v>
      </c>
      <c r="AG33" s="583">
        <v>32187.1</v>
      </c>
      <c r="AH33" s="583">
        <v>21874.3</v>
      </c>
      <c r="AI33" s="583">
        <v>4.9000000000000004</v>
      </c>
      <c r="AJ33" s="845">
        <v>2630903.9999999995</v>
      </c>
      <c r="AK33" s="846" t="s">
        <v>5</v>
      </c>
      <c r="AL33" s="863">
        <v>131937.4</v>
      </c>
      <c r="AM33" s="863">
        <v>119292.29999999999</v>
      </c>
      <c r="AN33" s="863">
        <v>484077.80000000005</v>
      </c>
      <c r="AO33" s="863">
        <v>609260.70000000007</v>
      </c>
      <c r="AP33" s="863">
        <v>628227.5</v>
      </c>
      <c r="AQ33" s="863">
        <v>603324.4</v>
      </c>
      <c r="AR33" s="863">
        <v>54783.899999999994</v>
      </c>
      <c r="AS33" s="863">
        <v>1331877.3999999999</v>
      </c>
      <c r="AT33" s="863">
        <v>1299026.6000000001</v>
      </c>
      <c r="AU33" s="863">
        <v>2630904</v>
      </c>
      <c r="AV33" s="990"/>
      <c r="AW33" s="876"/>
      <c r="AX33" s="873" t="s">
        <v>5</v>
      </c>
      <c r="AY33" s="583">
        <v>51964.9</v>
      </c>
      <c r="AZ33" s="583">
        <v>58542</v>
      </c>
      <c r="BA33" s="583">
        <v>2519</v>
      </c>
      <c r="BB33" s="583">
        <v>70731</v>
      </c>
      <c r="BC33" s="583">
        <v>31444.9</v>
      </c>
    </row>
    <row r="34" spans="1:55" s="947" customFormat="1" x14ac:dyDescent="0.25">
      <c r="A34" s="1047"/>
      <c r="B34" s="848" t="s">
        <v>3</v>
      </c>
      <c r="C34" s="866">
        <v>0.21703402629566465</v>
      </c>
      <c r="D34" s="866">
        <v>0.57870787759763531</v>
      </c>
      <c r="E34" s="866">
        <v>0.57702899412490438</v>
      </c>
      <c r="F34" s="866">
        <v>0.5638943773255648</v>
      </c>
      <c r="G34" s="866">
        <v>0.72672573397270956</v>
      </c>
      <c r="H34" s="866">
        <v>0.53994249111051207</v>
      </c>
      <c r="I34" s="866">
        <v>0.5702015694095961</v>
      </c>
      <c r="J34" s="866">
        <v>0.32125627717096783</v>
      </c>
      <c r="K34" s="866">
        <v>0.83740662736092475</v>
      </c>
      <c r="L34" s="866">
        <v>0.45007479765360298</v>
      </c>
      <c r="M34" s="866">
        <v>0.42018638640495137</v>
      </c>
      <c r="N34" s="866">
        <v>0.50050351433150342</v>
      </c>
      <c r="O34" s="866">
        <v>0.73277672606058852</v>
      </c>
      <c r="P34" s="866">
        <v>0.66862504092269448</v>
      </c>
      <c r="Q34" s="866">
        <v>0.33194241727963308</v>
      </c>
      <c r="R34" s="866">
        <v>0.82279292885540101</v>
      </c>
      <c r="S34" s="866">
        <v>0.71677833106929034</v>
      </c>
      <c r="T34" s="866">
        <v>0.67804071080659778</v>
      </c>
      <c r="U34" s="866">
        <v>0.43180973391154559</v>
      </c>
      <c r="V34" s="866">
        <v>0.15765510560537788</v>
      </c>
      <c r="W34" s="866">
        <v>0.15375817734425157</v>
      </c>
      <c r="X34" s="866">
        <v>0.41670898709838394</v>
      </c>
      <c r="Y34" s="866">
        <v>0.4023231891702248</v>
      </c>
      <c r="Z34" s="866">
        <v>0.38808374063691031</v>
      </c>
      <c r="AA34" s="866">
        <v>0.3447527762993654</v>
      </c>
      <c r="AB34" s="866">
        <v>0.42525963263229882</v>
      </c>
      <c r="AC34" s="866">
        <v>2.5671761900171424E-5</v>
      </c>
      <c r="AD34" s="866">
        <v>0.21605364723355791</v>
      </c>
      <c r="AE34" s="866">
        <v>0.34665276037259579</v>
      </c>
      <c r="AF34" s="866">
        <v>0.20624594654983766</v>
      </c>
      <c r="AG34" s="866">
        <v>0.20607116401963965</v>
      </c>
      <c r="AH34" s="866">
        <v>9.7622095119765495E-2</v>
      </c>
      <c r="AI34" s="866">
        <v>2.5671761900171424E-5</v>
      </c>
      <c r="AJ34" s="869">
        <v>0.4226513467125545</v>
      </c>
      <c r="AK34" s="852" t="s">
        <v>3</v>
      </c>
      <c r="AL34" s="849">
        <v>0.27829633891990035</v>
      </c>
      <c r="AM34" s="849">
        <v>0.38894065680112982</v>
      </c>
      <c r="AN34" s="849">
        <v>0.33743318467747485</v>
      </c>
      <c r="AO34" s="849">
        <v>0.45182676824686208</v>
      </c>
      <c r="AP34" s="849">
        <v>0.44457263345670944</v>
      </c>
      <c r="AQ34" s="849">
        <v>0.52235168751385808</v>
      </c>
      <c r="AR34" s="849">
        <v>0.59025343104826633</v>
      </c>
      <c r="AS34" s="849">
        <v>0.473949858890858</v>
      </c>
      <c r="AT34" s="849">
        <v>0.3804333905670324</v>
      </c>
      <c r="AU34" s="849">
        <v>0.42265134671255455</v>
      </c>
      <c r="AV34" s="991"/>
      <c r="AW34" s="876"/>
      <c r="AX34" s="874" t="s">
        <v>3</v>
      </c>
      <c r="AY34" s="849">
        <v>0.36239495651810061</v>
      </c>
      <c r="AZ34" s="849">
        <v>0.44305694305694304</v>
      </c>
      <c r="BA34" s="849">
        <v>3.0277861582453984E-2</v>
      </c>
      <c r="BB34" s="849">
        <v>0.53530479322981073</v>
      </c>
      <c r="BC34" s="849">
        <v>0.37796122654787906</v>
      </c>
    </row>
    <row r="35" spans="1:55" s="947" customFormat="1" ht="30" x14ac:dyDescent="0.25">
      <c r="A35" s="1040" t="s">
        <v>6</v>
      </c>
      <c r="B35" s="854" t="s">
        <v>7</v>
      </c>
      <c r="C35" s="840">
        <v>3713</v>
      </c>
      <c r="D35" s="840">
        <v>3620</v>
      </c>
      <c r="E35" s="840">
        <v>3560</v>
      </c>
      <c r="F35" s="840">
        <v>6588</v>
      </c>
      <c r="G35" s="840">
        <v>8432</v>
      </c>
      <c r="H35" s="840">
        <v>14882</v>
      </c>
      <c r="I35" s="840">
        <v>7076</v>
      </c>
      <c r="J35" s="840">
        <v>9599</v>
      </c>
      <c r="K35" s="840">
        <v>6970</v>
      </c>
      <c r="L35" s="840">
        <v>9273</v>
      </c>
      <c r="M35" s="840">
        <v>5429</v>
      </c>
      <c r="N35" s="840">
        <v>14951</v>
      </c>
      <c r="O35" s="840">
        <v>4357</v>
      </c>
      <c r="P35" s="840">
        <v>8508</v>
      </c>
      <c r="Q35" s="840">
        <v>4799</v>
      </c>
      <c r="R35" s="840">
        <v>9609</v>
      </c>
      <c r="S35" s="840">
        <v>11560</v>
      </c>
      <c r="T35" s="855">
        <v>2479</v>
      </c>
      <c r="U35" s="855">
        <v>1570</v>
      </c>
      <c r="V35" s="840">
        <v>3999</v>
      </c>
      <c r="W35" s="840">
        <v>7999</v>
      </c>
      <c r="X35" s="840">
        <v>3999</v>
      </c>
      <c r="Y35" s="840">
        <v>7999</v>
      </c>
      <c r="Z35" s="840">
        <v>3999</v>
      </c>
      <c r="AA35" s="840">
        <v>7999</v>
      </c>
      <c r="AB35" s="840">
        <v>12000</v>
      </c>
      <c r="AC35" s="840">
        <v>6400</v>
      </c>
      <c r="AD35" s="840">
        <v>6399</v>
      </c>
      <c r="AE35" s="840">
        <v>6399</v>
      </c>
      <c r="AF35" s="840">
        <v>4800</v>
      </c>
      <c r="AG35" s="840">
        <v>4800</v>
      </c>
      <c r="AH35" s="840">
        <v>6399</v>
      </c>
      <c r="AI35" s="840">
        <v>6400</v>
      </c>
      <c r="AJ35" s="840">
        <v>226566</v>
      </c>
      <c r="AK35" s="856" t="s">
        <v>7</v>
      </c>
      <c r="AL35" s="858">
        <v>10112</v>
      </c>
      <c r="AM35" s="858">
        <v>8420</v>
      </c>
      <c r="AN35" s="858">
        <v>49941</v>
      </c>
      <c r="AO35" s="858">
        <v>56434</v>
      </c>
      <c r="AP35" s="858">
        <v>50340</v>
      </c>
      <c r="AQ35" s="858">
        <v>47270</v>
      </c>
      <c r="AR35" s="858">
        <v>4049</v>
      </c>
      <c r="AS35" s="858">
        <v>112124</v>
      </c>
      <c r="AT35" s="858">
        <v>114442</v>
      </c>
      <c r="AU35" s="858">
        <v>226566</v>
      </c>
      <c r="AV35" s="657"/>
      <c r="AW35" s="880" t="s">
        <v>190</v>
      </c>
      <c r="AX35" s="879" t="s">
        <v>4</v>
      </c>
      <c r="AY35" s="857">
        <v>9191.7999999999993</v>
      </c>
      <c r="AZ35" s="857">
        <v>13787.7</v>
      </c>
      <c r="BA35" s="857">
        <v>8804.7999999999993</v>
      </c>
      <c r="BB35" s="857">
        <v>13787.7</v>
      </c>
      <c r="BC35" s="857">
        <v>8804.7999999999993</v>
      </c>
    </row>
    <row r="36" spans="1:55" s="947" customFormat="1" x14ac:dyDescent="0.25">
      <c r="A36" s="1040"/>
      <c r="B36" s="839" t="s">
        <v>11</v>
      </c>
      <c r="C36" s="858">
        <v>125191.22099999999</v>
      </c>
      <c r="D36" s="858">
        <v>122055.54</v>
      </c>
      <c r="E36" s="858">
        <v>120032.51999999999</v>
      </c>
      <c r="F36" s="858">
        <v>222127.59599999999</v>
      </c>
      <c r="G36" s="858">
        <v>284301.74400000001</v>
      </c>
      <c r="H36" s="858">
        <v>501776.39399999997</v>
      </c>
      <c r="I36" s="858">
        <v>238581.492</v>
      </c>
      <c r="J36" s="858">
        <v>323649.48300000001</v>
      </c>
      <c r="K36" s="858">
        <v>235007.49</v>
      </c>
      <c r="L36" s="858">
        <v>312657.74099999998</v>
      </c>
      <c r="M36" s="858">
        <v>183049.59299999999</v>
      </c>
      <c r="N36" s="858">
        <v>504102.86699999997</v>
      </c>
      <c r="O36" s="858">
        <v>146904.96899999998</v>
      </c>
      <c r="P36" s="858">
        <v>286864.23599999998</v>
      </c>
      <c r="Q36" s="858">
        <v>161807.883</v>
      </c>
      <c r="R36" s="858">
        <v>323986.65299999999</v>
      </c>
      <c r="S36" s="858">
        <v>389768.51999999996</v>
      </c>
      <c r="T36" s="858">
        <v>83584.442999999999</v>
      </c>
      <c r="U36" s="858">
        <v>52935.689999999995</v>
      </c>
      <c r="V36" s="858">
        <v>134834.283</v>
      </c>
      <c r="W36" s="858">
        <v>269702.283</v>
      </c>
      <c r="X36" s="858">
        <v>134834.283</v>
      </c>
      <c r="Y36" s="858">
        <v>269702.283</v>
      </c>
      <c r="Z36" s="858">
        <v>134834.283</v>
      </c>
      <c r="AA36" s="858">
        <v>269702.283</v>
      </c>
      <c r="AB36" s="858">
        <v>404604</v>
      </c>
      <c r="AC36" s="858">
        <v>215788.79999999999</v>
      </c>
      <c r="AD36" s="858">
        <v>215755.08299999998</v>
      </c>
      <c r="AE36" s="858">
        <v>215755.08299999998</v>
      </c>
      <c r="AF36" s="858">
        <v>161841.60000000001</v>
      </c>
      <c r="AG36" s="858">
        <v>161841.60000000001</v>
      </c>
      <c r="AH36" s="858">
        <v>215755.08299999998</v>
      </c>
      <c r="AI36" s="858">
        <v>215788.79999999999</v>
      </c>
      <c r="AJ36" s="859">
        <v>7639125.8219999969</v>
      </c>
      <c r="AK36" s="841" t="s">
        <v>11</v>
      </c>
      <c r="AL36" s="858">
        <v>340946.304</v>
      </c>
      <c r="AM36" s="858">
        <v>283897.14</v>
      </c>
      <c r="AN36" s="858">
        <v>1683860.6969999999</v>
      </c>
      <c r="AO36" s="858">
        <v>1902785.1779999998</v>
      </c>
      <c r="AP36" s="858">
        <v>1697313.78</v>
      </c>
      <c r="AQ36" s="858">
        <v>1593802.5899999999</v>
      </c>
      <c r="AR36" s="858">
        <v>136520.133</v>
      </c>
      <c r="AS36" s="858">
        <v>3780484.9079999998</v>
      </c>
      <c r="AT36" s="858">
        <v>3858640.9139999999</v>
      </c>
      <c r="AU36" s="858">
        <v>7639125.8219999997</v>
      </c>
      <c r="AV36" s="992"/>
      <c r="AW36" s="876"/>
      <c r="AX36" s="873" t="s">
        <v>5</v>
      </c>
      <c r="AY36" s="583">
        <v>7975.5</v>
      </c>
      <c r="AZ36" s="583">
        <v>13649</v>
      </c>
      <c r="BA36" s="583">
        <v>1289.9000000000001</v>
      </c>
      <c r="BB36" s="583">
        <v>13642</v>
      </c>
      <c r="BC36" s="583">
        <v>5483.9</v>
      </c>
    </row>
    <row r="37" spans="1:55" s="947" customFormat="1" x14ac:dyDescent="0.25">
      <c r="A37" s="1040"/>
      <c r="B37" s="839" t="s">
        <v>79</v>
      </c>
      <c r="C37" s="858">
        <v>164000</v>
      </c>
      <c r="D37" s="858">
        <v>109880</v>
      </c>
      <c r="E37" s="858">
        <v>109880</v>
      </c>
      <c r="F37" s="858">
        <v>328000</v>
      </c>
      <c r="G37" s="858">
        <v>330905</v>
      </c>
      <c r="H37" s="858">
        <v>264264</v>
      </c>
      <c r="I37" s="858">
        <v>242663.6</v>
      </c>
      <c r="J37" s="858">
        <v>328000</v>
      </c>
      <c r="K37" s="858">
        <v>328000</v>
      </c>
      <c r="L37" s="858">
        <v>328000</v>
      </c>
      <c r="M37" s="858">
        <v>328000</v>
      </c>
      <c r="N37" s="858">
        <v>264264.40000000002</v>
      </c>
      <c r="O37" s="858">
        <v>328000</v>
      </c>
      <c r="P37" s="858">
        <v>352965.4</v>
      </c>
      <c r="Q37" s="858">
        <v>328000</v>
      </c>
      <c r="R37" s="858">
        <v>328000</v>
      </c>
      <c r="S37" s="858">
        <v>328000</v>
      </c>
      <c r="T37" s="858">
        <v>119447.4</v>
      </c>
      <c r="U37" s="858">
        <v>66181</v>
      </c>
      <c r="V37" s="858">
        <v>204393</v>
      </c>
      <c r="W37" s="858">
        <v>418993</v>
      </c>
      <c r="X37" s="858">
        <v>204393</v>
      </c>
      <c r="Y37" s="858">
        <v>418993</v>
      </c>
      <c r="Z37" s="858">
        <v>204393</v>
      </c>
      <c r="AA37" s="858">
        <v>418993</v>
      </c>
      <c r="AB37" s="858">
        <v>657390.4</v>
      </c>
      <c r="AC37" s="858">
        <v>381742.4</v>
      </c>
      <c r="AD37" s="858">
        <v>448142.4</v>
      </c>
      <c r="AE37" s="858">
        <v>448142.4</v>
      </c>
      <c r="AF37" s="858">
        <v>312388.2</v>
      </c>
      <c r="AG37" s="858">
        <v>312388.2</v>
      </c>
      <c r="AH37" s="858">
        <v>448142.4</v>
      </c>
      <c r="AI37" s="858">
        <v>381742.4</v>
      </c>
      <c r="AJ37" s="859">
        <v>10236687.600000001</v>
      </c>
      <c r="AK37" s="841" t="s">
        <v>79</v>
      </c>
      <c r="AL37" s="858">
        <v>948179.2</v>
      </c>
      <c r="AM37" s="858">
        <v>613421.60000000009</v>
      </c>
      <c r="AN37" s="858">
        <v>2869177.1999999997</v>
      </c>
      <c r="AO37" s="858">
        <v>2696877.4000000004</v>
      </c>
      <c r="AP37" s="858">
        <v>2826208.6</v>
      </c>
      <c r="AQ37" s="858">
        <v>2310031.4</v>
      </c>
      <c r="AR37" s="858">
        <v>185628.4</v>
      </c>
      <c r="AS37" s="858">
        <v>5620330.4000000004</v>
      </c>
      <c r="AT37" s="858">
        <v>6829193.4000000004</v>
      </c>
      <c r="AU37" s="858">
        <v>12449523.800000001</v>
      </c>
      <c r="AV37" s="993"/>
      <c r="AW37" s="877"/>
      <c r="AX37" s="874" t="s">
        <v>3</v>
      </c>
      <c r="AY37" s="849">
        <v>0.86767553689157739</v>
      </c>
      <c r="AZ37" s="849">
        <v>0.98994030911609621</v>
      </c>
      <c r="BA37" s="849">
        <v>0.14649963656187537</v>
      </c>
      <c r="BB37" s="849">
        <v>0.98943261022505558</v>
      </c>
      <c r="BC37" s="849">
        <v>0.62283072869343992</v>
      </c>
    </row>
    <row r="38" spans="1:55" s="947" customFormat="1" ht="45" x14ac:dyDescent="0.25">
      <c r="A38" s="1040"/>
      <c r="B38" s="844" t="s">
        <v>8</v>
      </c>
      <c r="C38" s="861">
        <v>1990</v>
      </c>
      <c r="D38" s="861">
        <v>1712</v>
      </c>
      <c r="E38" s="861">
        <v>1272</v>
      </c>
      <c r="F38" s="861">
        <v>4588</v>
      </c>
      <c r="G38" s="861">
        <v>3337</v>
      </c>
      <c r="H38" s="861">
        <v>12412</v>
      </c>
      <c r="I38" s="861">
        <v>5547</v>
      </c>
      <c r="J38" s="861">
        <v>1391</v>
      </c>
      <c r="K38" s="861">
        <v>6093</v>
      </c>
      <c r="L38" s="861">
        <v>6489</v>
      </c>
      <c r="M38" s="861">
        <v>3767</v>
      </c>
      <c r="N38" s="861">
        <v>13096</v>
      </c>
      <c r="O38" s="861">
        <v>3479</v>
      </c>
      <c r="P38" s="861">
        <v>6205</v>
      </c>
      <c r="Q38" s="861">
        <v>1839</v>
      </c>
      <c r="R38" s="861">
        <v>4620</v>
      </c>
      <c r="S38" s="861">
        <v>8685</v>
      </c>
      <c r="T38" s="598">
        <v>1817</v>
      </c>
      <c r="U38" s="598">
        <v>1271</v>
      </c>
      <c r="V38" s="861">
        <v>1907</v>
      </c>
      <c r="W38" s="861">
        <v>2490</v>
      </c>
      <c r="X38" s="861">
        <v>2558</v>
      </c>
      <c r="Y38" s="861">
        <v>3673</v>
      </c>
      <c r="Z38" s="861">
        <v>2608</v>
      </c>
      <c r="AA38" s="861">
        <v>4023</v>
      </c>
      <c r="AB38" s="861">
        <v>7267</v>
      </c>
      <c r="AC38" s="861">
        <v>0</v>
      </c>
      <c r="AD38" s="861">
        <v>3731</v>
      </c>
      <c r="AE38" s="861">
        <v>3842</v>
      </c>
      <c r="AF38" s="861">
        <v>1343</v>
      </c>
      <c r="AG38" s="861">
        <v>1343</v>
      </c>
      <c r="AH38" s="861">
        <v>4143</v>
      </c>
      <c r="AI38" s="861">
        <v>0</v>
      </c>
      <c r="AJ38" s="840">
        <v>128538</v>
      </c>
      <c r="AK38" s="846" t="s">
        <v>8</v>
      </c>
      <c r="AL38" s="858">
        <v>5832</v>
      </c>
      <c r="AM38" s="858">
        <v>3055</v>
      </c>
      <c r="AN38" s="858">
        <v>31363</v>
      </c>
      <c r="AO38" s="858">
        <v>26639</v>
      </c>
      <c r="AP38" s="858">
        <v>32815</v>
      </c>
      <c r="AQ38" s="858">
        <v>25746</v>
      </c>
      <c r="AR38" s="858">
        <v>3088</v>
      </c>
      <c r="AS38" s="858">
        <v>55440</v>
      </c>
      <c r="AT38" s="858">
        <v>73098</v>
      </c>
      <c r="AU38" s="858">
        <v>128538</v>
      </c>
      <c r="AV38" s="993"/>
      <c r="AW38" s="877" t="s">
        <v>191</v>
      </c>
      <c r="AX38" s="839" t="s">
        <v>4</v>
      </c>
      <c r="AY38" s="840">
        <v>97433.600000000006</v>
      </c>
      <c r="AZ38" s="840">
        <v>243584.4</v>
      </c>
      <c r="BA38" s="840">
        <v>132070.29999999999</v>
      </c>
      <c r="BB38" s="840">
        <v>292299.3</v>
      </c>
      <c r="BC38" s="840">
        <v>132070.39999999999</v>
      </c>
    </row>
    <row r="39" spans="1:55" s="947" customFormat="1" x14ac:dyDescent="0.25">
      <c r="A39" s="1040"/>
      <c r="B39" s="839" t="s">
        <v>77</v>
      </c>
      <c r="C39" s="858">
        <v>67096.83</v>
      </c>
      <c r="D39" s="858">
        <v>57723.504000000001</v>
      </c>
      <c r="E39" s="858">
        <v>42888.023999999998</v>
      </c>
      <c r="F39" s="858">
        <v>154693.59599999999</v>
      </c>
      <c r="G39" s="858">
        <v>112513.629</v>
      </c>
      <c r="H39" s="858">
        <v>418495.40399999998</v>
      </c>
      <c r="I39" s="858">
        <v>187028.19899999999</v>
      </c>
      <c r="J39" s="858">
        <v>46900.347000000002</v>
      </c>
      <c r="K39" s="858">
        <v>205437.68099999998</v>
      </c>
      <c r="L39" s="858">
        <v>218789.61299999998</v>
      </c>
      <c r="M39" s="858">
        <v>127011.939</v>
      </c>
      <c r="N39" s="858">
        <v>441557.83199999999</v>
      </c>
      <c r="O39" s="858">
        <v>117301.443</v>
      </c>
      <c r="P39" s="858">
        <v>121077.74699999999</v>
      </c>
      <c r="Q39" s="858">
        <v>62005.562999999995</v>
      </c>
      <c r="R39" s="858">
        <v>155772.54</v>
      </c>
      <c r="S39" s="858">
        <v>292832.14499999996</v>
      </c>
      <c r="T39" s="863">
        <v>61263.788999999997</v>
      </c>
      <c r="U39" s="863">
        <v>42854.307000000001</v>
      </c>
      <c r="V39" s="863">
        <v>64298.318999999996</v>
      </c>
      <c r="W39" s="863">
        <v>83955.33</v>
      </c>
      <c r="X39" s="863">
        <v>86248.085999999996</v>
      </c>
      <c r="Y39" s="863">
        <v>123842.541</v>
      </c>
      <c r="Z39" s="863">
        <v>87933.936000000002</v>
      </c>
      <c r="AA39" s="863">
        <v>135643.49100000001</v>
      </c>
      <c r="AB39" s="863">
        <v>245021.43899999998</v>
      </c>
      <c r="AC39" s="863">
        <v>0</v>
      </c>
      <c r="AD39" s="863">
        <v>125798.12699999999</v>
      </c>
      <c r="AE39" s="863">
        <v>129540.71399999999</v>
      </c>
      <c r="AF39" s="863">
        <v>45281.930999999997</v>
      </c>
      <c r="AG39" s="863">
        <v>45281.930999999997</v>
      </c>
      <c r="AH39" s="863">
        <v>139689.53099999999</v>
      </c>
      <c r="AI39" s="863">
        <v>0</v>
      </c>
      <c r="AJ39" s="864">
        <v>4245779.5080000004</v>
      </c>
      <c r="AK39" s="841" t="s">
        <v>77</v>
      </c>
      <c r="AL39" s="858">
        <v>196637.54399999999</v>
      </c>
      <c r="AM39" s="858">
        <v>103005.435</v>
      </c>
      <c r="AN39" s="858">
        <v>1057466.2709999999</v>
      </c>
      <c r="AO39" s="858">
        <v>898187.16299999994</v>
      </c>
      <c r="AP39" s="858">
        <v>1106423.355</v>
      </c>
      <c r="AQ39" s="858">
        <v>868077.88199999998</v>
      </c>
      <c r="AR39" s="858">
        <v>104118.09599999999</v>
      </c>
      <c r="AS39" s="858">
        <v>1869270.48</v>
      </c>
      <c r="AT39" s="858">
        <v>2464645.2659999998</v>
      </c>
      <c r="AU39" s="858">
        <v>4333915.7459999993</v>
      </c>
      <c r="AV39" s="915"/>
      <c r="AW39" s="1037"/>
      <c r="AX39" s="844" t="s">
        <v>5</v>
      </c>
      <c r="AY39" s="583">
        <v>38973.199999999997</v>
      </c>
      <c r="AZ39" s="583">
        <v>124350.5</v>
      </c>
      <c r="BA39" s="583">
        <v>3817.1</v>
      </c>
      <c r="BB39" s="583">
        <v>109009</v>
      </c>
      <c r="BC39" s="583">
        <v>33401</v>
      </c>
    </row>
    <row r="40" spans="1:55" s="947" customFormat="1" x14ac:dyDescent="0.25">
      <c r="A40" s="1040"/>
      <c r="B40" s="848" t="s">
        <v>217</v>
      </c>
      <c r="C40" s="849">
        <v>0.26836756814698437</v>
      </c>
      <c r="D40" s="849">
        <v>0.38350232233366793</v>
      </c>
      <c r="E40" s="866">
        <v>0.2849386413600617</v>
      </c>
      <c r="F40" s="866">
        <v>0.84997041738736734</v>
      </c>
      <c r="G40" s="866">
        <v>0.67875096597185058</v>
      </c>
      <c r="H40" s="866">
        <v>1.0744288366003003</v>
      </c>
      <c r="I40" s="866">
        <v>1.0875281595343522</v>
      </c>
      <c r="J40" s="866">
        <v>0.28239951709437733</v>
      </c>
      <c r="K40" s="866">
        <v>1.6564990017674681</v>
      </c>
      <c r="L40" s="866">
        <v>0.97642897882458779</v>
      </c>
      <c r="M40" s="866">
        <v>0.65799373773177205</v>
      </c>
      <c r="N40" s="866">
        <v>1.0076170251510714</v>
      </c>
      <c r="O40" s="866">
        <v>1.412610044942846</v>
      </c>
      <c r="P40" s="866">
        <v>0.43848032306475482</v>
      </c>
      <c r="Q40" s="866">
        <v>0.74670591338025105</v>
      </c>
      <c r="R40" s="866">
        <v>0.81293186137851203</v>
      </c>
      <c r="S40" s="866">
        <v>1.1164488661167131</v>
      </c>
      <c r="T40" s="849">
        <v>1.0257868986683678</v>
      </c>
      <c r="U40" s="849">
        <v>1.2950637494144845</v>
      </c>
      <c r="V40" s="849">
        <v>0.62916361127827269</v>
      </c>
      <c r="W40" s="849">
        <v>0.40074812705701529</v>
      </c>
      <c r="X40" s="849">
        <v>0.84394363799151628</v>
      </c>
      <c r="Y40" s="849">
        <v>0.59114372316482611</v>
      </c>
      <c r="Z40" s="849">
        <v>0.860439799797449</v>
      </c>
      <c r="AA40" s="849">
        <v>0.64747378118488852</v>
      </c>
      <c r="AB40" s="849">
        <v>0.74543662030963631</v>
      </c>
      <c r="AC40" s="849">
        <v>0</v>
      </c>
      <c r="AD40" s="849">
        <v>0.56142032978803158</v>
      </c>
      <c r="AE40" s="849">
        <v>0.57812299840407866</v>
      </c>
      <c r="AF40" s="849">
        <v>0.28990807591323869</v>
      </c>
      <c r="AG40" s="849">
        <v>0.28990807591323869</v>
      </c>
      <c r="AH40" s="849">
        <v>0.62341582050705302</v>
      </c>
      <c r="AI40" s="849">
        <v>0</v>
      </c>
      <c r="AJ40" s="851">
        <v>0.68207902184981573</v>
      </c>
      <c r="AK40" s="852" t="s">
        <v>217</v>
      </c>
      <c r="AL40" s="849">
        <v>0.41476873569890588</v>
      </c>
      <c r="AM40" s="849">
        <v>0.33583895643713879</v>
      </c>
      <c r="AN40" s="849">
        <v>0.73712161869960491</v>
      </c>
      <c r="AO40" s="849">
        <v>0.66609417469255361</v>
      </c>
      <c r="AP40" s="849">
        <v>0.78297359579190295</v>
      </c>
      <c r="AQ40" s="849">
        <v>0.7515723656397052</v>
      </c>
      <c r="AR40" s="849">
        <v>1.1217905880781174</v>
      </c>
      <c r="AS40" s="849">
        <v>0.6651817053317719</v>
      </c>
      <c r="AT40" s="849">
        <v>0.72179688629113936</v>
      </c>
      <c r="AU40" s="849">
        <v>0.69623799522356011</v>
      </c>
      <c r="AV40" s="914"/>
      <c r="AW40" s="1037"/>
      <c r="AX40" s="848" t="s">
        <v>3</v>
      </c>
      <c r="AY40" s="849">
        <v>0.39999753678402516</v>
      </c>
      <c r="AZ40" s="849">
        <v>0.51050272513346506</v>
      </c>
      <c r="BA40" s="849">
        <v>2.8902031720984961E-2</v>
      </c>
      <c r="BB40" s="849">
        <v>0.37293623351133581</v>
      </c>
      <c r="BC40" s="849">
        <v>0.25290299718937781</v>
      </c>
    </row>
    <row r="41" spans="1:55" s="947" customFormat="1" x14ac:dyDescent="0.25">
      <c r="A41" s="1037"/>
      <c r="B41" s="848" t="s">
        <v>218</v>
      </c>
      <c r="C41" s="598">
        <v>57121.599999999999</v>
      </c>
      <c r="D41" s="598">
        <v>57318.6</v>
      </c>
      <c r="E41" s="598">
        <v>42483.199999999997</v>
      </c>
      <c r="F41" s="598">
        <v>143392</v>
      </c>
      <c r="G41" s="598">
        <v>110224</v>
      </c>
      <c r="H41" s="598">
        <v>422469</v>
      </c>
      <c r="I41" s="598">
        <v>109776</v>
      </c>
      <c r="J41" s="598">
        <v>46941.2</v>
      </c>
      <c r="K41" s="598">
        <v>147020</v>
      </c>
      <c r="L41" s="598">
        <v>219177</v>
      </c>
      <c r="M41" s="598">
        <v>139706</v>
      </c>
      <c r="N41" s="598">
        <v>441635</v>
      </c>
      <c r="O41" s="598">
        <v>117345</v>
      </c>
      <c r="P41" s="598">
        <v>93189.2</v>
      </c>
      <c r="Q41" s="598">
        <v>62056.800000000003</v>
      </c>
      <c r="R41" s="598">
        <v>141875</v>
      </c>
      <c r="S41" s="598">
        <v>290033</v>
      </c>
      <c r="T41" s="598">
        <v>61297.2</v>
      </c>
      <c r="U41" s="598">
        <v>42854.1</v>
      </c>
      <c r="V41" s="598">
        <v>64335</v>
      </c>
      <c r="W41" s="598">
        <v>62682.8</v>
      </c>
      <c r="X41" s="598">
        <v>86306.8</v>
      </c>
      <c r="Y41" s="598">
        <v>86273.1</v>
      </c>
      <c r="Z41" s="598">
        <v>88002.3</v>
      </c>
      <c r="AA41" s="598">
        <v>84322.9</v>
      </c>
      <c r="AB41" s="598">
        <v>245160</v>
      </c>
      <c r="AC41" s="598">
        <v>0</v>
      </c>
      <c r="AD41" s="598">
        <v>125885</v>
      </c>
      <c r="AE41" s="598">
        <v>129592</v>
      </c>
      <c r="AF41" s="598">
        <v>45318.5</v>
      </c>
      <c r="AG41" s="598">
        <v>45303.8</v>
      </c>
      <c r="AH41" s="598">
        <v>139723</v>
      </c>
      <c r="AI41" s="598">
        <v>0</v>
      </c>
      <c r="AJ41" s="867">
        <v>3948819.0999999996</v>
      </c>
      <c r="AK41" s="852" t="s">
        <v>218</v>
      </c>
      <c r="AL41" s="861">
        <v>186713.60000000001</v>
      </c>
      <c r="AM41" s="861">
        <v>102622.39999999999</v>
      </c>
      <c r="AN41" s="861">
        <v>1050646</v>
      </c>
      <c r="AO41" s="861">
        <v>738754.8</v>
      </c>
      <c r="AP41" s="861">
        <v>1116534</v>
      </c>
      <c r="AQ41" s="861">
        <v>649397</v>
      </c>
      <c r="AR41" s="861">
        <v>104151.29999999999</v>
      </c>
      <c r="AS41" s="861">
        <v>1490774.2000000002</v>
      </c>
      <c r="AT41" s="861">
        <v>2458044.9</v>
      </c>
      <c r="AU41" s="861">
        <v>3948819.1</v>
      </c>
      <c r="AV41" s="916"/>
      <c r="AW41" s="1037" t="s">
        <v>219</v>
      </c>
      <c r="AX41" s="848" t="s">
        <v>3</v>
      </c>
      <c r="AY41" s="849">
        <v>0.38119624665106289</v>
      </c>
      <c r="AZ41" s="849">
        <v>0.47677983409520408</v>
      </c>
      <c r="BA41" s="849">
        <v>2.9589946651719472E-2</v>
      </c>
      <c r="BB41" s="849">
        <v>0.45412051337057324</v>
      </c>
      <c r="BC41" s="849">
        <v>0.31543211186862841</v>
      </c>
    </row>
    <row r="42" spans="1:55" s="947" customFormat="1" x14ac:dyDescent="0.25">
      <c r="A42" s="1037"/>
      <c r="B42" s="848" t="s">
        <v>216</v>
      </c>
      <c r="C42" s="866">
        <v>0.22846958463857059</v>
      </c>
      <c r="D42" s="866">
        <v>0.38081222880916199</v>
      </c>
      <c r="E42" s="866">
        <v>0.28224907933804017</v>
      </c>
      <c r="F42" s="866">
        <v>0.78787332663731857</v>
      </c>
      <c r="G42" s="866">
        <v>0.66493852467669723</v>
      </c>
      <c r="H42" s="866">
        <v>1.0846304925482344</v>
      </c>
      <c r="I42" s="866">
        <v>0.63832348212390722</v>
      </c>
      <c r="J42" s="866">
        <v>0.28264550391984489</v>
      </c>
      <c r="K42" s="866">
        <v>1.1854616059448859</v>
      </c>
      <c r="L42" s="866">
        <v>0.97815783554513025</v>
      </c>
      <c r="M42" s="866">
        <v>0.72375615904544965</v>
      </c>
      <c r="N42" s="866">
        <v>1.0077931193905161</v>
      </c>
      <c r="O42" s="866">
        <v>1.4131345828696946</v>
      </c>
      <c r="P42" s="866">
        <v>0.33748258069375914</v>
      </c>
      <c r="Q42" s="866">
        <v>0.74732293819274842</v>
      </c>
      <c r="R42" s="866">
        <v>0.74040461709795824</v>
      </c>
      <c r="S42" s="866">
        <v>1.1057768742787055</v>
      </c>
      <c r="T42" s="866">
        <v>1.0263463248258229</v>
      </c>
      <c r="U42" s="866">
        <v>1.2950574938426436</v>
      </c>
      <c r="V42" s="866">
        <v>0.6295225374645903</v>
      </c>
      <c r="W42" s="866">
        <v>0.29920690799130295</v>
      </c>
      <c r="X42" s="866">
        <v>0.84451815864535484</v>
      </c>
      <c r="Y42" s="866">
        <v>0.41181165317797674</v>
      </c>
      <c r="Z42" s="866">
        <v>0.8611087463856395</v>
      </c>
      <c r="AA42" s="866">
        <v>0.40250266710899701</v>
      </c>
      <c r="AB42" s="866">
        <v>0.74585816890541756</v>
      </c>
      <c r="AC42" s="866">
        <v>0</v>
      </c>
      <c r="AD42" s="866">
        <v>0.56180803244682942</v>
      </c>
      <c r="AE42" s="866">
        <v>0.57835188100925061</v>
      </c>
      <c r="AF42" s="866">
        <v>0.29014220127392776</v>
      </c>
      <c r="AG42" s="866">
        <v>0.29004808760382117</v>
      </c>
      <c r="AH42" s="866">
        <v>0.62356518820803386</v>
      </c>
      <c r="AI42" s="866">
        <v>0</v>
      </c>
      <c r="AJ42" s="869">
        <v>0.63437271391858363</v>
      </c>
      <c r="AK42" s="852" t="s">
        <v>216</v>
      </c>
      <c r="AL42" s="849">
        <v>0.39383610186766388</v>
      </c>
      <c r="AM42" s="849">
        <v>0.33459010898866287</v>
      </c>
      <c r="AN42" s="849">
        <v>0.7323674536379281</v>
      </c>
      <c r="AO42" s="849">
        <v>0.54785938730473993</v>
      </c>
      <c r="AP42" s="849">
        <v>0.79012851351453672</v>
      </c>
      <c r="AQ42" s="849">
        <v>0.56224084226733895</v>
      </c>
      <c r="AR42" s="849">
        <v>1.1221483350607988</v>
      </c>
      <c r="AS42" s="849">
        <v>0.5304934386063852</v>
      </c>
      <c r="AT42" s="849">
        <v>0.71986390076462026</v>
      </c>
      <c r="AU42" s="849">
        <v>0.63437271391858374</v>
      </c>
      <c r="AV42" s="914"/>
      <c r="AW42" s="1037"/>
      <c r="AX42" s="848"/>
      <c r="AY42" s="849"/>
      <c r="AZ42" s="849"/>
      <c r="BA42" s="849"/>
      <c r="BB42" s="849"/>
      <c r="BC42" s="849"/>
    </row>
    <row r="43" spans="1:55" s="947" customFormat="1" x14ac:dyDescent="0.25">
      <c r="A43" s="1041">
        <v>41956</v>
      </c>
      <c r="B43" s="1041"/>
      <c r="C43" s="1041"/>
      <c r="D43" s="529"/>
      <c r="E43" s="529"/>
      <c r="F43" s="529"/>
      <c r="G43" s="529"/>
      <c r="H43" s="529"/>
      <c r="I43" s="525"/>
      <c r="J43" s="531"/>
      <c r="K43" s="531"/>
      <c r="L43" s="529"/>
      <c r="M43" s="529"/>
      <c r="N43" s="527"/>
      <c r="R43" s="526"/>
      <c r="S43" s="534"/>
      <c r="T43" s="534"/>
      <c r="U43" s="534"/>
      <c r="V43" s="534"/>
      <c r="W43" s="534"/>
      <c r="X43" s="534"/>
      <c r="Y43" s="534"/>
      <c r="Z43" s="534"/>
      <c r="AA43" s="534"/>
      <c r="AB43" s="534"/>
      <c r="AC43" s="534"/>
      <c r="AD43" s="534"/>
      <c r="AE43" s="534"/>
      <c r="AF43" s="534"/>
      <c r="AG43" s="534"/>
      <c r="AH43" s="534"/>
      <c r="AI43" s="534"/>
      <c r="AJ43" s="534"/>
      <c r="AK43" s="534"/>
      <c r="AL43" s="534"/>
      <c r="AM43" s="534"/>
      <c r="AN43" s="534"/>
      <c r="AO43" s="534"/>
    </row>
    <row r="44" spans="1:55" s="947" customFormat="1" x14ac:dyDescent="0.25">
      <c r="A44" s="1042" t="s">
        <v>1</v>
      </c>
      <c r="B44" s="1042"/>
      <c r="C44" s="1035" t="s">
        <v>12</v>
      </c>
      <c r="D44" s="1035" t="s">
        <v>12</v>
      </c>
      <c r="E44" s="1035" t="s">
        <v>13</v>
      </c>
      <c r="F44" s="1035" t="s">
        <v>13</v>
      </c>
      <c r="G44" s="1035" t="s">
        <v>13</v>
      </c>
      <c r="H44" s="1035" t="s">
        <v>13</v>
      </c>
      <c r="I44" s="1035" t="s">
        <v>13</v>
      </c>
      <c r="J44" s="1035" t="s">
        <v>13</v>
      </c>
      <c r="K44" s="1035" t="s">
        <v>13</v>
      </c>
      <c r="L44" s="1035" t="s">
        <v>13</v>
      </c>
      <c r="M44" s="829" t="s">
        <v>2</v>
      </c>
      <c r="N44" s="1035" t="s">
        <v>2</v>
      </c>
      <c r="O44" s="1035" t="s">
        <v>2</v>
      </c>
      <c r="P44" s="1035" t="s">
        <v>2</v>
      </c>
      <c r="Q44" s="1035" t="s">
        <v>2</v>
      </c>
      <c r="R44" s="1035" t="s">
        <v>2</v>
      </c>
      <c r="S44" s="1035" t="s">
        <v>2</v>
      </c>
      <c r="T44" s="830" t="s">
        <v>183</v>
      </c>
      <c r="U44" s="830" t="s">
        <v>183</v>
      </c>
      <c r="V44" s="830" t="s">
        <v>2</v>
      </c>
      <c r="W44" s="830" t="s">
        <v>13</v>
      </c>
      <c r="X44" s="830" t="s">
        <v>13</v>
      </c>
      <c r="Y44" s="830" t="s">
        <v>2</v>
      </c>
      <c r="Z44" s="830" t="s">
        <v>13</v>
      </c>
      <c r="AA44" s="830" t="s">
        <v>2</v>
      </c>
      <c r="AB44" s="888" t="s">
        <v>2</v>
      </c>
      <c r="AC44" s="888" t="s">
        <v>2</v>
      </c>
      <c r="AD44" s="888" t="s">
        <v>13</v>
      </c>
      <c r="AE44" s="888" t="s">
        <v>12</v>
      </c>
      <c r="AF44" s="888" t="s">
        <v>13</v>
      </c>
      <c r="AG44" s="888" t="s">
        <v>12</v>
      </c>
      <c r="AH44" s="888" t="s">
        <v>13</v>
      </c>
      <c r="AI44" s="888" t="s">
        <v>13</v>
      </c>
      <c r="AJ44" s="831" t="s">
        <v>219</v>
      </c>
      <c r="AK44" s="1042" t="s">
        <v>0</v>
      </c>
      <c r="AL44" s="1042"/>
      <c r="AM44" s="833"/>
      <c r="AN44" s="833"/>
      <c r="AO44" s="833"/>
      <c r="AP44" s="833"/>
      <c r="AQ44" s="833"/>
      <c r="AR44" s="833"/>
      <c r="AS44" s="833"/>
      <c r="AT44" s="833"/>
      <c r="AU44" s="803"/>
      <c r="AV44" s="803"/>
      <c r="AW44" s="1042" t="s">
        <v>1</v>
      </c>
      <c r="AX44" s="1043"/>
      <c r="AY44" s="1035" t="s">
        <v>12</v>
      </c>
      <c r="AZ44" s="1044" t="s">
        <v>13</v>
      </c>
      <c r="BA44" s="1045"/>
      <c r="BB44" s="1044" t="s">
        <v>2</v>
      </c>
      <c r="BC44" s="1045"/>
    </row>
    <row r="45" spans="1:55" s="947" customFormat="1" x14ac:dyDescent="0.25">
      <c r="A45" s="1042" t="s">
        <v>0</v>
      </c>
      <c r="B45" s="1042"/>
      <c r="C45" s="834" t="s">
        <v>99</v>
      </c>
      <c r="D45" s="835" t="s">
        <v>100</v>
      </c>
      <c r="E45" s="835" t="s">
        <v>101</v>
      </c>
      <c r="F45" s="834" t="s">
        <v>102</v>
      </c>
      <c r="G45" s="835" t="s">
        <v>97</v>
      </c>
      <c r="H45" s="834" t="s">
        <v>104</v>
      </c>
      <c r="I45" s="835" t="s">
        <v>103</v>
      </c>
      <c r="J45" s="835" t="s">
        <v>178</v>
      </c>
      <c r="K45" s="835" t="s">
        <v>199</v>
      </c>
      <c r="L45" s="834" t="s">
        <v>206</v>
      </c>
      <c r="M45" s="834" t="s">
        <v>105</v>
      </c>
      <c r="N45" s="834" t="s">
        <v>107</v>
      </c>
      <c r="O45" s="835" t="s">
        <v>98</v>
      </c>
      <c r="P45" s="835" t="s">
        <v>106</v>
      </c>
      <c r="Q45" s="835" t="s">
        <v>179</v>
      </c>
      <c r="R45" s="835" t="s">
        <v>198</v>
      </c>
      <c r="S45" s="834" t="s">
        <v>207</v>
      </c>
      <c r="T45" s="834" t="s">
        <v>307</v>
      </c>
      <c r="U45" s="834" t="s">
        <v>184</v>
      </c>
      <c r="V45" s="835" t="s">
        <v>221</v>
      </c>
      <c r="W45" s="835" t="s">
        <v>222</v>
      </c>
      <c r="X45" s="835" t="s">
        <v>255</v>
      </c>
      <c r="Y45" s="835" t="s">
        <v>256</v>
      </c>
      <c r="Z45" s="835" t="s">
        <v>266</v>
      </c>
      <c r="AA45" s="835" t="s">
        <v>267</v>
      </c>
      <c r="AB45" s="889" t="s">
        <v>268</v>
      </c>
      <c r="AC45" s="889" t="s">
        <v>269</v>
      </c>
      <c r="AD45" s="889" t="s">
        <v>295</v>
      </c>
      <c r="AE45" s="889" t="s">
        <v>290</v>
      </c>
      <c r="AF45" s="946" t="s">
        <v>291</v>
      </c>
      <c r="AG45" s="946" t="s">
        <v>292</v>
      </c>
      <c r="AH45" s="889" t="s">
        <v>293</v>
      </c>
      <c r="AI45" s="889" t="s">
        <v>294</v>
      </c>
      <c r="AJ45" s="836"/>
      <c r="AK45" s="903" t="s">
        <v>1</v>
      </c>
      <c r="AL45" s="838" t="s">
        <v>257</v>
      </c>
      <c r="AM45" s="838" t="s">
        <v>258</v>
      </c>
      <c r="AN45" s="838" t="s">
        <v>259</v>
      </c>
      <c r="AO45" s="838" t="s">
        <v>260</v>
      </c>
      <c r="AP45" s="838" t="s">
        <v>261</v>
      </c>
      <c r="AQ45" s="838" t="s">
        <v>262</v>
      </c>
      <c r="AR45" s="838" t="s">
        <v>263</v>
      </c>
      <c r="AS45" s="904" t="s">
        <v>264</v>
      </c>
      <c r="AT45" s="904" t="s">
        <v>265</v>
      </c>
      <c r="AU45" s="988" t="s">
        <v>306</v>
      </c>
      <c r="AV45" s="988"/>
      <c r="AW45" s="1046" t="s">
        <v>0</v>
      </c>
      <c r="AX45" s="1043"/>
      <c r="AY45" s="834" t="s">
        <v>99</v>
      </c>
      <c r="AZ45" s="834" t="s">
        <v>104</v>
      </c>
      <c r="BA45" s="834" t="s">
        <v>206</v>
      </c>
      <c r="BB45" s="834" t="s">
        <v>107</v>
      </c>
      <c r="BC45" s="834" t="s">
        <v>207</v>
      </c>
    </row>
    <row r="46" spans="1:55" s="947" customFormat="1" ht="30" x14ac:dyDescent="0.25">
      <c r="A46" s="1047" t="s">
        <v>9</v>
      </c>
      <c r="B46" s="839" t="s">
        <v>4</v>
      </c>
      <c r="C46" s="840">
        <v>250018.4</v>
      </c>
      <c r="D46" s="840">
        <v>150516.70000000001</v>
      </c>
      <c r="E46" s="840">
        <v>150516.70000000001</v>
      </c>
      <c r="F46" s="840">
        <v>181998.8</v>
      </c>
      <c r="G46" s="840">
        <v>165765.70000000001</v>
      </c>
      <c r="H46" s="840">
        <v>389505</v>
      </c>
      <c r="I46" s="840">
        <v>171975.5</v>
      </c>
      <c r="J46" s="840">
        <v>166078</v>
      </c>
      <c r="K46" s="840">
        <v>124019.2</v>
      </c>
      <c r="L46" s="840">
        <v>224071.2</v>
      </c>
      <c r="M46" s="840">
        <v>193029.1</v>
      </c>
      <c r="N46" s="840">
        <v>438219.9</v>
      </c>
      <c r="O46" s="840">
        <v>83038.8</v>
      </c>
      <c r="P46" s="840">
        <v>276130.40000000002</v>
      </c>
      <c r="Q46" s="840">
        <v>83038.8</v>
      </c>
      <c r="R46" s="840">
        <v>191618.2</v>
      </c>
      <c r="S46" s="840">
        <v>262288.90000000002</v>
      </c>
      <c r="T46" s="840">
        <v>59723.7</v>
      </c>
      <c r="U46" s="840">
        <v>33090.5</v>
      </c>
      <c r="V46" s="840">
        <v>102196.5</v>
      </c>
      <c r="W46" s="840">
        <v>209496.5</v>
      </c>
      <c r="X46" s="840">
        <v>102196.5</v>
      </c>
      <c r="Y46" s="840">
        <v>209496.5</v>
      </c>
      <c r="Z46" s="840">
        <v>102196.5</v>
      </c>
      <c r="AA46" s="840">
        <v>209496.5</v>
      </c>
      <c r="AB46" s="840">
        <v>328695.2</v>
      </c>
      <c r="AC46" s="901">
        <v>190871.2</v>
      </c>
      <c r="AD46" s="901">
        <v>224071.2</v>
      </c>
      <c r="AE46" s="901">
        <v>224071.2</v>
      </c>
      <c r="AF46" s="901">
        <v>156194.1</v>
      </c>
      <c r="AG46" s="901">
        <v>156194.1</v>
      </c>
      <c r="AH46" s="901">
        <v>224071.2</v>
      </c>
      <c r="AI46" s="901">
        <v>190871.2</v>
      </c>
      <c r="AJ46" s="840">
        <v>6224761.9000000004</v>
      </c>
      <c r="AK46" s="841" t="s">
        <v>4</v>
      </c>
      <c r="AL46" s="863">
        <v>474089.6</v>
      </c>
      <c r="AM46" s="863">
        <v>306710.80000000005</v>
      </c>
      <c r="AN46" s="863">
        <v>1434588.5999999999</v>
      </c>
      <c r="AO46" s="863">
        <v>1348438.7000000002</v>
      </c>
      <c r="AP46" s="863">
        <v>1413104.3</v>
      </c>
      <c r="AQ46" s="863">
        <v>1155015.7</v>
      </c>
      <c r="AR46" s="863">
        <v>92814.2</v>
      </c>
      <c r="AS46" s="863">
        <v>2810165.2</v>
      </c>
      <c r="AT46" s="863">
        <v>3414596.7</v>
      </c>
      <c r="AU46" s="863">
        <v>6224761.9000000004</v>
      </c>
      <c r="AV46" s="989"/>
      <c r="AW46" s="875" t="s">
        <v>194</v>
      </c>
      <c r="AX46" s="872" t="s">
        <v>4</v>
      </c>
      <c r="AY46" s="840">
        <v>143393</v>
      </c>
      <c r="AZ46" s="840">
        <v>132132</v>
      </c>
      <c r="BA46" s="840">
        <v>83196.100000000006</v>
      </c>
      <c r="BB46" s="840">
        <v>132132.20000000001</v>
      </c>
      <c r="BC46" s="840">
        <v>83196.100000000006</v>
      </c>
    </row>
    <row r="47" spans="1:55" s="947" customFormat="1" x14ac:dyDescent="0.25">
      <c r="A47" s="1047"/>
      <c r="B47" s="844" t="s">
        <v>5</v>
      </c>
      <c r="C47" s="583">
        <v>54215.6</v>
      </c>
      <c r="D47" s="583">
        <v>87105.2</v>
      </c>
      <c r="E47" s="583">
        <v>86852.5</v>
      </c>
      <c r="F47" s="583">
        <v>102501.2</v>
      </c>
      <c r="G47" s="583">
        <v>120394.4</v>
      </c>
      <c r="H47" s="583">
        <v>209660</v>
      </c>
      <c r="I47" s="583">
        <v>97887.3</v>
      </c>
      <c r="J47" s="583">
        <v>53025.3</v>
      </c>
      <c r="K47" s="583">
        <v>103298.9</v>
      </c>
      <c r="L47" s="583">
        <v>100281.60000000001</v>
      </c>
      <c r="M47" s="583">
        <v>81076.399999999994</v>
      </c>
      <c r="N47" s="583">
        <v>217670.1</v>
      </c>
      <c r="O47" s="583">
        <v>60810.6</v>
      </c>
      <c r="P47" s="583">
        <v>184306</v>
      </c>
      <c r="Q47" s="583">
        <v>27399.9</v>
      </c>
      <c r="R47" s="583">
        <v>157141.79999999999</v>
      </c>
      <c r="S47" s="583">
        <v>186863.5</v>
      </c>
      <c r="T47" s="583">
        <v>40495.1</v>
      </c>
      <c r="U47" s="583">
        <v>14288.8</v>
      </c>
      <c r="V47" s="583">
        <v>16095.5</v>
      </c>
      <c r="W47" s="583">
        <v>32179.200000000001</v>
      </c>
      <c r="X47" s="583">
        <v>41653.1</v>
      </c>
      <c r="Y47" s="583">
        <v>82416.800000000003</v>
      </c>
      <c r="Z47" s="583">
        <v>35546</v>
      </c>
      <c r="AA47" s="583">
        <v>64666</v>
      </c>
      <c r="AB47" s="583">
        <v>139253.1</v>
      </c>
      <c r="AC47" s="583">
        <v>4.9000000000000004</v>
      </c>
      <c r="AD47" s="583">
        <v>47528.2</v>
      </c>
      <c r="AE47" s="583">
        <v>76433.5</v>
      </c>
      <c r="AF47" s="583">
        <v>26066.7</v>
      </c>
      <c r="AG47" s="583">
        <v>26039.4</v>
      </c>
      <c r="AH47" s="583">
        <v>21290.2</v>
      </c>
      <c r="AI47" s="583">
        <v>4.9000000000000004</v>
      </c>
      <c r="AJ47" s="583">
        <v>2594451.7000000007</v>
      </c>
      <c r="AK47" s="846" t="s">
        <v>5</v>
      </c>
      <c r="AL47" s="863">
        <v>130649.1</v>
      </c>
      <c r="AM47" s="863">
        <v>113144.6</v>
      </c>
      <c r="AN47" s="863">
        <v>481266.10000000009</v>
      </c>
      <c r="AO47" s="863">
        <v>596903.4</v>
      </c>
      <c r="AP47" s="863">
        <v>624868</v>
      </c>
      <c r="AQ47" s="863">
        <v>592836.6</v>
      </c>
      <c r="AR47" s="863">
        <v>54783.899999999994</v>
      </c>
      <c r="AS47" s="863">
        <v>1302884.6000000001</v>
      </c>
      <c r="AT47" s="863">
        <v>1291567.1000000001</v>
      </c>
      <c r="AU47" s="863">
        <v>2594451.7000000002</v>
      </c>
      <c r="AV47" s="990"/>
      <c r="AW47" s="876"/>
      <c r="AX47" s="873" t="s">
        <v>5</v>
      </c>
      <c r="AY47" s="583">
        <v>51964.9</v>
      </c>
      <c r="AZ47" s="583">
        <v>58542</v>
      </c>
      <c r="BA47" s="583">
        <v>2519</v>
      </c>
      <c r="BB47" s="583">
        <v>70731</v>
      </c>
      <c r="BC47" s="583">
        <v>31444.9</v>
      </c>
    </row>
    <row r="48" spans="1:55" s="947" customFormat="1" x14ac:dyDescent="0.25">
      <c r="A48" s="1047"/>
      <c r="B48" s="848" t="s">
        <v>3</v>
      </c>
      <c r="C48" s="866">
        <v>0.21684644010200849</v>
      </c>
      <c r="D48" s="866">
        <v>0.57870787759763531</v>
      </c>
      <c r="E48" s="866">
        <v>0.57702899412490438</v>
      </c>
      <c r="F48" s="866">
        <v>0.56319711998101085</v>
      </c>
      <c r="G48" s="866">
        <v>0.72629259249651756</v>
      </c>
      <c r="H48" s="866">
        <v>0.53827293616256533</v>
      </c>
      <c r="I48" s="866">
        <v>0.56919328625298371</v>
      </c>
      <c r="J48" s="866">
        <v>0.31927949517696508</v>
      </c>
      <c r="K48" s="866">
        <v>0.83292667586954272</v>
      </c>
      <c r="L48" s="866">
        <v>0.44754345940040485</v>
      </c>
      <c r="M48" s="866">
        <v>0.42002164440491091</v>
      </c>
      <c r="N48" s="866">
        <v>0.49671432082386036</v>
      </c>
      <c r="O48" s="866">
        <v>0.73231549588866884</v>
      </c>
      <c r="P48" s="866">
        <v>0.66746001164667124</v>
      </c>
      <c r="Q48" s="866">
        <v>0.3299650283963641</v>
      </c>
      <c r="R48" s="866">
        <v>0.82007763354420393</v>
      </c>
      <c r="S48" s="866">
        <v>0.71243388492612525</v>
      </c>
      <c r="T48" s="866">
        <v>0.67804071080659778</v>
      </c>
      <c r="U48" s="866">
        <v>0.43180973391154559</v>
      </c>
      <c r="V48" s="866">
        <v>0.15749560894942585</v>
      </c>
      <c r="W48" s="866">
        <v>0.15360256615265649</v>
      </c>
      <c r="X48" s="866">
        <v>0.40757853742544997</v>
      </c>
      <c r="Y48" s="866">
        <v>0.39340418575011993</v>
      </c>
      <c r="Z48" s="866">
        <v>0.34782013082639818</v>
      </c>
      <c r="AA48" s="866">
        <v>0.30867341459165187</v>
      </c>
      <c r="AB48" s="866">
        <v>0.42365419391582232</v>
      </c>
      <c r="AC48" s="866">
        <v>2.5671761900171424E-5</v>
      </c>
      <c r="AD48" s="866">
        <v>0.21211204295777411</v>
      </c>
      <c r="AE48" s="866">
        <v>0.34111255708007093</v>
      </c>
      <c r="AF48" s="866">
        <v>0.16688658534477294</v>
      </c>
      <c r="AG48" s="866">
        <v>0.16671180281457496</v>
      </c>
      <c r="AH48" s="866">
        <v>9.5015334411562041E-2</v>
      </c>
      <c r="AI48" s="866">
        <v>2.5671761900171424E-5</v>
      </c>
      <c r="AJ48" s="869">
        <v>0.41679533156119603</v>
      </c>
      <c r="AK48" s="852" t="s">
        <v>3</v>
      </c>
      <c r="AL48" s="849">
        <v>0.27557892010286666</v>
      </c>
      <c r="AM48" s="849">
        <v>0.36889669356279592</v>
      </c>
      <c r="AN48" s="849">
        <v>0.33547324996169642</v>
      </c>
      <c r="AO48" s="849">
        <v>0.44266261417741865</v>
      </c>
      <c r="AP48" s="849">
        <v>0.44219524347919681</v>
      </c>
      <c r="AQ48" s="849">
        <v>0.51327146462164974</v>
      </c>
      <c r="AR48" s="849">
        <v>0.59025343104826633</v>
      </c>
      <c r="AS48" s="849">
        <v>0.46363274301453877</v>
      </c>
      <c r="AT48" s="849">
        <v>0.3782487987527195</v>
      </c>
      <c r="AU48" s="849">
        <v>0.41679533156119597</v>
      </c>
      <c r="AV48" s="991"/>
      <c r="AW48" s="876"/>
      <c r="AX48" s="874" t="s">
        <v>3</v>
      </c>
      <c r="AY48" s="849">
        <v>0.36239495651810061</v>
      </c>
      <c r="AZ48" s="849">
        <v>0.44305694305694304</v>
      </c>
      <c r="BA48" s="849">
        <v>3.0277861582453984E-2</v>
      </c>
      <c r="BB48" s="849">
        <v>0.53530479322981073</v>
      </c>
      <c r="BC48" s="849">
        <v>0.37796122654787906</v>
      </c>
    </row>
    <row r="49" spans="1:55" s="947" customFormat="1" ht="30" x14ac:dyDescent="0.25">
      <c r="A49" s="1040" t="s">
        <v>6</v>
      </c>
      <c r="B49" s="854" t="s">
        <v>7</v>
      </c>
      <c r="C49" s="840">
        <v>3713</v>
      </c>
      <c r="D49" s="840">
        <v>3620</v>
      </c>
      <c r="E49" s="840">
        <v>3560</v>
      </c>
      <c r="F49" s="840">
        <v>6588</v>
      </c>
      <c r="G49" s="840">
        <v>8432</v>
      </c>
      <c r="H49" s="840">
        <v>14882</v>
      </c>
      <c r="I49" s="840">
        <v>7076</v>
      </c>
      <c r="J49" s="840">
        <v>9599</v>
      </c>
      <c r="K49" s="840">
        <v>6970</v>
      </c>
      <c r="L49" s="840">
        <v>9273</v>
      </c>
      <c r="M49" s="840">
        <v>5429</v>
      </c>
      <c r="N49" s="840">
        <v>14951</v>
      </c>
      <c r="O49" s="840">
        <v>4357</v>
      </c>
      <c r="P49" s="840">
        <v>8508</v>
      </c>
      <c r="Q49" s="840">
        <v>4799</v>
      </c>
      <c r="R49" s="840">
        <v>9609</v>
      </c>
      <c r="S49" s="840">
        <v>11560</v>
      </c>
      <c r="T49" s="840">
        <v>2479</v>
      </c>
      <c r="U49" s="840">
        <v>1570</v>
      </c>
      <c r="V49" s="840">
        <v>3999</v>
      </c>
      <c r="W49" s="840">
        <v>7999</v>
      </c>
      <c r="X49" s="840">
        <v>3999</v>
      </c>
      <c r="Y49" s="840">
        <v>7999</v>
      </c>
      <c r="Z49" s="840">
        <v>3999</v>
      </c>
      <c r="AA49" s="840">
        <v>7999</v>
      </c>
      <c r="AB49" s="840">
        <v>12000</v>
      </c>
      <c r="AC49" s="840">
        <v>6400</v>
      </c>
      <c r="AD49" s="840">
        <v>6399</v>
      </c>
      <c r="AE49" s="840">
        <v>6399</v>
      </c>
      <c r="AF49" s="840">
        <v>4800</v>
      </c>
      <c r="AG49" s="840">
        <v>4800</v>
      </c>
      <c r="AH49" s="840">
        <v>6399</v>
      </c>
      <c r="AI49" s="840">
        <v>6400</v>
      </c>
      <c r="AJ49" s="840">
        <v>226566</v>
      </c>
      <c r="AK49" s="856" t="s">
        <v>7</v>
      </c>
      <c r="AL49" s="858">
        <v>10112</v>
      </c>
      <c r="AM49" s="858">
        <v>8420</v>
      </c>
      <c r="AN49" s="858">
        <v>49941</v>
      </c>
      <c r="AO49" s="858">
        <v>56434</v>
      </c>
      <c r="AP49" s="858">
        <v>50340</v>
      </c>
      <c r="AQ49" s="858">
        <v>47270</v>
      </c>
      <c r="AR49" s="858">
        <v>4049</v>
      </c>
      <c r="AS49" s="858">
        <v>112124</v>
      </c>
      <c r="AT49" s="858">
        <v>114442</v>
      </c>
      <c r="AU49" s="858">
        <v>226566</v>
      </c>
      <c r="AV49" s="657"/>
      <c r="AW49" s="880" t="s">
        <v>190</v>
      </c>
      <c r="AX49" s="879" t="s">
        <v>4</v>
      </c>
      <c r="AY49" s="857">
        <v>9191.7999999999993</v>
      </c>
      <c r="AZ49" s="857">
        <v>13787.7</v>
      </c>
      <c r="BA49" s="857">
        <v>8804.7999999999993</v>
      </c>
      <c r="BB49" s="857">
        <v>13787.7</v>
      </c>
      <c r="BC49" s="857">
        <v>8804.7999999999993</v>
      </c>
    </row>
    <row r="50" spans="1:55" s="947" customFormat="1" x14ac:dyDescent="0.25">
      <c r="A50" s="1040"/>
      <c r="B50" s="839" t="s">
        <v>11</v>
      </c>
      <c r="C50" s="858">
        <v>125191.22099999999</v>
      </c>
      <c r="D50" s="858">
        <v>122055.54</v>
      </c>
      <c r="E50" s="858">
        <v>120032.51999999999</v>
      </c>
      <c r="F50" s="858">
        <v>222127.59599999999</v>
      </c>
      <c r="G50" s="858">
        <v>284301.74400000001</v>
      </c>
      <c r="H50" s="858">
        <v>501776.39399999997</v>
      </c>
      <c r="I50" s="858">
        <v>238581.492</v>
      </c>
      <c r="J50" s="858">
        <v>323649.48300000001</v>
      </c>
      <c r="K50" s="858">
        <v>235007.49</v>
      </c>
      <c r="L50" s="858">
        <v>312657.74099999998</v>
      </c>
      <c r="M50" s="858">
        <v>183049.59299999999</v>
      </c>
      <c r="N50" s="858">
        <v>504102.86699999997</v>
      </c>
      <c r="O50" s="858">
        <v>146904.96899999998</v>
      </c>
      <c r="P50" s="858">
        <v>286864.23599999998</v>
      </c>
      <c r="Q50" s="858">
        <v>161807.883</v>
      </c>
      <c r="R50" s="858">
        <v>323986.65299999999</v>
      </c>
      <c r="S50" s="858">
        <v>389768.51999999996</v>
      </c>
      <c r="T50" s="858">
        <v>83584.442999999999</v>
      </c>
      <c r="U50" s="858">
        <v>52935.689999999995</v>
      </c>
      <c r="V50" s="858">
        <v>134834.283</v>
      </c>
      <c r="W50" s="858">
        <v>269702.283</v>
      </c>
      <c r="X50" s="858">
        <v>134834.283</v>
      </c>
      <c r="Y50" s="858">
        <v>269702.283</v>
      </c>
      <c r="Z50" s="858">
        <v>134834.283</v>
      </c>
      <c r="AA50" s="858">
        <v>269702.283</v>
      </c>
      <c r="AB50" s="858">
        <v>404604</v>
      </c>
      <c r="AC50" s="858">
        <v>215788.79999999999</v>
      </c>
      <c r="AD50" s="858">
        <v>215755.08299999998</v>
      </c>
      <c r="AE50" s="858">
        <v>215755.08299999998</v>
      </c>
      <c r="AF50" s="858">
        <v>161841.60000000001</v>
      </c>
      <c r="AG50" s="858">
        <v>161841.60000000001</v>
      </c>
      <c r="AH50" s="858">
        <v>215755.08299999998</v>
      </c>
      <c r="AI50" s="858">
        <v>215788.79999999999</v>
      </c>
      <c r="AJ50" s="858">
        <v>7639125.8219999969</v>
      </c>
      <c r="AK50" s="841" t="s">
        <v>11</v>
      </c>
      <c r="AL50" s="858">
        <v>340946.304</v>
      </c>
      <c r="AM50" s="858">
        <v>283897.14</v>
      </c>
      <c r="AN50" s="858">
        <v>1683860.6969999999</v>
      </c>
      <c r="AO50" s="858">
        <v>1902785.1779999998</v>
      </c>
      <c r="AP50" s="858">
        <v>1697313.78</v>
      </c>
      <c r="AQ50" s="858">
        <v>1593802.5899999999</v>
      </c>
      <c r="AR50" s="858">
        <v>136520.133</v>
      </c>
      <c r="AS50" s="858">
        <v>3780484.9079999998</v>
      </c>
      <c r="AT50" s="858">
        <v>3858640.9139999999</v>
      </c>
      <c r="AU50" s="858">
        <v>7639125.8219999997</v>
      </c>
      <c r="AV50" s="992"/>
      <c r="AW50" s="876"/>
      <c r="AX50" s="873" t="s">
        <v>5</v>
      </c>
      <c r="AY50" s="583">
        <v>7975.5</v>
      </c>
      <c r="AZ50" s="583">
        <v>13649</v>
      </c>
      <c r="BA50" s="583">
        <v>1289.9000000000001</v>
      </c>
      <c r="BB50" s="583">
        <v>13642</v>
      </c>
      <c r="BC50" s="583">
        <v>5483.9</v>
      </c>
    </row>
    <row r="51" spans="1:55" s="947" customFormat="1" x14ac:dyDescent="0.25">
      <c r="A51" s="1040"/>
      <c r="B51" s="839" t="s">
        <v>79</v>
      </c>
      <c r="C51" s="858">
        <v>164000</v>
      </c>
      <c r="D51" s="858">
        <v>109880</v>
      </c>
      <c r="E51" s="858">
        <v>109880</v>
      </c>
      <c r="F51" s="858">
        <v>328000</v>
      </c>
      <c r="G51" s="858">
        <v>330905</v>
      </c>
      <c r="H51" s="858">
        <v>264264</v>
      </c>
      <c r="I51" s="858">
        <v>242663.6</v>
      </c>
      <c r="J51" s="858">
        <v>328000</v>
      </c>
      <c r="K51" s="858">
        <v>328000</v>
      </c>
      <c r="L51" s="858">
        <v>328000</v>
      </c>
      <c r="M51" s="858">
        <v>328000</v>
      </c>
      <c r="N51" s="858">
        <v>264264.40000000002</v>
      </c>
      <c r="O51" s="858">
        <v>328000</v>
      </c>
      <c r="P51" s="858">
        <v>352965.4</v>
      </c>
      <c r="Q51" s="858">
        <v>328000</v>
      </c>
      <c r="R51" s="858">
        <v>328000</v>
      </c>
      <c r="S51" s="858">
        <v>328000</v>
      </c>
      <c r="T51" s="858">
        <v>119447.4</v>
      </c>
      <c r="U51" s="858">
        <v>66181</v>
      </c>
      <c r="V51" s="858">
        <v>204393</v>
      </c>
      <c r="W51" s="858">
        <v>418993</v>
      </c>
      <c r="X51" s="858">
        <v>204393</v>
      </c>
      <c r="Y51" s="858">
        <v>418993</v>
      </c>
      <c r="Z51" s="858">
        <v>204393</v>
      </c>
      <c r="AA51" s="858">
        <v>418993</v>
      </c>
      <c r="AB51" s="858">
        <v>657390.4</v>
      </c>
      <c r="AC51" s="858">
        <v>381742.4</v>
      </c>
      <c r="AD51" s="858">
        <v>448142.4</v>
      </c>
      <c r="AE51" s="858">
        <v>448142.4</v>
      </c>
      <c r="AF51" s="858">
        <v>312388.2</v>
      </c>
      <c r="AG51" s="858">
        <v>312388.2</v>
      </c>
      <c r="AH51" s="858">
        <v>448142.4</v>
      </c>
      <c r="AI51" s="858">
        <v>381742.4</v>
      </c>
      <c r="AJ51" s="858">
        <v>10236687.600000001</v>
      </c>
      <c r="AK51" s="841" t="s">
        <v>79</v>
      </c>
      <c r="AL51" s="858">
        <v>948179.2</v>
      </c>
      <c r="AM51" s="858">
        <v>613421.60000000009</v>
      </c>
      <c r="AN51" s="858">
        <v>2869177.1999999997</v>
      </c>
      <c r="AO51" s="858">
        <v>2696877.4000000004</v>
      </c>
      <c r="AP51" s="858">
        <v>2826208.6</v>
      </c>
      <c r="AQ51" s="858">
        <v>2310031.4</v>
      </c>
      <c r="AR51" s="858">
        <v>185628.4</v>
      </c>
      <c r="AS51" s="858">
        <v>5620330.4000000004</v>
      </c>
      <c r="AT51" s="858">
        <v>6829193.4000000004</v>
      </c>
      <c r="AU51" s="858">
        <v>12449523.800000001</v>
      </c>
      <c r="AV51" s="993"/>
      <c r="AW51" s="877"/>
      <c r="AX51" s="874" t="s">
        <v>3</v>
      </c>
      <c r="AY51" s="849">
        <v>0.86767553689157739</v>
      </c>
      <c r="AZ51" s="849">
        <v>0.98994030911609621</v>
      </c>
      <c r="BA51" s="849">
        <v>0.14649963656187537</v>
      </c>
      <c r="BB51" s="849">
        <v>0.98943261022505558</v>
      </c>
      <c r="BC51" s="849">
        <v>0.62283072869343992</v>
      </c>
    </row>
    <row r="52" spans="1:55" s="947" customFormat="1" ht="45" x14ac:dyDescent="0.25">
      <c r="A52" s="1040"/>
      <c r="B52" s="844" t="s">
        <v>8</v>
      </c>
      <c r="C52" s="861">
        <v>2000</v>
      </c>
      <c r="D52" s="861">
        <v>1741</v>
      </c>
      <c r="E52" s="861">
        <v>1419</v>
      </c>
      <c r="F52" s="861">
        <v>4588</v>
      </c>
      <c r="G52" s="861">
        <v>3337</v>
      </c>
      <c r="H52" s="861">
        <v>12412</v>
      </c>
      <c r="I52" s="861">
        <v>5584</v>
      </c>
      <c r="J52" s="861">
        <v>1391</v>
      </c>
      <c r="K52" s="861">
        <v>6093</v>
      </c>
      <c r="L52" s="861">
        <v>6489</v>
      </c>
      <c r="M52" s="861">
        <v>3767</v>
      </c>
      <c r="N52" s="861">
        <v>13096</v>
      </c>
      <c r="O52" s="861">
        <v>3479</v>
      </c>
      <c r="P52" s="861">
        <v>6242</v>
      </c>
      <c r="Q52" s="861">
        <v>1839</v>
      </c>
      <c r="R52" s="861">
        <v>4620</v>
      </c>
      <c r="S52" s="861">
        <v>8685</v>
      </c>
      <c r="T52" s="861">
        <v>1817</v>
      </c>
      <c r="U52" s="861">
        <v>1271</v>
      </c>
      <c r="V52" s="861">
        <v>1907</v>
      </c>
      <c r="W52" s="861">
        <v>2490</v>
      </c>
      <c r="X52" s="861">
        <v>2519</v>
      </c>
      <c r="Y52" s="861">
        <v>3595</v>
      </c>
      <c r="Z52" s="861">
        <v>2608</v>
      </c>
      <c r="AA52" s="861">
        <v>4023</v>
      </c>
      <c r="AB52" s="861">
        <v>7265</v>
      </c>
      <c r="AC52" s="861">
        <v>0</v>
      </c>
      <c r="AD52" s="861">
        <v>3730</v>
      </c>
      <c r="AE52" s="861">
        <v>3800</v>
      </c>
      <c r="AF52" s="861">
        <v>1096</v>
      </c>
      <c r="AG52" s="861">
        <v>1096</v>
      </c>
      <c r="AH52" s="861">
        <v>3183</v>
      </c>
      <c r="AI52" s="861">
        <v>0</v>
      </c>
      <c r="AJ52" s="861">
        <v>127182</v>
      </c>
      <c r="AK52" s="846" t="s">
        <v>8</v>
      </c>
      <c r="AL52" s="858">
        <v>5800</v>
      </c>
      <c r="AM52" s="858">
        <v>2837</v>
      </c>
      <c r="AN52" s="858">
        <v>30402</v>
      </c>
      <c r="AO52" s="858">
        <v>26537</v>
      </c>
      <c r="AP52" s="858">
        <v>32813</v>
      </c>
      <c r="AQ52" s="858">
        <v>25705</v>
      </c>
      <c r="AR52" s="858">
        <v>3088</v>
      </c>
      <c r="AS52" s="858">
        <v>55079</v>
      </c>
      <c r="AT52" s="858">
        <v>72103</v>
      </c>
      <c r="AU52" s="858">
        <v>127182</v>
      </c>
      <c r="AV52" s="993"/>
      <c r="AW52" s="877" t="s">
        <v>191</v>
      </c>
      <c r="AX52" s="839" t="s">
        <v>4</v>
      </c>
      <c r="AY52" s="840">
        <v>97433.600000000006</v>
      </c>
      <c r="AZ52" s="840">
        <v>243584.4</v>
      </c>
      <c r="BA52" s="840">
        <v>132070.29999999999</v>
      </c>
      <c r="BB52" s="840">
        <v>292299.3</v>
      </c>
      <c r="BC52" s="840">
        <v>132070.39999999999</v>
      </c>
    </row>
    <row r="53" spans="1:55" s="947" customFormat="1" x14ac:dyDescent="0.25">
      <c r="A53" s="1040"/>
      <c r="B53" s="839" t="s">
        <v>77</v>
      </c>
      <c r="C53" s="858">
        <v>67434</v>
      </c>
      <c r="D53" s="858">
        <v>58701.296999999999</v>
      </c>
      <c r="E53" s="858">
        <v>47844.422999999995</v>
      </c>
      <c r="F53" s="858">
        <v>154693.59599999999</v>
      </c>
      <c r="G53" s="858">
        <v>112513.629</v>
      </c>
      <c r="H53" s="858">
        <v>418495.40399999998</v>
      </c>
      <c r="I53" s="858">
        <v>188275.728</v>
      </c>
      <c r="J53" s="858">
        <v>46900.347000000002</v>
      </c>
      <c r="K53" s="858">
        <v>205437.68099999998</v>
      </c>
      <c r="L53" s="858">
        <v>218789.61299999998</v>
      </c>
      <c r="M53" s="858">
        <v>127011.939</v>
      </c>
      <c r="N53" s="858">
        <v>441557.83199999999</v>
      </c>
      <c r="O53" s="858">
        <v>117301.443</v>
      </c>
      <c r="P53" s="858">
        <v>122325.276</v>
      </c>
      <c r="Q53" s="858">
        <v>62005.562999999995</v>
      </c>
      <c r="R53" s="858">
        <v>155772.54</v>
      </c>
      <c r="S53" s="858">
        <v>292832.14499999996</v>
      </c>
      <c r="T53" s="858">
        <v>61263.788999999997</v>
      </c>
      <c r="U53" s="858">
        <v>42854.307000000001</v>
      </c>
      <c r="V53" s="858">
        <v>64298.318999999996</v>
      </c>
      <c r="W53" s="858">
        <v>83955.33</v>
      </c>
      <c r="X53" s="858">
        <v>84933.122999999992</v>
      </c>
      <c r="Y53" s="858">
        <v>121212.61499999999</v>
      </c>
      <c r="Z53" s="858">
        <v>87933.936000000002</v>
      </c>
      <c r="AA53" s="858">
        <v>135643.49100000001</v>
      </c>
      <c r="AB53" s="858">
        <v>244954.005</v>
      </c>
      <c r="AC53" s="858">
        <v>0</v>
      </c>
      <c r="AD53" s="858">
        <v>125764.40999999999</v>
      </c>
      <c r="AE53" s="858">
        <v>128124.59999999999</v>
      </c>
      <c r="AF53" s="858">
        <v>36953.832000000002</v>
      </c>
      <c r="AG53" s="858">
        <v>36953.832000000002</v>
      </c>
      <c r="AH53" s="858">
        <v>107321.211</v>
      </c>
      <c r="AI53" s="858">
        <v>0</v>
      </c>
      <c r="AJ53" s="858">
        <v>4200059.2560000001</v>
      </c>
      <c r="AK53" s="841" t="s">
        <v>77</v>
      </c>
      <c r="AL53" s="858">
        <v>195558.6</v>
      </c>
      <c r="AM53" s="858">
        <v>95655.129000000001</v>
      </c>
      <c r="AN53" s="858">
        <v>1025064.2339999999</v>
      </c>
      <c r="AO53" s="858">
        <v>894748.02899999998</v>
      </c>
      <c r="AP53" s="858">
        <v>1106355.9209999999</v>
      </c>
      <c r="AQ53" s="858">
        <v>866695.48499999999</v>
      </c>
      <c r="AR53" s="858">
        <v>104118.09599999999</v>
      </c>
      <c r="AS53" s="858">
        <v>1857098.6429999999</v>
      </c>
      <c r="AT53" s="858">
        <v>2431096.8509999998</v>
      </c>
      <c r="AU53" s="858">
        <v>4288195.4939999999</v>
      </c>
      <c r="AV53" s="915"/>
      <c r="AW53" s="1034"/>
      <c r="AX53" s="844" t="s">
        <v>5</v>
      </c>
      <c r="AY53" s="583">
        <v>38973.199999999997</v>
      </c>
      <c r="AZ53" s="583">
        <v>124350.5</v>
      </c>
      <c r="BA53" s="583">
        <v>3817.1</v>
      </c>
      <c r="BB53" s="583">
        <v>109009</v>
      </c>
      <c r="BC53" s="583">
        <v>33401</v>
      </c>
    </row>
    <row r="54" spans="1:55" s="947" customFormat="1" x14ac:dyDescent="0.25">
      <c r="A54" s="1040"/>
      <c r="B54" s="848" t="s">
        <v>217</v>
      </c>
      <c r="C54" s="849">
        <v>0.26971614889144158</v>
      </c>
      <c r="D54" s="849">
        <v>0.38999856494329199</v>
      </c>
      <c r="E54" s="866">
        <v>0.31786787113988008</v>
      </c>
      <c r="F54" s="866">
        <v>0.84997041738736734</v>
      </c>
      <c r="G54" s="866">
        <v>0.67875096597185058</v>
      </c>
      <c r="H54" s="866">
        <v>1.0744288366003003</v>
      </c>
      <c r="I54" s="866">
        <v>1.0947822684045112</v>
      </c>
      <c r="J54" s="866">
        <v>0.28239951709437733</v>
      </c>
      <c r="K54" s="866">
        <v>1.6564990017674681</v>
      </c>
      <c r="L54" s="866">
        <v>0.97642897882458779</v>
      </c>
      <c r="M54" s="866">
        <v>0.65799373773177205</v>
      </c>
      <c r="N54" s="866">
        <v>1.0076170251510714</v>
      </c>
      <c r="O54" s="866">
        <v>1.412610044942846</v>
      </c>
      <c r="P54" s="866">
        <v>0.44299822113030651</v>
      </c>
      <c r="Q54" s="866">
        <v>0.74670591338025105</v>
      </c>
      <c r="R54" s="866">
        <v>0.81293186137851203</v>
      </c>
      <c r="S54" s="866">
        <v>1.1164488661167131</v>
      </c>
      <c r="T54" s="849">
        <v>1.0257868986683678</v>
      </c>
      <c r="U54" s="849">
        <v>1.2950637494144845</v>
      </c>
      <c r="V54" s="849">
        <v>0.62916361127827269</v>
      </c>
      <c r="W54" s="849">
        <v>0.40074812705701529</v>
      </c>
      <c r="X54" s="849">
        <v>0.83107663178288882</v>
      </c>
      <c r="Y54" s="849">
        <v>0.57859016737749791</v>
      </c>
      <c r="Z54" s="849">
        <v>0.860439799797449</v>
      </c>
      <c r="AA54" s="849">
        <v>0.64747378118488852</v>
      </c>
      <c r="AB54" s="849">
        <v>0.74523146367820403</v>
      </c>
      <c r="AC54" s="849">
        <v>0</v>
      </c>
      <c r="AD54" s="849">
        <v>0.56126985529599516</v>
      </c>
      <c r="AE54" s="849">
        <v>0.57180306973854733</v>
      </c>
      <c r="AF54" s="849">
        <v>0.23658916694036458</v>
      </c>
      <c r="AG54" s="849">
        <v>0.23658916694036458</v>
      </c>
      <c r="AH54" s="849">
        <v>0.47896030815205165</v>
      </c>
      <c r="AI54" s="849">
        <v>0</v>
      </c>
      <c r="AJ54" s="851">
        <v>0.6747341221195946</v>
      </c>
      <c r="AK54" s="852" t="s">
        <v>217</v>
      </c>
      <c r="AL54" s="849">
        <v>0.41249291273210803</v>
      </c>
      <c r="AM54" s="849">
        <v>0.31187401617419402</v>
      </c>
      <c r="AN54" s="849">
        <v>0.71453532671317754</v>
      </c>
      <c r="AO54" s="849">
        <v>0.66354371837592607</v>
      </c>
      <c r="AP54" s="849">
        <v>0.78292587532286173</v>
      </c>
      <c r="AQ54" s="849">
        <v>0.75037550138928855</v>
      </c>
      <c r="AR54" s="849">
        <v>1.1217905880781174</v>
      </c>
      <c r="AS54" s="849">
        <v>0.66085034538183018</v>
      </c>
      <c r="AT54" s="849">
        <v>0.71197188558168512</v>
      </c>
      <c r="AU54" s="849">
        <v>0.68889309549333921</v>
      </c>
      <c r="AV54" s="914"/>
      <c r="AW54" s="1034"/>
      <c r="AX54" s="848" t="s">
        <v>3</v>
      </c>
      <c r="AY54" s="849">
        <v>0.39999753678402516</v>
      </c>
      <c r="AZ54" s="849">
        <v>0.51050272513346506</v>
      </c>
      <c r="BA54" s="849">
        <v>2.8902031720984961E-2</v>
      </c>
      <c r="BB54" s="849">
        <v>0.37293623351133581</v>
      </c>
      <c r="BC54" s="849">
        <v>0.25290299718937781</v>
      </c>
    </row>
    <row r="55" spans="1:55" s="947" customFormat="1" x14ac:dyDescent="0.25">
      <c r="A55" s="1034"/>
      <c r="B55" s="848" t="s">
        <v>218</v>
      </c>
      <c r="C55" s="598">
        <v>57458.8</v>
      </c>
      <c r="D55" s="598">
        <v>58296.3</v>
      </c>
      <c r="E55" s="598">
        <v>47439.5</v>
      </c>
      <c r="F55" s="598">
        <v>153372</v>
      </c>
      <c r="G55" s="598">
        <v>110224</v>
      </c>
      <c r="H55" s="598">
        <v>422469</v>
      </c>
      <c r="I55" s="598">
        <v>112777</v>
      </c>
      <c r="J55" s="598">
        <v>46941.2</v>
      </c>
      <c r="K55" s="598">
        <v>147020</v>
      </c>
      <c r="L55" s="598">
        <v>219177</v>
      </c>
      <c r="M55" s="598">
        <v>139706</v>
      </c>
      <c r="N55" s="598">
        <v>441635</v>
      </c>
      <c r="O55" s="598">
        <v>117345</v>
      </c>
      <c r="P55" s="598">
        <v>96190.1</v>
      </c>
      <c r="Q55" s="598">
        <v>62056.800000000003</v>
      </c>
      <c r="R55" s="598">
        <v>141875</v>
      </c>
      <c r="S55" s="598">
        <v>290033</v>
      </c>
      <c r="T55" s="598">
        <v>61297.2</v>
      </c>
      <c r="U55" s="598">
        <v>42854.1</v>
      </c>
      <c r="V55" s="598">
        <v>64335</v>
      </c>
      <c r="W55" s="598">
        <v>62682.8</v>
      </c>
      <c r="X55" s="598">
        <v>84991.9</v>
      </c>
      <c r="Y55" s="598">
        <v>84958.2</v>
      </c>
      <c r="Z55" s="598">
        <v>88002.3</v>
      </c>
      <c r="AA55" s="598">
        <v>84322.9</v>
      </c>
      <c r="AB55" s="598">
        <v>245093</v>
      </c>
      <c r="AC55" s="598">
        <v>0</v>
      </c>
      <c r="AD55" s="598">
        <v>125849</v>
      </c>
      <c r="AE55" s="598">
        <v>128171</v>
      </c>
      <c r="AF55" s="598">
        <v>36990.5</v>
      </c>
      <c r="AG55" s="598">
        <v>36975.699999999997</v>
      </c>
      <c r="AH55" s="598">
        <v>107355</v>
      </c>
      <c r="AI55" s="598">
        <v>0</v>
      </c>
      <c r="AJ55" s="598">
        <v>3917894.3</v>
      </c>
      <c r="AK55" s="852" t="s">
        <v>218</v>
      </c>
      <c r="AL55" s="861">
        <v>185629.8</v>
      </c>
      <c r="AM55" s="861">
        <v>95272</v>
      </c>
      <c r="AN55" s="861">
        <v>1028222</v>
      </c>
      <c r="AO55" s="861">
        <v>737069.20000000007</v>
      </c>
      <c r="AP55" s="861">
        <v>1116467</v>
      </c>
      <c r="AQ55" s="861">
        <v>651083</v>
      </c>
      <c r="AR55" s="861">
        <v>104151.29999999999</v>
      </c>
      <c r="AS55" s="861">
        <v>1483424.2000000002</v>
      </c>
      <c r="AT55" s="861">
        <v>2434470.0999999996</v>
      </c>
      <c r="AU55" s="861">
        <v>3917894.3</v>
      </c>
      <c r="AV55" s="916"/>
      <c r="AW55" s="1034" t="s">
        <v>219</v>
      </c>
      <c r="AX55" s="848" t="s">
        <v>3</v>
      </c>
      <c r="AY55" s="849">
        <v>0.38119624665106289</v>
      </c>
      <c r="AZ55" s="849">
        <v>0.47677983409520408</v>
      </c>
      <c r="BA55" s="849">
        <v>2.9589946651719472E-2</v>
      </c>
      <c r="BB55" s="849">
        <v>0.45412051337057324</v>
      </c>
      <c r="BC55" s="849">
        <v>0.31543211186862841</v>
      </c>
    </row>
    <row r="56" spans="1:55" s="947" customFormat="1" x14ac:dyDescent="0.25">
      <c r="A56" s="1034"/>
      <c r="B56" s="848" t="s">
        <v>216</v>
      </c>
      <c r="C56" s="866">
        <v>0.22981828537419646</v>
      </c>
      <c r="D56" s="866">
        <v>0.38730785354714792</v>
      </c>
      <c r="E56" s="866">
        <v>0.31517765138353415</v>
      </c>
      <c r="F56" s="866">
        <v>0.84270885302540466</v>
      </c>
      <c r="G56" s="866">
        <v>0.66493852467669723</v>
      </c>
      <c r="H56" s="866">
        <v>1.0846304925482344</v>
      </c>
      <c r="I56" s="866">
        <v>0.65577364217577505</v>
      </c>
      <c r="J56" s="866">
        <v>0.28264550391984489</v>
      </c>
      <c r="K56" s="866">
        <v>1.1854616059448859</v>
      </c>
      <c r="L56" s="866">
        <v>0.97815783554513025</v>
      </c>
      <c r="M56" s="866">
        <v>0.72375615904544965</v>
      </c>
      <c r="N56" s="866">
        <v>1.0077931193905161</v>
      </c>
      <c r="O56" s="866">
        <v>1.4131345828696946</v>
      </c>
      <c r="P56" s="866">
        <v>0.34835027219024056</v>
      </c>
      <c r="Q56" s="866">
        <v>0.74732293819274842</v>
      </c>
      <c r="R56" s="866">
        <v>0.74040461709795824</v>
      </c>
      <c r="S56" s="866">
        <v>1.1057768742787055</v>
      </c>
      <c r="T56" s="866">
        <v>1.0263463248258229</v>
      </c>
      <c r="U56" s="866">
        <v>1.2950574938426436</v>
      </c>
      <c r="V56" s="866">
        <v>0.6295225374645903</v>
      </c>
      <c r="W56" s="866">
        <v>0.29920690799130295</v>
      </c>
      <c r="X56" s="866">
        <v>0.83165176889619497</v>
      </c>
      <c r="Y56" s="866">
        <v>0.40553517600532707</v>
      </c>
      <c r="Z56" s="866">
        <v>0.8611087463856395</v>
      </c>
      <c r="AA56" s="866">
        <v>0.40250266710899701</v>
      </c>
      <c r="AB56" s="866">
        <v>0.74565433264617187</v>
      </c>
      <c r="AC56" s="866">
        <v>0</v>
      </c>
      <c r="AD56" s="866">
        <v>0.56164736922906644</v>
      </c>
      <c r="AE56" s="866">
        <v>0.57201014677477513</v>
      </c>
      <c r="AF56" s="866">
        <v>0.23682392612781147</v>
      </c>
      <c r="AG56" s="866">
        <v>0.2367291722286565</v>
      </c>
      <c r="AH56" s="866">
        <v>0.47911110397052364</v>
      </c>
      <c r="AI56" s="866">
        <v>0</v>
      </c>
      <c r="AJ56" s="869">
        <v>0.62940468453901821</v>
      </c>
      <c r="AK56" s="852" t="s">
        <v>216</v>
      </c>
      <c r="AL56" s="849">
        <v>0.39155003611131733</v>
      </c>
      <c r="AM56" s="849">
        <v>0.31062486224808511</v>
      </c>
      <c r="AN56" s="849">
        <v>0.71673649156280772</v>
      </c>
      <c r="AO56" s="849">
        <v>0.5466093490197218</v>
      </c>
      <c r="AP56" s="849">
        <v>0.79008110017073752</v>
      </c>
      <c r="AQ56" s="849">
        <v>0.56370056268499213</v>
      </c>
      <c r="AR56" s="849">
        <v>1.1221483350607988</v>
      </c>
      <c r="AS56" s="849">
        <v>0.52787793400900418</v>
      </c>
      <c r="AT56" s="849">
        <v>0.71295977647960573</v>
      </c>
      <c r="AU56" s="849">
        <v>0.62940468453901821</v>
      </c>
      <c r="AV56" s="914"/>
      <c r="AW56" s="1034"/>
      <c r="AX56" s="848"/>
      <c r="AY56" s="849"/>
      <c r="AZ56" s="849"/>
      <c r="BA56" s="849"/>
      <c r="BB56" s="849"/>
      <c r="BC56" s="849"/>
    </row>
    <row r="57" spans="1:55" s="947" customFormat="1" x14ac:dyDescent="0.25">
      <c r="A57" s="1041">
        <v>41949</v>
      </c>
      <c r="B57" s="1041"/>
      <c r="C57" s="1041"/>
      <c r="D57" s="529"/>
      <c r="E57" s="529"/>
      <c r="F57" s="529"/>
      <c r="G57" s="529"/>
      <c r="H57" s="529"/>
      <c r="I57" s="525"/>
      <c r="J57" s="531"/>
      <c r="K57" s="531"/>
      <c r="L57" s="529"/>
      <c r="M57" s="529"/>
      <c r="N57" s="527"/>
      <c r="R57" s="526"/>
      <c r="S57" s="534"/>
      <c r="T57" s="534"/>
      <c r="U57" s="534"/>
      <c r="V57" s="534"/>
      <c r="W57" s="534"/>
      <c r="X57" s="534"/>
      <c r="Y57" s="534"/>
      <c r="Z57" s="534"/>
      <c r="AA57" s="534"/>
      <c r="AB57" s="534"/>
      <c r="AC57" s="534"/>
      <c r="AD57" s="534"/>
      <c r="AE57" s="534"/>
      <c r="AF57" s="534"/>
      <c r="AG57" s="534"/>
      <c r="AH57" s="534"/>
      <c r="AI57" s="534"/>
      <c r="AJ57" s="534"/>
      <c r="AK57" s="534"/>
      <c r="AL57" s="534"/>
      <c r="AM57" s="534"/>
      <c r="AN57" s="534"/>
      <c r="AO57" s="534"/>
    </row>
    <row r="58" spans="1:55" s="947" customFormat="1" x14ac:dyDescent="0.25">
      <c r="A58" s="1042" t="s">
        <v>1</v>
      </c>
      <c r="B58" s="1042"/>
      <c r="C58" s="1031" t="s">
        <v>12</v>
      </c>
      <c r="D58" s="1031" t="s">
        <v>12</v>
      </c>
      <c r="E58" s="1031" t="s">
        <v>13</v>
      </c>
      <c r="F58" s="1031" t="s">
        <v>13</v>
      </c>
      <c r="G58" s="1031" t="s">
        <v>13</v>
      </c>
      <c r="H58" s="1031" t="s">
        <v>13</v>
      </c>
      <c r="I58" s="1031" t="s">
        <v>13</v>
      </c>
      <c r="J58" s="1031" t="s">
        <v>13</v>
      </c>
      <c r="K58" s="1031" t="s">
        <v>13</v>
      </c>
      <c r="L58" s="1031" t="s">
        <v>13</v>
      </c>
      <c r="M58" s="1031" t="s">
        <v>2</v>
      </c>
      <c r="N58" s="1031" t="s">
        <v>2</v>
      </c>
      <c r="O58" s="1031" t="s">
        <v>2</v>
      </c>
      <c r="P58" s="1031" t="s">
        <v>2</v>
      </c>
      <c r="Q58" s="1031" t="s">
        <v>2</v>
      </c>
      <c r="R58" s="1031" t="s">
        <v>2</v>
      </c>
      <c r="S58" s="1031" t="s">
        <v>2</v>
      </c>
      <c r="T58" s="1031" t="s">
        <v>183</v>
      </c>
      <c r="U58" s="1031" t="s">
        <v>183</v>
      </c>
      <c r="V58" s="1031" t="s">
        <v>2</v>
      </c>
      <c r="W58" s="1031" t="s">
        <v>13</v>
      </c>
      <c r="X58" s="1031" t="s">
        <v>13</v>
      </c>
      <c r="Y58" s="1031" t="s">
        <v>2</v>
      </c>
      <c r="Z58" s="1031" t="s">
        <v>13</v>
      </c>
      <c r="AA58" s="1031" t="s">
        <v>2</v>
      </c>
      <c r="AB58" s="1031" t="s">
        <v>2</v>
      </c>
      <c r="AC58" s="1031" t="s">
        <v>2</v>
      </c>
      <c r="AD58" s="1031" t="s">
        <v>13</v>
      </c>
      <c r="AE58" s="1031" t="s">
        <v>12</v>
      </c>
      <c r="AF58" s="1031" t="s">
        <v>13</v>
      </c>
      <c r="AG58" s="1031" t="s">
        <v>12</v>
      </c>
      <c r="AH58" s="1031" t="s">
        <v>13</v>
      </c>
      <c r="AI58" s="1031" t="s">
        <v>13</v>
      </c>
      <c r="AJ58" s="1031" t="s">
        <v>219</v>
      </c>
      <c r="AK58" s="1042" t="s">
        <v>0</v>
      </c>
      <c r="AL58" s="1042"/>
      <c r="AM58" s="833"/>
      <c r="AN58" s="833"/>
      <c r="AO58" s="833"/>
      <c r="AP58" s="833"/>
      <c r="AQ58" s="833"/>
      <c r="AR58" s="833"/>
      <c r="AS58" s="833"/>
      <c r="AT58" s="833"/>
      <c r="AU58" s="803"/>
      <c r="AV58" s="803"/>
      <c r="AW58" s="1042" t="s">
        <v>1</v>
      </c>
      <c r="AX58" s="1043"/>
      <c r="AY58" s="1031" t="s">
        <v>12</v>
      </c>
      <c r="AZ58" s="1044" t="s">
        <v>13</v>
      </c>
      <c r="BA58" s="1045"/>
      <c r="BB58" s="1044" t="s">
        <v>2</v>
      </c>
      <c r="BC58" s="1045"/>
    </row>
    <row r="59" spans="1:55" s="947" customFormat="1" x14ac:dyDescent="0.25">
      <c r="A59" s="1042" t="s">
        <v>0</v>
      </c>
      <c r="B59" s="1042"/>
      <c r="C59" s="834" t="s">
        <v>99</v>
      </c>
      <c r="D59" s="835" t="s">
        <v>100</v>
      </c>
      <c r="E59" s="835" t="s">
        <v>101</v>
      </c>
      <c r="F59" s="834" t="s">
        <v>102</v>
      </c>
      <c r="G59" s="835" t="s">
        <v>97</v>
      </c>
      <c r="H59" s="834" t="s">
        <v>104</v>
      </c>
      <c r="I59" s="835" t="s">
        <v>103</v>
      </c>
      <c r="J59" s="835" t="s">
        <v>178</v>
      </c>
      <c r="K59" s="835" t="s">
        <v>199</v>
      </c>
      <c r="L59" s="834" t="s">
        <v>206</v>
      </c>
      <c r="M59" s="834" t="s">
        <v>105</v>
      </c>
      <c r="N59" s="834" t="s">
        <v>107</v>
      </c>
      <c r="O59" s="835" t="s">
        <v>98</v>
      </c>
      <c r="P59" s="835" t="s">
        <v>106</v>
      </c>
      <c r="Q59" s="835" t="s">
        <v>179</v>
      </c>
      <c r="R59" s="835" t="s">
        <v>198</v>
      </c>
      <c r="S59" s="834" t="s">
        <v>207</v>
      </c>
      <c r="T59" s="834" t="s">
        <v>307</v>
      </c>
      <c r="U59" s="834" t="s">
        <v>184</v>
      </c>
      <c r="V59" s="835" t="s">
        <v>221</v>
      </c>
      <c r="W59" s="835" t="s">
        <v>222</v>
      </c>
      <c r="X59" s="835" t="s">
        <v>255</v>
      </c>
      <c r="Y59" s="835" t="s">
        <v>256</v>
      </c>
      <c r="Z59" s="835" t="s">
        <v>266</v>
      </c>
      <c r="AA59" s="835" t="s">
        <v>267</v>
      </c>
      <c r="AB59" s="889" t="s">
        <v>268</v>
      </c>
      <c r="AC59" s="889" t="s">
        <v>269</v>
      </c>
      <c r="AD59" s="889" t="s">
        <v>295</v>
      </c>
      <c r="AE59" s="889" t="s">
        <v>290</v>
      </c>
      <c r="AF59" s="946" t="s">
        <v>291</v>
      </c>
      <c r="AG59" s="946" t="s">
        <v>292</v>
      </c>
      <c r="AH59" s="889" t="s">
        <v>293</v>
      </c>
      <c r="AI59" s="889" t="s">
        <v>294</v>
      </c>
      <c r="AJ59" s="836"/>
      <c r="AK59" s="903" t="s">
        <v>1</v>
      </c>
      <c r="AL59" s="838" t="s">
        <v>257</v>
      </c>
      <c r="AM59" s="838" t="s">
        <v>258</v>
      </c>
      <c r="AN59" s="838" t="s">
        <v>259</v>
      </c>
      <c r="AO59" s="838" t="s">
        <v>260</v>
      </c>
      <c r="AP59" s="838" t="s">
        <v>261</v>
      </c>
      <c r="AQ59" s="838" t="s">
        <v>262</v>
      </c>
      <c r="AR59" s="838" t="s">
        <v>263</v>
      </c>
      <c r="AS59" s="904" t="s">
        <v>264</v>
      </c>
      <c r="AT59" s="904" t="s">
        <v>265</v>
      </c>
      <c r="AU59" s="988" t="s">
        <v>306</v>
      </c>
      <c r="AV59" s="988"/>
      <c r="AW59" s="1046" t="s">
        <v>0</v>
      </c>
      <c r="AX59" s="1043"/>
      <c r="AY59" s="834" t="s">
        <v>99</v>
      </c>
      <c r="AZ59" s="834" t="s">
        <v>104</v>
      </c>
      <c r="BA59" s="834" t="s">
        <v>206</v>
      </c>
      <c r="BB59" s="834" t="s">
        <v>107</v>
      </c>
      <c r="BC59" s="834" t="s">
        <v>207</v>
      </c>
    </row>
    <row r="60" spans="1:55" s="947" customFormat="1" ht="30" x14ac:dyDescent="0.25">
      <c r="A60" s="1047" t="s">
        <v>9</v>
      </c>
      <c r="B60" s="839" t="s">
        <v>4</v>
      </c>
      <c r="C60" s="840">
        <v>250018.4</v>
      </c>
      <c r="D60" s="840">
        <v>150516.70000000001</v>
      </c>
      <c r="E60" s="840">
        <v>150516.70000000001</v>
      </c>
      <c r="F60" s="840">
        <v>181998.8</v>
      </c>
      <c r="G60" s="840">
        <v>165765.70000000001</v>
      </c>
      <c r="H60" s="840">
        <v>389505</v>
      </c>
      <c r="I60" s="840">
        <v>171975.5</v>
      </c>
      <c r="J60" s="840">
        <v>166078</v>
      </c>
      <c r="K60" s="840">
        <v>124019.2</v>
      </c>
      <c r="L60" s="840">
        <v>224071.2</v>
      </c>
      <c r="M60" s="840">
        <v>193029.1</v>
      </c>
      <c r="N60" s="840">
        <v>438219.9</v>
      </c>
      <c r="O60" s="840">
        <v>83038.8</v>
      </c>
      <c r="P60" s="840">
        <v>276130.40000000002</v>
      </c>
      <c r="Q60" s="840">
        <v>83038.8</v>
      </c>
      <c r="R60" s="840">
        <v>191618.2</v>
      </c>
      <c r="S60" s="840">
        <v>262288.90000000002</v>
      </c>
      <c r="T60" s="840">
        <v>59723.7</v>
      </c>
      <c r="U60" s="840">
        <v>33090.5</v>
      </c>
      <c r="V60" s="840">
        <v>102196.5</v>
      </c>
      <c r="W60" s="840">
        <v>209496.5</v>
      </c>
      <c r="X60" s="840">
        <v>102196.5</v>
      </c>
      <c r="Y60" s="840">
        <v>209496.5</v>
      </c>
      <c r="Z60" s="840">
        <v>102196.5</v>
      </c>
      <c r="AA60" s="840">
        <v>209496.5</v>
      </c>
      <c r="AB60" s="840">
        <v>328695.2</v>
      </c>
      <c r="AC60" s="901">
        <v>190871.2</v>
      </c>
      <c r="AD60" s="901">
        <v>224071.2</v>
      </c>
      <c r="AE60" s="901">
        <v>224071.2</v>
      </c>
      <c r="AF60" s="901">
        <v>156194.1</v>
      </c>
      <c r="AG60" s="901">
        <v>156194.1</v>
      </c>
      <c r="AH60" s="901">
        <v>224071.2</v>
      </c>
      <c r="AI60" s="901">
        <v>190871.2</v>
      </c>
      <c r="AJ60" s="840">
        <v>6224761.9000000004</v>
      </c>
      <c r="AK60" s="841" t="s">
        <v>4</v>
      </c>
      <c r="AL60" s="863">
        <v>474089.6</v>
      </c>
      <c r="AM60" s="863">
        <v>306710.80000000005</v>
      </c>
      <c r="AN60" s="863">
        <v>1434588.5999999999</v>
      </c>
      <c r="AO60" s="863">
        <v>1348438.7000000002</v>
      </c>
      <c r="AP60" s="863">
        <v>1413104.3</v>
      </c>
      <c r="AQ60" s="863">
        <v>1155015.7</v>
      </c>
      <c r="AR60" s="863">
        <v>92814.2</v>
      </c>
      <c r="AS60" s="863">
        <v>2810165.2</v>
      </c>
      <c r="AT60" s="863">
        <v>3414596.7</v>
      </c>
      <c r="AU60" s="863">
        <v>6224761.9000000004</v>
      </c>
      <c r="AV60" s="989"/>
      <c r="AW60" s="875" t="s">
        <v>194</v>
      </c>
      <c r="AX60" s="872" t="s">
        <v>4</v>
      </c>
      <c r="AY60" s="840">
        <v>143393</v>
      </c>
      <c r="AZ60" s="840">
        <v>132132</v>
      </c>
      <c r="BA60" s="840">
        <v>83196.100000000006</v>
      </c>
      <c r="BB60" s="840">
        <v>132132.20000000001</v>
      </c>
      <c r="BC60" s="840">
        <v>83196.100000000006</v>
      </c>
    </row>
    <row r="61" spans="1:55" s="947" customFormat="1" x14ac:dyDescent="0.25">
      <c r="A61" s="1047"/>
      <c r="B61" s="844" t="s">
        <v>5</v>
      </c>
      <c r="C61" s="583">
        <v>54167.6</v>
      </c>
      <c r="D61" s="583">
        <v>87105</v>
      </c>
      <c r="E61" s="583">
        <v>86852.4</v>
      </c>
      <c r="F61" s="583">
        <v>102455.5</v>
      </c>
      <c r="G61" s="583">
        <v>120123.6</v>
      </c>
      <c r="H61" s="583">
        <v>209693.7</v>
      </c>
      <c r="I61" s="583">
        <v>97823.7</v>
      </c>
      <c r="J61" s="583">
        <v>52921.4</v>
      </c>
      <c r="K61" s="583">
        <v>102265.4</v>
      </c>
      <c r="L61" s="583">
        <v>99852.6</v>
      </c>
      <c r="M61" s="583">
        <v>81061.899999999994</v>
      </c>
      <c r="N61" s="583">
        <v>215185.5</v>
      </c>
      <c r="O61" s="583">
        <v>60665.7</v>
      </c>
      <c r="P61" s="583">
        <v>184100.8</v>
      </c>
      <c r="Q61" s="583">
        <v>27328.5</v>
      </c>
      <c r="R61" s="583">
        <v>155494.39999999999</v>
      </c>
      <c r="S61" s="583">
        <v>186650.2</v>
      </c>
      <c r="T61" s="583">
        <v>40495.1</v>
      </c>
      <c r="U61" s="583">
        <v>14288.8</v>
      </c>
      <c r="V61" s="583">
        <v>15668.2</v>
      </c>
      <c r="W61" s="583">
        <v>31338.7</v>
      </c>
      <c r="X61" s="583">
        <v>38082.699999999997</v>
      </c>
      <c r="Y61" s="583">
        <v>75242.100000000006</v>
      </c>
      <c r="Z61" s="583">
        <v>29403.5</v>
      </c>
      <c r="AA61" s="583">
        <v>50799.1</v>
      </c>
      <c r="AB61" s="583">
        <v>137891.1</v>
      </c>
      <c r="AC61" s="583">
        <v>4.9000000000000004</v>
      </c>
      <c r="AD61" s="583">
        <v>45661.4</v>
      </c>
      <c r="AE61" s="583">
        <v>76269.8</v>
      </c>
      <c r="AF61" s="583">
        <v>24807.200000000001</v>
      </c>
      <c r="AG61" s="583">
        <v>24778.3</v>
      </c>
      <c r="AH61" s="583">
        <v>14107</v>
      </c>
      <c r="AI61" s="583">
        <v>4.9000000000000004</v>
      </c>
      <c r="AJ61" s="845">
        <v>2542590.6999999997</v>
      </c>
      <c r="AK61" s="846" t="s">
        <v>5</v>
      </c>
      <c r="AL61" s="863">
        <v>130437.4</v>
      </c>
      <c r="AM61" s="863">
        <v>111883.3</v>
      </c>
      <c r="AN61" s="863">
        <v>471775.10000000009</v>
      </c>
      <c r="AO61" s="863">
        <v>583618.6</v>
      </c>
      <c r="AP61" s="863">
        <v>620793.60000000009</v>
      </c>
      <c r="AQ61" s="863">
        <v>569298.80000000005</v>
      </c>
      <c r="AR61" s="863">
        <v>54783.899999999994</v>
      </c>
      <c r="AS61" s="863">
        <v>1264800.7000000002</v>
      </c>
      <c r="AT61" s="863">
        <v>1277790</v>
      </c>
      <c r="AU61" s="863">
        <v>2542590.7000000002</v>
      </c>
      <c r="AV61" s="990"/>
      <c r="AW61" s="876"/>
      <c r="AX61" s="873" t="s">
        <v>5</v>
      </c>
      <c r="AY61" s="583">
        <v>51964.9</v>
      </c>
      <c r="AZ61" s="583">
        <v>58542</v>
      </c>
      <c r="BA61" s="583">
        <v>2519</v>
      </c>
      <c r="BB61" s="583">
        <v>70731</v>
      </c>
      <c r="BC61" s="583">
        <v>31444.9</v>
      </c>
    </row>
    <row r="62" spans="1:55" s="947" customFormat="1" x14ac:dyDescent="0.25">
      <c r="A62" s="1047"/>
      <c r="B62" s="848" t="s">
        <v>3</v>
      </c>
      <c r="C62" s="866">
        <v>0.2166544542321685</v>
      </c>
      <c r="D62" s="866">
        <v>0.57870654884142425</v>
      </c>
      <c r="E62" s="866">
        <v>0.57702832974679874</v>
      </c>
      <c r="F62" s="866">
        <v>0.56294601942430389</v>
      </c>
      <c r="G62" s="866">
        <v>0.72465896141360964</v>
      </c>
      <c r="H62" s="866">
        <v>0.53835945623291104</v>
      </c>
      <c r="I62" s="866">
        <v>0.56882346613325729</v>
      </c>
      <c r="J62" s="866">
        <v>0.31865388552366963</v>
      </c>
      <c r="K62" s="866">
        <v>0.82459328878109195</v>
      </c>
      <c r="L62" s="866">
        <v>0.44562888938873002</v>
      </c>
      <c r="M62" s="866">
        <v>0.41994652619734535</v>
      </c>
      <c r="N62" s="866">
        <v>0.49104456461242402</v>
      </c>
      <c r="O62" s="866">
        <v>0.73057052847584492</v>
      </c>
      <c r="P62" s="866">
        <v>0.66671688448645994</v>
      </c>
      <c r="Q62" s="866">
        <v>0.32910518938134942</v>
      </c>
      <c r="R62" s="866">
        <v>0.81148032911278778</v>
      </c>
      <c r="S62" s="866">
        <v>0.71162065950941877</v>
      </c>
      <c r="T62" s="866">
        <v>0.67804071080659778</v>
      </c>
      <c r="U62" s="866">
        <v>0.43180973391154559</v>
      </c>
      <c r="V62" s="866">
        <v>0.15331444814646294</v>
      </c>
      <c r="W62" s="866">
        <v>0.14959056595217582</v>
      </c>
      <c r="X62" s="866">
        <v>0.37264192022231679</v>
      </c>
      <c r="Y62" s="866">
        <v>0.35915683555572531</v>
      </c>
      <c r="Z62" s="866">
        <v>0.28771533271687388</v>
      </c>
      <c r="AA62" s="866">
        <v>0.24248185530545854</v>
      </c>
      <c r="AB62" s="866">
        <v>0.41951053742190336</v>
      </c>
      <c r="AC62" s="866">
        <v>2.5671761900171424E-5</v>
      </c>
      <c r="AD62" s="866">
        <v>0.20378076254333444</v>
      </c>
      <c r="AE62" s="866">
        <v>0.34038198572596567</v>
      </c>
      <c r="AF62" s="866">
        <v>0.15882290048087605</v>
      </c>
      <c r="AG62" s="866">
        <v>0.15863787428590451</v>
      </c>
      <c r="AH62" s="866">
        <v>6.2957667027266323E-2</v>
      </c>
      <c r="AI62" s="866">
        <v>2.5671761900171424E-5</v>
      </c>
      <c r="AJ62" s="869">
        <v>0.40846392855604641</v>
      </c>
      <c r="AK62" s="852" t="s">
        <v>3</v>
      </c>
      <c r="AL62" s="849">
        <v>0.2751323800395537</v>
      </c>
      <c r="AM62" s="849">
        <v>0.36478435059997882</v>
      </c>
      <c r="AN62" s="849">
        <v>0.32885741598671575</v>
      </c>
      <c r="AO62" s="849">
        <v>0.43281062757988176</v>
      </c>
      <c r="AP62" s="849">
        <v>0.43931194604672852</v>
      </c>
      <c r="AQ62" s="849">
        <v>0.49289269401273078</v>
      </c>
      <c r="AR62" s="849">
        <v>0.59025343104826633</v>
      </c>
      <c r="AS62" s="849">
        <v>0.45008055042458006</v>
      </c>
      <c r="AT62" s="849">
        <v>0.37421403236288486</v>
      </c>
      <c r="AU62" s="849">
        <v>0.40846392855604646</v>
      </c>
      <c r="AV62" s="991"/>
      <c r="AW62" s="876"/>
      <c r="AX62" s="874" t="s">
        <v>3</v>
      </c>
      <c r="AY62" s="849">
        <v>0.36239495651810061</v>
      </c>
      <c r="AZ62" s="849">
        <v>0.44305694305694304</v>
      </c>
      <c r="BA62" s="849">
        <v>3.0277861582453984E-2</v>
      </c>
      <c r="BB62" s="849">
        <v>0.53530479322981073</v>
      </c>
      <c r="BC62" s="849">
        <v>0.37796122654787906</v>
      </c>
    </row>
    <row r="63" spans="1:55" s="947" customFormat="1" ht="30" x14ac:dyDescent="0.25">
      <c r="A63" s="1040" t="s">
        <v>6</v>
      </c>
      <c r="B63" s="854" t="s">
        <v>7</v>
      </c>
      <c r="C63" s="840">
        <v>3713</v>
      </c>
      <c r="D63" s="840">
        <v>3620</v>
      </c>
      <c r="E63" s="840">
        <v>3560</v>
      </c>
      <c r="F63" s="840">
        <v>6588</v>
      </c>
      <c r="G63" s="840">
        <v>8432</v>
      </c>
      <c r="H63" s="840">
        <v>15082</v>
      </c>
      <c r="I63" s="840">
        <v>7076</v>
      </c>
      <c r="J63" s="840">
        <v>9599</v>
      </c>
      <c r="K63" s="840">
        <v>6970</v>
      </c>
      <c r="L63" s="840">
        <v>9334</v>
      </c>
      <c r="M63" s="840">
        <v>5429</v>
      </c>
      <c r="N63" s="840">
        <v>14951</v>
      </c>
      <c r="O63" s="840">
        <v>4357</v>
      </c>
      <c r="P63" s="840">
        <v>8508</v>
      </c>
      <c r="Q63" s="840">
        <v>4799</v>
      </c>
      <c r="R63" s="840">
        <v>9609</v>
      </c>
      <c r="S63" s="840">
        <v>11560</v>
      </c>
      <c r="T63" s="855">
        <v>2479</v>
      </c>
      <c r="U63" s="855">
        <v>1570</v>
      </c>
      <c r="V63" s="840">
        <v>3999</v>
      </c>
      <c r="W63" s="840">
        <v>7999</v>
      </c>
      <c r="X63" s="840">
        <v>3999</v>
      </c>
      <c r="Y63" s="840">
        <v>7999</v>
      </c>
      <c r="Z63" s="840">
        <v>3999</v>
      </c>
      <c r="AA63" s="840">
        <v>7999</v>
      </c>
      <c r="AB63" s="840">
        <v>12000</v>
      </c>
      <c r="AC63" s="840">
        <v>6400</v>
      </c>
      <c r="AD63" s="840">
        <v>6399</v>
      </c>
      <c r="AE63" s="840">
        <v>6399</v>
      </c>
      <c r="AF63" s="840">
        <v>4800</v>
      </c>
      <c r="AG63" s="840">
        <v>4800</v>
      </c>
      <c r="AH63" s="840">
        <v>6399</v>
      </c>
      <c r="AI63" s="840">
        <v>6400</v>
      </c>
      <c r="AJ63" s="840">
        <v>226827</v>
      </c>
      <c r="AK63" s="856" t="s">
        <v>7</v>
      </c>
      <c r="AL63" s="858">
        <v>10112</v>
      </c>
      <c r="AM63" s="858">
        <v>8420</v>
      </c>
      <c r="AN63" s="858">
        <v>50202</v>
      </c>
      <c r="AO63" s="858">
        <v>56434</v>
      </c>
      <c r="AP63" s="858">
        <v>50340</v>
      </c>
      <c r="AQ63" s="858">
        <v>47270</v>
      </c>
      <c r="AR63" s="858">
        <v>4049</v>
      </c>
      <c r="AS63" s="858">
        <v>112124</v>
      </c>
      <c r="AT63" s="858">
        <v>114703</v>
      </c>
      <c r="AU63" s="858">
        <v>226827</v>
      </c>
      <c r="AV63" s="657"/>
      <c r="AW63" s="880" t="s">
        <v>190</v>
      </c>
      <c r="AX63" s="879" t="s">
        <v>4</v>
      </c>
      <c r="AY63" s="857">
        <v>9191.7999999999993</v>
      </c>
      <c r="AZ63" s="857">
        <v>13787.7</v>
      </c>
      <c r="BA63" s="857">
        <v>8804.7999999999993</v>
      </c>
      <c r="BB63" s="857">
        <v>13787.7</v>
      </c>
      <c r="BC63" s="857">
        <v>8804.7999999999993</v>
      </c>
    </row>
    <row r="64" spans="1:55" s="947" customFormat="1" x14ac:dyDescent="0.25">
      <c r="A64" s="1040"/>
      <c r="B64" s="839" t="s">
        <v>11</v>
      </c>
      <c r="C64" s="858">
        <v>125191.22099999999</v>
      </c>
      <c r="D64" s="858">
        <v>122055.54</v>
      </c>
      <c r="E64" s="858">
        <v>120032.51999999999</v>
      </c>
      <c r="F64" s="858">
        <v>222127.59599999999</v>
      </c>
      <c r="G64" s="858">
        <v>284301.74400000001</v>
      </c>
      <c r="H64" s="858">
        <v>508519.79399999999</v>
      </c>
      <c r="I64" s="858">
        <v>238581.492</v>
      </c>
      <c r="J64" s="858">
        <v>323649.48300000001</v>
      </c>
      <c r="K64" s="858">
        <v>235007.49</v>
      </c>
      <c r="L64" s="858">
        <v>314714.478</v>
      </c>
      <c r="M64" s="858">
        <v>183049.59299999999</v>
      </c>
      <c r="N64" s="858">
        <v>504102.86699999997</v>
      </c>
      <c r="O64" s="858">
        <v>146904.96899999998</v>
      </c>
      <c r="P64" s="858">
        <v>286864.23599999998</v>
      </c>
      <c r="Q64" s="858">
        <v>161807.883</v>
      </c>
      <c r="R64" s="858">
        <v>323986.65299999999</v>
      </c>
      <c r="S64" s="858">
        <v>389768.51999999996</v>
      </c>
      <c r="T64" s="858">
        <v>83584.442999999999</v>
      </c>
      <c r="U64" s="858">
        <v>52935.689999999995</v>
      </c>
      <c r="V64" s="858">
        <v>134834.283</v>
      </c>
      <c r="W64" s="858">
        <v>269702.283</v>
      </c>
      <c r="X64" s="858">
        <v>134834.283</v>
      </c>
      <c r="Y64" s="858">
        <v>269702.283</v>
      </c>
      <c r="Z64" s="858">
        <v>134834.283</v>
      </c>
      <c r="AA64" s="858">
        <v>269702.283</v>
      </c>
      <c r="AB64" s="858">
        <v>404604</v>
      </c>
      <c r="AC64" s="858">
        <v>215788.79999999999</v>
      </c>
      <c r="AD64" s="858">
        <v>215755.08299999998</v>
      </c>
      <c r="AE64" s="858">
        <v>215755.08299999998</v>
      </c>
      <c r="AF64" s="858">
        <v>161841.60000000001</v>
      </c>
      <c r="AG64" s="858">
        <v>161841.60000000001</v>
      </c>
      <c r="AH64" s="858">
        <v>215755.08299999998</v>
      </c>
      <c r="AI64" s="858">
        <v>215788.79999999999</v>
      </c>
      <c r="AJ64" s="859">
        <v>7647925.958999997</v>
      </c>
      <c r="AK64" s="841" t="s">
        <v>11</v>
      </c>
      <c r="AL64" s="858">
        <v>340946.304</v>
      </c>
      <c r="AM64" s="858">
        <v>283897.14</v>
      </c>
      <c r="AN64" s="858">
        <v>1692660.834</v>
      </c>
      <c r="AO64" s="858">
        <v>1902785.1779999998</v>
      </c>
      <c r="AP64" s="858">
        <v>1697313.78</v>
      </c>
      <c r="AQ64" s="858">
        <v>1593802.5899999999</v>
      </c>
      <c r="AR64" s="858">
        <v>136520.133</v>
      </c>
      <c r="AS64" s="858">
        <v>3780484.9079999998</v>
      </c>
      <c r="AT64" s="858">
        <v>3867441.051</v>
      </c>
      <c r="AU64" s="858">
        <v>7647925.9589999998</v>
      </c>
      <c r="AV64" s="992"/>
      <c r="AW64" s="876"/>
      <c r="AX64" s="873" t="s">
        <v>5</v>
      </c>
      <c r="AY64" s="583">
        <v>7975.5</v>
      </c>
      <c r="AZ64" s="583">
        <v>13649</v>
      </c>
      <c r="BA64" s="583">
        <v>1289.9000000000001</v>
      </c>
      <c r="BB64" s="583">
        <v>13642</v>
      </c>
      <c r="BC64" s="583">
        <v>5483.9</v>
      </c>
    </row>
    <row r="65" spans="1:55" s="947" customFormat="1" x14ac:dyDescent="0.25">
      <c r="A65" s="1040"/>
      <c r="B65" s="839" t="s">
        <v>79</v>
      </c>
      <c r="C65" s="858">
        <v>164000</v>
      </c>
      <c r="D65" s="858">
        <v>109880</v>
      </c>
      <c r="E65" s="858">
        <v>109880</v>
      </c>
      <c r="F65" s="858">
        <v>328000</v>
      </c>
      <c r="G65" s="858">
        <v>330905</v>
      </c>
      <c r="H65" s="858">
        <v>264264</v>
      </c>
      <c r="I65" s="858">
        <v>242663.6</v>
      </c>
      <c r="J65" s="858">
        <v>328000</v>
      </c>
      <c r="K65" s="858">
        <v>328000</v>
      </c>
      <c r="L65" s="858">
        <v>328000</v>
      </c>
      <c r="M65" s="858">
        <v>328000</v>
      </c>
      <c r="N65" s="858">
        <v>264264.40000000002</v>
      </c>
      <c r="O65" s="858">
        <v>328000</v>
      </c>
      <c r="P65" s="858">
        <v>352965.4</v>
      </c>
      <c r="Q65" s="858">
        <v>328000</v>
      </c>
      <c r="R65" s="858">
        <v>328000</v>
      </c>
      <c r="S65" s="858">
        <v>328000</v>
      </c>
      <c r="T65" s="858">
        <v>119447.4</v>
      </c>
      <c r="U65" s="858">
        <v>66181</v>
      </c>
      <c r="V65" s="858">
        <v>204393</v>
      </c>
      <c r="W65" s="858">
        <v>418993</v>
      </c>
      <c r="X65" s="858">
        <v>204393</v>
      </c>
      <c r="Y65" s="858">
        <v>418993</v>
      </c>
      <c r="Z65" s="858">
        <v>204393</v>
      </c>
      <c r="AA65" s="858">
        <v>418993</v>
      </c>
      <c r="AB65" s="858">
        <v>657390.4</v>
      </c>
      <c r="AC65" s="858">
        <v>381742.4</v>
      </c>
      <c r="AD65" s="858">
        <v>448142.4</v>
      </c>
      <c r="AE65" s="858">
        <v>448142.4</v>
      </c>
      <c r="AF65" s="858">
        <v>312388.2</v>
      </c>
      <c r="AG65" s="858">
        <v>312388.2</v>
      </c>
      <c r="AH65" s="858">
        <v>448142.4</v>
      </c>
      <c r="AI65" s="858">
        <v>381742.4</v>
      </c>
      <c r="AJ65" s="859">
        <v>10236687.600000001</v>
      </c>
      <c r="AK65" s="841" t="s">
        <v>79</v>
      </c>
      <c r="AL65" s="858">
        <v>948179.2</v>
      </c>
      <c r="AM65" s="858">
        <v>613421.60000000009</v>
      </c>
      <c r="AN65" s="858">
        <v>2869177.1999999997</v>
      </c>
      <c r="AO65" s="858">
        <v>2696877.4000000004</v>
      </c>
      <c r="AP65" s="858">
        <v>2826208.6</v>
      </c>
      <c r="AQ65" s="858">
        <v>2310031.4</v>
      </c>
      <c r="AR65" s="858">
        <v>185628.4</v>
      </c>
      <c r="AS65" s="858">
        <v>5620330.4000000004</v>
      </c>
      <c r="AT65" s="858">
        <v>6829193.4000000004</v>
      </c>
      <c r="AU65" s="858">
        <v>12449523.800000001</v>
      </c>
      <c r="AV65" s="993"/>
      <c r="AW65" s="877"/>
      <c r="AX65" s="874" t="s">
        <v>3</v>
      </c>
      <c r="AY65" s="849">
        <v>0.86767553689157739</v>
      </c>
      <c r="AZ65" s="849">
        <v>0.98994030911609621</v>
      </c>
      <c r="BA65" s="849">
        <v>0.14649963656187537</v>
      </c>
      <c r="BB65" s="849">
        <v>0.98943261022505558</v>
      </c>
      <c r="BC65" s="849">
        <v>0.62283072869343992</v>
      </c>
    </row>
    <row r="66" spans="1:55" s="947" customFormat="1" ht="45" x14ac:dyDescent="0.25">
      <c r="A66" s="1040"/>
      <c r="B66" s="844" t="s">
        <v>8</v>
      </c>
      <c r="C66" s="861">
        <v>2000</v>
      </c>
      <c r="D66" s="861">
        <v>1769</v>
      </c>
      <c r="E66" s="861">
        <v>1456</v>
      </c>
      <c r="F66" s="861">
        <v>4676</v>
      </c>
      <c r="G66" s="861">
        <v>3337</v>
      </c>
      <c r="H66" s="861">
        <v>12456</v>
      </c>
      <c r="I66" s="861">
        <v>5589</v>
      </c>
      <c r="J66" s="861">
        <v>1385</v>
      </c>
      <c r="K66" s="861">
        <v>6084</v>
      </c>
      <c r="L66" s="861">
        <v>6489</v>
      </c>
      <c r="M66" s="861">
        <v>3775</v>
      </c>
      <c r="N66" s="861">
        <v>13096</v>
      </c>
      <c r="O66" s="861">
        <v>3479</v>
      </c>
      <c r="P66" s="861">
        <v>6247</v>
      </c>
      <c r="Q66" s="861">
        <v>1833</v>
      </c>
      <c r="R66" s="861">
        <v>4710</v>
      </c>
      <c r="S66" s="861">
        <v>9596</v>
      </c>
      <c r="T66" s="598">
        <v>1817</v>
      </c>
      <c r="U66" s="598">
        <v>1271</v>
      </c>
      <c r="V66" s="861">
        <v>1892</v>
      </c>
      <c r="W66" s="861">
        <v>2475</v>
      </c>
      <c r="X66" s="861">
        <v>2331</v>
      </c>
      <c r="Y66" s="861">
        <v>3219</v>
      </c>
      <c r="Z66" s="861">
        <v>2501</v>
      </c>
      <c r="AA66" s="861">
        <v>3916</v>
      </c>
      <c r="AB66" s="861">
        <v>7260</v>
      </c>
      <c r="AC66" s="861">
        <v>0</v>
      </c>
      <c r="AD66" s="861">
        <v>3644</v>
      </c>
      <c r="AE66" s="861">
        <v>3800</v>
      </c>
      <c r="AF66" s="861">
        <v>1031</v>
      </c>
      <c r="AG66" s="861">
        <v>1031</v>
      </c>
      <c r="AH66" s="861">
        <v>3183</v>
      </c>
      <c r="AI66" s="861">
        <v>0</v>
      </c>
      <c r="AJ66" s="840">
        <v>127348</v>
      </c>
      <c r="AK66" s="846" t="s">
        <v>8</v>
      </c>
      <c r="AL66" s="858">
        <v>5800</v>
      </c>
      <c r="AM66" s="858">
        <v>2800</v>
      </c>
      <c r="AN66" s="858">
        <v>30448</v>
      </c>
      <c r="AO66" s="858">
        <v>26189</v>
      </c>
      <c r="AP66" s="858">
        <v>33727</v>
      </c>
      <c r="AQ66" s="858">
        <v>25296</v>
      </c>
      <c r="AR66" s="858">
        <v>3088</v>
      </c>
      <c r="AS66" s="858">
        <v>54285</v>
      </c>
      <c r="AT66" s="858">
        <v>73063</v>
      </c>
      <c r="AU66" s="858">
        <v>127348</v>
      </c>
      <c r="AV66" s="993"/>
      <c r="AW66" s="877" t="s">
        <v>191</v>
      </c>
      <c r="AX66" s="839" t="s">
        <v>4</v>
      </c>
      <c r="AY66" s="840">
        <v>97433.600000000006</v>
      </c>
      <c r="AZ66" s="840">
        <v>243584.4</v>
      </c>
      <c r="BA66" s="840">
        <v>132070.29999999999</v>
      </c>
      <c r="BB66" s="840">
        <v>292299.3</v>
      </c>
      <c r="BC66" s="840">
        <v>132070.39999999999</v>
      </c>
    </row>
    <row r="67" spans="1:55" s="947" customFormat="1" x14ac:dyDescent="0.25">
      <c r="A67" s="1040"/>
      <c r="B67" s="839" t="s">
        <v>77</v>
      </c>
      <c r="C67" s="858">
        <v>67434</v>
      </c>
      <c r="D67" s="858">
        <v>59645.373</v>
      </c>
      <c r="E67" s="858">
        <v>49091.951999999997</v>
      </c>
      <c r="F67" s="858">
        <v>157660.69199999998</v>
      </c>
      <c r="G67" s="858">
        <v>112513.629</v>
      </c>
      <c r="H67" s="858">
        <v>419978.95199999999</v>
      </c>
      <c r="I67" s="858">
        <v>188444.31299999999</v>
      </c>
      <c r="J67" s="858">
        <v>46698.044999999998</v>
      </c>
      <c r="K67" s="858">
        <v>205134.228</v>
      </c>
      <c r="L67" s="858">
        <v>218789.61299999998</v>
      </c>
      <c r="M67" s="858">
        <v>127281.67499999999</v>
      </c>
      <c r="N67" s="858">
        <v>441557.83199999999</v>
      </c>
      <c r="O67" s="858">
        <v>117301.443</v>
      </c>
      <c r="P67" s="858">
        <v>122493.86099999999</v>
      </c>
      <c r="Q67" s="858">
        <v>61803.260999999999</v>
      </c>
      <c r="R67" s="858">
        <v>158807.07</v>
      </c>
      <c r="S67" s="858">
        <v>323548.33199999999</v>
      </c>
      <c r="T67" s="863">
        <v>61263.788999999997</v>
      </c>
      <c r="U67" s="863">
        <v>42854.307000000001</v>
      </c>
      <c r="V67" s="863">
        <v>63792.563999999998</v>
      </c>
      <c r="W67" s="863">
        <v>83449.574999999997</v>
      </c>
      <c r="X67" s="863">
        <v>78594.32699999999</v>
      </c>
      <c r="Y67" s="863">
        <v>108535.023</v>
      </c>
      <c r="Z67" s="863">
        <v>84326.21699999999</v>
      </c>
      <c r="AA67" s="863">
        <v>132035.772</v>
      </c>
      <c r="AB67" s="863">
        <v>244785.41999999998</v>
      </c>
      <c r="AC67" s="863">
        <v>0</v>
      </c>
      <c r="AD67" s="863">
        <v>122864.74799999999</v>
      </c>
      <c r="AE67" s="863">
        <v>128124.59999999999</v>
      </c>
      <c r="AF67" s="863">
        <v>34762.226999999999</v>
      </c>
      <c r="AG67" s="863">
        <v>34762.226999999999</v>
      </c>
      <c r="AH67" s="863">
        <v>107321.211</v>
      </c>
      <c r="AI67" s="863">
        <v>0</v>
      </c>
      <c r="AJ67" s="864">
        <v>4205656.2779999999</v>
      </c>
      <c r="AK67" s="841" t="s">
        <v>77</v>
      </c>
      <c r="AL67" s="858">
        <v>195558.6</v>
      </c>
      <c r="AM67" s="858">
        <v>94407.599999999991</v>
      </c>
      <c r="AN67" s="858">
        <v>1026615.216</v>
      </c>
      <c r="AO67" s="858">
        <v>883014.51299999992</v>
      </c>
      <c r="AP67" s="858">
        <v>1137173.2589999998</v>
      </c>
      <c r="AQ67" s="858">
        <v>852905.23199999996</v>
      </c>
      <c r="AR67" s="858">
        <v>104118.09599999999</v>
      </c>
      <c r="AS67" s="858">
        <v>1830327.345</v>
      </c>
      <c r="AT67" s="858">
        <v>2463465.1710000001</v>
      </c>
      <c r="AU67" s="858">
        <v>4293792.5159999998</v>
      </c>
      <c r="AV67" s="915"/>
      <c r="AW67" s="1030"/>
      <c r="AX67" s="844" t="s">
        <v>5</v>
      </c>
      <c r="AY67" s="583">
        <v>38973.199999999997</v>
      </c>
      <c r="AZ67" s="583">
        <v>124350.5</v>
      </c>
      <c r="BA67" s="583">
        <v>3817.1</v>
      </c>
      <c r="BB67" s="583">
        <v>109009</v>
      </c>
      <c r="BC67" s="583">
        <v>33401</v>
      </c>
    </row>
    <row r="68" spans="1:55" s="947" customFormat="1" x14ac:dyDescent="0.25">
      <c r="A68" s="1040"/>
      <c r="B68" s="848" t="s">
        <v>217</v>
      </c>
      <c r="C68" s="849">
        <v>0.26971614889144158</v>
      </c>
      <c r="D68" s="849">
        <v>0.39627079918706692</v>
      </c>
      <c r="E68" s="866">
        <v>0.32615618067629698</v>
      </c>
      <c r="F68" s="866">
        <v>0.8662732501532977</v>
      </c>
      <c r="G68" s="866">
        <v>0.67875096597185058</v>
      </c>
      <c r="H68" s="866">
        <v>1.078237640081642</v>
      </c>
      <c r="I68" s="866">
        <v>1.095762553386965</v>
      </c>
      <c r="J68" s="866">
        <v>0.28118140271438719</v>
      </c>
      <c r="K68" s="866">
        <v>1.6540521790174425</v>
      </c>
      <c r="L68" s="866">
        <v>0.97642897882458779</v>
      </c>
      <c r="M68" s="866">
        <v>0.65939112289286939</v>
      </c>
      <c r="N68" s="866">
        <v>1.0076170251510714</v>
      </c>
      <c r="O68" s="866">
        <v>1.412610044942846</v>
      </c>
      <c r="P68" s="866">
        <v>0.44360874789592158</v>
      </c>
      <c r="Q68" s="866">
        <v>0.7442696787525831</v>
      </c>
      <c r="R68" s="866">
        <v>0.82876819634043108</v>
      </c>
      <c r="S68" s="866">
        <v>1.2335570891486447</v>
      </c>
      <c r="T68" s="849">
        <v>1.0257868986683678</v>
      </c>
      <c r="U68" s="849">
        <v>1.2950637494144845</v>
      </c>
      <c r="V68" s="849">
        <v>0.6242147627364929</v>
      </c>
      <c r="W68" s="849">
        <v>0.39833398171329831</v>
      </c>
      <c r="X68" s="849">
        <v>0.76905106339258189</v>
      </c>
      <c r="Y68" s="849">
        <v>0.51807559076165954</v>
      </c>
      <c r="Z68" s="849">
        <v>0.82513801353275296</v>
      </c>
      <c r="AA68" s="849">
        <v>0.63025287773304084</v>
      </c>
      <c r="AB68" s="849">
        <v>0.74471857209962289</v>
      </c>
      <c r="AC68" s="849">
        <v>0</v>
      </c>
      <c r="AD68" s="849">
        <v>0.54832904898085955</v>
      </c>
      <c r="AE68" s="849">
        <v>0.57180306973854733</v>
      </c>
      <c r="AF68" s="849">
        <v>0.22255787510539768</v>
      </c>
      <c r="AG68" s="849">
        <v>0.22255787510539768</v>
      </c>
      <c r="AH68" s="849">
        <v>0.47896030815205165</v>
      </c>
      <c r="AI68" s="849">
        <v>0</v>
      </c>
      <c r="AJ68" s="851">
        <v>0.6756332765113473</v>
      </c>
      <c r="AK68" s="852" t="s">
        <v>217</v>
      </c>
      <c r="AL68" s="849">
        <v>0.41249291273210803</v>
      </c>
      <c r="AM68" s="849">
        <v>0.3078065721846116</v>
      </c>
      <c r="AN68" s="849">
        <v>0.71561646035664872</v>
      </c>
      <c r="AO68" s="849">
        <v>0.65484216153096153</v>
      </c>
      <c r="AP68" s="849">
        <v>0.80473412967464597</v>
      </c>
      <c r="AQ68" s="849">
        <v>0.7384360506961074</v>
      </c>
      <c r="AR68" s="849">
        <v>1.1217905880781174</v>
      </c>
      <c r="AS68" s="849">
        <v>0.65132375313736002</v>
      </c>
      <c r="AT68" s="849">
        <v>0.72145128325110841</v>
      </c>
      <c r="AU68" s="849">
        <v>0.68979224988509191</v>
      </c>
      <c r="AV68" s="914"/>
      <c r="AW68" s="1030"/>
      <c r="AX68" s="848" t="s">
        <v>3</v>
      </c>
      <c r="AY68" s="849">
        <v>0.39999753678402516</v>
      </c>
      <c r="AZ68" s="849">
        <v>0.51050272513346506</v>
      </c>
      <c r="BA68" s="849">
        <v>2.8902031720984961E-2</v>
      </c>
      <c r="BB68" s="849">
        <v>0.37293623351133581</v>
      </c>
      <c r="BC68" s="849">
        <v>0.25290299718937781</v>
      </c>
    </row>
    <row r="69" spans="1:55" s="947" customFormat="1" x14ac:dyDescent="0.25">
      <c r="A69" s="1030"/>
      <c r="B69" s="848" t="s">
        <v>218</v>
      </c>
      <c r="C69" s="598">
        <v>57458.8</v>
      </c>
      <c r="D69" s="598">
        <v>59240.4</v>
      </c>
      <c r="E69" s="598">
        <v>48687.1</v>
      </c>
      <c r="F69" s="598">
        <v>156339</v>
      </c>
      <c r="G69" s="598">
        <v>110224</v>
      </c>
      <c r="H69" s="598">
        <v>423177</v>
      </c>
      <c r="I69" s="598">
        <v>112945</v>
      </c>
      <c r="J69" s="598">
        <v>46738.8</v>
      </c>
      <c r="K69" s="598">
        <v>146717</v>
      </c>
      <c r="L69" s="598">
        <v>219177</v>
      </c>
      <c r="M69" s="598">
        <v>139976</v>
      </c>
      <c r="N69" s="598">
        <v>441635</v>
      </c>
      <c r="O69" s="598">
        <v>117345</v>
      </c>
      <c r="P69" s="598">
        <v>96532.1</v>
      </c>
      <c r="Q69" s="598">
        <v>61854.5</v>
      </c>
      <c r="R69" s="598">
        <v>145044</v>
      </c>
      <c r="S69" s="598">
        <v>320751</v>
      </c>
      <c r="T69" s="598">
        <v>61297.2</v>
      </c>
      <c r="U69" s="598">
        <v>42854.1</v>
      </c>
      <c r="V69" s="598">
        <v>63826.1</v>
      </c>
      <c r="W69" s="598">
        <v>62173.9</v>
      </c>
      <c r="X69" s="598">
        <v>78653.100000000006</v>
      </c>
      <c r="Y69" s="598">
        <v>78619.3</v>
      </c>
      <c r="Z69" s="598">
        <v>84055.3</v>
      </c>
      <c r="AA69" s="598">
        <v>80375.899999999994</v>
      </c>
      <c r="AB69" s="598">
        <v>244379</v>
      </c>
      <c r="AC69" s="598">
        <v>0</v>
      </c>
      <c r="AD69" s="598">
        <v>122949</v>
      </c>
      <c r="AE69" s="598">
        <v>128171</v>
      </c>
      <c r="AF69" s="598">
        <v>34792.6</v>
      </c>
      <c r="AG69" s="598">
        <v>34777.800000000003</v>
      </c>
      <c r="AH69" s="598">
        <v>107355</v>
      </c>
      <c r="AI69" s="598">
        <v>0</v>
      </c>
      <c r="AJ69" s="867">
        <v>3928121</v>
      </c>
      <c r="AK69" s="852" t="s">
        <v>218</v>
      </c>
      <c r="AL69" s="861">
        <v>185629.8</v>
      </c>
      <c r="AM69" s="861">
        <v>94018.200000000012</v>
      </c>
      <c r="AN69" s="861">
        <v>1028997</v>
      </c>
      <c r="AO69" s="861">
        <v>724986.79999999993</v>
      </c>
      <c r="AP69" s="861">
        <v>1146741</v>
      </c>
      <c r="AQ69" s="861">
        <v>643596.9</v>
      </c>
      <c r="AR69" s="861">
        <v>104151.29999999999</v>
      </c>
      <c r="AS69" s="861">
        <v>1462601.9</v>
      </c>
      <c r="AT69" s="861">
        <v>2465519.0999999996</v>
      </c>
      <c r="AU69" s="861">
        <v>3928120.9999999995</v>
      </c>
      <c r="AV69" s="916"/>
      <c r="AW69" s="1030" t="s">
        <v>219</v>
      </c>
      <c r="AX69" s="848" t="s">
        <v>3</v>
      </c>
      <c r="AY69" s="849">
        <v>0.38119624665106289</v>
      </c>
      <c r="AZ69" s="849">
        <v>0.47677983409520408</v>
      </c>
      <c r="BA69" s="849">
        <v>2.9589946651719472E-2</v>
      </c>
      <c r="BB69" s="849">
        <v>0.45412051337057324</v>
      </c>
      <c r="BC69" s="849">
        <v>0.31543211186862841</v>
      </c>
    </row>
    <row r="70" spans="1:55" s="947" customFormat="1" x14ac:dyDescent="0.25">
      <c r="A70" s="1030"/>
      <c r="B70" s="848" t="s">
        <v>216</v>
      </c>
      <c r="C70" s="866">
        <v>0.22981828537419646</v>
      </c>
      <c r="D70" s="866">
        <v>0.39358024724166818</v>
      </c>
      <c r="E70" s="866">
        <v>0.32346643262840596</v>
      </c>
      <c r="F70" s="866">
        <v>0.85901115831532959</v>
      </c>
      <c r="G70" s="866">
        <v>0.66493852467669723</v>
      </c>
      <c r="H70" s="866">
        <v>1.0864481842338352</v>
      </c>
      <c r="I70" s="866">
        <v>0.6567505255109013</v>
      </c>
      <c r="J70" s="866">
        <v>0.28142679945567745</v>
      </c>
      <c r="K70" s="866">
        <v>1.1830184358550935</v>
      </c>
      <c r="L70" s="866">
        <v>0.97815783554513025</v>
      </c>
      <c r="M70" s="866">
        <v>0.72515491187598136</v>
      </c>
      <c r="N70" s="866">
        <v>1.0077931193905161</v>
      </c>
      <c r="O70" s="866">
        <v>1.4131345828696946</v>
      </c>
      <c r="P70" s="866">
        <v>0.34958881745725934</v>
      </c>
      <c r="Q70" s="866">
        <v>0.74488672765020691</v>
      </c>
      <c r="R70" s="866">
        <v>0.75694271212233488</v>
      </c>
      <c r="S70" s="866">
        <v>1.2228920095360496</v>
      </c>
      <c r="T70" s="866">
        <v>1.0263463248258229</v>
      </c>
      <c r="U70" s="866">
        <v>1.2950574938426436</v>
      </c>
      <c r="V70" s="866">
        <v>0.62454291487477553</v>
      </c>
      <c r="W70" s="866">
        <v>0.29677775046361154</v>
      </c>
      <c r="X70" s="866">
        <v>0.76962616136560458</v>
      </c>
      <c r="Y70" s="866">
        <v>0.37527739126906656</v>
      </c>
      <c r="Z70" s="866">
        <v>0.82248707147505051</v>
      </c>
      <c r="AA70" s="866">
        <v>0.38366225688734656</v>
      </c>
      <c r="AB70" s="866">
        <v>0.74348210743570331</v>
      </c>
      <c r="AC70" s="866">
        <v>0</v>
      </c>
      <c r="AD70" s="866">
        <v>0.54870505446483075</v>
      </c>
      <c r="AE70" s="866">
        <v>0.57201014677477513</v>
      </c>
      <c r="AF70" s="866">
        <v>0.22275233187425131</v>
      </c>
      <c r="AG70" s="866">
        <v>0.22265757797509639</v>
      </c>
      <c r="AH70" s="866">
        <v>0.47911110397052364</v>
      </c>
      <c r="AI70" s="866">
        <v>0</v>
      </c>
      <c r="AJ70" s="869">
        <v>0.63104759075202532</v>
      </c>
      <c r="AK70" s="852" t="s">
        <v>216</v>
      </c>
      <c r="AL70" s="849">
        <v>0.39155003611131733</v>
      </c>
      <c r="AM70" s="849">
        <v>0.30653697228790117</v>
      </c>
      <c r="AN70" s="849">
        <v>0.71727671612614241</v>
      </c>
      <c r="AO70" s="849">
        <v>0.5376490603540226</v>
      </c>
      <c r="AP70" s="849">
        <v>0.81150485494948954</v>
      </c>
      <c r="AQ70" s="849">
        <v>0.5572191789254467</v>
      </c>
      <c r="AR70" s="849">
        <v>1.1221483350607988</v>
      </c>
      <c r="AS70" s="849">
        <v>0.5204682984473652</v>
      </c>
      <c r="AT70" s="849">
        <v>0.72205279762614405</v>
      </c>
      <c r="AU70" s="849">
        <v>0.63104759075202532</v>
      </c>
      <c r="AV70" s="914"/>
      <c r="AW70" s="1030"/>
      <c r="AX70" s="848"/>
      <c r="AY70" s="849"/>
      <c r="AZ70" s="849"/>
      <c r="BA70" s="849"/>
      <c r="BB70" s="849"/>
      <c r="BC70" s="849"/>
    </row>
    <row r="71" spans="1:55" s="947" customFormat="1" x14ac:dyDescent="0.25">
      <c r="A71" s="1041">
        <v>41942</v>
      </c>
      <c r="B71" s="1041"/>
      <c r="C71" s="1041"/>
      <c r="D71" s="529"/>
      <c r="E71" s="529"/>
      <c r="F71" s="529"/>
      <c r="G71" s="529"/>
      <c r="H71" s="529"/>
      <c r="I71" s="525"/>
      <c r="J71" s="531"/>
      <c r="K71" s="531"/>
      <c r="L71" s="529"/>
      <c r="M71" s="529"/>
      <c r="N71" s="527"/>
      <c r="R71" s="526"/>
      <c r="S71" s="534"/>
      <c r="T71" s="534"/>
      <c r="U71" s="534"/>
      <c r="V71" s="534"/>
      <c r="W71" s="534"/>
      <c r="X71" s="534"/>
      <c r="Y71" s="534"/>
      <c r="Z71" s="534"/>
      <c r="AA71" s="534"/>
      <c r="AB71" s="534"/>
      <c r="AC71" s="534"/>
      <c r="AD71" s="534"/>
      <c r="AE71" s="534"/>
      <c r="AF71" s="534"/>
      <c r="AG71" s="534"/>
      <c r="AH71" s="534"/>
      <c r="AI71" s="534"/>
      <c r="AJ71" s="534"/>
      <c r="AK71" s="534"/>
      <c r="AL71" s="534"/>
      <c r="AM71" s="534"/>
      <c r="AN71" s="534"/>
      <c r="AO71" s="534"/>
    </row>
    <row r="72" spans="1:55" s="947" customFormat="1" x14ac:dyDescent="0.25">
      <c r="A72" s="1042" t="s">
        <v>1</v>
      </c>
      <c r="B72" s="1042"/>
      <c r="C72" s="1028" t="s">
        <v>12</v>
      </c>
      <c r="D72" s="1028" t="s">
        <v>12</v>
      </c>
      <c r="E72" s="1028" t="s">
        <v>13</v>
      </c>
      <c r="F72" s="1028" t="s">
        <v>13</v>
      </c>
      <c r="G72" s="1028" t="s">
        <v>13</v>
      </c>
      <c r="H72" s="1028" t="s">
        <v>13</v>
      </c>
      <c r="I72" s="1028" t="s">
        <v>13</v>
      </c>
      <c r="J72" s="1028" t="s">
        <v>13</v>
      </c>
      <c r="K72" s="1028" t="s">
        <v>13</v>
      </c>
      <c r="L72" s="1028" t="s">
        <v>13</v>
      </c>
      <c r="M72" s="829" t="s">
        <v>2</v>
      </c>
      <c r="N72" s="1028" t="s">
        <v>2</v>
      </c>
      <c r="O72" s="1028" t="s">
        <v>2</v>
      </c>
      <c r="P72" s="1028" t="s">
        <v>2</v>
      </c>
      <c r="Q72" s="1028" t="s">
        <v>2</v>
      </c>
      <c r="R72" s="1028" t="s">
        <v>2</v>
      </c>
      <c r="S72" s="1028" t="s">
        <v>2</v>
      </c>
      <c r="T72" s="830" t="s">
        <v>183</v>
      </c>
      <c r="U72" s="830" t="s">
        <v>183</v>
      </c>
      <c r="V72" s="830" t="s">
        <v>2</v>
      </c>
      <c r="W72" s="830" t="s">
        <v>13</v>
      </c>
      <c r="X72" s="830" t="s">
        <v>13</v>
      </c>
      <c r="Y72" s="830" t="s">
        <v>2</v>
      </c>
      <c r="Z72" s="830" t="s">
        <v>13</v>
      </c>
      <c r="AA72" s="830" t="s">
        <v>2</v>
      </c>
      <c r="AB72" s="888" t="s">
        <v>2</v>
      </c>
      <c r="AC72" s="888" t="s">
        <v>2</v>
      </c>
      <c r="AD72" s="888" t="s">
        <v>13</v>
      </c>
      <c r="AE72" s="888" t="s">
        <v>12</v>
      </c>
      <c r="AF72" s="888" t="s">
        <v>13</v>
      </c>
      <c r="AG72" s="888" t="s">
        <v>12</v>
      </c>
      <c r="AH72" s="888" t="s">
        <v>13</v>
      </c>
      <c r="AI72" s="888" t="s">
        <v>13</v>
      </c>
      <c r="AJ72" s="831" t="s">
        <v>219</v>
      </c>
      <c r="AK72" s="1042" t="s">
        <v>0</v>
      </c>
      <c r="AL72" s="1042"/>
      <c r="AM72" s="833"/>
      <c r="AN72" s="833"/>
      <c r="AO72" s="833"/>
      <c r="AP72" s="833"/>
      <c r="AQ72" s="833"/>
      <c r="AR72" s="833"/>
      <c r="AS72" s="833"/>
      <c r="AT72" s="833"/>
      <c r="AU72" s="803"/>
      <c r="AV72" s="803"/>
      <c r="AW72" s="1042" t="s">
        <v>1</v>
      </c>
      <c r="AX72" s="1043"/>
      <c r="AY72" s="1028" t="s">
        <v>12</v>
      </c>
      <c r="AZ72" s="1044" t="s">
        <v>13</v>
      </c>
      <c r="BA72" s="1045"/>
      <c r="BB72" s="1044" t="s">
        <v>2</v>
      </c>
      <c r="BC72" s="1045"/>
    </row>
    <row r="73" spans="1:55" s="947" customFormat="1" x14ac:dyDescent="0.25">
      <c r="A73" s="1042" t="s">
        <v>0</v>
      </c>
      <c r="B73" s="1042"/>
      <c r="C73" s="834" t="s">
        <v>99</v>
      </c>
      <c r="D73" s="835" t="s">
        <v>100</v>
      </c>
      <c r="E73" s="835" t="s">
        <v>101</v>
      </c>
      <c r="F73" s="834" t="s">
        <v>102</v>
      </c>
      <c r="G73" s="835" t="s">
        <v>97</v>
      </c>
      <c r="H73" s="834" t="s">
        <v>104</v>
      </c>
      <c r="I73" s="835" t="s">
        <v>103</v>
      </c>
      <c r="J73" s="835" t="s">
        <v>178</v>
      </c>
      <c r="K73" s="835" t="s">
        <v>199</v>
      </c>
      <c r="L73" s="834" t="s">
        <v>206</v>
      </c>
      <c r="M73" s="834" t="s">
        <v>105</v>
      </c>
      <c r="N73" s="834" t="s">
        <v>107</v>
      </c>
      <c r="O73" s="835" t="s">
        <v>98</v>
      </c>
      <c r="P73" s="835" t="s">
        <v>106</v>
      </c>
      <c r="Q73" s="835" t="s">
        <v>179</v>
      </c>
      <c r="R73" s="835" t="s">
        <v>198</v>
      </c>
      <c r="S73" s="834" t="s">
        <v>207</v>
      </c>
      <c r="T73" s="834" t="s">
        <v>307</v>
      </c>
      <c r="U73" s="834" t="s">
        <v>184</v>
      </c>
      <c r="V73" s="835" t="s">
        <v>221</v>
      </c>
      <c r="W73" s="835" t="s">
        <v>222</v>
      </c>
      <c r="X73" s="835" t="s">
        <v>255</v>
      </c>
      <c r="Y73" s="835" t="s">
        <v>256</v>
      </c>
      <c r="Z73" s="835" t="s">
        <v>266</v>
      </c>
      <c r="AA73" s="835" t="s">
        <v>267</v>
      </c>
      <c r="AB73" s="889" t="s">
        <v>268</v>
      </c>
      <c r="AC73" s="889" t="s">
        <v>269</v>
      </c>
      <c r="AD73" s="889" t="s">
        <v>295</v>
      </c>
      <c r="AE73" s="889" t="s">
        <v>290</v>
      </c>
      <c r="AF73" s="946" t="s">
        <v>291</v>
      </c>
      <c r="AG73" s="946" t="s">
        <v>292</v>
      </c>
      <c r="AH73" s="889" t="s">
        <v>293</v>
      </c>
      <c r="AI73" s="889" t="s">
        <v>294</v>
      </c>
      <c r="AJ73" s="836"/>
      <c r="AK73" s="903" t="s">
        <v>1</v>
      </c>
      <c r="AL73" s="838" t="s">
        <v>257</v>
      </c>
      <c r="AM73" s="838" t="s">
        <v>258</v>
      </c>
      <c r="AN73" s="838" t="s">
        <v>259</v>
      </c>
      <c r="AO73" s="838" t="s">
        <v>260</v>
      </c>
      <c r="AP73" s="838" t="s">
        <v>261</v>
      </c>
      <c r="AQ73" s="838" t="s">
        <v>262</v>
      </c>
      <c r="AR73" s="838" t="s">
        <v>263</v>
      </c>
      <c r="AS73" s="904" t="s">
        <v>264</v>
      </c>
      <c r="AT73" s="904" t="s">
        <v>265</v>
      </c>
      <c r="AU73" s="988" t="s">
        <v>306</v>
      </c>
      <c r="AV73" s="988"/>
      <c r="AW73" s="1046" t="s">
        <v>0</v>
      </c>
      <c r="AX73" s="1043"/>
      <c r="AY73" s="834" t="s">
        <v>99</v>
      </c>
      <c r="AZ73" s="834" t="s">
        <v>104</v>
      </c>
      <c r="BA73" s="834" t="s">
        <v>206</v>
      </c>
      <c r="BB73" s="834" t="s">
        <v>107</v>
      </c>
      <c r="BC73" s="834" t="s">
        <v>207</v>
      </c>
    </row>
    <row r="74" spans="1:55" s="947" customFormat="1" ht="30" x14ac:dyDescent="0.25">
      <c r="A74" s="1047" t="s">
        <v>9</v>
      </c>
      <c r="B74" s="839" t="s">
        <v>4</v>
      </c>
      <c r="C74" s="840">
        <v>250018.4</v>
      </c>
      <c r="D74" s="840">
        <v>150516.70000000001</v>
      </c>
      <c r="E74" s="840">
        <v>150516.70000000001</v>
      </c>
      <c r="F74" s="840">
        <v>181998.8</v>
      </c>
      <c r="G74" s="840">
        <v>165765.70000000001</v>
      </c>
      <c r="H74" s="840">
        <v>389505</v>
      </c>
      <c r="I74" s="840">
        <v>171975.5</v>
      </c>
      <c r="J74" s="840">
        <v>166078</v>
      </c>
      <c r="K74" s="840">
        <v>124019.2</v>
      </c>
      <c r="L74" s="840">
        <v>224071.2</v>
      </c>
      <c r="M74" s="840">
        <v>193029.1</v>
      </c>
      <c r="N74" s="840">
        <v>438219.9</v>
      </c>
      <c r="O74" s="840">
        <v>83038.8</v>
      </c>
      <c r="P74" s="840">
        <v>276130.40000000002</v>
      </c>
      <c r="Q74" s="840">
        <v>83038.8</v>
      </c>
      <c r="R74" s="840">
        <v>191618.2</v>
      </c>
      <c r="S74" s="840">
        <v>262288.90000000002</v>
      </c>
      <c r="T74" s="840">
        <v>59723.7</v>
      </c>
      <c r="U74" s="840">
        <v>33090.5</v>
      </c>
      <c r="V74" s="840">
        <v>102196.5</v>
      </c>
      <c r="W74" s="840">
        <v>209496.5</v>
      </c>
      <c r="X74" s="840">
        <v>102196.5</v>
      </c>
      <c r="Y74" s="840">
        <v>209496.5</v>
      </c>
      <c r="Z74" s="840">
        <v>102196.5</v>
      </c>
      <c r="AA74" s="840">
        <v>209496.5</v>
      </c>
      <c r="AB74" s="840">
        <v>328695.2</v>
      </c>
      <c r="AC74" s="840">
        <v>190871.2</v>
      </c>
      <c r="AD74" s="840">
        <v>224071.2</v>
      </c>
      <c r="AE74" s="840">
        <v>224071.2</v>
      </c>
      <c r="AF74" s="840">
        <v>156194.1</v>
      </c>
      <c r="AG74" s="840">
        <v>156194.1</v>
      </c>
      <c r="AH74" s="840">
        <v>224071.2</v>
      </c>
      <c r="AI74" s="840">
        <v>190871.2</v>
      </c>
      <c r="AJ74" s="840">
        <v>6224761.9000000004</v>
      </c>
      <c r="AK74" s="841" t="s">
        <v>4</v>
      </c>
      <c r="AL74" s="863">
        <v>474089.6</v>
      </c>
      <c r="AM74" s="863">
        <v>306710.80000000005</v>
      </c>
      <c r="AN74" s="863">
        <v>1434588.5999999999</v>
      </c>
      <c r="AO74" s="863">
        <v>1348438.7000000002</v>
      </c>
      <c r="AP74" s="863">
        <v>1413104.3</v>
      </c>
      <c r="AQ74" s="863">
        <v>1155015.7</v>
      </c>
      <c r="AR74" s="863">
        <v>92814.2</v>
      </c>
      <c r="AS74" s="863">
        <v>2810165.2</v>
      </c>
      <c r="AT74" s="863">
        <v>3414596.7</v>
      </c>
      <c r="AU74" s="863">
        <v>6224761.9000000004</v>
      </c>
      <c r="AV74" s="989"/>
      <c r="AW74" s="875" t="s">
        <v>194</v>
      </c>
      <c r="AX74" s="872" t="s">
        <v>4</v>
      </c>
      <c r="AY74" s="840">
        <v>143393</v>
      </c>
      <c r="AZ74" s="840">
        <v>132132</v>
      </c>
      <c r="BA74" s="840">
        <v>83196.100000000006</v>
      </c>
      <c r="BB74" s="840">
        <v>132132.20000000001</v>
      </c>
      <c r="BC74" s="840">
        <v>83196.100000000006</v>
      </c>
    </row>
    <row r="75" spans="1:55" s="947" customFormat="1" x14ac:dyDescent="0.25">
      <c r="A75" s="1047"/>
      <c r="B75" s="844" t="s">
        <v>5</v>
      </c>
      <c r="C75" s="583">
        <v>54141.2</v>
      </c>
      <c r="D75" s="583">
        <v>87105</v>
      </c>
      <c r="E75" s="583">
        <v>86852.2</v>
      </c>
      <c r="F75" s="583">
        <v>102398.8</v>
      </c>
      <c r="G75" s="583">
        <v>119019.1</v>
      </c>
      <c r="H75" s="583">
        <v>208510.6</v>
      </c>
      <c r="I75" s="583">
        <v>97323.3</v>
      </c>
      <c r="J75" s="583">
        <v>52718.5</v>
      </c>
      <c r="K75" s="583">
        <v>101081.4</v>
      </c>
      <c r="L75" s="583">
        <v>99489.3</v>
      </c>
      <c r="M75" s="583">
        <v>80891.399999999994</v>
      </c>
      <c r="N75" s="583">
        <v>214327.4</v>
      </c>
      <c r="O75" s="583">
        <v>59987.5</v>
      </c>
      <c r="P75" s="583">
        <v>183226.1</v>
      </c>
      <c r="Q75" s="583">
        <v>27244.5</v>
      </c>
      <c r="R75" s="583">
        <v>154508.1</v>
      </c>
      <c r="S75" s="583">
        <v>185533.9</v>
      </c>
      <c r="T75" s="583">
        <v>40495.1</v>
      </c>
      <c r="U75" s="583">
        <v>14288.8</v>
      </c>
      <c r="V75" s="583">
        <v>15649.2</v>
      </c>
      <c r="W75" s="583">
        <v>31298.1</v>
      </c>
      <c r="X75" s="583">
        <v>37847.300000000003</v>
      </c>
      <c r="Y75" s="583">
        <v>74798.7</v>
      </c>
      <c r="Z75" s="583">
        <v>22481.9</v>
      </c>
      <c r="AA75" s="583">
        <v>38997.9</v>
      </c>
      <c r="AB75" s="583">
        <v>136677</v>
      </c>
      <c r="AC75" s="583">
        <v>4.9000000000000004</v>
      </c>
      <c r="AD75" s="583">
        <v>39942.400000000001</v>
      </c>
      <c r="AE75" s="583">
        <v>76166.899999999994</v>
      </c>
      <c r="AF75" s="583">
        <v>24765.9</v>
      </c>
      <c r="AG75" s="583">
        <v>24743.200000000001</v>
      </c>
      <c r="AH75" s="583">
        <v>3250.5</v>
      </c>
      <c r="AI75" s="583">
        <v>4.9000000000000004</v>
      </c>
      <c r="AJ75" s="583">
        <v>2495771</v>
      </c>
      <c r="AK75" s="846" t="s">
        <v>5</v>
      </c>
      <c r="AL75" s="863">
        <v>130308.09999999999</v>
      </c>
      <c r="AM75" s="863">
        <v>111848.2</v>
      </c>
      <c r="AN75" s="863">
        <v>453596.50000000006</v>
      </c>
      <c r="AO75" s="863">
        <v>573387.70000000007</v>
      </c>
      <c r="AP75" s="863">
        <v>617434.6</v>
      </c>
      <c r="AQ75" s="863">
        <v>554412</v>
      </c>
      <c r="AR75" s="863">
        <v>54783.899999999994</v>
      </c>
      <c r="AS75" s="863">
        <v>1239647.8999999999</v>
      </c>
      <c r="AT75" s="863">
        <v>1256123.1000000001</v>
      </c>
      <c r="AU75" s="863">
        <v>2495771</v>
      </c>
      <c r="AV75" s="990"/>
      <c r="AW75" s="876"/>
      <c r="AX75" s="873" t="s">
        <v>5</v>
      </c>
      <c r="AY75" s="583">
        <v>51964.9</v>
      </c>
      <c r="AZ75" s="583">
        <v>58542</v>
      </c>
      <c r="BA75" s="583">
        <v>2519</v>
      </c>
      <c r="BB75" s="583">
        <v>70731</v>
      </c>
      <c r="BC75" s="583">
        <v>31444.9</v>
      </c>
    </row>
    <row r="76" spans="1:55" s="947" customFormat="1" x14ac:dyDescent="0.25">
      <c r="A76" s="1047"/>
      <c r="B76" s="848" t="s">
        <v>3</v>
      </c>
      <c r="C76" s="866">
        <v>0.2165488620037565</v>
      </c>
      <c r="D76" s="866">
        <v>0.57870654884142425</v>
      </c>
      <c r="E76" s="866">
        <v>0.57702700099058768</v>
      </c>
      <c r="F76" s="866">
        <v>0.56263447890865215</v>
      </c>
      <c r="G76" s="866">
        <v>0.71799594246578147</v>
      </c>
      <c r="H76" s="866">
        <v>0.53532201127071544</v>
      </c>
      <c r="I76" s="866">
        <v>0.56591374934220284</v>
      </c>
      <c r="J76" s="866">
        <v>0.31743217042594446</v>
      </c>
      <c r="K76" s="866">
        <v>0.81504637991536788</v>
      </c>
      <c r="L76" s="866">
        <v>0.4440075297494725</v>
      </c>
      <c r="M76" s="866">
        <v>0.41906323968769471</v>
      </c>
      <c r="N76" s="866">
        <v>0.48908641529058811</v>
      </c>
      <c r="O76" s="866">
        <v>0.72240326208952921</v>
      </c>
      <c r="P76" s="866">
        <v>0.66354917821435089</v>
      </c>
      <c r="Q76" s="866">
        <v>0.32809361406956744</v>
      </c>
      <c r="R76" s="866">
        <v>0.80633311449538714</v>
      </c>
      <c r="S76" s="866">
        <v>0.70736466545095877</v>
      </c>
      <c r="T76" s="866">
        <v>0.67804071080659778</v>
      </c>
      <c r="U76" s="866">
        <v>0.43180973391154559</v>
      </c>
      <c r="V76" s="866">
        <v>0.15312853179903421</v>
      </c>
      <c r="W76" s="866">
        <v>0.14939676796509727</v>
      </c>
      <c r="X76" s="866">
        <v>0.37033851452838407</v>
      </c>
      <c r="Y76" s="866">
        <v>0.35704033241605465</v>
      </c>
      <c r="Z76" s="866">
        <v>0.21998698585568</v>
      </c>
      <c r="AA76" s="866">
        <v>0.18615060394803731</v>
      </c>
      <c r="AB76" s="866">
        <v>0.41581684186443851</v>
      </c>
      <c r="AC76" s="866">
        <v>2.5671761900171424E-5</v>
      </c>
      <c r="AD76" s="866">
        <v>0.17825762525482972</v>
      </c>
      <c r="AE76" s="866">
        <v>0.33992275669519328</v>
      </c>
      <c r="AF76" s="866">
        <v>0.15855848588390983</v>
      </c>
      <c r="AG76" s="866">
        <v>0.15841315388993565</v>
      </c>
      <c r="AH76" s="866">
        <v>1.4506549703844135E-2</v>
      </c>
      <c r="AI76" s="866">
        <v>2.5671761900171424E-5</v>
      </c>
      <c r="AJ76" s="869">
        <v>0.40094240391748959</v>
      </c>
      <c r="AK76" s="852" t="s">
        <v>3</v>
      </c>
      <c r="AL76" s="849">
        <v>0.27485964678406782</v>
      </c>
      <c r="AM76" s="849">
        <v>0.36466991054765591</v>
      </c>
      <c r="AN76" s="849">
        <v>0.31618576921634545</v>
      </c>
      <c r="AO76" s="849">
        <v>0.42522340837592393</v>
      </c>
      <c r="AP76" s="849">
        <v>0.43693490990013967</v>
      </c>
      <c r="AQ76" s="849">
        <v>0.48000386488252933</v>
      </c>
      <c r="AR76" s="849">
        <v>0.59025343104826633</v>
      </c>
      <c r="AS76" s="849">
        <v>0.44112990225628013</v>
      </c>
      <c r="AT76" s="849">
        <v>0.36786865634820065</v>
      </c>
      <c r="AU76" s="849">
        <v>0.40094240391748959</v>
      </c>
      <c r="AV76" s="991"/>
      <c r="AW76" s="876"/>
      <c r="AX76" s="874" t="s">
        <v>3</v>
      </c>
      <c r="AY76" s="849">
        <v>0.36239495651810061</v>
      </c>
      <c r="AZ76" s="849">
        <v>0.44305694305694304</v>
      </c>
      <c r="BA76" s="849">
        <v>3.0277861582453984E-2</v>
      </c>
      <c r="BB76" s="849">
        <v>0.53530479322981073</v>
      </c>
      <c r="BC76" s="849">
        <v>0.37796122654787906</v>
      </c>
    </row>
    <row r="77" spans="1:55" s="947" customFormat="1" ht="30" x14ac:dyDescent="0.25">
      <c r="A77" s="1040" t="s">
        <v>6</v>
      </c>
      <c r="B77" s="854" t="s">
        <v>7</v>
      </c>
      <c r="C77" s="840">
        <v>3713</v>
      </c>
      <c r="D77" s="840">
        <v>3620</v>
      </c>
      <c r="E77" s="840">
        <v>3560</v>
      </c>
      <c r="F77" s="840">
        <v>6588</v>
      </c>
      <c r="G77" s="840">
        <v>8432</v>
      </c>
      <c r="H77" s="840">
        <v>15082</v>
      </c>
      <c r="I77" s="840">
        <v>7076</v>
      </c>
      <c r="J77" s="840">
        <v>9599</v>
      </c>
      <c r="K77" s="840">
        <v>6970</v>
      </c>
      <c r="L77" s="840">
        <v>9334</v>
      </c>
      <c r="M77" s="840">
        <v>5429</v>
      </c>
      <c r="N77" s="840">
        <v>14951</v>
      </c>
      <c r="O77" s="840">
        <v>4357</v>
      </c>
      <c r="P77" s="840">
        <v>8508</v>
      </c>
      <c r="Q77" s="840">
        <v>4799</v>
      </c>
      <c r="R77" s="840">
        <v>9609</v>
      </c>
      <c r="S77" s="840">
        <v>11560</v>
      </c>
      <c r="T77" s="840">
        <v>2479</v>
      </c>
      <c r="U77" s="840">
        <v>1570</v>
      </c>
      <c r="V77" s="840">
        <v>3999</v>
      </c>
      <c r="W77" s="840">
        <v>7999</v>
      </c>
      <c r="X77" s="840">
        <v>3999</v>
      </c>
      <c r="Y77" s="840">
        <v>7999</v>
      </c>
      <c r="Z77" s="840">
        <v>3999</v>
      </c>
      <c r="AA77" s="840">
        <v>7999</v>
      </c>
      <c r="AB77" s="840">
        <v>12000</v>
      </c>
      <c r="AC77" s="840">
        <v>6400</v>
      </c>
      <c r="AD77" s="840">
        <v>6399</v>
      </c>
      <c r="AE77" s="840">
        <v>6399</v>
      </c>
      <c r="AF77" s="840">
        <v>4800</v>
      </c>
      <c r="AG77" s="840">
        <v>4800</v>
      </c>
      <c r="AH77" s="840">
        <v>6399</v>
      </c>
      <c r="AI77" s="840">
        <v>6400</v>
      </c>
      <c r="AJ77" s="840">
        <v>226827</v>
      </c>
      <c r="AK77" s="856" t="s">
        <v>7</v>
      </c>
      <c r="AL77" s="858">
        <v>10112</v>
      </c>
      <c r="AM77" s="858">
        <v>8420</v>
      </c>
      <c r="AN77" s="858">
        <v>50202</v>
      </c>
      <c r="AO77" s="858">
        <v>56434</v>
      </c>
      <c r="AP77" s="858">
        <v>50340</v>
      </c>
      <c r="AQ77" s="858">
        <v>47270</v>
      </c>
      <c r="AR77" s="858">
        <v>4049</v>
      </c>
      <c r="AS77" s="858">
        <v>112124</v>
      </c>
      <c r="AT77" s="858">
        <v>114703</v>
      </c>
      <c r="AU77" s="858">
        <v>226827</v>
      </c>
      <c r="AV77" s="657"/>
      <c r="AW77" s="880" t="s">
        <v>190</v>
      </c>
      <c r="AX77" s="879" t="s">
        <v>4</v>
      </c>
      <c r="AY77" s="857">
        <v>9191.7999999999993</v>
      </c>
      <c r="AZ77" s="857">
        <v>13787.7</v>
      </c>
      <c r="BA77" s="857">
        <v>8804.7999999999993</v>
      </c>
      <c r="BB77" s="857">
        <v>13787.7</v>
      </c>
      <c r="BC77" s="857">
        <v>8804.7999999999993</v>
      </c>
    </row>
    <row r="78" spans="1:55" s="947" customFormat="1" x14ac:dyDescent="0.25">
      <c r="A78" s="1040"/>
      <c r="B78" s="839" t="s">
        <v>11</v>
      </c>
      <c r="C78" s="858">
        <v>125191.22099999999</v>
      </c>
      <c r="D78" s="858">
        <v>122055.54</v>
      </c>
      <c r="E78" s="858">
        <v>120032.51999999999</v>
      </c>
      <c r="F78" s="858">
        <v>222127.59599999999</v>
      </c>
      <c r="G78" s="858">
        <v>284301.74400000001</v>
      </c>
      <c r="H78" s="858">
        <v>508519.79399999999</v>
      </c>
      <c r="I78" s="858">
        <v>238581.492</v>
      </c>
      <c r="J78" s="858">
        <v>323649.48300000001</v>
      </c>
      <c r="K78" s="858">
        <v>235007.49</v>
      </c>
      <c r="L78" s="858">
        <v>314714.478</v>
      </c>
      <c r="M78" s="858">
        <v>183049.59299999999</v>
      </c>
      <c r="N78" s="858">
        <v>504102.86699999997</v>
      </c>
      <c r="O78" s="858">
        <v>146904.96899999998</v>
      </c>
      <c r="P78" s="858">
        <v>286864.23599999998</v>
      </c>
      <c r="Q78" s="858">
        <v>161807.883</v>
      </c>
      <c r="R78" s="858">
        <v>323986.65299999999</v>
      </c>
      <c r="S78" s="858">
        <v>389768.51999999996</v>
      </c>
      <c r="T78" s="858">
        <v>83584.442999999999</v>
      </c>
      <c r="U78" s="858">
        <v>52935.689999999995</v>
      </c>
      <c r="V78" s="858">
        <v>134834.283</v>
      </c>
      <c r="W78" s="858">
        <v>269702.283</v>
      </c>
      <c r="X78" s="858">
        <v>134834.283</v>
      </c>
      <c r="Y78" s="858">
        <v>269702.283</v>
      </c>
      <c r="Z78" s="858">
        <v>134834.283</v>
      </c>
      <c r="AA78" s="858">
        <v>269702.283</v>
      </c>
      <c r="AB78" s="858">
        <v>404604</v>
      </c>
      <c r="AC78" s="858">
        <v>215788.79999999999</v>
      </c>
      <c r="AD78" s="858">
        <v>215755.08299999998</v>
      </c>
      <c r="AE78" s="858">
        <v>215755.08299999998</v>
      </c>
      <c r="AF78" s="858">
        <v>161841.60000000001</v>
      </c>
      <c r="AG78" s="858">
        <v>161841.60000000001</v>
      </c>
      <c r="AH78" s="858">
        <v>215755.08299999998</v>
      </c>
      <c r="AI78" s="858">
        <v>215788.79999999999</v>
      </c>
      <c r="AJ78" s="858">
        <v>7647925.958999997</v>
      </c>
      <c r="AK78" s="841" t="s">
        <v>11</v>
      </c>
      <c r="AL78" s="858">
        <v>340946.304</v>
      </c>
      <c r="AM78" s="858">
        <v>283897.14</v>
      </c>
      <c r="AN78" s="858">
        <v>1692660.834</v>
      </c>
      <c r="AO78" s="858">
        <v>1902785.1779999998</v>
      </c>
      <c r="AP78" s="858">
        <v>1697313.78</v>
      </c>
      <c r="AQ78" s="858">
        <v>1593802.5899999999</v>
      </c>
      <c r="AR78" s="858">
        <v>136520.133</v>
      </c>
      <c r="AS78" s="858">
        <v>3780484.9079999998</v>
      </c>
      <c r="AT78" s="858">
        <v>3867441.051</v>
      </c>
      <c r="AU78" s="858">
        <v>7647925.9589999998</v>
      </c>
      <c r="AV78" s="992"/>
      <c r="AW78" s="876"/>
      <c r="AX78" s="873" t="s">
        <v>5</v>
      </c>
      <c r="AY78" s="583">
        <v>7975.5</v>
      </c>
      <c r="AZ78" s="583">
        <v>13649</v>
      </c>
      <c r="BA78" s="583">
        <v>1289.9000000000001</v>
      </c>
      <c r="BB78" s="583">
        <v>13642</v>
      </c>
      <c r="BC78" s="583">
        <v>5483.9</v>
      </c>
    </row>
    <row r="79" spans="1:55" s="947" customFormat="1" x14ac:dyDescent="0.25">
      <c r="A79" s="1040"/>
      <c r="B79" s="839" t="s">
        <v>79</v>
      </c>
      <c r="C79" s="858">
        <v>164000</v>
      </c>
      <c r="D79" s="858">
        <v>109880</v>
      </c>
      <c r="E79" s="858">
        <v>109880</v>
      </c>
      <c r="F79" s="858">
        <v>328000</v>
      </c>
      <c r="G79" s="858">
        <v>330905</v>
      </c>
      <c r="H79" s="858">
        <v>264264</v>
      </c>
      <c r="I79" s="858">
        <v>242663.6</v>
      </c>
      <c r="J79" s="858">
        <v>328000</v>
      </c>
      <c r="K79" s="858">
        <v>328000</v>
      </c>
      <c r="L79" s="858">
        <v>328000</v>
      </c>
      <c r="M79" s="858">
        <v>328000</v>
      </c>
      <c r="N79" s="858">
        <v>264264.40000000002</v>
      </c>
      <c r="O79" s="858">
        <v>328000</v>
      </c>
      <c r="P79" s="858">
        <v>352965.4</v>
      </c>
      <c r="Q79" s="858">
        <v>328000</v>
      </c>
      <c r="R79" s="858">
        <v>328000</v>
      </c>
      <c r="S79" s="858">
        <v>328000</v>
      </c>
      <c r="T79" s="858">
        <v>119447.4</v>
      </c>
      <c r="U79" s="858">
        <v>66181</v>
      </c>
      <c r="V79" s="858">
        <v>204393</v>
      </c>
      <c r="W79" s="858">
        <v>418993</v>
      </c>
      <c r="X79" s="858">
        <v>204393</v>
      </c>
      <c r="Y79" s="858">
        <v>418993</v>
      </c>
      <c r="Z79" s="858">
        <v>204393</v>
      </c>
      <c r="AA79" s="858">
        <v>418993</v>
      </c>
      <c r="AB79" s="858">
        <v>657390.4</v>
      </c>
      <c r="AC79" s="858">
        <v>381742.4</v>
      </c>
      <c r="AD79" s="858">
        <v>448142.4</v>
      </c>
      <c r="AE79" s="858">
        <v>448142.4</v>
      </c>
      <c r="AF79" s="858">
        <v>312388.2</v>
      </c>
      <c r="AG79" s="858">
        <v>312388.2</v>
      </c>
      <c r="AH79" s="858">
        <v>448142.4</v>
      </c>
      <c r="AI79" s="858">
        <v>381742.4</v>
      </c>
      <c r="AJ79" s="858">
        <v>10236687.600000001</v>
      </c>
      <c r="AK79" s="841" t="s">
        <v>79</v>
      </c>
      <c r="AL79" s="858">
        <v>948179.2</v>
      </c>
      <c r="AM79" s="858">
        <v>613421.60000000009</v>
      </c>
      <c r="AN79" s="858">
        <v>2869177.1999999997</v>
      </c>
      <c r="AO79" s="858">
        <v>2696877.4000000004</v>
      </c>
      <c r="AP79" s="858">
        <v>2826208.6</v>
      </c>
      <c r="AQ79" s="858">
        <v>2310031.4</v>
      </c>
      <c r="AR79" s="858">
        <v>185628.4</v>
      </c>
      <c r="AS79" s="858">
        <v>5620330.4000000004</v>
      </c>
      <c r="AT79" s="858">
        <v>6829193.4000000004</v>
      </c>
      <c r="AU79" s="858">
        <v>12449523.800000001</v>
      </c>
      <c r="AV79" s="993"/>
      <c r="AW79" s="877"/>
      <c r="AX79" s="874" t="s">
        <v>3</v>
      </c>
      <c r="AY79" s="849">
        <v>0.86767553689157739</v>
      </c>
      <c r="AZ79" s="849">
        <v>0.98994030911609621</v>
      </c>
      <c r="BA79" s="849">
        <v>0.14649963656187537</v>
      </c>
      <c r="BB79" s="849">
        <v>0.98943261022505558</v>
      </c>
      <c r="BC79" s="849">
        <v>0.62283072869343992</v>
      </c>
    </row>
    <row r="80" spans="1:55" s="947" customFormat="1" ht="45" x14ac:dyDescent="0.25">
      <c r="A80" s="1040"/>
      <c r="B80" s="844" t="s">
        <v>8</v>
      </c>
      <c r="C80" s="861">
        <v>2114</v>
      </c>
      <c r="D80" s="861">
        <v>1926</v>
      </c>
      <c r="E80" s="861">
        <v>1607</v>
      </c>
      <c r="F80" s="861">
        <v>4784</v>
      </c>
      <c r="G80" s="861">
        <v>3294</v>
      </c>
      <c r="H80" s="861">
        <v>12456</v>
      </c>
      <c r="I80" s="861">
        <v>5589</v>
      </c>
      <c r="J80" s="861">
        <v>1385</v>
      </c>
      <c r="K80" s="861">
        <v>6080</v>
      </c>
      <c r="L80" s="861">
        <v>6641</v>
      </c>
      <c r="M80" s="861">
        <v>3775</v>
      </c>
      <c r="N80" s="861">
        <v>13096</v>
      </c>
      <c r="O80" s="861">
        <v>3436</v>
      </c>
      <c r="P80" s="861">
        <v>6247</v>
      </c>
      <c r="Q80" s="861">
        <v>1833</v>
      </c>
      <c r="R80" s="861">
        <v>4709</v>
      </c>
      <c r="S80" s="861">
        <v>9596</v>
      </c>
      <c r="T80" s="861">
        <v>1817</v>
      </c>
      <c r="U80" s="861">
        <v>1271</v>
      </c>
      <c r="V80" s="861">
        <v>1892</v>
      </c>
      <c r="W80" s="861">
        <v>2475</v>
      </c>
      <c r="X80" s="861">
        <v>2235</v>
      </c>
      <c r="Y80" s="861">
        <v>3047</v>
      </c>
      <c r="Z80" s="861">
        <v>2481</v>
      </c>
      <c r="AA80" s="861">
        <v>3896</v>
      </c>
      <c r="AB80" s="861">
        <v>7046</v>
      </c>
      <c r="AC80" s="861">
        <v>0</v>
      </c>
      <c r="AD80" s="861">
        <v>3545</v>
      </c>
      <c r="AE80" s="861">
        <v>3800</v>
      </c>
      <c r="AF80" s="861">
        <v>983</v>
      </c>
      <c r="AG80" s="861">
        <v>999</v>
      </c>
      <c r="AH80" s="861">
        <v>3183</v>
      </c>
      <c r="AI80" s="861">
        <v>0</v>
      </c>
      <c r="AJ80" s="861">
        <v>127238</v>
      </c>
      <c r="AK80" s="846" t="s">
        <v>8</v>
      </c>
      <c r="AL80" s="858">
        <v>5914</v>
      </c>
      <c r="AM80" s="858">
        <v>2925</v>
      </c>
      <c r="AN80" s="858">
        <v>30609</v>
      </c>
      <c r="AO80" s="858">
        <v>26129</v>
      </c>
      <c r="AP80" s="858">
        <v>33513</v>
      </c>
      <c r="AQ80" s="858">
        <v>25060</v>
      </c>
      <c r="AR80" s="858">
        <v>3088</v>
      </c>
      <c r="AS80" s="858">
        <v>54114</v>
      </c>
      <c r="AT80" s="858">
        <v>73124</v>
      </c>
      <c r="AU80" s="858">
        <v>127238</v>
      </c>
      <c r="AV80" s="993"/>
      <c r="AW80" s="877" t="s">
        <v>191</v>
      </c>
      <c r="AX80" s="839" t="s">
        <v>4</v>
      </c>
      <c r="AY80" s="840">
        <v>97433.600000000006</v>
      </c>
      <c r="AZ80" s="840">
        <v>243584.4</v>
      </c>
      <c r="BA80" s="840">
        <v>132070.29999999999</v>
      </c>
      <c r="BB80" s="840">
        <v>292299.3</v>
      </c>
      <c r="BC80" s="840">
        <v>132070.39999999999</v>
      </c>
    </row>
    <row r="81" spans="1:55" s="947" customFormat="1" x14ac:dyDescent="0.25">
      <c r="A81" s="1040"/>
      <c r="B81" s="839" t="s">
        <v>77</v>
      </c>
      <c r="C81" s="858">
        <v>71277.737999999998</v>
      </c>
      <c r="D81" s="858">
        <v>64938.941999999995</v>
      </c>
      <c r="E81" s="858">
        <v>54183.218999999997</v>
      </c>
      <c r="F81" s="858">
        <v>161302.128</v>
      </c>
      <c r="G81" s="858">
        <v>111063.798</v>
      </c>
      <c r="H81" s="858">
        <v>419978.95199999999</v>
      </c>
      <c r="I81" s="858">
        <v>188444.31299999999</v>
      </c>
      <c r="J81" s="858">
        <v>46698.044999999998</v>
      </c>
      <c r="K81" s="858">
        <v>204999.36</v>
      </c>
      <c r="L81" s="858">
        <v>223914.59699999998</v>
      </c>
      <c r="M81" s="858">
        <v>127281.67499999999</v>
      </c>
      <c r="N81" s="858">
        <v>441557.83199999999</v>
      </c>
      <c r="O81" s="858">
        <v>115851.61199999999</v>
      </c>
      <c r="P81" s="858">
        <v>122493.86099999999</v>
      </c>
      <c r="Q81" s="858">
        <v>61803.260999999999</v>
      </c>
      <c r="R81" s="858">
        <v>158773.353</v>
      </c>
      <c r="S81" s="858">
        <v>323548.33199999999</v>
      </c>
      <c r="T81" s="858">
        <v>61263.788999999997</v>
      </c>
      <c r="U81" s="858">
        <v>42854.307000000001</v>
      </c>
      <c r="V81" s="858">
        <v>63792.563999999998</v>
      </c>
      <c r="W81" s="858">
        <v>83449.574999999997</v>
      </c>
      <c r="X81" s="858">
        <v>75357.494999999995</v>
      </c>
      <c r="Y81" s="858">
        <v>102735.69899999999</v>
      </c>
      <c r="Z81" s="858">
        <v>83651.876999999993</v>
      </c>
      <c r="AA81" s="858">
        <v>131361.432</v>
      </c>
      <c r="AB81" s="858">
        <v>237569.98199999999</v>
      </c>
      <c r="AC81" s="858">
        <v>0</v>
      </c>
      <c r="AD81" s="858">
        <v>119526.765</v>
      </c>
      <c r="AE81" s="858">
        <v>128124.59999999999</v>
      </c>
      <c r="AF81" s="858">
        <v>33143.811000000002</v>
      </c>
      <c r="AG81" s="858">
        <v>33683.282999999996</v>
      </c>
      <c r="AH81" s="858">
        <v>107321.211</v>
      </c>
      <c r="AI81" s="858">
        <v>0</v>
      </c>
      <c r="AJ81" s="858">
        <v>4201947.4080000008</v>
      </c>
      <c r="AK81" s="841" t="s">
        <v>77</v>
      </c>
      <c r="AL81" s="858">
        <v>199402.33799999999</v>
      </c>
      <c r="AM81" s="858">
        <v>98622.224999999991</v>
      </c>
      <c r="AN81" s="858">
        <v>1032043.6529999999</v>
      </c>
      <c r="AO81" s="858">
        <v>880991.49300000002</v>
      </c>
      <c r="AP81" s="858">
        <v>1129957.821</v>
      </c>
      <c r="AQ81" s="858">
        <v>844948.02</v>
      </c>
      <c r="AR81" s="858">
        <v>104118.09599999999</v>
      </c>
      <c r="AS81" s="858">
        <v>1824561.7379999999</v>
      </c>
      <c r="AT81" s="858">
        <v>2465521.9079999998</v>
      </c>
      <c r="AU81" s="858">
        <v>4290083.6459999997</v>
      </c>
      <c r="AV81" s="915"/>
      <c r="AW81" s="1027"/>
      <c r="AX81" s="844" t="s">
        <v>5</v>
      </c>
      <c r="AY81" s="583">
        <v>38973.199999999997</v>
      </c>
      <c r="AZ81" s="583">
        <v>124350.5</v>
      </c>
      <c r="BA81" s="583">
        <v>3817.1</v>
      </c>
      <c r="BB81" s="583">
        <v>109009</v>
      </c>
      <c r="BC81" s="583">
        <v>33401</v>
      </c>
    </row>
    <row r="82" spans="1:55" s="947" customFormat="1" x14ac:dyDescent="0.25">
      <c r="A82" s="1040"/>
      <c r="B82" s="848" t="s">
        <v>217</v>
      </c>
      <c r="C82" s="849">
        <v>0.28508996937825376</v>
      </c>
      <c r="D82" s="849">
        <v>0.4314401126253764</v>
      </c>
      <c r="E82" s="866">
        <v>0.35998144391951187</v>
      </c>
      <c r="F82" s="866">
        <v>0.88628127218421227</v>
      </c>
      <c r="G82" s="866">
        <v>0.67000469940403828</v>
      </c>
      <c r="H82" s="866">
        <v>1.078237640081642</v>
      </c>
      <c r="I82" s="866">
        <v>1.095762553386965</v>
      </c>
      <c r="J82" s="866">
        <v>0.28118140271438719</v>
      </c>
      <c r="K82" s="866">
        <v>1.6529647022396532</v>
      </c>
      <c r="L82" s="866">
        <v>0.99930110161412966</v>
      </c>
      <c r="M82" s="866">
        <v>0.65939112289286939</v>
      </c>
      <c r="N82" s="866">
        <v>1.0076170251510714</v>
      </c>
      <c r="O82" s="866">
        <v>1.3951503634445583</v>
      </c>
      <c r="P82" s="866">
        <v>0.44360874789592158</v>
      </c>
      <c r="Q82" s="866">
        <v>0.7442696787525831</v>
      </c>
      <c r="R82" s="866">
        <v>0.82859223706307639</v>
      </c>
      <c r="S82" s="866">
        <v>1.2335570891486447</v>
      </c>
      <c r="T82" s="849">
        <v>1.0257868986683678</v>
      </c>
      <c r="U82" s="849">
        <v>1.2950637494144845</v>
      </c>
      <c r="V82" s="849">
        <v>0.6242147627364929</v>
      </c>
      <c r="W82" s="849">
        <v>0.39833398171329831</v>
      </c>
      <c r="X82" s="849">
        <v>0.7373784327251911</v>
      </c>
      <c r="Y82" s="849">
        <v>0.49039339082037164</v>
      </c>
      <c r="Z82" s="849">
        <v>0.81853954881037994</v>
      </c>
      <c r="AA82" s="849">
        <v>0.62703401727475161</v>
      </c>
      <c r="AB82" s="849">
        <v>0.72276681253635577</v>
      </c>
      <c r="AC82" s="849">
        <v>0</v>
      </c>
      <c r="AD82" s="849">
        <v>0.5334320742692501</v>
      </c>
      <c r="AE82" s="849">
        <v>0.57180306973854733</v>
      </c>
      <c r="AF82" s="849">
        <v>0.21219630575034523</v>
      </c>
      <c r="AG82" s="849">
        <v>0.21565016220202937</v>
      </c>
      <c r="AH82" s="849">
        <v>0.47896030815205165</v>
      </c>
      <c r="AI82" s="849">
        <v>0</v>
      </c>
      <c r="AJ82" s="851">
        <v>0.67503745131199322</v>
      </c>
      <c r="AK82" s="852" t="s">
        <v>217</v>
      </c>
      <c r="AL82" s="849">
        <v>0.4206005320513253</v>
      </c>
      <c r="AM82" s="849">
        <v>0.3215479370142818</v>
      </c>
      <c r="AN82" s="849">
        <v>0.71940042810879723</v>
      </c>
      <c r="AO82" s="849">
        <v>0.65334189310941604</v>
      </c>
      <c r="AP82" s="849">
        <v>0.79962803948724803</v>
      </c>
      <c r="AQ82" s="849">
        <v>0.73154678330346512</v>
      </c>
      <c r="AR82" s="849">
        <v>1.1217905880781174</v>
      </c>
      <c r="AS82" s="849">
        <v>0.64927205631896645</v>
      </c>
      <c r="AT82" s="849">
        <v>0.72205361997801953</v>
      </c>
      <c r="AU82" s="849">
        <v>0.68919642468573772</v>
      </c>
      <c r="AV82" s="914"/>
      <c r="AW82" s="1027"/>
      <c r="AX82" s="848" t="s">
        <v>3</v>
      </c>
      <c r="AY82" s="849">
        <v>0.39999753678402516</v>
      </c>
      <c r="AZ82" s="849">
        <v>0.51050272513346506</v>
      </c>
      <c r="BA82" s="849">
        <v>2.8902031720984961E-2</v>
      </c>
      <c r="BB82" s="849">
        <v>0.37293623351133581</v>
      </c>
      <c r="BC82" s="849">
        <v>0.25290299718937781</v>
      </c>
    </row>
    <row r="83" spans="1:55" s="947" customFormat="1" x14ac:dyDescent="0.25">
      <c r="A83" s="1027"/>
      <c r="B83" s="848" t="s">
        <v>218</v>
      </c>
      <c r="C83" s="598">
        <v>61302.5</v>
      </c>
      <c r="D83" s="598">
        <v>64533.9</v>
      </c>
      <c r="E83" s="598">
        <v>53778.3</v>
      </c>
      <c r="F83" s="598">
        <v>159981</v>
      </c>
      <c r="G83" s="598">
        <v>108775</v>
      </c>
      <c r="H83" s="598">
        <v>423177</v>
      </c>
      <c r="I83" s="598">
        <v>112945</v>
      </c>
      <c r="J83" s="598">
        <v>46738.8</v>
      </c>
      <c r="K83" s="598">
        <v>146582</v>
      </c>
      <c r="L83" s="598">
        <v>224302</v>
      </c>
      <c r="M83" s="598">
        <v>139976</v>
      </c>
      <c r="N83" s="598">
        <v>441635</v>
      </c>
      <c r="O83" s="598">
        <v>115895</v>
      </c>
      <c r="P83" s="598">
        <v>96532.1</v>
      </c>
      <c r="Q83" s="598">
        <v>61854.5</v>
      </c>
      <c r="R83" s="598">
        <v>145011</v>
      </c>
      <c r="S83" s="598">
        <v>320751</v>
      </c>
      <c r="T83" s="598">
        <v>61297.2</v>
      </c>
      <c r="U83" s="598">
        <v>42854.1</v>
      </c>
      <c r="V83" s="598">
        <v>63826.1</v>
      </c>
      <c r="W83" s="598">
        <v>62173.9</v>
      </c>
      <c r="X83" s="598">
        <v>75416.2</v>
      </c>
      <c r="Y83" s="598">
        <v>75382.5</v>
      </c>
      <c r="Z83" s="598">
        <v>83379.899999999994</v>
      </c>
      <c r="AA83" s="598">
        <v>79700.5</v>
      </c>
      <c r="AB83" s="598">
        <v>237699</v>
      </c>
      <c r="AC83" s="598">
        <v>0</v>
      </c>
      <c r="AD83" s="598">
        <v>119611</v>
      </c>
      <c r="AE83" s="598">
        <v>128171</v>
      </c>
      <c r="AF83" s="598">
        <v>33174.1</v>
      </c>
      <c r="AG83" s="598">
        <v>33698.9</v>
      </c>
      <c r="AH83" s="598">
        <v>107355</v>
      </c>
      <c r="AI83" s="598">
        <v>0</v>
      </c>
      <c r="AJ83" s="598">
        <v>3927509.5000000005</v>
      </c>
      <c r="AK83" s="852" t="s">
        <v>218</v>
      </c>
      <c r="AL83" s="861">
        <v>189473.5</v>
      </c>
      <c r="AM83" s="861">
        <v>98232.8</v>
      </c>
      <c r="AN83" s="861">
        <v>1034426</v>
      </c>
      <c r="AO83" s="861">
        <v>722963.2</v>
      </c>
      <c r="AP83" s="861">
        <v>1140061</v>
      </c>
      <c r="AQ83" s="861">
        <v>638201.69999999995</v>
      </c>
      <c r="AR83" s="861">
        <v>104151.29999999999</v>
      </c>
      <c r="AS83" s="861">
        <v>1459397.7</v>
      </c>
      <c r="AT83" s="861">
        <v>2468111.7999999998</v>
      </c>
      <c r="AU83" s="861">
        <v>3927509.5</v>
      </c>
      <c r="AV83" s="916"/>
      <c r="AW83" s="1027" t="s">
        <v>219</v>
      </c>
      <c r="AX83" s="848" t="s">
        <v>3</v>
      </c>
      <c r="AY83" s="849">
        <v>0.38119624665106289</v>
      </c>
      <c r="AZ83" s="849">
        <v>0.47677983409520408</v>
      </c>
      <c r="BA83" s="849">
        <v>2.9589946651719472E-2</v>
      </c>
      <c r="BB83" s="849">
        <v>0.45412051337057324</v>
      </c>
      <c r="BC83" s="849">
        <v>0.31543211186862841</v>
      </c>
    </row>
    <row r="84" spans="1:55" s="947" customFormat="1" x14ac:dyDescent="0.25">
      <c r="A84" s="1027"/>
      <c r="B84" s="848" t="s">
        <v>216</v>
      </c>
      <c r="C84" s="866">
        <v>0.245191953872195</v>
      </c>
      <c r="D84" s="866">
        <v>0.42874910225908486</v>
      </c>
      <c r="E84" s="866">
        <v>0.35729125073829016</v>
      </c>
      <c r="F84" s="866">
        <v>0.87902227926777543</v>
      </c>
      <c r="G84" s="866">
        <v>0.65619727120869997</v>
      </c>
      <c r="H84" s="866">
        <v>1.0864481842338352</v>
      </c>
      <c r="I84" s="866">
        <v>0.6567505255109013</v>
      </c>
      <c r="J84" s="866">
        <v>0.28142679945567745</v>
      </c>
      <c r="K84" s="866">
        <v>1.181929894725978</v>
      </c>
      <c r="L84" s="866">
        <v>1.0010300297405468</v>
      </c>
      <c r="M84" s="866">
        <v>0.72515491187598136</v>
      </c>
      <c r="N84" s="866">
        <v>1.0077931193905161</v>
      </c>
      <c r="O84" s="866">
        <v>1.3956728661782203</v>
      </c>
      <c r="P84" s="866">
        <v>0.34958881745725934</v>
      </c>
      <c r="Q84" s="866">
        <v>0.74488672765020691</v>
      </c>
      <c r="R84" s="866">
        <v>0.75677049466073676</v>
      </c>
      <c r="S84" s="866">
        <v>1.2228920095360496</v>
      </c>
      <c r="T84" s="866">
        <v>1.0263463248258229</v>
      </c>
      <c r="U84" s="866">
        <v>1.2950574938426436</v>
      </c>
      <c r="V84" s="866">
        <v>0.62454291487477553</v>
      </c>
      <c r="W84" s="866">
        <v>0.29677775046361154</v>
      </c>
      <c r="X84" s="866">
        <v>0.73795286531339133</v>
      </c>
      <c r="Y84" s="866">
        <v>0.35982701381645993</v>
      </c>
      <c r="Z84" s="866">
        <v>0.81587823457750508</v>
      </c>
      <c r="AA84" s="866">
        <v>0.38043833667865573</v>
      </c>
      <c r="AB84" s="866">
        <v>0.72315932815568951</v>
      </c>
      <c r="AC84" s="866">
        <v>0</v>
      </c>
      <c r="AD84" s="866">
        <v>0.53380800388447958</v>
      </c>
      <c r="AE84" s="866">
        <v>0.57201014677477513</v>
      </c>
      <c r="AF84" s="866">
        <v>0.21239022472679825</v>
      </c>
      <c r="AG84" s="866">
        <v>0.21575014677250934</v>
      </c>
      <c r="AH84" s="866">
        <v>0.47911110397052364</v>
      </c>
      <c r="AI84" s="866">
        <v>0</v>
      </c>
      <c r="AJ84" s="869">
        <v>0.6309493540628438</v>
      </c>
      <c r="AK84" s="852" t="s">
        <v>216</v>
      </c>
      <c r="AL84" s="849">
        <v>0.3996575752769097</v>
      </c>
      <c r="AM84" s="849">
        <v>0.32027825560756251</v>
      </c>
      <c r="AN84" s="849">
        <v>0.72106107632529637</v>
      </c>
      <c r="AO84" s="849">
        <v>0.53614836180539749</v>
      </c>
      <c r="AP84" s="849">
        <v>0.80677767380652654</v>
      </c>
      <c r="AQ84" s="849">
        <v>0.55254807358895641</v>
      </c>
      <c r="AR84" s="849">
        <v>1.1221483350607988</v>
      </c>
      <c r="AS84" s="849">
        <v>0.5193280807832934</v>
      </c>
      <c r="AT84" s="849">
        <v>0.72281209666722857</v>
      </c>
      <c r="AU84" s="849">
        <v>0.63094935406284369</v>
      </c>
      <c r="AV84" s="914"/>
      <c r="AW84" s="1027"/>
      <c r="AX84" s="848"/>
      <c r="AY84" s="849"/>
      <c r="AZ84" s="849"/>
      <c r="BA84" s="849"/>
      <c r="BB84" s="849"/>
      <c r="BC84" s="849"/>
    </row>
    <row r="85" spans="1:55" s="947" customFormat="1" x14ac:dyDescent="0.25">
      <c r="A85" s="1041">
        <v>41935</v>
      </c>
      <c r="B85" s="1041"/>
      <c r="C85" s="1041"/>
      <c r="D85" s="529"/>
      <c r="E85" s="529"/>
      <c r="F85" s="529"/>
      <c r="G85" s="529"/>
      <c r="H85" s="529"/>
      <c r="I85" s="525"/>
      <c r="J85" s="531"/>
      <c r="K85" s="531"/>
      <c r="L85" s="529"/>
      <c r="M85" s="529"/>
      <c r="N85" s="527"/>
      <c r="R85" s="526"/>
      <c r="S85" s="534"/>
      <c r="T85" s="534"/>
      <c r="U85" s="534"/>
      <c r="V85" s="534"/>
      <c r="W85" s="534"/>
      <c r="X85" s="534"/>
      <c r="Y85" s="534"/>
      <c r="Z85" s="534"/>
      <c r="AA85" s="534"/>
      <c r="AB85" s="534"/>
      <c r="AC85" s="534"/>
      <c r="AD85" s="534"/>
      <c r="AE85" s="534"/>
      <c r="AF85" s="534"/>
      <c r="AG85" s="534"/>
      <c r="AH85" s="534"/>
      <c r="AI85" s="534"/>
      <c r="AJ85" s="534"/>
      <c r="AK85" s="534"/>
      <c r="AL85" s="534"/>
      <c r="AM85" s="534"/>
      <c r="AN85" s="534"/>
      <c r="AO85" s="534"/>
    </row>
    <row r="86" spans="1:55" s="947" customFormat="1" x14ac:dyDescent="0.25">
      <c r="A86" s="1042" t="s">
        <v>1</v>
      </c>
      <c r="B86" s="1042"/>
      <c r="C86" s="1025" t="s">
        <v>12</v>
      </c>
      <c r="D86" s="1025" t="s">
        <v>12</v>
      </c>
      <c r="E86" s="1025" t="s">
        <v>13</v>
      </c>
      <c r="F86" s="1025" t="s">
        <v>13</v>
      </c>
      <c r="G86" s="1025" t="s">
        <v>13</v>
      </c>
      <c r="H86" s="1025" t="s">
        <v>13</v>
      </c>
      <c r="I86" s="1025" t="s">
        <v>13</v>
      </c>
      <c r="J86" s="1025" t="s">
        <v>13</v>
      </c>
      <c r="K86" s="1025" t="s">
        <v>13</v>
      </c>
      <c r="L86" s="1025" t="s">
        <v>13</v>
      </c>
      <c r="M86" s="829" t="s">
        <v>2</v>
      </c>
      <c r="N86" s="1025" t="s">
        <v>2</v>
      </c>
      <c r="O86" s="1025" t="s">
        <v>2</v>
      </c>
      <c r="P86" s="1025" t="s">
        <v>2</v>
      </c>
      <c r="Q86" s="1025" t="s">
        <v>2</v>
      </c>
      <c r="R86" s="1025" t="s">
        <v>2</v>
      </c>
      <c r="S86" s="1025" t="s">
        <v>2</v>
      </c>
      <c r="T86" s="830" t="s">
        <v>183</v>
      </c>
      <c r="U86" s="830" t="s">
        <v>183</v>
      </c>
      <c r="V86" s="830" t="s">
        <v>2</v>
      </c>
      <c r="W86" s="830" t="s">
        <v>13</v>
      </c>
      <c r="X86" s="830" t="s">
        <v>13</v>
      </c>
      <c r="Y86" s="830" t="s">
        <v>2</v>
      </c>
      <c r="Z86" s="830" t="s">
        <v>13</v>
      </c>
      <c r="AA86" s="830" t="s">
        <v>2</v>
      </c>
      <c r="AB86" s="888" t="s">
        <v>2</v>
      </c>
      <c r="AC86" s="888" t="s">
        <v>2</v>
      </c>
      <c r="AD86" s="888" t="s">
        <v>13</v>
      </c>
      <c r="AE86" s="888" t="s">
        <v>12</v>
      </c>
      <c r="AF86" s="888" t="s">
        <v>13</v>
      </c>
      <c r="AG86" s="888" t="s">
        <v>12</v>
      </c>
      <c r="AH86" s="888" t="s">
        <v>13</v>
      </c>
      <c r="AI86" s="888" t="s">
        <v>13</v>
      </c>
      <c r="AJ86" s="831" t="s">
        <v>219</v>
      </c>
      <c r="AK86" s="1042" t="s">
        <v>0</v>
      </c>
      <c r="AL86" s="1042"/>
      <c r="AM86" s="833"/>
      <c r="AN86" s="833"/>
      <c r="AO86" s="833"/>
      <c r="AP86" s="833"/>
      <c r="AQ86" s="833"/>
      <c r="AR86" s="833"/>
      <c r="AS86" s="833"/>
      <c r="AT86" s="833"/>
      <c r="AU86" s="803"/>
      <c r="AV86" s="803"/>
      <c r="AW86" s="1042" t="s">
        <v>1</v>
      </c>
      <c r="AX86" s="1043"/>
      <c r="AY86" s="1025" t="s">
        <v>12</v>
      </c>
      <c r="AZ86" s="1044" t="s">
        <v>13</v>
      </c>
      <c r="BA86" s="1045"/>
      <c r="BB86" s="1044" t="s">
        <v>2</v>
      </c>
      <c r="BC86" s="1045"/>
    </row>
    <row r="87" spans="1:55" s="947" customFormat="1" x14ac:dyDescent="0.25">
      <c r="A87" s="1042" t="s">
        <v>0</v>
      </c>
      <c r="B87" s="1042"/>
      <c r="C87" s="834" t="s">
        <v>99</v>
      </c>
      <c r="D87" s="835" t="s">
        <v>100</v>
      </c>
      <c r="E87" s="835" t="s">
        <v>101</v>
      </c>
      <c r="F87" s="834" t="s">
        <v>102</v>
      </c>
      <c r="G87" s="835" t="s">
        <v>97</v>
      </c>
      <c r="H87" s="834" t="s">
        <v>104</v>
      </c>
      <c r="I87" s="835" t="s">
        <v>103</v>
      </c>
      <c r="J87" s="835" t="s">
        <v>178</v>
      </c>
      <c r="K87" s="835" t="s">
        <v>199</v>
      </c>
      <c r="L87" s="834" t="s">
        <v>206</v>
      </c>
      <c r="M87" s="834" t="s">
        <v>105</v>
      </c>
      <c r="N87" s="834" t="s">
        <v>107</v>
      </c>
      <c r="O87" s="835" t="s">
        <v>98</v>
      </c>
      <c r="P87" s="835" t="s">
        <v>106</v>
      </c>
      <c r="Q87" s="835" t="s">
        <v>179</v>
      </c>
      <c r="R87" s="835" t="s">
        <v>198</v>
      </c>
      <c r="S87" s="834" t="s">
        <v>207</v>
      </c>
      <c r="T87" s="834" t="s">
        <v>182</v>
      </c>
      <c r="U87" s="834" t="s">
        <v>184</v>
      </c>
      <c r="V87" s="835" t="s">
        <v>221</v>
      </c>
      <c r="W87" s="835" t="s">
        <v>222</v>
      </c>
      <c r="X87" s="835" t="s">
        <v>255</v>
      </c>
      <c r="Y87" s="835" t="s">
        <v>256</v>
      </c>
      <c r="Z87" s="835" t="s">
        <v>266</v>
      </c>
      <c r="AA87" s="835" t="s">
        <v>267</v>
      </c>
      <c r="AB87" s="889" t="s">
        <v>268</v>
      </c>
      <c r="AC87" s="889" t="s">
        <v>269</v>
      </c>
      <c r="AD87" s="889" t="s">
        <v>295</v>
      </c>
      <c r="AE87" s="889" t="s">
        <v>290</v>
      </c>
      <c r="AF87" s="946" t="s">
        <v>291</v>
      </c>
      <c r="AG87" s="946" t="s">
        <v>292</v>
      </c>
      <c r="AH87" s="889" t="s">
        <v>293</v>
      </c>
      <c r="AI87" s="889" t="s">
        <v>294</v>
      </c>
      <c r="AJ87" s="836"/>
      <c r="AK87" s="903" t="s">
        <v>1</v>
      </c>
      <c r="AL87" s="838" t="s">
        <v>257</v>
      </c>
      <c r="AM87" s="838" t="s">
        <v>258</v>
      </c>
      <c r="AN87" s="838" t="s">
        <v>259</v>
      </c>
      <c r="AO87" s="838" t="s">
        <v>260</v>
      </c>
      <c r="AP87" s="838" t="s">
        <v>261</v>
      </c>
      <c r="AQ87" s="838" t="s">
        <v>262</v>
      </c>
      <c r="AR87" s="838" t="s">
        <v>263</v>
      </c>
      <c r="AS87" s="904" t="s">
        <v>264</v>
      </c>
      <c r="AT87" s="904" t="s">
        <v>265</v>
      </c>
      <c r="AU87" s="988" t="s">
        <v>306</v>
      </c>
      <c r="AV87" s="988"/>
      <c r="AW87" s="1046" t="s">
        <v>0</v>
      </c>
      <c r="AX87" s="1043"/>
      <c r="AY87" s="834" t="s">
        <v>99</v>
      </c>
      <c r="AZ87" s="834" t="s">
        <v>104</v>
      </c>
      <c r="BA87" s="834" t="s">
        <v>206</v>
      </c>
      <c r="BB87" s="834" t="s">
        <v>107</v>
      </c>
      <c r="BC87" s="834" t="s">
        <v>207</v>
      </c>
    </row>
    <row r="88" spans="1:55" s="947" customFormat="1" ht="30" x14ac:dyDescent="0.25">
      <c r="A88" s="1047" t="s">
        <v>9</v>
      </c>
      <c r="B88" s="839" t="s">
        <v>4</v>
      </c>
      <c r="C88" s="840">
        <v>250018.4</v>
      </c>
      <c r="D88" s="840">
        <v>150516.70000000001</v>
      </c>
      <c r="E88" s="840">
        <v>150516.70000000001</v>
      </c>
      <c r="F88" s="840">
        <v>181998.8</v>
      </c>
      <c r="G88" s="840">
        <v>165765.70000000001</v>
      </c>
      <c r="H88" s="840">
        <v>389505</v>
      </c>
      <c r="I88" s="840">
        <v>171975.5</v>
      </c>
      <c r="J88" s="840">
        <v>166078</v>
      </c>
      <c r="K88" s="840">
        <v>124019.2</v>
      </c>
      <c r="L88" s="840">
        <v>224071.2</v>
      </c>
      <c r="M88" s="840">
        <v>193029.1</v>
      </c>
      <c r="N88" s="840">
        <v>438219.9</v>
      </c>
      <c r="O88" s="840">
        <v>83038.8</v>
      </c>
      <c r="P88" s="840">
        <v>276130.40000000002</v>
      </c>
      <c r="Q88" s="840">
        <v>83038.8</v>
      </c>
      <c r="R88" s="840">
        <v>191618.2</v>
      </c>
      <c r="S88" s="840">
        <v>262288.90000000002</v>
      </c>
      <c r="T88" s="840">
        <v>55151</v>
      </c>
      <c r="U88" s="840">
        <v>33090.5</v>
      </c>
      <c r="V88" s="840">
        <v>102196.5</v>
      </c>
      <c r="W88" s="840">
        <v>209496.5</v>
      </c>
      <c r="X88" s="840">
        <v>102196.5</v>
      </c>
      <c r="Y88" s="840">
        <v>209496.5</v>
      </c>
      <c r="Z88" s="840">
        <v>102196.5</v>
      </c>
      <c r="AA88" s="840">
        <v>209496.5</v>
      </c>
      <c r="AB88" s="840">
        <v>328695.2</v>
      </c>
      <c r="AC88" s="901">
        <v>190871.2</v>
      </c>
      <c r="AD88" s="901">
        <v>224071.2</v>
      </c>
      <c r="AE88" s="901">
        <v>224071.2</v>
      </c>
      <c r="AF88" s="901">
        <v>156194.1</v>
      </c>
      <c r="AG88" s="901">
        <v>156194.1</v>
      </c>
      <c r="AH88" s="901">
        <v>224071.2</v>
      </c>
      <c r="AI88" s="901">
        <v>190871.2</v>
      </c>
      <c r="AJ88" s="840">
        <v>6220189.1999999993</v>
      </c>
      <c r="AK88" s="841" t="s">
        <v>4</v>
      </c>
      <c r="AL88" s="863">
        <v>474089.6</v>
      </c>
      <c r="AM88" s="863">
        <v>306710.80000000005</v>
      </c>
      <c r="AN88" s="863">
        <v>1434588.5999999999</v>
      </c>
      <c r="AO88" s="863">
        <v>1348438.7000000002</v>
      </c>
      <c r="AP88" s="863">
        <v>1413104.3</v>
      </c>
      <c r="AQ88" s="863">
        <v>1155015.7</v>
      </c>
      <c r="AR88" s="863">
        <v>88241.5</v>
      </c>
      <c r="AS88" s="863">
        <v>2810165.2</v>
      </c>
      <c r="AT88" s="863">
        <v>3410024</v>
      </c>
      <c r="AU88" s="863">
        <v>6220189.2000000002</v>
      </c>
      <c r="AV88" s="989"/>
      <c r="AW88" s="875" t="s">
        <v>194</v>
      </c>
      <c r="AX88" s="872" t="s">
        <v>4</v>
      </c>
      <c r="AY88" s="840">
        <v>143393</v>
      </c>
      <c r="AZ88" s="840">
        <v>132132</v>
      </c>
      <c r="BA88" s="840">
        <v>83196.100000000006</v>
      </c>
      <c r="BB88" s="840">
        <v>132132.20000000001</v>
      </c>
      <c r="BC88" s="840">
        <v>83196.100000000006</v>
      </c>
    </row>
    <row r="89" spans="1:55" s="947" customFormat="1" x14ac:dyDescent="0.25">
      <c r="A89" s="1047"/>
      <c r="B89" s="844" t="s">
        <v>5</v>
      </c>
      <c r="C89" s="583">
        <v>54100.1</v>
      </c>
      <c r="D89" s="583">
        <v>87104.7</v>
      </c>
      <c r="E89" s="583">
        <v>86852</v>
      </c>
      <c r="F89" s="583">
        <v>102326.8</v>
      </c>
      <c r="G89" s="583">
        <v>118840.4</v>
      </c>
      <c r="H89" s="583">
        <v>208123.3</v>
      </c>
      <c r="I89" s="583">
        <v>96849.600000000006</v>
      </c>
      <c r="J89" s="583">
        <v>52630.6</v>
      </c>
      <c r="K89" s="583">
        <v>100882.7</v>
      </c>
      <c r="L89" s="583">
        <v>97529.7</v>
      </c>
      <c r="M89" s="583">
        <v>80744.2</v>
      </c>
      <c r="N89" s="583">
        <v>213335.4</v>
      </c>
      <c r="O89" s="583">
        <v>59898.8</v>
      </c>
      <c r="P89" s="583">
        <v>182287.2</v>
      </c>
      <c r="Q89" s="583">
        <v>27199</v>
      </c>
      <c r="R89" s="583">
        <v>154491.29999999999</v>
      </c>
      <c r="S89" s="583">
        <v>185249.5</v>
      </c>
      <c r="T89" s="583">
        <v>17841</v>
      </c>
      <c r="U89" s="583">
        <v>11553.4</v>
      </c>
      <c r="V89" s="583">
        <v>15621.4</v>
      </c>
      <c r="W89" s="583">
        <v>31242.7</v>
      </c>
      <c r="X89" s="583">
        <v>34565.800000000003</v>
      </c>
      <c r="Y89" s="583">
        <v>68246.8</v>
      </c>
      <c r="Z89" s="583">
        <v>16335.3</v>
      </c>
      <c r="AA89" s="583">
        <v>32492.6</v>
      </c>
      <c r="AB89" s="583">
        <v>136218.4</v>
      </c>
      <c r="AC89" s="583">
        <v>4.9000000000000004</v>
      </c>
      <c r="AD89" s="583">
        <v>36259.1</v>
      </c>
      <c r="AE89" s="583">
        <v>72548.3</v>
      </c>
      <c r="AF89" s="583">
        <v>21405.1</v>
      </c>
      <c r="AG89" s="583">
        <v>21377.7</v>
      </c>
      <c r="AH89" s="583">
        <v>2814.7</v>
      </c>
      <c r="AI89" s="583">
        <v>4.9000000000000004</v>
      </c>
      <c r="AJ89" s="845">
        <v>2426977.4</v>
      </c>
      <c r="AK89" s="846" t="s">
        <v>5</v>
      </c>
      <c r="AL89" s="863">
        <v>126648.4</v>
      </c>
      <c r="AM89" s="863">
        <v>108482.4</v>
      </c>
      <c r="AN89" s="863">
        <v>447058.5</v>
      </c>
      <c r="AO89" s="863">
        <v>559604.19999999995</v>
      </c>
      <c r="AP89" s="863">
        <v>615552.4</v>
      </c>
      <c r="AQ89" s="863">
        <v>540237.1</v>
      </c>
      <c r="AR89" s="863">
        <v>29394.400000000001</v>
      </c>
      <c r="AS89" s="863">
        <v>1208323.7</v>
      </c>
      <c r="AT89" s="863">
        <v>1218653.7</v>
      </c>
      <c r="AU89" s="863">
        <v>2426977.4</v>
      </c>
      <c r="AV89" s="990"/>
      <c r="AW89" s="876"/>
      <c r="AX89" s="873" t="s">
        <v>5</v>
      </c>
      <c r="AY89" s="583">
        <v>51964.9</v>
      </c>
      <c r="AZ89" s="583">
        <v>58542</v>
      </c>
      <c r="BA89" s="583">
        <v>2519</v>
      </c>
      <c r="BB89" s="583">
        <v>70731</v>
      </c>
      <c r="BC89" s="583">
        <v>31444.9</v>
      </c>
    </row>
    <row r="90" spans="1:55" s="947" customFormat="1" x14ac:dyDescent="0.25">
      <c r="A90" s="1047"/>
      <c r="B90" s="848" t="s">
        <v>3</v>
      </c>
      <c r="C90" s="866">
        <v>0.21638447410270603</v>
      </c>
      <c r="D90" s="866">
        <v>0.57870455570710755</v>
      </c>
      <c r="E90" s="866">
        <v>0.57702567223437662</v>
      </c>
      <c r="F90" s="866">
        <v>0.56223887190464994</v>
      </c>
      <c r="G90" s="866">
        <v>0.71691791486417267</v>
      </c>
      <c r="H90" s="866">
        <v>0.53432767230202438</v>
      </c>
      <c r="I90" s="866">
        <v>0.56315928722405229</v>
      </c>
      <c r="J90" s="866">
        <v>0.31690290104649621</v>
      </c>
      <c r="K90" s="866">
        <v>0.8134442086386624</v>
      </c>
      <c r="L90" s="866">
        <v>0.4352620952625772</v>
      </c>
      <c r="M90" s="866">
        <v>0.41830066036675295</v>
      </c>
      <c r="N90" s="866">
        <v>0.48682271161122531</v>
      </c>
      <c r="O90" s="866">
        <v>0.72133508673054048</v>
      </c>
      <c r="P90" s="866">
        <v>0.66014897309387155</v>
      </c>
      <c r="Q90" s="866">
        <v>0.32754567744235225</v>
      </c>
      <c r="R90" s="866">
        <v>0.80624544015130073</v>
      </c>
      <c r="S90" s="866">
        <v>0.70628036489535007</v>
      </c>
      <c r="T90" s="866">
        <v>0.32349368098493225</v>
      </c>
      <c r="U90" s="866">
        <v>0.349145525150723</v>
      </c>
      <c r="V90" s="866">
        <v>0.15285650682753324</v>
      </c>
      <c r="W90" s="866">
        <v>0.14913232440637433</v>
      </c>
      <c r="X90" s="866">
        <v>0.3382288043132593</v>
      </c>
      <c r="Y90" s="866">
        <v>0.32576582425004713</v>
      </c>
      <c r="Z90" s="866">
        <v>0.15984206895539474</v>
      </c>
      <c r="AA90" s="866">
        <v>0.15509853386572089</v>
      </c>
      <c r="AB90" s="866">
        <v>0.41442162830488549</v>
      </c>
      <c r="AC90" s="866">
        <v>2.5671761900171424E-5</v>
      </c>
      <c r="AD90" s="866">
        <v>0.16181954664410239</v>
      </c>
      <c r="AE90" s="866">
        <v>0.32377342558972327</v>
      </c>
      <c r="AF90" s="866">
        <v>0.13704166802715337</v>
      </c>
      <c r="AG90" s="866">
        <v>0.13686624526790706</v>
      </c>
      <c r="AH90" s="866">
        <v>1.2561632195480722E-2</v>
      </c>
      <c r="AI90" s="866">
        <v>2.5671761900171424E-5</v>
      </c>
      <c r="AJ90" s="869">
        <v>0.39017742418510359</v>
      </c>
      <c r="AK90" s="852" t="s">
        <v>3</v>
      </c>
      <c r="AL90" s="849">
        <v>0.26714021990779802</v>
      </c>
      <c r="AM90" s="849">
        <v>0.35369605504599111</v>
      </c>
      <c r="AN90" s="849">
        <v>0.31162836509365827</v>
      </c>
      <c r="AO90" s="849">
        <v>0.41500158664980458</v>
      </c>
      <c r="AP90" s="849">
        <v>0.43560294877030664</v>
      </c>
      <c r="AQ90" s="849">
        <v>0.46773139101052913</v>
      </c>
      <c r="AR90" s="849">
        <v>0.33311310437832542</v>
      </c>
      <c r="AS90" s="849">
        <v>0.42998315543869087</v>
      </c>
      <c r="AT90" s="849">
        <v>0.3573739363711223</v>
      </c>
      <c r="AU90" s="849">
        <v>0.39017742418510354</v>
      </c>
      <c r="AV90" s="991"/>
      <c r="AW90" s="876"/>
      <c r="AX90" s="874" t="s">
        <v>3</v>
      </c>
      <c r="AY90" s="849">
        <v>0.36239495651810061</v>
      </c>
      <c r="AZ90" s="849">
        <v>0.44305694305694304</v>
      </c>
      <c r="BA90" s="849">
        <v>3.0277861582453984E-2</v>
      </c>
      <c r="BB90" s="849">
        <v>0.53530479322981073</v>
      </c>
      <c r="BC90" s="849">
        <v>0.37796122654787906</v>
      </c>
    </row>
    <row r="91" spans="1:55" s="947" customFormat="1" ht="30" x14ac:dyDescent="0.25">
      <c r="A91" s="1040" t="s">
        <v>6</v>
      </c>
      <c r="B91" s="854" t="s">
        <v>7</v>
      </c>
      <c r="C91" s="840">
        <v>3713</v>
      </c>
      <c r="D91" s="840">
        <v>3620</v>
      </c>
      <c r="E91" s="840">
        <v>3560</v>
      </c>
      <c r="F91" s="840">
        <v>6588</v>
      </c>
      <c r="G91" s="840">
        <v>8432</v>
      </c>
      <c r="H91" s="840">
        <v>15082</v>
      </c>
      <c r="I91" s="840">
        <v>7076</v>
      </c>
      <c r="J91" s="840">
        <v>9599</v>
      </c>
      <c r="K91" s="840">
        <v>6955</v>
      </c>
      <c r="L91" s="840">
        <v>9334</v>
      </c>
      <c r="M91" s="840">
        <v>5429</v>
      </c>
      <c r="N91" s="840">
        <v>14951</v>
      </c>
      <c r="O91" s="840">
        <v>4357</v>
      </c>
      <c r="P91" s="840">
        <v>8508</v>
      </c>
      <c r="Q91" s="840">
        <v>4799</v>
      </c>
      <c r="R91" s="840">
        <v>9594</v>
      </c>
      <c r="S91" s="840">
        <v>11560</v>
      </c>
      <c r="T91" s="855">
        <v>2480</v>
      </c>
      <c r="U91" s="855">
        <v>1570</v>
      </c>
      <c r="V91" s="840">
        <v>3999</v>
      </c>
      <c r="W91" s="840">
        <v>7999</v>
      </c>
      <c r="X91" s="840">
        <v>3999</v>
      </c>
      <c r="Y91" s="840">
        <v>7999</v>
      </c>
      <c r="Z91" s="840">
        <v>3999</v>
      </c>
      <c r="AA91" s="840">
        <v>7999</v>
      </c>
      <c r="AB91" s="840">
        <v>12000</v>
      </c>
      <c r="AC91" s="840">
        <v>6400</v>
      </c>
      <c r="AD91" s="840">
        <v>6399</v>
      </c>
      <c r="AE91" s="840">
        <v>6399</v>
      </c>
      <c r="AF91" s="840">
        <v>4800</v>
      </c>
      <c r="AG91" s="840">
        <v>4800</v>
      </c>
      <c r="AH91" s="840">
        <v>6399</v>
      </c>
      <c r="AI91" s="840">
        <v>6400</v>
      </c>
      <c r="AJ91" s="840">
        <v>226798</v>
      </c>
      <c r="AK91" s="856" t="s">
        <v>7</v>
      </c>
      <c r="AL91" s="858">
        <v>10112</v>
      </c>
      <c r="AM91" s="858">
        <v>8420</v>
      </c>
      <c r="AN91" s="858">
        <v>50202</v>
      </c>
      <c r="AO91" s="858">
        <v>56419</v>
      </c>
      <c r="AP91" s="858">
        <v>50340</v>
      </c>
      <c r="AQ91" s="858">
        <v>47255</v>
      </c>
      <c r="AR91" s="858">
        <v>4050</v>
      </c>
      <c r="AS91" s="858">
        <v>112094</v>
      </c>
      <c r="AT91" s="858">
        <v>114704</v>
      </c>
      <c r="AU91" s="858">
        <v>226798</v>
      </c>
      <c r="AV91" s="657"/>
      <c r="AW91" s="880" t="s">
        <v>190</v>
      </c>
      <c r="AX91" s="879" t="s">
        <v>4</v>
      </c>
      <c r="AY91" s="857">
        <v>9191.7999999999993</v>
      </c>
      <c r="AZ91" s="857">
        <v>13787.7</v>
      </c>
      <c r="BA91" s="857">
        <v>8804.7999999999993</v>
      </c>
      <c r="BB91" s="857">
        <v>13787.7</v>
      </c>
      <c r="BC91" s="857">
        <v>8804.7999999999993</v>
      </c>
    </row>
    <row r="92" spans="1:55" s="947" customFormat="1" x14ac:dyDescent="0.25">
      <c r="A92" s="1040"/>
      <c r="B92" s="839" t="s">
        <v>11</v>
      </c>
      <c r="C92" s="858">
        <v>125191.22099999999</v>
      </c>
      <c r="D92" s="858">
        <v>122055.54</v>
      </c>
      <c r="E92" s="858">
        <v>120032.51999999999</v>
      </c>
      <c r="F92" s="858">
        <v>222127.59599999999</v>
      </c>
      <c r="G92" s="858">
        <v>284301.74400000001</v>
      </c>
      <c r="H92" s="858">
        <v>508519.79399999999</v>
      </c>
      <c r="I92" s="858">
        <v>238581.492</v>
      </c>
      <c r="J92" s="858">
        <v>323649.48300000001</v>
      </c>
      <c r="K92" s="858">
        <v>234501.73499999999</v>
      </c>
      <c r="L92" s="858">
        <v>314714.478</v>
      </c>
      <c r="M92" s="858">
        <v>183049.59299999999</v>
      </c>
      <c r="N92" s="858">
        <v>504102.86699999997</v>
      </c>
      <c r="O92" s="858">
        <v>146904.96899999998</v>
      </c>
      <c r="P92" s="858">
        <v>286864.23599999998</v>
      </c>
      <c r="Q92" s="858">
        <v>161807.883</v>
      </c>
      <c r="R92" s="858">
        <v>323480.89799999999</v>
      </c>
      <c r="S92" s="858">
        <v>389768.51999999996</v>
      </c>
      <c r="T92" s="858">
        <v>83618.16</v>
      </c>
      <c r="U92" s="858">
        <v>52935.689999999995</v>
      </c>
      <c r="V92" s="858">
        <v>134834.283</v>
      </c>
      <c r="W92" s="858">
        <v>269702.283</v>
      </c>
      <c r="X92" s="858">
        <v>134834.283</v>
      </c>
      <c r="Y92" s="858">
        <v>269702.283</v>
      </c>
      <c r="Z92" s="858">
        <v>134834.283</v>
      </c>
      <c r="AA92" s="858">
        <v>269702.283</v>
      </c>
      <c r="AB92" s="858">
        <v>404604</v>
      </c>
      <c r="AC92" s="858">
        <v>215788.79999999999</v>
      </c>
      <c r="AD92" s="858">
        <v>215755.08299999998</v>
      </c>
      <c r="AE92" s="858">
        <v>215755.08299999998</v>
      </c>
      <c r="AF92" s="858">
        <v>161841.60000000001</v>
      </c>
      <c r="AG92" s="858">
        <v>161841.60000000001</v>
      </c>
      <c r="AH92" s="858">
        <v>215755.08299999998</v>
      </c>
      <c r="AI92" s="858">
        <v>215788.79999999999</v>
      </c>
      <c r="AJ92" s="859">
        <v>7646948.1659999974</v>
      </c>
      <c r="AK92" s="841" t="s">
        <v>11</v>
      </c>
      <c r="AL92" s="858">
        <v>340946.304</v>
      </c>
      <c r="AM92" s="858">
        <v>283897.14</v>
      </c>
      <c r="AN92" s="858">
        <v>1692660.834</v>
      </c>
      <c r="AO92" s="858">
        <v>1902279.423</v>
      </c>
      <c r="AP92" s="858">
        <v>1697313.78</v>
      </c>
      <c r="AQ92" s="858">
        <v>1593296.835</v>
      </c>
      <c r="AR92" s="858">
        <v>136553.85</v>
      </c>
      <c r="AS92" s="858">
        <v>3779473.398</v>
      </c>
      <c r="AT92" s="858">
        <v>3867474.7679999997</v>
      </c>
      <c r="AU92" s="858">
        <v>7646948.1659999993</v>
      </c>
      <c r="AV92" s="992"/>
      <c r="AW92" s="876"/>
      <c r="AX92" s="873" t="s">
        <v>5</v>
      </c>
      <c r="AY92" s="583">
        <v>7975.5</v>
      </c>
      <c r="AZ92" s="583">
        <v>13649</v>
      </c>
      <c r="BA92" s="583">
        <v>1289.9000000000001</v>
      </c>
      <c r="BB92" s="583">
        <v>13642</v>
      </c>
      <c r="BC92" s="583">
        <v>5483.9</v>
      </c>
    </row>
    <row r="93" spans="1:55" s="947" customFormat="1" x14ac:dyDescent="0.25">
      <c r="A93" s="1040"/>
      <c r="B93" s="839" t="s">
        <v>79</v>
      </c>
      <c r="C93" s="858">
        <v>164000</v>
      </c>
      <c r="D93" s="858">
        <v>109880</v>
      </c>
      <c r="E93" s="858">
        <v>109880</v>
      </c>
      <c r="F93" s="858">
        <v>328000</v>
      </c>
      <c r="G93" s="858">
        <v>330905</v>
      </c>
      <c r="H93" s="858">
        <v>264264</v>
      </c>
      <c r="I93" s="858">
        <v>242663.6</v>
      </c>
      <c r="J93" s="858">
        <v>328000</v>
      </c>
      <c r="K93" s="858">
        <v>328000</v>
      </c>
      <c r="L93" s="858">
        <v>328000</v>
      </c>
      <c r="M93" s="858">
        <v>328000</v>
      </c>
      <c r="N93" s="858">
        <v>264264.40000000002</v>
      </c>
      <c r="O93" s="858">
        <v>328000</v>
      </c>
      <c r="P93" s="858">
        <v>352965.4</v>
      </c>
      <c r="Q93" s="858">
        <v>328000</v>
      </c>
      <c r="R93" s="858">
        <v>328000</v>
      </c>
      <c r="S93" s="858">
        <v>328000</v>
      </c>
      <c r="T93" s="858">
        <v>110302</v>
      </c>
      <c r="U93" s="858">
        <v>66181</v>
      </c>
      <c r="V93" s="858">
        <v>204393</v>
      </c>
      <c r="W93" s="858">
        <v>418993</v>
      </c>
      <c r="X93" s="858">
        <v>204393</v>
      </c>
      <c r="Y93" s="858">
        <v>418993</v>
      </c>
      <c r="Z93" s="858">
        <v>204393</v>
      </c>
      <c r="AA93" s="858">
        <v>418993</v>
      </c>
      <c r="AB93" s="858">
        <v>657390.4</v>
      </c>
      <c r="AC93" s="858">
        <v>381742.4</v>
      </c>
      <c r="AD93" s="858">
        <v>448142.4</v>
      </c>
      <c r="AE93" s="858">
        <v>448142.4</v>
      </c>
      <c r="AF93" s="858">
        <v>312388.2</v>
      </c>
      <c r="AG93" s="858">
        <v>312388.2</v>
      </c>
      <c r="AH93" s="858">
        <v>448142.4</v>
      </c>
      <c r="AI93" s="858">
        <v>381742.4</v>
      </c>
      <c r="AJ93" s="859">
        <v>10227542.200000001</v>
      </c>
      <c r="AK93" s="841" t="s">
        <v>79</v>
      </c>
      <c r="AL93" s="858">
        <v>948179.2</v>
      </c>
      <c r="AM93" s="858">
        <v>613421.60000000009</v>
      </c>
      <c r="AN93" s="858">
        <v>2869177.1999999997</v>
      </c>
      <c r="AO93" s="858">
        <v>2696877.4000000004</v>
      </c>
      <c r="AP93" s="858">
        <v>2826208.6</v>
      </c>
      <c r="AQ93" s="858">
        <v>2310031.4</v>
      </c>
      <c r="AR93" s="858">
        <v>176483</v>
      </c>
      <c r="AS93" s="858">
        <v>5620330.4000000004</v>
      </c>
      <c r="AT93" s="858">
        <v>6820048</v>
      </c>
      <c r="AU93" s="858">
        <v>12440378.4</v>
      </c>
      <c r="AV93" s="993"/>
      <c r="AW93" s="877"/>
      <c r="AX93" s="874" t="s">
        <v>3</v>
      </c>
      <c r="AY93" s="849">
        <v>0.86767553689157739</v>
      </c>
      <c r="AZ93" s="849">
        <v>0.98994030911609621</v>
      </c>
      <c r="BA93" s="849">
        <v>0.14649963656187537</v>
      </c>
      <c r="BB93" s="849">
        <v>0.98943261022505558</v>
      </c>
      <c r="BC93" s="849">
        <v>0.62283072869343992</v>
      </c>
    </row>
    <row r="94" spans="1:55" s="947" customFormat="1" ht="45" x14ac:dyDescent="0.25">
      <c r="A94" s="1040"/>
      <c r="B94" s="844" t="s">
        <v>8</v>
      </c>
      <c r="C94" s="861">
        <v>2114</v>
      </c>
      <c r="D94" s="861">
        <v>1985</v>
      </c>
      <c r="E94" s="861">
        <v>1622</v>
      </c>
      <c r="F94" s="861">
        <v>4784</v>
      </c>
      <c r="G94" s="861">
        <v>3298</v>
      </c>
      <c r="H94" s="861">
        <v>12462</v>
      </c>
      <c r="I94" s="861">
        <v>5651</v>
      </c>
      <c r="J94" s="861">
        <v>1385</v>
      </c>
      <c r="K94" s="861">
        <v>6065</v>
      </c>
      <c r="L94" s="861">
        <v>6631</v>
      </c>
      <c r="M94" s="861">
        <v>3799</v>
      </c>
      <c r="N94" s="861">
        <v>13096</v>
      </c>
      <c r="O94" s="861">
        <v>3436</v>
      </c>
      <c r="P94" s="861">
        <v>6563</v>
      </c>
      <c r="Q94" s="861">
        <v>1833</v>
      </c>
      <c r="R94" s="861">
        <v>4694</v>
      </c>
      <c r="S94" s="861">
        <v>9596</v>
      </c>
      <c r="T94" s="598">
        <v>1888</v>
      </c>
      <c r="U94" s="598">
        <v>1197</v>
      </c>
      <c r="V94" s="861">
        <v>1892</v>
      </c>
      <c r="W94" s="861">
        <v>2483</v>
      </c>
      <c r="X94" s="861">
        <v>2159</v>
      </c>
      <c r="Y94" s="861">
        <v>2971</v>
      </c>
      <c r="Z94" s="861">
        <v>2226</v>
      </c>
      <c r="AA94" s="861">
        <v>3750</v>
      </c>
      <c r="AB94" s="861">
        <v>6813</v>
      </c>
      <c r="AC94" s="861">
        <v>0</v>
      </c>
      <c r="AD94" s="861">
        <v>3514</v>
      </c>
      <c r="AE94" s="861">
        <v>3613</v>
      </c>
      <c r="AF94" s="861">
        <v>846</v>
      </c>
      <c r="AG94" s="861">
        <v>846</v>
      </c>
      <c r="AH94" s="861">
        <v>3183</v>
      </c>
      <c r="AI94" s="861">
        <v>0</v>
      </c>
      <c r="AJ94" s="840">
        <v>126395</v>
      </c>
      <c r="AK94" s="846" t="s">
        <v>8</v>
      </c>
      <c r="AL94" s="858">
        <v>5727</v>
      </c>
      <c r="AM94" s="858">
        <v>2831</v>
      </c>
      <c r="AN94" s="858">
        <v>30574</v>
      </c>
      <c r="AO94" s="858">
        <v>25735</v>
      </c>
      <c r="AP94" s="858">
        <v>33304</v>
      </c>
      <c r="AQ94" s="858">
        <v>25139</v>
      </c>
      <c r="AR94" s="858">
        <v>3085</v>
      </c>
      <c r="AS94" s="858">
        <v>53705</v>
      </c>
      <c r="AT94" s="858">
        <v>72690</v>
      </c>
      <c r="AU94" s="858">
        <v>126395</v>
      </c>
      <c r="AV94" s="993"/>
      <c r="AW94" s="877" t="s">
        <v>191</v>
      </c>
      <c r="AX94" s="839" t="s">
        <v>4</v>
      </c>
      <c r="AY94" s="840">
        <v>97433.600000000006</v>
      </c>
      <c r="AZ94" s="840">
        <v>243584.4</v>
      </c>
      <c r="BA94" s="840">
        <v>132070.29999999999</v>
      </c>
      <c r="BB94" s="840">
        <v>292299.3</v>
      </c>
      <c r="BC94" s="840">
        <v>132070.39999999999</v>
      </c>
    </row>
    <row r="95" spans="1:55" s="947" customFormat="1" x14ac:dyDescent="0.25">
      <c r="A95" s="1040"/>
      <c r="B95" s="839" t="s">
        <v>77</v>
      </c>
      <c r="C95" s="858">
        <v>71277.737999999998</v>
      </c>
      <c r="D95" s="858">
        <v>66928.244999999995</v>
      </c>
      <c r="E95" s="858">
        <v>54688.973999999995</v>
      </c>
      <c r="F95" s="858">
        <v>161302.128</v>
      </c>
      <c r="G95" s="858">
        <v>111198.666</v>
      </c>
      <c r="H95" s="858">
        <v>420181.25399999996</v>
      </c>
      <c r="I95" s="858">
        <v>190534.76699999999</v>
      </c>
      <c r="J95" s="858">
        <v>46698.044999999998</v>
      </c>
      <c r="K95" s="858">
        <v>204493.60499999998</v>
      </c>
      <c r="L95" s="858">
        <v>223577.427</v>
      </c>
      <c r="M95" s="858">
        <v>128090.883</v>
      </c>
      <c r="N95" s="858">
        <v>441557.83199999999</v>
      </c>
      <c r="O95" s="858">
        <v>115851.61199999999</v>
      </c>
      <c r="P95" s="858">
        <v>133148.43300000002</v>
      </c>
      <c r="Q95" s="858">
        <v>61803.260999999999</v>
      </c>
      <c r="R95" s="858">
        <v>158267.598</v>
      </c>
      <c r="S95" s="858">
        <v>323548.33199999999</v>
      </c>
      <c r="T95" s="863">
        <v>63657.695999999996</v>
      </c>
      <c r="U95" s="863">
        <v>40359.248999999996</v>
      </c>
      <c r="V95" s="863">
        <v>63792.563999999998</v>
      </c>
      <c r="W95" s="863">
        <v>83719.311000000002</v>
      </c>
      <c r="X95" s="863">
        <v>72795.002999999997</v>
      </c>
      <c r="Y95" s="863">
        <v>100173.20699999999</v>
      </c>
      <c r="Z95" s="863">
        <v>75054.042000000001</v>
      </c>
      <c r="AA95" s="863">
        <v>126438.75</v>
      </c>
      <c r="AB95" s="863">
        <v>229713.921</v>
      </c>
      <c r="AC95" s="863">
        <v>0</v>
      </c>
      <c r="AD95" s="863">
        <v>118481.538</v>
      </c>
      <c r="AE95" s="863">
        <v>121819.52099999999</v>
      </c>
      <c r="AF95" s="863">
        <v>28524.581999999999</v>
      </c>
      <c r="AG95" s="863">
        <v>28524.581999999999</v>
      </c>
      <c r="AH95" s="863">
        <v>107321.211</v>
      </c>
      <c r="AI95" s="863">
        <v>0</v>
      </c>
      <c r="AJ95" s="864">
        <v>4173523.9770000004</v>
      </c>
      <c r="AK95" s="841" t="s">
        <v>77</v>
      </c>
      <c r="AL95" s="858">
        <v>193097.25899999999</v>
      </c>
      <c r="AM95" s="858">
        <v>95452.82699999999</v>
      </c>
      <c r="AN95" s="858">
        <v>1030863.558</v>
      </c>
      <c r="AO95" s="858">
        <v>867706.995</v>
      </c>
      <c r="AP95" s="858">
        <v>1122910.9679999999</v>
      </c>
      <c r="AQ95" s="858">
        <v>847611.66299999994</v>
      </c>
      <c r="AR95" s="858">
        <v>104016.94499999999</v>
      </c>
      <c r="AS95" s="858">
        <v>1810771.4849999999</v>
      </c>
      <c r="AT95" s="858">
        <v>2450888.73</v>
      </c>
      <c r="AU95" s="858">
        <v>4261660.2149999999</v>
      </c>
      <c r="AV95" s="915"/>
      <c r="AW95" s="1024"/>
      <c r="AX95" s="844" t="s">
        <v>5</v>
      </c>
      <c r="AY95" s="583">
        <v>38973.199999999997</v>
      </c>
      <c r="AZ95" s="583">
        <v>124350.5</v>
      </c>
      <c r="BA95" s="583">
        <v>3817.1</v>
      </c>
      <c r="BB95" s="583">
        <v>109009</v>
      </c>
      <c r="BC95" s="583">
        <v>33401</v>
      </c>
    </row>
    <row r="96" spans="1:55" s="947" customFormat="1" x14ac:dyDescent="0.25">
      <c r="A96" s="1040"/>
      <c r="B96" s="848" t="s">
        <v>217</v>
      </c>
      <c r="C96" s="849">
        <v>0.28508996937825376</v>
      </c>
      <c r="D96" s="849">
        <v>0.44465660621047359</v>
      </c>
      <c r="E96" s="866">
        <v>0.36334156940724843</v>
      </c>
      <c r="F96" s="866">
        <v>0.88628127218421227</v>
      </c>
      <c r="G96" s="866">
        <v>0.67081830559639288</v>
      </c>
      <c r="H96" s="866">
        <v>1.0787570223745522</v>
      </c>
      <c r="I96" s="866">
        <v>1.1079180871693932</v>
      </c>
      <c r="J96" s="866">
        <v>0.28118140271438719</v>
      </c>
      <c r="K96" s="866">
        <v>1.6488866643229434</v>
      </c>
      <c r="L96" s="866">
        <v>0.9977963566937651</v>
      </c>
      <c r="M96" s="866">
        <v>0.66358327837616193</v>
      </c>
      <c r="N96" s="866">
        <v>1.0076170251510714</v>
      </c>
      <c r="O96" s="866">
        <v>1.3951503634445583</v>
      </c>
      <c r="P96" s="866">
        <v>0.4821940394827951</v>
      </c>
      <c r="Q96" s="866">
        <v>0.7442696787525831</v>
      </c>
      <c r="R96" s="866">
        <v>0.82595284790275658</v>
      </c>
      <c r="S96" s="866">
        <v>1.2335570891486447</v>
      </c>
      <c r="T96" s="849">
        <v>1.1542437308480353</v>
      </c>
      <c r="U96" s="849">
        <v>1.2196627128632083</v>
      </c>
      <c r="V96" s="849">
        <v>0.6242147627364929</v>
      </c>
      <c r="W96" s="849">
        <v>0.39962152589661404</v>
      </c>
      <c r="X96" s="849">
        <v>0.71230426678017345</v>
      </c>
      <c r="Y96" s="849">
        <v>0.47816172107887239</v>
      </c>
      <c r="Z96" s="849">
        <v>0.73440912360012334</v>
      </c>
      <c r="AA96" s="849">
        <v>0.60353633592923983</v>
      </c>
      <c r="AB96" s="849">
        <v>0.69886606497448089</v>
      </c>
      <c r="AC96" s="849">
        <v>0</v>
      </c>
      <c r="AD96" s="849">
        <v>0.52876736501611987</v>
      </c>
      <c r="AE96" s="849">
        <v>0.54366433972772932</v>
      </c>
      <c r="AF96" s="849">
        <v>0.18262265988279966</v>
      </c>
      <c r="AG96" s="849">
        <v>0.18262265988279966</v>
      </c>
      <c r="AH96" s="849">
        <v>0.47896030815205165</v>
      </c>
      <c r="AI96" s="849">
        <v>0</v>
      </c>
      <c r="AJ96" s="851">
        <v>0.67096415282673405</v>
      </c>
      <c r="AK96" s="852" t="s">
        <v>217</v>
      </c>
      <c r="AL96" s="849">
        <v>0.40730119158910044</v>
      </c>
      <c r="AM96" s="849">
        <v>0.31121443066236981</v>
      </c>
      <c r="AN96" s="849">
        <v>0.71857782642354751</v>
      </c>
      <c r="AO96" s="849">
        <v>0.64349013047459991</v>
      </c>
      <c r="AP96" s="849">
        <v>0.7946412504724526</v>
      </c>
      <c r="AQ96" s="849">
        <v>0.73385293637134108</v>
      </c>
      <c r="AR96" s="849">
        <v>1.1787758027685384</v>
      </c>
      <c r="AS96" s="849">
        <v>0.64436478147263365</v>
      </c>
      <c r="AT96" s="849">
        <v>0.71873063943244975</v>
      </c>
      <c r="AU96" s="849">
        <v>0.68513353500565544</v>
      </c>
      <c r="AV96" s="914"/>
      <c r="AW96" s="1024"/>
      <c r="AX96" s="848" t="s">
        <v>3</v>
      </c>
      <c r="AY96" s="849">
        <v>0.39999753678402516</v>
      </c>
      <c r="AZ96" s="849">
        <v>0.51050272513346506</v>
      </c>
      <c r="BA96" s="849">
        <v>2.8902031720984961E-2</v>
      </c>
      <c r="BB96" s="849">
        <v>0.37293623351133581</v>
      </c>
      <c r="BC96" s="849">
        <v>0.25290299718937781</v>
      </c>
    </row>
    <row r="97" spans="1:55" s="947" customFormat="1" x14ac:dyDescent="0.25">
      <c r="A97" s="1024"/>
      <c r="B97" s="848" t="s">
        <v>218</v>
      </c>
      <c r="C97" s="598">
        <v>61302.5</v>
      </c>
      <c r="D97" s="598">
        <v>66523.199999999997</v>
      </c>
      <c r="E97" s="598">
        <v>54284</v>
      </c>
      <c r="F97" s="598">
        <v>159981</v>
      </c>
      <c r="G97" s="598">
        <v>108909</v>
      </c>
      <c r="H97" s="598">
        <v>423379</v>
      </c>
      <c r="I97" s="598">
        <v>115036</v>
      </c>
      <c r="J97" s="598">
        <v>46738.8</v>
      </c>
      <c r="K97" s="598">
        <v>146076</v>
      </c>
      <c r="L97" s="598">
        <v>223965</v>
      </c>
      <c r="M97" s="598">
        <v>140785</v>
      </c>
      <c r="N97" s="598">
        <v>441635</v>
      </c>
      <c r="O97" s="598">
        <v>115895</v>
      </c>
      <c r="P97" s="598">
        <v>107187</v>
      </c>
      <c r="Q97" s="598">
        <v>61854.5</v>
      </c>
      <c r="R97" s="598">
        <v>144505</v>
      </c>
      <c r="S97" s="598">
        <v>320751</v>
      </c>
      <c r="T97" s="598">
        <v>63657.4</v>
      </c>
      <c r="U97" s="598">
        <v>40359.1</v>
      </c>
      <c r="V97" s="598">
        <v>63826.1</v>
      </c>
      <c r="W97" s="598">
        <v>62443.7</v>
      </c>
      <c r="X97" s="598">
        <v>72853.8</v>
      </c>
      <c r="Y97" s="598">
        <v>66616.100000000006</v>
      </c>
      <c r="Z97" s="598">
        <v>66149.5</v>
      </c>
      <c r="AA97" s="598">
        <v>66145.3</v>
      </c>
      <c r="AB97" s="598">
        <v>229837</v>
      </c>
      <c r="AC97" s="598">
        <v>0</v>
      </c>
      <c r="AD97" s="598">
        <v>118559</v>
      </c>
      <c r="AE97" s="598">
        <v>121863</v>
      </c>
      <c r="AF97" s="598">
        <v>28547.599999999999</v>
      </c>
      <c r="AG97" s="598">
        <v>28537</v>
      </c>
      <c r="AH97" s="598">
        <v>107355</v>
      </c>
      <c r="AI97" s="598">
        <v>0</v>
      </c>
      <c r="AJ97" s="867">
        <v>3875556.6</v>
      </c>
      <c r="AK97" s="852" t="s">
        <v>218</v>
      </c>
      <c r="AL97" s="861">
        <v>183165.5</v>
      </c>
      <c r="AM97" s="861">
        <v>95060.2</v>
      </c>
      <c r="AN97" s="861">
        <v>1033239</v>
      </c>
      <c r="AO97" s="861">
        <v>701038.4</v>
      </c>
      <c r="AP97" s="861">
        <v>1133008</v>
      </c>
      <c r="AQ97" s="861">
        <v>626029</v>
      </c>
      <c r="AR97" s="861">
        <v>104016.5</v>
      </c>
      <c r="AS97" s="861">
        <v>1422127.6</v>
      </c>
      <c r="AT97" s="861">
        <v>2453429</v>
      </c>
      <c r="AU97" s="861">
        <v>3875556.6</v>
      </c>
      <c r="AV97" s="916"/>
      <c r="AW97" s="1024" t="s">
        <v>219</v>
      </c>
      <c r="AX97" s="848" t="s">
        <v>3</v>
      </c>
      <c r="AY97" s="849">
        <v>0.38119624665106289</v>
      </c>
      <c r="AZ97" s="849">
        <v>0.47677983409520408</v>
      </c>
      <c r="BA97" s="849">
        <v>2.9589946651719472E-2</v>
      </c>
      <c r="BB97" s="849">
        <v>0.45412051337057324</v>
      </c>
      <c r="BC97" s="849">
        <v>0.31543211186862841</v>
      </c>
    </row>
    <row r="98" spans="1:55" s="947" customFormat="1" x14ac:dyDescent="0.25">
      <c r="A98" s="1024"/>
      <c r="B98" s="848" t="s">
        <v>216</v>
      </c>
      <c r="C98" s="866">
        <v>0.245191953872195</v>
      </c>
      <c r="D98" s="866">
        <v>0.44196557591283886</v>
      </c>
      <c r="E98" s="866">
        <v>0.36065101081806866</v>
      </c>
      <c r="F98" s="866">
        <v>0.87902227926777543</v>
      </c>
      <c r="G98" s="866">
        <v>0.65700564109462933</v>
      </c>
      <c r="H98" s="866">
        <v>1.0869667911836818</v>
      </c>
      <c r="I98" s="866">
        <v>0.6689092341641687</v>
      </c>
      <c r="J98" s="866">
        <v>0.28142679945567745</v>
      </c>
      <c r="K98" s="866">
        <v>1.1778498813087006</v>
      </c>
      <c r="L98" s="866">
        <v>0.99952604350759933</v>
      </c>
      <c r="M98" s="866">
        <v>0.72934598980153764</v>
      </c>
      <c r="N98" s="866">
        <v>1.0077931193905161</v>
      </c>
      <c r="O98" s="866">
        <v>1.3956728661782203</v>
      </c>
      <c r="P98" s="866">
        <v>0.38817529688871633</v>
      </c>
      <c r="Q98" s="866">
        <v>0.74488672765020691</v>
      </c>
      <c r="R98" s="866">
        <v>0.75412982691623232</v>
      </c>
      <c r="S98" s="866">
        <v>1.2228920095360496</v>
      </c>
      <c r="T98" s="866">
        <v>1.1542383637649363</v>
      </c>
      <c r="U98" s="866">
        <v>1.2196582100602891</v>
      </c>
      <c r="V98" s="866">
        <v>0.62454291487477553</v>
      </c>
      <c r="W98" s="866">
        <v>0.29806560014129113</v>
      </c>
      <c r="X98" s="866">
        <v>0.71287959959489811</v>
      </c>
      <c r="Y98" s="866">
        <v>0.31798192332568803</v>
      </c>
      <c r="Z98" s="866">
        <v>0.64727754864403375</v>
      </c>
      <c r="AA98" s="866">
        <v>0.31573463041148658</v>
      </c>
      <c r="AB98" s="866">
        <v>0.6992405121827151</v>
      </c>
      <c r="AC98" s="866">
        <v>0</v>
      </c>
      <c r="AD98" s="866">
        <v>0.52911306763207411</v>
      </c>
      <c r="AE98" s="866">
        <v>0.54385838072898252</v>
      </c>
      <c r="AF98" s="866">
        <v>0.18277002780514756</v>
      </c>
      <c r="AG98" s="866">
        <v>0.18270216352602306</v>
      </c>
      <c r="AH98" s="866">
        <v>0.47911110397052364</v>
      </c>
      <c r="AI98" s="866">
        <v>0</v>
      </c>
      <c r="AJ98" s="869">
        <v>0.62306088695822959</v>
      </c>
      <c r="AK98" s="852" t="s">
        <v>216</v>
      </c>
      <c r="AL98" s="849">
        <v>0.38635207353209183</v>
      </c>
      <c r="AM98" s="849">
        <v>0.30993430945372641</v>
      </c>
      <c r="AN98" s="849">
        <v>0.72023366141345335</v>
      </c>
      <c r="AO98" s="849">
        <v>0.51988896491920611</v>
      </c>
      <c r="AP98" s="849">
        <v>0.80178653479435313</v>
      </c>
      <c r="AQ98" s="849">
        <v>0.54200908264710168</v>
      </c>
      <c r="AR98" s="849">
        <v>1.1787707597898949</v>
      </c>
      <c r="AS98" s="849">
        <v>0.50606547970916438</v>
      </c>
      <c r="AT98" s="849">
        <v>0.71947558140353263</v>
      </c>
      <c r="AU98" s="849">
        <v>0.62306088695822948</v>
      </c>
      <c r="AV98" s="914"/>
      <c r="AW98" s="1024"/>
      <c r="AX98" s="848"/>
      <c r="AY98" s="849"/>
      <c r="AZ98" s="849"/>
      <c r="BA98" s="849"/>
      <c r="BB98" s="849"/>
      <c r="BC98" s="849"/>
    </row>
    <row r="99" spans="1:55" s="947" customFormat="1" x14ac:dyDescent="0.25">
      <c r="A99" s="1041">
        <v>41928</v>
      </c>
      <c r="B99" s="1041"/>
      <c r="C99" s="1041"/>
      <c r="D99" s="529"/>
      <c r="E99" s="529"/>
      <c r="F99" s="529"/>
      <c r="G99" s="529"/>
      <c r="H99" s="529"/>
      <c r="I99" s="525"/>
      <c r="J99" s="531"/>
      <c r="K99" s="531"/>
      <c r="L99" s="529"/>
      <c r="M99" s="529"/>
      <c r="N99" s="527"/>
      <c r="R99" s="526"/>
      <c r="S99" s="534"/>
      <c r="T99" s="534"/>
      <c r="U99" s="534"/>
      <c r="V99" s="534"/>
      <c r="W99" s="534"/>
      <c r="X99" s="534"/>
      <c r="Y99" s="534"/>
      <c r="Z99" s="534"/>
      <c r="AA99" s="534"/>
      <c r="AB99" s="534"/>
      <c r="AC99" s="534"/>
      <c r="AD99" s="534"/>
      <c r="AE99" s="534"/>
      <c r="AF99" s="534"/>
      <c r="AG99" s="534"/>
      <c r="AH99" s="534"/>
      <c r="AI99" s="534"/>
      <c r="AJ99" s="534"/>
      <c r="AK99" s="534"/>
      <c r="AL99" s="534"/>
      <c r="AM99" s="534"/>
      <c r="AN99" s="534"/>
      <c r="AO99" s="534"/>
    </row>
    <row r="100" spans="1:55" s="947" customFormat="1" x14ac:dyDescent="0.25">
      <c r="A100" s="1042" t="s">
        <v>1</v>
      </c>
      <c r="B100" s="1042"/>
      <c r="C100" s="1022" t="s">
        <v>12</v>
      </c>
      <c r="D100" s="1022" t="s">
        <v>12</v>
      </c>
      <c r="E100" s="1022" t="s">
        <v>13</v>
      </c>
      <c r="F100" s="1022" t="s">
        <v>13</v>
      </c>
      <c r="G100" s="1022" t="s">
        <v>13</v>
      </c>
      <c r="H100" s="1022" t="s">
        <v>13</v>
      </c>
      <c r="I100" s="1022" t="s">
        <v>13</v>
      </c>
      <c r="J100" s="1022" t="s">
        <v>13</v>
      </c>
      <c r="K100" s="1022" t="s">
        <v>13</v>
      </c>
      <c r="L100" s="1022" t="s">
        <v>13</v>
      </c>
      <c r="M100" s="1022" t="s">
        <v>2</v>
      </c>
      <c r="N100" s="1022" t="s">
        <v>2</v>
      </c>
      <c r="O100" s="1022" t="s">
        <v>2</v>
      </c>
      <c r="P100" s="1022" t="s">
        <v>2</v>
      </c>
      <c r="Q100" s="1022" t="s">
        <v>2</v>
      </c>
      <c r="R100" s="1022" t="s">
        <v>2</v>
      </c>
      <c r="S100" s="1022" t="s">
        <v>2</v>
      </c>
      <c r="T100" s="1022" t="s">
        <v>183</v>
      </c>
      <c r="U100" s="1022" t="s">
        <v>183</v>
      </c>
      <c r="V100" s="1022" t="s">
        <v>2</v>
      </c>
      <c r="W100" s="1022" t="s">
        <v>13</v>
      </c>
      <c r="X100" s="1022" t="s">
        <v>13</v>
      </c>
      <c r="Y100" s="1022" t="s">
        <v>2</v>
      </c>
      <c r="Z100" s="1022" t="s">
        <v>13</v>
      </c>
      <c r="AA100" s="1022" t="s">
        <v>2</v>
      </c>
      <c r="AB100" s="1022" t="s">
        <v>2</v>
      </c>
      <c r="AC100" s="1022" t="s">
        <v>2</v>
      </c>
      <c r="AD100" s="1022" t="s">
        <v>13</v>
      </c>
      <c r="AE100" s="1022" t="s">
        <v>12</v>
      </c>
      <c r="AF100" s="1022" t="s">
        <v>13</v>
      </c>
      <c r="AG100" s="1022" t="s">
        <v>12</v>
      </c>
      <c r="AH100" s="1022" t="s">
        <v>13</v>
      </c>
      <c r="AI100" s="1022" t="s">
        <v>13</v>
      </c>
      <c r="AJ100" s="1022" t="s">
        <v>219</v>
      </c>
      <c r="AK100" s="1042" t="s">
        <v>0</v>
      </c>
      <c r="AL100" s="1042"/>
      <c r="AM100" s="833"/>
      <c r="AN100" s="833"/>
      <c r="AO100" s="833"/>
      <c r="AP100" s="833"/>
      <c r="AQ100" s="833"/>
      <c r="AR100" s="833"/>
      <c r="AS100" s="833"/>
      <c r="AT100" s="833"/>
      <c r="AU100" s="803"/>
      <c r="AV100" s="803"/>
      <c r="AW100" s="1042" t="s">
        <v>1</v>
      </c>
      <c r="AX100" s="1043"/>
      <c r="AY100" s="1022" t="s">
        <v>12</v>
      </c>
      <c r="AZ100" s="1044" t="s">
        <v>13</v>
      </c>
      <c r="BA100" s="1045"/>
      <c r="BB100" s="1044" t="s">
        <v>2</v>
      </c>
      <c r="BC100" s="1045"/>
    </row>
    <row r="101" spans="1:55" s="947" customFormat="1" x14ac:dyDescent="0.25">
      <c r="A101" s="1042" t="s">
        <v>0</v>
      </c>
      <c r="B101" s="1042"/>
      <c r="C101" s="1022" t="s">
        <v>99</v>
      </c>
      <c r="D101" s="835" t="s">
        <v>100</v>
      </c>
      <c r="E101" s="835" t="s">
        <v>101</v>
      </c>
      <c r="F101" s="1022" t="s">
        <v>102</v>
      </c>
      <c r="G101" s="835" t="s">
        <v>97</v>
      </c>
      <c r="H101" s="1022" t="s">
        <v>104</v>
      </c>
      <c r="I101" s="835" t="s">
        <v>103</v>
      </c>
      <c r="J101" s="835" t="s">
        <v>178</v>
      </c>
      <c r="K101" s="835" t="s">
        <v>199</v>
      </c>
      <c r="L101" s="1022" t="s">
        <v>206</v>
      </c>
      <c r="M101" s="1022" t="s">
        <v>105</v>
      </c>
      <c r="N101" s="1022" t="s">
        <v>107</v>
      </c>
      <c r="O101" s="835" t="s">
        <v>98</v>
      </c>
      <c r="P101" s="835" t="s">
        <v>106</v>
      </c>
      <c r="Q101" s="835" t="s">
        <v>179</v>
      </c>
      <c r="R101" s="835" t="s">
        <v>198</v>
      </c>
      <c r="S101" s="1022" t="s">
        <v>207</v>
      </c>
      <c r="T101" s="1022" t="s">
        <v>182</v>
      </c>
      <c r="U101" s="1022" t="s">
        <v>184</v>
      </c>
      <c r="V101" s="835" t="s">
        <v>221</v>
      </c>
      <c r="W101" s="835" t="s">
        <v>222</v>
      </c>
      <c r="X101" s="835" t="s">
        <v>255</v>
      </c>
      <c r="Y101" s="835" t="s">
        <v>256</v>
      </c>
      <c r="Z101" s="835" t="s">
        <v>266</v>
      </c>
      <c r="AA101" s="835" t="s">
        <v>267</v>
      </c>
      <c r="AB101" s="1022" t="s">
        <v>268</v>
      </c>
      <c r="AC101" s="1022" t="s">
        <v>269</v>
      </c>
      <c r="AD101" s="1022" t="s">
        <v>295</v>
      </c>
      <c r="AE101" s="1022" t="s">
        <v>290</v>
      </c>
      <c r="AF101" s="946" t="s">
        <v>291</v>
      </c>
      <c r="AG101" s="946" t="s">
        <v>292</v>
      </c>
      <c r="AH101" s="1022" t="s">
        <v>293</v>
      </c>
      <c r="AI101" s="1022" t="s">
        <v>294</v>
      </c>
      <c r="AJ101" s="1022"/>
      <c r="AK101" s="903" t="s">
        <v>1</v>
      </c>
      <c r="AL101" s="838" t="s">
        <v>257</v>
      </c>
      <c r="AM101" s="838" t="s">
        <v>258</v>
      </c>
      <c r="AN101" s="838" t="s">
        <v>259</v>
      </c>
      <c r="AO101" s="838" t="s">
        <v>260</v>
      </c>
      <c r="AP101" s="838" t="s">
        <v>261</v>
      </c>
      <c r="AQ101" s="838" t="s">
        <v>262</v>
      </c>
      <c r="AR101" s="838" t="s">
        <v>263</v>
      </c>
      <c r="AS101" s="904" t="s">
        <v>264</v>
      </c>
      <c r="AT101" s="904" t="s">
        <v>265</v>
      </c>
      <c r="AU101" s="988" t="s">
        <v>306</v>
      </c>
      <c r="AV101" s="988"/>
      <c r="AW101" s="1046" t="s">
        <v>0</v>
      </c>
      <c r="AX101" s="1043"/>
      <c r="AY101" s="834" t="s">
        <v>99</v>
      </c>
      <c r="AZ101" s="834" t="s">
        <v>104</v>
      </c>
      <c r="BA101" s="834" t="s">
        <v>206</v>
      </c>
      <c r="BB101" s="834" t="s">
        <v>107</v>
      </c>
      <c r="BC101" s="834" t="s">
        <v>207</v>
      </c>
    </row>
    <row r="102" spans="1:55" s="947" customFormat="1" ht="30" x14ac:dyDescent="0.25">
      <c r="A102" s="1047" t="s">
        <v>9</v>
      </c>
      <c r="B102" s="839" t="s">
        <v>4</v>
      </c>
      <c r="C102" s="1022">
        <v>250018.4</v>
      </c>
      <c r="D102" s="1022">
        <v>150516.70000000001</v>
      </c>
      <c r="E102" s="1022">
        <v>150516.70000000001</v>
      </c>
      <c r="F102" s="1022">
        <v>181998.8</v>
      </c>
      <c r="G102" s="1022">
        <v>165765.70000000001</v>
      </c>
      <c r="H102" s="1022">
        <v>389505</v>
      </c>
      <c r="I102" s="1022">
        <v>171975.5</v>
      </c>
      <c r="J102" s="1022">
        <v>166078</v>
      </c>
      <c r="K102" s="1022">
        <v>124019.2</v>
      </c>
      <c r="L102" s="1022">
        <v>224071.2</v>
      </c>
      <c r="M102" s="1022">
        <v>193029.1</v>
      </c>
      <c r="N102" s="1022">
        <v>438219.9</v>
      </c>
      <c r="O102" s="1022">
        <v>83038.8</v>
      </c>
      <c r="P102" s="1022">
        <v>276130.40000000002</v>
      </c>
      <c r="Q102" s="1022">
        <v>83038.8</v>
      </c>
      <c r="R102" s="1022">
        <v>191618.2</v>
      </c>
      <c r="S102" s="1022">
        <v>262288.90000000002</v>
      </c>
      <c r="T102" s="1022">
        <v>55151</v>
      </c>
      <c r="U102" s="1022">
        <v>33090.5</v>
      </c>
      <c r="V102" s="1022">
        <v>102196.5</v>
      </c>
      <c r="W102" s="1022">
        <v>209496.5</v>
      </c>
      <c r="X102" s="1022">
        <v>102196.5</v>
      </c>
      <c r="Y102" s="1022">
        <v>209496.5</v>
      </c>
      <c r="Z102" s="1022">
        <v>102196.5</v>
      </c>
      <c r="AA102" s="1022">
        <v>209496.5</v>
      </c>
      <c r="AB102" s="1022">
        <v>328695.2</v>
      </c>
      <c r="AC102" s="1022">
        <v>190871.2</v>
      </c>
      <c r="AD102" s="1022">
        <v>224071.2</v>
      </c>
      <c r="AE102" s="1022">
        <v>224071.2</v>
      </c>
      <c r="AF102" s="1022">
        <v>156194.1</v>
      </c>
      <c r="AG102" s="1022">
        <v>156194.1</v>
      </c>
      <c r="AH102" s="1022">
        <v>224071.2</v>
      </c>
      <c r="AI102" s="1022">
        <v>190871.2</v>
      </c>
      <c r="AJ102" s="1022">
        <v>6220189.1999999993</v>
      </c>
      <c r="AK102" s="841" t="s">
        <v>4</v>
      </c>
      <c r="AL102" s="863">
        <v>474089.6</v>
      </c>
      <c r="AM102" s="863">
        <v>306710.80000000005</v>
      </c>
      <c r="AN102" s="863">
        <v>1434588.5999999999</v>
      </c>
      <c r="AO102" s="863">
        <v>1348438.7000000002</v>
      </c>
      <c r="AP102" s="863">
        <v>1413104.3</v>
      </c>
      <c r="AQ102" s="863">
        <v>1155015.7</v>
      </c>
      <c r="AR102" s="863">
        <v>88241.5</v>
      </c>
      <c r="AS102" s="863">
        <v>2810165.2</v>
      </c>
      <c r="AT102" s="863">
        <v>3410024</v>
      </c>
      <c r="AU102" s="863">
        <v>6220189.2000000002</v>
      </c>
      <c r="AV102" s="989"/>
      <c r="AW102" s="875" t="s">
        <v>194</v>
      </c>
      <c r="AX102" s="872" t="s">
        <v>4</v>
      </c>
      <c r="AY102" s="840">
        <v>143393</v>
      </c>
      <c r="AZ102" s="840">
        <v>132132</v>
      </c>
      <c r="BA102" s="840">
        <v>83196.100000000006</v>
      </c>
      <c r="BB102" s="840">
        <v>132132.20000000001</v>
      </c>
      <c r="BC102" s="840">
        <v>83196.100000000006</v>
      </c>
    </row>
    <row r="103" spans="1:55" s="947" customFormat="1" x14ac:dyDescent="0.25">
      <c r="A103" s="1047"/>
      <c r="B103" s="844" t="s">
        <v>5</v>
      </c>
      <c r="C103" s="583">
        <v>53782.6</v>
      </c>
      <c r="D103" s="583">
        <v>87103</v>
      </c>
      <c r="E103" s="583">
        <v>86850.3</v>
      </c>
      <c r="F103" s="583">
        <v>102355.3</v>
      </c>
      <c r="G103" s="583">
        <v>118803.1</v>
      </c>
      <c r="H103" s="583">
        <v>207860.2</v>
      </c>
      <c r="I103" s="583">
        <v>96776.5</v>
      </c>
      <c r="J103" s="583">
        <v>52548.5</v>
      </c>
      <c r="K103" s="583">
        <v>100706.6</v>
      </c>
      <c r="L103" s="583">
        <v>96469.9</v>
      </c>
      <c r="M103" s="583">
        <v>80733.899999999994</v>
      </c>
      <c r="N103" s="583">
        <v>213027.3</v>
      </c>
      <c r="O103" s="583">
        <v>59885</v>
      </c>
      <c r="P103" s="583">
        <v>182153.2</v>
      </c>
      <c r="Q103" s="583">
        <v>27154.5</v>
      </c>
      <c r="R103" s="583">
        <v>154319.5</v>
      </c>
      <c r="S103" s="583">
        <v>183460.8</v>
      </c>
      <c r="T103" s="583">
        <v>17841</v>
      </c>
      <c r="U103" s="583">
        <v>11553.4</v>
      </c>
      <c r="V103" s="583">
        <v>15602</v>
      </c>
      <c r="W103" s="583">
        <v>31203.9</v>
      </c>
      <c r="X103" s="583">
        <v>34544.6</v>
      </c>
      <c r="Y103" s="583">
        <v>68201.2</v>
      </c>
      <c r="Z103" s="583">
        <v>13066.6</v>
      </c>
      <c r="AA103" s="583">
        <v>25972.400000000001</v>
      </c>
      <c r="AB103" s="583">
        <v>135368.4</v>
      </c>
      <c r="AC103" s="583">
        <v>4.9000000000000004</v>
      </c>
      <c r="AD103" s="583">
        <v>30587.599999999999</v>
      </c>
      <c r="AE103" s="583">
        <v>67716.100000000006</v>
      </c>
      <c r="AF103" s="583">
        <v>20604.900000000001</v>
      </c>
      <c r="AG103" s="583">
        <v>20574.400000000001</v>
      </c>
      <c r="AH103" s="583">
        <v>733.8</v>
      </c>
      <c r="AI103" s="583">
        <v>4.9000000000000004</v>
      </c>
      <c r="AJ103" s="583">
        <v>2397570.2999999993</v>
      </c>
      <c r="AK103" s="846" t="s">
        <v>5</v>
      </c>
      <c r="AL103" s="863">
        <v>121498.70000000001</v>
      </c>
      <c r="AM103" s="863">
        <v>107677.4</v>
      </c>
      <c r="AN103" s="863">
        <v>438011.7</v>
      </c>
      <c r="AO103" s="863">
        <v>555105</v>
      </c>
      <c r="AP103" s="863">
        <v>612595.29999999993</v>
      </c>
      <c r="AQ103" s="863">
        <v>533287.80000000005</v>
      </c>
      <c r="AR103" s="863">
        <v>29394.400000000001</v>
      </c>
      <c r="AS103" s="863">
        <v>1196070.2000000002</v>
      </c>
      <c r="AT103" s="863">
        <v>1201500.0999999999</v>
      </c>
      <c r="AU103" s="863">
        <v>2397570.2999999998</v>
      </c>
      <c r="AV103" s="990"/>
      <c r="AW103" s="876"/>
      <c r="AX103" s="873" t="s">
        <v>5</v>
      </c>
      <c r="AY103" s="583">
        <v>51964.9</v>
      </c>
      <c r="AZ103" s="583">
        <v>58542</v>
      </c>
      <c r="BA103" s="583">
        <v>2519</v>
      </c>
      <c r="BB103" s="583">
        <v>70731</v>
      </c>
      <c r="BC103" s="583">
        <v>31444.9</v>
      </c>
    </row>
    <row r="104" spans="1:55" s="947" customFormat="1" x14ac:dyDescent="0.25">
      <c r="A104" s="1047"/>
      <c r="B104" s="848" t="s">
        <v>3</v>
      </c>
      <c r="C104" s="866">
        <v>0.21511456756782701</v>
      </c>
      <c r="D104" s="866">
        <v>0.5786932612793132</v>
      </c>
      <c r="E104" s="866">
        <v>0.57701437780658227</v>
      </c>
      <c r="F104" s="866">
        <v>0.56239546634373416</v>
      </c>
      <c r="G104" s="866">
        <v>0.71669289847055206</v>
      </c>
      <c r="H104" s="866">
        <v>0.53365219958665489</v>
      </c>
      <c r="I104" s="866">
        <v>0.56273422667763717</v>
      </c>
      <c r="J104" s="866">
        <v>0.31640855501631765</v>
      </c>
      <c r="K104" s="866">
        <v>0.81202426721023846</v>
      </c>
      <c r="L104" s="866">
        <v>0.43053234864632306</v>
      </c>
      <c r="M104" s="866">
        <v>0.41824730053655118</v>
      </c>
      <c r="N104" s="866">
        <v>0.48611963993419738</v>
      </c>
      <c r="O104" s="866">
        <v>0.72116889935789052</v>
      </c>
      <c r="P104" s="866">
        <v>0.65966369512375311</v>
      </c>
      <c r="Q104" s="866">
        <v>0.3270097833783725</v>
      </c>
      <c r="R104" s="866">
        <v>0.80534886560879915</v>
      </c>
      <c r="S104" s="866">
        <v>0.69946078541638612</v>
      </c>
      <c r="T104" s="866">
        <v>0.32349368098493225</v>
      </c>
      <c r="U104" s="866">
        <v>0.349145525150723</v>
      </c>
      <c r="V104" s="866">
        <v>0.15266667645173759</v>
      </c>
      <c r="W104" s="866">
        <v>0.14894711844827957</v>
      </c>
      <c r="X104" s="866">
        <v>0.33802136080981243</v>
      </c>
      <c r="Y104" s="866">
        <v>0.32554815951579141</v>
      </c>
      <c r="Z104" s="866">
        <v>0.12785760764801143</v>
      </c>
      <c r="AA104" s="866">
        <v>0.12397534087681657</v>
      </c>
      <c r="AB104" s="866">
        <v>0.41183564591147054</v>
      </c>
      <c r="AC104" s="866">
        <v>2.5671761900171424E-5</v>
      </c>
      <c r="AD104" s="866">
        <v>0.13650839554570154</v>
      </c>
      <c r="AE104" s="866">
        <v>0.30220795889877861</v>
      </c>
      <c r="AF104" s="866">
        <v>0.13191855518230203</v>
      </c>
      <c r="AG104" s="866">
        <v>0.131723285322557</v>
      </c>
      <c r="AH104" s="866">
        <v>3.274851922067628E-3</v>
      </c>
      <c r="AI104" s="866">
        <v>2.5671761900171424E-5</v>
      </c>
      <c r="AJ104" s="869">
        <v>0.38544973840988628</v>
      </c>
      <c r="AK104" s="852" t="s">
        <v>3</v>
      </c>
      <c r="AL104" s="849">
        <v>0.25627792721038389</v>
      </c>
      <c r="AM104" s="849">
        <v>0.35107143276337183</v>
      </c>
      <c r="AN104" s="849">
        <v>0.30532216692646241</v>
      </c>
      <c r="AO104" s="849">
        <v>0.41166498706986082</v>
      </c>
      <c r="AP104" s="849">
        <v>0.43351032192032812</v>
      </c>
      <c r="AQ104" s="849">
        <v>0.46171476283828877</v>
      </c>
      <c r="AR104" s="849">
        <v>0.33311310437832542</v>
      </c>
      <c r="AS104" s="849">
        <v>0.42562273563134301</v>
      </c>
      <c r="AT104" s="849">
        <v>0.35234359054364423</v>
      </c>
      <c r="AU104" s="849">
        <v>0.38544973840988628</v>
      </c>
      <c r="AV104" s="991"/>
      <c r="AW104" s="876"/>
      <c r="AX104" s="874" t="s">
        <v>3</v>
      </c>
      <c r="AY104" s="849">
        <v>0.36239495651810061</v>
      </c>
      <c r="AZ104" s="849">
        <v>0.44305694305694304</v>
      </c>
      <c r="BA104" s="849">
        <v>3.0277861582453984E-2</v>
      </c>
      <c r="BB104" s="849">
        <v>0.53530479322981073</v>
      </c>
      <c r="BC104" s="849">
        <v>0.37796122654787906</v>
      </c>
    </row>
    <row r="105" spans="1:55" s="947" customFormat="1" ht="30" x14ac:dyDescent="0.25">
      <c r="A105" s="1040" t="s">
        <v>6</v>
      </c>
      <c r="B105" s="854" t="s">
        <v>7</v>
      </c>
      <c r="C105" s="840">
        <v>3713</v>
      </c>
      <c r="D105" s="840">
        <v>3620</v>
      </c>
      <c r="E105" s="840">
        <v>3560</v>
      </c>
      <c r="F105" s="840">
        <v>6595</v>
      </c>
      <c r="G105" s="840">
        <v>8432</v>
      </c>
      <c r="H105" s="840">
        <v>15082</v>
      </c>
      <c r="I105" s="840">
        <v>7076</v>
      </c>
      <c r="J105" s="840">
        <v>9599</v>
      </c>
      <c r="K105" s="840">
        <v>6955</v>
      </c>
      <c r="L105" s="840">
        <v>9334</v>
      </c>
      <c r="M105" s="840">
        <v>5429</v>
      </c>
      <c r="N105" s="840">
        <v>15002</v>
      </c>
      <c r="O105" s="840">
        <v>4357</v>
      </c>
      <c r="P105" s="840">
        <v>8508</v>
      </c>
      <c r="Q105" s="840">
        <v>4799</v>
      </c>
      <c r="R105" s="840">
        <v>9594</v>
      </c>
      <c r="S105" s="840">
        <v>11560</v>
      </c>
      <c r="T105" s="840">
        <v>2480</v>
      </c>
      <c r="U105" s="840">
        <v>1570</v>
      </c>
      <c r="V105" s="840">
        <v>3999</v>
      </c>
      <c r="W105" s="840">
        <v>7999</v>
      </c>
      <c r="X105" s="840">
        <v>3999</v>
      </c>
      <c r="Y105" s="840">
        <v>7999</v>
      </c>
      <c r="Z105" s="840">
        <v>3999</v>
      </c>
      <c r="AA105" s="840">
        <v>7999</v>
      </c>
      <c r="AB105" s="840">
        <v>12000</v>
      </c>
      <c r="AC105" s="840">
        <v>6400</v>
      </c>
      <c r="AD105" s="840">
        <v>6399</v>
      </c>
      <c r="AE105" s="840">
        <v>6399</v>
      </c>
      <c r="AF105" s="840">
        <v>4800</v>
      </c>
      <c r="AG105" s="840">
        <v>4800</v>
      </c>
      <c r="AH105" s="840">
        <v>6399</v>
      </c>
      <c r="AI105" s="840">
        <v>6400</v>
      </c>
      <c r="AJ105" s="840">
        <v>226856</v>
      </c>
      <c r="AK105" s="856" t="s">
        <v>7</v>
      </c>
      <c r="AL105" s="858">
        <v>10112</v>
      </c>
      <c r="AM105" s="858">
        <v>8420</v>
      </c>
      <c r="AN105" s="858">
        <v>50209</v>
      </c>
      <c r="AO105" s="858">
        <v>56419</v>
      </c>
      <c r="AP105" s="858">
        <v>50391</v>
      </c>
      <c r="AQ105" s="858">
        <v>47255</v>
      </c>
      <c r="AR105" s="858">
        <v>4050</v>
      </c>
      <c r="AS105" s="858">
        <v>112094</v>
      </c>
      <c r="AT105" s="858">
        <v>114762</v>
      </c>
      <c r="AU105" s="858">
        <v>226856</v>
      </c>
      <c r="AV105" s="657"/>
      <c r="AW105" s="880" t="s">
        <v>190</v>
      </c>
      <c r="AX105" s="879" t="s">
        <v>4</v>
      </c>
      <c r="AY105" s="857">
        <v>9191.7999999999993</v>
      </c>
      <c r="AZ105" s="857">
        <v>13787.7</v>
      </c>
      <c r="BA105" s="857">
        <v>8804.7999999999993</v>
      </c>
      <c r="BB105" s="857">
        <v>13787.7</v>
      </c>
      <c r="BC105" s="857">
        <v>8804.7999999999993</v>
      </c>
    </row>
    <row r="106" spans="1:55" s="947" customFormat="1" x14ac:dyDescent="0.25">
      <c r="A106" s="1040"/>
      <c r="B106" s="839" t="s">
        <v>11</v>
      </c>
      <c r="C106" s="858">
        <v>125191.22099999999</v>
      </c>
      <c r="D106" s="858">
        <v>122055.54</v>
      </c>
      <c r="E106" s="858">
        <v>120032.51999999999</v>
      </c>
      <c r="F106" s="858">
        <v>222363.61499999999</v>
      </c>
      <c r="G106" s="858">
        <v>284301.74400000001</v>
      </c>
      <c r="H106" s="858">
        <v>508519.79399999999</v>
      </c>
      <c r="I106" s="858">
        <v>238581.492</v>
      </c>
      <c r="J106" s="858">
        <v>323649.48300000001</v>
      </c>
      <c r="K106" s="858">
        <v>234501.73499999999</v>
      </c>
      <c r="L106" s="858">
        <v>314714.478</v>
      </c>
      <c r="M106" s="858">
        <v>183049.59299999999</v>
      </c>
      <c r="N106" s="858">
        <v>505822.43400000001</v>
      </c>
      <c r="O106" s="858">
        <v>146904.96899999998</v>
      </c>
      <c r="P106" s="858">
        <v>286864.23599999998</v>
      </c>
      <c r="Q106" s="858">
        <v>161807.883</v>
      </c>
      <c r="R106" s="858">
        <v>323480.89799999999</v>
      </c>
      <c r="S106" s="858">
        <v>389768.51999999996</v>
      </c>
      <c r="T106" s="858">
        <v>83618.16</v>
      </c>
      <c r="U106" s="858">
        <v>52935.689999999995</v>
      </c>
      <c r="V106" s="858">
        <v>134834.283</v>
      </c>
      <c r="W106" s="858">
        <v>269702.283</v>
      </c>
      <c r="X106" s="858">
        <v>134834.283</v>
      </c>
      <c r="Y106" s="858">
        <v>269702.283</v>
      </c>
      <c r="Z106" s="858">
        <v>134834.283</v>
      </c>
      <c r="AA106" s="858">
        <v>269702.283</v>
      </c>
      <c r="AB106" s="858">
        <v>404604</v>
      </c>
      <c r="AC106" s="858">
        <v>215788.79999999999</v>
      </c>
      <c r="AD106" s="858">
        <v>215755.08299999998</v>
      </c>
      <c r="AE106" s="858">
        <v>215755.08299999998</v>
      </c>
      <c r="AF106" s="858">
        <v>161841.60000000001</v>
      </c>
      <c r="AG106" s="858">
        <v>161841.60000000001</v>
      </c>
      <c r="AH106" s="858">
        <v>215755.08299999998</v>
      </c>
      <c r="AI106" s="858">
        <v>215788.79999999999</v>
      </c>
      <c r="AJ106" s="858">
        <v>7648903.7519999966</v>
      </c>
      <c r="AK106" s="841" t="s">
        <v>11</v>
      </c>
      <c r="AL106" s="858">
        <v>340946.304</v>
      </c>
      <c r="AM106" s="858">
        <v>283897.14</v>
      </c>
      <c r="AN106" s="858">
        <v>1692896.8529999999</v>
      </c>
      <c r="AO106" s="858">
        <v>1902279.423</v>
      </c>
      <c r="AP106" s="858">
        <v>1699033.3469999998</v>
      </c>
      <c r="AQ106" s="858">
        <v>1593296.835</v>
      </c>
      <c r="AR106" s="858">
        <v>136553.85</v>
      </c>
      <c r="AS106" s="858">
        <v>3779473.398</v>
      </c>
      <c r="AT106" s="858">
        <v>3869430.3539999998</v>
      </c>
      <c r="AU106" s="858">
        <v>7648903.7520000003</v>
      </c>
      <c r="AV106" s="992"/>
      <c r="AW106" s="876"/>
      <c r="AX106" s="873" t="s">
        <v>5</v>
      </c>
      <c r="AY106" s="583">
        <v>7975.5</v>
      </c>
      <c r="AZ106" s="583">
        <v>13649</v>
      </c>
      <c r="BA106" s="583">
        <v>1289.9000000000001</v>
      </c>
      <c r="BB106" s="583">
        <v>13642</v>
      </c>
      <c r="BC106" s="583">
        <v>5483.9</v>
      </c>
    </row>
    <row r="107" spans="1:55" s="947" customFormat="1" x14ac:dyDescent="0.25">
      <c r="A107" s="1040"/>
      <c r="B107" s="839" t="s">
        <v>79</v>
      </c>
      <c r="C107" s="858">
        <v>164000</v>
      </c>
      <c r="D107" s="858">
        <v>109880</v>
      </c>
      <c r="E107" s="858">
        <v>109880</v>
      </c>
      <c r="F107" s="858">
        <v>328000</v>
      </c>
      <c r="G107" s="858">
        <v>330905</v>
      </c>
      <c r="H107" s="858">
        <v>264264</v>
      </c>
      <c r="I107" s="858">
        <v>242663.6</v>
      </c>
      <c r="J107" s="858">
        <v>328000</v>
      </c>
      <c r="K107" s="858">
        <v>328000</v>
      </c>
      <c r="L107" s="858">
        <v>328000</v>
      </c>
      <c r="M107" s="858">
        <v>328000</v>
      </c>
      <c r="N107" s="858">
        <v>264264.40000000002</v>
      </c>
      <c r="O107" s="858">
        <v>328000</v>
      </c>
      <c r="P107" s="858">
        <v>352965.4</v>
      </c>
      <c r="Q107" s="858">
        <v>328000</v>
      </c>
      <c r="R107" s="858">
        <v>328000</v>
      </c>
      <c r="S107" s="858">
        <v>328000</v>
      </c>
      <c r="T107" s="858">
        <v>110302</v>
      </c>
      <c r="U107" s="858">
        <v>66181</v>
      </c>
      <c r="V107" s="858">
        <v>204393</v>
      </c>
      <c r="W107" s="858">
        <v>418993</v>
      </c>
      <c r="X107" s="858">
        <v>204393</v>
      </c>
      <c r="Y107" s="858">
        <v>418993</v>
      </c>
      <c r="Z107" s="858">
        <v>204393</v>
      </c>
      <c r="AA107" s="858">
        <v>418993</v>
      </c>
      <c r="AB107" s="858">
        <v>657390.4</v>
      </c>
      <c r="AC107" s="858">
        <v>381742.4</v>
      </c>
      <c r="AD107" s="858">
        <v>448142.4</v>
      </c>
      <c r="AE107" s="858">
        <v>448142.4</v>
      </c>
      <c r="AF107" s="858">
        <v>312388.2</v>
      </c>
      <c r="AG107" s="858">
        <v>312388.2</v>
      </c>
      <c r="AH107" s="858">
        <v>448142.4</v>
      </c>
      <c r="AI107" s="858">
        <v>381742.4</v>
      </c>
      <c r="AJ107" s="858">
        <v>10227542.200000001</v>
      </c>
      <c r="AK107" s="841" t="s">
        <v>79</v>
      </c>
      <c r="AL107" s="858">
        <v>948179.2</v>
      </c>
      <c r="AM107" s="858">
        <v>613421.60000000009</v>
      </c>
      <c r="AN107" s="858">
        <v>2869177.1999999997</v>
      </c>
      <c r="AO107" s="858">
        <v>2696877.4000000004</v>
      </c>
      <c r="AP107" s="858">
        <v>2826208.6</v>
      </c>
      <c r="AQ107" s="858">
        <v>2310031.4</v>
      </c>
      <c r="AR107" s="858">
        <v>176483</v>
      </c>
      <c r="AS107" s="858">
        <v>5620330.4000000004</v>
      </c>
      <c r="AT107" s="858">
        <v>6820048</v>
      </c>
      <c r="AU107" s="858">
        <v>12440378.4</v>
      </c>
      <c r="AV107" s="993"/>
      <c r="AW107" s="877"/>
      <c r="AX107" s="874" t="s">
        <v>3</v>
      </c>
      <c r="AY107" s="849">
        <v>0.86767553689157739</v>
      </c>
      <c r="AZ107" s="849">
        <v>0.98994030911609621</v>
      </c>
      <c r="BA107" s="849">
        <v>0.14649963656187537</v>
      </c>
      <c r="BB107" s="849">
        <v>0.98943261022505558</v>
      </c>
      <c r="BC107" s="849">
        <v>0.62283072869343992</v>
      </c>
    </row>
    <row r="108" spans="1:55" s="947" customFormat="1" ht="45" x14ac:dyDescent="0.25">
      <c r="A108" s="1040"/>
      <c r="B108" s="844" t="s">
        <v>8</v>
      </c>
      <c r="C108" s="861">
        <v>2114</v>
      </c>
      <c r="D108" s="861">
        <v>1998</v>
      </c>
      <c r="E108" s="861">
        <v>1634</v>
      </c>
      <c r="F108" s="861">
        <v>4795</v>
      </c>
      <c r="G108" s="861">
        <v>3366</v>
      </c>
      <c r="H108" s="861">
        <v>12462</v>
      </c>
      <c r="I108" s="861">
        <v>5651</v>
      </c>
      <c r="J108" s="861">
        <v>1385</v>
      </c>
      <c r="K108" s="861">
        <v>6071</v>
      </c>
      <c r="L108" s="861">
        <v>6631</v>
      </c>
      <c r="M108" s="861">
        <v>4005</v>
      </c>
      <c r="N108" s="861">
        <v>13269</v>
      </c>
      <c r="O108" s="861">
        <v>3436</v>
      </c>
      <c r="P108" s="861">
        <v>6672</v>
      </c>
      <c r="Q108" s="861">
        <v>1833</v>
      </c>
      <c r="R108" s="861">
        <v>4694</v>
      </c>
      <c r="S108" s="861">
        <v>9596</v>
      </c>
      <c r="T108" s="861">
        <v>1888</v>
      </c>
      <c r="U108" s="861">
        <v>1197</v>
      </c>
      <c r="V108" s="861">
        <v>1892</v>
      </c>
      <c r="W108" s="861">
        <v>2524</v>
      </c>
      <c r="X108" s="861">
        <v>2159</v>
      </c>
      <c r="Y108" s="861">
        <v>2971</v>
      </c>
      <c r="Z108" s="861">
        <v>1861</v>
      </c>
      <c r="AA108" s="861">
        <v>3129</v>
      </c>
      <c r="AB108" s="861">
        <v>6671</v>
      </c>
      <c r="AC108" s="861">
        <v>0</v>
      </c>
      <c r="AD108" s="861">
        <v>3320</v>
      </c>
      <c r="AE108" s="861">
        <v>3445</v>
      </c>
      <c r="AF108" s="861">
        <v>812</v>
      </c>
      <c r="AG108" s="861">
        <v>812</v>
      </c>
      <c r="AH108" s="861">
        <v>3183</v>
      </c>
      <c r="AI108" s="861">
        <v>0</v>
      </c>
      <c r="AJ108" s="861">
        <v>125476</v>
      </c>
      <c r="AK108" s="846" t="s">
        <v>8</v>
      </c>
      <c r="AL108" s="858">
        <v>5559</v>
      </c>
      <c r="AM108" s="858">
        <v>2810</v>
      </c>
      <c r="AN108" s="858">
        <v>30391</v>
      </c>
      <c r="AO108" s="858">
        <v>25463</v>
      </c>
      <c r="AP108" s="858">
        <v>33541</v>
      </c>
      <c r="AQ108" s="858">
        <v>24627</v>
      </c>
      <c r="AR108" s="858">
        <v>3085</v>
      </c>
      <c r="AS108" s="858">
        <v>52900</v>
      </c>
      <c r="AT108" s="858">
        <v>72576</v>
      </c>
      <c r="AU108" s="858">
        <v>125476</v>
      </c>
      <c r="AV108" s="993"/>
      <c r="AW108" s="877" t="s">
        <v>191</v>
      </c>
      <c r="AX108" s="839" t="s">
        <v>4</v>
      </c>
      <c r="AY108" s="840">
        <v>97433.600000000006</v>
      </c>
      <c r="AZ108" s="840">
        <v>243584.4</v>
      </c>
      <c r="BA108" s="840">
        <v>132070.29999999999</v>
      </c>
      <c r="BB108" s="840">
        <v>292299.3</v>
      </c>
      <c r="BC108" s="840">
        <v>132070.39999999999</v>
      </c>
    </row>
    <row r="109" spans="1:55" s="947" customFormat="1" x14ac:dyDescent="0.25">
      <c r="A109" s="1040"/>
      <c r="B109" s="839" t="s">
        <v>77</v>
      </c>
      <c r="C109" s="858">
        <v>71277.737999999998</v>
      </c>
      <c r="D109" s="858">
        <v>67366.565999999992</v>
      </c>
      <c r="E109" s="858">
        <v>55093.578000000001</v>
      </c>
      <c r="F109" s="858">
        <v>161673.01499999998</v>
      </c>
      <c r="G109" s="858">
        <v>113491.42199999999</v>
      </c>
      <c r="H109" s="858">
        <v>420181.25399999996</v>
      </c>
      <c r="I109" s="858">
        <v>190534.76699999999</v>
      </c>
      <c r="J109" s="858">
        <v>46698.044999999998</v>
      </c>
      <c r="K109" s="858">
        <v>204695.90700000001</v>
      </c>
      <c r="L109" s="858">
        <v>223577.427</v>
      </c>
      <c r="M109" s="858">
        <v>135036.58499999999</v>
      </c>
      <c r="N109" s="858">
        <v>447390.87299999996</v>
      </c>
      <c r="O109" s="858">
        <v>115851.61199999999</v>
      </c>
      <c r="P109" s="858">
        <v>136823.58600000001</v>
      </c>
      <c r="Q109" s="858">
        <v>61803.260999999999</v>
      </c>
      <c r="R109" s="858">
        <v>158267.598</v>
      </c>
      <c r="S109" s="858">
        <v>323548.33199999999</v>
      </c>
      <c r="T109" s="858">
        <v>63657.695999999996</v>
      </c>
      <c r="U109" s="858">
        <v>40359.248999999996</v>
      </c>
      <c r="V109" s="858">
        <v>63792.563999999998</v>
      </c>
      <c r="W109" s="858">
        <v>85101.707999999999</v>
      </c>
      <c r="X109" s="858">
        <v>72795.002999999997</v>
      </c>
      <c r="Y109" s="858">
        <v>100173.20699999999</v>
      </c>
      <c r="Z109" s="858">
        <v>62747.337</v>
      </c>
      <c r="AA109" s="858">
        <v>105500.493</v>
      </c>
      <c r="AB109" s="858">
        <v>224926.10699999999</v>
      </c>
      <c r="AC109" s="858">
        <v>0</v>
      </c>
      <c r="AD109" s="858">
        <v>111940.44</v>
      </c>
      <c r="AE109" s="858">
        <v>116155.065</v>
      </c>
      <c r="AF109" s="858">
        <v>27378.203999999998</v>
      </c>
      <c r="AG109" s="858">
        <v>27378.203999999998</v>
      </c>
      <c r="AH109" s="858">
        <v>107321.211</v>
      </c>
      <c r="AI109" s="858">
        <v>0</v>
      </c>
      <c r="AJ109" s="858">
        <v>4142538.0539999991</v>
      </c>
      <c r="AK109" s="841" t="s">
        <v>77</v>
      </c>
      <c r="AL109" s="858">
        <v>187432.80299999999</v>
      </c>
      <c r="AM109" s="858">
        <v>94744.76999999999</v>
      </c>
      <c r="AN109" s="858">
        <v>1024693.347</v>
      </c>
      <c r="AO109" s="858">
        <v>858535.97100000002</v>
      </c>
      <c r="AP109" s="858">
        <v>1130901.8969999999</v>
      </c>
      <c r="AQ109" s="858">
        <v>830348.55900000001</v>
      </c>
      <c r="AR109" s="858">
        <v>104016.94499999999</v>
      </c>
      <c r="AS109" s="858">
        <v>1783629.3</v>
      </c>
      <c r="AT109" s="858">
        <v>2447044.9920000001</v>
      </c>
      <c r="AU109" s="858">
        <v>4230674.2920000004</v>
      </c>
      <c r="AV109" s="915"/>
      <c r="AW109" s="1021"/>
      <c r="AX109" s="844" t="s">
        <v>5</v>
      </c>
      <c r="AY109" s="583">
        <v>38973.199999999997</v>
      </c>
      <c r="AZ109" s="583">
        <v>124350.5</v>
      </c>
      <c r="BA109" s="583">
        <v>3817.1</v>
      </c>
      <c r="BB109" s="583">
        <v>109009</v>
      </c>
      <c r="BC109" s="583">
        <v>33401</v>
      </c>
    </row>
    <row r="110" spans="1:55" s="947" customFormat="1" x14ac:dyDescent="0.25">
      <c r="A110" s="1040"/>
      <c r="B110" s="848" t="s">
        <v>217</v>
      </c>
      <c r="C110" s="849">
        <v>0.28508996937825376</v>
      </c>
      <c r="D110" s="849">
        <v>0.4475687149665119</v>
      </c>
      <c r="E110" s="866">
        <v>0.36602966979743773</v>
      </c>
      <c r="F110" s="866">
        <v>0.88831912627995346</v>
      </c>
      <c r="G110" s="866">
        <v>0.68464961086642162</v>
      </c>
      <c r="H110" s="866">
        <v>1.0787570223745522</v>
      </c>
      <c r="I110" s="866">
        <v>1.1079180871693932</v>
      </c>
      <c r="J110" s="866">
        <v>0.28118140271438719</v>
      </c>
      <c r="K110" s="866">
        <v>1.6505178794896276</v>
      </c>
      <c r="L110" s="866">
        <v>0.9977963566937651</v>
      </c>
      <c r="M110" s="866">
        <v>0.69956594627442181</v>
      </c>
      <c r="N110" s="866">
        <v>1.0209277876244323</v>
      </c>
      <c r="O110" s="866">
        <v>1.3951503634445583</v>
      </c>
      <c r="P110" s="866">
        <v>0.49550352297320394</v>
      </c>
      <c r="Q110" s="866">
        <v>0.7442696787525831</v>
      </c>
      <c r="R110" s="866">
        <v>0.82595284790275658</v>
      </c>
      <c r="S110" s="866">
        <v>1.2335570891486447</v>
      </c>
      <c r="T110" s="849">
        <v>1.1542437308480353</v>
      </c>
      <c r="U110" s="849">
        <v>1.2196627128632083</v>
      </c>
      <c r="V110" s="849">
        <v>0.6242147627364929</v>
      </c>
      <c r="W110" s="849">
        <v>0.40622018983610703</v>
      </c>
      <c r="X110" s="849">
        <v>0.71230426678017345</v>
      </c>
      <c r="Y110" s="849">
        <v>0.47816172107887239</v>
      </c>
      <c r="Z110" s="849">
        <v>0.61398714241681462</v>
      </c>
      <c r="AA110" s="849">
        <v>0.50359071869935779</v>
      </c>
      <c r="AB110" s="849">
        <v>0.68429994414278028</v>
      </c>
      <c r="AC110" s="849">
        <v>0</v>
      </c>
      <c r="AD110" s="849">
        <v>0.49957531356104667</v>
      </c>
      <c r="AE110" s="849">
        <v>0.51838462506560412</v>
      </c>
      <c r="AF110" s="849">
        <v>0.17528321492297083</v>
      </c>
      <c r="AG110" s="849">
        <v>0.17528321492297083</v>
      </c>
      <c r="AH110" s="849">
        <v>0.47896030815205165</v>
      </c>
      <c r="AI110" s="849">
        <v>0</v>
      </c>
      <c r="AJ110" s="851">
        <v>0.66598264470797763</v>
      </c>
      <c r="AK110" s="852" t="s">
        <v>217</v>
      </c>
      <c r="AL110" s="849">
        <v>0.3953531210134118</v>
      </c>
      <c r="AM110" s="849">
        <v>0.30890588137098524</v>
      </c>
      <c r="AN110" s="849">
        <v>0.71427679475495631</v>
      </c>
      <c r="AO110" s="849">
        <v>0.63668891363025992</v>
      </c>
      <c r="AP110" s="849">
        <v>0.80029612605382339</v>
      </c>
      <c r="AQ110" s="849">
        <v>0.71890672914662546</v>
      </c>
      <c r="AR110" s="849">
        <v>1.1787758027685384</v>
      </c>
      <c r="AS110" s="849">
        <v>0.63470620873107386</v>
      </c>
      <c r="AT110" s="849">
        <v>0.71760345147130933</v>
      </c>
      <c r="AU110" s="849">
        <v>0.68015202688689924</v>
      </c>
      <c r="AV110" s="914"/>
      <c r="AW110" s="1021"/>
      <c r="AX110" s="848" t="s">
        <v>3</v>
      </c>
      <c r="AY110" s="849">
        <v>0.39999753678402516</v>
      </c>
      <c r="AZ110" s="849">
        <v>0.51050272513346506</v>
      </c>
      <c r="BA110" s="849">
        <v>2.8902031720984961E-2</v>
      </c>
      <c r="BB110" s="849">
        <v>0.37293623351133581</v>
      </c>
      <c r="BC110" s="849">
        <v>0.25290299718937781</v>
      </c>
    </row>
    <row r="111" spans="1:55" s="947" customFormat="1" x14ac:dyDescent="0.25">
      <c r="A111" s="1021"/>
      <c r="B111" s="848" t="s">
        <v>218</v>
      </c>
      <c r="C111" s="858">
        <v>61302.5</v>
      </c>
      <c r="D111" s="858">
        <v>66961.600000000006</v>
      </c>
      <c r="E111" s="858">
        <v>54688.6</v>
      </c>
      <c r="F111" s="858">
        <v>160116</v>
      </c>
      <c r="G111" s="858">
        <v>111205</v>
      </c>
      <c r="H111" s="858">
        <v>423379</v>
      </c>
      <c r="I111" s="858">
        <v>115036</v>
      </c>
      <c r="J111" s="858">
        <v>46738.8</v>
      </c>
      <c r="K111" s="858">
        <v>146278</v>
      </c>
      <c r="L111" s="858">
        <v>223965</v>
      </c>
      <c r="M111" s="858">
        <v>147731</v>
      </c>
      <c r="N111" s="858">
        <v>447468</v>
      </c>
      <c r="O111" s="858">
        <v>115895</v>
      </c>
      <c r="P111" s="858">
        <v>110862</v>
      </c>
      <c r="Q111" s="858">
        <v>61854.5</v>
      </c>
      <c r="R111" s="858">
        <v>144505</v>
      </c>
      <c r="S111" s="858">
        <v>323718</v>
      </c>
      <c r="T111" s="858">
        <v>63657.4</v>
      </c>
      <c r="U111" s="858">
        <v>40359.1</v>
      </c>
      <c r="V111" s="858">
        <v>63826.1</v>
      </c>
      <c r="W111" s="858">
        <v>63826.1</v>
      </c>
      <c r="X111" s="858">
        <v>72853.8</v>
      </c>
      <c r="Y111" s="858">
        <v>66616.100000000006</v>
      </c>
      <c r="Z111" s="858">
        <v>62468</v>
      </c>
      <c r="AA111" s="858">
        <v>62463.8</v>
      </c>
      <c r="AB111" s="858">
        <v>225049</v>
      </c>
      <c r="AC111" s="858">
        <v>0</v>
      </c>
      <c r="AD111" s="858">
        <v>112018</v>
      </c>
      <c r="AE111" s="858">
        <v>116199</v>
      </c>
      <c r="AF111" s="858">
        <v>27398</v>
      </c>
      <c r="AG111" s="858">
        <v>27387.5</v>
      </c>
      <c r="AH111" s="858">
        <v>107355</v>
      </c>
      <c r="AI111" s="858">
        <v>0</v>
      </c>
      <c r="AJ111" s="858">
        <v>3873180.9</v>
      </c>
      <c r="AK111" s="852" t="s">
        <v>218</v>
      </c>
      <c r="AL111" s="861">
        <v>177501.5</v>
      </c>
      <c r="AM111" s="861">
        <v>94349.1</v>
      </c>
      <c r="AN111" s="861">
        <v>1026833</v>
      </c>
      <c r="AO111" s="861">
        <v>700492.3</v>
      </c>
      <c r="AP111" s="861">
        <v>1143966</v>
      </c>
      <c r="AQ111" s="861">
        <v>626022.5</v>
      </c>
      <c r="AR111" s="861">
        <v>104016.5</v>
      </c>
      <c r="AS111" s="861">
        <v>1420863.9</v>
      </c>
      <c r="AT111" s="861">
        <v>2452317</v>
      </c>
      <c r="AU111" s="861">
        <v>3873180.9</v>
      </c>
      <c r="AV111" s="916"/>
      <c r="AW111" s="1021" t="s">
        <v>219</v>
      </c>
      <c r="AX111" s="848" t="s">
        <v>3</v>
      </c>
      <c r="AY111" s="849">
        <v>0.38119624665106289</v>
      </c>
      <c r="AZ111" s="849">
        <v>0.47677983409520408</v>
      </c>
      <c r="BA111" s="849">
        <v>2.9589946651719472E-2</v>
      </c>
      <c r="BB111" s="849">
        <v>0.45412051337057324</v>
      </c>
      <c r="BC111" s="849">
        <v>0.31543211186862841</v>
      </c>
    </row>
    <row r="112" spans="1:55" s="947" customFormat="1" x14ac:dyDescent="0.25">
      <c r="A112" s="1021"/>
      <c r="B112" s="848" t="s">
        <v>216</v>
      </c>
      <c r="C112" s="866">
        <v>0.245191953872195</v>
      </c>
      <c r="D112" s="866">
        <v>0.44487820952758067</v>
      </c>
      <c r="E112" s="866">
        <v>0.36333908463313369</v>
      </c>
      <c r="F112" s="866">
        <v>0.87976404240027961</v>
      </c>
      <c r="G112" s="866">
        <v>0.67085651615503084</v>
      </c>
      <c r="H112" s="866">
        <v>1.0869667911836818</v>
      </c>
      <c r="I112" s="866">
        <v>0.6689092341641687</v>
      </c>
      <c r="J112" s="866">
        <v>0.28142679945567745</v>
      </c>
      <c r="K112" s="866">
        <v>1.1794786613685624</v>
      </c>
      <c r="L112" s="866">
        <v>0.99952604350759933</v>
      </c>
      <c r="M112" s="866">
        <v>0.76533020150847719</v>
      </c>
      <c r="N112" s="866">
        <v>1.0211037883035434</v>
      </c>
      <c r="O112" s="866">
        <v>1.3956728661782203</v>
      </c>
      <c r="P112" s="866">
        <v>0.40148422629308467</v>
      </c>
      <c r="Q112" s="866">
        <v>0.74488672765020691</v>
      </c>
      <c r="R112" s="866">
        <v>0.75412982691623232</v>
      </c>
      <c r="S112" s="866">
        <v>1.234203963644668</v>
      </c>
      <c r="T112" s="866">
        <v>1.1542383637649363</v>
      </c>
      <c r="U112" s="866">
        <v>1.2196582100602891</v>
      </c>
      <c r="V112" s="866">
        <v>0.62454291487477553</v>
      </c>
      <c r="W112" s="866">
        <v>0.30466427840083249</v>
      </c>
      <c r="X112" s="866">
        <v>0.71287959959489811</v>
      </c>
      <c r="Y112" s="866">
        <v>0.31798192332568803</v>
      </c>
      <c r="Z112" s="866">
        <v>0.61125381006198842</v>
      </c>
      <c r="AA112" s="866">
        <v>0.29816154446494336</v>
      </c>
      <c r="AB112" s="866">
        <v>0.68467382547722022</v>
      </c>
      <c r="AC112" s="866">
        <v>0</v>
      </c>
      <c r="AD112" s="866">
        <v>0.49992145353798256</v>
      </c>
      <c r="AE112" s="866">
        <v>0.51858070113428234</v>
      </c>
      <c r="AF112" s="866">
        <v>0.17540995466538109</v>
      </c>
      <c r="AG112" s="866">
        <v>0.17534273061530492</v>
      </c>
      <c r="AH112" s="866">
        <v>0.47911110397052364</v>
      </c>
      <c r="AI112" s="866">
        <v>0</v>
      </c>
      <c r="AJ112" s="869">
        <v>0.62267895323827138</v>
      </c>
      <c r="AK112" s="852" t="s">
        <v>216</v>
      </c>
      <c r="AL112" s="849">
        <v>0.37440496479990282</v>
      </c>
      <c r="AM112" s="849">
        <v>0.3076158387640735</v>
      </c>
      <c r="AN112" s="849">
        <v>0.71576826973252128</v>
      </c>
      <c r="AO112" s="849">
        <v>0.51948397802584567</v>
      </c>
      <c r="AP112" s="849">
        <v>0.8095410933219862</v>
      </c>
      <c r="AQ112" s="849">
        <v>0.54200345501797076</v>
      </c>
      <c r="AR112" s="849">
        <v>1.1787707597898949</v>
      </c>
      <c r="AS112" s="849">
        <v>0.50561579084389763</v>
      </c>
      <c r="AT112" s="849">
        <v>0.71914948399190148</v>
      </c>
      <c r="AU112" s="849">
        <v>0.62267895323827127</v>
      </c>
      <c r="AV112" s="914"/>
      <c r="AW112" s="1021"/>
      <c r="AX112" s="848"/>
      <c r="AY112" s="849"/>
      <c r="AZ112" s="849"/>
      <c r="BA112" s="849"/>
      <c r="BB112" s="849"/>
      <c r="BC112" s="849"/>
    </row>
    <row r="113" spans="1:55" s="947" customFormat="1" x14ac:dyDescent="0.25">
      <c r="A113" s="1041">
        <v>41921</v>
      </c>
      <c r="B113" s="1041"/>
      <c r="C113" s="1041"/>
      <c r="D113" s="529"/>
      <c r="E113" s="529"/>
      <c r="F113" s="529"/>
      <c r="G113" s="529"/>
      <c r="H113" s="529"/>
      <c r="I113" s="525"/>
      <c r="J113" s="531"/>
      <c r="K113" s="531"/>
      <c r="L113" s="529"/>
      <c r="M113" s="529"/>
      <c r="N113" s="527"/>
      <c r="R113" s="526"/>
      <c r="S113" s="534"/>
      <c r="T113" s="534"/>
      <c r="U113" s="534"/>
      <c r="V113" s="534"/>
      <c r="W113" s="534"/>
      <c r="X113" s="534"/>
      <c r="Y113" s="534"/>
      <c r="Z113" s="534"/>
      <c r="AA113" s="534"/>
      <c r="AB113" s="534"/>
      <c r="AC113" s="534"/>
      <c r="AD113" s="534"/>
      <c r="AE113" s="534"/>
      <c r="AF113" s="534"/>
      <c r="AG113" s="534"/>
      <c r="AH113" s="534"/>
      <c r="AI113" s="534"/>
      <c r="AJ113" s="534"/>
      <c r="AK113" s="534"/>
      <c r="AL113" s="534"/>
      <c r="AM113" s="534"/>
      <c r="AN113" s="534"/>
      <c r="AO113" s="534"/>
    </row>
    <row r="114" spans="1:55" s="947" customFormat="1" x14ac:dyDescent="0.25">
      <c r="A114" s="1042" t="s">
        <v>1</v>
      </c>
      <c r="B114" s="1042"/>
      <c r="C114" s="1019" t="s">
        <v>12</v>
      </c>
      <c r="D114" s="1019" t="s">
        <v>12</v>
      </c>
      <c r="E114" s="1019" t="s">
        <v>13</v>
      </c>
      <c r="F114" s="1019" t="s">
        <v>13</v>
      </c>
      <c r="G114" s="1019" t="s">
        <v>13</v>
      </c>
      <c r="H114" s="1019" t="s">
        <v>13</v>
      </c>
      <c r="I114" s="1019" t="s">
        <v>13</v>
      </c>
      <c r="J114" s="1019" t="s">
        <v>13</v>
      </c>
      <c r="K114" s="1019" t="s">
        <v>13</v>
      </c>
      <c r="L114" s="1019" t="s">
        <v>13</v>
      </c>
      <c r="M114" s="1019" t="s">
        <v>2</v>
      </c>
      <c r="N114" s="1019" t="s">
        <v>2</v>
      </c>
      <c r="O114" s="1019" t="s">
        <v>2</v>
      </c>
      <c r="P114" s="1019" t="s">
        <v>2</v>
      </c>
      <c r="Q114" s="1019" t="s">
        <v>2</v>
      </c>
      <c r="R114" s="1019" t="s">
        <v>2</v>
      </c>
      <c r="S114" s="1019" t="s">
        <v>2</v>
      </c>
      <c r="T114" s="1019" t="s">
        <v>183</v>
      </c>
      <c r="U114" s="1019" t="s">
        <v>183</v>
      </c>
      <c r="V114" s="1019" t="s">
        <v>2</v>
      </c>
      <c r="W114" s="1019" t="s">
        <v>13</v>
      </c>
      <c r="X114" s="1019" t="s">
        <v>13</v>
      </c>
      <c r="Y114" s="1019" t="s">
        <v>2</v>
      </c>
      <c r="Z114" s="1019" t="s">
        <v>13</v>
      </c>
      <c r="AA114" s="1019" t="s">
        <v>2</v>
      </c>
      <c r="AB114" s="1019" t="s">
        <v>2</v>
      </c>
      <c r="AC114" s="1019" t="s">
        <v>2</v>
      </c>
      <c r="AD114" s="1019" t="s">
        <v>13</v>
      </c>
      <c r="AE114" s="1019" t="s">
        <v>12</v>
      </c>
      <c r="AF114" s="1019" t="s">
        <v>13</v>
      </c>
      <c r="AG114" s="1019" t="s">
        <v>12</v>
      </c>
      <c r="AH114" s="1019" t="s">
        <v>13</v>
      </c>
      <c r="AI114" s="1019" t="s">
        <v>13</v>
      </c>
      <c r="AJ114" s="1019" t="s">
        <v>219</v>
      </c>
      <c r="AK114" s="1042" t="s">
        <v>0</v>
      </c>
      <c r="AL114" s="1042"/>
      <c r="AM114" s="833"/>
      <c r="AN114" s="833"/>
      <c r="AO114" s="833"/>
      <c r="AP114" s="833"/>
      <c r="AQ114" s="833"/>
      <c r="AR114" s="833"/>
      <c r="AS114" s="833"/>
      <c r="AT114" s="833"/>
      <c r="AU114" s="803"/>
      <c r="AV114" s="803"/>
      <c r="AW114" s="1042" t="s">
        <v>1</v>
      </c>
      <c r="AX114" s="1043"/>
      <c r="AY114" s="1019" t="s">
        <v>12</v>
      </c>
      <c r="AZ114" s="1044" t="s">
        <v>13</v>
      </c>
      <c r="BA114" s="1045"/>
      <c r="BB114" s="1044" t="s">
        <v>2</v>
      </c>
      <c r="BC114" s="1045"/>
    </row>
    <row r="115" spans="1:55" s="947" customFormat="1" x14ac:dyDescent="0.25">
      <c r="A115" s="1042" t="s">
        <v>0</v>
      </c>
      <c r="B115" s="1042"/>
      <c r="C115" s="834" t="s">
        <v>99</v>
      </c>
      <c r="D115" s="835" t="s">
        <v>100</v>
      </c>
      <c r="E115" s="835" t="s">
        <v>101</v>
      </c>
      <c r="F115" s="834" t="s">
        <v>102</v>
      </c>
      <c r="G115" s="835" t="s">
        <v>97</v>
      </c>
      <c r="H115" s="834" t="s">
        <v>104</v>
      </c>
      <c r="I115" s="835" t="s">
        <v>103</v>
      </c>
      <c r="J115" s="835" t="s">
        <v>178</v>
      </c>
      <c r="K115" s="835" t="s">
        <v>199</v>
      </c>
      <c r="L115" s="834" t="s">
        <v>206</v>
      </c>
      <c r="M115" s="834" t="s">
        <v>105</v>
      </c>
      <c r="N115" s="834" t="s">
        <v>107</v>
      </c>
      <c r="O115" s="835" t="s">
        <v>98</v>
      </c>
      <c r="P115" s="835" t="s">
        <v>106</v>
      </c>
      <c r="Q115" s="835" t="s">
        <v>179</v>
      </c>
      <c r="R115" s="835" t="s">
        <v>198</v>
      </c>
      <c r="S115" s="834" t="s">
        <v>207</v>
      </c>
      <c r="T115" s="834" t="s">
        <v>182</v>
      </c>
      <c r="U115" s="834" t="s">
        <v>184</v>
      </c>
      <c r="V115" s="835" t="s">
        <v>221</v>
      </c>
      <c r="W115" s="835" t="s">
        <v>222</v>
      </c>
      <c r="X115" s="835" t="s">
        <v>255</v>
      </c>
      <c r="Y115" s="835" t="s">
        <v>256</v>
      </c>
      <c r="Z115" s="835" t="s">
        <v>266</v>
      </c>
      <c r="AA115" s="835" t="s">
        <v>267</v>
      </c>
      <c r="AB115" s="889" t="s">
        <v>268</v>
      </c>
      <c r="AC115" s="889" t="s">
        <v>269</v>
      </c>
      <c r="AD115" s="889" t="s">
        <v>295</v>
      </c>
      <c r="AE115" s="889" t="s">
        <v>290</v>
      </c>
      <c r="AF115" s="946" t="s">
        <v>291</v>
      </c>
      <c r="AG115" s="946" t="s">
        <v>292</v>
      </c>
      <c r="AH115" s="889" t="s">
        <v>293</v>
      </c>
      <c r="AI115" s="889" t="s">
        <v>294</v>
      </c>
      <c r="AJ115" s="836"/>
      <c r="AK115" s="903" t="s">
        <v>1</v>
      </c>
      <c r="AL115" s="838" t="s">
        <v>257</v>
      </c>
      <c r="AM115" s="838" t="s">
        <v>258</v>
      </c>
      <c r="AN115" s="838" t="s">
        <v>259</v>
      </c>
      <c r="AO115" s="838" t="s">
        <v>260</v>
      </c>
      <c r="AP115" s="838" t="s">
        <v>261</v>
      </c>
      <c r="AQ115" s="838" t="s">
        <v>262</v>
      </c>
      <c r="AR115" s="838" t="s">
        <v>263</v>
      </c>
      <c r="AS115" s="904" t="s">
        <v>264</v>
      </c>
      <c r="AT115" s="904" t="s">
        <v>265</v>
      </c>
      <c r="AU115" s="988" t="s">
        <v>306</v>
      </c>
      <c r="AV115" s="988"/>
      <c r="AW115" s="1046" t="s">
        <v>0</v>
      </c>
      <c r="AX115" s="1043"/>
      <c r="AY115" s="834" t="s">
        <v>99</v>
      </c>
      <c r="AZ115" s="834" t="s">
        <v>104</v>
      </c>
      <c r="BA115" s="834" t="s">
        <v>206</v>
      </c>
      <c r="BB115" s="834" t="s">
        <v>107</v>
      </c>
      <c r="BC115" s="834" t="s">
        <v>207</v>
      </c>
    </row>
    <row r="116" spans="1:55" s="947" customFormat="1" ht="30" x14ac:dyDescent="0.25">
      <c r="A116" s="1047" t="s">
        <v>9</v>
      </c>
      <c r="B116" s="839" t="s">
        <v>4</v>
      </c>
      <c r="C116" s="840">
        <v>250018.4</v>
      </c>
      <c r="D116" s="834">
        <v>150516.70000000001</v>
      </c>
      <c r="E116" s="834">
        <v>150516.70000000001</v>
      </c>
      <c r="F116" s="834">
        <v>181998.8</v>
      </c>
      <c r="G116" s="840">
        <v>165765.70000000001</v>
      </c>
      <c r="H116" s="840">
        <v>389505</v>
      </c>
      <c r="I116" s="840">
        <v>171975.5</v>
      </c>
      <c r="J116" s="840">
        <v>166078</v>
      </c>
      <c r="K116" s="840">
        <v>124019.2</v>
      </c>
      <c r="L116" s="840">
        <v>224071.2</v>
      </c>
      <c r="M116" s="840">
        <v>193029.1</v>
      </c>
      <c r="N116" s="840">
        <v>438219.9</v>
      </c>
      <c r="O116" s="840">
        <v>83038.8</v>
      </c>
      <c r="P116" s="840">
        <v>276130.40000000002</v>
      </c>
      <c r="Q116" s="840">
        <v>83038.8</v>
      </c>
      <c r="R116" s="840">
        <v>191618.2</v>
      </c>
      <c r="S116" s="840">
        <v>262288.90000000002</v>
      </c>
      <c r="T116" s="840">
        <v>55151</v>
      </c>
      <c r="U116" s="840">
        <v>33090.5</v>
      </c>
      <c r="V116" s="840">
        <v>102196.5</v>
      </c>
      <c r="W116" s="840">
        <v>209496.5</v>
      </c>
      <c r="X116" s="840">
        <v>102196.5</v>
      </c>
      <c r="Y116" s="840">
        <v>209496.5</v>
      </c>
      <c r="Z116" s="840">
        <v>102196.5</v>
      </c>
      <c r="AA116" s="840">
        <v>209496.5</v>
      </c>
      <c r="AB116" s="840">
        <v>328695.2</v>
      </c>
      <c r="AC116" s="840">
        <v>190871.2</v>
      </c>
      <c r="AD116" s="840">
        <v>224071.2</v>
      </c>
      <c r="AE116" s="840">
        <v>224071.2</v>
      </c>
      <c r="AF116" s="840">
        <v>156194.1</v>
      </c>
      <c r="AG116" s="840">
        <v>156194.1</v>
      </c>
      <c r="AH116" s="901">
        <v>224071.2</v>
      </c>
      <c r="AI116" s="840"/>
      <c r="AJ116" s="840">
        <v>6029317.9999999991</v>
      </c>
      <c r="AK116" s="841" t="s">
        <v>4</v>
      </c>
      <c r="AL116" s="863">
        <v>474089.6</v>
      </c>
      <c r="AM116" s="863">
        <v>306710.80000000005</v>
      </c>
      <c r="AN116" s="863">
        <v>1243717.3999999999</v>
      </c>
      <c r="AO116" s="863">
        <v>1348438.7000000002</v>
      </c>
      <c r="AP116" s="863">
        <v>1413104.3</v>
      </c>
      <c r="AQ116" s="863">
        <v>1155015.7</v>
      </c>
      <c r="AR116" s="863">
        <v>88241.5</v>
      </c>
      <c r="AS116" s="863">
        <v>2810165.2</v>
      </c>
      <c r="AT116" s="863">
        <v>3219152.8</v>
      </c>
      <c r="AU116" s="863">
        <v>6029318</v>
      </c>
      <c r="AV116" s="989"/>
      <c r="AW116" s="875" t="s">
        <v>194</v>
      </c>
      <c r="AX116" s="872" t="s">
        <v>4</v>
      </c>
      <c r="AY116" s="840">
        <v>143393</v>
      </c>
      <c r="AZ116" s="840">
        <v>132132</v>
      </c>
      <c r="BA116" s="840">
        <v>83196.100000000006</v>
      </c>
      <c r="BB116" s="840">
        <v>132132.20000000001</v>
      </c>
      <c r="BC116" s="840">
        <v>83196.100000000006</v>
      </c>
    </row>
    <row r="117" spans="1:55" s="947" customFormat="1" x14ac:dyDescent="0.25">
      <c r="A117" s="1047"/>
      <c r="B117" s="844" t="s">
        <v>5</v>
      </c>
      <c r="C117" s="583">
        <v>53749.8</v>
      </c>
      <c r="D117" s="834">
        <v>87074.6</v>
      </c>
      <c r="E117" s="834">
        <v>86821.8</v>
      </c>
      <c r="F117" s="834">
        <v>102322.2</v>
      </c>
      <c r="G117" s="834">
        <v>118734.8</v>
      </c>
      <c r="H117" s="834">
        <v>207385.3</v>
      </c>
      <c r="I117" s="834">
        <v>96568.7</v>
      </c>
      <c r="J117" s="834">
        <v>52403.8</v>
      </c>
      <c r="K117" s="834">
        <v>100312.3</v>
      </c>
      <c r="L117" s="834">
        <v>95893.2</v>
      </c>
      <c r="M117" s="834">
        <v>80657.2</v>
      </c>
      <c r="N117" s="834">
        <v>212670.6</v>
      </c>
      <c r="O117" s="834">
        <v>59852.3</v>
      </c>
      <c r="P117" s="834">
        <v>181737.60000000001</v>
      </c>
      <c r="Q117" s="834">
        <v>27080.2</v>
      </c>
      <c r="R117" s="834">
        <v>153961.20000000001</v>
      </c>
      <c r="S117" s="834">
        <v>182133.4</v>
      </c>
      <c r="T117" s="834">
        <v>17841</v>
      </c>
      <c r="U117" s="834">
        <v>11553.4</v>
      </c>
      <c r="V117" s="834">
        <v>15579.4</v>
      </c>
      <c r="W117" s="834">
        <v>31158.7</v>
      </c>
      <c r="X117" s="834">
        <v>27036.9</v>
      </c>
      <c r="Y117" s="834">
        <v>53181</v>
      </c>
      <c r="Z117" s="834">
        <v>9927.2000000000007</v>
      </c>
      <c r="AA117" s="834">
        <v>19694.7</v>
      </c>
      <c r="AB117" s="834">
        <v>134843.6</v>
      </c>
      <c r="AC117" s="834">
        <v>4.9000000000000004</v>
      </c>
      <c r="AD117" s="834">
        <v>26510</v>
      </c>
      <c r="AE117" s="834">
        <v>67376.100000000006</v>
      </c>
      <c r="AF117" s="834">
        <v>18925.2</v>
      </c>
      <c r="AG117" s="834">
        <v>18894.8</v>
      </c>
      <c r="AH117" s="834">
        <v>479.4</v>
      </c>
      <c r="AI117" s="834"/>
      <c r="AJ117" s="834">
        <v>2352365.2999999993</v>
      </c>
      <c r="AK117" s="846" t="s">
        <v>5</v>
      </c>
      <c r="AL117" s="863">
        <v>121125.90000000001</v>
      </c>
      <c r="AM117" s="863">
        <v>105969.40000000001</v>
      </c>
      <c r="AN117" s="863">
        <v>432590.10000000003</v>
      </c>
      <c r="AO117" s="863">
        <v>541889.4</v>
      </c>
      <c r="AP117" s="863">
        <v>610309.69999999995</v>
      </c>
      <c r="AQ117" s="863">
        <v>511086.40000000008</v>
      </c>
      <c r="AR117" s="863">
        <v>29394.400000000001</v>
      </c>
      <c r="AS117" s="863">
        <v>1158945.2000000002</v>
      </c>
      <c r="AT117" s="863">
        <v>1193420.0999999999</v>
      </c>
      <c r="AU117" s="863">
        <v>2352365.2999999998</v>
      </c>
      <c r="AV117" s="990"/>
      <c r="AW117" s="876"/>
      <c r="AX117" s="873" t="s">
        <v>5</v>
      </c>
      <c r="AY117" s="583">
        <v>51964.9</v>
      </c>
      <c r="AZ117" s="583">
        <v>58542</v>
      </c>
      <c r="BA117" s="583">
        <v>2519</v>
      </c>
      <c r="BB117" s="583">
        <v>70731</v>
      </c>
      <c r="BC117" s="583">
        <v>31444.9</v>
      </c>
    </row>
    <row r="118" spans="1:55" s="947" customFormat="1" x14ac:dyDescent="0.25">
      <c r="A118" s="1047"/>
      <c r="B118" s="848" t="s">
        <v>3</v>
      </c>
      <c r="C118" s="866">
        <v>0.21498337722343638</v>
      </c>
      <c r="D118" s="866">
        <v>0.57850457789733634</v>
      </c>
      <c r="E118" s="866">
        <v>0.57682503004649976</v>
      </c>
      <c r="F118" s="866">
        <v>0.56221359701272755</v>
      </c>
      <c r="G118" s="866">
        <v>0.71628087113317163</v>
      </c>
      <c r="H118" s="866">
        <v>0.53243295978228777</v>
      </c>
      <c r="I118" s="866">
        <v>0.56152591502859417</v>
      </c>
      <c r="J118" s="866">
        <v>0.31553727766471179</v>
      </c>
      <c r="K118" s="866">
        <v>0.80884492078645887</v>
      </c>
      <c r="L118" s="866">
        <v>0.42795861315510425</v>
      </c>
      <c r="M118" s="866">
        <v>0.41784995112135942</v>
      </c>
      <c r="N118" s="866">
        <v>0.48530566503255557</v>
      </c>
      <c r="O118" s="866">
        <v>0.72077510754008967</v>
      </c>
      <c r="P118" s="866">
        <v>0.65815860912090807</v>
      </c>
      <c r="Q118" s="866">
        <v>0.32611502092997491</v>
      </c>
      <c r="R118" s="866">
        <v>0.80347900147272022</v>
      </c>
      <c r="S118" s="866">
        <v>0.69439995363890727</v>
      </c>
      <c r="T118" s="866">
        <v>0.32349368098493225</v>
      </c>
      <c r="U118" s="866">
        <v>0.349145525150723</v>
      </c>
      <c r="V118" s="866">
        <v>0.15244553384900655</v>
      </c>
      <c r="W118" s="866">
        <v>0.14873136305379803</v>
      </c>
      <c r="X118" s="866">
        <v>0.26455798388398821</v>
      </c>
      <c r="Y118" s="866">
        <v>0.2538514963257143</v>
      </c>
      <c r="Z118" s="866">
        <v>9.7138356010235197E-2</v>
      </c>
      <c r="AA118" s="866">
        <v>9.4009685126004494E-2</v>
      </c>
      <c r="AB118" s="866">
        <v>0.4102390299584539</v>
      </c>
      <c r="AC118" s="866">
        <v>2.5671761900171424E-5</v>
      </c>
      <c r="AD118" s="866">
        <v>0.1183106084137542</v>
      </c>
      <c r="AE118" s="866">
        <v>0.30069058406435101</v>
      </c>
      <c r="AF118" s="866">
        <v>0.12116462785726222</v>
      </c>
      <c r="AG118" s="866">
        <v>0.12096999822656553</v>
      </c>
      <c r="AH118" s="866">
        <v>2.1394985165429556E-3</v>
      </c>
      <c r="AI118" s="866"/>
      <c r="AJ118" s="869">
        <v>0.39015445859714143</v>
      </c>
      <c r="AK118" s="852" t="s">
        <v>3</v>
      </c>
      <c r="AL118" s="849">
        <v>0.25549157796332173</v>
      </c>
      <c r="AM118" s="849">
        <v>0.34550266896372739</v>
      </c>
      <c r="AN118" s="849">
        <v>0.34782025241425429</v>
      </c>
      <c r="AO118" s="849">
        <v>0.40186431908250625</v>
      </c>
      <c r="AP118" s="849">
        <v>0.43189289000111308</v>
      </c>
      <c r="AQ118" s="849">
        <v>0.44249303277868873</v>
      </c>
      <c r="AR118" s="849">
        <v>0.33311310437832542</v>
      </c>
      <c r="AS118" s="849">
        <v>0.41241176853232692</v>
      </c>
      <c r="AT118" s="849">
        <v>0.37072490004202346</v>
      </c>
      <c r="AU118" s="849">
        <v>0.39015445859714148</v>
      </c>
      <c r="AV118" s="991"/>
      <c r="AW118" s="876"/>
      <c r="AX118" s="874" t="s">
        <v>3</v>
      </c>
      <c r="AY118" s="849">
        <v>0.36239495651810061</v>
      </c>
      <c r="AZ118" s="849">
        <v>0.44305694305694304</v>
      </c>
      <c r="BA118" s="849">
        <v>3.0277861582453984E-2</v>
      </c>
      <c r="BB118" s="849">
        <v>0.53530479322981073</v>
      </c>
      <c r="BC118" s="849">
        <v>0.37796122654787906</v>
      </c>
    </row>
    <row r="119" spans="1:55" s="947" customFormat="1" ht="30" x14ac:dyDescent="0.25">
      <c r="A119" s="1040" t="s">
        <v>6</v>
      </c>
      <c r="B119" s="854" t="s">
        <v>7</v>
      </c>
      <c r="C119" s="840">
        <v>3713</v>
      </c>
      <c r="D119" s="840">
        <v>3620</v>
      </c>
      <c r="E119" s="840">
        <v>3560</v>
      </c>
      <c r="F119" s="840">
        <v>6595</v>
      </c>
      <c r="G119" s="840">
        <v>8432</v>
      </c>
      <c r="H119" s="840">
        <v>15082</v>
      </c>
      <c r="I119" s="840">
        <v>7076</v>
      </c>
      <c r="J119" s="840">
        <v>9599</v>
      </c>
      <c r="K119" s="840">
        <v>6955</v>
      </c>
      <c r="L119" s="840">
        <v>9334</v>
      </c>
      <c r="M119" s="840">
        <v>5429</v>
      </c>
      <c r="N119" s="840">
        <v>15002</v>
      </c>
      <c r="O119" s="840">
        <v>4357</v>
      </c>
      <c r="P119" s="840">
        <v>8508</v>
      </c>
      <c r="Q119" s="840">
        <v>4799</v>
      </c>
      <c r="R119" s="840">
        <v>9594</v>
      </c>
      <c r="S119" s="840">
        <v>11560</v>
      </c>
      <c r="T119" s="840">
        <v>2480</v>
      </c>
      <c r="U119" s="840">
        <v>1570</v>
      </c>
      <c r="V119" s="840">
        <v>3999</v>
      </c>
      <c r="W119" s="840">
        <v>7999</v>
      </c>
      <c r="X119" s="840">
        <v>3999</v>
      </c>
      <c r="Y119" s="840">
        <v>7999</v>
      </c>
      <c r="Z119" s="840">
        <v>3999</v>
      </c>
      <c r="AA119" s="840">
        <v>7999</v>
      </c>
      <c r="AB119" s="840">
        <v>11999</v>
      </c>
      <c r="AC119" s="840">
        <v>6400</v>
      </c>
      <c r="AD119" s="840">
        <v>6399</v>
      </c>
      <c r="AE119" s="840">
        <v>6399</v>
      </c>
      <c r="AF119" s="840">
        <v>4800</v>
      </c>
      <c r="AG119" s="840">
        <v>4800</v>
      </c>
      <c r="AH119" s="840">
        <v>6399</v>
      </c>
      <c r="AI119" s="840"/>
      <c r="AJ119" s="840">
        <v>220455</v>
      </c>
      <c r="AK119" s="856" t="s">
        <v>7</v>
      </c>
      <c r="AL119" s="858">
        <v>10112</v>
      </c>
      <c r="AM119" s="858">
        <v>8420</v>
      </c>
      <c r="AN119" s="858">
        <v>43809</v>
      </c>
      <c r="AO119" s="858">
        <v>56419</v>
      </c>
      <c r="AP119" s="858">
        <v>50390</v>
      </c>
      <c r="AQ119" s="858">
        <v>47255</v>
      </c>
      <c r="AR119" s="858">
        <v>4050</v>
      </c>
      <c r="AS119" s="858">
        <v>112094</v>
      </c>
      <c r="AT119" s="858">
        <v>108361</v>
      </c>
      <c r="AU119" s="858">
        <v>220455</v>
      </c>
      <c r="AV119" s="657"/>
      <c r="AW119" s="880" t="s">
        <v>190</v>
      </c>
      <c r="AX119" s="879" t="s">
        <v>4</v>
      </c>
      <c r="AY119" s="857">
        <v>9191.7999999999993</v>
      </c>
      <c r="AZ119" s="857">
        <v>13787.7</v>
      </c>
      <c r="BA119" s="857">
        <v>8804.7999999999993</v>
      </c>
      <c r="BB119" s="857">
        <v>13787.7</v>
      </c>
      <c r="BC119" s="857">
        <v>8804.7999999999993</v>
      </c>
    </row>
    <row r="120" spans="1:55" s="947" customFormat="1" x14ac:dyDescent="0.25">
      <c r="A120" s="1040"/>
      <c r="B120" s="839" t="s">
        <v>11</v>
      </c>
      <c r="C120" s="858">
        <v>125191.22099999999</v>
      </c>
      <c r="D120" s="858">
        <v>122055.54</v>
      </c>
      <c r="E120" s="858">
        <v>120032.51999999999</v>
      </c>
      <c r="F120" s="858">
        <v>222363.61499999999</v>
      </c>
      <c r="G120" s="858">
        <v>284301.74400000001</v>
      </c>
      <c r="H120" s="858">
        <v>508519.79399999999</v>
      </c>
      <c r="I120" s="858">
        <v>238581.492</v>
      </c>
      <c r="J120" s="858">
        <v>323649.48300000001</v>
      </c>
      <c r="K120" s="858">
        <v>234501.73499999999</v>
      </c>
      <c r="L120" s="858">
        <v>314714.478</v>
      </c>
      <c r="M120" s="858">
        <v>183049.59299999999</v>
      </c>
      <c r="N120" s="858">
        <v>505822.43400000001</v>
      </c>
      <c r="O120" s="858">
        <v>146904.96899999998</v>
      </c>
      <c r="P120" s="858">
        <v>286864.23599999998</v>
      </c>
      <c r="Q120" s="858">
        <v>161807.883</v>
      </c>
      <c r="R120" s="858">
        <v>323480.89799999999</v>
      </c>
      <c r="S120" s="858">
        <v>389768.51999999996</v>
      </c>
      <c r="T120" s="858">
        <v>83618.16</v>
      </c>
      <c r="U120" s="858">
        <v>52935.689999999995</v>
      </c>
      <c r="V120" s="858">
        <v>134834.283</v>
      </c>
      <c r="W120" s="858">
        <v>269702.283</v>
      </c>
      <c r="X120" s="858">
        <v>134834.283</v>
      </c>
      <c r="Y120" s="858">
        <v>269702.283</v>
      </c>
      <c r="Z120" s="858">
        <v>134834.283</v>
      </c>
      <c r="AA120" s="858">
        <v>269702.283</v>
      </c>
      <c r="AB120" s="858">
        <v>404570.283</v>
      </c>
      <c r="AC120" s="858">
        <v>215788.79999999999</v>
      </c>
      <c r="AD120" s="858">
        <v>215755.08299999998</v>
      </c>
      <c r="AE120" s="858">
        <v>215755.08299999998</v>
      </c>
      <c r="AF120" s="858">
        <v>161841.60000000001</v>
      </c>
      <c r="AG120" s="858">
        <v>161841.60000000001</v>
      </c>
      <c r="AH120" s="858">
        <v>215755.08299999998</v>
      </c>
      <c r="AI120" s="858"/>
      <c r="AJ120" s="858">
        <v>7433081.2349999966</v>
      </c>
      <c r="AK120" s="841" t="s">
        <v>11</v>
      </c>
      <c r="AL120" s="858">
        <v>340946.304</v>
      </c>
      <c r="AM120" s="858">
        <v>283897.14</v>
      </c>
      <c r="AN120" s="858">
        <v>1477108.0529999998</v>
      </c>
      <c r="AO120" s="858">
        <v>1902279.423</v>
      </c>
      <c r="AP120" s="858">
        <v>1698999.63</v>
      </c>
      <c r="AQ120" s="858">
        <v>1593296.835</v>
      </c>
      <c r="AR120" s="858">
        <v>136553.85</v>
      </c>
      <c r="AS120" s="858">
        <v>3779473.398</v>
      </c>
      <c r="AT120" s="858">
        <v>3653607.8369999998</v>
      </c>
      <c r="AU120" s="858">
        <v>7433081.2349999994</v>
      </c>
      <c r="AV120" s="992"/>
      <c r="AW120" s="876"/>
      <c r="AX120" s="873" t="s">
        <v>5</v>
      </c>
      <c r="AY120" s="583">
        <v>7975.5</v>
      </c>
      <c r="AZ120" s="583">
        <v>13649</v>
      </c>
      <c r="BA120" s="583">
        <v>1289.9000000000001</v>
      </c>
      <c r="BB120" s="583">
        <v>13642</v>
      </c>
      <c r="BC120" s="583">
        <v>5483.9</v>
      </c>
    </row>
    <row r="121" spans="1:55" s="947" customFormat="1" x14ac:dyDescent="0.25">
      <c r="A121" s="1040"/>
      <c r="B121" s="839" t="s">
        <v>79</v>
      </c>
      <c r="C121" s="858">
        <v>164000</v>
      </c>
      <c r="D121" s="858">
        <v>109880</v>
      </c>
      <c r="E121" s="858">
        <v>109880</v>
      </c>
      <c r="F121" s="858">
        <v>328000</v>
      </c>
      <c r="G121" s="858">
        <v>330905</v>
      </c>
      <c r="H121" s="858">
        <v>264264</v>
      </c>
      <c r="I121" s="858">
        <v>242663.6</v>
      </c>
      <c r="J121" s="858">
        <v>328000</v>
      </c>
      <c r="K121" s="858">
        <v>328000</v>
      </c>
      <c r="L121" s="858">
        <v>328000</v>
      </c>
      <c r="M121" s="858">
        <v>328000</v>
      </c>
      <c r="N121" s="858">
        <v>264264.40000000002</v>
      </c>
      <c r="O121" s="858">
        <v>328000</v>
      </c>
      <c r="P121" s="858">
        <v>352965.4</v>
      </c>
      <c r="Q121" s="858">
        <v>328000</v>
      </c>
      <c r="R121" s="858">
        <v>328000</v>
      </c>
      <c r="S121" s="858">
        <v>328000</v>
      </c>
      <c r="T121" s="858">
        <v>110302</v>
      </c>
      <c r="U121" s="858">
        <v>66181</v>
      </c>
      <c r="V121" s="858">
        <v>204393</v>
      </c>
      <c r="W121" s="858">
        <v>418993</v>
      </c>
      <c r="X121" s="858">
        <v>204393</v>
      </c>
      <c r="Y121" s="858">
        <v>418993</v>
      </c>
      <c r="Z121" s="858">
        <v>204393</v>
      </c>
      <c r="AA121" s="858">
        <v>418993</v>
      </c>
      <c r="AB121" s="858">
        <v>657390.4</v>
      </c>
      <c r="AC121" s="858">
        <v>381742.4</v>
      </c>
      <c r="AD121" s="858">
        <v>448142.4</v>
      </c>
      <c r="AE121" s="858">
        <v>448142.4</v>
      </c>
      <c r="AF121" s="858">
        <v>312388.2</v>
      </c>
      <c r="AG121" s="858">
        <v>312388.2</v>
      </c>
      <c r="AH121" s="858">
        <v>448142.4</v>
      </c>
      <c r="AI121" s="858"/>
      <c r="AJ121" s="858">
        <v>9845799.8000000007</v>
      </c>
      <c r="AK121" s="841" t="s">
        <v>79</v>
      </c>
      <c r="AL121" s="858">
        <v>948179.2</v>
      </c>
      <c r="AM121" s="858">
        <v>613421.60000000009</v>
      </c>
      <c r="AN121" s="858">
        <v>2487434.7999999998</v>
      </c>
      <c r="AO121" s="858">
        <v>2696877.4000000004</v>
      </c>
      <c r="AP121" s="858">
        <v>2826208.6</v>
      </c>
      <c r="AQ121" s="858">
        <v>2310031.4</v>
      </c>
      <c r="AR121" s="858">
        <v>176483</v>
      </c>
      <c r="AS121" s="858">
        <v>5620330.4000000004</v>
      </c>
      <c r="AT121" s="858">
        <v>6438305.5999999996</v>
      </c>
      <c r="AU121" s="858">
        <v>12058636</v>
      </c>
      <c r="AV121" s="993"/>
      <c r="AW121" s="877"/>
      <c r="AX121" s="874" t="s">
        <v>3</v>
      </c>
      <c r="AY121" s="849">
        <v>0.86767553689157739</v>
      </c>
      <c r="AZ121" s="849">
        <v>0.98994030911609621</v>
      </c>
      <c r="BA121" s="849">
        <v>0.14649963656187537</v>
      </c>
      <c r="BB121" s="849">
        <v>0.98943261022505558</v>
      </c>
      <c r="BC121" s="849">
        <v>0.62283072869343992</v>
      </c>
    </row>
    <row r="122" spans="1:55" s="947" customFormat="1" ht="45" x14ac:dyDescent="0.25">
      <c r="A122" s="1040"/>
      <c r="B122" s="844" t="s">
        <v>8</v>
      </c>
      <c r="C122" s="861">
        <v>2170</v>
      </c>
      <c r="D122" s="861">
        <v>2468</v>
      </c>
      <c r="E122" s="861">
        <v>2634</v>
      </c>
      <c r="F122" s="861">
        <v>4855</v>
      </c>
      <c r="G122" s="861">
        <v>3366</v>
      </c>
      <c r="H122" s="861">
        <v>12575</v>
      </c>
      <c r="I122" s="861">
        <v>5811</v>
      </c>
      <c r="J122" s="861">
        <v>1380</v>
      </c>
      <c r="K122" s="861">
        <v>6071</v>
      </c>
      <c r="L122" s="861">
        <v>6646</v>
      </c>
      <c r="M122" s="861">
        <v>4182</v>
      </c>
      <c r="N122" s="861">
        <v>13147</v>
      </c>
      <c r="O122" s="861">
        <v>3436</v>
      </c>
      <c r="P122" s="861">
        <v>6844</v>
      </c>
      <c r="Q122" s="861">
        <v>1828</v>
      </c>
      <c r="R122" s="861">
        <v>4694</v>
      </c>
      <c r="S122" s="861">
        <v>9612</v>
      </c>
      <c r="T122" s="861">
        <v>1888</v>
      </c>
      <c r="U122" s="861">
        <v>1197</v>
      </c>
      <c r="V122" s="861">
        <v>1892</v>
      </c>
      <c r="W122" s="861">
        <v>2524</v>
      </c>
      <c r="X122" s="861">
        <v>1500</v>
      </c>
      <c r="Y122" s="861">
        <v>1808</v>
      </c>
      <c r="Z122" s="861">
        <v>1844</v>
      </c>
      <c r="AA122" s="861">
        <v>3112</v>
      </c>
      <c r="AB122" s="861">
        <v>6734</v>
      </c>
      <c r="AC122" s="861">
        <v>0</v>
      </c>
      <c r="AD122" s="861">
        <v>2444</v>
      </c>
      <c r="AE122" s="861">
        <v>3435</v>
      </c>
      <c r="AF122" s="861">
        <v>731</v>
      </c>
      <c r="AG122" s="861">
        <v>731</v>
      </c>
      <c r="AH122" s="861">
        <v>1775</v>
      </c>
      <c r="AI122" s="861"/>
      <c r="AJ122" s="861">
        <v>123334</v>
      </c>
      <c r="AK122" s="846" t="s">
        <v>8</v>
      </c>
      <c r="AL122" s="858">
        <v>5605</v>
      </c>
      <c r="AM122" s="858">
        <v>3199</v>
      </c>
      <c r="AN122" s="858">
        <v>28295</v>
      </c>
      <c r="AO122" s="858">
        <v>25861</v>
      </c>
      <c r="AP122" s="858">
        <v>33675</v>
      </c>
      <c r="AQ122" s="858">
        <v>23614</v>
      </c>
      <c r="AR122" s="858">
        <v>3085</v>
      </c>
      <c r="AS122" s="858">
        <v>52674</v>
      </c>
      <c r="AT122" s="858">
        <v>70660</v>
      </c>
      <c r="AU122" s="858">
        <v>123334</v>
      </c>
      <c r="AV122" s="993"/>
      <c r="AW122" s="877" t="s">
        <v>191</v>
      </c>
      <c r="AX122" s="839" t="s">
        <v>4</v>
      </c>
      <c r="AY122" s="840">
        <v>97433.600000000006</v>
      </c>
      <c r="AZ122" s="840">
        <v>243584.4</v>
      </c>
      <c r="BA122" s="840">
        <v>132070.29999999999</v>
      </c>
      <c r="BB122" s="840">
        <v>292299.3</v>
      </c>
      <c r="BC122" s="840">
        <v>132070.39999999999</v>
      </c>
    </row>
    <row r="123" spans="1:55" s="947" customFormat="1" x14ac:dyDescent="0.25">
      <c r="A123" s="1040"/>
      <c r="B123" s="839" t="s">
        <v>77</v>
      </c>
      <c r="C123" s="858">
        <v>73165.89</v>
      </c>
      <c r="D123" s="858">
        <v>83213.555999999997</v>
      </c>
      <c r="E123" s="858">
        <v>88810.577999999994</v>
      </c>
      <c r="F123" s="858">
        <v>163696.035</v>
      </c>
      <c r="G123" s="858">
        <v>113491.42199999999</v>
      </c>
      <c r="H123" s="858">
        <v>423991.27499999997</v>
      </c>
      <c r="I123" s="858">
        <v>195929.48699999999</v>
      </c>
      <c r="J123" s="858">
        <v>46529.46</v>
      </c>
      <c r="K123" s="858">
        <v>204695.90700000001</v>
      </c>
      <c r="L123" s="858">
        <v>224083.182</v>
      </c>
      <c r="M123" s="858">
        <v>141004.49400000001</v>
      </c>
      <c r="N123" s="858">
        <v>443277.39899999998</v>
      </c>
      <c r="O123" s="858">
        <v>115851.61199999999</v>
      </c>
      <c r="P123" s="858">
        <v>142622.90999999997</v>
      </c>
      <c r="Q123" s="858">
        <v>61634.675999999999</v>
      </c>
      <c r="R123" s="858">
        <v>158267.598</v>
      </c>
      <c r="S123" s="858">
        <v>324087.804</v>
      </c>
      <c r="T123" s="858">
        <v>63657.695999999996</v>
      </c>
      <c r="U123" s="858">
        <v>40359.248999999996</v>
      </c>
      <c r="V123" s="858">
        <v>63792.563999999998</v>
      </c>
      <c r="W123" s="858">
        <v>85101.707999999999</v>
      </c>
      <c r="X123" s="858">
        <v>50575.5</v>
      </c>
      <c r="Y123" s="858">
        <v>60960.335999999996</v>
      </c>
      <c r="Z123" s="858">
        <v>62174.148000000001</v>
      </c>
      <c r="AA123" s="858">
        <v>104927.30399999999</v>
      </c>
      <c r="AB123" s="858">
        <v>227050.27799999999</v>
      </c>
      <c r="AC123" s="863">
        <v>0</v>
      </c>
      <c r="AD123" s="858">
        <v>82404.347999999998</v>
      </c>
      <c r="AE123" s="858">
        <v>115817.89499999999</v>
      </c>
      <c r="AF123" s="858">
        <v>24647.127</v>
      </c>
      <c r="AG123" s="858">
        <v>24647.127</v>
      </c>
      <c r="AH123" s="858">
        <v>59847.674999999996</v>
      </c>
      <c r="AI123" s="863"/>
      <c r="AJ123" s="858">
        <v>4070316.2399999988</v>
      </c>
      <c r="AK123" s="841" t="s">
        <v>77</v>
      </c>
      <c r="AL123" s="858">
        <v>188983.785</v>
      </c>
      <c r="AM123" s="858">
        <v>107860.68299999999</v>
      </c>
      <c r="AN123" s="858">
        <v>954022.51500000001</v>
      </c>
      <c r="AO123" s="858">
        <v>871955.33699999994</v>
      </c>
      <c r="AP123" s="858">
        <v>1135419.9749999999</v>
      </c>
      <c r="AQ123" s="858">
        <v>796193.23800000001</v>
      </c>
      <c r="AR123" s="858">
        <v>104016.94499999999</v>
      </c>
      <c r="AS123" s="858">
        <v>1776009.2579999999</v>
      </c>
      <c r="AT123" s="858">
        <v>2382443.2199999997</v>
      </c>
      <c r="AU123" s="858">
        <v>4158452.4779999997</v>
      </c>
      <c r="AV123" s="915"/>
      <c r="AW123" s="1018"/>
      <c r="AX123" s="844" t="s">
        <v>5</v>
      </c>
      <c r="AY123" s="583">
        <v>38973.199999999997</v>
      </c>
      <c r="AZ123" s="583">
        <v>124350.5</v>
      </c>
      <c r="BA123" s="583">
        <v>3817.1</v>
      </c>
      <c r="BB123" s="583">
        <v>109009</v>
      </c>
      <c r="BC123" s="583">
        <v>33401</v>
      </c>
    </row>
    <row r="124" spans="1:55" s="947" customFormat="1" x14ac:dyDescent="0.25">
      <c r="A124" s="1040"/>
      <c r="B124" s="848" t="s">
        <v>217</v>
      </c>
      <c r="C124" s="849">
        <v>0.29264202154721414</v>
      </c>
      <c r="D124" s="849">
        <v>0.55285264691559133</v>
      </c>
      <c r="E124" s="866">
        <v>0.59003803564654278</v>
      </c>
      <c r="F124" s="866">
        <v>0.89943469407490606</v>
      </c>
      <c r="G124" s="866">
        <v>0.68464961086642162</v>
      </c>
      <c r="H124" s="866">
        <v>1.0885387222243617</v>
      </c>
      <c r="I124" s="866">
        <v>1.139287206607918</v>
      </c>
      <c r="J124" s="866">
        <v>0.2801663073977288</v>
      </c>
      <c r="K124" s="866">
        <v>1.6505178794896276</v>
      </c>
      <c r="L124" s="866">
        <v>1.0000534740743121</v>
      </c>
      <c r="M124" s="866">
        <v>0.7304830929637034</v>
      </c>
      <c r="N124" s="866">
        <v>1.0115410071518887</v>
      </c>
      <c r="O124" s="866">
        <v>1.3951503634445583</v>
      </c>
      <c r="P124" s="866">
        <v>0.51650564371036278</v>
      </c>
      <c r="Q124" s="866">
        <v>0.74223948322952638</v>
      </c>
      <c r="R124" s="866">
        <v>0.82595284790275658</v>
      </c>
      <c r="S124" s="866">
        <v>1.2356138746245076</v>
      </c>
      <c r="T124" s="849">
        <v>1.1542437308480353</v>
      </c>
      <c r="U124" s="849">
        <v>1.2196627128632083</v>
      </c>
      <c r="V124" s="849">
        <v>0.6242147627364929</v>
      </c>
      <c r="W124" s="849">
        <v>0.40622018983610703</v>
      </c>
      <c r="X124" s="849">
        <v>0.49488485417798067</v>
      </c>
      <c r="Y124" s="849">
        <v>0.29098498542935081</v>
      </c>
      <c r="Z124" s="849">
        <v>0.60837844740279756</v>
      </c>
      <c r="AA124" s="849">
        <v>0.50085468730981175</v>
      </c>
      <c r="AB124" s="849">
        <v>0.69076237803290097</v>
      </c>
      <c r="AC124" s="849">
        <v>0</v>
      </c>
      <c r="AD124" s="849">
        <v>0.36775965853710785</v>
      </c>
      <c r="AE124" s="849">
        <v>0.51687988014523945</v>
      </c>
      <c r="AF124" s="849">
        <v>0.15779806663631982</v>
      </c>
      <c r="AG124" s="849">
        <v>0.15779806663631982</v>
      </c>
      <c r="AH124" s="849">
        <v>0.26709222336471616</v>
      </c>
      <c r="AI124" s="849"/>
      <c r="AJ124" s="851">
        <v>0.67508733823626477</v>
      </c>
      <c r="AK124" s="852" t="s">
        <v>217</v>
      </c>
      <c r="AL124" s="849">
        <v>0.39862461652818371</v>
      </c>
      <c r="AM124" s="849">
        <v>0.35166900872091877</v>
      </c>
      <c r="AN124" s="849">
        <v>0.76707338419483406</v>
      </c>
      <c r="AO124" s="849">
        <v>0.6466406941598456</v>
      </c>
      <c r="AP124" s="849">
        <v>0.80349339747957726</v>
      </c>
      <c r="AQ124" s="849">
        <v>0.68933542461803765</v>
      </c>
      <c r="AR124" s="849">
        <v>1.1787758027685384</v>
      </c>
      <c r="AS124" s="849">
        <v>0.63199460942723218</v>
      </c>
      <c r="AT124" s="849">
        <v>0.74008391897396109</v>
      </c>
      <c r="AU124" s="849">
        <v>0.68970528308508516</v>
      </c>
      <c r="AV124" s="914"/>
      <c r="AW124" s="1018"/>
      <c r="AX124" s="848" t="s">
        <v>3</v>
      </c>
      <c r="AY124" s="849">
        <v>0.39999753678402516</v>
      </c>
      <c r="AZ124" s="849">
        <v>0.51050272513346506</v>
      </c>
      <c r="BA124" s="849">
        <v>2.8902031720984961E-2</v>
      </c>
      <c r="BB124" s="849">
        <v>0.37293623351133581</v>
      </c>
      <c r="BC124" s="849">
        <v>0.25290299718937781</v>
      </c>
    </row>
    <row r="125" spans="1:55" s="947" customFormat="1" x14ac:dyDescent="0.25">
      <c r="A125" s="1018"/>
      <c r="B125" s="848" t="s">
        <v>218</v>
      </c>
      <c r="C125" s="598">
        <v>63190.7</v>
      </c>
      <c r="D125" s="598">
        <v>82808.5</v>
      </c>
      <c r="E125" s="598">
        <v>88405.4</v>
      </c>
      <c r="F125" s="598">
        <v>162139</v>
      </c>
      <c r="G125" s="598">
        <v>111205</v>
      </c>
      <c r="H125" s="598">
        <v>427189</v>
      </c>
      <c r="I125" s="598">
        <v>120430</v>
      </c>
      <c r="J125" s="598">
        <v>46570.3</v>
      </c>
      <c r="K125" s="598">
        <v>146278</v>
      </c>
      <c r="L125" s="598">
        <v>224471</v>
      </c>
      <c r="M125" s="598">
        <v>153705</v>
      </c>
      <c r="N125" s="598">
        <v>443355</v>
      </c>
      <c r="O125" s="598">
        <v>115895</v>
      </c>
      <c r="P125" s="598">
        <v>116661</v>
      </c>
      <c r="Q125" s="598">
        <v>61685.9</v>
      </c>
      <c r="R125" s="598">
        <v>144505</v>
      </c>
      <c r="S125" s="598">
        <v>324264</v>
      </c>
      <c r="T125" s="598">
        <v>63657.4</v>
      </c>
      <c r="U125" s="598">
        <v>40359.1</v>
      </c>
      <c r="V125" s="598">
        <v>63826.1</v>
      </c>
      <c r="W125" s="598">
        <v>63826.1</v>
      </c>
      <c r="X125" s="598">
        <v>50634.3</v>
      </c>
      <c r="Y125" s="598">
        <v>50599.5</v>
      </c>
      <c r="Z125" s="598">
        <v>61894.9</v>
      </c>
      <c r="AA125" s="598">
        <v>61890.6</v>
      </c>
      <c r="AB125" s="598">
        <v>227171</v>
      </c>
      <c r="AC125" s="598">
        <v>0</v>
      </c>
      <c r="AD125" s="598">
        <v>82475.600000000006</v>
      </c>
      <c r="AE125" s="598">
        <v>115862</v>
      </c>
      <c r="AF125" s="598">
        <v>24663.8</v>
      </c>
      <c r="AG125" s="598">
        <v>24653.3</v>
      </c>
      <c r="AH125" s="598">
        <v>59881.5</v>
      </c>
      <c r="AI125" s="598"/>
      <c r="AJ125" s="598">
        <v>3824153</v>
      </c>
      <c r="AK125" s="852" t="s">
        <v>218</v>
      </c>
      <c r="AL125" s="861">
        <v>179052.7</v>
      </c>
      <c r="AM125" s="861">
        <v>107461.8</v>
      </c>
      <c r="AN125" s="861">
        <v>956156.1</v>
      </c>
      <c r="AO125" s="861">
        <v>713907.80000000016</v>
      </c>
      <c r="AP125" s="861">
        <v>1148495</v>
      </c>
      <c r="AQ125" s="861">
        <v>615063.1</v>
      </c>
      <c r="AR125" s="861">
        <v>104016.5</v>
      </c>
      <c r="AS125" s="861">
        <v>1436432.7000000002</v>
      </c>
      <c r="AT125" s="861">
        <v>2387720.2999999998</v>
      </c>
      <c r="AU125" s="861">
        <v>3824153</v>
      </c>
      <c r="AV125" s="916"/>
      <c r="AW125" s="1018" t="s">
        <v>219</v>
      </c>
      <c r="AX125" s="848" t="s">
        <v>3</v>
      </c>
      <c r="AY125" s="849">
        <v>0.38119624665106289</v>
      </c>
      <c r="AZ125" s="849">
        <v>0.47677983409520408</v>
      </c>
      <c r="BA125" s="849">
        <v>2.9589946651719472E-2</v>
      </c>
      <c r="BB125" s="849">
        <v>0.45412051337057324</v>
      </c>
      <c r="BC125" s="849">
        <v>0.31543211186862841</v>
      </c>
    </row>
    <row r="126" spans="1:55" s="947" customFormat="1" x14ac:dyDescent="0.25">
      <c r="A126" s="1018"/>
      <c r="B126" s="848" t="s">
        <v>216</v>
      </c>
      <c r="C126" s="866">
        <v>0.25274419802702519</v>
      </c>
      <c r="D126" s="866">
        <v>0.55016154353636504</v>
      </c>
      <c r="E126" s="866">
        <v>0.58734612172602763</v>
      </c>
      <c r="F126" s="866">
        <v>0.89087950030439766</v>
      </c>
      <c r="G126" s="866">
        <v>0.67085651615503084</v>
      </c>
      <c r="H126" s="866">
        <v>1.0967484371189073</v>
      </c>
      <c r="I126" s="866">
        <v>0.70027416695982858</v>
      </c>
      <c r="J126" s="866">
        <v>0.28041221594672383</v>
      </c>
      <c r="K126" s="866">
        <v>1.1794786613685624</v>
      </c>
      <c r="L126" s="866">
        <v>1.0017842542906004</v>
      </c>
      <c r="M126" s="866">
        <v>0.7962789030255023</v>
      </c>
      <c r="N126" s="866">
        <v>1.0117180894797337</v>
      </c>
      <c r="O126" s="866">
        <v>1.3956728661782203</v>
      </c>
      <c r="P126" s="866">
        <v>0.42248517367156962</v>
      </c>
      <c r="Q126" s="866">
        <v>0.74285635148870166</v>
      </c>
      <c r="R126" s="866">
        <v>0.75412982691623232</v>
      </c>
      <c r="S126" s="866">
        <v>1.2362856377071236</v>
      </c>
      <c r="T126" s="866">
        <v>1.1542383637649363</v>
      </c>
      <c r="U126" s="866">
        <v>1.2196582100602891</v>
      </c>
      <c r="V126" s="866">
        <v>0.62454291487477553</v>
      </c>
      <c r="W126" s="866">
        <v>0.30466427840083249</v>
      </c>
      <c r="X126" s="866">
        <v>0.49546021634791804</v>
      </c>
      <c r="Y126" s="866">
        <v>0.24152909475814632</v>
      </c>
      <c r="Z126" s="866">
        <v>0.60564598591928298</v>
      </c>
      <c r="AA126" s="866">
        <v>0.29542546056855362</v>
      </c>
      <c r="AB126" s="866">
        <v>0.69112965446407493</v>
      </c>
      <c r="AC126" s="866">
        <v>0</v>
      </c>
      <c r="AD126" s="866">
        <v>0.36807764674799798</v>
      </c>
      <c r="AE126" s="866">
        <v>0.51707671490133489</v>
      </c>
      <c r="AF126" s="866">
        <v>0.15790481202555026</v>
      </c>
      <c r="AG126" s="866">
        <v>0.15783758797547409</v>
      </c>
      <c r="AH126" s="866">
        <v>0.26724317984640594</v>
      </c>
      <c r="AI126" s="866"/>
      <c r="AJ126" s="869">
        <v>0.63425962936438263</v>
      </c>
      <c r="AK126" s="852" t="s">
        <v>216</v>
      </c>
      <c r="AL126" s="849">
        <v>0.37767692014336535</v>
      </c>
      <c r="AM126" s="849">
        <v>0.35036849044767898</v>
      </c>
      <c r="AN126" s="849">
        <v>0.76878887438577292</v>
      </c>
      <c r="AO126" s="849">
        <v>0.52943289153596684</v>
      </c>
      <c r="AP126" s="849">
        <v>0.81274609383044127</v>
      </c>
      <c r="AQ126" s="849">
        <v>0.5325149259875861</v>
      </c>
      <c r="AR126" s="849">
        <v>1.1787707597898949</v>
      </c>
      <c r="AS126" s="849">
        <v>0.51115596335759905</v>
      </c>
      <c r="AT126" s="849">
        <v>0.74172319499714334</v>
      </c>
      <c r="AU126" s="849">
        <v>0.63425962936438252</v>
      </c>
      <c r="AV126" s="914"/>
      <c r="AW126" s="1018"/>
      <c r="AX126" s="848"/>
      <c r="AY126" s="849"/>
      <c r="AZ126" s="849"/>
      <c r="BA126" s="849"/>
      <c r="BB126" s="849"/>
      <c r="BC126" s="849"/>
    </row>
    <row r="127" spans="1:55" s="947" customFormat="1" x14ac:dyDescent="0.25">
      <c r="A127" s="1041">
        <v>41914</v>
      </c>
      <c r="B127" s="1041"/>
      <c r="C127" s="1041"/>
      <c r="D127" s="529"/>
      <c r="E127" s="529"/>
      <c r="F127" s="529"/>
      <c r="G127" s="529"/>
      <c r="H127" s="529"/>
      <c r="I127" s="525"/>
      <c r="J127" s="531"/>
      <c r="K127" s="531"/>
      <c r="L127" s="529"/>
      <c r="M127" s="529"/>
      <c r="N127" s="527"/>
      <c r="R127" s="526"/>
      <c r="S127" s="534"/>
      <c r="T127" s="534"/>
      <c r="U127" s="534"/>
      <c r="V127" s="534"/>
      <c r="W127" s="534"/>
      <c r="X127" s="534"/>
      <c r="Y127" s="534"/>
      <c r="Z127" s="534"/>
      <c r="AA127" s="534"/>
      <c r="AB127" s="534"/>
      <c r="AC127" s="534"/>
      <c r="AD127" s="534"/>
      <c r="AE127" s="534"/>
      <c r="AF127" s="534"/>
      <c r="AG127" s="534"/>
      <c r="AH127" s="534"/>
      <c r="AI127" s="534"/>
      <c r="AJ127" s="534"/>
      <c r="AK127" s="534"/>
      <c r="AL127" s="534"/>
      <c r="AM127" s="534"/>
      <c r="AN127" s="534"/>
      <c r="AO127" s="534"/>
    </row>
    <row r="128" spans="1:55" s="947" customFormat="1" x14ac:dyDescent="0.25">
      <c r="A128" s="1042" t="s">
        <v>1</v>
      </c>
      <c r="B128" s="1042"/>
      <c r="C128" s="1016" t="s">
        <v>12</v>
      </c>
      <c r="D128" s="1016" t="s">
        <v>12</v>
      </c>
      <c r="E128" s="1016" t="s">
        <v>13</v>
      </c>
      <c r="F128" s="1016" t="s">
        <v>13</v>
      </c>
      <c r="G128" s="1016" t="s">
        <v>13</v>
      </c>
      <c r="H128" s="1016" t="s">
        <v>13</v>
      </c>
      <c r="I128" s="1016" t="s">
        <v>13</v>
      </c>
      <c r="J128" s="1016" t="s">
        <v>13</v>
      </c>
      <c r="K128" s="1016" t="s">
        <v>13</v>
      </c>
      <c r="L128" s="1016" t="s">
        <v>13</v>
      </c>
      <c r="M128" s="1016" t="s">
        <v>2</v>
      </c>
      <c r="N128" s="1016" t="s">
        <v>2</v>
      </c>
      <c r="O128" s="1016" t="s">
        <v>2</v>
      </c>
      <c r="P128" s="1016" t="s">
        <v>2</v>
      </c>
      <c r="Q128" s="1016" t="s">
        <v>2</v>
      </c>
      <c r="R128" s="1016" t="s">
        <v>2</v>
      </c>
      <c r="S128" s="1016" t="s">
        <v>2</v>
      </c>
      <c r="T128" s="1016" t="s">
        <v>183</v>
      </c>
      <c r="U128" s="1016" t="s">
        <v>183</v>
      </c>
      <c r="V128" s="1016" t="s">
        <v>2</v>
      </c>
      <c r="W128" s="1016" t="s">
        <v>13</v>
      </c>
      <c r="X128" s="1016" t="s">
        <v>13</v>
      </c>
      <c r="Y128" s="1016" t="s">
        <v>2</v>
      </c>
      <c r="Z128" s="1016" t="s">
        <v>13</v>
      </c>
      <c r="AA128" s="1016" t="s">
        <v>2</v>
      </c>
      <c r="AB128" s="1016" t="s">
        <v>2</v>
      </c>
      <c r="AC128" s="1016" t="s">
        <v>2</v>
      </c>
      <c r="AD128" s="1016" t="s">
        <v>13</v>
      </c>
      <c r="AE128" s="1016" t="s">
        <v>12</v>
      </c>
      <c r="AF128" s="1016" t="s">
        <v>13</v>
      </c>
      <c r="AG128" s="1016" t="s">
        <v>12</v>
      </c>
      <c r="AH128" s="1016" t="s">
        <v>13</v>
      </c>
      <c r="AI128" s="1016" t="s">
        <v>13</v>
      </c>
      <c r="AJ128" s="1016" t="s">
        <v>219</v>
      </c>
      <c r="AK128" s="1042" t="s">
        <v>0</v>
      </c>
      <c r="AL128" s="1042"/>
      <c r="AM128" s="833"/>
      <c r="AN128" s="833"/>
      <c r="AO128" s="833"/>
      <c r="AP128" s="833"/>
      <c r="AQ128" s="833"/>
      <c r="AR128" s="833"/>
      <c r="AS128" s="833"/>
      <c r="AT128" s="833"/>
      <c r="AU128" s="803"/>
      <c r="AV128" s="803"/>
      <c r="AW128" s="1042" t="s">
        <v>1</v>
      </c>
      <c r="AX128" s="1043"/>
      <c r="AY128" s="1016" t="s">
        <v>12</v>
      </c>
      <c r="AZ128" s="1044" t="s">
        <v>13</v>
      </c>
      <c r="BA128" s="1045"/>
      <c r="BB128" s="1044" t="s">
        <v>2</v>
      </c>
      <c r="BC128" s="1045"/>
    </row>
    <row r="129" spans="1:55" s="947" customFormat="1" x14ac:dyDescent="0.25">
      <c r="A129" s="1042" t="s">
        <v>0</v>
      </c>
      <c r="B129" s="1042"/>
      <c r="C129" s="834" t="s">
        <v>99</v>
      </c>
      <c r="D129" s="835" t="s">
        <v>100</v>
      </c>
      <c r="E129" s="835" t="s">
        <v>101</v>
      </c>
      <c r="F129" s="834" t="s">
        <v>102</v>
      </c>
      <c r="G129" s="835" t="s">
        <v>97</v>
      </c>
      <c r="H129" s="834" t="s">
        <v>104</v>
      </c>
      <c r="I129" s="835" t="s">
        <v>103</v>
      </c>
      <c r="J129" s="835" t="s">
        <v>178</v>
      </c>
      <c r="K129" s="835" t="s">
        <v>199</v>
      </c>
      <c r="L129" s="834" t="s">
        <v>206</v>
      </c>
      <c r="M129" s="834" t="s">
        <v>105</v>
      </c>
      <c r="N129" s="834" t="s">
        <v>107</v>
      </c>
      <c r="O129" s="835" t="s">
        <v>98</v>
      </c>
      <c r="P129" s="835" t="s">
        <v>106</v>
      </c>
      <c r="Q129" s="835" t="s">
        <v>179</v>
      </c>
      <c r="R129" s="835" t="s">
        <v>198</v>
      </c>
      <c r="S129" s="834" t="s">
        <v>207</v>
      </c>
      <c r="T129" s="834" t="s">
        <v>182</v>
      </c>
      <c r="U129" s="834" t="s">
        <v>184</v>
      </c>
      <c r="V129" s="835" t="s">
        <v>221</v>
      </c>
      <c r="W129" s="835" t="s">
        <v>222</v>
      </c>
      <c r="X129" s="835" t="s">
        <v>255</v>
      </c>
      <c r="Y129" s="835" t="s">
        <v>256</v>
      </c>
      <c r="Z129" s="835" t="s">
        <v>266</v>
      </c>
      <c r="AA129" s="835" t="s">
        <v>267</v>
      </c>
      <c r="AB129" s="889" t="s">
        <v>268</v>
      </c>
      <c r="AC129" s="889" t="s">
        <v>269</v>
      </c>
      <c r="AD129" s="889" t="s">
        <v>295</v>
      </c>
      <c r="AE129" s="889" t="s">
        <v>290</v>
      </c>
      <c r="AF129" s="946" t="s">
        <v>291</v>
      </c>
      <c r="AG129" s="946" t="s">
        <v>292</v>
      </c>
      <c r="AH129" s="889" t="s">
        <v>293</v>
      </c>
      <c r="AI129" s="889" t="s">
        <v>294</v>
      </c>
      <c r="AJ129" s="836"/>
      <c r="AK129" s="903" t="s">
        <v>1</v>
      </c>
      <c r="AL129" s="838" t="s">
        <v>257</v>
      </c>
      <c r="AM129" s="838" t="s">
        <v>258</v>
      </c>
      <c r="AN129" s="838" t="s">
        <v>259</v>
      </c>
      <c r="AO129" s="838" t="s">
        <v>260</v>
      </c>
      <c r="AP129" s="838" t="s">
        <v>261</v>
      </c>
      <c r="AQ129" s="838" t="s">
        <v>262</v>
      </c>
      <c r="AR129" s="838" t="s">
        <v>263</v>
      </c>
      <c r="AS129" s="904" t="s">
        <v>264</v>
      </c>
      <c r="AT129" s="904" t="s">
        <v>265</v>
      </c>
      <c r="AU129" s="988" t="s">
        <v>306</v>
      </c>
      <c r="AV129" s="988"/>
      <c r="AW129" s="1046" t="s">
        <v>0</v>
      </c>
      <c r="AX129" s="1043"/>
      <c r="AY129" s="834" t="s">
        <v>99</v>
      </c>
      <c r="AZ129" s="834" t="s">
        <v>104</v>
      </c>
      <c r="BA129" s="834" t="s">
        <v>206</v>
      </c>
      <c r="BB129" s="834" t="s">
        <v>107</v>
      </c>
      <c r="BC129" s="834" t="s">
        <v>207</v>
      </c>
    </row>
    <row r="130" spans="1:55" s="947" customFormat="1" ht="30" x14ac:dyDescent="0.25">
      <c r="A130" s="1047" t="s">
        <v>9</v>
      </c>
      <c r="B130" s="839" t="s">
        <v>4</v>
      </c>
      <c r="C130" s="840">
        <v>250018.4</v>
      </c>
      <c r="D130" s="840">
        <v>150516.70000000001</v>
      </c>
      <c r="E130" s="840">
        <v>150516.70000000001</v>
      </c>
      <c r="F130" s="840">
        <v>181998.8</v>
      </c>
      <c r="G130" s="840">
        <v>165765.70000000001</v>
      </c>
      <c r="H130" s="840">
        <v>389505</v>
      </c>
      <c r="I130" s="840">
        <v>171975.5</v>
      </c>
      <c r="J130" s="840">
        <v>166078</v>
      </c>
      <c r="K130" s="840">
        <v>124019.2</v>
      </c>
      <c r="L130" s="840">
        <v>224071.2</v>
      </c>
      <c r="M130" s="840">
        <v>193029.1</v>
      </c>
      <c r="N130" s="840">
        <v>438219.9</v>
      </c>
      <c r="O130" s="840">
        <v>83038.8</v>
      </c>
      <c r="P130" s="840">
        <v>276130.40000000002</v>
      </c>
      <c r="Q130" s="840">
        <v>83038.8</v>
      </c>
      <c r="R130" s="840">
        <v>191618.2</v>
      </c>
      <c r="S130" s="840">
        <v>262288.90000000002</v>
      </c>
      <c r="T130" s="840">
        <v>55151</v>
      </c>
      <c r="U130" s="840">
        <v>33090.5</v>
      </c>
      <c r="V130" s="840">
        <v>102196.5</v>
      </c>
      <c r="W130" s="840">
        <v>209496.5</v>
      </c>
      <c r="X130" s="840">
        <v>102196.5</v>
      </c>
      <c r="Y130" s="840">
        <v>209496.5</v>
      </c>
      <c r="Z130" s="840">
        <v>102196.5</v>
      </c>
      <c r="AA130" s="840">
        <v>209496.5</v>
      </c>
      <c r="AB130" s="840">
        <v>328695.2</v>
      </c>
      <c r="AC130" s="901">
        <v>190871.2</v>
      </c>
      <c r="AD130" s="901">
        <v>224071.2</v>
      </c>
      <c r="AE130" s="901">
        <v>224071.2</v>
      </c>
      <c r="AF130" s="901">
        <v>156194.1</v>
      </c>
      <c r="AG130" s="901">
        <v>156194.1</v>
      </c>
      <c r="AH130" s="901">
        <v>224071.2</v>
      </c>
      <c r="AI130" s="901"/>
      <c r="AJ130" s="840">
        <v>6029317.9999999991</v>
      </c>
      <c r="AK130" s="841" t="s">
        <v>4</v>
      </c>
      <c r="AL130" s="863">
        <v>474089.6</v>
      </c>
      <c r="AM130" s="863">
        <v>306710.80000000005</v>
      </c>
      <c r="AN130" s="863">
        <v>1243717.3999999999</v>
      </c>
      <c r="AO130" s="863">
        <v>1348438.7000000002</v>
      </c>
      <c r="AP130" s="863">
        <v>1413104.3</v>
      </c>
      <c r="AQ130" s="863">
        <v>1155015.7</v>
      </c>
      <c r="AR130" s="863">
        <v>88241.5</v>
      </c>
      <c r="AS130" s="863">
        <v>2810165.2</v>
      </c>
      <c r="AT130" s="863">
        <v>3219152.8</v>
      </c>
      <c r="AU130" s="863">
        <v>6029318</v>
      </c>
      <c r="AV130" s="989"/>
      <c r="AW130" s="875" t="s">
        <v>194</v>
      </c>
      <c r="AX130" s="872" t="s">
        <v>4</v>
      </c>
      <c r="AY130" s="840">
        <v>143393</v>
      </c>
      <c r="AZ130" s="840">
        <v>132132</v>
      </c>
      <c r="BA130" s="840">
        <v>83196.100000000006</v>
      </c>
      <c r="BB130" s="840">
        <v>132132.20000000001</v>
      </c>
      <c r="BC130" s="840">
        <v>83196.100000000006</v>
      </c>
    </row>
    <row r="131" spans="1:55" s="947" customFormat="1" x14ac:dyDescent="0.25">
      <c r="A131" s="1047"/>
      <c r="B131" s="844" t="s">
        <v>5</v>
      </c>
      <c r="C131" s="583">
        <v>53615.4</v>
      </c>
      <c r="D131" s="583">
        <v>87019.5</v>
      </c>
      <c r="E131" s="583">
        <v>86766.7</v>
      </c>
      <c r="F131" s="583">
        <v>102272.4</v>
      </c>
      <c r="G131" s="583">
        <v>118673</v>
      </c>
      <c r="H131" s="583">
        <v>207056.9</v>
      </c>
      <c r="I131" s="583">
        <v>96025</v>
      </c>
      <c r="J131" s="583">
        <v>52367.1</v>
      </c>
      <c r="K131" s="583">
        <v>98032.2</v>
      </c>
      <c r="L131" s="583">
        <v>94692.2</v>
      </c>
      <c r="M131" s="583">
        <v>81185.2</v>
      </c>
      <c r="N131" s="583">
        <v>212305.8</v>
      </c>
      <c r="O131" s="583">
        <v>59824.5</v>
      </c>
      <c r="P131" s="583">
        <v>181042.2</v>
      </c>
      <c r="Q131" s="583">
        <v>27061.7</v>
      </c>
      <c r="R131" s="583">
        <v>151135.9</v>
      </c>
      <c r="S131" s="583">
        <v>180300.5</v>
      </c>
      <c r="T131" s="583">
        <v>17841</v>
      </c>
      <c r="U131" s="583">
        <v>11553.4</v>
      </c>
      <c r="V131" s="583">
        <v>15565.8</v>
      </c>
      <c r="W131" s="583">
        <v>31131.5</v>
      </c>
      <c r="X131" s="583">
        <v>27019.8</v>
      </c>
      <c r="Y131" s="583">
        <v>53141.5</v>
      </c>
      <c r="Z131" s="583">
        <v>9486.1</v>
      </c>
      <c r="AA131" s="583">
        <v>18873.5</v>
      </c>
      <c r="AB131" s="583">
        <v>128460.5</v>
      </c>
      <c r="AC131" s="583">
        <v>4.9000000000000004</v>
      </c>
      <c r="AD131" s="583">
        <v>24227.9</v>
      </c>
      <c r="AE131" s="583">
        <v>63752.4</v>
      </c>
      <c r="AF131" s="583">
        <v>18223.2</v>
      </c>
      <c r="AG131" s="583">
        <v>18223</v>
      </c>
      <c r="AH131" s="583">
        <v>460.7</v>
      </c>
      <c r="AI131" s="583"/>
      <c r="AJ131" s="845">
        <v>2327341.4</v>
      </c>
      <c r="AK131" s="846" t="s">
        <v>5</v>
      </c>
      <c r="AL131" s="863">
        <v>117367.8</v>
      </c>
      <c r="AM131" s="863">
        <v>105242.5</v>
      </c>
      <c r="AN131" s="863">
        <v>428710.10000000003</v>
      </c>
      <c r="AO131" s="863">
        <v>537724.6</v>
      </c>
      <c r="AP131" s="863">
        <v>602256.9</v>
      </c>
      <c r="AQ131" s="863">
        <v>506645.10000000003</v>
      </c>
      <c r="AR131" s="863">
        <v>29394.400000000001</v>
      </c>
      <c r="AS131" s="863">
        <v>1149612.2</v>
      </c>
      <c r="AT131" s="863">
        <v>1177729.2</v>
      </c>
      <c r="AU131" s="863">
        <v>2327341.4</v>
      </c>
      <c r="AV131" s="990"/>
      <c r="AW131" s="876"/>
      <c r="AX131" s="873" t="s">
        <v>5</v>
      </c>
      <c r="AY131" s="583">
        <v>51964.9</v>
      </c>
      <c r="AZ131" s="583">
        <v>58542</v>
      </c>
      <c r="BA131" s="583">
        <v>2519</v>
      </c>
      <c r="BB131" s="583">
        <v>70731</v>
      </c>
      <c r="BC131" s="583">
        <v>31444.9</v>
      </c>
    </row>
    <row r="132" spans="1:55" s="947" customFormat="1" x14ac:dyDescent="0.25">
      <c r="A132" s="1047"/>
      <c r="B132" s="848" t="s">
        <v>3</v>
      </c>
      <c r="C132" s="866">
        <v>0.21444581678788444</v>
      </c>
      <c r="D132" s="866">
        <v>0.57813850556117685</v>
      </c>
      <c r="E132" s="866">
        <v>0.57645895771034039</v>
      </c>
      <c r="F132" s="866">
        <v>0.56193996883495934</v>
      </c>
      <c r="G132" s="866">
        <v>0.71590805576786987</v>
      </c>
      <c r="H132" s="866">
        <v>0.53158983838461638</v>
      </c>
      <c r="I132" s="866">
        <v>0.5583644181874744</v>
      </c>
      <c r="J132" s="866">
        <v>0.31531629716157467</v>
      </c>
      <c r="K132" s="866">
        <v>0.79045986427907933</v>
      </c>
      <c r="L132" s="866">
        <v>0.42259870969584662</v>
      </c>
      <c r="M132" s="866">
        <v>0.42058528998995487</v>
      </c>
      <c r="N132" s="866">
        <v>0.48447320626014467</v>
      </c>
      <c r="O132" s="866">
        <v>0.72044032428214277</v>
      </c>
      <c r="P132" s="866">
        <v>0.65564023374463654</v>
      </c>
      <c r="Q132" s="866">
        <v>0.32589223351011815</v>
      </c>
      <c r="R132" s="866">
        <v>0.78873457740444275</v>
      </c>
      <c r="S132" s="866">
        <v>0.68741185768822077</v>
      </c>
      <c r="T132" s="866">
        <v>0.32349368098493225</v>
      </c>
      <c r="U132" s="866">
        <v>0.349145525150723</v>
      </c>
      <c r="V132" s="866">
        <v>0.15231245688453127</v>
      </c>
      <c r="W132" s="866">
        <v>0.14860152794915429</v>
      </c>
      <c r="X132" s="866">
        <v>0.26439065917130233</v>
      </c>
      <c r="Y132" s="866">
        <v>0.25366294902301473</v>
      </c>
      <c r="Z132" s="866">
        <v>9.2822161228613503E-2</v>
      </c>
      <c r="AA132" s="866">
        <v>9.0089810569627657E-2</v>
      </c>
      <c r="AB132" s="866">
        <v>0.3908195191167988</v>
      </c>
      <c r="AC132" s="866">
        <v>2.5671761900171424E-5</v>
      </c>
      <c r="AD132" s="866">
        <v>0.10812589926773276</v>
      </c>
      <c r="AE132" s="866">
        <v>0.2845184923363645</v>
      </c>
      <c r="AF132" s="866">
        <v>0.11667021993788498</v>
      </c>
      <c r="AG132" s="866">
        <v>0.11666893947978828</v>
      </c>
      <c r="AH132" s="866">
        <v>2.0560429006494362E-3</v>
      </c>
      <c r="AI132" s="866"/>
      <c r="AJ132" s="869">
        <v>0.38600408868797437</v>
      </c>
      <c r="AK132" s="852" t="s">
        <v>3</v>
      </c>
      <c r="AL132" s="849">
        <v>0.24756459538450118</v>
      </c>
      <c r="AM132" s="849">
        <v>0.34313268394852736</v>
      </c>
      <c r="AN132" s="849">
        <v>0.34470057265420589</v>
      </c>
      <c r="AO132" s="849">
        <v>0.39877571001188256</v>
      </c>
      <c r="AP132" s="849">
        <v>0.42619423067356033</v>
      </c>
      <c r="AQ132" s="849">
        <v>0.43864780366188966</v>
      </c>
      <c r="AR132" s="849">
        <v>0.33311310437832542</v>
      </c>
      <c r="AS132" s="849">
        <v>0.40909061147010145</v>
      </c>
      <c r="AT132" s="849">
        <v>0.36585066729358112</v>
      </c>
      <c r="AU132" s="849">
        <v>0.38600408868797431</v>
      </c>
      <c r="AV132" s="991"/>
      <c r="AW132" s="876"/>
      <c r="AX132" s="874" t="s">
        <v>3</v>
      </c>
      <c r="AY132" s="849">
        <v>0.36239495651810061</v>
      </c>
      <c r="AZ132" s="849">
        <v>0.44305694305694304</v>
      </c>
      <c r="BA132" s="849">
        <v>3.0277861582453984E-2</v>
      </c>
      <c r="BB132" s="849">
        <v>0.53530479322981073</v>
      </c>
      <c r="BC132" s="849">
        <v>0.37796122654787906</v>
      </c>
    </row>
    <row r="133" spans="1:55" s="947" customFormat="1" ht="30" x14ac:dyDescent="0.25">
      <c r="A133" s="1040" t="s">
        <v>6</v>
      </c>
      <c r="B133" s="854" t="s">
        <v>7</v>
      </c>
      <c r="C133" s="840">
        <v>3713</v>
      </c>
      <c r="D133" s="840">
        <v>3620</v>
      </c>
      <c r="E133" s="840">
        <v>3560</v>
      </c>
      <c r="F133" s="840">
        <v>6595</v>
      </c>
      <c r="G133" s="840">
        <v>8432</v>
      </c>
      <c r="H133" s="840">
        <v>15082</v>
      </c>
      <c r="I133" s="840">
        <v>7076</v>
      </c>
      <c r="J133" s="840">
        <v>9599</v>
      </c>
      <c r="K133" s="840">
        <v>7072</v>
      </c>
      <c r="L133" s="840">
        <v>9334</v>
      </c>
      <c r="M133" s="840">
        <v>5450</v>
      </c>
      <c r="N133" s="840">
        <v>15002</v>
      </c>
      <c r="O133" s="840">
        <v>4357</v>
      </c>
      <c r="P133" s="840">
        <v>8466</v>
      </c>
      <c r="Q133" s="840">
        <v>4799</v>
      </c>
      <c r="R133" s="840">
        <v>9711</v>
      </c>
      <c r="S133" s="840">
        <v>11560</v>
      </c>
      <c r="T133" s="855">
        <v>2480</v>
      </c>
      <c r="U133" s="855">
        <v>1570</v>
      </c>
      <c r="V133" s="840">
        <v>3999</v>
      </c>
      <c r="W133" s="840">
        <v>7999</v>
      </c>
      <c r="X133" s="840">
        <v>3999</v>
      </c>
      <c r="Y133" s="840">
        <v>7999</v>
      </c>
      <c r="Z133" s="840">
        <v>3999</v>
      </c>
      <c r="AA133" s="840">
        <v>7999</v>
      </c>
      <c r="AB133" s="840">
        <v>11999</v>
      </c>
      <c r="AC133" s="840">
        <v>6400</v>
      </c>
      <c r="AD133" s="840">
        <v>6399</v>
      </c>
      <c r="AE133" s="840">
        <v>6399</v>
      </c>
      <c r="AF133" s="840">
        <v>4800</v>
      </c>
      <c r="AG133" s="840">
        <v>4800</v>
      </c>
      <c r="AH133" s="840">
        <v>6399</v>
      </c>
      <c r="AI133" s="840"/>
      <c r="AJ133" s="840">
        <v>220668</v>
      </c>
      <c r="AK133" s="856" t="s">
        <v>7</v>
      </c>
      <c r="AL133" s="858">
        <v>10112</v>
      </c>
      <c r="AM133" s="858">
        <v>8420</v>
      </c>
      <c r="AN133" s="858">
        <v>43809</v>
      </c>
      <c r="AO133" s="858">
        <v>56536</v>
      </c>
      <c r="AP133" s="858">
        <v>50411</v>
      </c>
      <c r="AQ133" s="858">
        <v>47330</v>
      </c>
      <c r="AR133" s="858">
        <v>4050</v>
      </c>
      <c r="AS133" s="858">
        <v>112286</v>
      </c>
      <c r="AT133" s="858">
        <v>108382</v>
      </c>
      <c r="AU133" s="858">
        <v>220668</v>
      </c>
      <c r="AV133" s="657"/>
      <c r="AW133" s="880" t="s">
        <v>190</v>
      </c>
      <c r="AX133" s="879" t="s">
        <v>4</v>
      </c>
      <c r="AY133" s="857">
        <v>9191.7999999999993</v>
      </c>
      <c r="AZ133" s="857">
        <v>13787.7</v>
      </c>
      <c r="BA133" s="857">
        <v>8804.7999999999993</v>
      </c>
      <c r="BB133" s="857">
        <v>13787.7</v>
      </c>
      <c r="BC133" s="857">
        <v>8804.7999999999993</v>
      </c>
    </row>
    <row r="134" spans="1:55" s="947" customFormat="1" x14ac:dyDescent="0.25">
      <c r="A134" s="1040"/>
      <c r="B134" s="839" t="s">
        <v>11</v>
      </c>
      <c r="C134" s="858">
        <v>125191.22099999999</v>
      </c>
      <c r="D134" s="858">
        <v>122055.54</v>
      </c>
      <c r="E134" s="858">
        <v>120032.51999999999</v>
      </c>
      <c r="F134" s="858">
        <v>222363.61499999999</v>
      </c>
      <c r="G134" s="858">
        <v>284301.74400000001</v>
      </c>
      <c r="H134" s="858">
        <v>508519.79399999999</v>
      </c>
      <c r="I134" s="858">
        <v>238581.492</v>
      </c>
      <c r="J134" s="858">
        <v>323649.48300000001</v>
      </c>
      <c r="K134" s="858">
        <v>238446.62399999998</v>
      </c>
      <c r="L134" s="858">
        <v>314714.478</v>
      </c>
      <c r="M134" s="858">
        <v>183757.65</v>
      </c>
      <c r="N134" s="858">
        <v>505822.43400000001</v>
      </c>
      <c r="O134" s="858">
        <v>146904.96899999998</v>
      </c>
      <c r="P134" s="858">
        <v>285448.12199999997</v>
      </c>
      <c r="Q134" s="858">
        <v>161807.883</v>
      </c>
      <c r="R134" s="858">
        <v>327425.78700000001</v>
      </c>
      <c r="S134" s="858">
        <v>389768.51999999996</v>
      </c>
      <c r="T134" s="858">
        <v>83618.16</v>
      </c>
      <c r="U134" s="858">
        <v>52935.689999999995</v>
      </c>
      <c r="V134" s="858">
        <v>134834.283</v>
      </c>
      <c r="W134" s="858">
        <v>269702.283</v>
      </c>
      <c r="X134" s="858">
        <v>134834.283</v>
      </c>
      <c r="Y134" s="858">
        <v>269702.283</v>
      </c>
      <c r="Z134" s="858">
        <v>134834.283</v>
      </c>
      <c r="AA134" s="858">
        <v>269702.283</v>
      </c>
      <c r="AB134" s="858">
        <v>404570.283</v>
      </c>
      <c r="AC134" s="858">
        <v>215788.79999999999</v>
      </c>
      <c r="AD134" s="858">
        <v>215755.08299999998</v>
      </c>
      <c r="AE134" s="858">
        <v>215755.08299999998</v>
      </c>
      <c r="AF134" s="858">
        <v>161841.60000000001</v>
      </c>
      <c r="AG134" s="858">
        <v>161841.60000000001</v>
      </c>
      <c r="AH134" s="858">
        <v>215755.08299999998</v>
      </c>
      <c r="AI134" s="858"/>
      <c r="AJ134" s="859">
        <v>7440262.9559999965</v>
      </c>
      <c r="AK134" s="841" t="s">
        <v>11</v>
      </c>
      <c r="AL134" s="858">
        <v>340946.304</v>
      </c>
      <c r="AM134" s="858">
        <v>283897.14</v>
      </c>
      <c r="AN134" s="858">
        <v>1477108.0529999998</v>
      </c>
      <c r="AO134" s="858">
        <v>1906224.3119999999</v>
      </c>
      <c r="AP134" s="858">
        <v>1699707.6869999999</v>
      </c>
      <c r="AQ134" s="858">
        <v>1595825.6099999999</v>
      </c>
      <c r="AR134" s="858">
        <v>136553.85</v>
      </c>
      <c r="AS134" s="858">
        <v>3785947.0619999999</v>
      </c>
      <c r="AT134" s="858">
        <v>3654315.8939999999</v>
      </c>
      <c r="AU134" s="858">
        <v>7440262.9560000002</v>
      </c>
      <c r="AV134" s="992"/>
      <c r="AW134" s="876"/>
      <c r="AX134" s="873" t="s">
        <v>5</v>
      </c>
      <c r="AY134" s="583">
        <v>7975.5</v>
      </c>
      <c r="AZ134" s="583">
        <v>13649</v>
      </c>
      <c r="BA134" s="583">
        <v>1289.9000000000001</v>
      </c>
      <c r="BB134" s="583">
        <v>13642</v>
      </c>
      <c r="BC134" s="583">
        <v>5483.9</v>
      </c>
    </row>
    <row r="135" spans="1:55" s="947" customFormat="1" x14ac:dyDescent="0.25">
      <c r="A135" s="1040"/>
      <c r="B135" s="839" t="s">
        <v>79</v>
      </c>
      <c r="C135" s="858">
        <v>164000</v>
      </c>
      <c r="D135" s="858">
        <v>109880</v>
      </c>
      <c r="E135" s="858">
        <v>109880</v>
      </c>
      <c r="F135" s="858">
        <v>328000</v>
      </c>
      <c r="G135" s="858">
        <v>330905</v>
      </c>
      <c r="H135" s="858">
        <v>264264</v>
      </c>
      <c r="I135" s="858">
        <v>242663.6</v>
      </c>
      <c r="J135" s="858">
        <v>328000</v>
      </c>
      <c r="K135" s="858">
        <v>328000</v>
      </c>
      <c r="L135" s="858">
        <v>328000</v>
      </c>
      <c r="M135" s="858">
        <v>328000</v>
      </c>
      <c r="N135" s="858">
        <v>264264.40000000002</v>
      </c>
      <c r="O135" s="858">
        <v>328000</v>
      </c>
      <c r="P135" s="858">
        <v>352965.4</v>
      </c>
      <c r="Q135" s="858">
        <v>328000</v>
      </c>
      <c r="R135" s="858">
        <v>328000</v>
      </c>
      <c r="S135" s="858">
        <v>328000</v>
      </c>
      <c r="T135" s="858">
        <v>110302</v>
      </c>
      <c r="U135" s="858">
        <v>66181</v>
      </c>
      <c r="V135" s="858">
        <v>204393</v>
      </c>
      <c r="W135" s="858">
        <v>418993</v>
      </c>
      <c r="X135" s="858">
        <v>204393</v>
      </c>
      <c r="Y135" s="858">
        <v>418993</v>
      </c>
      <c r="Z135" s="858">
        <v>204393</v>
      </c>
      <c r="AA135" s="858">
        <v>418993</v>
      </c>
      <c r="AB135" s="858">
        <v>657390.4</v>
      </c>
      <c r="AC135" s="858">
        <v>381742.4</v>
      </c>
      <c r="AD135" s="858">
        <v>448142.4</v>
      </c>
      <c r="AE135" s="858">
        <v>448142.4</v>
      </c>
      <c r="AF135" s="858">
        <v>312388.2</v>
      </c>
      <c r="AG135" s="858">
        <v>312388.2</v>
      </c>
      <c r="AH135" s="858">
        <v>448142.4</v>
      </c>
      <c r="AI135" s="858"/>
      <c r="AJ135" s="859">
        <v>9845799.8000000007</v>
      </c>
      <c r="AK135" s="841" t="s">
        <v>79</v>
      </c>
      <c r="AL135" s="858">
        <v>948179.2</v>
      </c>
      <c r="AM135" s="858">
        <v>613421.60000000009</v>
      </c>
      <c r="AN135" s="858">
        <v>2487434.7999999998</v>
      </c>
      <c r="AO135" s="858">
        <v>2696877.4000000004</v>
      </c>
      <c r="AP135" s="858">
        <v>2826208.6</v>
      </c>
      <c r="AQ135" s="858">
        <v>2310031.4</v>
      </c>
      <c r="AR135" s="858">
        <v>176483</v>
      </c>
      <c r="AS135" s="858">
        <v>5620330.4000000004</v>
      </c>
      <c r="AT135" s="858">
        <v>6438305.5999999996</v>
      </c>
      <c r="AU135" s="858">
        <v>12058636</v>
      </c>
      <c r="AV135" s="993"/>
      <c r="AW135" s="877"/>
      <c r="AX135" s="874" t="s">
        <v>3</v>
      </c>
      <c r="AY135" s="849">
        <v>0.86767553689157739</v>
      </c>
      <c r="AZ135" s="849">
        <v>0.98994030911609621</v>
      </c>
      <c r="BA135" s="849">
        <v>0.14649963656187537</v>
      </c>
      <c r="BB135" s="849">
        <v>0.98943261022505558</v>
      </c>
      <c r="BC135" s="849">
        <v>0.62283072869343992</v>
      </c>
    </row>
    <row r="136" spans="1:55" s="947" customFormat="1" ht="45" x14ac:dyDescent="0.25">
      <c r="A136" s="1040"/>
      <c r="B136" s="844" t="s">
        <v>8</v>
      </c>
      <c r="C136" s="861">
        <v>3319</v>
      </c>
      <c r="D136" s="861">
        <v>2485</v>
      </c>
      <c r="E136" s="861">
        <v>2636</v>
      </c>
      <c r="F136" s="861">
        <v>4994</v>
      </c>
      <c r="G136" s="861">
        <v>3366</v>
      </c>
      <c r="H136" s="861">
        <v>12575</v>
      </c>
      <c r="I136" s="861">
        <v>5885</v>
      </c>
      <c r="J136" s="861">
        <v>1380</v>
      </c>
      <c r="K136" s="861">
        <v>6088</v>
      </c>
      <c r="L136" s="861">
        <v>6644</v>
      </c>
      <c r="M136" s="861">
        <v>4041</v>
      </c>
      <c r="N136" s="861">
        <v>13565</v>
      </c>
      <c r="O136" s="861">
        <v>3436</v>
      </c>
      <c r="P136" s="861">
        <v>6802</v>
      </c>
      <c r="Q136" s="861">
        <v>1828</v>
      </c>
      <c r="R136" s="861">
        <v>4679</v>
      </c>
      <c r="S136" s="861">
        <v>9784</v>
      </c>
      <c r="T136" s="598">
        <v>1888</v>
      </c>
      <c r="U136" s="598">
        <v>1197</v>
      </c>
      <c r="V136" s="861">
        <v>1892</v>
      </c>
      <c r="W136" s="861">
        <v>2524</v>
      </c>
      <c r="X136" s="861">
        <v>1393</v>
      </c>
      <c r="Y136" s="861">
        <v>1701</v>
      </c>
      <c r="Z136" s="861">
        <v>1617</v>
      </c>
      <c r="AA136" s="861">
        <v>2667</v>
      </c>
      <c r="AB136" s="861">
        <v>6562</v>
      </c>
      <c r="AC136" s="861">
        <v>0</v>
      </c>
      <c r="AD136" s="861">
        <v>2085</v>
      </c>
      <c r="AE136" s="861">
        <v>2784</v>
      </c>
      <c r="AF136" s="861">
        <v>702</v>
      </c>
      <c r="AG136" s="861">
        <v>702</v>
      </c>
      <c r="AH136" s="861">
        <v>1775</v>
      </c>
      <c r="AI136" s="861"/>
      <c r="AJ136" s="840">
        <v>122996</v>
      </c>
      <c r="AK136" s="846" t="s">
        <v>8</v>
      </c>
      <c r="AL136" s="858">
        <v>6103</v>
      </c>
      <c r="AM136" s="858">
        <v>3187</v>
      </c>
      <c r="AN136" s="858">
        <v>28073</v>
      </c>
      <c r="AO136" s="858">
        <v>25591</v>
      </c>
      <c r="AP136" s="858">
        <v>33952</v>
      </c>
      <c r="AQ136" s="858">
        <v>23005</v>
      </c>
      <c r="AR136" s="858">
        <v>3085</v>
      </c>
      <c r="AS136" s="858">
        <v>51783</v>
      </c>
      <c r="AT136" s="858">
        <v>71213</v>
      </c>
      <c r="AU136" s="858">
        <v>122996</v>
      </c>
      <c r="AV136" s="993"/>
      <c r="AW136" s="877" t="s">
        <v>191</v>
      </c>
      <c r="AX136" s="839" t="s">
        <v>4</v>
      </c>
      <c r="AY136" s="840">
        <v>97433.600000000006</v>
      </c>
      <c r="AZ136" s="840">
        <v>243584.4</v>
      </c>
      <c r="BA136" s="840">
        <v>132070.29999999999</v>
      </c>
      <c r="BB136" s="840">
        <v>292299.3</v>
      </c>
      <c r="BC136" s="840">
        <v>132070.39999999999</v>
      </c>
    </row>
    <row r="137" spans="1:55" s="947" customFormat="1" x14ac:dyDescent="0.25">
      <c r="A137" s="1040"/>
      <c r="B137" s="839" t="s">
        <v>77</v>
      </c>
      <c r="C137" s="858">
        <v>111906.723</v>
      </c>
      <c r="D137" s="858">
        <v>83786.744999999995</v>
      </c>
      <c r="E137" s="858">
        <v>88878.012000000002</v>
      </c>
      <c r="F137" s="858">
        <v>168382.698</v>
      </c>
      <c r="G137" s="858">
        <v>113491.42199999999</v>
      </c>
      <c r="H137" s="858">
        <v>423991.27499999997</v>
      </c>
      <c r="I137" s="858">
        <v>198424.54499999998</v>
      </c>
      <c r="J137" s="858">
        <v>46529.46</v>
      </c>
      <c r="K137" s="858">
        <v>205269.09599999999</v>
      </c>
      <c r="L137" s="858">
        <v>224015.74799999999</v>
      </c>
      <c r="M137" s="858">
        <v>136250.397</v>
      </c>
      <c r="N137" s="858">
        <v>457371.10499999998</v>
      </c>
      <c r="O137" s="858">
        <v>115851.61199999999</v>
      </c>
      <c r="P137" s="858">
        <v>141206.79599999997</v>
      </c>
      <c r="Q137" s="858">
        <v>61634.675999999999</v>
      </c>
      <c r="R137" s="858">
        <v>157761.84299999999</v>
      </c>
      <c r="S137" s="858">
        <v>329887.12799999997</v>
      </c>
      <c r="T137" s="863">
        <v>63657.695999999996</v>
      </c>
      <c r="U137" s="863">
        <v>40359.248999999996</v>
      </c>
      <c r="V137" s="863">
        <v>63792.563999999998</v>
      </c>
      <c r="W137" s="863">
        <v>85101.707999999999</v>
      </c>
      <c r="X137" s="863">
        <v>46967.780999999995</v>
      </c>
      <c r="Y137" s="863">
        <v>57352.616999999998</v>
      </c>
      <c r="Z137" s="863">
        <v>54520.388999999996</v>
      </c>
      <c r="AA137" s="863">
        <v>89923.239000000001</v>
      </c>
      <c r="AB137" s="863">
        <v>221250.954</v>
      </c>
      <c r="AC137" s="863">
        <v>0</v>
      </c>
      <c r="AD137" s="863">
        <v>70299.944999999992</v>
      </c>
      <c r="AE137" s="863">
        <v>93868.127999999997</v>
      </c>
      <c r="AF137" s="863">
        <v>23669.333999999999</v>
      </c>
      <c r="AG137" s="863">
        <v>23669.333999999999</v>
      </c>
      <c r="AH137" s="863">
        <v>59847.674999999996</v>
      </c>
      <c r="AI137" s="863"/>
      <c r="AJ137" s="864">
        <v>4058919.8939999989</v>
      </c>
      <c r="AK137" s="841" t="s">
        <v>77</v>
      </c>
      <c r="AL137" s="858">
        <v>205774.851</v>
      </c>
      <c r="AM137" s="858">
        <v>107456.079</v>
      </c>
      <c r="AN137" s="858">
        <v>946537.34100000001</v>
      </c>
      <c r="AO137" s="858">
        <v>862851.74699999997</v>
      </c>
      <c r="AP137" s="858">
        <v>1144759.584</v>
      </c>
      <c r="AQ137" s="858">
        <v>775659.58499999996</v>
      </c>
      <c r="AR137" s="858">
        <v>104016.94499999999</v>
      </c>
      <c r="AS137" s="858">
        <v>1745967.4109999998</v>
      </c>
      <c r="AT137" s="858">
        <v>2401088.7209999999</v>
      </c>
      <c r="AU137" s="858">
        <v>4147056.1319999998</v>
      </c>
      <c r="AV137" s="915"/>
      <c r="AW137" s="1015"/>
      <c r="AX137" s="844" t="s">
        <v>5</v>
      </c>
      <c r="AY137" s="583">
        <v>38973.199999999997</v>
      </c>
      <c r="AZ137" s="583">
        <v>124350.5</v>
      </c>
      <c r="BA137" s="583">
        <v>3817.1</v>
      </c>
      <c r="BB137" s="583">
        <v>109009</v>
      </c>
      <c r="BC137" s="583">
        <v>33401</v>
      </c>
    </row>
    <row r="138" spans="1:55" s="947" customFormat="1" x14ac:dyDescent="0.25">
      <c r="A138" s="1040"/>
      <c r="B138" s="848" t="s">
        <v>217</v>
      </c>
      <c r="C138" s="849">
        <v>0.44759394908534733</v>
      </c>
      <c r="D138" s="849">
        <v>0.55666078913502615</v>
      </c>
      <c r="E138" s="866">
        <v>0.59048605237824103</v>
      </c>
      <c r="F138" s="866">
        <v>0.92518575946654602</v>
      </c>
      <c r="G138" s="866">
        <v>0.68464961086642162</v>
      </c>
      <c r="H138" s="866">
        <v>1.0885387222243617</v>
      </c>
      <c r="I138" s="866">
        <v>1.1537954243482356</v>
      </c>
      <c r="J138" s="866">
        <v>0.2801663073977288</v>
      </c>
      <c r="K138" s="866">
        <v>1.6551396557952316</v>
      </c>
      <c r="L138" s="866">
        <v>0.99975252509023904</v>
      </c>
      <c r="M138" s="866">
        <v>0.70585417949936047</v>
      </c>
      <c r="N138" s="866">
        <v>1.0437022713938824</v>
      </c>
      <c r="O138" s="866">
        <v>1.3951503634445583</v>
      </c>
      <c r="P138" s="866">
        <v>0.51137721887919607</v>
      </c>
      <c r="Q138" s="866">
        <v>0.74223948322952638</v>
      </c>
      <c r="R138" s="866">
        <v>0.82331345874243667</v>
      </c>
      <c r="S138" s="866">
        <v>1.2577243184900311</v>
      </c>
      <c r="T138" s="849">
        <v>1.1542437308480353</v>
      </c>
      <c r="U138" s="849">
        <v>1.2196627128632083</v>
      </c>
      <c r="V138" s="849">
        <v>0.6242147627364929</v>
      </c>
      <c r="W138" s="849">
        <v>0.40622018983610703</v>
      </c>
      <c r="X138" s="849">
        <v>0.45958306791328468</v>
      </c>
      <c r="Y138" s="849">
        <v>0.27376408197750318</v>
      </c>
      <c r="Z138" s="849">
        <v>0.53348587280386306</v>
      </c>
      <c r="AA138" s="849">
        <v>0.42923504211287539</v>
      </c>
      <c r="AB138" s="849">
        <v>0.67311890772971428</v>
      </c>
      <c r="AC138" s="849">
        <v>0</v>
      </c>
      <c r="AD138" s="849">
        <v>0.31373931589601872</v>
      </c>
      <c r="AE138" s="849">
        <v>0.41892098582950416</v>
      </c>
      <c r="AF138" s="849">
        <v>0.15153795181764226</v>
      </c>
      <c r="AG138" s="849">
        <v>0.15153795181764226</v>
      </c>
      <c r="AH138" s="849">
        <v>0.26709222336471616</v>
      </c>
      <c r="AI138" s="849"/>
      <c r="AJ138" s="851">
        <v>0.67319718316399957</v>
      </c>
      <c r="AK138" s="852" t="s">
        <v>217</v>
      </c>
      <c r="AL138" s="849">
        <v>0.43404211144897503</v>
      </c>
      <c r="AM138" s="849">
        <v>0.35034983769727046</v>
      </c>
      <c r="AN138" s="849">
        <v>0.76105499609477212</v>
      </c>
      <c r="AO138" s="849">
        <v>0.63988948626289044</v>
      </c>
      <c r="AP138" s="849">
        <v>0.81010268244177019</v>
      </c>
      <c r="AQ138" s="849">
        <v>0.67155761172770201</v>
      </c>
      <c r="AR138" s="849">
        <v>1.1787758027685384</v>
      </c>
      <c r="AS138" s="849">
        <v>0.62130418916297159</v>
      </c>
      <c r="AT138" s="849">
        <v>0.74587597115613768</v>
      </c>
      <c r="AU138" s="849">
        <v>0.68781512801281997</v>
      </c>
      <c r="AV138" s="914"/>
      <c r="AW138" s="1015"/>
      <c r="AX138" s="848" t="s">
        <v>3</v>
      </c>
      <c r="AY138" s="849">
        <v>0.39999753678402516</v>
      </c>
      <c r="AZ138" s="849">
        <v>0.51050272513346506</v>
      </c>
      <c r="BA138" s="849">
        <v>2.8902031720984961E-2</v>
      </c>
      <c r="BB138" s="849">
        <v>0.37293623351133581</v>
      </c>
      <c r="BC138" s="849">
        <v>0.25290299718937781</v>
      </c>
    </row>
    <row r="139" spans="1:55" s="947" customFormat="1" x14ac:dyDescent="0.25">
      <c r="A139" s="1015"/>
      <c r="B139" s="848" t="s">
        <v>218</v>
      </c>
      <c r="C139" s="598">
        <v>101941</v>
      </c>
      <c r="D139" s="598">
        <v>83381.600000000006</v>
      </c>
      <c r="E139" s="598">
        <v>88472.9</v>
      </c>
      <c r="F139" s="598">
        <v>166832</v>
      </c>
      <c r="G139" s="598">
        <v>111205</v>
      </c>
      <c r="H139" s="598">
        <v>427192</v>
      </c>
      <c r="I139" s="598">
        <v>123558</v>
      </c>
      <c r="J139" s="598">
        <v>46570.3</v>
      </c>
      <c r="K139" s="598">
        <v>146851</v>
      </c>
      <c r="L139" s="598">
        <v>224403</v>
      </c>
      <c r="M139" s="598">
        <v>132430</v>
      </c>
      <c r="N139" s="598">
        <v>457450</v>
      </c>
      <c r="O139" s="598">
        <v>115895</v>
      </c>
      <c r="P139" s="598">
        <v>115349</v>
      </c>
      <c r="Q139" s="598">
        <v>61685.9</v>
      </c>
      <c r="R139" s="598">
        <v>143999</v>
      </c>
      <c r="S139" s="598">
        <v>330064</v>
      </c>
      <c r="T139" s="598">
        <v>63657.4</v>
      </c>
      <c r="U139" s="598">
        <v>40359.1</v>
      </c>
      <c r="V139" s="598">
        <v>63826.1</v>
      </c>
      <c r="W139" s="598">
        <v>63826.1</v>
      </c>
      <c r="X139" s="598">
        <v>47026.6</v>
      </c>
      <c r="Y139" s="598">
        <v>46991.8</v>
      </c>
      <c r="Z139" s="598">
        <v>42372.7</v>
      </c>
      <c r="AA139" s="598">
        <v>42368.5</v>
      </c>
      <c r="AB139" s="598">
        <v>221359</v>
      </c>
      <c r="AC139" s="598">
        <v>0</v>
      </c>
      <c r="AD139" s="598">
        <v>70361.8</v>
      </c>
      <c r="AE139" s="598">
        <v>93908.7</v>
      </c>
      <c r="AF139" s="598">
        <v>23686</v>
      </c>
      <c r="AG139" s="598">
        <v>23675.5</v>
      </c>
      <c r="AH139" s="598">
        <v>59881.5</v>
      </c>
      <c r="AI139" s="598"/>
      <c r="AJ139" s="867">
        <v>3780580.5</v>
      </c>
      <c r="AK139" s="852" t="s">
        <v>218</v>
      </c>
      <c r="AL139" s="861">
        <v>195849.7</v>
      </c>
      <c r="AM139" s="861">
        <v>107057.1</v>
      </c>
      <c r="AN139" s="861">
        <v>948670.3</v>
      </c>
      <c r="AO139" s="861">
        <v>693568.6</v>
      </c>
      <c r="AP139" s="861">
        <v>1141303</v>
      </c>
      <c r="AQ139" s="861">
        <v>590115.30000000005</v>
      </c>
      <c r="AR139" s="861">
        <v>104016.5</v>
      </c>
      <c r="AS139" s="861">
        <v>1390741</v>
      </c>
      <c r="AT139" s="861">
        <v>2389839.5</v>
      </c>
      <c r="AU139" s="861">
        <v>3780580.5</v>
      </c>
      <c r="AV139" s="916"/>
      <c r="AW139" s="1015" t="s">
        <v>219</v>
      </c>
      <c r="AX139" s="848" t="s">
        <v>3</v>
      </c>
      <c r="AY139" s="849">
        <v>0.38119624665106289</v>
      </c>
      <c r="AZ139" s="849">
        <v>0.47677983409520408</v>
      </c>
      <c r="BA139" s="849">
        <v>2.9589946651719472E-2</v>
      </c>
      <c r="BB139" s="849">
        <v>0.45412051337057324</v>
      </c>
      <c r="BC139" s="849">
        <v>0.31543211186862841</v>
      </c>
    </row>
    <row r="140" spans="1:55" s="947" customFormat="1" x14ac:dyDescent="0.25">
      <c r="A140" s="1015"/>
      <c r="B140" s="848" t="s">
        <v>216</v>
      </c>
      <c r="C140" s="866">
        <v>0.40773399077827871</v>
      </c>
      <c r="D140" s="866">
        <v>0.55396909445928588</v>
      </c>
      <c r="E140" s="866">
        <v>0.58779457694727555</v>
      </c>
      <c r="F140" s="866">
        <v>0.91666538460693159</v>
      </c>
      <c r="G140" s="866">
        <v>0.67085651615503084</v>
      </c>
      <c r="H140" s="866">
        <v>1.0967561392023208</v>
      </c>
      <c r="I140" s="866">
        <v>0.71846280429479781</v>
      </c>
      <c r="J140" s="866">
        <v>0.28041221594672383</v>
      </c>
      <c r="K140" s="866">
        <v>1.1840989137165858</v>
      </c>
      <c r="L140" s="866">
        <v>1.0014807793237148</v>
      </c>
      <c r="M140" s="866">
        <v>0.68606236054563796</v>
      </c>
      <c r="N140" s="866">
        <v>1.0438823065771317</v>
      </c>
      <c r="O140" s="866">
        <v>1.3956728661782203</v>
      </c>
      <c r="P140" s="866">
        <v>0.41773379533727539</v>
      </c>
      <c r="Q140" s="866">
        <v>0.74285635148870166</v>
      </c>
      <c r="R140" s="866">
        <v>0.75148915917172787</v>
      </c>
      <c r="S140" s="866">
        <v>1.2583986588833915</v>
      </c>
      <c r="T140" s="866">
        <v>1.1542383637649363</v>
      </c>
      <c r="U140" s="866">
        <v>1.2196582100602891</v>
      </c>
      <c r="V140" s="866">
        <v>0.62454291487477553</v>
      </c>
      <c r="W140" s="866">
        <v>0.30466427840083249</v>
      </c>
      <c r="X140" s="866">
        <v>0.46015861599956942</v>
      </c>
      <c r="Y140" s="866">
        <v>0.22430828199993796</v>
      </c>
      <c r="Z140" s="866">
        <v>0.41461987445754012</v>
      </c>
      <c r="AA140" s="866">
        <v>0.20223965555510473</v>
      </c>
      <c r="AB140" s="866">
        <v>0.67344761955757182</v>
      </c>
      <c r="AC140" s="866">
        <v>0</v>
      </c>
      <c r="AD140" s="866">
        <v>0.31401536654420559</v>
      </c>
      <c r="AE140" s="866">
        <v>0.41910205327592298</v>
      </c>
      <c r="AF140" s="866">
        <v>0.15164465239083935</v>
      </c>
      <c r="AG140" s="866">
        <v>0.15157742834076318</v>
      </c>
      <c r="AH140" s="866">
        <v>0.26724317984640594</v>
      </c>
      <c r="AI140" s="866"/>
      <c r="AJ140" s="869">
        <v>0.62703285844269629</v>
      </c>
      <c r="AK140" s="852" t="s">
        <v>216</v>
      </c>
      <c r="AL140" s="849">
        <v>0.41310693168548734</v>
      </c>
      <c r="AM140" s="849">
        <v>0.349049006425597</v>
      </c>
      <c r="AN140" s="849">
        <v>0.76276998295593523</v>
      </c>
      <c r="AO140" s="849">
        <v>0.51434937309348949</v>
      </c>
      <c r="AP140" s="849">
        <v>0.80765658982143074</v>
      </c>
      <c r="AQ140" s="849">
        <v>0.5109153927518042</v>
      </c>
      <c r="AR140" s="849">
        <v>1.1787707597898949</v>
      </c>
      <c r="AS140" s="849">
        <v>0.49489652779131987</v>
      </c>
      <c r="AT140" s="849">
        <v>0.74238150484810794</v>
      </c>
      <c r="AU140" s="849">
        <v>0.62703285844269618</v>
      </c>
      <c r="AV140" s="914"/>
      <c r="AW140" s="1015"/>
      <c r="AX140" s="848"/>
      <c r="AY140" s="849"/>
      <c r="AZ140" s="849"/>
      <c r="BA140" s="849"/>
      <c r="BB140" s="849"/>
      <c r="BC140" s="849"/>
    </row>
    <row r="141" spans="1:55" s="947" customFormat="1" x14ac:dyDescent="0.25">
      <c r="A141" s="1041">
        <v>41907</v>
      </c>
      <c r="B141" s="1041"/>
      <c r="C141" s="1041"/>
      <c r="D141" s="529"/>
      <c r="E141" s="529"/>
      <c r="F141" s="529"/>
      <c r="G141" s="529"/>
      <c r="H141" s="529"/>
      <c r="I141" s="525"/>
      <c r="J141" s="531"/>
      <c r="K141" s="531"/>
      <c r="L141" s="529"/>
      <c r="M141" s="529"/>
      <c r="N141" s="527"/>
      <c r="R141" s="526"/>
      <c r="S141" s="534"/>
      <c r="T141" s="534"/>
      <c r="U141" s="534"/>
      <c r="V141" s="534"/>
      <c r="W141" s="534"/>
      <c r="X141" s="534"/>
      <c r="Y141" s="534"/>
      <c r="Z141" s="534"/>
      <c r="AA141" s="534"/>
      <c r="AB141" s="534"/>
      <c r="AC141" s="534"/>
      <c r="AD141" s="534"/>
      <c r="AE141" s="534"/>
      <c r="AF141" s="534"/>
      <c r="AG141" s="534"/>
      <c r="AH141" s="534"/>
      <c r="AI141" s="534"/>
      <c r="AJ141" s="534"/>
      <c r="AK141" s="534"/>
      <c r="AL141" s="534"/>
      <c r="AM141" s="534"/>
      <c r="AN141" s="534"/>
      <c r="AO141" s="534"/>
    </row>
    <row r="142" spans="1:55" s="947" customFormat="1" x14ac:dyDescent="0.25">
      <c r="A142" s="1042" t="s">
        <v>1</v>
      </c>
      <c r="B142" s="1042"/>
      <c r="C142" s="1013" t="s">
        <v>12</v>
      </c>
      <c r="D142" s="1013" t="s">
        <v>12</v>
      </c>
      <c r="E142" s="1013" t="s">
        <v>13</v>
      </c>
      <c r="F142" s="1013" t="s">
        <v>13</v>
      </c>
      <c r="G142" s="1013" t="s">
        <v>13</v>
      </c>
      <c r="H142" s="1013" t="s">
        <v>13</v>
      </c>
      <c r="I142" s="1013" t="s">
        <v>13</v>
      </c>
      <c r="J142" s="1013" t="s">
        <v>13</v>
      </c>
      <c r="K142" s="1013" t="s">
        <v>13</v>
      </c>
      <c r="L142" s="1013" t="s">
        <v>13</v>
      </c>
      <c r="M142" s="829" t="s">
        <v>2</v>
      </c>
      <c r="N142" s="1013" t="s">
        <v>2</v>
      </c>
      <c r="O142" s="1013" t="s">
        <v>2</v>
      </c>
      <c r="P142" s="1013" t="s">
        <v>2</v>
      </c>
      <c r="Q142" s="1013" t="s">
        <v>2</v>
      </c>
      <c r="R142" s="1013" t="s">
        <v>2</v>
      </c>
      <c r="S142" s="1013" t="s">
        <v>2</v>
      </c>
      <c r="T142" s="830" t="s">
        <v>183</v>
      </c>
      <c r="U142" s="830" t="s">
        <v>183</v>
      </c>
      <c r="V142" s="830" t="s">
        <v>2</v>
      </c>
      <c r="W142" s="830" t="s">
        <v>13</v>
      </c>
      <c r="X142" s="830" t="s">
        <v>13</v>
      </c>
      <c r="Y142" s="830" t="s">
        <v>2</v>
      </c>
      <c r="Z142" s="830" t="s">
        <v>13</v>
      </c>
      <c r="AA142" s="830" t="s">
        <v>2</v>
      </c>
      <c r="AB142" s="888" t="s">
        <v>2</v>
      </c>
      <c r="AC142" s="888" t="s">
        <v>2</v>
      </c>
      <c r="AD142" s="888" t="s">
        <v>13</v>
      </c>
      <c r="AE142" s="888" t="s">
        <v>12</v>
      </c>
      <c r="AF142" s="888" t="s">
        <v>13</v>
      </c>
      <c r="AG142" s="888" t="s">
        <v>12</v>
      </c>
      <c r="AH142" s="888" t="s">
        <v>13</v>
      </c>
      <c r="AI142" s="888" t="s">
        <v>13</v>
      </c>
      <c r="AJ142" s="831" t="s">
        <v>219</v>
      </c>
      <c r="AK142" s="1042" t="s">
        <v>0</v>
      </c>
      <c r="AL142" s="1042"/>
      <c r="AM142" s="833"/>
      <c r="AN142" s="833"/>
      <c r="AO142" s="833"/>
      <c r="AP142" s="833"/>
      <c r="AQ142" s="833"/>
      <c r="AR142" s="833"/>
      <c r="AS142" s="833"/>
      <c r="AT142" s="833"/>
      <c r="AU142" s="803"/>
      <c r="AV142" s="803"/>
      <c r="AW142" s="1042" t="s">
        <v>1</v>
      </c>
      <c r="AX142" s="1043"/>
      <c r="AY142" s="1013" t="s">
        <v>12</v>
      </c>
      <c r="AZ142" s="1044" t="s">
        <v>13</v>
      </c>
      <c r="BA142" s="1045"/>
      <c r="BB142" s="1044" t="s">
        <v>2</v>
      </c>
      <c r="BC142" s="1045"/>
    </row>
    <row r="143" spans="1:55" s="947" customFormat="1" x14ac:dyDescent="0.25">
      <c r="A143" s="1042" t="s">
        <v>0</v>
      </c>
      <c r="B143" s="1042"/>
      <c r="C143" s="834" t="s">
        <v>99</v>
      </c>
      <c r="D143" s="835" t="s">
        <v>100</v>
      </c>
      <c r="E143" s="835" t="s">
        <v>101</v>
      </c>
      <c r="F143" s="834" t="s">
        <v>102</v>
      </c>
      <c r="G143" s="835" t="s">
        <v>97</v>
      </c>
      <c r="H143" s="834" t="s">
        <v>104</v>
      </c>
      <c r="I143" s="835" t="s">
        <v>103</v>
      </c>
      <c r="J143" s="835" t="s">
        <v>178</v>
      </c>
      <c r="K143" s="835" t="s">
        <v>199</v>
      </c>
      <c r="L143" s="834" t="s">
        <v>206</v>
      </c>
      <c r="M143" s="834" t="s">
        <v>105</v>
      </c>
      <c r="N143" s="834" t="s">
        <v>107</v>
      </c>
      <c r="O143" s="835" t="s">
        <v>98</v>
      </c>
      <c r="P143" s="835" t="s">
        <v>106</v>
      </c>
      <c r="Q143" s="835" t="s">
        <v>179</v>
      </c>
      <c r="R143" s="835" t="s">
        <v>198</v>
      </c>
      <c r="S143" s="834" t="s">
        <v>207</v>
      </c>
      <c r="T143" s="834" t="s">
        <v>182</v>
      </c>
      <c r="U143" s="834" t="s">
        <v>184</v>
      </c>
      <c r="V143" s="835" t="s">
        <v>221</v>
      </c>
      <c r="W143" s="835" t="s">
        <v>222</v>
      </c>
      <c r="X143" s="835" t="s">
        <v>255</v>
      </c>
      <c r="Y143" s="835" t="s">
        <v>256</v>
      </c>
      <c r="Z143" s="835" t="s">
        <v>266</v>
      </c>
      <c r="AA143" s="835" t="s">
        <v>267</v>
      </c>
      <c r="AB143" s="889" t="s">
        <v>268</v>
      </c>
      <c r="AC143" s="889" t="s">
        <v>269</v>
      </c>
      <c r="AD143" s="889" t="s">
        <v>295</v>
      </c>
      <c r="AE143" s="889" t="s">
        <v>290</v>
      </c>
      <c r="AF143" s="946" t="s">
        <v>291</v>
      </c>
      <c r="AG143" s="946" t="s">
        <v>292</v>
      </c>
      <c r="AH143" s="889" t="s">
        <v>293</v>
      </c>
      <c r="AI143" s="889" t="s">
        <v>294</v>
      </c>
      <c r="AJ143" s="836"/>
      <c r="AK143" s="903" t="s">
        <v>1</v>
      </c>
      <c r="AL143" s="838" t="s">
        <v>257</v>
      </c>
      <c r="AM143" s="838" t="s">
        <v>258</v>
      </c>
      <c r="AN143" s="838" t="s">
        <v>259</v>
      </c>
      <c r="AO143" s="838" t="s">
        <v>260</v>
      </c>
      <c r="AP143" s="838" t="s">
        <v>261</v>
      </c>
      <c r="AQ143" s="838" t="s">
        <v>262</v>
      </c>
      <c r="AR143" s="838" t="s">
        <v>263</v>
      </c>
      <c r="AS143" s="904" t="s">
        <v>264</v>
      </c>
      <c r="AT143" s="904" t="s">
        <v>265</v>
      </c>
      <c r="AU143" s="988" t="s">
        <v>306</v>
      </c>
      <c r="AV143" s="988"/>
      <c r="AW143" s="1046" t="s">
        <v>0</v>
      </c>
      <c r="AX143" s="1043"/>
      <c r="AY143" s="834" t="s">
        <v>99</v>
      </c>
      <c r="AZ143" s="834" t="s">
        <v>104</v>
      </c>
      <c r="BA143" s="834" t="s">
        <v>206</v>
      </c>
      <c r="BB143" s="834" t="s">
        <v>107</v>
      </c>
      <c r="BC143" s="834" t="s">
        <v>207</v>
      </c>
    </row>
    <row r="144" spans="1:55" s="947" customFormat="1" ht="30" x14ac:dyDescent="0.25">
      <c r="A144" s="1047" t="s">
        <v>9</v>
      </c>
      <c r="B144" s="839" t="s">
        <v>4</v>
      </c>
      <c r="C144" s="840">
        <v>250018.4</v>
      </c>
      <c r="D144" s="840">
        <v>150516.70000000001</v>
      </c>
      <c r="E144" s="840">
        <v>150516.70000000001</v>
      </c>
      <c r="F144" s="840">
        <v>181998.8</v>
      </c>
      <c r="G144" s="840">
        <v>165765.70000000001</v>
      </c>
      <c r="H144" s="840">
        <v>389505</v>
      </c>
      <c r="I144" s="840">
        <v>171975.5</v>
      </c>
      <c r="J144" s="840">
        <v>166078</v>
      </c>
      <c r="K144" s="840">
        <v>124019.2</v>
      </c>
      <c r="L144" s="840">
        <v>224071.2</v>
      </c>
      <c r="M144" s="840">
        <v>193029.1</v>
      </c>
      <c r="N144" s="840">
        <v>438219.9</v>
      </c>
      <c r="O144" s="840">
        <v>83038.8</v>
      </c>
      <c r="P144" s="840">
        <v>276130.40000000002</v>
      </c>
      <c r="Q144" s="840">
        <v>83038.8</v>
      </c>
      <c r="R144" s="840">
        <v>191618.2</v>
      </c>
      <c r="S144" s="840">
        <v>262288.90000000002</v>
      </c>
      <c r="T144" s="840">
        <v>55151</v>
      </c>
      <c r="U144" s="840">
        <v>33090.5</v>
      </c>
      <c r="V144" s="840">
        <v>102196.5</v>
      </c>
      <c r="W144" s="840">
        <v>209496.5</v>
      </c>
      <c r="X144" s="840">
        <v>102196.5</v>
      </c>
      <c r="Y144" s="840">
        <v>209496.5</v>
      </c>
      <c r="Z144" s="840">
        <v>102196.5</v>
      </c>
      <c r="AA144" s="840">
        <v>209496.5</v>
      </c>
      <c r="AB144" s="840">
        <v>328695.2</v>
      </c>
      <c r="AC144" s="901">
        <v>190871.2</v>
      </c>
      <c r="AD144" s="901">
        <v>224071.2</v>
      </c>
      <c r="AE144" s="901">
        <v>224071.2</v>
      </c>
      <c r="AF144" s="901">
        <v>156194.1</v>
      </c>
      <c r="AG144" s="901">
        <v>156194.1</v>
      </c>
      <c r="AH144" s="901">
        <v>224071.2</v>
      </c>
      <c r="AI144" s="901"/>
      <c r="AJ144" s="840">
        <v>6029317.9999999991</v>
      </c>
      <c r="AK144" s="841" t="s">
        <v>4</v>
      </c>
      <c r="AL144" s="863">
        <v>474089.6</v>
      </c>
      <c r="AM144" s="863">
        <v>306710.80000000005</v>
      </c>
      <c r="AN144" s="863">
        <v>1243717.3999999999</v>
      </c>
      <c r="AO144" s="863">
        <v>1348438.7000000002</v>
      </c>
      <c r="AP144" s="863">
        <v>1413104.3</v>
      </c>
      <c r="AQ144" s="863">
        <v>1155015.7</v>
      </c>
      <c r="AR144" s="863">
        <v>88241.5</v>
      </c>
      <c r="AS144" s="863">
        <v>2810165.2</v>
      </c>
      <c r="AT144" s="863">
        <v>3219152.8</v>
      </c>
      <c r="AU144" s="863">
        <v>6029318</v>
      </c>
      <c r="AV144" s="989"/>
      <c r="AW144" s="875" t="s">
        <v>194</v>
      </c>
      <c r="AX144" s="872" t="s">
        <v>4</v>
      </c>
      <c r="AY144" s="840">
        <v>143393</v>
      </c>
      <c r="AZ144" s="840">
        <v>132132</v>
      </c>
      <c r="BA144" s="840">
        <v>83196.100000000006</v>
      </c>
      <c r="BB144" s="840">
        <v>132132.20000000001</v>
      </c>
      <c r="BC144" s="840">
        <v>83196.100000000006</v>
      </c>
    </row>
    <row r="145" spans="1:55" s="947" customFormat="1" x14ac:dyDescent="0.25">
      <c r="A145" s="1047"/>
      <c r="B145" s="844" t="s">
        <v>5</v>
      </c>
      <c r="C145" s="583">
        <v>53578.5</v>
      </c>
      <c r="D145" s="583">
        <v>86974.6</v>
      </c>
      <c r="E145" s="583">
        <v>86721.9</v>
      </c>
      <c r="F145" s="583">
        <v>102235.3</v>
      </c>
      <c r="G145" s="583">
        <v>118572</v>
      </c>
      <c r="H145" s="583">
        <v>206747.1</v>
      </c>
      <c r="I145" s="583">
        <v>95964.3</v>
      </c>
      <c r="J145" s="583">
        <v>52145.2</v>
      </c>
      <c r="K145" s="583">
        <v>97901.2</v>
      </c>
      <c r="L145" s="583">
        <v>93686.3</v>
      </c>
      <c r="M145" s="583">
        <v>81150.2</v>
      </c>
      <c r="N145" s="583">
        <v>211968.5</v>
      </c>
      <c r="O145" s="583">
        <v>59778.2</v>
      </c>
      <c r="P145" s="583">
        <v>180929.7</v>
      </c>
      <c r="Q145" s="583">
        <v>26948.400000000001</v>
      </c>
      <c r="R145" s="583">
        <v>150980.29999999999</v>
      </c>
      <c r="S145" s="583">
        <v>179054.2</v>
      </c>
      <c r="T145" s="583">
        <v>17841</v>
      </c>
      <c r="U145" s="583">
        <v>11553.4</v>
      </c>
      <c r="V145" s="583">
        <v>15529.2</v>
      </c>
      <c r="W145" s="583">
        <v>31058.2</v>
      </c>
      <c r="X145" s="583">
        <v>26795.9</v>
      </c>
      <c r="Y145" s="583">
        <v>52676.6</v>
      </c>
      <c r="Z145" s="583">
        <v>9312.2000000000007</v>
      </c>
      <c r="AA145" s="583">
        <v>18525.599999999999</v>
      </c>
      <c r="AB145" s="583">
        <v>120267.7</v>
      </c>
      <c r="AC145" s="583">
        <v>4.9000000000000004</v>
      </c>
      <c r="AD145" s="583">
        <v>22454.3</v>
      </c>
      <c r="AE145" s="583">
        <v>63629.3</v>
      </c>
      <c r="AF145" s="583">
        <v>18221.2</v>
      </c>
      <c r="AG145" s="583">
        <v>18221</v>
      </c>
      <c r="AH145" s="583">
        <v>412.3</v>
      </c>
      <c r="AI145" s="583"/>
      <c r="AJ145" s="845">
        <v>2311838.6999999993</v>
      </c>
      <c r="AK145" s="846" t="s">
        <v>5</v>
      </c>
      <c r="AL145" s="863">
        <v>117207.8</v>
      </c>
      <c r="AM145" s="863">
        <v>105195.6</v>
      </c>
      <c r="AN145" s="863">
        <v>425535.3</v>
      </c>
      <c r="AO145" s="863">
        <v>536692.10000000009</v>
      </c>
      <c r="AP145" s="863">
        <v>592445.5</v>
      </c>
      <c r="AQ145" s="863">
        <v>505368</v>
      </c>
      <c r="AR145" s="863">
        <v>29394.400000000001</v>
      </c>
      <c r="AS145" s="863">
        <v>1147255.7000000002</v>
      </c>
      <c r="AT145" s="863">
        <v>1164583</v>
      </c>
      <c r="AU145" s="863">
        <v>2311838.7000000002</v>
      </c>
      <c r="AV145" s="990"/>
      <c r="AW145" s="876"/>
      <c r="AX145" s="873" t="s">
        <v>5</v>
      </c>
      <c r="AY145" s="583">
        <v>51964.9</v>
      </c>
      <c r="AZ145" s="583">
        <v>58542</v>
      </c>
      <c r="BA145" s="583">
        <v>2519</v>
      </c>
      <c r="BB145" s="583">
        <v>70731</v>
      </c>
      <c r="BC145" s="583">
        <v>31444.9</v>
      </c>
    </row>
    <row r="146" spans="1:55" s="947" customFormat="1" x14ac:dyDescent="0.25">
      <c r="A146" s="1047"/>
      <c r="B146" s="848" t="s">
        <v>3</v>
      </c>
      <c r="C146" s="866">
        <v>0.21429822765044493</v>
      </c>
      <c r="D146" s="866">
        <v>0.57784019979178392</v>
      </c>
      <c r="E146" s="866">
        <v>0.57616131631905287</v>
      </c>
      <c r="F146" s="866">
        <v>0.56173612133706385</v>
      </c>
      <c r="G146" s="866">
        <v>0.71529876204787834</v>
      </c>
      <c r="H146" s="866">
        <v>0.53079446990410906</v>
      </c>
      <c r="I146" s="866">
        <v>0.55801146093484244</v>
      </c>
      <c r="J146" s="866">
        <v>0.31398017798865591</v>
      </c>
      <c r="K146" s="866">
        <v>0.7894035762204562</v>
      </c>
      <c r="L146" s="866">
        <v>0.41810951161952092</v>
      </c>
      <c r="M146" s="866">
        <v>0.4204039701785896</v>
      </c>
      <c r="N146" s="866">
        <v>0.48370350136997425</v>
      </c>
      <c r="O146" s="866">
        <v>0.71988275360433907</v>
      </c>
      <c r="P146" s="866">
        <v>0.65523281753838036</v>
      </c>
      <c r="Q146" s="866">
        <v>0.32452781109553608</v>
      </c>
      <c r="R146" s="866">
        <v>0.78792254597945277</v>
      </c>
      <c r="S146" s="866">
        <v>0.68266022694822392</v>
      </c>
      <c r="T146" s="866">
        <v>0.32349368098493225</v>
      </c>
      <c r="U146" s="866">
        <v>0.349145525150723</v>
      </c>
      <c r="V146" s="866">
        <v>0.15195432328895805</v>
      </c>
      <c r="W146" s="866">
        <v>0.14825164143553712</v>
      </c>
      <c r="X146" s="866">
        <v>0.26219978179291858</v>
      </c>
      <c r="Y146" s="866">
        <v>0.25144381887048234</v>
      </c>
      <c r="Z146" s="866">
        <v>9.1120537396094783E-2</v>
      </c>
      <c r="AA146" s="866">
        <v>8.8429162301040823E-2</v>
      </c>
      <c r="AB146" s="866">
        <v>0.36589429964295189</v>
      </c>
      <c r="AC146" s="866">
        <v>2.5671761900171424E-5</v>
      </c>
      <c r="AD146" s="866">
        <v>0.10021055807261263</v>
      </c>
      <c r="AE146" s="866">
        <v>0.28396911338895853</v>
      </c>
      <c r="AF146" s="866">
        <v>0.11665741535691809</v>
      </c>
      <c r="AG146" s="866">
        <v>0.1166561348988214</v>
      </c>
      <c r="AH146" s="866">
        <v>1.8400401301015034E-3</v>
      </c>
      <c r="AI146" s="866"/>
      <c r="AJ146" s="869">
        <v>0.38343286919018033</v>
      </c>
      <c r="AK146" s="852" t="s">
        <v>3</v>
      </c>
      <c r="AL146" s="849">
        <v>0.2472271064372642</v>
      </c>
      <c r="AM146" s="849">
        <v>0.34297977117206174</v>
      </c>
      <c r="AN146" s="849">
        <v>0.34214790273095802</v>
      </c>
      <c r="AO146" s="849">
        <v>0.39801000965042016</v>
      </c>
      <c r="AP146" s="849">
        <v>0.41925107722055616</v>
      </c>
      <c r="AQ146" s="849">
        <v>0.4375421044060267</v>
      </c>
      <c r="AR146" s="849">
        <v>0.33311310437832542</v>
      </c>
      <c r="AS146" s="849">
        <v>0.40825204866959425</v>
      </c>
      <c r="AT146" s="849">
        <v>0.36176692202992045</v>
      </c>
      <c r="AU146" s="849">
        <v>0.38343286919018044</v>
      </c>
      <c r="AV146" s="991"/>
      <c r="AW146" s="876"/>
      <c r="AX146" s="874" t="s">
        <v>3</v>
      </c>
      <c r="AY146" s="849">
        <v>0.36239495651810061</v>
      </c>
      <c r="AZ146" s="849">
        <v>0.44305694305694304</v>
      </c>
      <c r="BA146" s="849">
        <v>3.0277861582453984E-2</v>
      </c>
      <c r="BB146" s="849">
        <v>0.53530479322981073</v>
      </c>
      <c r="BC146" s="849">
        <v>0.37796122654787906</v>
      </c>
    </row>
    <row r="147" spans="1:55" s="947" customFormat="1" ht="30" x14ac:dyDescent="0.25">
      <c r="A147" s="1040" t="s">
        <v>6</v>
      </c>
      <c r="B147" s="854" t="s">
        <v>7</v>
      </c>
      <c r="C147" s="840">
        <v>3713</v>
      </c>
      <c r="D147" s="840">
        <v>3620</v>
      </c>
      <c r="E147" s="840">
        <v>3560</v>
      </c>
      <c r="F147" s="840">
        <v>6595</v>
      </c>
      <c r="G147" s="840">
        <v>8432</v>
      </c>
      <c r="H147" s="840">
        <v>15082</v>
      </c>
      <c r="I147" s="840">
        <v>7076</v>
      </c>
      <c r="J147" s="840">
        <v>9599</v>
      </c>
      <c r="K147" s="840">
        <v>7072</v>
      </c>
      <c r="L147" s="840">
        <v>9334</v>
      </c>
      <c r="M147" s="840">
        <v>5450</v>
      </c>
      <c r="N147" s="840">
        <v>15002</v>
      </c>
      <c r="O147" s="840">
        <v>4357</v>
      </c>
      <c r="P147" s="840">
        <v>8466</v>
      </c>
      <c r="Q147" s="840">
        <v>4799</v>
      </c>
      <c r="R147" s="840">
        <v>9711</v>
      </c>
      <c r="S147" s="840">
        <v>11560</v>
      </c>
      <c r="T147" s="855">
        <v>2480</v>
      </c>
      <c r="U147" s="855">
        <v>1570</v>
      </c>
      <c r="V147" s="840">
        <v>3999</v>
      </c>
      <c r="W147" s="840">
        <v>7999</v>
      </c>
      <c r="X147" s="840">
        <v>3999</v>
      </c>
      <c r="Y147" s="840">
        <v>7999</v>
      </c>
      <c r="Z147" s="840">
        <v>3999</v>
      </c>
      <c r="AA147" s="840">
        <v>7999</v>
      </c>
      <c r="AB147" s="840">
        <v>11999</v>
      </c>
      <c r="AC147" s="840">
        <v>6400</v>
      </c>
      <c r="AD147" s="840">
        <v>6399</v>
      </c>
      <c r="AE147" s="840">
        <v>6399</v>
      </c>
      <c r="AF147" s="840">
        <v>4800</v>
      </c>
      <c r="AG147" s="840">
        <v>4800</v>
      </c>
      <c r="AH147" s="840">
        <v>6399</v>
      </c>
      <c r="AI147" s="840"/>
      <c r="AJ147" s="840">
        <v>220668</v>
      </c>
      <c r="AK147" s="856" t="s">
        <v>7</v>
      </c>
      <c r="AL147" s="858">
        <v>10112</v>
      </c>
      <c r="AM147" s="858">
        <v>8420</v>
      </c>
      <c r="AN147" s="858">
        <v>43809</v>
      </c>
      <c r="AO147" s="858">
        <v>56536</v>
      </c>
      <c r="AP147" s="858">
        <v>50411</v>
      </c>
      <c r="AQ147" s="858">
        <v>47330</v>
      </c>
      <c r="AR147" s="858">
        <v>4050</v>
      </c>
      <c r="AS147" s="858">
        <v>112286</v>
      </c>
      <c r="AT147" s="858">
        <v>108382</v>
      </c>
      <c r="AU147" s="858">
        <v>220668</v>
      </c>
      <c r="AV147" s="657"/>
      <c r="AW147" s="880" t="s">
        <v>190</v>
      </c>
      <c r="AX147" s="879" t="s">
        <v>4</v>
      </c>
      <c r="AY147" s="857">
        <v>9191.7999999999993</v>
      </c>
      <c r="AZ147" s="857">
        <v>13787.7</v>
      </c>
      <c r="BA147" s="857">
        <v>8804.7999999999993</v>
      </c>
      <c r="BB147" s="857">
        <v>13787.7</v>
      </c>
      <c r="BC147" s="857">
        <v>8804.7999999999993</v>
      </c>
    </row>
    <row r="148" spans="1:55" s="947" customFormat="1" x14ac:dyDescent="0.25">
      <c r="A148" s="1040"/>
      <c r="B148" s="839" t="s">
        <v>11</v>
      </c>
      <c r="C148" s="858">
        <v>125191.22099999999</v>
      </c>
      <c r="D148" s="858">
        <v>122055.54</v>
      </c>
      <c r="E148" s="858">
        <v>120032.51999999999</v>
      </c>
      <c r="F148" s="858">
        <v>222363.61499999999</v>
      </c>
      <c r="G148" s="858">
        <v>284301.74400000001</v>
      </c>
      <c r="H148" s="858">
        <v>508519.79399999999</v>
      </c>
      <c r="I148" s="858">
        <v>238581.492</v>
      </c>
      <c r="J148" s="858">
        <v>323649.48300000001</v>
      </c>
      <c r="K148" s="858">
        <v>238446.62399999998</v>
      </c>
      <c r="L148" s="858">
        <v>314714.478</v>
      </c>
      <c r="M148" s="858">
        <v>183757.65</v>
      </c>
      <c r="N148" s="858">
        <v>505822.43400000001</v>
      </c>
      <c r="O148" s="858">
        <v>146904.96899999998</v>
      </c>
      <c r="P148" s="858">
        <v>285448.12199999997</v>
      </c>
      <c r="Q148" s="858">
        <v>161807.883</v>
      </c>
      <c r="R148" s="858">
        <v>327425.78700000001</v>
      </c>
      <c r="S148" s="858">
        <v>389768.51999999996</v>
      </c>
      <c r="T148" s="858">
        <v>83618.16</v>
      </c>
      <c r="U148" s="858">
        <v>52935.689999999995</v>
      </c>
      <c r="V148" s="858">
        <v>134834.283</v>
      </c>
      <c r="W148" s="858">
        <v>269702.283</v>
      </c>
      <c r="X148" s="858">
        <v>134834.283</v>
      </c>
      <c r="Y148" s="858">
        <v>269702.283</v>
      </c>
      <c r="Z148" s="858">
        <v>134834.283</v>
      </c>
      <c r="AA148" s="858">
        <v>269702.283</v>
      </c>
      <c r="AB148" s="858">
        <v>404570.283</v>
      </c>
      <c r="AC148" s="858">
        <v>215788.79999999999</v>
      </c>
      <c r="AD148" s="858">
        <v>215755.08299999998</v>
      </c>
      <c r="AE148" s="858">
        <v>215755.08299999998</v>
      </c>
      <c r="AF148" s="858">
        <v>161841.60000000001</v>
      </c>
      <c r="AG148" s="858">
        <v>161841.60000000001</v>
      </c>
      <c r="AH148" s="858">
        <v>215755.08299999998</v>
      </c>
      <c r="AI148" s="858"/>
      <c r="AJ148" s="859">
        <v>7440262.9559999965</v>
      </c>
      <c r="AK148" s="841" t="s">
        <v>11</v>
      </c>
      <c r="AL148" s="858">
        <v>340946.304</v>
      </c>
      <c r="AM148" s="858">
        <v>283897.14</v>
      </c>
      <c r="AN148" s="858">
        <v>1477108.0529999998</v>
      </c>
      <c r="AO148" s="858">
        <v>1906224.3119999999</v>
      </c>
      <c r="AP148" s="858">
        <v>1699707.6869999999</v>
      </c>
      <c r="AQ148" s="858">
        <v>1595825.6099999999</v>
      </c>
      <c r="AR148" s="858">
        <v>136553.85</v>
      </c>
      <c r="AS148" s="858">
        <v>3785947.0619999999</v>
      </c>
      <c r="AT148" s="858">
        <v>3654315.8939999999</v>
      </c>
      <c r="AU148" s="858">
        <v>7440262.9560000002</v>
      </c>
      <c r="AV148" s="992"/>
      <c r="AW148" s="876"/>
      <c r="AX148" s="873" t="s">
        <v>5</v>
      </c>
      <c r="AY148" s="583">
        <v>7975.5</v>
      </c>
      <c r="AZ148" s="583">
        <v>13649</v>
      </c>
      <c r="BA148" s="583">
        <v>1289.9000000000001</v>
      </c>
      <c r="BB148" s="583">
        <v>13642</v>
      </c>
      <c r="BC148" s="583">
        <v>5483.9</v>
      </c>
    </row>
    <row r="149" spans="1:55" s="947" customFormat="1" x14ac:dyDescent="0.25">
      <c r="A149" s="1040"/>
      <c r="B149" s="839" t="s">
        <v>79</v>
      </c>
      <c r="C149" s="858">
        <v>164000</v>
      </c>
      <c r="D149" s="858">
        <v>109880</v>
      </c>
      <c r="E149" s="858">
        <v>109880</v>
      </c>
      <c r="F149" s="858">
        <v>328000</v>
      </c>
      <c r="G149" s="858">
        <v>330905</v>
      </c>
      <c r="H149" s="858">
        <v>264264</v>
      </c>
      <c r="I149" s="858">
        <v>242663.6</v>
      </c>
      <c r="J149" s="858">
        <v>328000</v>
      </c>
      <c r="K149" s="858">
        <v>328000</v>
      </c>
      <c r="L149" s="858">
        <v>328000</v>
      </c>
      <c r="M149" s="858">
        <v>328000</v>
      </c>
      <c r="N149" s="858">
        <v>264264.40000000002</v>
      </c>
      <c r="O149" s="858">
        <v>328000</v>
      </c>
      <c r="P149" s="858">
        <v>352965.4</v>
      </c>
      <c r="Q149" s="858">
        <v>328000</v>
      </c>
      <c r="R149" s="858">
        <v>328000</v>
      </c>
      <c r="S149" s="858">
        <v>328000</v>
      </c>
      <c r="T149" s="858">
        <v>110302</v>
      </c>
      <c r="U149" s="858">
        <v>66181</v>
      </c>
      <c r="V149" s="858">
        <v>204393</v>
      </c>
      <c r="W149" s="858">
        <v>418993</v>
      </c>
      <c r="X149" s="858">
        <v>204393</v>
      </c>
      <c r="Y149" s="858">
        <v>418993</v>
      </c>
      <c r="Z149" s="858">
        <v>204393</v>
      </c>
      <c r="AA149" s="858">
        <v>418993</v>
      </c>
      <c r="AB149" s="858">
        <v>657390.4</v>
      </c>
      <c r="AC149" s="858">
        <v>381742.4</v>
      </c>
      <c r="AD149" s="858">
        <v>448142.4</v>
      </c>
      <c r="AE149" s="858">
        <v>448142.4</v>
      </c>
      <c r="AF149" s="858">
        <v>312388.2</v>
      </c>
      <c r="AG149" s="858">
        <v>312388.2</v>
      </c>
      <c r="AH149" s="858">
        <v>448142.4</v>
      </c>
      <c r="AI149" s="858"/>
      <c r="AJ149" s="859">
        <v>9845799.8000000007</v>
      </c>
      <c r="AK149" s="841" t="s">
        <v>79</v>
      </c>
      <c r="AL149" s="858">
        <v>948179.2</v>
      </c>
      <c r="AM149" s="858">
        <v>613421.60000000009</v>
      </c>
      <c r="AN149" s="858">
        <v>2487434.7999999998</v>
      </c>
      <c r="AO149" s="858">
        <v>2696877.4000000004</v>
      </c>
      <c r="AP149" s="858">
        <v>2826208.6</v>
      </c>
      <c r="AQ149" s="858">
        <v>2310031.4</v>
      </c>
      <c r="AR149" s="858">
        <v>176483</v>
      </c>
      <c r="AS149" s="858">
        <v>5620330.4000000004</v>
      </c>
      <c r="AT149" s="858">
        <v>6438305.5999999996</v>
      </c>
      <c r="AU149" s="858">
        <v>12058636</v>
      </c>
      <c r="AV149" s="993"/>
      <c r="AW149" s="877"/>
      <c r="AX149" s="874" t="s">
        <v>3</v>
      </c>
      <c r="AY149" s="849">
        <v>0.86767553689157739</v>
      </c>
      <c r="AZ149" s="849">
        <v>0.98994030911609621</v>
      </c>
      <c r="BA149" s="849">
        <v>0.14649963656187537</v>
      </c>
      <c r="BB149" s="849">
        <v>0.98943261022505558</v>
      </c>
      <c r="BC149" s="849">
        <v>0.62283072869343992</v>
      </c>
    </row>
    <row r="150" spans="1:55" s="947" customFormat="1" ht="45" x14ac:dyDescent="0.25">
      <c r="A150" s="1040"/>
      <c r="B150" s="844" t="s">
        <v>8</v>
      </c>
      <c r="C150" s="861">
        <v>3319</v>
      </c>
      <c r="D150" s="861">
        <v>2485</v>
      </c>
      <c r="E150" s="861">
        <v>2636</v>
      </c>
      <c r="F150" s="861">
        <v>4994</v>
      </c>
      <c r="G150" s="861">
        <v>3366</v>
      </c>
      <c r="H150" s="861">
        <v>12575</v>
      </c>
      <c r="I150" s="861">
        <v>5885</v>
      </c>
      <c r="J150" s="861">
        <v>1380</v>
      </c>
      <c r="K150" s="861">
        <v>6088</v>
      </c>
      <c r="L150" s="861">
        <v>6626</v>
      </c>
      <c r="M150" s="861">
        <v>4041</v>
      </c>
      <c r="N150" s="861">
        <v>13565</v>
      </c>
      <c r="O150" s="861">
        <v>3436</v>
      </c>
      <c r="P150" s="861">
        <v>6802</v>
      </c>
      <c r="Q150" s="861">
        <v>1828</v>
      </c>
      <c r="R150" s="861">
        <v>4679</v>
      </c>
      <c r="S150" s="861">
        <v>9784</v>
      </c>
      <c r="T150" s="598">
        <v>1888</v>
      </c>
      <c r="U150" s="598">
        <v>1197</v>
      </c>
      <c r="V150" s="861">
        <v>1892</v>
      </c>
      <c r="W150" s="861">
        <v>2524</v>
      </c>
      <c r="X150" s="861">
        <v>1393</v>
      </c>
      <c r="Y150" s="861">
        <v>1701</v>
      </c>
      <c r="Z150" s="861">
        <v>1617</v>
      </c>
      <c r="AA150" s="861">
        <v>2667</v>
      </c>
      <c r="AB150" s="861">
        <v>6394</v>
      </c>
      <c r="AC150" s="861">
        <v>0</v>
      </c>
      <c r="AD150" s="861">
        <v>2079</v>
      </c>
      <c r="AE150" s="861">
        <v>2784</v>
      </c>
      <c r="AF150" s="861">
        <v>702</v>
      </c>
      <c r="AG150" s="861">
        <v>702</v>
      </c>
      <c r="AH150" s="861">
        <v>1775</v>
      </c>
      <c r="AI150" s="861"/>
      <c r="AJ150" s="840">
        <v>122804</v>
      </c>
      <c r="AK150" s="846" t="s">
        <v>8</v>
      </c>
      <c r="AL150" s="858">
        <v>6103</v>
      </c>
      <c r="AM150" s="858">
        <v>3187</v>
      </c>
      <c r="AN150" s="858">
        <v>28049</v>
      </c>
      <c r="AO150" s="858">
        <v>25591</v>
      </c>
      <c r="AP150" s="858">
        <v>33784</v>
      </c>
      <c r="AQ150" s="858">
        <v>23005</v>
      </c>
      <c r="AR150" s="858">
        <v>3085</v>
      </c>
      <c r="AS150" s="858">
        <v>51783</v>
      </c>
      <c r="AT150" s="858">
        <v>71021</v>
      </c>
      <c r="AU150" s="858">
        <v>122804</v>
      </c>
      <c r="AV150" s="993"/>
      <c r="AW150" s="877" t="s">
        <v>191</v>
      </c>
      <c r="AX150" s="839" t="s">
        <v>4</v>
      </c>
      <c r="AY150" s="840">
        <v>97433.600000000006</v>
      </c>
      <c r="AZ150" s="840">
        <v>243584.4</v>
      </c>
      <c r="BA150" s="840">
        <v>132070.29999999999</v>
      </c>
      <c r="BB150" s="840">
        <v>292299.3</v>
      </c>
      <c r="BC150" s="840">
        <v>132070.39999999999</v>
      </c>
    </row>
    <row r="151" spans="1:55" s="947" customFormat="1" x14ac:dyDescent="0.25">
      <c r="A151" s="1040"/>
      <c r="B151" s="839" t="s">
        <v>77</v>
      </c>
      <c r="C151" s="858">
        <v>111906.723</v>
      </c>
      <c r="D151" s="858">
        <v>83786.744999999995</v>
      </c>
      <c r="E151" s="858">
        <v>88878.012000000002</v>
      </c>
      <c r="F151" s="858">
        <v>168382.698</v>
      </c>
      <c r="G151" s="858">
        <v>113491.42199999999</v>
      </c>
      <c r="H151" s="858">
        <v>423991.27499999997</v>
      </c>
      <c r="I151" s="858">
        <v>198424.54499999998</v>
      </c>
      <c r="J151" s="858">
        <v>46529.46</v>
      </c>
      <c r="K151" s="858">
        <v>205269.09599999999</v>
      </c>
      <c r="L151" s="858">
        <v>223408.842</v>
      </c>
      <c r="M151" s="858">
        <v>136250.397</v>
      </c>
      <c r="N151" s="858">
        <v>457371.10499999998</v>
      </c>
      <c r="O151" s="858">
        <v>115851.61199999999</v>
      </c>
      <c r="P151" s="858">
        <v>141206.79599999997</v>
      </c>
      <c r="Q151" s="858">
        <v>61634.675999999999</v>
      </c>
      <c r="R151" s="858">
        <v>157761.84299999999</v>
      </c>
      <c r="S151" s="858">
        <v>329887.12799999997</v>
      </c>
      <c r="T151" s="863">
        <v>63657.695999999996</v>
      </c>
      <c r="U151" s="863">
        <v>40359.248999999996</v>
      </c>
      <c r="V151" s="863">
        <v>63792.563999999998</v>
      </c>
      <c r="W151" s="863">
        <v>85101.707999999999</v>
      </c>
      <c r="X151" s="863">
        <v>46967.780999999995</v>
      </c>
      <c r="Y151" s="863">
        <v>57352.616999999998</v>
      </c>
      <c r="Z151" s="863">
        <v>54520.388999999996</v>
      </c>
      <c r="AA151" s="863">
        <v>89923.239000000001</v>
      </c>
      <c r="AB151" s="863">
        <v>215586.49799999999</v>
      </c>
      <c r="AC151" s="863">
        <v>0</v>
      </c>
      <c r="AD151" s="863">
        <v>70097.642999999996</v>
      </c>
      <c r="AE151" s="863">
        <v>93868.127999999997</v>
      </c>
      <c r="AF151" s="863">
        <v>23669.333999999999</v>
      </c>
      <c r="AG151" s="863">
        <v>23669.333999999999</v>
      </c>
      <c r="AH151" s="863">
        <v>59847.674999999996</v>
      </c>
      <c r="AI151" s="863"/>
      <c r="AJ151" s="864">
        <v>4052446.2299999995</v>
      </c>
      <c r="AK151" s="841" t="s">
        <v>77</v>
      </c>
      <c r="AL151" s="858">
        <v>205774.851</v>
      </c>
      <c r="AM151" s="858">
        <v>107456.079</v>
      </c>
      <c r="AN151" s="858">
        <v>945728.13299999991</v>
      </c>
      <c r="AO151" s="858">
        <v>862851.74699999997</v>
      </c>
      <c r="AP151" s="858">
        <v>1139095.128</v>
      </c>
      <c r="AQ151" s="858">
        <v>775659.58499999996</v>
      </c>
      <c r="AR151" s="858">
        <v>104016.94499999999</v>
      </c>
      <c r="AS151" s="858">
        <v>1745967.4109999998</v>
      </c>
      <c r="AT151" s="858">
        <v>2394615.057</v>
      </c>
      <c r="AU151" s="858">
        <v>4140582.4679999999</v>
      </c>
      <c r="AV151" s="915"/>
      <c r="AW151" s="1012"/>
      <c r="AX151" s="844" t="s">
        <v>5</v>
      </c>
      <c r="AY151" s="583">
        <v>38973.199999999997</v>
      </c>
      <c r="AZ151" s="583">
        <v>124350.5</v>
      </c>
      <c r="BA151" s="583">
        <v>3817.1</v>
      </c>
      <c r="BB151" s="583">
        <v>109009</v>
      </c>
      <c r="BC151" s="583">
        <v>33401</v>
      </c>
    </row>
    <row r="152" spans="1:55" s="947" customFormat="1" x14ac:dyDescent="0.25">
      <c r="A152" s="1040"/>
      <c r="B152" s="848" t="s">
        <v>217</v>
      </c>
      <c r="C152" s="849">
        <v>0.44759394908534733</v>
      </c>
      <c r="D152" s="849">
        <v>0.55666078913502615</v>
      </c>
      <c r="E152" s="866">
        <v>0.59048605237824103</v>
      </c>
      <c r="F152" s="866">
        <v>0.92518575946654602</v>
      </c>
      <c r="G152" s="866">
        <v>0.68464961086642162</v>
      </c>
      <c r="H152" s="866">
        <v>1.0885387222243617</v>
      </c>
      <c r="I152" s="866">
        <v>1.1537954243482356</v>
      </c>
      <c r="J152" s="866">
        <v>0.2801663073977288</v>
      </c>
      <c r="K152" s="866">
        <v>1.6551396557952316</v>
      </c>
      <c r="L152" s="866">
        <v>0.99704398423358287</v>
      </c>
      <c r="M152" s="866">
        <v>0.70585417949936047</v>
      </c>
      <c r="N152" s="866">
        <v>1.0437022713938824</v>
      </c>
      <c r="O152" s="866">
        <v>1.3951503634445583</v>
      </c>
      <c r="P152" s="866">
        <v>0.51137721887919607</v>
      </c>
      <c r="Q152" s="866">
        <v>0.74223948322952638</v>
      </c>
      <c r="R152" s="866">
        <v>0.82331345874243667</v>
      </c>
      <c r="S152" s="866">
        <v>1.2577243184900311</v>
      </c>
      <c r="T152" s="849">
        <v>1.1542437308480353</v>
      </c>
      <c r="U152" s="849">
        <v>1.2196627128632083</v>
      </c>
      <c r="V152" s="849">
        <v>0.6242147627364929</v>
      </c>
      <c r="W152" s="849">
        <v>0.40622018983610703</v>
      </c>
      <c r="X152" s="849">
        <v>0.45958306791328468</v>
      </c>
      <c r="Y152" s="849">
        <v>0.27376408197750318</v>
      </c>
      <c r="Z152" s="849">
        <v>0.53348587280386306</v>
      </c>
      <c r="AA152" s="849">
        <v>0.42923504211287539</v>
      </c>
      <c r="AB152" s="849">
        <v>0.65588575068939248</v>
      </c>
      <c r="AC152" s="849">
        <v>0</v>
      </c>
      <c r="AD152" s="849">
        <v>0.31283646894379996</v>
      </c>
      <c r="AE152" s="849">
        <v>0.41892098582950416</v>
      </c>
      <c r="AF152" s="849">
        <v>0.15153795181764226</v>
      </c>
      <c r="AG152" s="849">
        <v>0.15153795181764226</v>
      </c>
      <c r="AH152" s="849">
        <v>0.26709222336471616</v>
      </c>
      <c r="AI152" s="849"/>
      <c r="AJ152" s="851">
        <v>0.67212348560815671</v>
      </c>
      <c r="AK152" s="852" t="s">
        <v>217</v>
      </c>
      <c r="AL152" s="849">
        <v>0.43404211144897503</v>
      </c>
      <c r="AM152" s="849">
        <v>0.35034983769727046</v>
      </c>
      <c r="AN152" s="849">
        <v>0.7604043595434139</v>
      </c>
      <c r="AO152" s="849">
        <v>0.63988948626289044</v>
      </c>
      <c r="AP152" s="849">
        <v>0.80609416304231751</v>
      </c>
      <c r="AQ152" s="849">
        <v>0.67155761172770201</v>
      </c>
      <c r="AR152" s="849">
        <v>1.1787758027685384</v>
      </c>
      <c r="AS152" s="849">
        <v>0.62130418916297159</v>
      </c>
      <c r="AT152" s="849">
        <v>0.74386498739668405</v>
      </c>
      <c r="AU152" s="849">
        <v>0.686741430456977</v>
      </c>
      <c r="AV152" s="914"/>
      <c r="AW152" s="1012"/>
      <c r="AX152" s="848" t="s">
        <v>3</v>
      </c>
      <c r="AY152" s="849">
        <v>0.39999753678402516</v>
      </c>
      <c r="AZ152" s="849">
        <v>0.51050272513346506</v>
      </c>
      <c r="BA152" s="849">
        <v>2.8902031720984961E-2</v>
      </c>
      <c r="BB152" s="849">
        <v>0.37293623351133581</v>
      </c>
      <c r="BC152" s="849">
        <v>0.25290299718937781</v>
      </c>
    </row>
    <row r="153" spans="1:55" s="947" customFormat="1" x14ac:dyDescent="0.25">
      <c r="A153" s="1012"/>
      <c r="B153" s="848" t="s">
        <v>218</v>
      </c>
      <c r="C153" s="598">
        <v>101941</v>
      </c>
      <c r="D153" s="598">
        <v>83381.600000000006</v>
      </c>
      <c r="E153" s="598">
        <v>88472.9</v>
      </c>
      <c r="F153" s="598">
        <v>166832</v>
      </c>
      <c r="G153" s="598">
        <v>111205</v>
      </c>
      <c r="H153" s="598">
        <v>427192</v>
      </c>
      <c r="I153" s="598">
        <v>123558</v>
      </c>
      <c r="J153" s="598">
        <v>46570.3</v>
      </c>
      <c r="K153" s="598">
        <v>146851</v>
      </c>
      <c r="L153" s="598">
        <v>223796</v>
      </c>
      <c r="M153" s="598">
        <v>132430</v>
      </c>
      <c r="N153" s="598">
        <v>457450</v>
      </c>
      <c r="O153" s="598">
        <v>115895</v>
      </c>
      <c r="P153" s="598">
        <v>115349</v>
      </c>
      <c r="Q153" s="598">
        <v>61685.9</v>
      </c>
      <c r="R153" s="598">
        <v>143999</v>
      </c>
      <c r="S153" s="598">
        <v>330064</v>
      </c>
      <c r="T153" s="598">
        <v>63657.4</v>
      </c>
      <c r="U153" s="598">
        <v>40359.1</v>
      </c>
      <c r="V153" s="598">
        <v>63826.1</v>
      </c>
      <c r="W153" s="598">
        <v>63826.1</v>
      </c>
      <c r="X153" s="598">
        <v>47026.6</v>
      </c>
      <c r="Y153" s="598">
        <v>46991.8</v>
      </c>
      <c r="Z153" s="598">
        <v>42372.7</v>
      </c>
      <c r="AA153" s="598">
        <v>42368.5</v>
      </c>
      <c r="AB153" s="598">
        <v>215695</v>
      </c>
      <c r="AC153" s="598">
        <v>0</v>
      </c>
      <c r="AD153" s="598">
        <v>70159.5</v>
      </c>
      <c r="AE153" s="598">
        <v>93908.7</v>
      </c>
      <c r="AF153" s="598">
        <v>23686</v>
      </c>
      <c r="AG153" s="598">
        <v>23675.5</v>
      </c>
      <c r="AH153" s="598">
        <v>59881.5</v>
      </c>
      <c r="AI153" s="598"/>
      <c r="AJ153" s="867">
        <v>3774107.2</v>
      </c>
      <c r="AK153" s="852" t="s">
        <v>218</v>
      </c>
      <c r="AL153" s="861">
        <v>195849.7</v>
      </c>
      <c r="AM153" s="861">
        <v>107057.1</v>
      </c>
      <c r="AN153" s="861">
        <v>947861</v>
      </c>
      <c r="AO153" s="861">
        <v>693568.6</v>
      </c>
      <c r="AP153" s="861">
        <v>1135639</v>
      </c>
      <c r="AQ153" s="861">
        <v>590115.30000000005</v>
      </c>
      <c r="AR153" s="861">
        <v>104016.5</v>
      </c>
      <c r="AS153" s="861">
        <v>1390741</v>
      </c>
      <c r="AT153" s="861">
        <v>2383366.2000000002</v>
      </c>
      <c r="AU153" s="861">
        <v>3774107.2</v>
      </c>
      <c r="AV153" s="916"/>
      <c r="AW153" s="1012" t="s">
        <v>219</v>
      </c>
      <c r="AX153" s="848" t="s">
        <v>3</v>
      </c>
      <c r="AY153" s="849">
        <v>0.38119624665106289</v>
      </c>
      <c r="AZ153" s="849">
        <v>0.47677983409520408</v>
      </c>
      <c r="BA153" s="849">
        <v>2.9589946651719472E-2</v>
      </c>
      <c r="BB153" s="849">
        <v>0.45412051337057324</v>
      </c>
      <c r="BC153" s="849">
        <v>0.31543211186862841</v>
      </c>
    </row>
    <row r="154" spans="1:55" s="947" customFormat="1" x14ac:dyDescent="0.25">
      <c r="A154" s="1012"/>
      <c r="B154" s="848" t="s">
        <v>216</v>
      </c>
      <c r="C154" s="866">
        <v>0.40773399077827871</v>
      </c>
      <c r="D154" s="866">
        <v>0.55396909445928588</v>
      </c>
      <c r="E154" s="866">
        <v>0.58779457694727555</v>
      </c>
      <c r="F154" s="866">
        <v>0.91666538460693159</v>
      </c>
      <c r="G154" s="866">
        <v>0.67085651615503084</v>
      </c>
      <c r="H154" s="866">
        <v>1.0967561392023208</v>
      </c>
      <c r="I154" s="866">
        <v>0.71846280429479781</v>
      </c>
      <c r="J154" s="866">
        <v>0.28041221594672383</v>
      </c>
      <c r="K154" s="866">
        <v>1.1840989137165858</v>
      </c>
      <c r="L154" s="866">
        <v>0.99877181895754563</v>
      </c>
      <c r="M154" s="866">
        <v>0.68606236054563796</v>
      </c>
      <c r="N154" s="866">
        <v>1.0438823065771317</v>
      </c>
      <c r="O154" s="866">
        <v>1.3956728661782203</v>
      </c>
      <c r="P154" s="866">
        <v>0.41773379533727539</v>
      </c>
      <c r="Q154" s="866">
        <v>0.74285635148870166</v>
      </c>
      <c r="R154" s="866">
        <v>0.75148915917172787</v>
      </c>
      <c r="S154" s="866">
        <v>1.2583986588833915</v>
      </c>
      <c r="T154" s="866">
        <v>1.1542383637649363</v>
      </c>
      <c r="U154" s="866">
        <v>1.2196582100602891</v>
      </c>
      <c r="V154" s="866">
        <v>0.62454291487477553</v>
      </c>
      <c r="W154" s="866">
        <v>0.30466427840083249</v>
      </c>
      <c r="X154" s="866">
        <v>0.46015861599956942</v>
      </c>
      <c r="Y154" s="866">
        <v>0.22430828199993796</v>
      </c>
      <c r="Z154" s="866">
        <v>0.41461987445754012</v>
      </c>
      <c r="AA154" s="866">
        <v>0.20223965555510473</v>
      </c>
      <c r="AB154" s="866">
        <v>0.65621584982074577</v>
      </c>
      <c r="AC154" s="866">
        <v>0</v>
      </c>
      <c r="AD154" s="866">
        <v>0.31311252851772114</v>
      </c>
      <c r="AE154" s="866">
        <v>0.41910205327592298</v>
      </c>
      <c r="AF154" s="866">
        <v>0.15164465239083935</v>
      </c>
      <c r="AG154" s="866">
        <v>0.15157742834076318</v>
      </c>
      <c r="AH154" s="866">
        <v>0.26724317984640594</v>
      </c>
      <c r="AI154" s="866"/>
      <c r="AJ154" s="869">
        <v>0.62595922125852388</v>
      </c>
      <c r="AK154" s="852" t="s">
        <v>216</v>
      </c>
      <c r="AL154" s="849">
        <v>0.41310693168548734</v>
      </c>
      <c r="AM154" s="849">
        <v>0.349049006425597</v>
      </c>
      <c r="AN154" s="849">
        <v>0.7621192724327891</v>
      </c>
      <c r="AO154" s="849">
        <v>0.51434937309348949</v>
      </c>
      <c r="AP154" s="849">
        <v>0.80364839311578062</v>
      </c>
      <c r="AQ154" s="849">
        <v>0.5109153927518042</v>
      </c>
      <c r="AR154" s="849">
        <v>1.1787707597898949</v>
      </c>
      <c r="AS154" s="849">
        <v>0.49489652779131987</v>
      </c>
      <c r="AT154" s="849">
        <v>0.74037063416188265</v>
      </c>
      <c r="AU154" s="849">
        <v>0.62595922125852377</v>
      </c>
      <c r="AV154" s="914"/>
      <c r="AW154" s="1012"/>
      <c r="AX154" s="848"/>
      <c r="AY154" s="849"/>
      <c r="AZ154" s="849"/>
      <c r="BA154" s="849"/>
      <c r="BB154" s="849"/>
      <c r="BC154" s="849"/>
    </row>
    <row r="155" spans="1:55" s="947" customFormat="1" x14ac:dyDescent="0.25">
      <c r="A155" s="1041">
        <v>41900</v>
      </c>
      <c r="B155" s="1041"/>
      <c r="C155" s="1041"/>
      <c r="D155" s="529"/>
      <c r="E155" s="529"/>
      <c r="F155" s="529"/>
      <c r="G155" s="529"/>
      <c r="H155" s="529"/>
      <c r="I155" s="525"/>
      <c r="J155" s="531"/>
      <c r="K155" s="531"/>
      <c r="L155" s="529"/>
      <c r="M155" s="529"/>
      <c r="N155" s="527"/>
      <c r="R155" s="526"/>
      <c r="S155" s="534"/>
      <c r="T155" s="534"/>
      <c r="U155" s="534"/>
      <c r="V155" s="534"/>
      <c r="W155" s="534"/>
      <c r="X155" s="534"/>
      <c r="Y155" s="534"/>
      <c r="Z155" s="534"/>
      <c r="AA155" s="534"/>
      <c r="AB155" s="534"/>
      <c r="AC155" s="534"/>
      <c r="AD155" s="534"/>
      <c r="AE155" s="534"/>
      <c r="AF155" s="534"/>
      <c r="AG155" s="534"/>
      <c r="AH155" s="534"/>
      <c r="AI155" s="534"/>
      <c r="AJ155" s="534"/>
      <c r="AK155" s="534"/>
      <c r="AL155" s="534"/>
      <c r="AM155" s="534"/>
      <c r="AN155" s="534"/>
      <c r="AO155" s="534"/>
    </row>
    <row r="156" spans="1:55" s="947" customFormat="1" x14ac:dyDescent="0.25">
      <c r="A156" s="1042" t="s">
        <v>1</v>
      </c>
      <c r="B156" s="1042"/>
      <c r="C156" s="1010" t="s">
        <v>12</v>
      </c>
      <c r="D156" s="1010" t="s">
        <v>12</v>
      </c>
      <c r="E156" s="1010" t="s">
        <v>13</v>
      </c>
      <c r="F156" s="1010" t="s">
        <v>13</v>
      </c>
      <c r="G156" s="1010" t="s">
        <v>13</v>
      </c>
      <c r="H156" s="1010" t="s">
        <v>13</v>
      </c>
      <c r="I156" s="1010" t="s">
        <v>13</v>
      </c>
      <c r="J156" s="1010" t="s">
        <v>13</v>
      </c>
      <c r="K156" s="1010" t="s">
        <v>13</v>
      </c>
      <c r="L156" s="1010" t="s">
        <v>13</v>
      </c>
      <c r="M156" s="829" t="s">
        <v>2</v>
      </c>
      <c r="N156" s="1010" t="s">
        <v>2</v>
      </c>
      <c r="O156" s="1010" t="s">
        <v>2</v>
      </c>
      <c r="P156" s="1010" t="s">
        <v>2</v>
      </c>
      <c r="Q156" s="1010" t="s">
        <v>2</v>
      </c>
      <c r="R156" s="1010" t="s">
        <v>2</v>
      </c>
      <c r="S156" s="1010" t="s">
        <v>2</v>
      </c>
      <c r="T156" s="830" t="s">
        <v>183</v>
      </c>
      <c r="U156" s="830" t="s">
        <v>183</v>
      </c>
      <c r="V156" s="830" t="s">
        <v>2</v>
      </c>
      <c r="W156" s="830" t="s">
        <v>13</v>
      </c>
      <c r="X156" s="830" t="s">
        <v>13</v>
      </c>
      <c r="Y156" s="830" t="s">
        <v>2</v>
      </c>
      <c r="Z156" s="830" t="s">
        <v>13</v>
      </c>
      <c r="AA156" s="830" t="s">
        <v>2</v>
      </c>
      <c r="AB156" s="888" t="s">
        <v>2</v>
      </c>
      <c r="AC156" s="888" t="s">
        <v>2</v>
      </c>
      <c r="AD156" s="888" t="s">
        <v>13</v>
      </c>
      <c r="AE156" s="888" t="s">
        <v>12</v>
      </c>
      <c r="AF156" s="888" t="s">
        <v>13</v>
      </c>
      <c r="AG156" s="888" t="s">
        <v>12</v>
      </c>
      <c r="AH156" s="888" t="s">
        <v>13</v>
      </c>
      <c r="AI156" s="888" t="s">
        <v>13</v>
      </c>
      <c r="AJ156" s="831" t="s">
        <v>219</v>
      </c>
      <c r="AK156" s="1042" t="s">
        <v>0</v>
      </c>
      <c r="AL156" s="1042"/>
      <c r="AM156" s="833"/>
      <c r="AN156" s="833"/>
      <c r="AO156" s="833"/>
      <c r="AP156" s="833"/>
      <c r="AQ156" s="833"/>
      <c r="AR156" s="833"/>
      <c r="AS156" s="833"/>
      <c r="AT156" s="833"/>
      <c r="AU156" s="803"/>
      <c r="AV156" s="803"/>
      <c r="AW156" s="1042" t="s">
        <v>1</v>
      </c>
      <c r="AX156" s="1043"/>
      <c r="AY156" s="1010" t="s">
        <v>12</v>
      </c>
      <c r="AZ156" s="1044" t="s">
        <v>13</v>
      </c>
      <c r="BA156" s="1045"/>
      <c r="BB156" s="1044" t="s">
        <v>2</v>
      </c>
      <c r="BC156" s="1045"/>
    </row>
    <row r="157" spans="1:55" s="947" customFormat="1" x14ac:dyDescent="0.25">
      <c r="A157" s="1042" t="s">
        <v>0</v>
      </c>
      <c r="B157" s="1042"/>
      <c r="C157" s="834" t="s">
        <v>99</v>
      </c>
      <c r="D157" s="835" t="s">
        <v>100</v>
      </c>
      <c r="E157" s="835" t="s">
        <v>101</v>
      </c>
      <c r="F157" s="834" t="s">
        <v>102</v>
      </c>
      <c r="G157" s="835" t="s">
        <v>97</v>
      </c>
      <c r="H157" s="834" t="s">
        <v>104</v>
      </c>
      <c r="I157" s="835" t="s">
        <v>103</v>
      </c>
      <c r="J157" s="835" t="s">
        <v>178</v>
      </c>
      <c r="K157" s="835" t="s">
        <v>199</v>
      </c>
      <c r="L157" s="834" t="s">
        <v>206</v>
      </c>
      <c r="M157" s="834" t="s">
        <v>105</v>
      </c>
      <c r="N157" s="834" t="s">
        <v>107</v>
      </c>
      <c r="O157" s="835" t="s">
        <v>98</v>
      </c>
      <c r="P157" s="835" t="s">
        <v>106</v>
      </c>
      <c r="Q157" s="835" t="s">
        <v>179</v>
      </c>
      <c r="R157" s="835" t="s">
        <v>198</v>
      </c>
      <c r="S157" s="834" t="s">
        <v>207</v>
      </c>
      <c r="T157" s="834" t="s">
        <v>182</v>
      </c>
      <c r="U157" s="834" t="s">
        <v>184</v>
      </c>
      <c r="V157" s="835" t="s">
        <v>221</v>
      </c>
      <c r="W157" s="835" t="s">
        <v>222</v>
      </c>
      <c r="X157" s="835" t="s">
        <v>255</v>
      </c>
      <c r="Y157" s="835" t="s">
        <v>256</v>
      </c>
      <c r="Z157" s="835" t="s">
        <v>266</v>
      </c>
      <c r="AA157" s="835" t="s">
        <v>267</v>
      </c>
      <c r="AB157" s="889" t="s">
        <v>268</v>
      </c>
      <c r="AC157" s="889" t="s">
        <v>269</v>
      </c>
      <c r="AD157" s="889" t="s">
        <v>295</v>
      </c>
      <c r="AE157" s="889" t="s">
        <v>290</v>
      </c>
      <c r="AF157" s="946" t="s">
        <v>291</v>
      </c>
      <c r="AG157" s="946" t="s">
        <v>292</v>
      </c>
      <c r="AH157" s="889" t="s">
        <v>293</v>
      </c>
      <c r="AI157" s="889" t="s">
        <v>294</v>
      </c>
      <c r="AJ157" s="836"/>
      <c r="AK157" s="903" t="s">
        <v>1</v>
      </c>
      <c r="AL157" s="838" t="s">
        <v>257</v>
      </c>
      <c r="AM157" s="838" t="s">
        <v>258</v>
      </c>
      <c r="AN157" s="838" t="s">
        <v>259</v>
      </c>
      <c r="AO157" s="838" t="s">
        <v>260</v>
      </c>
      <c r="AP157" s="838" t="s">
        <v>261</v>
      </c>
      <c r="AQ157" s="838" t="s">
        <v>262</v>
      </c>
      <c r="AR157" s="838" t="s">
        <v>263</v>
      </c>
      <c r="AS157" s="904" t="s">
        <v>264</v>
      </c>
      <c r="AT157" s="904" t="s">
        <v>265</v>
      </c>
      <c r="AU157" s="988" t="s">
        <v>306</v>
      </c>
      <c r="AV157" s="988"/>
      <c r="AW157" s="1046" t="s">
        <v>0</v>
      </c>
      <c r="AX157" s="1043"/>
      <c r="AY157" s="834" t="s">
        <v>99</v>
      </c>
      <c r="AZ157" s="834" t="s">
        <v>104</v>
      </c>
      <c r="BA157" s="834" t="s">
        <v>206</v>
      </c>
      <c r="BB157" s="834" t="s">
        <v>107</v>
      </c>
      <c r="BC157" s="834" t="s">
        <v>207</v>
      </c>
    </row>
    <row r="158" spans="1:55" s="947" customFormat="1" ht="30" x14ac:dyDescent="0.25">
      <c r="A158" s="1047" t="s">
        <v>9</v>
      </c>
      <c r="B158" s="839" t="s">
        <v>4</v>
      </c>
      <c r="C158" s="840">
        <v>250018.4</v>
      </c>
      <c r="D158" s="840">
        <v>150516.70000000001</v>
      </c>
      <c r="E158" s="840">
        <v>150516.70000000001</v>
      </c>
      <c r="F158" s="840">
        <v>181998.8</v>
      </c>
      <c r="G158" s="840">
        <v>165765.70000000001</v>
      </c>
      <c r="H158" s="840">
        <v>389505</v>
      </c>
      <c r="I158" s="840">
        <v>171975.5</v>
      </c>
      <c r="J158" s="840">
        <v>166078</v>
      </c>
      <c r="K158" s="840">
        <v>124019.2</v>
      </c>
      <c r="L158" s="840">
        <v>224071.2</v>
      </c>
      <c r="M158" s="840">
        <v>193029.1</v>
      </c>
      <c r="N158" s="840">
        <v>438219.9</v>
      </c>
      <c r="O158" s="840">
        <v>83038.8</v>
      </c>
      <c r="P158" s="840">
        <v>276130.40000000002</v>
      </c>
      <c r="Q158" s="840">
        <v>83038.8</v>
      </c>
      <c r="R158" s="840">
        <v>191618.2</v>
      </c>
      <c r="S158" s="840">
        <v>262288.90000000002</v>
      </c>
      <c r="T158" s="840">
        <v>55151</v>
      </c>
      <c r="U158" s="840">
        <v>33090.5</v>
      </c>
      <c r="V158" s="840">
        <v>102196.5</v>
      </c>
      <c r="W158" s="840">
        <v>209496.5</v>
      </c>
      <c r="X158" s="840">
        <v>102196.5</v>
      </c>
      <c r="Y158" s="840">
        <v>209496.5</v>
      </c>
      <c r="Z158" s="840">
        <v>102196.5</v>
      </c>
      <c r="AA158" s="840">
        <v>209496.5</v>
      </c>
      <c r="AB158" s="840">
        <v>328695.2</v>
      </c>
      <c r="AC158" s="901">
        <v>190871.2</v>
      </c>
      <c r="AD158" s="901">
        <v>224071.2</v>
      </c>
      <c r="AE158" s="901">
        <v>224071.2</v>
      </c>
      <c r="AF158" s="901">
        <v>156194.1</v>
      </c>
      <c r="AG158" s="901">
        <v>156194.1</v>
      </c>
      <c r="AH158" s="901">
        <v>224071.2</v>
      </c>
      <c r="AI158" s="901"/>
      <c r="AJ158" s="840">
        <v>6029317.9999999991</v>
      </c>
      <c r="AK158" s="841" t="s">
        <v>4</v>
      </c>
      <c r="AL158" s="863">
        <v>474089.6</v>
      </c>
      <c r="AM158" s="863">
        <v>306710.80000000005</v>
      </c>
      <c r="AN158" s="863">
        <v>1243717.3999999999</v>
      </c>
      <c r="AO158" s="863">
        <v>1348438.7000000002</v>
      </c>
      <c r="AP158" s="863">
        <v>1413104.3</v>
      </c>
      <c r="AQ158" s="863">
        <v>1155015.7</v>
      </c>
      <c r="AR158" s="863">
        <v>88241.5</v>
      </c>
      <c r="AS158" s="863">
        <v>2810165.2</v>
      </c>
      <c r="AT158" s="863">
        <v>3219152.8</v>
      </c>
      <c r="AU158" s="863">
        <v>6029318</v>
      </c>
      <c r="AV158" s="989"/>
      <c r="AW158" s="875" t="s">
        <v>194</v>
      </c>
      <c r="AX158" s="872" t="s">
        <v>4</v>
      </c>
      <c r="AY158" s="840">
        <v>143393</v>
      </c>
      <c r="AZ158" s="840">
        <v>132132</v>
      </c>
      <c r="BA158" s="840">
        <v>83196.100000000006</v>
      </c>
      <c r="BB158" s="840">
        <v>132132.20000000001</v>
      </c>
      <c r="BC158" s="840">
        <v>83196.100000000006</v>
      </c>
    </row>
    <row r="159" spans="1:55" s="947" customFormat="1" x14ac:dyDescent="0.25">
      <c r="A159" s="1047"/>
      <c r="B159" s="844" t="s">
        <v>5</v>
      </c>
      <c r="C159" s="583">
        <v>53527.7</v>
      </c>
      <c r="D159" s="583">
        <v>86814.3</v>
      </c>
      <c r="E159" s="583">
        <v>86561.5</v>
      </c>
      <c r="F159" s="583">
        <v>102199.2</v>
      </c>
      <c r="G159" s="583">
        <v>118458.7</v>
      </c>
      <c r="H159" s="583">
        <v>206059.1</v>
      </c>
      <c r="I159" s="583">
        <v>95829.1</v>
      </c>
      <c r="J159" s="583">
        <v>52058.7</v>
      </c>
      <c r="K159" s="583">
        <v>97439.8</v>
      </c>
      <c r="L159" s="583">
        <v>91566.5</v>
      </c>
      <c r="M159" s="583">
        <v>81133.7</v>
      </c>
      <c r="N159" s="583">
        <v>211343.3</v>
      </c>
      <c r="O159" s="583">
        <v>59739.8</v>
      </c>
      <c r="P159" s="583">
        <v>180637.6</v>
      </c>
      <c r="Q159" s="583">
        <v>26902.5</v>
      </c>
      <c r="R159" s="583">
        <v>150681.20000000001</v>
      </c>
      <c r="S159" s="583">
        <v>177908.6</v>
      </c>
      <c r="T159" s="583">
        <v>17841</v>
      </c>
      <c r="U159" s="583">
        <v>11553.4</v>
      </c>
      <c r="V159" s="583">
        <v>15507.5</v>
      </c>
      <c r="W159" s="583">
        <v>31014.9</v>
      </c>
      <c r="X159" s="583">
        <v>26695.3</v>
      </c>
      <c r="Y159" s="583">
        <v>52487.4</v>
      </c>
      <c r="Z159" s="583">
        <v>8675.6</v>
      </c>
      <c r="AA159" s="583">
        <v>17255.3</v>
      </c>
      <c r="AB159" s="583">
        <v>102010.8</v>
      </c>
      <c r="AC159" s="583">
        <v>4.9000000000000004</v>
      </c>
      <c r="AD159" s="583">
        <v>18289.400000000001</v>
      </c>
      <c r="AE159" s="583">
        <v>60352.800000000003</v>
      </c>
      <c r="AF159" s="583">
        <v>13540.1</v>
      </c>
      <c r="AG159" s="583">
        <v>13539.9</v>
      </c>
      <c r="AH159" s="583">
        <v>10.1</v>
      </c>
      <c r="AI159" s="583"/>
      <c r="AJ159" s="845">
        <v>2267639.6999999997</v>
      </c>
      <c r="AK159" s="846" t="s">
        <v>5</v>
      </c>
      <c r="AL159" s="863">
        <v>113880.5</v>
      </c>
      <c r="AM159" s="863">
        <v>100354.2</v>
      </c>
      <c r="AN159" s="863">
        <v>418124.3</v>
      </c>
      <c r="AO159" s="863">
        <v>530273.70000000007</v>
      </c>
      <c r="AP159" s="863">
        <v>572401.30000000005</v>
      </c>
      <c r="AQ159" s="863">
        <v>503211.30000000005</v>
      </c>
      <c r="AR159" s="863">
        <v>29394.400000000001</v>
      </c>
      <c r="AS159" s="863">
        <v>1133839.2000000002</v>
      </c>
      <c r="AT159" s="863">
        <v>1133800.5</v>
      </c>
      <c r="AU159" s="863">
        <v>2267639.7000000002</v>
      </c>
      <c r="AV159" s="990"/>
      <c r="AW159" s="876"/>
      <c r="AX159" s="873" t="s">
        <v>5</v>
      </c>
      <c r="AY159" s="583">
        <v>51964.9</v>
      </c>
      <c r="AZ159" s="583">
        <v>58542</v>
      </c>
      <c r="BA159" s="583">
        <v>2519</v>
      </c>
      <c r="BB159" s="583">
        <v>70731</v>
      </c>
      <c r="BC159" s="583">
        <v>31444.9</v>
      </c>
    </row>
    <row r="160" spans="1:55" s="947" customFormat="1" x14ac:dyDescent="0.25">
      <c r="A160" s="1047"/>
      <c r="B160" s="848" t="s">
        <v>3</v>
      </c>
      <c r="C160" s="866">
        <v>0.21409504260486428</v>
      </c>
      <c r="D160" s="866">
        <v>0.57677520168858332</v>
      </c>
      <c r="E160" s="866">
        <v>0.57509565383774686</v>
      </c>
      <c r="F160" s="866">
        <v>0.56153776838089042</v>
      </c>
      <c r="G160" s="866">
        <v>0.71461526721149182</v>
      </c>
      <c r="H160" s="866">
        <v>0.52902812544126521</v>
      </c>
      <c r="I160" s="866">
        <v>0.55722530244133617</v>
      </c>
      <c r="J160" s="866">
        <v>0.31345933838316936</v>
      </c>
      <c r="K160" s="866">
        <v>0.78568318453916819</v>
      </c>
      <c r="L160" s="866">
        <v>0.40864912581358065</v>
      </c>
      <c r="M160" s="866">
        <v>0.42031849083894601</v>
      </c>
      <c r="N160" s="866">
        <v>0.4822768203817307</v>
      </c>
      <c r="O160" s="866">
        <v>0.71942031917609606</v>
      </c>
      <c r="P160" s="866">
        <v>0.65417498399306995</v>
      </c>
      <c r="Q160" s="866">
        <v>0.32397505744302663</v>
      </c>
      <c r="R160" s="866">
        <v>0.78636162953205913</v>
      </c>
      <c r="S160" s="866">
        <v>0.67829252400692519</v>
      </c>
      <c r="T160" s="866">
        <v>0.32349368098493225</v>
      </c>
      <c r="U160" s="866">
        <v>0.349145525150723</v>
      </c>
      <c r="V160" s="866">
        <v>0.15174198725005258</v>
      </c>
      <c r="W160" s="866">
        <v>0.14804495540498291</v>
      </c>
      <c r="X160" s="866">
        <v>0.26121540365863799</v>
      </c>
      <c r="Y160" s="866">
        <v>0.2505407011572986</v>
      </c>
      <c r="Z160" s="866">
        <v>8.4891361250140671E-2</v>
      </c>
      <c r="AA160" s="866">
        <v>8.2365576513211428E-2</v>
      </c>
      <c r="AB160" s="866">
        <v>0.31035074439784943</v>
      </c>
      <c r="AC160" s="866">
        <v>2.5671761900171424E-5</v>
      </c>
      <c r="AD160" s="866">
        <v>8.1623162637590202E-2</v>
      </c>
      <c r="AE160" s="866">
        <v>0.26934652913895224</v>
      </c>
      <c r="AF160" s="866">
        <v>8.6687653374871387E-2</v>
      </c>
      <c r="AG160" s="866">
        <v>8.6686372916774695E-2</v>
      </c>
      <c r="AH160" s="866">
        <v>4.5074958316820724E-5</v>
      </c>
      <c r="AI160" s="866"/>
      <c r="AJ160" s="869">
        <v>0.37610218933551026</v>
      </c>
      <c r="AK160" s="852" t="s">
        <v>3</v>
      </c>
      <c r="AL160" s="849">
        <v>0.24020881284887921</v>
      </c>
      <c r="AM160" s="849">
        <v>0.32719486891234345</v>
      </c>
      <c r="AN160" s="849">
        <v>0.33618915358103058</v>
      </c>
      <c r="AO160" s="849">
        <v>0.3932501343961724</v>
      </c>
      <c r="AP160" s="849">
        <v>0.40506656161190652</v>
      </c>
      <c r="AQ160" s="849">
        <v>0.43567485706038461</v>
      </c>
      <c r="AR160" s="849">
        <v>0.33311310437832542</v>
      </c>
      <c r="AS160" s="849">
        <v>0.40347777418921854</v>
      </c>
      <c r="AT160" s="849">
        <v>0.35220462352703485</v>
      </c>
      <c r="AU160" s="849">
        <v>0.37610218933551026</v>
      </c>
      <c r="AV160" s="991"/>
      <c r="AW160" s="876"/>
      <c r="AX160" s="874" t="s">
        <v>3</v>
      </c>
      <c r="AY160" s="849">
        <v>0.36239495651810061</v>
      </c>
      <c r="AZ160" s="849">
        <v>0.44305694305694304</v>
      </c>
      <c r="BA160" s="849">
        <v>3.0277861582453984E-2</v>
      </c>
      <c r="BB160" s="849">
        <v>0.53530479322981073</v>
      </c>
      <c r="BC160" s="849">
        <v>0.37796122654787906</v>
      </c>
    </row>
    <row r="161" spans="1:55" s="947" customFormat="1" ht="30" x14ac:dyDescent="0.25">
      <c r="A161" s="1040" t="s">
        <v>6</v>
      </c>
      <c r="B161" s="854" t="s">
        <v>7</v>
      </c>
      <c r="C161" s="840">
        <v>3713</v>
      </c>
      <c r="D161" s="840">
        <v>3620</v>
      </c>
      <c r="E161" s="840">
        <v>3560</v>
      </c>
      <c r="F161" s="840">
        <v>6595</v>
      </c>
      <c r="G161" s="840">
        <v>8432</v>
      </c>
      <c r="H161" s="840">
        <v>15082</v>
      </c>
      <c r="I161" s="840">
        <v>7076</v>
      </c>
      <c r="J161" s="840">
        <v>9599</v>
      </c>
      <c r="K161" s="840">
        <v>7072</v>
      </c>
      <c r="L161" s="840">
        <v>9334</v>
      </c>
      <c r="M161" s="840">
        <v>5450</v>
      </c>
      <c r="N161" s="840">
        <v>15002</v>
      </c>
      <c r="O161" s="840">
        <v>4357</v>
      </c>
      <c r="P161" s="840">
        <v>8466</v>
      </c>
      <c r="Q161" s="840">
        <v>4799</v>
      </c>
      <c r="R161" s="840">
        <v>9711</v>
      </c>
      <c r="S161" s="840">
        <v>11560</v>
      </c>
      <c r="T161" s="855">
        <v>2480</v>
      </c>
      <c r="U161" s="855">
        <v>1570</v>
      </c>
      <c r="V161" s="840">
        <v>3999</v>
      </c>
      <c r="W161" s="840">
        <v>7999</v>
      </c>
      <c r="X161" s="840">
        <v>3999</v>
      </c>
      <c r="Y161" s="840">
        <v>7999</v>
      </c>
      <c r="Z161" s="840">
        <v>3999</v>
      </c>
      <c r="AA161" s="840">
        <v>7999</v>
      </c>
      <c r="AB161" s="840">
        <v>11999</v>
      </c>
      <c r="AC161" s="840">
        <v>6400</v>
      </c>
      <c r="AD161" s="840">
        <v>6399</v>
      </c>
      <c r="AE161" s="840">
        <v>6399</v>
      </c>
      <c r="AF161" s="840">
        <v>4800</v>
      </c>
      <c r="AG161" s="840">
        <v>4800</v>
      </c>
      <c r="AH161" s="840">
        <v>6399</v>
      </c>
      <c r="AI161" s="840"/>
      <c r="AJ161" s="840">
        <v>220668</v>
      </c>
      <c r="AK161" s="856" t="s">
        <v>7</v>
      </c>
      <c r="AL161" s="858">
        <v>10112</v>
      </c>
      <c r="AM161" s="858">
        <v>8420</v>
      </c>
      <c r="AN161" s="858">
        <v>43809</v>
      </c>
      <c r="AO161" s="858">
        <v>56536</v>
      </c>
      <c r="AP161" s="858">
        <v>50411</v>
      </c>
      <c r="AQ161" s="858">
        <v>47330</v>
      </c>
      <c r="AR161" s="858">
        <v>4050</v>
      </c>
      <c r="AS161" s="858">
        <v>112286</v>
      </c>
      <c r="AT161" s="858">
        <v>108382</v>
      </c>
      <c r="AU161" s="858">
        <v>220668</v>
      </c>
      <c r="AV161" s="657"/>
      <c r="AW161" s="880" t="s">
        <v>190</v>
      </c>
      <c r="AX161" s="879" t="s">
        <v>4</v>
      </c>
      <c r="AY161" s="857">
        <v>9191.7999999999993</v>
      </c>
      <c r="AZ161" s="857">
        <v>13787.7</v>
      </c>
      <c r="BA161" s="857">
        <v>8804.7999999999993</v>
      </c>
      <c r="BB161" s="857">
        <v>13787.7</v>
      </c>
      <c r="BC161" s="857">
        <v>8804.7999999999993</v>
      </c>
    </row>
    <row r="162" spans="1:55" s="947" customFormat="1" x14ac:dyDescent="0.25">
      <c r="A162" s="1040"/>
      <c r="B162" s="839" t="s">
        <v>11</v>
      </c>
      <c r="C162" s="858">
        <v>125191.22099999999</v>
      </c>
      <c r="D162" s="858">
        <v>122055.54</v>
      </c>
      <c r="E162" s="858">
        <v>120032.51999999999</v>
      </c>
      <c r="F162" s="858">
        <v>222363.61499999999</v>
      </c>
      <c r="G162" s="858">
        <v>284301.74400000001</v>
      </c>
      <c r="H162" s="858">
        <v>508519.79399999999</v>
      </c>
      <c r="I162" s="858">
        <v>238581.492</v>
      </c>
      <c r="J162" s="858">
        <v>323649.48300000001</v>
      </c>
      <c r="K162" s="858">
        <v>238446.62399999998</v>
      </c>
      <c r="L162" s="858">
        <v>314714.478</v>
      </c>
      <c r="M162" s="858">
        <v>183757.65</v>
      </c>
      <c r="N162" s="858">
        <v>505822.43400000001</v>
      </c>
      <c r="O162" s="858">
        <v>146904.96899999998</v>
      </c>
      <c r="P162" s="858">
        <v>285448.12199999997</v>
      </c>
      <c r="Q162" s="858">
        <v>161807.883</v>
      </c>
      <c r="R162" s="858">
        <v>327425.78700000001</v>
      </c>
      <c r="S162" s="858">
        <v>389768.51999999996</v>
      </c>
      <c r="T162" s="858">
        <v>83618.16</v>
      </c>
      <c r="U162" s="858">
        <v>52935.689999999995</v>
      </c>
      <c r="V162" s="858">
        <v>134834.283</v>
      </c>
      <c r="W162" s="858">
        <v>269702.283</v>
      </c>
      <c r="X162" s="858">
        <v>134834.283</v>
      </c>
      <c r="Y162" s="858">
        <v>269702.283</v>
      </c>
      <c r="Z162" s="858">
        <v>134834.283</v>
      </c>
      <c r="AA162" s="858">
        <v>269702.283</v>
      </c>
      <c r="AB162" s="858">
        <v>404570.283</v>
      </c>
      <c r="AC162" s="858">
        <v>215788.79999999999</v>
      </c>
      <c r="AD162" s="858">
        <v>215755.08299999998</v>
      </c>
      <c r="AE162" s="858">
        <v>215755.08299999998</v>
      </c>
      <c r="AF162" s="858">
        <v>161841.60000000001</v>
      </c>
      <c r="AG162" s="858">
        <v>161841.60000000001</v>
      </c>
      <c r="AH162" s="858">
        <v>215755.08299999998</v>
      </c>
      <c r="AI162" s="858"/>
      <c r="AJ162" s="859">
        <v>7440262.9559999965</v>
      </c>
      <c r="AK162" s="841" t="s">
        <v>11</v>
      </c>
      <c r="AL162" s="858">
        <v>340946.304</v>
      </c>
      <c r="AM162" s="858">
        <v>283897.14</v>
      </c>
      <c r="AN162" s="858">
        <v>1477108.0529999998</v>
      </c>
      <c r="AO162" s="858">
        <v>1906224.3119999999</v>
      </c>
      <c r="AP162" s="858">
        <v>1699707.6869999999</v>
      </c>
      <c r="AQ162" s="858">
        <v>1595825.6099999999</v>
      </c>
      <c r="AR162" s="858">
        <v>136553.85</v>
      </c>
      <c r="AS162" s="858">
        <v>3785947.0619999999</v>
      </c>
      <c r="AT162" s="858">
        <v>3654315.8939999999</v>
      </c>
      <c r="AU162" s="858">
        <v>7440262.9560000002</v>
      </c>
      <c r="AV162" s="992"/>
      <c r="AW162" s="876"/>
      <c r="AX162" s="873" t="s">
        <v>5</v>
      </c>
      <c r="AY162" s="583">
        <v>7975.5</v>
      </c>
      <c r="AZ162" s="583">
        <v>13649</v>
      </c>
      <c r="BA162" s="583">
        <v>1289.9000000000001</v>
      </c>
      <c r="BB162" s="583">
        <v>13642</v>
      </c>
      <c r="BC162" s="583">
        <v>5483.9</v>
      </c>
    </row>
    <row r="163" spans="1:55" s="947" customFormat="1" x14ac:dyDescent="0.25">
      <c r="A163" s="1040"/>
      <c r="B163" s="839" t="s">
        <v>79</v>
      </c>
      <c r="C163" s="858">
        <v>164000</v>
      </c>
      <c r="D163" s="858">
        <v>109880</v>
      </c>
      <c r="E163" s="858">
        <v>109880</v>
      </c>
      <c r="F163" s="858">
        <v>328000</v>
      </c>
      <c r="G163" s="858">
        <v>330905</v>
      </c>
      <c r="H163" s="858">
        <v>264264</v>
      </c>
      <c r="I163" s="858">
        <v>242663.6</v>
      </c>
      <c r="J163" s="858">
        <v>328000</v>
      </c>
      <c r="K163" s="858">
        <v>328000</v>
      </c>
      <c r="L163" s="858">
        <v>328000</v>
      </c>
      <c r="M163" s="858">
        <v>328000</v>
      </c>
      <c r="N163" s="858">
        <v>264264.40000000002</v>
      </c>
      <c r="O163" s="858">
        <v>328000</v>
      </c>
      <c r="P163" s="858">
        <v>352965.4</v>
      </c>
      <c r="Q163" s="858">
        <v>328000</v>
      </c>
      <c r="R163" s="858">
        <v>328000</v>
      </c>
      <c r="S163" s="858">
        <v>328000</v>
      </c>
      <c r="T163" s="858">
        <v>110302</v>
      </c>
      <c r="U163" s="858">
        <v>66181</v>
      </c>
      <c r="V163" s="858">
        <v>204393</v>
      </c>
      <c r="W163" s="858">
        <v>418993</v>
      </c>
      <c r="X163" s="858">
        <v>204393</v>
      </c>
      <c r="Y163" s="858">
        <v>418993</v>
      </c>
      <c r="Z163" s="858">
        <v>204393</v>
      </c>
      <c r="AA163" s="858">
        <v>418993</v>
      </c>
      <c r="AB163" s="858">
        <v>657390.4</v>
      </c>
      <c r="AC163" s="858">
        <v>381742.4</v>
      </c>
      <c r="AD163" s="858">
        <v>448142.4</v>
      </c>
      <c r="AE163" s="858">
        <v>448142.4</v>
      </c>
      <c r="AF163" s="858">
        <v>312388.2</v>
      </c>
      <c r="AG163" s="858">
        <v>312388.2</v>
      </c>
      <c r="AH163" s="858">
        <v>448142.4</v>
      </c>
      <c r="AI163" s="858"/>
      <c r="AJ163" s="859">
        <v>9845799.8000000007</v>
      </c>
      <c r="AK163" s="841" t="s">
        <v>79</v>
      </c>
      <c r="AL163" s="858">
        <v>948179.2</v>
      </c>
      <c r="AM163" s="858">
        <v>613421.60000000009</v>
      </c>
      <c r="AN163" s="858">
        <v>2487434.7999999998</v>
      </c>
      <c r="AO163" s="858">
        <v>2696877.4000000004</v>
      </c>
      <c r="AP163" s="858">
        <v>2826208.6</v>
      </c>
      <c r="AQ163" s="858">
        <v>2310031.4</v>
      </c>
      <c r="AR163" s="858">
        <v>176483</v>
      </c>
      <c r="AS163" s="858">
        <v>5620330.4000000004</v>
      </c>
      <c r="AT163" s="858">
        <v>6438305.5999999996</v>
      </c>
      <c r="AU163" s="858">
        <v>12058636</v>
      </c>
      <c r="AV163" s="993"/>
      <c r="AW163" s="877"/>
      <c r="AX163" s="874" t="s">
        <v>3</v>
      </c>
      <c r="AY163" s="849">
        <v>0.86767553689157739</v>
      </c>
      <c r="AZ163" s="849">
        <v>0.98994030911609621</v>
      </c>
      <c r="BA163" s="849">
        <v>0.14649963656187537</v>
      </c>
      <c r="BB163" s="849">
        <v>0.98943261022505558</v>
      </c>
      <c r="BC163" s="849">
        <v>0.62283072869343992</v>
      </c>
    </row>
    <row r="164" spans="1:55" s="947" customFormat="1" ht="45" x14ac:dyDescent="0.25">
      <c r="A164" s="1040"/>
      <c r="B164" s="844" t="s">
        <v>8</v>
      </c>
      <c r="C164" s="861">
        <v>3319</v>
      </c>
      <c r="D164" s="861">
        <v>2674</v>
      </c>
      <c r="E164" s="861">
        <v>2636</v>
      </c>
      <c r="F164" s="861">
        <v>4994</v>
      </c>
      <c r="G164" s="861">
        <v>3366</v>
      </c>
      <c r="H164" s="861">
        <v>12575</v>
      </c>
      <c r="I164" s="861">
        <v>5885</v>
      </c>
      <c r="J164" s="861">
        <v>1380</v>
      </c>
      <c r="K164" s="861">
        <v>6088</v>
      </c>
      <c r="L164" s="861">
        <v>6644</v>
      </c>
      <c r="M164" s="861">
        <v>4044</v>
      </c>
      <c r="N164" s="861">
        <v>13566</v>
      </c>
      <c r="O164" s="861">
        <v>3436</v>
      </c>
      <c r="P164" s="861">
        <v>6858</v>
      </c>
      <c r="Q164" s="861">
        <v>1828</v>
      </c>
      <c r="R164" s="861">
        <v>4649</v>
      </c>
      <c r="S164" s="861">
        <v>9803</v>
      </c>
      <c r="T164" s="598">
        <v>1888</v>
      </c>
      <c r="U164" s="598">
        <v>1197</v>
      </c>
      <c r="V164" s="861">
        <v>1892</v>
      </c>
      <c r="W164" s="861">
        <v>2524</v>
      </c>
      <c r="X164" s="861">
        <v>1393</v>
      </c>
      <c r="Y164" s="861">
        <v>1701</v>
      </c>
      <c r="Z164" s="861">
        <v>1520</v>
      </c>
      <c r="AA164" s="861">
        <v>2570</v>
      </c>
      <c r="AB164" s="861">
        <v>6193</v>
      </c>
      <c r="AC164" s="861">
        <v>0</v>
      </c>
      <c r="AD164" s="861">
        <v>1877</v>
      </c>
      <c r="AE164" s="861">
        <v>2561</v>
      </c>
      <c r="AF164" s="861">
        <v>513</v>
      </c>
      <c r="AG164" s="861">
        <v>513</v>
      </c>
      <c r="AH164" s="861">
        <v>1775</v>
      </c>
      <c r="AI164" s="861"/>
      <c r="AJ164" s="840">
        <v>121862</v>
      </c>
      <c r="AK164" s="846" t="s">
        <v>8</v>
      </c>
      <c r="AL164" s="858">
        <v>5880</v>
      </c>
      <c r="AM164" s="858">
        <v>3187</v>
      </c>
      <c r="AN164" s="858">
        <v>27865</v>
      </c>
      <c r="AO164" s="858">
        <v>25305</v>
      </c>
      <c r="AP164" s="858">
        <v>33606</v>
      </c>
      <c r="AQ164" s="858">
        <v>22934</v>
      </c>
      <c r="AR164" s="858">
        <v>3085</v>
      </c>
      <c r="AS164" s="858">
        <v>51426</v>
      </c>
      <c r="AT164" s="858">
        <v>70436</v>
      </c>
      <c r="AU164" s="858">
        <v>121862</v>
      </c>
      <c r="AV164" s="993"/>
      <c r="AW164" s="877" t="s">
        <v>191</v>
      </c>
      <c r="AX164" s="839" t="s">
        <v>4</v>
      </c>
      <c r="AY164" s="840">
        <v>97433.600000000006</v>
      </c>
      <c r="AZ164" s="840">
        <v>243584.4</v>
      </c>
      <c r="BA164" s="840">
        <v>132070.29999999999</v>
      </c>
      <c r="BB164" s="840">
        <v>292299.3</v>
      </c>
      <c r="BC164" s="840">
        <v>132070.39999999999</v>
      </c>
    </row>
    <row r="165" spans="1:55" s="947" customFormat="1" x14ac:dyDescent="0.25">
      <c r="A165" s="1040"/>
      <c r="B165" s="839" t="s">
        <v>77</v>
      </c>
      <c r="C165" s="858">
        <v>111906.723</v>
      </c>
      <c r="D165" s="858">
        <v>90159.258000000002</v>
      </c>
      <c r="E165" s="858">
        <v>88878.012000000002</v>
      </c>
      <c r="F165" s="858">
        <v>168382.698</v>
      </c>
      <c r="G165" s="858">
        <v>113491.42199999999</v>
      </c>
      <c r="H165" s="858">
        <v>423991.27499999997</v>
      </c>
      <c r="I165" s="858">
        <v>198424.54499999998</v>
      </c>
      <c r="J165" s="858">
        <v>46529.46</v>
      </c>
      <c r="K165" s="858">
        <v>205269.09599999999</v>
      </c>
      <c r="L165" s="858">
        <v>224015.74799999999</v>
      </c>
      <c r="M165" s="858">
        <v>136351.54799999998</v>
      </c>
      <c r="N165" s="858">
        <v>457404.82199999999</v>
      </c>
      <c r="O165" s="858">
        <v>115851.61199999999</v>
      </c>
      <c r="P165" s="858">
        <v>143094.94799999997</v>
      </c>
      <c r="Q165" s="858">
        <v>61634.675999999999</v>
      </c>
      <c r="R165" s="858">
        <v>156750.33299999998</v>
      </c>
      <c r="S165" s="858">
        <v>330527.75099999999</v>
      </c>
      <c r="T165" s="863">
        <v>63657.695999999996</v>
      </c>
      <c r="U165" s="863">
        <v>40359.248999999996</v>
      </c>
      <c r="V165" s="863">
        <v>63792.563999999998</v>
      </c>
      <c r="W165" s="863">
        <v>85101.707999999999</v>
      </c>
      <c r="X165" s="863">
        <v>46967.780999999995</v>
      </c>
      <c r="Y165" s="863">
        <v>57352.616999999998</v>
      </c>
      <c r="Z165" s="863">
        <v>51249.84</v>
      </c>
      <c r="AA165" s="863">
        <v>86652.69</v>
      </c>
      <c r="AB165" s="863">
        <v>208809.38099999999</v>
      </c>
      <c r="AC165" s="863">
        <v>0</v>
      </c>
      <c r="AD165" s="863">
        <v>63286.809000000001</v>
      </c>
      <c r="AE165" s="863">
        <v>86349.236999999994</v>
      </c>
      <c r="AF165" s="863">
        <v>17296.821</v>
      </c>
      <c r="AG165" s="863">
        <v>17296.821</v>
      </c>
      <c r="AH165" s="863">
        <v>59847.674999999996</v>
      </c>
      <c r="AI165" s="863"/>
      <c r="AJ165" s="864">
        <v>4020684.8159999996</v>
      </c>
      <c r="AK165" s="841" t="s">
        <v>77</v>
      </c>
      <c r="AL165" s="858">
        <v>198255.96</v>
      </c>
      <c r="AM165" s="858">
        <v>107456.079</v>
      </c>
      <c r="AN165" s="858">
        <v>939524.20499999996</v>
      </c>
      <c r="AO165" s="858">
        <v>853208.68499999994</v>
      </c>
      <c r="AP165" s="858">
        <v>1133093.5019999999</v>
      </c>
      <c r="AQ165" s="858">
        <v>773265.67799999996</v>
      </c>
      <c r="AR165" s="858">
        <v>104016.94499999999</v>
      </c>
      <c r="AS165" s="858">
        <v>1733930.442</v>
      </c>
      <c r="AT165" s="858">
        <v>2374890.6119999997</v>
      </c>
      <c r="AU165" s="858">
        <v>4108821.0539999995</v>
      </c>
      <c r="AV165" s="915"/>
      <c r="AW165" s="1009"/>
      <c r="AX165" s="844" t="s">
        <v>5</v>
      </c>
      <c r="AY165" s="583">
        <v>38973.199999999997</v>
      </c>
      <c r="AZ165" s="583">
        <v>124350.5</v>
      </c>
      <c r="BA165" s="583">
        <v>3817.1</v>
      </c>
      <c r="BB165" s="583">
        <v>109009</v>
      </c>
      <c r="BC165" s="583">
        <v>33401</v>
      </c>
    </row>
    <row r="166" spans="1:55" s="947" customFormat="1" x14ac:dyDescent="0.25">
      <c r="A166" s="1040"/>
      <c r="B166" s="848" t="s">
        <v>217</v>
      </c>
      <c r="C166" s="849">
        <v>0.44759394908534733</v>
      </c>
      <c r="D166" s="849">
        <v>0.59899837028050706</v>
      </c>
      <c r="E166" s="866">
        <v>0.59048605237824103</v>
      </c>
      <c r="F166" s="866">
        <v>0.92518575946654602</v>
      </c>
      <c r="G166" s="866">
        <v>0.68464961086642162</v>
      </c>
      <c r="H166" s="866">
        <v>1.0885387222243617</v>
      </c>
      <c r="I166" s="866">
        <v>1.1537954243482356</v>
      </c>
      <c r="J166" s="866">
        <v>0.2801663073977288</v>
      </c>
      <c r="K166" s="866">
        <v>1.6551396557952316</v>
      </c>
      <c r="L166" s="866">
        <v>0.99975252509023904</v>
      </c>
      <c r="M166" s="866">
        <v>0.70637819893477194</v>
      </c>
      <c r="N166" s="866">
        <v>1.0437792122174276</v>
      </c>
      <c r="O166" s="866">
        <v>1.3951503634445583</v>
      </c>
      <c r="P166" s="866">
        <v>0.51821511865408498</v>
      </c>
      <c r="Q166" s="866">
        <v>0.74223948322952638</v>
      </c>
      <c r="R166" s="866">
        <v>0.81803468042179694</v>
      </c>
      <c r="S166" s="866">
        <v>1.2601667512426182</v>
      </c>
      <c r="T166" s="849">
        <v>1.1542437308480353</v>
      </c>
      <c r="U166" s="849">
        <v>1.2196627128632083</v>
      </c>
      <c r="V166" s="849">
        <v>0.6242147627364929</v>
      </c>
      <c r="W166" s="849">
        <v>0.40622018983610703</v>
      </c>
      <c r="X166" s="849">
        <v>0.45958306791328468</v>
      </c>
      <c r="Y166" s="849">
        <v>0.27376408197750318</v>
      </c>
      <c r="Z166" s="849">
        <v>0.50148331890035369</v>
      </c>
      <c r="AA166" s="849">
        <v>0.41362356889017238</v>
      </c>
      <c r="AB166" s="849">
        <v>0.63526750923043596</v>
      </c>
      <c r="AC166" s="849">
        <v>0</v>
      </c>
      <c r="AD166" s="849">
        <v>0.2824406215524351</v>
      </c>
      <c r="AE166" s="849">
        <v>0.38536517410537358</v>
      </c>
      <c r="AF166" s="849">
        <v>0.1107392724821232</v>
      </c>
      <c r="AG166" s="849">
        <v>0.1107392724821232</v>
      </c>
      <c r="AH166" s="849">
        <v>0.26709222336471616</v>
      </c>
      <c r="AI166" s="849"/>
      <c r="AJ166" s="851">
        <v>0.6668556569748022</v>
      </c>
      <c r="AK166" s="852" t="s">
        <v>217</v>
      </c>
      <c r="AL166" s="849">
        <v>0.41818247014910265</v>
      </c>
      <c r="AM166" s="849">
        <v>0.35034983769727046</v>
      </c>
      <c r="AN166" s="849">
        <v>0.75541614598300222</v>
      </c>
      <c r="AO166" s="849">
        <v>0.63273820678685644</v>
      </c>
      <c r="AP166" s="849">
        <v>0.80184704129765927</v>
      </c>
      <c r="AQ166" s="849">
        <v>0.66948499314771215</v>
      </c>
      <c r="AR166" s="849">
        <v>1.1787758027685384</v>
      </c>
      <c r="AS166" s="849">
        <v>0.61702082212106246</v>
      </c>
      <c r="AT166" s="849">
        <v>0.73773777125459838</v>
      </c>
      <c r="AU166" s="849">
        <v>0.68147360182362238</v>
      </c>
      <c r="AV166" s="914"/>
      <c r="AW166" s="1009"/>
      <c r="AX166" s="848" t="s">
        <v>3</v>
      </c>
      <c r="AY166" s="849">
        <v>0.39999753678402516</v>
      </c>
      <c r="AZ166" s="849">
        <v>0.51050272513346506</v>
      </c>
      <c r="BA166" s="849">
        <v>2.8902031720984961E-2</v>
      </c>
      <c r="BB166" s="849">
        <v>0.37293623351133581</v>
      </c>
      <c r="BC166" s="849">
        <v>0.25290299718937781</v>
      </c>
    </row>
    <row r="167" spans="1:55" s="947" customFormat="1" x14ac:dyDescent="0.25">
      <c r="A167" s="1009"/>
      <c r="B167" s="848" t="s">
        <v>218</v>
      </c>
      <c r="C167" s="598">
        <v>101941</v>
      </c>
      <c r="D167" s="598">
        <v>89754.1</v>
      </c>
      <c r="E167" s="598">
        <v>88472.9</v>
      </c>
      <c r="F167" s="598">
        <v>166832</v>
      </c>
      <c r="G167" s="598">
        <v>111205</v>
      </c>
      <c r="H167" s="598">
        <v>427192</v>
      </c>
      <c r="I167" s="598">
        <v>123558</v>
      </c>
      <c r="J167" s="598">
        <v>46570.3</v>
      </c>
      <c r="K167" s="598">
        <v>146851</v>
      </c>
      <c r="L167" s="598">
        <v>224403</v>
      </c>
      <c r="M167" s="598">
        <v>132532</v>
      </c>
      <c r="N167" s="598">
        <v>457485</v>
      </c>
      <c r="O167" s="598">
        <v>115895</v>
      </c>
      <c r="P167" s="598">
        <v>117237</v>
      </c>
      <c r="Q167" s="598">
        <v>61685.9</v>
      </c>
      <c r="R167" s="598">
        <v>142988</v>
      </c>
      <c r="S167" s="598">
        <v>330712</v>
      </c>
      <c r="T167" s="598">
        <v>63657.4</v>
      </c>
      <c r="U167" s="598">
        <v>40359.1</v>
      </c>
      <c r="V167" s="598">
        <v>63826.1</v>
      </c>
      <c r="W167" s="598">
        <v>63826.1</v>
      </c>
      <c r="X167" s="598">
        <v>47026.6</v>
      </c>
      <c r="Y167" s="598">
        <v>46991.8</v>
      </c>
      <c r="Z167" s="598">
        <v>39102.199999999997</v>
      </c>
      <c r="AA167" s="598">
        <v>39098</v>
      </c>
      <c r="AB167" s="598">
        <v>208909</v>
      </c>
      <c r="AC167" s="598">
        <v>0</v>
      </c>
      <c r="AD167" s="598">
        <v>63348.7</v>
      </c>
      <c r="AE167" s="598">
        <v>86389.9</v>
      </c>
      <c r="AF167" s="598">
        <v>17313.599999999999</v>
      </c>
      <c r="AG167" s="598">
        <v>17303</v>
      </c>
      <c r="AH167" s="598">
        <v>59881.5</v>
      </c>
      <c r="AI167" s="598"/>
      <c r="AJ167" s="867">
        <v>3742347.2</v>
      </c>
      <c r="AK167" s="852" t="s">
        <v>218</v>
      </c>
      <c r="AL167" s="861">
        <v>188330.9</v>
      </c>
      <c r="AM167" s="861">
        <v>107057.1</v>
      </c>
      <c r="AN167" s="861">
        <v>941657.2</v>
      </c>
      <c r="AO167" s="861">
        <v>683925.7</v>
      </c>
      <c r="AP167" s="861">
        <v>1129638</v>
      </c>
      <c r="AQ167" s="861">
        <v>587721.80000000005</v>
      </c>
      <c r="AR167" s="861">
        <v>104016.5</v>
      </c>
      <c r="AS167" s="861">
        <v>1378704.6</v>
      </c>
      <c r="AT167" s="861">
        <v>2363642.5999999996</v>
      </c>
      <c r="AU167" s="861">
        <v>3742347.1999999997</v>
      </c>
      <c r="AV167" s="916"/>
      <c r="AW167" s="1009" t="s">
        <v>219</v>
      </c>
      <c r="AX167" s="848" t="s">
        <v>3</v>
      </c>
      <c r="AY167" s="849">
        <v>0.38119624665106289</v>
      </c>
      <c r="AZ167" s="849">
        <v>0.47677983409520408</v>
      </c>
      <c r="BA167" s="849">
        <v>2.9589946651719472E-2</v>
      </c>
      <c r="BB167" s="849">
        <v>0.45412051337057324</v>
      </c>
      <c r="BC167" s="849">
        <v>0.31543211186862841</v>
      </c>
    </row>
    <row r="168" spans="1:55" s="947" customFormat="1" x14ac:dyDescent="0.25">
      <c r="A168" s="1009"/>
      <c r="B168" s="848" t="s">
        <v>216</v>
      </c>
      <c r="C168" s="866">
        <v>0.40773399077827871</v>
      </c>
      <c r="D168" s="866">
        <v>0.59630658923561308</v>
      </c>
      <c r="E168" s="866">
        <v>0.58779457694727555</v>
      </c>
      <c r="F168" s="866">
        <v>0.91666538460693159</v>
      </c>
      <c r="G168" s="866">
        <v>0.67085651615503084</v>
      </c>
      <c r="H168" s="866">
        <v>1.0967561392023208</v>
      </c>
      <c r="I168" s="866">
        <v>0.71846280429479781</v>
      </c>
      <c r="J168" s="866">
        <v>0.28041221594672383</v>
      </c>
      <c r="K168" s="866">
        <v>1.1840989137165858</v>
      </c>
      <c r="L168" s="866">
        <v>1.0014807793237148</v>
      </c>
      <c r="M168" s="866">
        <v>0.68659077828161663</v>
      </c>
      <c r="N168" s="866">
        <v>1.0439621751545285</v>
      </c>
      <c r="O168" s="866">
        <v>1.3956728661782203</v>
      </c>
      <c r="P168" s="866">
        <v>0.42457114464760126</v>
      </c>
      <c r="Q168" s="866">
        <v>0.74285635148870166</v>
      </c>
      <c r="R168" s="866">
        <v>0.74621304239367658</v>
      </c>
      <c r="S168" s="866">
        <v>1.2608692171113607</v>
      </c>
      <c r="T168" s="866">
        <v>1.1542383637649363</v>
      </c>
      <c r="U168" s="866">
        <v>1.2196582100602891</v>
      </c>
      <c r="V168" s="866">
        <v>0.62454291487477553</v>
      </c>
      <c r="W168" s="866">
        <v>0.30466427840083249</v>
      </c>
      <c r="X168" s="866">
        <v>0.46015861599956942</v>
      </c>
      <c r="Y168" s="866">
        <v>0.22430828199993796</v>
      </c>
      <c r="Z168" s="866">
        <v>0.38261780002250562</v>
      </c>
      <c r="AA168" s="866">
        <v>0.18662841622652407</v>
      </c>
      <c r="AB168" s="866">
        <v>0.63557058332461192</v>
      </c>
      <c r="AC168" s="866">
        <v>0</v>
      </c>
      <c r="AD168" s="866">
        <v>0.2827168328638397</v>
      </c>
      <c r="AE168" s="866">
        <v>0.38554664767270397</v>
      </c>
      <c r="AF168" s="866">
        <v>0.11084669651414489</v>
      </c>
      <c r="AG168" s="866">
        <v>0.1107788322350204</v>
      </c>
      <c r="AH168" s="866">
        <v>0.26724317984640594</v>
      </c>
      <c r="AI168" s="866"/>
      <c r="AJ168" s="869">
        <v>0.62069162714588955</v>
      </c>
      <c r="AK168" s="852" t="s">
        <v>216</v>
      </c>
      <c r="AL168" s="849">
        <v>0.39724748233245361</v>
      </c>
      <c r="AM168" s="849">
        <v>0.349049006425597</v>
      </c>
      <c r="AN168" s="849">
        <v>0.75713116178964768</v>
      </c>
      <c r="AO168" s="849">
        <v>0.50719821375639829</v>
      </c>
      <c r="AP168" s="849">
        <v>0.79940171436743912</v>
      </c>
      <c r="AQ168" s="849">
        <v>0.50884312654797681</v>
      </c>
      <c r="AR168" s="849">
        <v>1.1787707597898949</v>
      </c>
      <c r="AS168" s="849">
        <v>0.49061336322861021</v>
      </c>
      <c r="AT168" s="849">
        <v>0.73424368051122013</v>
      </c>
      <c r="AU168" s="849">
        <v>0.62069162714588944</v>
      </c>
      <c r="AV168" s="914"/>
      <c r="AW168" s="1009"/>
      <c r="AX168" s="848"/>
      <c r="AY168" s="849"/>
      <c r="AZ168" s="849"/>
      <c r="BA168" s="849"/>
      <c r="BB168" s="849"/>
      <c r="BC168" s="849"/>
    </row>
    <row r="169" spans="1:55" s="947" customFormat="1" x14ac:dyDescent="0.25">
      <c r="A169" s="1041">
        <v>41893</v>
      </c>
      <c r="B169" s="1041"/>
      <c r="C169" s="1041"/>
      <c r="D169" s="529"/>
      <c r="E169" s="529"/>
      <c r="F169" s="529"/>
      <c r="G169" s="529"/>
      <c r="H169" s="529"/>
      <c r="I169" s="525"/>
      <c r="J169" s="531"/>
      <c r="K169" s="531"/>
      <c r="L169" s="529"/>
      <c r="M169" s="529"/>
      <c r="N169" s="527"/>
      <c r="R169" s="526"/>
      <c r="S169" s="534"/>
      <c r="T169" s="534"/>
      <c r="U169" s="534"/>
      <c r="V169" s="534"/>
      <c r="W169" s="534"/>
      <c r="X169" s="534"/>
      <c r="Y169" s="534"/>
      <c r="Z169" s="534"/>
      <c r="AA169" s="534"/>
      <c r="AB169" s="534"/>
      <c r="AC169" s="534"/>
      <c r="AD169" s="534"/>
      <c r="AE169" s="534"/>
      <c r="AF169" s="534"/>
      <c r="AG169" s="534"/>
      <c r="AH169" s="534"/>
      <c r="AI169" s="534"/>
      <c r="AJ169" s="534"/>
      <c r="AK169" s="534"/>
      <c r="AL169" s="534"/>
      <c r="AM169" s="534"/>
      <c r="AN169" s="534"/>
      <c r="AO169" s="534"/>
    </row>
    <row r="170" spans="1:55" s="947" customFormat="1" x14ac:dyDescent="0.25">
      <c r="A170" s="1042" t="s">
        <v>1</v>
      </c>
      <c r="B170" s="1042"/>
      <c r="C170" s="1007" t="s">
        <v>12</v>
      </c>
      <c r="D170" s="1007" t="s">
        <v>12</v>
      </c>
      <c r="E170" s="1007" t="s">
        <v>13</v>
      </c>
      <c r="F170" s="1007" t="s">
        <v>13</v>
      </c>
      <c r="G170" s="1007" t="s">
        <v>13</v>
      </c>
      <c r="H170" s="1007" t="s">
        <v>13</v>
      </c>
      <c r="I170" s="1007" t="s">
        <v>13</v>
      </c>
      <c r="J170" s="1007" t="s">
        <v>13</v>
      </c>
      <c r="K170" s="1007" t="s">
        <v>13</v>
      </c>
      <c r="L170" s="1007" t="s">
        <v>13</v>
      </c>
      <c r="M170" s="829" t="s">
        <v>2</v>
      </c>
      <c r="N170" s="1007" t="s">
        <v>2</v>
      </c>
      <c r="O170" s="1007" t="s">
        <v>2</v>
      </c>
      <c r="P170" s="1007" t="s">
        <v>2</v>
      </c>
      <c r="Q170" s="1007" t="s">
        <v>2</v>
      </c>
      <c r="R170" s="1007" t="s">
        <v>2</v>
      </c>
      <c r="S170" s="1007" t="s">
        <v>2</v>
      </c>
      <c r="T170" s="830" t="s">
        <v>183</v>
      </c>
      <c r="U170" s="830" t="s">
        <v>183</v>
      </c>
      <c r="V170" s="830" t="s">
        <v>2</v>
      </c>
      <c r="W170" s="830" t="s">
        <v>13</v>
      </c>
      <c r="X170" s="830" t="s">
        <v>13</v>
      </c>
      <c r="Y170" s="830" t="s">
        <v>2</v>
      </c>
      <c r="Z170" s="830" t="s">
        <v>13</v>
      </c>
      <c r="AA170" s="830" t="s">
        <v>2</v>
      </c>
      <c r="AB170" s="888" t="s">
        <v>2</v>
      </c>
      <c r="AC170" s="888" t="s">
        <v>2</v>
      </c>
      <c r="AD170" s="888" t="s">
        <v>13</v>
      </c>
      <c r="AE170" s="888" t="s">
        <v>12</v>
      </c>
      <c r="AF170" s="888" t="s">
        <v>13</v>
      </c>
      <c r="AG170" s="888" t="s">
        <v>12</v>
      </c>
      <c r="AH170" s="888" t="s">
        <v>13</v>
      </c>
      <c r="AI170" s="888" t="s">
        <v>13</v>
      </c>
      <c r="AJ170" s="831" t="s">
        <v>219</v>
      </c>
      <c r="AK170" s="1042" t="s">
        <v>0</v>
      </c>
      <c r="AL170" s="1042"/>
      <c r="AM170" s="833"/>
      <c r="AN170" s="833"/>
      <c r="AO170" s="833"/>
      <c r="AP170" s="833"/>
      <c r="AQ170" s="833"/>
      <c r="AR170" s="833"/>
      <c r="AS170" s="833"/>
      <c r="AT170" s="833"/>
      <c r="AU170" s="803"/>
      <c r="AV170" s="803"/>
      <c r="AW170" s="1042" t="s">
        <v>1</v>
      </c>
      <c r="AX170" s="1043"/>
      <c r="AY170" s="1007" t="s">
        <v>12</v>
      </c>
      <c r="AZ170" s="1044" t="s">
        <v>13</v>
      </c>
      <c r="BA170" s="1045"/>
      <c r="BB170" s="1044" t="s">
        <v>2</v>
      </c>
      <c r="BC170" s="1045"/>
    </row>
    <row r="171" spans="1:55" s="947" customFormat="1" x14ac:dyDescent="0.25">
      <c r="A171" s="1042" t="s">
        <v>0</v>
      </c>
      <c r="B171" s="1042"/>
      <c r="C171" s="834" t="s">
        <v>99</v>
      </c>
      <c r="D171" s="835" t="s">
        <v>100</v>
      </c>
      <c r="E171" s="835" t="s">
        <v>101</v>
      </c>
      <c r="F171" s="834" t="s">
        <v>102</v>
      </c>
      <c r="G171" s="835" t="s">
        <v>97</v>
      </c>
      <c r="H171" s="834" t="s">
        <v>104</v>
      </c>
      <c r="I171" s="835" t="s">
        <v>103</v>
      </c>
      <c r="J171" s="835" t="s">
        <v>178</v>
      </c>
      <c r="K171" s="835" t="s">
        <v>199</v>
      </c>
      <c r="L171" s="834" t="s">
        <v>206</v>
      </c>
      <c r="M171" s="834" t="s">
        <v>105</v>
      </c>
      <c r="N171" s="834" t="s">
        <v>107</v>
      </c>
      <c r="O171" s="835" t="s">
        <v>98</v>
      </c>
      <c r="P171" s="835" t="s">
        <v>106</v>
      </c>
      <c r="Q171" s="835" t="s">
        <v>179</v>
      </c>
      <c r="R171" s="835" t="s">
        <v>198</v>
      </c>
      <c r="S171" s="834" t="s">
        <v>207</v>
      </c>
      <c r="T171" s="834" t="s">
        <v>182</v>
      </c>
      <c r="U171" s="834" t="s">
        <v>184</v>
      </c>
      <c r="V171" s="835" t="s">
        <v>221</v>
      </c>
      <c r="W171" s="835" t="s">
        <v>222</v>
      </c>
      <c r="X171" s="835" t="s">
        <v>255</v>
      </c>
      <c r="Y171" s="835" t="s">
        <v>256</v>
      </c>
      <c r="Z171" s="835" t="s">
        <v>266</v>
      </c>
      <c r="AA171" s="835" t="s">
        <v>267</v>
      </c>
      <c r="AB171" s="889" t="s">
        <v>268</v>
      </c>
      <c r="AC171" s="889" t="s">
        <v>269</v>
      </c>
      <c r="AD171" s="889" t="s">
        <v>295</v>
      </c>
      <c r="AE171" s="889" t="s">
        <v>290</v>
      </c>
      <c r="AF171" s="946" t="s">
        <v>291</v>
      </c>
      <c r="AG171" s="946" t="s">
        <v>292</v>
      </c>
      <c r="AH171" s="889" t="s">
        <v>293</v>
      </c>
      <c r="AI171" s="889" t="s">
        <v>294</v>
      </c>
      <c r="AJ171" s="836"/>
      <c r="AK171" s="903" t="s">
        <v>1</v>
      </c>
      <c r="AL171" s="838" t="s">
        <v>257</v>
      </c>
      <c r="AM171" s="838" t="s">
        <v>258</v>
      </c>
      <c r="AN171" s="838" t="s">
        <v>259</v>
      </c>
      <c r="AO171" s="838" t="s">
        <v>260</v>
      </c>
      <c r="AP171" s="838" t="s">
        <v>261</v>
      </c>
      <c r="AQ171" s="838" t="s">
        <v>262</v>
      </c>
      <c r="AR171" s="838" t="s">
        <v>263</v>
      </c>
      <c r="AS171" s="904" t="s">
        <v>264</v>
      </c>
      <c r="AT171" s="904" t="s">
        <v>265</v>
      </c>
      <c r="AU171" s="988" t="s">
        <v>306</v>
      </c>
      <c r="AV171" s="988"/>
      <c r="AW171" s="1046" t="s">
        <v>0</v>
      </c>
      <c r="AX171" s="1043"/>
      <c r="AY171" s="834" t="s">
        <v>99</v>
      </c>
      <c r="AZ171" s="834" t="s">
        <v>104</v>
      </c>
      <c r="BA171" s="834" t="s">
        <v>206</v>
      </c>
      <c r="BB171" s="834" t="s">
        <v>107</v>
      </c>
      <c r="BC171" s="834" t="s">
        <v>207</v>
      </c>
    </row>
    <row r="172" spans="1:55" s="947" customFormat="1" ht="30" x14ac:dyDescent="0.25">
      <c r="A172" s="1047" t="s">
        <v>9</v>
      </c>
      <c r="B172" s="839" t="s">
        <v>4</v>
      </c>
      <c r="C172" s="840">
        <v>250018.4</v>
      </c>
      <c r="D172" s="840">
        <v>150516.70000000001</v>
      </c>
      <c r="E172" s="840">
        <v>150516.70000000001</v>
      </c>
      <c r="F172" s="840">
        <v>181998.8</v>
      </c>
      <c r="G172" s="840">
        <v>165765.70000000001</v>
      </c>
      <c r="H172" s="840">
        <v>389505</v>
      </c>
      <c r="I172" s="840">
        <v>171975.5</v>
      </c>
      <c r="J172" s="840">
        <v>166078</v>
      </c>
      <c r="K172" s="840">
        <v>124019.2</v>
      </c>
      <c r="L172" s="840">
        <v>224071.2</v>
      </c>
      <c r="M172" s="840">
        <v>193029.1</v>
      </c>
      <c r="N172" s="840">
        <v>438219.9</v>
      </c>
      <c r="O172" s="840">
        <v>83038.8</v>
      </c>
      <c r="P172" s="840">
        <v>276130.40000000002</v>
      </c>
      <c r="Q172" s="840">
        <v>83038.8</v>
      </c>
      <c r="R172" s="840">
        <v>191618.2</v>
      </c>
      <c r="S172" s="840">
        <v>262288.90000000002</v>
      </c>
      <c r="T172" s="840">
        <v>55151</v>
      </c>
      <c r="U172" s="840">
        <v>33090.5</v>
      </c>
      <c r="V172" s="840">
        <v>102196.5</v>
      </c>
      <c r="W172" s="840">
        <v>209496.5</v>
      </c>
      <c r="X172" s="840">
        <v>102196.5</v>
      </c>
      <c r="Y172" s="840">
        <v>209496.5</v>
      </c>
      <c r="Z172" s="840">
        <v>102196.5</v>
      </c>
      <c r="AA172" s="840">
        <v>209496.5</v>
      </c>
      <c r="AB172" s="840">
        <v>328695.2</v>
      </c>
      <c r="AC172" s="901">
        <v>190871.2</v>
      </c>
      <c r="AD172" s="901">
        <v>224071.2</v>
      </c>
      <c r="AE172" s="901">
        <v>224071.2</v>
      </c>
      <c r="AF172" s="901">
        <v>156194.1</v>
      </c>
      <c r="AG172" s="901">
        <v>156194.1</v>
      </c>
      <c r="AH172" s="901">
        <v>224066.1</v>
      </c>
      <c r="AI172" s="901"/>
      <c r="AJ172" s="840">
        <v>6029312.8999999985</v>
      </c>
      <c r="AK172" s="841" t="s">
        <v>4</v>
      </c>
      <c r="AL172" s="863">
        <v>474089.6</v>
      </c>
      <c r="AM172" s="863">
        <v>306710.80000000005</v>
      </c>
      <c r="AN172" s="863">
        <v>1243712.3</v>
      </c>
      <c r="AO172" s="863">
        <v>1348438.7000000002</v>
      </c>
      <c r="AP172" s="863">
        <v>1413104.3</v>
      </c>
      <c r="AQ172" s="863">
        <v>1155015.7</v>
      </c>
      <c r="AR172" s="863">
        <v>88241.5</v>
      </c>
      <c r="AS172" s="863">
        <v>2810165.2</v>
      </c>
      <c r="AT172" s="863">
        <v>3219147.7</v>
      </c>
      <c r="AU172" s="863">
        <v>6029312.9000000004</v>
      </c>
      <c r="AV172" s="989"/>
      <c r="AW172" s="875" t="s">
        <v>194</v>
      </c>
      <c r="AX172" s="872" t="s">
        <v>4</v>
      </c>
      <c r="AY172" s="840">
        <v>143393</v>
      </c>
      <c r="AZ172" s="840">
        <v>132132</v>
      </c>
      <c r="BA172" s="840">
        <v>83196.100000000006</v>
      </c>
      <c r="BB172" s="840">
        <v>132132.20000000001</v>
      </c>
      <c r="BC172" s="840">
        <v>83196.100000000006</v>
      </c>
    </row>
    <row r="173" spans="1:55" s="947" customFormat="1" x14ac:dyDescent="0.25">
      <c r="A173" s="1047"/>
      <c r="B173" s="844" t="s">
        <v>5</v>
      </c>
      <c r="C173" s="583">
        <v>53429.8</v>
      </c>
      <c r="D173" s="583">
        <v>86774.9</v>
      </c>
      <c r="E173" s="583">
        <v>86522.2</v>
      </c>
      <c r="F173" s="583">
        <v>102138.3</v>
      </c>
      <c r="G173" s="583">
        <v>118323.7</v>
      </c>
      <c r="H173" s="583">
        <v>205680.2</v>
      </c>
      <c r="I173" s="583">
        <v>95623.6</v>
      </c>
      <c r="J173" s="583">
        <v>51989.7</v>
      </c>
      <c r="K173" s="583">
        <v>96892.800000000003</v>
      </c>
      <c r="L173" s="583">
        <v>87100.800000000003</v>
      </c>
      <c r="M173" s="583">
        <v>81117.3</v>
      </c>
      <c r="N173" s="583">
        <v>211105.1</v>
      </c>
      <c r="O173" s="583">
        <v>59675.4</v>
      </c>
      <c r="P173" s="583">
        <v>180238.9</v>
      </c>
      <c r="Q173" s="583">
        <v>26865.9</v>
      </c>
      <c r="R173" s="583">
        <v>149654.70000000001</v>
      </c>
      <c r="S173" s="583">
        <v>176148.1</v>
      </c>
      <c r="T173" s="583">
        <v>17841</v>
      </c>
      <c r="U173" s="583">
        <v>11553.4</v>
      </c>
      <c r="V173" s="583">
        <v>15488.5</v>
      </c>
      <c r="W173" s="583">
        <v>30976.7</v>
      </c>
      <c r="X173" s="583">
        <v>26682.400000000001</v>
      </c>
      <c r="Y173" s="583">
        <v>52457.4</v>
      </c>
      <c r="Z173" s="583">
        <v>7923.2</v>
      </c>
      <c r="AA173" s="583">
        <v>15844.4</v>
      </c>
      <c r="AB173" s="583">
        <v>96367.4</v>
      </c>
      <c r="AC173" s="583">
        <v>4.9000000000000004</v>
      </c>
      <c r="AD173" s="583">
        <v>17685.5</v>
      </c>
      <c r="AE173" s="583">
        <v>58802</v>
      </c>
      <c r="AF173" s="583">
        <v>12904</v>
      </c>
      <c r="AG173" s="583">
        <v>12903.9</v>
      </c>
      <c r="AH173" s="583">
        <v>6399</v>
      </c>
      <c r="AI173" s="583"/>
      <c r="AJ173" s="845">
        <v>2253115.0999999992</v>
      </c>
      <c r="AK173" s="846" t="s">
        <v>5</v>
      </c>
      <c r="AL173" s="863">
        <v>112231.8</v>
      </c>
      <c r="AM173" s="863">
        <v>99678.799999999988</v>
      </c>
      <c r="AN173" s="863">
        <v>419003.8</v>
      </c>
      <c r="AO173" s="863">
        <v>527838.30000000005</v>
      </c>
      <c r="AP173" s="863">
        <v>564742.80000000005</v>
      </c>
      <c r="AQ173" s="863">
        <v>500225.20000000007</v>
      </c>
      <c r="AR173" s="863">
        <v>29394.400000000001</v>
      </c>
      <c r="AS173" s="863">
        <v>1127742.3000000003</v>
      </c>
      <c r="AT173" s="863">
        <v>1125372.7999999998</v>
      </c>
      <c r="AU173" s="863">
        <v>2253115.1</v>
      </c>
      <c r="AV173" s="990"/>
      <c r="AW173" s="876"/>
      <c r="AX173" s="873" t="s">
        <v>5</v>
      </c>
      <c r="AY173" s="583">
        <v>51964.9</v>
      </c>
      <c r="AZ173" s="583">
        <v>58542</v>
      </c>
      <c r="BA173" s="583">
        <v>2519</v>
      </c>
      <c r="BB173" s="583">
        <v>70731</v>
      </c>
      <c r="BC173" s="583">
        <v>31444.9</v>
      </c>
    </row>
    <row r="174" spans="1:55" s="947" customFormat="1" x14ac:dyDescent="0.25">
      <c r="A174" s="1047"/>
      <c r="B174" s="848" t="s">
        <v>3</v>
      </c>
      <c r="C174" s="849">
        <v>0.21370347142450316</v>
      </c>
      <c r="D174" s="849">
        <v>0.57651343671499566</v>
      </c>
      <c r="E174" s="849">
        <v>0.57483455324226473</v>
      </c>
      <c r="F174" s="850">
        <v>0.56120315079000527</v>
      </c>
      <c r="G174" s="850">
        <v>0.71380086471447346</v>
      </c>
      <c r="H174" s="849">
        <v>0.52805535230613221</v>
      </c>
      <c r="I174" s="850">
        <v>0.55603036479033352</v>
      </c>
      <c r="J174" s="849">
        <v>0.31304387095220315</v>
      </c>
      <c r="K174" s="850">
        <v>0.78127257714934462</v>
      </c>
      <c r="L174" s="849">
        <v>0.38871929993680582</v>
      </c>
      <c r="M174" s="850">
        <v>0.42023352955590632</v>
      </c>
      <c r="N174" s="849">
        <v>0.48173325766356112</v>
      </c>
      <c r="O174" s="850">
        <v>0.71864477810372984</v>
      </c>
      <c r="P174" s="850">
        <v>0.65273110095809794</v>
      </c>
      <c r="Q174" s="849">
        <v>0.32353429962860736</v>
      </c>
      <c r="R174" s="850">
        <v>0.78100462273416615</v>
      </c>
      <c r="S174" s="849">
        <v>0.67158045956195622</v>
      </c>
      <c r="T174" s="849">
        <v>0.32349368098493225</v>
      </c>
      <c r="U174" s="849">
        <v>0.349145525150723</v>
      </c>
      <c r="V174" s="849">
        <v>0.15155607090262388</v>
      </c>
      <c r="W174" s="849">
        <v>0.14786261345654939</v>
      </c>
      <c r="X174" s="849">
        <v>0.26108917624380484</v>
      </c>
      <c r="Y174" s="849">
        <v>0.25039750067423561</v>
      </c>
      <c r="Z174" s="849">
        <v>7.7529073891963035E-2</v>
      </c>
      <c r="AA174" s="849">
        <v>7.5630857794760295E-2</v>
      </c>
      <c r="AB174" s="849">
        <v>0.29318164670491076</v>
      </c>
      <c r="AC174" s="849">
        <v>2.5671761900171424E-5</v>
      </c>
      <c r="AD174" s="849">
        <v>7.8928037159617118E-2</v>
      </c>
      <c r="AE174" s="849">
        <v>0.26242551474709824</v>
      </c>
      <c r="AF174" s="849">
        <v>8.2615156398353068E-2</v>
      </c>
      <c r="AG174" s="849">
        <v>8.2614516169304722E-2</v>
      </c>
      <c r="AH174" s="849">
        <v>2.855853696743952E-2</v>
      </c>
      <c r="AI174" s="849"/>
      <c r="AJ174" s="851">
        <v>0.37369350991884992</v>
      </c>
      <c r="AK174" s="852" t="s">
        <v>3</v>
      </c>
      <c r="AL174" s="849">
        <v>0.23673120017819418</v>
      </c>
      <c r="AM174" s="849">
        <v>0.324992794515224</v>
      </c>
      <c r="AN174" s="849">
        <v>0.33689768928071223</v>
      </c>
      <c r="AO174" s="849">
        <v>0.39144404562105789</v>
      </c>
      <c r="AP174" s="849">
        <v>0.39964693335092111</v>
      </c>
      <c r="AQ174" s="849">
        <v>0.43308952423763597</v>
      </c>
      <c r="AR174" s="849">
        <v>0.33311310437832542</v>
      </c>
      <c r="AS174" s="849">
        <v>0.40130818643686861</v>
      </c>
      <c r="AT174" s="849">
        <v>0.34958719042310477</v>
      </c>
      <c r="AU174" s="849">
        <v>0.37369350991884998</v>
      </c>
      <c r="AV174" s="991"/>
      <c r="AW174" s="876"/>
      <c r="AX174" s="874" t="s">
        <v>3</v>
      </c>
      <c r="AY174" s="849">
        <v>0.36239495651810061</v>
      </c>
      <c r="AZ174" s="849">
        <v>0.44305694305694304</v>
      </c>
      <c r="BA174" s="849">
        <v>3.0277861582453984E-2</v>
      </c>
      <c r="BB174" s="849">
        <v>0.53530479322981073</v>
      </c>
      <c r="BC174" s="849">
        <v>0.37796122654787906</v>
      </c>
    </row>
    <row r="175" spans="1:55" s="947" customFormat="1" ht="30" x14ac:dyDescent="0.25">
      <c r="A175" s="1040" t="s">
        <v>6</v>
      </c>
      <c r="B175" s="854" t="s">
        <v>7</v>
      </c>
      <c r="C175" s="840">
        <v>3713</v>
      </c>
      <c r="D175" s="840">
        <v>3620</v>
      </c>
      <c r="E175" s="840">
        <v>3560</v>
      </c>
      <c r="F175" s="840">
        <v>6595</v>
      </c>
      <c r="G175" s="840">
        <v>8432</v>
      </c>
      <c r="H175" s="840">
        <v>15082</v>
      </c>
      <c r="I175" s="840">
        <v>7076</v>
      </c>
      <c r="J175" s="840">
        <v>9599</v>
      </c>
      <c r="K175" s="840">
        <v>7072</v>
      </c>
      <c r="L175" s="840">
        <v>9334</v>
      </c>
      <c r="M175" s="840">
        <v>5450</v>
      </c>
      <c r="N175" s="840">
        <v>13354</v>
      </c>
      <c r="O175" s="840">
        <v>4357</v>
      </c>
      <c r="P175" s="840">
        <v>8466</v>
      </c>
      <c r="Q175" s="840">
        <v>4799</v>
      </c>
      <c r="R175" s="840">
        <v>9711</v>
      </c>
      <c r="S175" s="840">
        <v>11560</v>
      </c>
      <c r="T175" s="855">
        <v>2480</v>
      </c>
      <c r="U175" s="855">
        <v>1570</v>
      </c>
      <c r="V175" s="840">
        <v>3999</v>
      </c>
      <c r="W175" s="840">
        <v>7999</v>
      </c>
      <c r="X175" s="840">
        <v>3999</v>
      </c>
      <c r="Y175" s="840">
        <v>7999</v>
      </c>
      <c r="Z175" s="840">
        <v>3999</v>
      </c>
      <c r="AA175" s="840">
        <v>7999</v>
      </c>
      <c r="AB175" s="840">
        <v>11999</v>
      </c>
      <c r="AC175" s="840">
        <v>6400</v>
      </c>
      <c r="AD175" s="840">
        <v>6399</v>
      </c>
      <c r="AE175" s="840">
        <v>6399</v>
      </c>
      <c r="AF175" s="840">
        <v>4800</v>
      </c>
      <c r="AG175" s="840">
        <v>4800</v>
      </c>
      <c r="AH175" s="840">
        <v>6400</v>
      </c>
      <c r="AI175" s="840"/>
      <c r="AJ175" s="840">
        <v>219021</v>
      </c>
      <c r="AK175" s="856" t="s">
        <v>7</v>
      </c>
      <c r="AL175" s="858">
        <v>10112</v>
      </c>
      <c r="AM175" s="858">
        <v>8420</v>
      </c>
      <c r="AN175" s="858">
        <v>43810</v>
      </c>
      <c r="AO175" s="858">
        <v>56536</v>
      </c>
      <c r="AP175" s="858">
        <v>48763</v>
      </c>
      <c r="AQ175" s="858">
        <v>47330</v>
      </c>
      <c r="AR175" s="858">
        <v>4050</v>
      </c>
      <c r="AS175" s="858">
        <v>112286</v>
      </c>
      <c r="AT175" s="858">
        <v>106735</v>
      </c>
      <c r="AU175" s="858">
        <v>219021</v>
      </c>
      <c r="AV175" s="657"/>
      <c r="AW175" s="880" t="s">
        <v>190</v>
      </c>
      <c r="AX175" s="879" t="s">
        <v>4</v>
      </c>
      <c r="AY175" s="857">
        <v>9191.7999999999993</v>
      </c>
      <c r="AZ175" s="857">
        <v>13787.7</v>
      </c>
      <c r="BA175" s="857">
        <v>8804.7999999999993</v>
      </c>
      <c r="BB175" s="857">
        <v>13787.7</v>
      </c>
      <c r="BC175" s="857">
        <v>8804.7999999999993</v>
      </c>
    </row>
    <row r="176" spans="1:55" s="947" customFormat="1" x14ac:dyDescent="0.25">
      <c r="A176" s="1040"/>
      <c r="B176" s="839" t="s">
        <v>11</v>
      </c>
      <c r="C176" s="858">
        <v>125191.22099999999</v>
      </c>
      <c r="D176" s="858">
        <v>122055.54</v>
      </c>
      <c r="E176" s="858">
        <v>120032.51999999999</v>
      </c>
      <c r="F176" s="858">
        <v>222363.61499999999</v>
      </c>
      <c r="G176" s="858">
        <v>284301.74400000001</v>
      </c>
      <c r="H176" s="858">
        <v>508519.79399999999</v>
      </c>
      <c r="I176" s="858">
        <v>238581.492</v>
      </c>
      <c r="J176" s="858">
        <v>323649.48300000001</v>
      </c>
      <c r="K176" s="858">
        <v>238446.62399999998</v>
      </c>
      <c r="L176" s="858">
        <v>314714.478</v>
      </c>
      <c r="M176" s="858">
        <v>183757.65</v>
      </c>
      <c r="N176" s="858">
        <v>450256.81799999997</v>
      </c>
      <c r="O176" s="858">
        <v>146904.96899999998</v>
      </c>
      <c r="P176" s="858">
        <v>285448.12199999997</v>
      </c>
      <c r="Q176" s="858">
        <v>161807.883</v>
      </c>
      <c r="R176" s="858">
        <v>327425.78700000001</v>
      </c>
      <c r="S176" s="858">
        <v>389768.51999999996</v>
      </c>
      <c r="T176" s="858">
        <v>83618.16</v>
      </c>
      <c r="U176" s="858">
        <v>52935.689999999995</v>
      </c>
      <c r="V176" s="858">
        <v>134834.283</v>
      </c>
      <c r="W176" s="858">
        <v>269702.283</v>
      </c>
      <c r="X176" s="858">
        <v>134834.283</v>
      </c>
      <c r="Y176" s="858">
        <v>269702.283</v>
      </c>
      <c r="Z176" s="858">
        <v>134834.283</v>
      </c>
      <c r="AA176" s="858">
        <v>269702.283</v>
      </c>
      <c r="AB176" s="858">
        <v>404570.283</v>
      </c>
      <c r="AC176" s="858">
        <v>215788.79999999999</v>
      </c>
      <c r="AD176" s="858">
        <v>215755.08299999998</v>
      </c>
      <c r="AE176" s="858">
        <v>215755.08299999998</v>
      </c>
      <c r="AF176" s="858">
        <v>161841.60000000001</v>
      </c>
      <c r="AG176" s="858">
        <v>161841.60000000001</v>
      </c>
      <c r="AH176" s="858">
        <v>215788.79999999999</v>
      </c>
      <c r="AI176" s="858"/>
      <c r="AJ176" s="859">
        <v>7384731.0569999972</v>
      </c>
      <c r="AK176" s="841" t="s">
        <v>11</v>
      </c>
      <c r="AL176" s="858">
        <v>340946.304</v>
      </c>
      <c r="AM176" s="858">
        <v>283897.14</v>
      </c>
      <c r="AN176" s="858">
        <v>1477141.77</v>
      </c>
      <c r="AO176" s="858">
        <v>1906224.3119999999</v>
      </c>
      <c r="AP176" s="858">
        <v>1644142.071</v>
      </c>
      <c r="AQ176" s="858">
        <v>1595825.6099999999</v>
      </c>
      <c r="AR176" s="858">
        <v>136553.85</v>
      </c>
      <c r="AS176" s="858">
        <v>3785947.0619999999</v>
      </c>
      <c r="AT176" s="858">
        <v>3598783.9949999996</v>
      </c>
      <c r="AU176" s="858">
        <v>7384731.057</v>
      </c>
      <c r="AV176" s="992"/>
      <c r="AW176" s="876"/>
      <c r="AX176" s="873" t="s">
        <v>5</v>
      </c>
      <c r="AY176" s="583">
        <v>7975.5</v>
      </c>
      <c r="AZ176" s="583">
        <v>13649</v>
      </c>
      <c r="BA176" s="583">
        <v>1289.9000000000001</v>
      </c>
      <c r="BB176" s="583">
        <v>13642</v>
      </c>
      <c r="BC176" s="583">
        <v>5483.9</v>
      </c>
    </row>
    <row r="177" spans="1:55" s="947" customFormat="1" x14ac:dyDescent="0.25">
      <c r="A177" s="1040"/>
      <c r="B177" s="839" t="s">
        <v>79</v>
      </c>
      <c r="C177" s="858">
        <v>164000</v>
      </c>
      <c r="D177" s="858">
        <v>109880</v>
      </c>
      <c r="E177" s="858">
        <v>109880</v>
      </c>
      <c r="F177" s="858">
        <v>328000</v>
      </c>
      <c r="G177" s="858">
        <v>330905</v>
      </c>
      <c r="H177" s="858">
        <v>264264</v>
      </c>
      <c r="I177" s="858">
        <v>242663.6</v>
      </c>
      <c r="J177" s="858">
        <v>328000</v>
      </c>
      <c r="K177" s="858">
        <v>328000</v>
      </c>
      <c r="L177" s="858">
        <v>328000</v>
      </c>
      <c r="M177" s="858">
        <v>328000</v>
      </c>
      <c r="N177" s="858">
        <v>264264.40000000002</v>
      </c>
      <c r="O177" s="858">
        <v>328000</v>
      </c>
      <c r="P177" s="858">
        <v>352965.4</v>
      </c>
      <c r="Q177" s="858">
        <v>328000</v>
      </c>
      <c r="R177" s="858">
        <v>328000</v>
      </c>
      <c r="S177" s="858">
        <v>328000</v>
      </c>
      <c r="T177" s="858">
        <v>110302</v>
      </c>
      <c r="U177" s="858">
        <v>66181</v>
      </c>
      <c r="V177" s="858">
        <v>204393</v>
      </c>
      <c r="W177" s="858">
        <v>418993</v>
      </c>
      <c r="X177" s="858">
        <v>204393</v>
      </c>
      <c r="Y177" s="858">
        <v>418993</v>
      </c>
      <c r="Z177" s="858">
        <v>204393</v>
      </c>
      <c r="AA177" s="858">
        <v>418993</v>
      </c>
      <c r="AB177" s="858">
        <v>657390.4</v>
      </c>
      <c r="AC177" s="858">
        <v>381742.4</v>
      </c>
      <c r="AD177" s="858">
        <v>448142.4</v>
      </c>
      <c r="AE177" s="858">
        <v>448142.4</v>
      </c>
      <c r="AF177" s="858">
        <v>312388.2</v>
      </c>
      <c r="AG177" s="858">
        <v>312388.2</v>
      </c>
      <c r="AH177" s="858">
        <v>448132.2</v>
      </c>
      <c r="AI177" s="858"/>
      <c r="AJ177" s="859">
        <v>9845789.5999999996</v>
      </c>
      <c r="AK177" s="841" t="s">
        <v>79</v>
      </c>
      <c r="AL177" s="858">
        <v>948179.2</v>
      </c>
      <c r="AM177" s="858">
        <v>613421.60000000009</v>
      </c>
      <c r="AN177" s="858">
        <v>2487424.6</v>
      </c>
      <c r="AO177" s="858">
        <v>2696877.4000000004</v>
      </c>
      <c r="AP177" s="858">
        <v>2826208.6</v>
      </c>
      <c r="AQ177" s="858">
        <v>2310031.4</v>
      </c>
      <c r="AR177" s="858">
        <v>176483</v>
      </c>
      <c r="AS177" s="858">
        <v>5620330.4000000004</v>
      </c>
      <c r="AT177" s="858">
        <v>6438295.4000000004</v>
      </c>
      <c r="AU177" s="858">
        <v>12058625.800000001</v>
      </c>
      <c r="AV177" s="993"/>
      <c r="AW177" s="877"/>
      <c r="AX177" s="874" t="s">
        <v>3</v>
      </c>
      <c r="AY177" s="849">
        <v>0.86767553689157739</v>
      </c>
      <c r="AZ177" s="849">
        <v>0.98994030911609621</v>
      </c>
      <c r="BA177" s="849">
        <v>0.14649963656187537</v>
      </c>
      <c r="BB177" s="849">
        <v>0.98943261022505558</v>
      </c>
      <c r="BC177" s="849">
        <v>0.62283072869343992</v>
      </c>
    </row>
    <row r="178" spans="1:55" s="947" customFormat="1" ht="45" x14ac:dyDescent="0.25">
      <c r="A178" s="1040"/>
      <c r="B178" s="844" t="s">
        <v>8</v>
      </c>
      <c r="C178" s="861">
        <v>3319</v>
      </c>
      <c r="D178" s="861">
        <v>2693</v>
      </c>
      <c r="E178" s="861">
        <v>2636</v>
      </c>
      <c r="F178" s="861">
        <v>4994</v>
      </c>
      <c r="G178" s="861">
        <v>3366</v>
      </c>
      <c r="H178" s="861">
        <v>12575</v>
      </c>
      <c r="I178" s="861">
        <v>5885</v>
      </c>
      <c r="J178" s="861">
        <v>1380</v>
      </c>
      <c r="K178" s="861">
        <v>6088</v>
      </c>
      <c r="L178" s="861">
        <v>6621</v>
      </c>
      <c r="M178" s="861">
        <v>4044</v>
      </c>
      <c r="N178" s="861">
        <v>12287</v>
      </c>
      <c r="O178" s="861">
        <v>3436</v>
      </c>
      <c r="P178" s="861">
        <v>6906</v>
      </c>
      <c r="Q178" s="861">
        <v>1828</v>
      </c>
      <c r="R178" s="861">
        <v>4649</v>
      </c>
      <c r="S178" s="861">
        <v>9803</v>
      </c>
      <c r="T178" s="598">
        <v>1888</v>
      </c>
      <c r="U178" s="598">
        <v>1197</v>
      </c>
      <c r="V178" s="861">
        <v>1892</v>
      </c>
      <c r="W178" s="861">
        <v>2524</v>
      </c>
      <c r="X178" s="861">
        <v>1393</v>
      </c>
      <c r="Y178" s="861">
        <v>1701</v>
      </c>
      <c r="Z178" s="861">
        <v>1466</v>
      </c>
      <c r="AA178" s="861">
        <v>2516</v>
      </c>
      <c r="AB178" s="861">
        <v>5876</v>
      </c>
      <c r="AC178" s="861">
        <v>0</v>
      </c>
      <c r="AD178" s="861">
        <v>1708</v>
      </c>
      <c r="AE178" s="861">
        <v>2336</v>
      </c>
      <c r="AF178" s="861">
        <v>487</v>
      </c>
      <c r="AG178" s="861">
        <v>487</v>
      </c>
      <c r="AH178" s="861">
        <v>6400</v>
      </c>
      <c r="AI178" s="861"/>
      <c r="AJ178" s="840">
        <v>124381</v>
      </c>
      <c r="AK178" s="846" t="s">
        <v>8</v>
      </c>
      <c r="AL178" s="858">
        <v>5655</v>
      </c>
      <c r="AM178" s="858">
        <v>3180</v>
      </c>
      <c r="AN178" s="858">
        <v>32298</v>
      </c>
      <c r="AO178" s="858">
        <v>25225</v>
      </c>
      <c r="AP178" s="858">
        <v>32010</v>
      </c>
      <c r="AQ178" s="858">
        <v>22928</v>
      </c>
      <c r="AR178" s="858">
        <v>3085</v>
      </c>
      <c r="AS178" s="858">
        <v>51333</v>
      </c>
      <c r="AT178" s="858">
        <v>73048</v>
      </c>
      <c r="AU178" s="858">
        <v>124381</v>
      </c>
      <c r="AV178" s="993"/>
      <c r="AW178" s="877" t="s">
        <v>191</v>
      </c>
      <c r="AX178" s="839" t="s">
        <v>4</v>
      </c>
      <c r="AY178" s="840">
        <v>97433.600000000006</v>
      </c>
      <c r="AZ178" s="840">
        <v>243584.4</v>
      </c>
      <c r="BA178" s="840">
        <v>132070.29999999999</v>
      </c>
      <c r="BB178" s="840">
        <v>292299.3</v>
      </c>
      <c r="BC178" s="840">
        <v>132070.39999999999</v>
      </c>
    </row>
    <row r="179" spans="1:55" s="947" customFormat="1" x14ac:dyDescent="0.25">
      <c r="A179" s="1040"/>
      <c r="B179" s="839" t="s">
        <v>77</v>
      </c>
      <c r="C179" s="858">
        <v>111906.723</v>
      </c>
      <c r="D179" s="858">
        <v>90799.880999999994</v>
      </c>
      <c r="E179" s="858">
        <v>88878.012000000002</v>
      </c>
      <c r="F179" s="858">
        <v>168382.698</v>
      </c>
      <c r="G179" s="858">
        <v>113491.42199999999</v>
      </c>
      <c r="H179" s="858">
        <v>423991.27499999997</v>
      </c>
      <c r="I179" s="858">
        <v>198424.54499999998</v>
      </c>
      <c r="J179" s="858">
        <v>46529.46</v>
      </c>
      <c r="K179" s="858">
        <v>205269.09599999999</v>
      </c>
      <c r="L179" s="858">
        <v>223240.25699999998</v>
      </c>
      <c r="M179" s="858">
        <v>136351.54799999998</v>
      </c>
      <c r="N179" s="858">
        <v>414280.77899999998</v>
      </c>
      <c r="O179" s="858">
        <v>115851.61199999999</v>
      </c>
      <c r="P179" s="858">
        <v>144713.364</v>
      </c>
      <c r="Q179" s="858">
        <v>61634.675999999999</v>
      </c>
      <c r="R179" s="858">
        <v>156750.33299999998</v>
      </c>
      <c r="S179" s="858">
        <v>330527.75099999999</v>
      </c>
      <c r="T179" s="863">
        <v>63657.695999999996</v>
      </c>
      <c r="U179" s="863">
        <v>40359.248999999996</v>
      </c>
      <c r="V179" s="863">
        <v>63792.563999999998</v>
      </c>
      <c r="W179" s="863">
        <v>85101.707999999999</v>
      </c>
      <c r="X179" s="863">
        <v>46967.780999999995</v>
      </c>
      <c r="Y179" s="863">
        <v>57352.616999999998</v>
      </c>
      <c r="Z179" s="863">
        <v>49429.121999999996</v>
      </c>
      <c r="AA179" s="863">
        <v>84831.971999999994</v>
      </c>
      <c r="AB179" s="863">
        <v>198121.092</v>
      </c>
      <c r="AC179" s="863">
        <v>0</v>
      </c>
      <c r="AD179" s="863">
        <v>57588.635999999999</v>
      </c>
      <c r="AE179" s="863">
        <v>78762.911999999997</v>
      </c>
      <c r="AF179" s="863">
        <v>16420.179</v>
      </c>
      <c r="AG179" s="863">
        <v>16420.179</v>
      </c>
      <c r="AH179" s="863">
        <v>215788.79999999999</v>
      </c>
      <c r="AI179" s="863"/>
      <c r="AJ179" s="864">
        <v>4105617.9389999998</v>
      </c>
      <c r="AK179" s="841" t="s">
        <v>77</v>
      </c>
      <c r="AL179" s="858">
        <v>190669.63499999998</v>
      </c>
      <c r="AM179" s="858">
        <v>107220.06</v>
      </c>
      <c r="AN179" s="858">
        <v>1088991.666</v>
      </c>
      <c r="AO179" s="858">
        <v>850511.32499999995</v>
      </c>
      <c r="AP179" s="858">
        <v>1079281.17</v>
      </c>
      <c r="AQ179" s="858">
        <v>773063.37599999993</v>
      </c>
      <c r="AR179" s="858">
        <v>104016.94499999999</v>
      </c>
      <c r="AS179" s="858">
        <v>1730794.7609999999</v>
      </c>
      <c r="AT179" s="858">
        <v>2462959.4159999997</v>
      </c>
      <c r="AU179" s="858">
        <v>4193754.1769999997</v>
      </c>
      <c r="AV179" s="915"/>
      <c r="AW179" s="1006"/>
      <c r="AX179" s="844" t="s">
        <v>5</v>
      </c>
      <c r="AY179" s="583">
        <v>38973.199999999997</v>
      </c>
      <c r="AZ179" s="583">
        <v>124350.5</v>
      </c>
      <c r="BA179" s="583">
        <v>3817.1</v>
      </c>
      <c r="BB179" s="583">
        <v>109009</v>
      </c>
      <c r="BC179" s="583">
        <v>33401</v>
      </c>
    </row>
    <row r="180" spans="1:55" s="947" customFormat="1" x14ac:dyDescent="0.25">
      <c r="A180" s="1040"/>
      <c r="B180" s="848" t="s">
        <v>217</v>
      </c>
      <c r="C180" s="849">
        <v>0.44759394908534733</v>
      </c>
      <c r="D180" s="849">
        <v>0.60325452923164002</v>
      </c>
      <c r="E180" s="866">
        <v>0.59048605237824103</v>
      </c>
      <c r="F180" s="866">
        <v>0.92518575946654602</v>
      </c>
      <c r="G180" s="866">
        <v>0.68464961086642162</v>
      </c>
      <c r="H180" s="866">
        <v>1.0885387222243617</v>
      </c>
      <c r="I180" s="866">
        <v>1.1537954243482356</v>
      </c>
      <c r="J180" s="866">
        <v>0.2801663073977288</v>
      </c>
      <c r="K180" s="866">
        <v>1.6551396557952316</v>
      </c>
      <c r="L180" s="866">
        <v>0.99629161177340042</v>
      </c>
      <c r="M180" s="866">
        <v>0.70637819893477194</v>
      </c>
      <c r="N180" s="866">
        <v>0.94537189890281104</v>
      </c>
      <c r="O180" s="866">
        <v>1.3951503634445583</v>
      </c>
      <c r="P180" s="866">
        <v>0.52407617560399</v>
      </c>
      <c r="Q180" s="866">
        <v>0.74223948322952638</v>
      </c>
      <c r="R180" s="866">
        <v>0.81803468042179694</v>
      </c>
      <c r="S180" s="866">
        <v>1.2601667512426182</v>
      </c>
      <c r="T180" s="849">
        <v>1.1542437308480353</v>
      </c>
      <c r="U180" s="849">
        <v>1.2196627128632083</v>
      </c>
      <c r="V180" s="849">
        <v>0.6242147627364929</v>
      </c>
      <c r="W180" s="849">
        <v>0.40622018983610703</v>
      </c>
      <c r="X180" s="849">
        <v>0.45958306791328468</v>
      </c>
      <c r="Y180" s="849">
        <v>0.27376408197750318</v>
      </c>
      <c r="Z180" s="849">
        <v>0.48366746414994638</v>
      </c>
      <c r="AA180" s="849">
        <v>0.4049326456527913</v>
      </c>
      <c r="AB180" s="849">
        <v>0.60275018314840012</v>
      </c>
      <c r="AC180" s="849">
        <v>0</v>
      </c>
      <c r="AD180" s="849">
        <v>0.25701043239827337</v>
      </c>
      <c r="AE180" s="849">
        <v>0.35150841339717015</v>
      </c>
      <c r="AF180" s="849">
        <v>0.10512675574813644</v>
      </c>
      <c r="AG180" s="849">
        <v>0.10512675574813644</v>
      </c>
      <c r="AH180" s="849">
        <v>0.96305866884816571</v>
      </c>
      <c r="AI180" s="849"/>
      <c r="AJ180" s="851">
        <v>0.68094292120748967</v>
      </c>
      <c r="AK180" s="852" t="s">
        <v>217</v>
      </c>
      <c r="AL180" s="849">
        <v>0.40218058991380529</v>
      </c>
      <c r="AM180" s="849">
        <v>0.34958032126680894</v>
      </c>
      <c r="AN180" s="849">
        <v>0.87559772947489534</v>
      </c>
      <c r="AO180" s="849">
        <v>0.63073784889146223</v>
      </c>
      <c r="AP180" s="849">
        <v>0.76376610700285885</v>
      </c>
      <c r="AQ180" s="849">
        <v>0.66930984228179757</v>
      </c>
      <c r="AR180" s="849">
        <v>1.1787758027685384</v>
      </c>
      <c r="AS180" s="849">
        <v>0.61590498700930463</v>
      </c>
      <c r="AT180" s="849">
        <v>0.76509674160026875</v>
      </c>
      <c r="AU180" s="849">
        <v>0.69556087842115466</v>
      </c>
      <c r="AV180" s="914"/>
      <c r="AW180" s="1006"/>
      <c r="AX180" s="848" t="s">
        <v>3</v>
      </c>
      <c r="AY180" s="849">
        <v>0.39999753678402516</v>
      </c>
      <c r="AZ180" s="849">
        <v>0.51050272513346506</v>
      </c>
      <c r="BA180" s="849">
        <v>2.8902031720984961E-2</v>
      </c>
      <c r="BB180" s="849">
        <v>0.37293623351133581</v>
      </c>
      <c r="BC180" s="849">
        <v>0.25290299718937781</v>
      </c>
    </row>
    <row r="181" spans="1:55" s="947" customFormat="1" x14ac:dyDescent="0.25">
      <c r="A181" s="1006"/>
      <c r="B181" s="848" t="s">
        <v>218</v>
      </c>
      <c r="C181" s="598">
        <v>101941</v>
      </c>
      <c r="D181" s="598">
        <v>90394.7</v>
      </c>
      <c r="E181" s="598">
        <v>88472.9</v>
      </c>
      <c r="F181" s="598">
        <v>166832</v>
      </c>
      <c r="G181" s="598">
        <v>111205</v>
      </c>
      <c r="H181" s="598">
        <v>427192</v>
      </c>
      <c r="I181" s="598">
        <v>123558</v>
      </c>
      <c r="J181" s="598">
        <v>46570.3</v>
      </c>
      <c r="K181" s="598">
        <v>146851</v>
      </c>
      <c r="L181" s="598">
        <v>223628</v>
      </c>
      <c r="M181" s="598">
        <v>132532</v>
      </c>
      <c r="N181" s="598">
        <v>415440</v>
      </c>
      <c r="O181" s="598">
        <v>115895</v>
      </c>
      <c r="P181" s="598">
        <v>118856</v>
      </c>
      <c r="Q181" s="598">
        <v>61685.9</v>
      </c>
      <c r="R181" s="598">
        <v>142988</v>
      </c>
      <c r="S181" s="598">
        <v>330712</v>
      </c>
      <c r="T181" s="598">
        <v>63657.4</v>
      </c>
      <c r="U181" s="598">
        <v>40359.1</v>
      </c>
      <c r="V181" s="598">
        <v>63826.1</v>
      </c>
      <c r="W181" s="598">
        <v>63826.1</v>
      </c>
      <c r="X181" s="598">
        <v>47026.6</v>
      </c>
      <c r="Y181" s="598">
        <v>46991.8</v>
      </c>
      <c r="Z181" s="598">
        <v>37280.400000000001</v>
      </c>
      <c r="AA181" s="598">
        <v>37277.199999999997</v>
      </c>
      <c r="AB181" s="598">
        <v>198219</v>
      </c>
      <c r="AC181" s="598">
        <v>0</v>
      </c>
      <c r="AD181" s="598">
        <v>57647.4</v>
      </c>
      <c r="AE181" s="598">
        <v>78797.3</v>
      </c>
      <c r="AF181" s="598">
        <v>16433.8</v>
      </c>
      <c r="AG181" s="598">
        <v>16426.400000000001</v>
      </c>
      <c r="AH181" s="598">
        <v>0</v>
      </c>
      <c r="AI181" s="598"/>
      <c r="AJ181" s="867">
        <v>3612522.4</v>
      </c>
      <c r="AK181" s="852" t="s">
        <v>218</v>
      </c>
      <c r="AL181" s="861">
        <v>180738.3</v>
      </c>
      <c r="AM181" s="861">
        <v>106821.1</v>
      </c>
      <c r="AN181" s="861">
        <v>875299.4</v>
      </c>
      <c r="AO181" s="861">
        <v>681224.10000000009</v>
      </c>
      <c r="AP181" s="861">
        <v>1076903</v>
      </c>
      <c r="AQ181" s="861">
        <v>587520</v>
      </c>
      <c r="AR181" s="861">
        <v>104016.5</v>
      </c>
      <c r="AS181" s="861">
        <v>1375565.2000000002</v>
      </c>
      <c r="AT181" s="861">
        <v>2236957.2000000002</v>
      </c>
      <c r="AU181" s="861">
        <v>3612522.4000000004</v>
      </c>
      <c r="AV181" s="916"/>
      <c r="AW181" s="1006" t="s">
        <v>219</v>
      </c>
      <c r="AX181" s="848" t="s">
        <v>3</v>
      </c>
      <c r="AY181" s="849">
        <v>0.38119624665106289</v>
      </c>
      <c r="AZ181" s="849">
        <v>0.47677983409520408</v>
      </c>
      <c r="BA181" s="849">
        <v>2.9589946651719472E-2</v>
      </c>
      <c r="BB181" s="849">
        <v>0.45412051337057324</v>
      </c>
      <c r="BC181" s="849">
        <v>0.31543211186862841</v>
      </c>
    </row>
    <row r="182" spans="1:55" s="947" customFormat="1" x14ac:dyDescent="0.25">
      <c r="A182" s="1006"/>
      <c r="B182" s="848" t="s">
        <v>216</v>
      </c>
      <c r="C182" s="866">
        <v>0.40773399077827871</v>
      </c>
      <c r="D182" s="866">
        <v>0.60056259537978174</v>
      </c>
      <c r="E182" s="866">
        <v>0.58779457694727555</v>
      </c>
      <c r="F182" s="866">
        <v>0.91666538460693159</v>
      </c>
      <c r="G182" s="866">
        <v>0.67085651615503084</v>
      </c>
      <c r="H182" s="866">
        <v>1.0967561392023208</v>
      </c>
      <c r="I182" s="866">
        <v>0.71846280429479781</v>
      </c>
      <c r="J182" s="866">
        <v>0.28041221594672383</v>
      </c>
      <c r="K182" s="866">
        <v>1.1840989137165858</v>
      </c>
      <c r="L182" s="866">
        <v>0.99802205727465199</v>
      </c>
      <c r="M182" s="866">
        <v>0.68659077828161663</v>
      </c>
      <c r="N182" s="866">
        <v>0.94801719410734198</v>
      </c>
      <c r="O182" s="866">
        <v>1.3956728661782203</v>
      </c>
      <c r="P182" s="866">
        <v>0.43043431654030123</v>
      </c>
      <c r="Q182" s="866">
        <v>0.74285635148870166</v>
      </c>
      <c r="R182" s="866">
        <v>0.74621304239367658</v>
      </c>
      <c r="S182" s="866">
        <v>1.2608692171113607</v>
      </c>
      <c r="T182" s="866">
        <v>1.1542383637649363</v>
      </c>
      <c r="U182" s="866">
        <v>1.2196582100602891</v>
      </c>
      <c r="V182" s="866">
        <v>0.62454291487477553</v>
      </c>
      <c r="W182" s="866">
        <v>0.30466427840083249</v>
      </c>
      <c r="X182" s="866">
        <v>0.46015861599956942</v>
      </c>
      <c r="Y182" s="866">
        <v>0.22430828199993796</v>
      </c>
      <c r="Z182" s="866">
        <v>0.36479135782536587</v>
      </c>
      <c r="AA182" s="866">
        <v>0.1779371015744893</v>
      </c>
      <c r="AB182" s="866">
        <v>0.60304805181213472</v>
      </c>
      <c r="AC182" s="866">
        <v>0</v>
      </c>
      <c r="AD182" s="866">
        <v>0.25727268832406841</v>
      </c>
      <c r="AE182" s="866">
        <v>0.35166188247307106</v>
      </c>
      <c r="AF182" s="866">
        <v>0.10521396134681142</v>
      </c>
      <c r="AG182" s="866">
        <v>0.10516658439723396</v>
      </c>
      <c r="AH182" s="866">
        <v>0</v>
      </c>
      <c r="AI182" s="866"/>
      <c r="AJ182" s="869">
        <v>0.5991598810537766</v>
      </c>
      <c r="AK182" s="852" t="s">
        <v>216</v>
      </c>
      <c r="AL182" s="849">
        <v>0.38123236620250689</v>
      </c>
      <c r="AM182" s="849">
        <v>0.34827955194274213</v>
      </c>
      <c r="AN182" s="849">
        <v>0.70377964421514527</v>
      </c>
      <c r="AO182" s="849">
        <v>0.50519471148373296</v>
      </c>
      <c r="AP182" s="849">
        <v>0.76208316682639776</v>
      </c>
      <c r="AQ182" s="849">
        <v>0.50866841030818888</v>
      </c>
      <c r="AR182" s="849">
        <v>1.1787707597898949</v>
      </c>
      <c r="AS182" s="849">
        <v>0.48949620470711119</v>
      </c>
      <c r="AT182" s="849">
        <v>0.69489113531510216</v>
      </c>
      <c r="AU182" s="849">
        <v>0.59915988105377649</v>
      </c>
      <c r="AV182" s="914"/>
      <c r="AW182" s="1006"/>
      <c r="AX182" s="848"/>
      <c r="AY182" s="849"/>
      <c r="AZ182" s="849"/>
      <c r="BA182" s="849"/>
      <c r="BB182" s="849"/>
      <c r="BC182" s="849"/>
    </row>
    <row r="183" spans="1:55" s="947" customFormat="1" x14ac:dyDescent="0.25">
      <c r="A183" s="1041">
        <v>41886</v>
      </c>
      <c r="B183" s="1041"/>
      <c r="C183" s="1041"/>
      <c r="D183" s="529"/>
      <c r="E183" s="529"/>
      <c r="F183" s="529"/>
      <c r="G183" s="529"/>
      <c r="H183" s="529"/>
      <c r="I183" s="525"/>
      <c r="J183" s="531"/>
      <c r="K183" s="531"/>
      <c r="L183" s="529"/>
      <c r="M183" s="529"/>
      <c r="N183" s="527"/>
      <c r="R183" s="526"/>
      <c r="S183" s="534"/>
      <c r="T183" s="534"/>
      <c r="U183" s="534"/>
      <c r="V183" s="534"/>
      <c r="W183" s="534"/>
      <c r="X183" s="534"/>
      <c r="Y183" s="534"/>
      <c r="Z183" s="534"/>
      <c r="AA183" s="534"/>
      <c r="AB183" s="534"/>
      <c r="AC183" s="534"/>
      <c r="AD183" s="534"/>
      <c r="AE183" s="534"/>
      <c r="AF183" s="534"/>
      <c r="AG183" s="534"/>
      <c r="AH183" s="534"/>
      <c r="AI183" s="534"/>
      <c r="AJ183" s="534"/>
      <c r="AK183" s="534"/>
      <c r="AL183" s="534"/>
      <c r="AM183" s="534"/>
      <c r="AN183" s="534"/>
      <c r="AO183" s="534"/>
    </row>
    <row r="184" spans="1:55" s="947" customFormat="1" x14ac:dyDescent="0.25">
      <c r="A184" s="1042" t="s">
        <v>1</v>
      </c>
      <c r="B184" s="1042"/>
      <c r="C184" s="1004" t="s">
        <v>12</v>
      </c>
      <c r="D184" s="1004" t="s">
        <v>12</v>
      </c>
      <c r="E184" s="1004" t="s">
        <v>13</v>
      </c>
      <c r="F184" s="1004" t="s">
        <v>13</v>
      </c>
      <c r="G184" s="1004" t="s">
        <v>13</v>
      </c>
      <c r="H184" s="1004" t="s">
        <v>13</v>
      </c>
      <c r="I184" s="1004" t="s">
        <v>13</v>
      </c>
      <c r="J184" s="1004" t="s">
        <v>13</v>
      </c>
      <c r="K184" s="1004" t="s">
        <v>13</v>
      </c>
      <c r="L184" s="1004" t="s">
        <v>13</v>
      </c>
      <c r="M184" s="829" t="s">
        <v>2</v>
      </c>
      <c r="N184" s="1004" t="s">
        <v>2</v>
      </c>
      <c r="O184" s="1004" t="s">
        <v>2</v>
      </c>
      <c r="P184" s="1004" t="s">
        <v>2</v>
      </c>
      <c r="Q184" s="1004" t="s">
        <v>2</v>
      </c>
      <c r="R184" s="1004" t="s">
        <v>2</v>
      </c>
      <c r="S184" s="1004" t="s">
        <v>2</v>
      </c>
      <c r="T184" s="830" t="s">
        <v>183</v>
      </c>
      <c r="U184" s="830" t="s">
        <v>183</v>
      </c>
      <c r="V184" s="830" t="s">
        <v>2</v>
      </c>
      <c r="W184" s="830" t="s">
        <v>13</v>
      </c>
      <c r="X184" s="830" t="s">
        <v>13</v>
      </c>
      <c r="Y184" s="830" t="s">
        <v>2</v>
      </c>
      <c r="Z184" s="830" t="s">
        <v>13</v>
      </c>
      <c r="AA184" s="830" t="s">
        <v>2</v>
      </c>
      <c r="AB184" s="888" t="s">
        <v>2</v>
      </c>
      <c r="AC184" s="888" t="s">
        <v>2</v>
      </c>
      <c r="AD184" s="888" t="s">
        <v>13</v>
      </c>
      <c r="AE184" s="888" t="s">
        <v>12</v>
      </c>
      <c r="AF184" s="888" t="s">
        <v>13</v>
      </c>
      <c r="AG184" s="888" t="s">
        <v>12</v>
      </c>
      <c r="AH184" s="888" t="s">
        <v>13</v>
      </c>
      <c r="AI184" s="888" t="s">
        <v>13</v>
      </c>
      <c r="AJ184" s="831" t="s">
        <v>219</v>
      </c>
      <c r="AK184" s="1042" t="s">
        <v>0</v>
      </c>
      <c r="AL184" s="1042"/>
      <c r="AM184" s="833"/>
      <c r="AN184" s="833"/>
      <c r="AO184" s="833"/>
      <c r="AP184" s="833"/>
      <c r="AQ184" s="833"/>
      <c r="AR184" s="833"/>
      <c r="AS184" s="833"/>
      <c r="AT184" s="833"/>
      <c r="AU184" s="803"/>
      <c r="AV184" s="803"/>
      <c r="AW184" s="1042" t="s">
        <v>1</v>
      </c>
      <c r="AX184" s="1043"/>
      <c r="AY184" s="1004" t="s">
        <v>12</v>
      </c>
      <c r="AZ184" s="1044" t="s">
        <v>13</v>
      </c>
      <c r="BA184" s="1045"/>
      <c r="BB184" s="1044" t="s">
        <v>2</v>
      </c>
      <c r="BC184" s="1045"/>
    </row>
    <row r="185" spans="1:55" s="947" customFormat="1" x14ac:dyDescent="0.25">
      <c r="A185" s="1042" t="s">
        <v>0</v>
      </c>
      <c r="B185" s="1042"/>
      <c r="C185" s="834" t="s">
        <v>99</v>
      </c>
      <c r="D185" s="835" t="s">
        <v>100</v>
      </c>
      <c r="E185" s="835" t="s">
        <v>101</v>
      </c>
      <c r="F185" s="834" t="s">
        <v>102</v>
      </c>
      <c r="G185" s="835" t="s">
        <v>97</v>
      </c>
      <c r="H185" s="834" t="s">
        <v>104</v>
      </c>
      <c r="I185" s="835" t="s">
        <v>103</v>
      </c>
      <c r="J185" s="835" t="s">
        <v>178</v>
      </c>
      <c r="K185" s="835" t="s">
        <v>199</v>
      </c>
      <c r="L185" s="834" t="s">
        <v>206</v>
      </c>
      <c r="M185" s="834" t="s">
        <v>105</v>
      </c>
      <c r="N185" s="834" t="s">
        <v>107</v>
      </c>
      <c r="O185" s="835" t="s">
        <v>98</v>
      </c>
      <c r="P185" s="835" t="s">
        <v>106</v>
      </c>
      <c r="Q185" s="835" t="s">
        <v>179</v>
      </c>
      <c r="R185" s="835" t="s">
        <v>198</v>
      </c>
      <c r="S185" s="834" t="s">
        <v>207</v>
      </c>
      <c r="T185" s="834" t="s">
        <v>182</v>
      </c>
      <c r="U185" s="834" t="s">
        <v>184</v>
      </c>
      <c r="V185" s="835" t="s">
        <v>221</v>
      </c>
      <c r="W185" s="835" t="s">
        <v>222</v>
      </c>
      <c r="X185" s="835" t="s">
        <v>255</v>
      </c>
      <c r="Y185" s="835" t="s">
        <v>256</v>
      </c>
      <c r="Z185" s="835" t="s">
        <v>266</v>
      </c>
      <c r="AA185" s="835" t="s">
        <v>267</v>
      </c>
      <c r="AB185" s="889" t="s">
        <v>268</v>
      </c>
      <c r="AC185" s="889" t="s">
        <v>269</v>
      </c>
      <c r="AD185" s="889" t="s">
        <v>295</v>
      </c>
      <c r="AE185" s="889" t="s">
        <v>290</v>
      </c>
      <c r="AF185" s="946" t="s">
        <v>291</v>
      </c>
      <c r="AG185" s="946" t="s">
        <v>292</v>
      </c>
      <c r="AH185" s="889" t="s">
        <v>293</v>
      </c>
      <c r="AI185" s="889" t="s">
        <v>294</v>
      </c>
      <c r="AJ185" s="836"/>
      <c r="AK185" s="903" t="s">
        <v>1</v>
      </c>
      <c r="AL185" s="838" t="s">
        <v>257</v>
      </c>
      <c r="AM185" s="838" t="s">
        <v>258</v>
      </c>
      <c r="AN185" s="838" t="s">
        <v>259</v>
      </c>
      <c r="AO185" s="838" t="s">
        <v>260</v>
      </c>
      <c r="AP185" s="838" t="s">
        <v>261</v>
      </c>
      <c r="AQ185" s="838" t="s">
        <v>262</v>
      </c>
      <c r="AR185" s="838" t="s">
        <v>263</v>
      </c>
      <c r="AS185" s="904" t="s">
        <v>264</v>
      </c>
      <c r="AT185" s="904" t="s">
        <v>265</v>
      </c>
      <c r="AU185" s="988" t="s">
        <v>306</v>
      </c>
      <c r="AV185" s="988"/>
      <c r="AW185" s="1046" t="s">
        <v>0</v>
      </c>
      <c r="AX185" s="1043"/>
      <c r="AY185" s="834" t="s">
        <v>99</v>
      </c>
      <c r="AZ185" s="834" t="s">
        <v>104</v>
      </c>
      <c r="BA185" s="834" t="s">
        <v>206</v>
      </c>
      <c r="BB185" s="834" t="s">
        <v>107</v>
      </c>
      <c r="BC185" s="834" t="s">
        <v>207</v>
      </c>
    </row>
    <row r="186" spans="1:55" s="947" customFormat="1" ht="30" x14ac:dyDescent="0.25">
      <c r="A186" s="1047" t="s">
        <v>9</v>
      </c>
      <c r="B186" s="839" t="s">
        <v>4</v>
      </c>
      <c r="C186" s="840">
        <v>250018.4</v>
      </c>
      <c r="D186" s="840">
        <v>150516.70000000001</v>
      </c>
      <c r="E186" s="840">
        <v>150516.70000000001</v>
      </c>
      <c r="F186" s="840">
        <v>181998.8</v>
      </c>
      <c r="G186" s="840">
        <v>165765.70000000001</v>
      </c>
      <c r="H186" s="840">
        <v>389505</v>
      </c>
      <c r="I186" s="840">
        <v>171975.5</v>
      </c>
      <c r="J186" s="840">
        <v>166078</v>
      </c>
      <c r="K186" s="840">
        <v>124019.2</v>
      </c>
      <c r="L186" s="840">
        <v>224071.2</v>
      </c>
      <c r="M186" s="840">
        <v>193029.1</v>
      </c>
      <c r="N186" s="840">
        <v>438219.9</v>
      </c>
      <c r="O186" s="840">
        <v>83038.8</v>
      </c>
      <c r="P186" s="840">
        <v>276130.40000000002</v>
      </c>
      <c r="Q186" s="840">
        <v>83038.8</v>
      </c>
      <c r="R186" s="840">
        <v>191618.2</v>
      </c>
      <c r="S186" s="840">
        <v>262288.90000000002</v>
      </c>
      <c r="T186" s="840">
        <v>55151</v>
      </c>
      <c r="U186" s="840">
        <v>33090.5</v>
      </c>
      <c r="V186" s="840">
        <v>102196.5</v>
      </c>
      <c r="W186" s="840">
        <v>209496.5</v>
      </c>
      <c r="X186" s="840">
        <v>102196.5</v>
      </c>
      <c r="Y186" s="840">
        <v>209496.5</v>
      </c>
      <c r="Z186" s="840">
        <v>102196.5</v>
      </c>
      <c r="AA186" s="840">
        <v>209496.5</v>
      </c>
      <c r="AB186" s="840">
        <v>328695.2</v>
      </c>
      <c r="AC186" s="901">
        <v>190871.2</v>
      </c>
      <c r="AD186" s="901">
        <v>224071.2</v>
      </c>
      <c r="AE186" s="901">
        <v>224071.2</v>
      </c>
      <c r="AF186" s="901">
        <v>156194.1</v>
      </c>
      <c r="AG186" s="901">
        <v>156194.1</v>
      </c>
      <c r="AH186" s="901">
        <v>224066.1</v>
      </c>
      <c r="AI186" s="901"/>
      <c r="AJ186" s="840">
        <v>6029312.8999999985</v>
      </c>
      <c r="AK186" s="841" t="s">
        <v>4</v>
      </c>
      <c r="AL186" s="863">
        <v>474089.6</v>
      </c>
      <c r="AM186" s="863">
        <v>306710.80000000005</v>
      </c>
      <c r="AN186" s="863">
        <v>1243712.3</v>
      </c>
      <c r="AO186" s="863">
        <v>1348438.7000000002</v>
      </c>
      <c r="AP186" s="863">
        <v>1413104.3</v>
      </c>
      <c r="AQ186" s="863">
        <v>1155015.7</v>
      </c>
      <c r="AR186" s="863">
        <v>88241.5</v>
      </c>
      <c r="AS186" s="863">
        <v>2810165.2</v>
      </c>
      <c r="AT186" s="863">
        <v>3219147.7</v>
      </c>
      <c r="AU186" s="863">
        <v>6029312.9000000004</v>
      </c>
      <c r="AV186" s="989"/>
      <c r="AW186" s="875" t="s">
        <v>194</v>
      </c>
      <c r="AX186" s="872" t="s">
        <v>4</v>
      </c>
      <c r="AY186" s="840">
        <v>143393</v>
      </c>
      <c r="AZ186" s="840">
        <v>132132</v>
      </c>
      <c r="BA186" s="840">
        <v>83196.100000000006</v>
      </c>
      <c r="BB186" s="840">
        <v>132132.20000000001</v>
      </c>
      <c r="BC186" s="840">
        <v>83196.100000000006</v>
      </c>
    </row>
    <row r="187" spans="1:55" s="947" customFormat="1" x14ac:dyDescent="0.25">
      <c r="A187" s="1047"/>
      <c r="B187" s="844" t="s">
        <v>5</v>
      </c>
      <c r="C187" s="583">
        <v>57588.4</v>
      </c>
      <c r="D187" s="583">
        <v>86247.3</v>
      </c>
      <c r="E187" s="583">
        <v>85994.5</v>
      </c>
      <c r="F187" s="583">
        <v>102239.9</v>
      </c>
      <c r="G187" s="583">
        <v>118227.8</v>
      </c>
      <c r="H187" s="583">
        <v>205047.1</v>
      </c>
      <c r="I187" s="583">
        <v>103608.3</v>
      </c>
      <c r="J187" s="583">
        <v>51763.199999999997</v>
      </c>
      <c r="K187" s="583">
        <v>90920.1</v>
      </c>
      <c r="L187" s="583">
        <v>86018.5</v>
      </c>
      <c r="M187" s="583">
        <v>95020.5</v>
      </c>
      <c r="N187" s="583">
        <v>210619.6</v>
      </c>
      <c r="O187" s="583">
        <v>59631.1</v>
      </c>
      <c r="P187" s="583">
        <v>188930.1</v>
      </c>
      <c r="Q187" s="583">
        <v>26752.6</v>
      </c>
      <c r="R187" s="583">
        <v>146387.29999999999</v>
      </c>
      <c r="S187" s="583">
        <v>172136</v>
      </c>
      <c r="T187" s="583">
        <v>17841</v>
      </c>
      <c r="U187" s="583">
        <v>11553.4</v>
      </c>
      <c r="V187" s="583">
        <v>15468.3</v>
      </c>
      <c r="W187" s="583">
        <v>30936.400000000001</v>
      </c>
      <c r="X187" s="583">
        <v>26661.9</v>
      </c>
      <c r="Y187" s="583">
        <v>52412.4</v>
      </c>
      <c r="Z187" s="583">
        <v>7667</v>
      </c>
      <c r="AA187" s="583">
        <v>15332.2</v>
      </c>
      <c r="AB187" s="583">
        <v>77454.8</v>
      </c>
      <c r="AC187" s="583">
        <v>4.9000000000000004</v>
      </c>
      <c r="AD187" s="583">
        <v>11027.6</v>
      </c>
      <c r="AE187" s="583">
        <v>56326.400000000001</v>
      </c>
      <c r="AF187" s="583">
        <v>8265.7999999999993</v>
      </c>
      <c r="AG187" s="583">
        <v>8265.7999999999993</v>
      </c>
      <c r="AH187" s="583">
        <v>6399</v>
      </c>
      <c r="AI187" s="583"/>
      <c r="AJ187" s="845">
        <v>2232749.1999999997</v>
      </c>
      <c r="AK187" s="846" t="s">
        <v>5</v>
      </c>
      <c r="AL187" s="863">
        <v>113914.8</v>
      </c>
      <c r="AM187" s="863">
        <v>94513.1</v>
      </c>
      <c r="AN187" s="863">
        <v>410732.1</v>
      </c>
      <c r="AO187" s="863">
        <v>524045.00000000006</v>
      </c>
      <c r="AP187" s="863">
        <v>555235.80000000005</v>
      </c>
      <c r="AQ187" s="863">
        <v>504914</v>
      </c>
      <c r="AR187" s="863">
        <v>29394.400000000001</v>
      </c>
      <c r="AS187" s="863">
        <v>1123472.1000000001</v>
      </c>
      <c r="AT187" s="863">
        <v>1109277.1000000001</v>
      </c>
      <c r="AU187" s="863">
        <v>2232749.2000000002</v>
      </c>
      <c r="AV187" s="990"/>
      <c r="AW187" s="876"/>
      <c r="AX187" s="873" t="s">
        <v>5</v>
      </c>
      <c r="AY187" s="583">
        <v>51964.9</v>
      </c>
      <c r="AZ187" s="583">
        <v>58542</v>
      </c>
      <c r="BA187" s="583">
        <v>2519</v>
      </c>
      <c r="BB187" s="583">
        <v>70731</v>
      </c>
      <c r="BC187" s="583">
        <v>31444.9</v>
      </c>
    </row>
    <row r="188" spans="1:55" s="947" customFormat="1" x14ac:dyDescent="0.25">
      <c r="A188" s="1047"/>
      <c r="B188" s="848" t="s">
        <v>3</v>
      </c>
      <c r="C188" s="849">
        <v>0.23033664722276442</v>
      </c>
      <c r="D188" s="849">
        <v>0.57300817783010127</v>
      </c>
      <c r="E188" s="849">
        <v>0.5713286299792647</v>
      </c>
      <c r="F188" s="850">
        <v>0.56176139622898613</v>
      </c>
      <c r="G188" s="850">
        <v>0.71322233731103601</v>
      </c>
      <c r="H188" s="849">
        <v>0.5264299559697565</v>
      </c>
      <c r="I188" s="850">
        <v>0.60245965268308566</v>
      </c>
      <c r="J188" s="849">
        <v>0.31168005395055332</v>
      </c>
      <c r="K188" s="850">
        <v>0.73311309861698837</v>
      </c>
      <c r="L188" s="849">
        <v>0.38388913880944986</v>
      </c>
      <c r="M188" s="850">
        <v>0.49225997530942223</v>
      </c>
      <c r="N188" s="849">
        <v>0.4806253663970988</v>
      </c>
      <c r="O188" s="850">
        <v>0.71811129255239714</v>
      </c>
      <c r="P188" s="850">
        <v>0.68420608524088611</v>
      </c>
      <c r="Q188" s="849">
        <v>0.32216987721402524</v>
      </c>
      <c r="R188" s="850">
        <v>0.76395300655156961</v>
      </c>
      <c r="S188" s="849">
        <v>0.65628396779276588</v>
      </c>
      <c r="T188" s="849">
        <v>0.32349368098493225</v>
      </c>
      <c r="U188" s="849">
        <v>0.349145525150723</v>
      </c>
      <c r="V188" s="849">
        <v>0.15135841247009438</v>
      </c>
      <c r="W188" s="849">
        <v>0.14767024747430149</v>
      </c>
      <c r="X188" s="849">
        <v>0.26088858229000017</v>
      </c>
      <c r="Y188" s="849">
        <v>0.25018269994964115</v>
      </c>
      <c r="Z188" s="849">
        <v>7.5022138722950396E-2</v>
      </c>
      <c r="AA188" s="849">
        <v>7.3185948213931984E-2</v>
      </c>
      <c r="AB188" s="849">
        <v>0.23564323421820579</v>
      </c>
      <c r="AC188" s="849">
        <v>2.5671761900171424E-5</v>
      </c>
      <c r="AD188" s="849">
        <v>4.9214713894512103E-2</v>
      </c>
      <c r="AE188" s="849">
        <v>0.25137724080560109</v>
      </c>
      <c r="AF188" s="849">
        <v>5.2920052678046094E-2</v>
      </c>
      <c r="AG188" s="849">
        <v>5.2920052678046094E-2</v>
      </c>
      <c r="AH188" s="849">
        <v>2.855853696743952E-2</v>
      </c>
      <c r="AI188" s="849"/>
      <c r="AJ188" s="851">
        <v>0.37031569550818971</v>
      </c>
      <c r="AK188" s="852" t="s">
        <v>3</v>
      </c>
      <c r="AL188" s="849">
        <v>0.24028116204194314</v>
      </c>
      <c r="AM188" s="849">
        <v>0.30815054442165057</v>
      </c>
      <c r="AN188" s="849">
        <v>0.33024687461883262</v>
      </c>
      <c r="AO188" s="849">
        <v>0.38863094036087809</v>
      </c>
      <c r="AP188" s="849">
        <v>0.39291919216437177</v>
      </c>
      <c r="AQ188" s="849">
        <v>0.43714903615595874</v>
      </c>
      <c r="AR188" s="849">
        <v>0.33311310437832542</v>
      </c>
      <c r="AS188" s="849">
        <v>0.39978863164343509</v>
      </c>
      <c r="AT188" s="849">
        <v>0.34458720238279222</v>
      </c>
      <c r="AU188" s="849">
        <v>0.37031569550818966</v>
      </c>
      <c r="AV188" s="991"/>
      <c r="AW188" s="876"/>
      <c r="AX188" s="874" t="s">
        <v>3</v>
      </c>
      <c r="AY188" s="849">
        <v>0.36239495651810061</v>
      </c>
      <c r="AZ188" s="849">
        <v>0.44305694305694304</v>
      </c>
      <c r="BA188" s="849">
        <v>3.0277861582453984E-2</v>
      </c>
      <c r="BB188" s="849">
        <v>0.53530479322981073</v>
      </c>
      <c r="BC188" s="849">
        <v>0.37796122654787906</v>
      </c>
    </row>
    <row r="189" spans="1:55" s="947" customFormat="1" ht="30" x14ac:dyDescent="0.25">
      <c r="A189" s="1040" t="s">
        <v>6</v>
      </c>
      <c r="B189" s="854" t="s">
        <v>7</v>
      </c>
      <c r="C189" s="840">
        <v>3865</v>
      </c>
      <c r="D189" s="840">
        <v>3620</v>
      </c>
      <c r="E189" s="840">
        <v>3560</v>
      </c>
      <c r="F189" s="840">
        <v>6629</v>
      </c>
      <c r="G189" s="840">
        <v>8432</v>
      </c>
      <c r="H189" s="840">
        <v>15082</v>
      </c>
      <c r="I189" s="840">
        <v>7332</v>
      </c>
      <c r="J189" s="840">
        <v>9599</v>
      </c>
      <c r="K189" s="840">
        <v>7072</v>
      </c>
      <c r="L189" s="840">
        <v>9334</v>
      </c>
      <c r="M189" s="840">
        <v>5894</v>
      </c>
      <c r="N189" s="840">
        <v>13386</v>
      </c>
      <c r="O189" s="840">
        <v>4357</v>
      </c>
      <c r="P189" s="840">
        <v>8784</v>
      </c>
      <c r="Q189" s="840">
        <v>4799</v>
      </c>
      <c r="R189" s="840">
        <v>9711</v>
      </c>
      <c r="S189" s="840">
        <v>11560</v>
      </c>
      <c r="T189" s="855">
        <v>2480</v>
      </c>
      <c r="U189" s="855">
        <v>1570</v>
      </c>
      <c r="V189" s="840">
        <v>3999</v>
      </c>
      <c r="W189" s="840">
        <v>7999</v>
      </c>
      <c r="X189" s="840">
        <v>3999</v>
      </c>
      <c r="Y189" s="840">
        <v>7999</v>
      </c>
      <c r="Z189" s="840">
        <v>3999</v>
      </c>
      <c r="AA189" s="840">
        <v>7999</v>
      </c>
      <c r="AB189" s="840">
        <v>11999</v>
      </c>
      <c r="AC189" s="840">
        <v>6400</v>
      </c>
      <c r="AD189" s="840">
        <v>6399</v>
      </c>
      <c r="AE189" s="840">
        <v>6399</v>
      </c>
      <c r="AF189" s="840">
        <v>4800</v>
      </c>
      <c r="AG189" s="840">
        <v>4800</v>
      </c>
      <c r="AH189" s="840">
        <v>6400</v>
      </c>
      <c r="AI189" s="840"/>
      <c r="AJ189" s="840">
        <v>220257</v>
      </c>
      <c r="AK189" s="856" t="s">
        <v>7</v>
      </c>
      <c r="AL189" s="858">
        <v>10264</v>
      </c>
      <c r="AM189" s="858">
        <v>8420</v>
      </c>
      <c r="AN189" s="858">
        <v>43844</v>
      </c>
      <c r="AO189" s="858">
        <v>56792</v>
      </c>
      <c r="AP189" s="858">
        <v>49239</v>
      </c>
      <c r="AQ189" s="858">
        <v>47648</v>
      </c>
      <c r="AR189" s="858">
        <v>4050</v>
      </c>
      <c r="AS189" s="858">
        <v>112860</v>
      </c>
      <c r="AT189" s="858">
        <v>107397</v>
      </c>
      <c r="AU189" s="858">
        <v>220257</v>
      </c>
      <c r="AV189" s="657"/>
      <c r="AW189" s="880" t="s">
        <v>190</v>
      </c>
      <c r="AX189" s="879" t="s">
        <v>4</v>
      </c>
      <c r="AY189" s="857">
        <v>9191.7999999999993</v>
      </c>
      <c r="AZ189" s="857">
        <v>13787.7</v>
      </c>
      <c r="BA189" s="857">
        <v>8804.7999999999993</v>
      </c>
      <c r="BB189" s="857">
        <v>13787.7</v>
      </c>
      <c r="BC189" s="857">
        <v>8804.7999999999993</v>
      </c>
    </row>
    <row r="190" spans="1:55" s="947" customFormat="1" x14ac:dyDescent="0.25">
      <c r="A190" s="1040"/>
      <c r="B190" s="839" t="s">
        <v>11</v>
      </c>
      <c r="C190" s="858">
        <v>130316.205</v>
      </c>
      <c r="D190" s="858">
        <v>122055.54</v>
      </c>
      <c r="E190" s="858">
        <v>120032.51999999999</v>
      </c>
      <c r="F190" s="858">
        <v>223509.99299999999</v>
      </c>
      <c r="G190" s="858">
        <v>284301.74400000001</v>
      </c>
      <c r="H190" s="858">
        <v>508519.79399999999</v>
      </c>
      <c r="I190" s="858">
        <v>247213.04399999999</v>
      </c>
      <c r="J190" s="858">
        <v>323649.48300000001</v>
      </c>
      <c r="K190" s="858">
        <v>238446.62399999998</v>
      </c>
      <c r="L190" s="858">
        <v>314714.478</v>
      </c>
      <c r="M190" s="858">
        <v>198727.99799999999</v>
      </c>
      <c r="N190" s="858">
        <v>451335.76199999999</v>
      </c>
      <c r="O190" s="858">
        <v>146904.96899999998</v>
      </c>
      <c r="P190" s="858">
        <v>296170.12799999997</v>
      </c>
      <c r="Q190" s="858">
        <v>161807.883</v>
      </c>
      <c r="R190" s="858">
        <v>327425.78700000001</v>
      </c>
      <c r="S190" s="858">
        <v>389768.51999999996</v>
      </c>
      <c r="T190" s="858">
        <v>83618.16</v>
      </c>
      <c r="U190" s="858">
        <v>52935.689999999995</v>
      </c>
      <c r="V190" s="858">
        <v>134834.283</v>
      </c>
      <c r="W190" s="858">
        <v>269702.283</v>
      </c>
      <c r="X190" s="858">
        <v>134834.283</v>
      </c>
      <c r="Y190" s="858">
        <v>269702.283</v>
      </c>
      <c r="Z190" s="858">
        <v>134834.283</v>
      </c>
      <c r="AA190" s="858">
        <v>269702.283</v>
      </c>
      <c r="AB190" s="858">
        <v>404570.283</v>
      </c>
      <c r="AC190" s="858">
        <v>215788.79999999999</v>
      </c>
      <c r="AD190" s="858">
        <v>215755.08299999998</v>
      </c>
      <c r="AE190" s="858">
        <v>215755.08299999998</v>
      </c>
      <c r="AF190" s="858">
        <v>161841.60000000001</v>
      </c>
      <c r="AG190" s="858">
        <v>161841.60000000001</v>
      </c>
      <c r="AH190" s="858">
        <v>215788.79999999999</v>
      </c>
      <c r="AI190" s="858"/>
      <c r="AJ190" s="859">
        <v>7426405.2689999975</v>
      </c>
      <c r="AK190" s="841" t="s">
        <v>11</v>
      </c>
      <c r="AL190" s="858">
        <v>346071.288</v>
      </c>
      <c r="AM190" s="858">
        <v>283897.14</v>
      </c>
      <c r="AN190" s="858">
        <v>1478288.148</v>
      </c>
      <c r="AO190" s="858">
        <v>1914855.8639999998</v>
      </c>
      <c r="AP190" s="858">
        <v>1660191.3629999999</v>
      </c>
      <c r="AQ190" s="858">
        <v>1606547.6159999999</v>
      </c>
      <c r="AR190" s="858">
        <v>136553.85</v>
      </c>
      <c r="AS190" s="858">
        <v>3805300.6199999996</v>
      </c>
      <c r="AT190" s="858">
        <v>3621104.6489999997</v>
      </c>
      <c r="AU190" s="858">
        <v>7426405.2689999994</v>
      </c>
      <c r="AV190" s="992"/>
      <c r="AW190" s="876"/>
      <c r="AX190" s="873" t="s">
        <v>5</v>
      </c>
      <c r="AY190" s="583">
        <v>7975.5</v>
      </c>
      <c r="AZ190" s="583">
        <v>13649</v>
      </c>
      <c r="BA190" s="583">
        <v>1289.9000000000001</v>
      </c>
      <c r="BB190" s="583">
        <v>13642</v>
      </c>
      <c r="BC190" s="583">
        <v>5483.9</v>
      </c>
    </row>
    <row r="191" spans="1:55" s="947" customFormat="1" x14ac:dyDescent="0.25">
      <c r="A191" s="1040"/>
      <c r="B191" s="839" t="s">
        <v>79</v>
      </c>
      <c r="C191" s="858">
        <v>164000</v>
      </c>
      <c r="D191" s="858">
        <v>109880</v>
      </c>
      <c r="E191" s="858">
        <v>109880</v>
      </c>
      <c r="F191" s="858">
        <v>328000</v>
      </c>
      <c r="G191" s="858">
        <v>330905</v>
      </c>
      <c r="H191" s="858">
        <v>264264</v>
      </c>
      <c r="I191" s="858">
        <v>242663.6</v>
      </c>
      <c r="J191" s="858">
        <v>328000</v>
      </c>
      <c r="K191" s="858">
        <v>328000</v>
      </c>
      <c r="L191" s="858">
        <v>328000</v>
      </c>
      <c r="M191" s="858">
        <v>328000</v>
      </c>
      <c r="N191" s="858">
        <v>264264.40000000002</v>
      </c>
      <c r="O191" s="858">
        <v>328000</v>
      </c>
      <c r="P191" s="858">
        <v>352965.4</v>
      </c>
      <c r="Q191" s="858">
        <v>328000</v>
      </c>
      <c r="R191" s="858">
        <v>328000</v>
      </c>
      <c r="S191" s="858">
        <v>328000</v>
      </c>
      <c r="T191" s="858">
        <v>110302</v>
      </c>
      <c r="U191" s="858">
        <v>66181</v>
      </c>
      <c r="V191" s="858">
        <v>204393</v>
      </c>
      <c r="W191" s="858">
        <v>418993</v>
      </c>
      <c r="X191" s="858">
        <v>204393</v>
      </c>
      <c r="Y191" s="858">
        <v>418993</v>
      </c>
      <c r="Z191" s="858">
        <v>204393</v>
      </c>
      <c r="AA191" s="858">
        <v>418993</v>
      </c>
      <c r="AB191" s="858">
        <v>657390.4</v>
      </c>
      <c r="AC191" s="858">
        <v>381742.4</v>
      </c>
      <c r="AD191" s="858">
        <v>448142.4</v>
      </c>
      <c r="AE191" s="858">
        <v>448142.4</v>
      </c>
      <c r="AF191" s="858">
        <v>312388.2</v>
      </c>
      <c r="AG191" s="858">
        <v>312388.2</v>
      </c>
      <c r="AH191" s="858">
        <v>448132.2</v>
      </c>
      <c r="AI191" s="858"/>
      <c r="AJ191" s="859">
        <v>9845789.5999999996</v>
      </c>
      <c r="AK191" s="841" t="s">
        <v>79</v>
      </c>
      <c r="AL191" s="858">
        <v>948179.2</v>
      </c>
      <c r="AM191" s="858">
        <v>613421.60000000009</v>
      </c>
      <c r="AN191" s="858">
        <v>2487424.6</v>
      </c>
      <c r="AO191" s="858">
        <v>2696877.4000000004</v>
      </c>
      <c r="AP191" s="858">
        <v>2826208.6</v>
      </c>
      <c r="AQ191" s="858">
        <v>2310031.4</v>
      </c>
      <c r="AR191" s="858">
        <v>176483</v>
      </c>
      <c r="AS191" s="858">
        <v>5620330.4000000004</v>
      </c>
      <c r="AT191" s="858">
        <v>6438295.4000000004</v>
      </c>
      <c r="AU191" s="858">
        <v>12058625.800000001</v>
      </c>
      <c r="AV191" s="993"/>
      <c r="AW191" s="877"/>
      <c r="AX191" s="874" t="s">
        <v>3</v>
      </c>
      <c r="AY191" s="849">
        <v>0.86767553689157739</v>
      </c>
      <c r="AZ191" s="849">
        <v>0.98994030911609621</v>
      </c>
      <c r="BA191" s="849">
        <v>0.14649963656187537</v>
      </c>
      <c r="BB191" s="849">
        <v>0.98943261022505558</v>
      </c>
      <c r="BC191" s="849">
        <v>0.62283072869343992</v>
      </c>
    </row>
    <row r="192" spans="1:55" s="947" customFormat="1" ht="45" x14ac:dyDescent="0.25">
      <c r="A192" s="1040"/>
      <c r="B192" s="844" t="s">
        <v>8</v>
      </c>
      <c r="C192" s="861">
        <v>3381</v>
      </c>
      <c r="D192" s="861">
        <v>2751</v>
      </c>
      <c r="E192" s="861">
        <v>2694</v>
      </c>
      <c r="F192" s="861">
        <v>5141</v>
      </c>
      <c r="G192" s="861">
        <v>3366</v>
      </c>
      <c r="H192" s="861">
        <v>12575</v>
      </c>
      <c r="I192" s="861">
        <v>6061</v>
      </c>
      <c r="J192" s="861">
        <v>1380</v>
      </c>
      <c r="K192" s="861">
        <v>6087</v>
      </c>
      <c r="L192" s="861">
        <v>6574</v>
      </c>
      <c r="M192" s="861">
        <v>4087</v>
      </c>
      <c r="N192" s="861">
        <v>12319</v>
      </c>
      <c r="O192" s="861">
        <v>3436</v>
      </c>
      <c r="P192" s="861">
        <v>7006</v>
      </c>
      <c r="Q192" s="861">
        <v>1828</v>
      </c>
      <c r="R192" s="861">
        <v>4648</v>
      </c>
      <c r="S192" s="861">
        <v>9851</v>
      </c>
      <c r="T192" s="598">
        <v>1888</v>
      </c>
      <c r="U192" s="598">
        <v>1197</v>
      </c>
      <c r="V192" s="861">
        <v>1892</v>
      </c>
      <c r="W192" s="861">
        <v>2524</v>
      </c>
      <c r="X192" s="861">
        <v>1393</v>
      </c>
      <c r="Y192" s="861">
        <v>1701</v>
      </c>
      <c r="Z192" s="861">
        <v>1388</v>
      </c>
      <c r="AA192" s="861">
        <v>2432</v>
      </c>
      <c r="AB192" s="861">
        <v>5786</v>
      </c>
      <c r="AC192" s="861">
        <v>0</v>
      </c>
      <c r="AD192" s="861">
        <v>1375</v>
      </c>
      <c r="AE192" s="861">
        <v>2239</v>
      </c>
      <c r="AF192" s="861">
        <v>285</v>
      </c>
      <c r="AG192" s="861">
        <v>285</v>
      </c>
      <c r="AH192" s="861">
        <v>6400</v>
      </c>
      <c r="AI192" s="861"/>
      <c r="AJ192" s="840">
        <v>123970</v>
      </c>
      <c r="AK192" s="846" t="s">
        <v>8</v>
      </c>
      <c r="AL192" s="858">
        <v>5620</v>
      </c>
      <c r="AM192" s="858">
        <v>3036</v>
      </c>
      <c r="AN192" s="858">
        <v>32065</v>
      </c>
      <c r="AO192" s="858">
        <v>25178</v>
      </c>
      <c r="AP192" s="858">
        <v>32043</v>
      </c>
      <c r="AQ192" s="858">
        <v>22943</v>
      </c>
      <c r="AR192" s="858">
        <v>3085</v>
      </c>
      <c r="AS192" s="858">
        <v>51157</v>
      </c>
      <c r="AT192" s="858">
        <v>72813</v>
      </c>
      <c r="AU192" s="858">
        <v>123970</v>
      </c>
      <c r="AV192" s="993"/>
      <c r="AW192" s="877" t="s">
        <v>191</v>
      </c>
      <c r="AX192" s="839" t="s">
        <v>4</v>
      </c>
      <c r="AY192" s="840">
        <v>97433.600000000006</v>
      </c>
      <c r="AZ192" s="840">
        <v>243584.4</v>
      </c>
      <c r="BA192" s="840">
        <v>132070.29999999999</v>
      </c>
      <c r="BB192" s="840">
        <v>292299.3</v>
      </c>
      <c r="BC192" s="840">
        <v>132070.39999999999</v>
      </c>
    </row>
    <row r="193" spans="1:55" s="947" customFormat="1" x14ac:dyDescent="0.25">
      <c r="A193" s="1040"/>
      <c r="B193" s="839" t="s">
        <v>77</v>
      </c>
      <c r="C193" s="858">
        <v>113997.177</v>
      </c>
      <c r="D193" s="858">
        <v>92755.46699999999</v>
      </c>
      <c r="E193" s="858">
        <v>90833.597999999998</v>
      </c>
      <c r="F193" s="858">
        <v>173339.09699999998</v>
      </c>
      <c r="G193" s="858">
        <v>113491.42199999999</v>
      </c>
      <c r="H193" s="858">
        <v>423991.27499999997</v>
      </c>
      <c r="I193" s="858">
        <v>204358.73699999999</v>
      </c>
      <c r="J193" s="858">
        <v>46529.46</v>
      </c>
      <c r="K193" s="858">
        <v>205235.37899999999</v>
      </c>
      <c r="L193" s="858">
        <v>221655.55799999999</v>
      </c>
      <c r="M193" s="858">
        <v>137801.37899999999</v>
      </c>
      <c r="N193" s="858">
        <v>415359.723</v>
      </c>
      <c r="O193" s="858">
        <v>115851.61199999999</v>
      </c>
      <c r="P193" s="858">
        <v>148085.06400000001</v>
      </c>
      <c r="Q193" s="858">
        <v>61634.675999999999</v>
      </c>
      <c r="R193" s="858">
        <v>156716.61599999998</v>
      </c>
      <c r="S193" s="858">
        <v>332146.16700000002</v>
      </c>
      <c r="T193" s="863">
        <v>63657.695999999996</v>
      </c>
      <c r="U193" s="863">
        <v>40359.248999999996</v>
      </c>
      <c r="V193" s="863">
        <v>63792.563999999998</v>
      </c>
      <c r="W193" s="863">
        <v>85101.707999999999</v>
      </c>
      <c r="X193" s="863">
        <v>46967.780999999995</v>
      </c>
      <c r="Y193" s="863">
        <v>57352.616999999998</v>
      </c>
      <c r="Z193" s="863">
        <v>46799.195999999996</v>
      </c>
      <c r="AA193" s="863">
        <v>81999.743999999992</v>
      </c>
      <c r="AB193" s="863">
        <v>195086.56200000001</v>
      </c>
      <c r="AC193" s="863">
        <v>0</v>
      </c>
      <c r="AD193" s="863">
        <v>46360.875</v>
      </c>
      <c r="AE193" s="863">
        <v>75492.362999999998</v>
      </c>
      <c r="AF193" s="863">
        <v>9609.3449999999993</v>
      </c>
      <c r="AG193" s="863">
        <v>9609.3449999999993</v>
      </c>
      <c r="AH193" s="863">
        <v>215788.79999999999</v>
      </c>
      <c r="AI193" s="863"/>
      <c r="AJ193" s="864">
        <v>4091760.2519999994</v>
      </c>
      <c r="AK193" s="841" t="s">
        <v>77</v>
      </c>
      <c r="AL193" s="858">
        <v>189489.53999999998</v>
      </c>
      <c r="AM193" s="858">
        <v>102364.81199999999</v>
      </c>
      <c r="AN193" s="858">
        <v>1081135.605</v>
      </c>
      <c r="AO193" s="858">
        <v>848926.62599999993</v>
      </c>
      <c r="AP193" s="858">
        <v>1080393.831</v>
      </c>
      <c r="AQ193" s="858">
        <v>773569.13099999994</v>
      </c>
      <c r="AR193" s="858">
        <v>104016.94499999999</v>
      </c>
      <c r="AS193" s="858">
        <v>1724860.5689999999</v>
      </c>
      <c r="AT193" s="858">
        <v>2455035.9210000001</v>
      </c>
      <c r="AU193" s="858">
        <v>4179896.4899999998</v>
      </c>
      <c r="AV193" s="915"/>
      <c r="AW193" s="1003"/>
      <c r="AX193" s="844" t="s">
        <v>5</v>
      </c>
      <c r="AY193" s="583">
        <v>38973.199999999997</v>
      </c>
      <c r="AZ193" s="583">
        <v>124350.5</v>
      </c>
      <c r="BA193" s="583">
        <v>3817.1</v>
      </c>
      <c r="BB193" s="583">
        <v>109009</v>
      </c>
      <c r="BC193" s="583">
        <v>33401</v>
      </c>
    </row>
    <row r="194" spans="1:55" s="947" customFormat="1" x14ac:dyDescent="0.25">
      <c r="A194" s="1040"/>
      <c r="B194" s="848" t="s">
        <v>217</v>
      </c>
      <c r="C194" s="849">
        <v>0.455955149700982</v>
      </c>
      <c r="D194" s="849">
        <v>0.61624701445088803</v>
      </c>
      <c r="E194" s="866">
        <v>0.60347853759748915</v>
      </c>
      <c r="F194" s="866">
        <v>0.95241890056417955</v>
      </c>
      <c r="G194" s="866">
        <v>0.68464961086642162</v>
      </c>
      <c r="H194" s="866">
        <v>1.0885387222243617</v>
      </c>
      <c r="I194" s="866">
        <v>1.1883014557306129</v>
      </c>
      <c r="J194" s="866">
        <v>0.2801663073977288</v>
      </c>
      <c r="K194" s="866">
        <v>1.6548677866007844</v>
      </c>
      <c r="L194" s="866">
        <v>0.98921931064768687</v>
      </c>
      <c r="M194" s="866">
        <v>0.71388914417567084</v>
      </c>
      <c r="N194" s="866">
        <v>0.94783400525626516</v>
      </c>
      <c r="O194" s="866">
        <v>1.3951503634445583</v>
      </c>
      <c r="P194" s="866">
        <v>0.53628671091629176</v>
      </c>
      <c r="Q194" s="866">
        <v>0.74223948322952638</v>
      </c>
      <c r="R194" s="866">
        <v>0.81785872114444225</v>
      </c>
      <c r="S194" s="866">
        <v>1.2663371076702064</v>
      </c>
      <c r="T194" s="849">
        <v>1.1542437308480353</v>
      </c>
      <c r="U194" s="849">
        <v>1.2196627128632083</v>
      </c>
      <c r="V194" s="849">
        <v>0.6242147627364929</v>
      </c>
      <c r="W194" s="849">
        <v>0.40622018983610703</v>
      </c>
      <c r="X194" s="849">
        <v>0.45958306791328468</v>
      </c>
      <c r="Y194" s="849">
        <v>0.27376408197750318</v>
      </c>
      <c r="Z194" s="849">
        <v>0.4579334517326914</v>
      </c>
      <c r="AA194" s="849">
        <v>0.39141343172797632</v>
      </c>
      <c r="AB194" s="849">
        <v>0.59351813473394199</v>
      </c>
      <c r="AC194" s="849">
        <v>0</v>
      </c>
      <c r="AD194" s="849">
        <v>0.20690242655013227</v>
      </c>
      <c r="AE194" s="849">
        <v>0.33691238766963355</v>
      </c>
      <c r="AF194" s="849">
        <v>6.1521818045623997E-2</v>
      </c>
      <c r="AG194" s="849">
        <v>6.1521818045623997E-2</v>
      </c>
      <c r="AH194" s="849">
        <v>0.96305866884816571</v>
      </c>
      <c r="AI194" s="849"/>
      <c r="AJ194" s="851">
        <v>0.67864453543288494</v>
      </c>
      <c r="AK194" s="852" t="s">
        <v>217</v>
      </c>
      <c r="AL194" s="849">
        <v>0.39969140854387014</v>
      </c>
      <c r="AM194" s="849">
        <v>0.3337502689830289</v>
      </c>
      <c r="AN194" s="849">
        <v>0.86928110705345596</v>
      </c>
      <c r="AO194" s="849">
        <v>0.62956263862791817</v>
      </c>
      <c r="AP194" s="849">
        <v>0.76455349474203704</v>
      </c>
      <c r="AQ194" s="849">
        <v>0.66974771944658407</v>
      </c>
      <c r="AR194" s="849">
        <v>1.1787758027685384</v>
      </c>
      <c r="AS194" s="849">
        <v>0.61379329905587032</v>
      </c>
      <c r="AT194" s="849">
        <v>0.76263537737022746</v>
      </c>
      <c r="AU194" s="849">
        <v>0.69326249264655004</v>
      </c>
      <c r="AV194" s="914"/>
      <c r="AW194" s="1003"/>
      <c r="AX194" s="848" t="s">
        <v>3</v>
      </c>
      <c r="AY194" s="849">
        <v>0.39999753678402516</v>
      </c>
      <c r="AZ194" s="849">
        <v>0.51050272513346506</v>
      </c>
      <c r="BA194" s="849">
        <v>2.8902031720984961E-2</v>
      </c>
      <c r="BB194" s="849">
        <v>0.37293623351133581</v>
      </c>
      <c r="BC194" s="849">
        <v>0.25290299718937781</v>
      </c>
    </row>
    <row r="195" spans="1:55" s="947" customFormat="1" x14ac:dyDescent="0.25">
      <c r="A195" s="1003"/>
      <c r="B195" s="848" t="s">
        <v>218</v>
      </c>
      <c r="C195" s="598">
        <v>103660</v>
      </c>
      <c r="D195" s="598">
        <v>92350.3</v>
      </c>
      <c r="E195" s="598">
        <v>90428.4</v>
      </c>
      <c r="F195" s="598">
        <v>171249</v>
      </c>
      <c r="G195" s="598">
        <v>111205</v>
      </c>
      <c r="H195" s="598">
        <v>427192</v>
      </c>
      <c r="I195" s="598">
        <v>129475</v>
      </c>
      <c r="J195" s="598">
        <v>46570.3</v>
      </c>
      <c r="K195" s="598">
        <v>146818</v>
      </c>
      <c r="L195" s="598">
        <v>222043</v>
      </c>
      <c r="M195" s="598">
        <v>133914</v>
      </c>
      <c r="N195" s="598">
        <v>415440</v>
      </c>
      <c r="O195" s="598">
        <v>115895</v>
      </c>
      <c r="P195" s="598">
        <v>122037</v>
      </c>
      <c r="Q195" s="598">
        <v>61685.9</v>
      </c>
      <c r="R195" s="598">
        <v>142954</v>
      </c>
      <c r="S195" s="598">
        <v>332331</v>
      </c>
      <c r="T195" s="598">
        <v>63657.4</v>
      </c>
      <c r="U195" s="598">
        <v>40359.1</v>
      </c>
      <c r="V195" s="598">
        <v>63826.1</v>
      </c>
      <c r="W195" s="598">
        <v>63826.1</v>
      </c>
      <c r="X195" s="598">
        <v>47026.6</v>
      </c>
      <c r="Y195" s="598">
        <v>46991.8</v>
      </c>
      <c r="Z195" s="598">
        <v>34638.9</v>
      </c>
      <c r="AA195" s="598">
        <v>34635.800000000003</v>
      </c>
      <c r="AB195" s="598">
        <v>195182</v>
      </c>
      <c r="AC195" s="598">
        <v>0</v>
      </c>
      <c r="AD195" s="598">
        <v>46417.599999999999</v>
      </c>
      <c r="AE195" s="598">
        <v>75526.7</v>
      </c>
      <c r="AF195" s="598">
        <v>9616.66</v>
      </c>
      <c r="AG195" s="598">
        <v>9612.4500000000007</v>
      </c>
      <c r="AH195" s="598">
        <v>0</v>
      </c>
      <c r="AI195" s="598"/>
      <c r="AJ195" s="867">
        <v>3596565.1100000003</v>
      </c>
      <c r="AK195" s="852" t="s">
        <v>218</v>
      </c>
      <c r="AL195" s="861">
        <v>179186.7</v>
      </c>
      <c r="AM195" s="861">
        <v>101962.75</v>
      </c>
      <c r="AN195" s="861">
        <v>866901.6</v>
      </c>
      <c r="AO195" s="861">
        <v>679604.96</v>
      </c>
      <c r="AP195" s="861">
        <v>1076867</v>
      </c>
      <c r="AQ195" s="861">
        <v>588025.60000000009</v>
      </c>
      <c r="AR195" s="861">
        <v>104016.5</v>
      </c>
      <c r="AS195" s="861">
        <v>1369593.31</v>
      </c>
      <c r="AT195" s="861">
        <v>2226971.7999999998</v>
      </c>
      <c r="AU195" s="861">
        <v>3596565.11</v>
      </c>
      <c r="AV195" s="916"/>
      <c r="AW195" s="1003" t="s">
        <v>219</v>
      </c>
      <c r="AX195" s="848" t="s">
        <v>3</v>
      </c>
      <c r="AY195" s="849">
        <v>0.38119624665106289</v>
      </c>
      <c r="AZ195" s="849">
        <v>0.47677983409520408</v>
      </c>
      <c r="BA195" s="849">
        <v>2.9589946651719472E-2</v>
      </c>
      <c r="BB195" s="849">
        <v>0.45412051337057324</v>
      </c>
      <c r="BC195" s="849">
        <v>0.31543211186862841</v>
      </c>
    </row>
    <row r="196" spans="1:55" s="947" customFormat="1" x14ac:dyDescent="0.25">
      <c r="A196" s="1003"/>
      <c r="B196" s="848" t="s">
        <v>216</v>
      </c>
      <c r="C196" s="866">
        <v>0.414609484741923</v>
      </c>
      <c r="D196" s="866">
        <v>0.61355517361196465</v>
      </c>
      <c r="E196" s="866">
        <v>0.60078649080135282</v>
      </c>
      <c r="F196" s="866">
        <v>0.94093477539412351</v>
      </c>
      <c r="G196" s="866">
        <v>0.67085651615503084</v>
      </c>
      <c r="H196" s="866">
        <v>1.0967561392023208</v>
      </c>
      <c r="I196" s="866">
        <v>0.7528688679492137</v>
      </c>
      <c r="J196" s="866">
        <v>0.28041221594672383</v>
      </c>
      <c r="K196" s="866">
        <v>1.1838328258850244</v>
      </c>
      <c r="L196" s="866">
        <v>0.99094841282592316</v>
      </c>
      <c r="M196" s="866">
        <v>0.69375032054752361</v>
      </c>
      <c r="N196" s="866">
        <v>0.94801719410734198</v>
      </c>
      <c r="O196" s="866">
        <v>1.3956728661782203</v>
      </c>
      <c r="P196" s="866">
        <v>0.44195423611453138</v>
      </c>
      <c r="Q196" s="866">
        <v>0.74285635148870166</v>
      </c>
      <c r="R196" s="866">
        <v>0.74603560622112086</v>
      </c>
      <c r="S196" s="866">
        <v>1.2670418000914259</v>
      </c>
      <c r="T196" s="866">
        <v>1.1542383637649363</v>
      </c>
      <c r="U196" s="866">
        <v>1.2196582100602891</v>
      </c>
      <c r="V196" s="866">
        <v>0.62454291487477553</v>
      </c>
      <c r="W196" s="866">
        <v>0.30466427840083249</v>
      </c>
      <c r="X196" s="866">
        <v>0.46015861599956942</v>
      </c>
      <c r="Y196" s="866">
        <v>0.22430828199993796</v>
      </c>
      <c r="Z196" s="866">
        <v>0.33894409299731404</v>
      </c>
      <c r="AA196" s="866">
        <v>0.16532877637573898</v>
      </c>
      <c r="AB196" s="866">
        <v>0.5938084888370746</v>
      </c>
      <c r="AC196" s="866">
        <v>0</v>
      </c>
      <c r="AD196" s="866">
        <v>0.20715558268978787</v>
      </c>
      <c r="AE196" s="866">
        <v>0.33706562913930926</v>
      </c>
      <c r="AF196" s="866">
        <v>6.156865080051039E-2</v>
      </c>
      <c r="AG196" s="866">
        <v>6.1541697157575098E-2</v>
      </c>
      <c r="AH196" s="866">
        <v>0</v>
      </c>
      <c r="AI196" s="866"/>
      <c r="AJ196" s="869">
        <v>0.59651326273015304</v>
      </c>
      <c r="AK196" s="852" t="s">
        <v>216</v>
      </c>
      <c r="AL196" s="849">
        <v>0.37795956713667633</v>
      </c>
      <c r="AM196" s="849">
        <v>0.332439385897073</v>
      </c>
      <c r="AN196" s="849">
        <v>0.69702743954530311</v>
      </c>
      <c r="AO196" s="849">
        <v>0.50399395982924533</v>
      </c>
      <c r="AP196" s="849">
        <v>0.76205769099987875</v>
      </c>
      <c r="AQ196" s="849">
        <v>0.50910615327566555</v>
      </c>
      <c r="AR196" s="849">
        <v>1.1787707597898949</v>
      </c>
      <c r="AS196" s="849">
        <v>0.48737110188397464</v>
      </c>
      <c r="AT196" s="849">
        <v>0.69178925838040906</v>
      </c>
      <c r="AU196" s="849">
        <v>0.59651326273015282</v>
      </c>
      <c r="AV196" s="914"/>
      <c r="AW196" s="1003"/>
      <c r="AX196" s="848"/>
      <c r="AY196" s="849"/>
      <c r="AZ196" s="849"/>
      <c r="BA196" s="849"/>
      <c r="BB196" s="849"/>
      <c r="BC196" s="849"/>
    </row>
    <row r="197" spans="1:55" s="947" customFormat="1" x14ac:dyDescent="0.25">
      <c r="A197" s="1041">
        <v>41878</v>
      </c>
      <c r="B197" s="1041"/>
      <c r="C197" s="1041"/>
      <c r="D197" s="529"/>
      <c r="E197" s="529"/>
      <c r="F197" s="529"/>
      <c r="G197" s="529"/>
      <c r="H197" s="529"/>
      <c r="I197" s="525"/>
      <c r="J197" s="531"/>
      <c r="K197" s="531"/>
      <c r="L197" s="529"/>
      <c r="M197" s="529"/>
      <c r="N197" s="527"/>
      <c r="R197" s="526"/>
      <c r="S197" s="534"/>
      <c r="T197" s="534"/>
      <c r="U197" s="534"/>
      <c r="V197" s="534"/>
      <c r="W197" s="534"/>
      <c r="X197" s="534"/>
      <c r="Y197" s="534"/>
      <c r="Z197" s="534"/>
      <c r="AA197" s="534"/>
      <c r="AB197" s="534"/>
      <c r="AC197" s="534"/>
      <c r="AD197" s="534"/>
      <c r="AE197" s="534"/>
      <c r="AF197" s="534"/>
      <c r="AG197" s="534"/>
      <c r="AH197" s="534"/>
      <c r="AI197" s="534"/>
      <c r="AJ197" s="534"/>
      <c r="AK197" s="534"/>
      <c r="AL197" s="534"/>
      <c r="AM197" s="534"/>
      <c r="AN197" s="534"/>
      <c r="AO197" s="534"/>
    </row>
    <row r="198" spans="1:55" s="947" customFormat="1" x14ac:dyDescent="0.25">
      <c r="A198" s="1042" t="s">
        <v>1</v>
      </c>
      <c r="B198" s="1042"/>
      <c r="C198" s="1001" t="s">
        <v>12</v>
      </c>
      <c r="D198" s="1001" t="s">
        <v>12</v>
      </c>
      <c r="E198" s="1001" t="s">
        <v>13</v>
      </c>
      <c r="F198" s="1001" t="s">
        <v>13</v>
      </c>
      <c r="G198" s="1001" t="s">
        <v>13</v>
      </c>
      <c r="H198" s="1001" t="s">
        <v>13</v>
      </c>
      <c r="I198" s="1001" t="s">
        <v>13</v>
      </c>
      <c r="J198" s="1001" t="s">
        <v>13</v>
      </c>
      <c r="K198" s="1001" t="s">
        <v>13</v>
      </c>
      <c r="L198" s="1001" t="s">
        <v>13</v>
      </c>
      <c r="M198" s="829" t="s">
        <v>2</v>
      </c>
      <c r="N198" s="1001" t="s">
        <v>2</v>
      </c>
      <c r="O198" s="1001" t="s">
        <v>2</v>
      </c>
      <c r="P198" s="1001" t="s">
        <v>2</v>
      </c>
      <c r="Q198" s="1001" t="s">
        <v>2</v>
      </c>
      <c r="R198" s="1001" t="s">
        <v>2</v>
      </c>
      <c r="S198" s="1001" t="s">
        <v>2</v>
      </c>
      <c r="T198" s="830" t="s">
        <v>183</v>
      </c>
      <c r="U198" s="830" t="s">
        <v>183</v>
      </c>
      <c r="V198" s="830" t="s">
        <v>2</v>
      </c>
      <c r="W198" s="830" t="s">
        <v>13</v>
      </c>
      <c r="X198" s="830" t="s">
        <v>13</v>
      </c>
      <c r="Y198" s="830" t="s">
        <v>2</v>
      </c>
      <c r="Z198" s="830" t="s">
        <v>13</v>
      </c>
      <c r="AA198" s="830" t="s">
        <v>2</v>
      </c>
      <c r="AB198" s="888" t="s">
        <v>2</v>
      </c>
      <c r="AC198" s="888" t="s">
        <v>2</v>
      </c>
      <c r="AD198" s="888" t="s">
        <v>13</v>
      </c>
      <c r="AE198" s="888" t="s">
        <v>12</v>
      </c>
      <c r="AF198" s="888" t="s">
        <v>13</v>
      </c>
      <c r="AG198" s="888" t="s">
        <v>12</v>
      </c>
      <c r="AH198" s="888" t="s">
        <v>13</v>
      </c>
      <c r="AI198" s="888" t="s">
        <v>13</v>
      </c>
      <c r="AJ198" s="831" t="s">
        <v>219</v>
      </c>
      <c r="AK198" s="1042" t="s">
        <v>0</v>
      </c>
      <c r="AL198" s="1042"/>
      <c r="AM198" s="833"/>
      <c r="AN198" s="833"/>
      <c r="AO198" s="833"/>
      <c r="AP198" s="833"/>
      <c r="AQ198" s="833"/>
      <c r="AR198" s="833"/>
      <c r="AS198" s="833"/>
      <c r="AT198" s="833"/>
      <c r="AU198" s="803"/>
      <c r="AV198" s="803"/>
      <c r="AW198" s="1042" t="s">
        <v>1</v>
      </c>
      <c r="AX198" s="1043"/>
      <c r="AY198" s="1001" t="s">
        <v>12</v>
      </c>
      <c r="AZ198" s="1044" t="s">
        <v>13</v>
      </c>
      <c r="BA198" s="1045"/>
      <c r="BB198" s="1044" t="s">
        <v>2</v>
      </c>
      <c r="BC198" s="1045"/>
    </row>
    <row r="199" spans="1:55" s="947" customFormat="1" x14ac:dyDescent="0.25">
      <c r="A199" s="1042" t="s">
        <v>0</v>
      </c>
      <c r="B199" s="1042"/>
      <c r="C199" s="834" t="s">
        <v>99</v>
      </c>
      <c r="D199" s="835" t="s">
        <v>100</v>
      </c>
      <c r="E199" s="835" t="s">
        <v>101</v>
      </c>
      <c r="F199" s="834" t="s">
        <v>102</v>
      </c>
      <c r="G199" s="835" t="s">
        <v>97</v>
      </c>
      <c r="H199" s="834" t="s">
        <v>104</v>
      </c>
      <c r="I199" s="835" t="s">
        <v>103</v>
      </c>
      <c r="J199" s="835" t="s">
        <v>178</v>
      </c>
      <c r="K199" s="835" t="s">
        <v>199</v>
      </c>
      <c r="L199" s="834" t="s">
        <v>206</v>
      </c>
      <c r="M199" s="834" t="s">
        <v>105</v>
      </c>
      <c r="N199" s="834" t="s">
        <v>107</v>
      </c>
      <c r="O199" s="835" t="s">
        <v>98</v>
      </c>
      <c r="P199" s="835" t="s">
        <v>106</v>
      </c>
      <c r="Q199" s="835" t="s">
        <v>179</v>
      </c>
      <c r="R199" s="835" t="s">
        <v>198</v>
      </c>
      <c r="S199" s="834" t="s">
        <v>207</v>
      </c>
      <c r="T199" s="834" t="s">
        <v>182</v>
      </c>
      <c r="U199" s="834" t="s">
        <v>184</v>
      </c>
      <c r="V199" s="835" t="s">
        <v>221</v>
      </c>
      <c r="W199" s="835" t="s">
        <v>222</v>
      </c>
      <c r="X199" s="835" t="s">
        <v>255</v>
      </c>
      <c r="Y199" s="835" t="s">
        <v>256</v>
      </c>
      <c r="Z199" s="835" t="s">
        <v>266</v>
      </c>
      <c r="AA199" s="835" t="s">
        <v>267</v>
      </c>
      <c r="AB199" s="889" t="s">
        <v>268</v>
      </c>
      <c r="AC199" s="889" t="s">
        <v>269</v>
      </c>
      <c r="AD199" s="889" t="s">
        <v>295</v>
      </c>
      <c r="AE199" s="889" t="s">
        <v>290</v>
      </c>
      <c r="AF199" s="946" t="s">
        <v>291</v>
      </c>
      <c r="AG199" s="946" t="s">
        <v>292</v>
      </c>
      <c r="AH199" s="889" t="s">
        <v>293</v>
      </c>
      <c r="AI199" s="889" t="s">
        <v>294</v>
      </c>
      <c r="AJ199" s="836"/>
      <c r="AK199" s="903" t="s">
        <v>1</v>
      </c>
      <c r="AL199" s="838" t="s">
        <v>257</v>
      </c>
      <c r="AM199" s="838" t="s">
        <v>258</v>
      </c>
      <c r="AN199" s="838" t="s">
        <v>259</v>
      </c>
      <c r="AO199" s="838" t="s">
        <v>260</v>
      </c>
      <c r="AP199" s="838" t="s">
        <v>261</v>
      </c>
      <c r="AQ199" s="838" t="s">
        <v>262</v>
      </c>
      <c r="AR199" s="838" t="s">
        <v>263</v>
      </c>
      <c r="AS199" s="904" t="s">
        <v>264</v>
      </c>
      <c r="AT199" s="904" t="s">
        <v>265</v>
      </c>
      <c r="AU199" s="988" t="s">
        <v>306</v>
      </c>
      <c r="AV199" s="988"/>
      <c r="AW199" s="1046" t="s">
        <v>0</v>
      </c>
      <c r="AX199" s="1043"/>
      <c r="AY199" s="834" t="s">
        <v>99</v>
      </c>
      <c r="AZ199" s="834" t="s">
        <v>104</v>
      </c>
      <c r="BA199" s="834" t="s">
        <v>206</v>
      </c>
      <c r="BB199" s="834" t="s">
        <v>107</v>
      </c>
      <c r="BC199" s="834" t="s">
        <v>207</v>
      </c>
    </row>
    <row r="200" spans="1:55" s="947" customFormat="1" ht="30" x14ac:dyDescent="0.25">
      <c r="A200" s="1047" t="s">
        <v>9</v>
      </c>
      <c r="B200" s="839" t="s">
        <v>4</v>
      </c>
      <c r="C200" s="840">
        <v>250018.4</v>
      </c>
      <c r="D200" s="840">
        <v>150516.70000000001</v>
      </c>
      <c r="E200" s="840">
        <v>150516.70000000001</v>
      </c>
      <c r="F200" s="840">
        <v>181998.8</v>
      </c>
      <c r="G200" s="840">
        <v>165765.70000000001</v>
      </c>
      <c r="H200" s="840">
        <v>389505</v>
      </c>
      <c r="I200" s="840">
        <v>171975.5</v>
      </c>
      <c r="J200" s="840">
        <v>166078</v>
      </c>
      <c r="K200" s="840">
        <v>124019.2</v>
      </c>
      <c r="L200" s="840">
        <v>224071.2</v>
      </c>
      <c r="M200" s="840">
        <v>193029.1</v>
      </c>
      <c r="N200" s="840">
        <v>438219.9</v>
      </c>
      <c r="O200" s="840">
        <v>83038.8</v>
      </c>
      <c r="P200" s="840">
        <v>276130.40000000002</v>
      </c>
      <c r="Q200" s="840">
        <v>83038.8</v>
      </c>
      <c r="R200" s="840">
        <v>191618.2</v>
      </c>
      <c r="S200" s="840">
        <v>262288.90000000002</v>
      </c>
      <c r="T200" s="840">
        <v>55151</v>
      </c>
      <c r="U200" s="840">
        <v>33090.5</v>
      </c>
      <c r="V200" s="840">
        <v>102196.5</v>
      </c>
      <c r="W200" s="840">
        <v>209496.5</v>
      </c>
      <c r="X200" s="840">
        <v>102196.5</v>
      </c>
      <c r="Y200" s="840">
        <v>209496.5</v>
      </c>
      <c r="Z200" s="840">
        <v>102196.5</v>
      </c>
      <c r="AA200" s="840">
        <v>209496.5</v>
      </c>
      <c r="AB200" s="840">
        <v>328695.2</v>
      </c>
      <c r="AC200" s="901">
        <v>190871.2</v>
      </c>
      <c r="AD200" s="901">
        <v>224071.2</v>
      </c>
      <c r="AE200" s="901">
        <v>224071.2</v>
      </c>
      <c r="AF200" s="901">
        <v>156194.1</v>
      </c>
      <c r="AG200" s="901">
        <v>156194.1</v>
      </c>
      <c r="AH200" s="901">
        <v>224066.1</v>
      </c>
      <c r="AI200" s="901"/>
      <c r="AJ200" s="840">
        <v>6029312.8999999985</v>
      </c>
      <c r="AK200" s="841" t="s">
        <v>4</v>
      </c>
      <c r="AL200" s="863">
        <v>474089.6</v>
      </c>
      <c r="AM200" s="863">
        <v>306710.80000000005</v>
      </c>
      <c r="AN200" s="863">
        <v>1243712.3</v>
      </c>
      <c r="AO200" s="863">
        <v>1348438.7000000002</v>
      </c>
      <c r="AP200" s="863">
        <v>1413104.3</v>
      </c>
      <c r="AQ200" s="863">
        <v>1155015.7</v>
      </c>
      <c r="AR200" s="863">
        <v>88241.5</v>
      </c>
      <c r="AS200" s="863">
        <v>2810165.2</v>
      </c>
      <c r="AT200" s="863">
        <v>3219147.7</v>
      </c>
      <c r="AU200" s="863">
        <v>6029312.9000000004</v>
      </c>
      <c r="AV200" s="989"/>
      <c r="AW200" s="875" t="s">
        <v>194</v>
      </c>
      <c r="AX200" s="872" t="s">
        <v>4</v>
      </c>
      <c r="AY200" s="840">
        <v>143393</v>
      </c>
      <c r="AZ200" s="840">
        <v>132132</v>
      </c>
      <c r="BA200" s="840">
        <v>83196.100000000006</v>
      </c>
      <c r="BB200" s="840">
        <v>132132.20000000001</v>
      </c>
      <c r="BC200" s="840">
        <v>83196.100000000006</v>
      </c>
    </row>
    <row r="201" spans="1:55" s="947" customFormat="1" x14ac:dyDescent="0.25">
      <c r="A201" s="1047"/>
      <c r="B201" s="844" t="s">
        <v>5</v>
      </c>
      <c r="C201" s="583">
        <v>56865.5</v>
      </c>
      <c r="D201" s="583">
        <v>86225.9</v>
      </c>
      <c r="E201" s="583">
        <v>85973.1</v>
      </c>
      <c r="F201" s="583">
        <v>102005.6</v>
      </c>
      <c r="G201" s="583">
        <v>118058.9</v>
      </c>
      <c r="H201" s="583">
        <v>204639.3</v>
      </c>
      <c r="I201" s="583">
        <v>103396.4</v>
      </c>
      <c r="J201" s="583">
        <v>51593.3</v>
      </c>
      <c r="K201" s="583">
        <v>90317.1</v>
      </c>
      <c r="L201" s="583">
        <v>84421.5</v>
      </c>
      <c r="M201" s="583">
        <v>94981.7</v>
      </c>
      <c r="N201" s="583">
        <v>210368.2</v>
      </c>
      <c r="O201" s="583">
        <v>59548.7</v>
      </c>
      <c r="P201" s="583">
        <v>188615.5</v>
      </c>
      <c r="Q201" s="583">
        <v>26667.7</v>
      </c>
      <c r="R201" s="583">
        <v>145361.79999999999</v>
      </c>
      <c r="S201" s="583">
        <v>170874.4</v>
      </c>
      <c r="T201" s="583">
        <v>17841</v>
      </c>
      <c r="U201" s="583">
        <v>11553.4</v>
      </c>
      <c r="V201" s="583">
        <v>15387.1</v>
      </c>
      <c r="W201" s="583">
        <v>30774</v>
      </c>
      <c r="X201" s="583">
        <v>25971.9</v>
      </c>
      <c r="Y201" s="583">
        <v>51032.1</v>
      </c>
      <c r="Z201" s="583">
        <v>7612.1</v>
      </c>
      <c r="AA201" s="583">
        <v>15222.3</v>
      </c>
      <c r="AB201" s="583">
        <v>60743</v>
      </c>
      <c r="AC201" s="583">
        <v>4.9000000000000004</v>
      </c>
      <c r="AD201" s="583">
        <v>10935</v>
      </c>
      <c r="AE201" s="583">
        <v>56184.6</v>
      </c>
      <c r="AF201" s="583">
        <v>8115.5</v>
      </c>
      <c r="AG201" s="583">
        <v>8115.5</v>
      </c>
      <c r="AH201" s="583">
        <v>6399</v>
      </c>
      <c r="AI201" s="583"/>
      <c r="AJ201" s="845">
        <v>2205806</v>
      </c>
      <c r="AK201" s="846" t="s">
        <v>5</v>
      </c>
      <c r="AL201" s="863">
        <v>113050.1</v>
      </c>
      <c r="AM201" s="863">
        <v>94341.4</v>
      </c>
      <c r="AN201" s="863">
        <v>408400.4</v>
      </c>
      <c r="AO201" s="863">
        <v>521812.30000000005</v>
      </c>
      <c r="AP201" s="863">
        <v>536972.20000000007</v>
      </c>
      <c r="AQ201" s="863">
        <v>501835.19999999995</v>
      </c>
      <c r="AR201" s="863">
        <v>29394.400000000001</v>
      </c>
      <c r="AS201" s="863">
        <v>1117988.8999999999</v>
      </c>
      <c r="AT201" s="863">
        <v>1087817.1000000001</v>
      </c>
      <c r="AU201" s="863">
        <v>2205806</v>
      </c>
      <c r="AV201" s="990"/>
      <c r="AW201" s="876"/>
      <c r="AX201" s="873" t="s">
        <v>5</v>
      </c>
      <c r="AY201" s="583">
        <v>51964.9</v>
      </c>
      <c r="AZ201" s="583">
        <v>58542</v>
      </c>
      <c r="BA201" s="583">
        <v>2519</v>
      </c>
      <c r="BB201" s="583">
        <v>70731</v>
      </c>
      <c r="BC201" s="583">
        <v>31444.9</v>
      </c>
    </row>
    <row r="202" spans="1:55" s="947" customFormat="1" x14ac:dyDescent="0.25">
      <c r="A202" s="1047"/>
      <c r="B202" s="848" t="s">
        <v>3</v>
      </c>
      <c r="C202" s="849">
        <v>0.22744526002886187</v>
      </c>
      <c r="D202" s="849">
        <v>0.57286600091551299</v>
      </c>
      <c r="E202" s="849">
        <v>0.57118645306467652</v>
      </c>
      <c r="F202" s="850">
        <v>0.56047402510346234</v>
      </c>
      <c r="G202" s="850">
        <v>0.71220342929809954</v>
      </c>
      <c r="H202" s="849">
        <v>0.52538298609773937</v>
      </c>
      <c r="I202" s="850">
        <v>0.6012275004288401</v>
      </c>
      <c r="J202" s="849">
        <v>0.31065704066763811</v>
      </c>
      <c r="K202" s="850">
        <v>0.72825094824027259</v>
      </c>
      <c r="L202" s="849">
        <v>0.37676193995480006</v>
      </c>
      <c r="M202" s="850">
        <v>0.4920589693471088</v>
      </c>
      <c r="N202" s="849">
        <v>0.48005168181545382</v>
      </c>
      <c r="O202" s="850">
        <v>0.71711898534179197</v>
      </c>
      <c r="P202" s="850">
        <v>0.68306676845432446</v>
      </c>
      <c r="Q202" s="849">
        <v>0.32114746359533136</v>
      </c>
      <c r="R202" s="850">
        <v>0.75860121846463424</v>
      </c>
      <c r="S202" s="849">
        <v>0.65147400442794179</v>
      </c>
      <c r="T202" s="849">
        <v>0.32349368098493225</v>
      </c>
      <c r="U202" s="849">
        <v>0.349145525150723</v>
      </c>
      <c r="V202" s="849">
        <v>0.15056386471160951</v>
      </c>
      <c r="W202" s="849">
        <v>0.14689505552598731</v>
      </c>
      <c r="X202" s="849">
        <v>0.25413688335706214</v>
      </c>
      <c r="Y202" s="849">
        <v>0.24359404572391424</v>
      </c>
      <c r="Z202" s="849">
        <v>7.448493832959055E-2</v>
      </c>
      <c r="AA202" s="849">
        <v>7.2661357110977987E-2</v>
      </c>
      <c r="AB202" s="849">
        <v>0.18480038649788619</v>
      </c>
      <c r="AC202" s="849">
        <v>2.5671761900171424E-5</v>
      </c>
      <c r="AD202" s="849">
        <v>4.8801452395488575E-2</v>
      </c>
      <c r="AE202" s="849">
        <v>0.25074440624230154</v>
      </c>
      <c r="AF202" s="849">
        <v>5.1957788418384561E-2</v>
      </c>
      <c r="AG202" s="849">
        <v>5.1957788418384561E-2</v>
      </c>
      <c r="AH202" s="849">
        <v>2.855853696743952E-2</v>
      </c>
      <c r="AI202" s="849"/>
      <c r="AJ202" s="851">
        <v>0.36584699394188025</v>
      </c>
      <c r="AK202" s="852" t="s">
        <v>3</v>
      </c>
      <c r="AL202" s="849">
        <v>0.2384572452127193</v>
      </c>
      <c r="AM202" s="849">
        <v>0.30759073368137013</v>
      </c>
      <c r="AN202" s="849">
        <v>0.32837208412267049</v>
      </c>
      <c r="AO202" s="849">
        <v>0.38697517358408651</v>
      </c>
      <c r="AP202" s="849">
        <v>0.37999473924182386</v>
      </c>
      <c r="AQ202" s="849">
        <v>0.43448344468391209</v>
      </c>
      <c r="AR202" s="849">
        <v>0.33311310437832542</v>
      </c>
      <c r="AS202" s="849">
        <v>0.39783742962869223</v>
      </c>
      <c r="AT202" s="849">
        <v>0.33792084159418967</v>
      </c>
      <c r="AU202" s="849">
        <v>0.36584699394188014</v>
      </c>
      <c r="AV202" s="991"/>
      <c r="AW202" s="876"/>
      <c r="AX202" s="874" t="s">
        <v>3</v>
      </c>
      <c r="AY202" s="849">
        <v>0.36239495651810061</v>
      </c>
      <c r="AZ202" s="849">
        <v>0.44305694305694304</v>
      </c>
      <c r="BA202" s="849">
        <v>3.0277861582453984E-2</v>
      </c>
      <c r="BB202" s="849">
        <v>0.53530479322981073</v>
      </c>
      <c r="BC202" s="849">
        <v>0.37796122654787906</v>
      </c>
    </row>
    <row r="203" spans="1:55" s="947" customFormat="1" ht="30" x14ac:dyDescent="0.25">
      <c r="A203" s="1040" t="s">
        <v>6</v>
      </c>
      <c r="B203" s="854" t="s">
        <v>7</v>
      </c>
      <c r="C203" s="840">
        <v>3865</v>
      </c>
      <c r="D203" s="840">
        <v>3620</v>
      </c>
      <c r="E203" s="840">
        <v>3560</v>
      </c>
      <c r="F203" s="840">
        <v>6629</v>
      </c>
      <c r="G203" s="840">
        <v>8432</v>
      </c>
      <c r="H203" s="840">
        <v>15082</v>
      </c>
      <c r="I203" s="840">
        <v>7332</v>
      </c>
      <c r="J203" s="840">
        <v>9599</v>
      </c>
      <c r="K203" s="840">
        <v>7072</v>
      </c>
      <c r="L203" s="840">
        <v>9334</v>
      </c>
      <c r="M203" s="840">
        <v>5894</v>
      </c>
      <c r="N203" s="840">
        <v>11562</v>
      </c>
      <c r="O203" s="840">
        <v>4357</v>
      </c>
      <c r="P203" s="840">
        <v>8784</v>
      </c>
      <c r="Q203" s="840">
        <v>4799</v>
      </c>
      <c r="R203" s="840">
        <v>9711</v>
      </c>
      <c r="S203" s="840">
        <v>11560</v>
      </c>
      <c r="T203" s="855">
        <v>2480</v>
      </c>
      <c r="U203" s="855">
        <v>1570</v>
      </c>
      <c r="V203" s="840">
        <v>3999</v>
      </c>
      <c r="W203" s="840">
        <v>7999</v>
      </c>
      <c r="X203" s="840">
        <v>3999</v>
      </c>
      <c r="Y203" s="840">
        <v>7999</v>
      </c>
      <c r="Z203" s="840">
        <v>3999</v>
      </c>
      <c r="AA203" s="840">
        <v>7999</v>
      </c>
      <c r="AB203" s="840">
        <v>11999</v>
      </c>
      <c r="AC203" s="840">
        <v>6400</v>
      </c>
      <c r="AD203" s="840">
        <v>6399</v>
      </c>
      <c r="AE203" s="840">
        <v>6399</v>
      </c>
      <c r="AF203" s="840">
        <v>4800</v>
      </c>
      <c r="AG203" s="840">
        <v>4800</v>
      </c>
      <c r="AH203" s="840">
        <v>6400</v>
      </c>
      <c r="AI203" s="840"/>
      <c r="AJ203" s="840">
        <v>218433</v>
      </c>
      <c r="AK203" s="856" t="s">
        <v>7</v>
      </c>
      <c r="AL203" s="858">
        <v>10264</v>
      </c>
      <c r="AM203" s="858">
        <v>8420</v>
      </c>
      <c r="AN203" s="858">
        <v>43844</v>
      </c>
      <c r="AO203" s="858">
        <v>56792</v>
      </c>
      <c r="AP203" s="858">
        <v>47415</v>
      </c>
      <c r="AQ203" s="858">
        <v>47648</v>
      </c>
      <c r="AR203" s="858">
        <v>4050</v>
      </c>
      <c r="AS203" s="858">
        <v>112860</v>
      </c>
      <c r="AT203" s="858">
        <v>105573</v>
      </c>
      <c r="AU203" s="858">
        <v>218433</v>
      </c>
      <c r="AV203" s="657"/>
      <c r="AW203" s="880" t="s">
        <v>190</v>
      </c>
      <c r="AX203" s="879" t="s">
        <v>4</v>
      </c>
      <c r="AY203" s="857">
        <v>9191.7999999999993</v>
      </c>
      <c r="AZ203" s="857">
        <v>13787.7</v>
      </c>
      <c r="BA203" s="857">
        <v>8804.7999999999993</v>
      </c>
      <c r="BB203" s="857">
        <v>13787.7</v>
      </c>
      <c r="BC203" s="857">
        <v>8804.7999999999993</v>
      </c>
    </row>
    <row r="204" spans="1:55" s="947" customFormat="1" x14ac:dyDescent="0.25">
      <c r="A204" s="1040"/>
      <c r="B204" s="839" t="s">
        <v>11</v>
      </c>
      <c r="C204" s="858">
        <v>130316.205</v>
      </c>
      <c r="D204" s="858">
        <v>122055.54</v>
      </c>
      <c r="E204" s="858">
        <v>120032.51999999999</v>
      </c>
      <c r="F204" s="858">
        <v>223509.99299999999</v>
      </c>
      <c r="G204" s="858">
        <v>284301.74400000001</v>
      </c>
      <c r="H204" s="858">
        <v>508519.79399999999</v>
      </c>
      <c r="I204" s="858">
        <v>247213.04399999999</v>
      </c>
      <c r="J204" s="858">
        <v>323649.48300000001</v>
      </c>
      <c r="K204" s="858">
        <v>238446.62399999998</v>
      </c>
      <c r="L204" s="858">
        <v>314714.478</v>
      </c>
      <c r="M204" s="858">
        <v>198727.99799999999</v>
      </c>
      <c r="N204" s="858">
        <v>389835.95399999997</v>
      </c>
      <c r="O204" s="858">
        <v>146904.96899999998</v>
      </c>
      <c r="P204" s="858">
        <v>296170.12799999997</v>
      </c>
      <c r="Q204" s="858">
        <v>161807.883</v>
      </c>
      <c r="R204" s="858">
        <v>327425.78700000001</v>
      </c>
      <c r="S204" s="858">
        <v>389768.51999999996</v>
      </c>
      <c r="T204" s="858">
        <v>83618.16</v>
      </c>
      <c r="U204" s="858">
        <v>52935.689999999995</v>
      </c>
      <c r="V204" s="858">
        <v>134834.283</v>
      </c>
      <c r="W204" s="858">
        <v>269702.283</v>
      </c>
      <c r="X204" s="858">
        <v>134834.283</v>
      </c>
      <c r="Y204" s="858">
        <v>269702.283</v>
      </c>
      <c r="Z204" s="858">
        <v>134834.283</v>
      </c>
      <c r="AA204" s="858">
        <v>269702.283</v>
      </c>
      <c r="AB204" s="858">
        <v>404570.283</v>
      </c>
      <c r="AC204" s="858">
        <v>215788.79999999999</v>
      </c>
      <c r="AD204" s="858">
        <v>215755.08299999998</v>
      </c>
      <c r="AE204" s="858">
        <v>215755.08299999998</v>
      </c>
      <c r="AF204" s="858">
        <v>161841.60000000001</v>
      </c>
      <c r="AG204" s="858">
        <v>161841.60000000001</v>
      </c>
      <c r="AH204" s="858">
        <v>215788.79999999999</v>
      </c>
      <c r="AI204" s="858"/>
      <c r="AJ204" s="859">
        <v>7364905.4609999973</v>
      </c>
      <c r="AK204" s="841" t="s">
        <v>11</v>
      </c>
      <c r="AL204" s="858">
        <v>346071.288</v>
      </c>
      <c r="AM204" s="858">
        <v>283897.14</v>
      </c>
      <c r="AN204" s="858">
        <v>1478288.148</v>
      </c>
      <c r="AO204" s="858">
        <v>1914855.8639999998</v>
      </c>
      <c r="AP204" s="858">
        <v>1598691.5549999999</v>
      </c>
      <c r="AQ204" s="858">
        <v>1606547.6159999999</v>
      </c>
      <c r="AR204" s="858">
        <v>136553.85</v>
      </c>
      <c r="AS204" s="858">
        <v>3805300.6199999996</v>
      </c>
      <c r="AT204" s="858">
        <v>3559604.841</v>
      </c>
      <c r="AU204" s="858">
        <v>7364905.4610000001</v>
      </c>
      <c r="AV204" s="992"/>
      <c r="AW204" s="876"/>
      <c r="AX204" s="873" t="s">
        <v>5</v>
      </c>
      <c r="AY204" s="583">
        <v>7975.5</v>
      </c>
      <c r="AZ204" s="583">
        <v>13649</v>
      </c>
      <c r="BA204" s="583">
        <v>1289.9000000000001</v>
      </c>
      <c r="BB204" s="583">
        <v>13642</v>
      </c>
      <c r="BC204" s="583">
        <v>5483.9</v>
      </c>
    </row>
    <row r="205" spans="1:55" s="947" customFormat="1" x14ac:dyDescent="0.25">
      <c r="A205" s="1040"/>
      <c r="B205" s="839" t="s">
        <v>79</v>
      </c>
      <c r="C205" s="858">
        <v>164000</v>
      </c>
      <c r="D205" s="858">
        <v>109880</v>
      </c>
      <c r="E205" s="858">
        <v>109880</v>
      </c>
      <c r="F205" s="858">
        <v>328000</v>
      </c>
      <c r="G205" s="858">
        <v>330905</v>
      </c>
      <c r="H205" s="858">
        <v>264264</v>
      </c>
      <c r="I205" s="858">
        <v>242663.6</v>
      </c>
      <c r="J205" s="858">
        <v>328000</v>
      </c>
      <c r="K205" s="858">
        <v>328000</v>
      </c>
      <c r="L205" s="858">
        <v>328000</v>
      </c>
      <c r="M205" s="858">
        <v>328000</v>
      </c>
      <c r="N205" s="858">
        <v>264264.40000000002</v>
      </c>
      <c r="O205" s="858">
        <v>328000</v>
      </c>
      <c r="P205" s="858">
        <v>352965.4</v>
      </c>
      <c r="Q205" s="858">
        <v>328000</v>
      </c>
      <c r="R205" s="858">
        <v>328000</v>
      </c>
      <c r="S205" s="858">
        <v>328000</v>
      </c>
      <c r="T205" s="858">
        <v>110302</v>
      </c>
      <c r="U205" s="858">
        <v>66181</v>
      </c>
      <c r="V205" s="858">
        <v>204393</v>
      </c>
      <c r="W205" s="858">
        <v>418993</v>
      </c>
      <c r="X205" s="858">
        <v>204393</v>
      </c>
      <c r="Y205" s="858">
        <v>418993</v>
      </c>
      <c r="Z205" s="858">
        <v>204393</v>
      </c>
      <c r="AA205" s="858">
        <v>418993</v>
      </c>
      <c r="AB205" s="858">
        <v>657390.4</v>
      </c>
      <c r="AC205" s="858">
        <v>381742.4</v>
      </c>
      <c r="AD205" s="858">
        <v>448142.4</v>
      </c>
      <c r="AE205" s="858">
        <v>448142.4</v>
      </c>
      <c r="AF205" s="858">
        <v>312388.2</v>
      </c>
      <c r="AG205" s="858">
        <v>312388.2</v>
      </c>
      <c r="AH205" s="858">
        <v>448132.2</v>
      </c>
      <c r="AI205" s="858"/>
      <c r="AJ205" s="859">
        <v>9845789.5999999996</v>
      </c>
      <c r="AK205" s="841" t="s">
        <v>79</v>
      </c>
      <c r="AL205" s="858">
        <v>948179.2</v>
      </c>
      <c r="AM205" s="858">
        <v>613421.60000000009</v>
      </c>
      <c r="AN205" s="858">
        <v>2487424.6</v>
      </c>
      <c r="AO205" s="858">
        <v>2696877.4000000004</v>
      </c>
      <c r="AP205" s="858">
        <v>2826208.6</v>
      </c>
      <c r="AQ205" s="858">
        <v>2310031.4</v>
      </c>
      <c r="AR205" s="858">
        <v>176483</v>
      </c>
      <c r="AS205" s="858">
        <v>5620330.4000000004</v>
      </c>
      <c r="AT205" s="858">
        <v>6438295.4000000004</v>
      </c>
      <c r="AU205" s="858">
        <v>12058625.800000001</v>
      </c>
      <c r="AV205" s="993"/>
      <c r="AW205" s="877"/>
      <c r="AX205" s="874" t="s">
        <v>3</v>
      </c>
      <c r="AY205" s="849">
        <v>0.86767553689157739</v>
      </c>
      <c r="AZ205" s="849">
        <v>0.98994030911609621</v>
      </c>
      <c r="BA205" s="849">
        <v>0.14649963656187537</v>
      </c>
      <c r="BB205" s="849">
        <v>0.98943261022505558</v>
      </c>
      <c r="BC205" s="849">
        <v>0.62283072869343992</v>
      </c>
    </row>
    <row r="206" spans="1:55" s="947" customFormat="1" ht="45" x14ac:dyDescent="0.25">
      <c r="A206" s="1040"/>
      <c r="B206" s="844" t="s">
        <v>8</v>
      </c>
      <c r="C206" s="861">
        <v>3381</v>
      </c>
      <c r="D206" s="861">
        <v>2751</v>
      </c>
      <c r="E206" s="861">
        <v>2694</v>
      </c>
      <c r="F206" s="861">
        <v>5141</v>
      </c>
      <c r="G206" s="861">
        <v>3366</v>
      </c>
      <c r="H206" s="861">
        <v>12575</v>
      </c>
      <c r="I206" s="861">
        <v>6021</v>
      </c>
      <c r="J206" s="861">
        <v>1380</v>
      </c>
      <c r="K206" s="861">
        <v>6068</v>
      </c>
      <c r="L206" s="861">
        <v>6562</v>
      </c>
      <c r="M206" s="861">
        <v>4087</v>
      </c>
      <c r="N206" s="861">
        <v>10495</v>
      </c>
      <c r="O206" s="861">
        <v>3436</v>
      </c>
      <c r="P206" s="861">
        <v>6966</v>
      </c>
      <c r="Q206" s="861">
        <v>1828</v>
      </c>
      <c r="R206" s="861">
        <v>4629</v>
      </c>
      <c r="S206" s="861">
        <v>9851</v>
      </c>
      <c r="T206" s="598">
        <v>1888</v>
      </c>
      <c r="U206" s="598">
        <v>1197</v>
      </c>
      <c r="V206" s="861">
        <v>1872</v>
      </c>
      <c r="W206" s="861">
        <v>2504</v>
      </c>
      <c r="X206" s="861">
        <v>1393</v>
      </c>
      <c r="Y206" s="861">
        <v>1701</v>
      </c>
      <c r="Z206" s="861">
        <v>1388</v>
      </c>
      <c r="AA206" s="861">
        <v>2432</v>
      </c>
      <c r="AB206" s="861">
        <v>5649</v>
      </c>
      <c r="AC206" s="861">
        <v>0</v>
      </c>
      <c r="AD206" s="861">
        <v>1342</v>
      </c>
      <c r="AE206" s="861">
        <v>2231</v>
      </c>
      <c r="AF206" s="861">
        <v>285</v>
      </c>
      <c r="AG206" s="861">
        <v>285</v>
      </c>
      <c r="AH206" s="861">
        <v>6400</v>
      </c>
      <c r="AI206" s="861"/>
      <c r="AJ206" s="840">
        <v>121798</v>
      </c>
      <c r="AK206" s="846" t="s">
        <v>8</v>
      </c>
      <c r="AL206" s="858">
        <v>5612</v>
      </c>
      <c r="AM206" s="858">
        <v>3036</v>
      </c>
      <c r="AN206" s="858">
        <v>32020</v>
      </c>
      <c r="AO206" s="858">
        <v>25099</v>
      </c>
      <c r="AP206" s="858">
        <v>30082</v>
      </c>
      <c r="AQ206" s="858">
        <v>22864</v>
      </c>
      <c r="AR206" s="858">
        <v>3085</v>
      </c>
      <c r="AS206" s="858">
        <v>50999</v>
      </c>
      <c r="AT206" s="858">
        <v>70799</v>
      </c>
      <c r="AU206" s="858">
        <v>121798</v>
      </c>
      <c r="AV206" s="993"/>
      <c r="AW206" s="877" t="s">
        <v>191</v>
      </c>
      <c r="AX206" s="839" t="s">
        <v>4</v>
      </c>
      <c r="AY206" s="840">
        <v>97433.600000000006</v>
      </c>
      <c r="AZ206" s="840">
        <v>243584.4</v>
      </c>
      <c r="BA206" s="840">
        <v>132070.29999999999</v>
      </c>
      <c r="BB206" s="840">
        <v>292299.3</v>
      </c>
      <c r="BC206" s="840">
        <v>132070.39999999999</v>
      </c>
    </row>
    <row r="207" spans="1:55" s="947" customFormat="1" x14ac:dyDescent="0.25">
      <c r="A207" s="1040"/>
      <c r="B207" s="839" t="s">
        <v>77</v>
      </c>
      <c r="C207" s="858">
        <v>113997.177</v>
      </c>
      <c r="D207" s="858">
        <v>92755.46699999999</v>
      </c>
      <c r="E207" s="858">
        <v>90833.597999999998</v>
      </c>
      <c r="F207" s="858">
        <v>173339.09699999998</v>
      </c>
      <c r="G207" s="858">
        <v>113491.42199999999</v>
      </c>
      <c r="H207" s="858">
        <v>423991.27499999997</v>
      </c>
      <c r="I207" s="858">
        <v>203010.057</v>
      </c>
      <c r="J207" s="858">
        <v>46529.46</v>
      </c>
      <c r="K207" s="858">
        <v>204594.75599999999</v>
      </c>
      <c r="L207" s="858">
        <v>221250.954</v>
      </c>
      <c r="M207" s="858">
        <v>137801.37899999999</v>
      </c>
      <c r="N207" s="858">
        <v>353859.91499999998</v>
      </c>
      <c r="O207" s="858">
        <v>115851.61199999999</v>
      </c>
      <c r="P207" s="858">
        <v>146736.38400000002</v>
      </c>
      <c r="Q207" s="858">
        <v>61634.675999999999</v>
      </c>
      <c r="R207" s="858">
        <v>156075.99299999999</v>
      </c>
      <c r="S207" s="858">
        <v>332146.16700000002</v>
      </c>
      <c r="T207" s="863">
        <v>63657.695999999996</v>
      </c>
      <c r="U207" s="863">
        <v>40359.248999999996</v>
      </c>
      <c r="V207" s="863">
        <v>63118.223999999995</v>
      </c>
      <c r="W207" s="863">
        <v>84427.368000000002</v>
      </c>
      <c r="X207" s="863">
        <v>46967.780999999995</v>
      </c>
      <c r="Y207" s="863">
        <v>57352.616999999998</v>
      </c>
      <c r="Z207" s="863">
        <v>46799.195999999996</v>
      </c>
      <c r="AA207" s="863">
        <v>81999.743999999992</v>
      </c>
      <c r="AB207" s="863">
        <v>190467.33299999998</v>
      </c>
      <c r="AC207" s="863">
        <v>0</v>
      </c>
      <c r="AD207" s="863">
        <v>45248.214</v>
      </c>
      <c r="AE207" s="863">
        <v>75222.626999999993</v>
      </c>
      <c r="AF207" s="863">
        <v>9609.3449999999993</v>
      </c>
      <c r="AG207" s="863">
        <v>9609.3449999999993</v>
      </c>
      <c r="AH207" s="863">
        <v>215788.79999999999</v>
      </c>
      <c r="AI207" s="863"/>
      <c r="AJ207" s="864">
        <v>4018526.9279999994</v>
      </c>
      <c r="AK207" s="841" t="s">
        <v>77</v>
      </c>
      <c r="AL207" s="858">
        <v>189219.804</v>
      </c>
      <c r="AM207" s="858">
        <v>102364.81199999999</v>
      </c>
      <c r="AN207" s="858">
        <v>1079618.3399999999</v>
      </c>
      <c r="AO207" s="858">
        <v>846262.98300000001</v>
      </c>
      <c r="AP207" s="858">
        <v>1014274.794</v>
      </c>
      <c r="AQ207" s="858">
        <v>770905.48800000001</v>
      </c>
      <c r="AR207" s="858">
        <v>104016.94499999999</v>
      </c>
      <c r="AS207" s="858">
        <v>1719533.2829999998</v>
      </c>
      <c r="AT207" s="858">
        <v>2387129.8829999999</v>
      </c>
      <c r="AU207" s="858">
        <v>4106663.1659999997</v>
      </c>
      <c r="AV207" s="915"/>
      <c r="AW207" s="1000"/>
      <c r="AX207" s="844" t="s">
        <v>5</v>
      </c>
      <c r="AY207" s="583">
        <v>38973.199999999997</v>
      </c>
      <c r="AZ207" s="583">
        <v>124350.5</v>
      </c>
      <c r="BA207" s="583">
        <v>3817.1</v>
      </c>
      <c r="BB207" s="583">
        <v>109009</v>
      </c>
      <c r="BC207" s="583">
        <v>33401</v>
      </c>
    </row>
    <row r="208" spans="1:55" s="947" customFormat="1" x14ac:dyDescent="0.25">
      <c r="A208" s="1040"/>
      <c r="B208" s="848" t="s">
        <v>217</v>
      </c>
      <c r="C208" s="849">
        <v>0.455955149700982</v>
      </c>
      <c r="D208" s="849">
        <v>0.61624701445088803</v>
      </c>
      <c r="E208" s="866">
        <v>0.60347853759748915</v>
      </c>
      <c r="F208" s="866">
        <v>0.95241890056417955</v>
      </c>
      <c r="G208" s="866">
        <v>0.68464961086642162</v>
      </c>
      <c r="H208" s="866">
        <v>1.0885387222243617</v>
      </c>
      <c r="I208" s="866">
        <v>1.1804591758709817</v>
      </c>
      <c r="J208" s="866">
        <v>0.2801663073977288</v>
      </c>
      <c r="K208" s="866">
        <v>1.6497022719062855</v>
      </c>
      <c r="L208" s="866">
        <v>0.98741361674324946</v>
      </c>
      <c r="M208" s="866">
        <v>0.71388914417567084</v>
      </c>
      <c r="N208" s="866">
        <v>0.80749394310938405</v>
      </c>
      <c r="O208" s="866">
        <v>1.3951503634445583</v>
      </c>
      <c r="P208" s="866">
        <v>0.53140249679137108</v>
      </c>
      <c r="Q208" s="866">
        <v>0.74223948322952638</v>
      </c>
      <c r="R208" s="866">
        <v>0.81451549487470387</v>
      </c>
      <c r="S208" s="866">
        <v>1.2663371076702064</v>
      </c>
      <c r="T208" s="849">
        <v>1.1542437308480353</v>
      </c>
      <c r="U208" s="849">
        <v>1.2196627128632083</v>
      </c>
      <c r="V208" s="849">
        <v>0.61761629801411977</v>
      </c>
      <c r="W208" s="849">
        <v>0.4030013293778178</v>
      </c>
      <c r="X208" s="849">
        <v>0.45958306791328468</v>
      </c>
      <c r="Y208" s="849">
        <v>0.27376408197750318</v>
      </c>
      <c r="Z208" s="849">
        <v>0.4579334517326914</v>
      </c>
      <c r="AA208" s="849">
        <v>0.39141343172797632</v>
      </c>
      <c r="AB208" s="849">
        <v>0.5794649054808223</v>
      </c>
      <c r="AC208" s="849">
        <v>0</v>
      </c>
      <c r="AD208" s="849">
        <v>0.20193676831292909</v>
      </c>
      <c r="AE208" s="849">
        <v>0.33570859173334183</v>
      </c>
      <c r="AF208" s="849">
        <v>6.1521818045623997E-2</v>
      </c>
      <c r="AG208" s="849">
        <v>6.1521818045623997E-2</v>
      </c>
      <c r="AH208" s="849">
        <v>0.96305866884816571</v>
      </c>
      <c r="AI208" s="849"/>
      <c r="AJ208" s="851">
        <v>0.66649832155833222</v>
      </c>
      <c r="AK208" s="852" t="s">
        <v>217</v>
      </c>
      <c r="AL208" s="849">
        <v>0.39912245280217074</v>
      </c>
      <c r="AM208" s="849">
        <v>0.3337502689830289</v>
      </c>
      <c r="AN208" s="849">
        <v>0.8680611585171264</v>
      </c>
      <c r="AO208" s="849">
        <v>0.62758728520621654</v>
      </c>
      <c r="AP208" s="849">
        <v>0.71776357484723519</v>
      </c>
      <c r="AQ208" s="849">
        <v>0.66744156637870811</v>
      </c>
      <c r="AR208" s="849">
        <v>1.1787758027685384</v>
      </c>
      <c r="AS208" s="849">
        <v>0.61189757918858279</v>
      </c>
      <c r="AT208" s="849">
        <v>0.7415409622242557</v>
      </c>
      <c r="AU208" s="849">
        <v>0.68111627877199732</v>
      </c>
      <c r="AV208" s="914"/>
      <c r="AW208" s="1000"/>
      <c r="AX208" s="848" t="s">
        <v>3</v>
      </c>
      <c r="AY208" s="849">
        <v>0.39999753678402516</v>
      </c>
      <c r="AZ208" s="849">
        <v>0.51050272513346506</v>
      </c>
      <c r="BA208" s="849">
        <v>2.8902031720984961E-2</v>
      </c>
      <c r="BB208" s="849">
        <v>0.37293623351133581</v>
      </c>
      <c r="BC208" s="849">
        <v>0.25290299718937781</v>
      </c>
    </row>
    <row r="209" spans="1:55" s="947" customFormat="1" x14ac:dyDescent="0.25">
      <c r="A209" s="1000"/>
      <c r="B209" s="848" t="s">
        <v>218</v>
      </c>
      <c r="C209" s="598">
        <v>103660</v>
      </c>
      <c r="D209" s="598">
        <v>92350.3</v>
      </c>
      <c r="E209" s="598">
        <v>90428.4</v>
      </c>
      <c r="F209" s="598">
        <v>171249</v>
      </c>
      <c r="G209" s="598">
        <v>111205</v>
      </c>
      <c r="H209" s="598">
        <v>427192</v>
      </c>
      <c r="I209" s="598">
        <v>128126</v>
      </c>
      <c r="J209" s="598">
        <v>46570.3</v>
      </c>
      <c r="K209" s="598">
        <v>146177</v>
      </c>
      <c r="L209" s="598">
        <v>221638</v>
      </c>
      <c r="M209" s="598">
        <v>133914</v>
      </c>
      <c r="N209" s="598">
        <v>353940</v>
      </c>
      <c r="O209" s="598">
        <v>115895</v>
      </c>
      <c r="P209" s="598">
        <v>120688</v>
      </c>
      <c r="Q209" s="598">
        <v>61685.9</v>
      </c>
      <c r="R209" s="598">
        <v>142313</v>
      </c>
      <c r="S209" s="598">
        <v>332331</v>
      </c>
      <c r="T209" s="598">
        <v>63657.4</v>
      </c>
      <c r="U209" s="598">
        <v>40359.1</v>
      </c>
      <c r="V209" s="598">
        <v>63151.7</v>
      </c>
      <c r="W209" s="598">
        <v>63151.7</v>
      </c>
      <c r="X209" s="598">
        <v>47026.6</v>
      </c>
      <c r="Y209" s="598">
        <v>46991.8</v>
      </c>
      <c r="Z209" s="598">
        <v>34638.9</v>
      </c>
      <c r="AA209" s="598">
        <v>34635.800000000003</v>
      </c>
      <c r="AB209" s="598">
        <v>190557</v>
      </c>
      <c r="AC209" s="598">
        <v>0</v>
      </c>
      <c r="AD209" s="598">
        <v>45299.7</v>
      </c>
      <c r="AE209" s="598">
        <v>75257</v>
      </c>
      <c r="AF209" s="598">
        <v>9616.66</v>
      </c>
      <c r="AG209" s="598">
        <v>9612.4500000000007</v>
      </c>
      <c r="AH209" s="598">
        <v>0</v>
      </c>
      <c r="AI209" s="598"/>
      <c r="AJ209" s="867">
        <v>3523318.7100000004</v>
      </c>
      <c r="AK209" s="852" t="s">
        <v>218</v>
      </c>
      <c r="AL209" s="861">
        <v>178917</v>
      </c>
      <c r="AM209" s="861">
        <v>101962.75</v>
      </c>
      <c r="AN209" s="861">
        <v>865378.7</v>
      </c>
      <c r="AO209" s="861">
        <v>676940.56</v>
      </c>
      <c r="AP209" s="861">
        <v>1010742</v>
      </c>
      <c r="AQ209" s="861">
        <v>585361.20000000007</v>
      </c>
      <c r="AR209" s="861">
        <v>104016.5</v>
      </c>
      <c r="AS209" s="861">
        <v>1364264.5100000002</v>
      </c>
      <c r="AT209" s="861">
        <v>2159054.2000000002</v>
      </c>
      <c r="AU209" s="861">
        <v>3523318.7100000004</v>
      </c>
      <c r="AV209" s="916"/>
      <c r="AW209" s="1000" t="s">
        <v>219</v>
      </c>
      <c r="AX209" s="848" t="s">
        <v>3</v>
      </c>
      <c r="AY209" s="849">
        <v>0.38119624665106289</v>
      </c>
      <c r="AZ209" s="849">
        <v>0.47677983409520408</v>
      </c>
      <c r="BA209" s="849">
        <v>2.9589946651719472E-2</v>
      </c>
      <c r="BB209" s="849">
        <v>0.45412051337057324</v>
      </c>
      <c r="BC209" s="849">
        <v>0.31543211186862841</v>
      </c>
    </row>
    <row r="210" spans="1:55" s="947" customFormat="1" x14ac:dyDescent="0.25">
      <c r="A210" s="1000"/>
      <c r="B210" s="848" t="s">
        <v>216</v>
      </c>
      <c r="C210" s="866">
        <v>0.414609484741923</v>
      </c>
      <c r="D210" s="866">
        <v>0.61355517361196465</v>
      </c>
      <c r="E210" s="866">
        <v>0.60078649080135282</v>
      </c>
      <c r="F210" s="866">
        <v>0.94093477539412351</v>
      </c>
      <c r="G210" s="866">
        <v>0.67085651615503084</v>
      </c>
      <c r="H210" s="866">
        <v>1.0967561392023208</v>
      </c>
      <c r="I210" s="866">
        <v>0.74502472735942038</v>
      </c>
      <c r="J210" s="866">
        <v>0.28041221594672383</v>
      </c>
      <c r="K210" s="866">
        <v>1.1786642713386315</v>
      </c>
      <c r="L210" s="866">
        <v>0.98914095162609028</v>
      </c>
      <c r="M210" s="866">
        <v>0.69375032054752361</v>
      </c>
      <c r="N210" s="866">
        <v>0.80767669382426488</v>
      </c>
      <c r="O210" s="866">
        <v>1.3956728661782203</v>
      </c>
      <c r="P210" s="866">
        <v>0.43706886311684623</v>
      </c>
      <c r="Q210" s="866">
        <v>0.74285635148870166</v>
      </c>
      <c r="R210" s="866">
        <v>0.74269041249735146</v>
      </c>
      <c r="S210" s="866">
        <v>1.2670418000914259</v>
      </c>
      <c r="T210" s="866">
        <v>1.1542383637649363</v>
      </c>
      <c r="U210" s="866">
        <v>1.2196582100602891</v>
      </c>
      <c r="V210" s="866">
        <v>0.61794386304814741</v>
      </c>
      <c r="W210" s="866">
        <v>0.30144513154157704</v>
      </c>
      <c r="X210" s="866">
        <v>0.46015861599956942</v>
      </c>
      <c r="Y210" s="866">
        <v>0.22430828199993796</v>
      </c>
      <c r="Z210" s="866">
        <v>0.33894409299731404</v>
      </c>
      <c r="AA210" s="866">
        <v>0.16532877637573898</v>
      </c>
      <c r="AB210" s="866">
        <v>0.57973770228466981</v>
      </c>
      <c r="AC210" s="866">
        <v>0</v>
      </c>
      <c r="AD210" s="866">
        <v>0.20216654349153301</v>
      </c>
      <c r="AE210" s="866">
        <v>0.33586199386623533</v>
      </c>
      <c r="AF210" s="866">
        <v>6.156865080051039E-2</v>
      </c>
      <c r="AG210" s="866">
        <v>6.1541697157575098E-2</v>
      </c>
      <c r="AH210" s="866">
        <v>0</v>
      </c>
      <c r="AI210" s="866"/>
      <c r="AJ210" s="869">
        <v>0.58436488011760035</v>
      </c>
      <c r="AK210" s="852" t="s">
        <v>216</v>
      </c>
      <c r="AL210" s="849">
        <v>0.37739068732998998</v>
      </c>
      <c r="AM210" s="849">
        <v>0.332439385897073</v>
      </c>
      <c r="AN210" s="849">
        <v>0.69580296021837196</v>
      </c>
      <c r="AO210" s="849">
        <v>0.5020180450175451</v>
      </c>
      <c r="AP210" s="849">
        <v>0.71526355131747876</v>
      </c>
      <c r="AQ210" s="849">
        <v>0.50679934480544298</v>
      </c>
      <c r="AR210" s="849">
        <v>1.1787707597898949</v>
      </c>
      <c r="AS210" s="849">
        <v>0.48547484325832524</v>
      </c>
      <c r="AT210" s="849">
        <v>0.67069125160054011</v>
      </c>
      <c r="AU210" s="849">
        <v>0.58436488011760013</v>
      </c>
      <c r="AV210" s="914"/>
      <c r="AW210" s="1000"/>
      <c r="AX210" s="848"/>
      <c r="AY210" s="849"/>
      <c r="AZ210" s="849"/>
      <c r="BA210" s="849"/>
      <c r="BB210" s="849"/>
      <c r="BC210" s="849"/>
    </row>
    <row r="211" spans="1:55" s="947" customFormat="1" x14ac:dyDescent="0.25">
      <c r="A211" s="1041">
        <v>41871</v>
      </c>
      <c r="B211" s="1041"/>
      <c r="C211" s="1041"/>
      <c r="D211" s="529"/>
      <c r="E211" s="529"/>
      <c r="F211" s="529"/>
      <c r="G211" s="529"/>
      <c r="H211" s="529"/>
      <c r="I211" s="525"/>
      <c r="J211" s="531"/>
      <c r="K211" s="531"/>
      <c r="L211" s="529"/>
      <c r="M211" s="529"/>
      <c r="N211" s="527"/>
      <c r="R211" s="526"/>
      <c r="S211" s="534"/>
      <c r="T211" s="534"/>
      <c r="U211" s="534"/>
      <c r="V211" s="534"/>
      <c r="W211" s="534"/>
      <c r="X211" s="534"/>
      <c r="Y211" s="534"/>
      <c r="Z211" s="534"/>
      <c r="AA211" s="534"/>
      <c r="AB211" s="534"/>
      <c r="AC211" s="534"/>
      <c r="AD211" s="534"/>
      <c r="AE211" s="534"/>
      <c r="AF211" s="534"/>
      <c r="AG211" s="534"/>
      <c r="AH211" s="534"/>
      <c r="AI211" s="534"/>
      <c r="AJ211" s="534"/>
      <c r="AK211" s="534"/>
      <c r="AL211" s="534"/>
      <c r="AM211" s="534"/>
      <c r="AN211" s="534"/>
      <c r="AO211" s="534"/>
    </row>
    <row r="212" spans="1:55" s="947" customFormat="1" x14ac:dyDescent="0.25">
      <c r="A212" s="1042" t="s">
        <v>1</v>
      </c>
      <c r="B212" s="1042"/>
      <c r="C212" s="998" t="s">
        <v>12</v>
      </c>
      <c r="D212" s="998" t="s">
        <v>12</v>
      </c>
      <c r="E212" s="998" t="s">
        <v>13</v>
      </c>
      <c r="F212" s="998" t="s">
        <v>13</v>
      </c>
      <c r="G212" s="998" t="s">
        <v>13</v>
      </c>
      <c r="H212" s="998" t="s">
        <v>13</v>
      </c>
      <c r="I212" s="998" t="s">
        <v>13</v>
      </c>
      <c r="J212" s="998" t="s">
        <v>13</v>
      </c>
      <c r="K212" s="998" t="s">
        <v>13</v>
      </c>
      <c r="L212" s="998" t="s">
        <v>13</v>
      </c>
      <c r="M212" s="829" t="s">
        <v>2</v>
      </c>
      <c r="N212" s="998" t="s">
        <v>2</v>
      </c>
      <c r="O212" s="998" t="s">
        <v>2</v>
      </c>
      <c r="P212" s="998" t="s">
        <v>2</v>
      </c>
      <c r="Q212" s="998" t="s">
        <v>2</v>
      </c>
      <c r="R212" s="998" t="s">
        <v>2</v>
      </c>
      <c r="S212" s="998" t="s">
        <v>2</v>
      </c>
      <c r="T212" s="830" t="s">
        <v>183</v>
      </c>
      <c r="U212" s="830" t="s">
        <v>183</v>
      </c>
      <c r="V212" s="830" t="s">
        <v>2</v>
      </c>
      <c r="W212" s="830" t="s">
        <v>13</v>
      </c>
      <c r="X212" s="830" t="s">
        <v>13</v>
      </c>
      <c r="Y212" s="830" t="s">
        <v>2</v>
      </c>
      <c r="Z212" s="830" t="s">
        <v>13</v>
      </c>
      <c r="AA212" s="830" t="s">
        <v>2</v>
      </c>
      <c r="AB212" s="888" t="s">
        <v>2</v>
      </c>
      <c r="AC212" s="888" t="s">
        <v>2</v>
      </c>
      <c r="AD212" s="888" t="s">
        <v>13</v>
      </c>
      <c r="AE212" s="888" t="s">
        <v>12</v>
      </c>
      <c r="AF212" s="888" t="s">
        <v>13</v>
      </c>
      <c r="AG212" s="888" t="s">
        <v>12</v>
      </c>
      <c r="AH212" s="888" t="s">
        <v>13</v>
      </c>
      <c r="AI212" s="888" t="s">
        <v>13</v>
      </c>
      <c r="AJ212" s="831" t="s">
        <v>219</v>
      </c>
      <c r="AK212" s="1042" t="s">
        <v>0</v>
      </c>
      <c r="AL212" s="1042"/>
      <c r="AM212" s="833"/>
      <c r="AN212" s="833"/>
      <c r="AO212" s="833"/>
      <c r="AP212" s="833"/>
      <c r="AQ212" s="833"/>
      <c r="AR212" s="833"/>
      <c r="AS212" s="833"/>
      <c r="AT212" s="833"/>
      <c r="AU212" s="803"/>
      <c r="AV212" s="803"/>
      <c r="AW212" s="1042" t="s">
        <v>1</v>
      </c>
      <c r="AX212" s="1043"/>
      <c r="AY212" s="998" t="s">
        <v>12</v>
      </c>
      <c r="AZ212" s="1044" t="s">
        <v>13</v>
      </c>
      <c r="BA212" s="1045"/>
      <c r="BB212" s="1044" t="s">
        <v>2</v>
      </c>
      <c r="BC212" s="1045"/>
    </row>
    <row r="213" spans="1:55" s="947" customFormat="1" x14ac:dyDescent="0.25">
      <c r="A213" s="1042" t="s">
        <v>0</v>
      </c>
      <c r="B213" s="1042"/>
      <c r="C213" s="834" t="s">
        <v>99</v>
      </c>
      <c r="D213" s="835" t="s">
        <v>100</v>
      </c>
      <c r="E213" s="835" t="s">
        <v>101</v>
      </c>
      <c r="F213" s="834" t="s">
        <v>102</v>
      </c>
      <c r="G213" s="835" t="s">
        <v>97</v>
      </c>
      <c r="H213" s="834" t="s">
        <v>104</v>
      </c>
      <c r="I213" s="835" t="s">
        <v>103</v>
      </c>
      <c r="J213" s="835" t="s">
        <v>178</v>
      </c>
      <c r="K213" s="835" t="s">
        <v>199</v>
      </c>
      <c r="L213" s="834" t="s">
        <v>206</v>
      </c>
      <c r="M213" s="834" t="s">
        <v>105</v>
      </c>
      <c r="N213" s="834" t="s">
        <v>107</v>
      </c>
      <c r="O213" s="835" t="s">
        <v>98</v>
      </c>
      <c r="P213" s="835" t="s">
        <v>106</v>
      </c>
      <c r="Q213" s="835" t="s">
        <v>179</v>
      </c>
      <c r="R213" s="835" t="s">
        <v>198</v>
      </c>
      <c r="S213" s="834" t="s">
        <v>207</v>
      </c>
      <c r="T213" s="834" t="s">
        <v>182</v>
      </c>
      <c r="U213" s="834" t="s">
        <v>184</v>
      </c>
      <c r="V213" s="835" t="s">
        <v>221</v>
      </c>
      <c r="W213" s="835" t="s">
        <v>222</v>
      </c>
      <c r="X213" s="835" t="s">
        <v>255</v>
      </c>
      <c r="Y213" s="835" t="s">
        <v>256</v>
      </c>
      <c r="Z213" s="835" t="s">
        <v>266</v>
      </c>
      <c r="AA213" s="835" t="s">
        <v>267</v>
      </c>
      <c r="AB213" s="889" t="s">
        <v>268</v>
      </c>
      <c r="AC213" s="889" t="s">
        <v>269</v>
      </c>
      <c r="AD213" s="889" t="s">
        <v>295</v>
      </c>
      <c r="AE213" s="889" t="s">
        <v>290</v>
      </c>
      <c r="AF213" s="946" t="s">
        <v>291</v>
      </c>
      <c r="AG213" s="946" t="s">
        <v>292</v>
      </c>
      <c r="AH213" s="889" t="s">
        <v>293</v>
      </c>
      <c r="AI213" s="889" t="s">
        <v>294</v>
      </c>
      <c r="AJ213" s="836"/>
      <c r="AK213" s="903" t="s">
        <v>1</v>
      </c>
      <c r="AL213" s="838" t="s">
        <v>257</v>
      </c>
      <c r="AM213" s="838" t="s">
        <v>258</v>
      </c>
      <c r="AN213" s="838" t="s">
        <v>259</v>
      </c>
      <c r="AO213" s="838" t="s">
        <v>260</v>
      </c>
      <c r="AP213" s="838" t="s">
        <v>261</v>
      </c>
      <c r="AQ213" s="838" t="s">
        <v>262</v>
      </c>
      <c r="AR213" s="838" t="s">
        <v>263</v>
      </c>
      <c r="AS213" s="904" t="s">
        <v>264</v>
      </c>
      <c r="AT213" s="904" t="s">
        <v>265</v>
      </c>
      <c r="AU213" s="988" t="s">
        <v>306</v>
      </c>
      <c r="AV213" s="988"/>
      <c r="AW213" s="1046" t="s">
        <v>0</v>
      </c>
      <c r="AX213" s="1043"/>
      <c r="AY213" s="834" t="s">
        <v>99</v>
      </c>
      <c r="AZ213" s="834" t="s">
        <v>104</v>
      </c>
      <c r="BA213" s="834" t="s">
        <v>206</v>
      </c>
      <c r="BB213" s="834" t="s">
        <v>107</v>
      </c>
      <c r="BC213" s="834" t="s">
        <v>207</v>
      </c>
    </row>
    <row r="214" spans="1:55" s="947" customFormat="1" ht="30" x14ac:dyDescent="0.25">
      <c r="A214" s="1047" t="s">
        <v>9</v>
      </c>
      <c r="B214" s="839" t="s">
        <v>4</v>
      </c>
      <c r="C214" s="840">
        <v>250018.4</v>
      </c>
      <c r="D214" s="840">
        <v>150516.70000000001</v>
      </c>
      <c r="E214" s="840">
        <v>150516.70000000001</v>
      </c>
      <c r="F214" s="840">
        <v>181998.8</v>
      </c>
      <c r="G214" s="840">
        <v>165765.70000000001</v>
      </c>
      <c r="H214" s="840">
        <v>389505</v>
      </c>
      <c r="I214" s="840">
        <v>171975.5</v>
      </c>
      <c r="J214" s="840">
        <v>166078</v>
      </c>
      <c r="K214" s="840">
        <v>124019.2</v>
      </c>
      <c r="L214" s="840">
        <v>224071.2</v>
      </c>
      <c r="M214" s="840">
        <v>193029.1</v>
      </c>
      <c r="N214" s="840">
        <v>438219.9</v>
      </c>
      <c r="O214" s="840">
        <v>83038.8</v>
      </c>
      <c r="P214" s="840">
        <v>276130.40000000002</v>
      </c>
      <c r="Q214" s="840">
        <v>83038.8</v>
      </c>
      <c r="R214" s="840">
        <v>191618.2</v>
      </c>
      <c r="S214" s="840">
        <v>262288.90000000002</v>
      </c>
      <c r="T214" s="840">
        <v>55151</v>
      </c>
      <c r="U214" s="840">
        <v>33090.5</v>
      </c>
      <c r="V214" s="840">
        <v>102196.5</v>
      </c>
      <c r="W214" s="840">
        <v>209496.5</v>
      </c>
      <c r="X214" s="840">
        <v>102196.5</v>
      </c>
      <c r="Y214" s="840">
        <v>209496.5</v>
      </c>
      <c r="Z214" s="840">
        <v>102196.5</v>
      </c>
      <c r="AA214" s="840">
        <v>209496.5</v>
      </c>
      <c r="AB214" s="840">
        <v>328695.2</v>
      </c>
      <c r="AC214" s="901">
        <v>190871.2</v>
      </c>
      <c r="AD214" s="901">
        <v>224071.2</v>
      </c>
      <c r="AE214" s="901">
        <v>224071.2</v>
      </c>
      <c r="AF214" s="901">
        <v>156194.1</v>
      </c>
      <c r="AG214" s="901">
        <v>156194.1</v>
      </c>
      <c r="AH214" s="901">
        <v>224066.1</v>
      </c>
      <c r="AI214" s="901"/>
      <c r="AJ214" s="840">
        <v>6029312.8999999985</v>
      </c>
      <c r="AK214" s="841" t="s">
        <v>4</v>
      </c>
      <c r="AL214" s="863">
        <v>474089.6</v>
      </c>
      <c r="AM214" s="863">
        <v>306710.80000000005</v>
      </c>
      <c r="AN214" s="863">
        <v>1243712.3</v>
      </c>
      <c r="AO214" s="863">
        <v>1348438.7000000002</v>
      </c>
      <c r="AP214" s="863">
        <v>1413104.3</v>
      </c>
      <c r="AQ214" s="863">
        <v>1155015.7</v>
      </c>
      <c r="AR214" s="863">
        <v>88241.5</v>
      </c>
      <c r="AS214" s="863">
        <v>2810165.2</v>
      </c>
      <c r="AT214" s="863">
        <v>3219147.7</v>
      </c>
      <c r="AU214" s="863">
        <v>6029312.9000000004</v>
      </c>
      <c r="AV214" s="989"/>
      <c r="AW214" s="875" t="s">
        <v>194</v>
      </c>
      <c r="AX214" s="872" t="s">
        <v>4</v>
      </c>
      <c r="AY214" s="840">
        <v>143393</v>
      </c>
      <c r="AZ214" s="840">
        <v>132132</v>
      </c>
      <c r="BA214" s="840">
        <v>83196.100000000006</v>
      </c>
      <c r="BB214" s="840">
        <v>132132.20000000001</v>
      </c>
      <c r="BC214" s="840">
        <v>83196.100000000006</v>
      </c>
    </row>
    <row r="215" spans="1:55" s="947" customFormat="1" x14ac:dyDescent="0.25">
      <c r="A215" s="1047"/>
      <c r="B215" s="844" t="s">
        <v>5</v>
      </c>
      <c r="C215" s="583">
        <v>75314.8</v>
      </c>
      <c r="D215" s="583">
        <v>86199.9</v>
      </c>
      <c r="E215" s="583">
        <v>85947.199999999997</v>
      </c>
      <c r="F215" s="583">
        <v>129657.1</v>
      </c>
      <c r="G215" s="583">
        <v>117871.2</v>
      </c>
      <c r="H215" s="583">
        <v>219265.7</v>
      </c>
      <c r="I215" s="583">
        <v>103159.6</v>
      </c>
      <c r="J215" s="583">
        <v>51460.3</v>
      </c>
      <c r="K215" s="583">
        <v>89826.5</v>
      </c>
      <c r="L215" s="583">
        <v>83685.899999999994</v>
      </c>
      <c r="M215" s="583">
        <v>102270</v>
      </c>
      <c r="N215" s="583">
        <v>210264.7</v>
      </c>
      <c r="O215" s="583">
        <v>59456.5</v>
      </c>
      <c r="P215" s="583">
        <v>188124.2</v>
      </c>
      <c r="Q215" s="583">
        <v>26595.599999999999</v>
      </c>
      <c r="R215" s="583">
        <v>144561.4</v>
      </c>
      <c r="S215" s="583">
        <v>169522.5</v>
      </c>
      <c r="T215" s="583">
        <v>17841</v>
      </c>
      <c r="U215" s="583">
        <v>11553.4</v>
      </c>
      <c r="V215" s="583">
        <v>15368.4</v>
      </c>
      <c r="W215" s="583">
        <v>30736.7</v>
      </c>
      <c r="X215" s="583">
        <v>25968.7</v>
      </c>
      <c r="Y215" s="583">
        <v>51026.2</v>
      </c>
      <c r="Z215" s="583">
        <v>7087.9</v>
      </c>
      <c r="AA215" s="583">
        <v>14173.9</v>
      </c>
      <c r="AB215" s="583">
        <v>54722.3</v>
      </c>
      <c r="AC215" s="583">
        <v>4.9000000000000004</v>
      </c>
      <c r="AD215" s="583">
        <v>10792.8</v>
      </c>
      <c r="AE215" s="583">
        <v>55226.2</v>
      </c>
      <c r="AF215" s="583">
        <v>6530.9</v>
      </c>
      <c r="AG215" s="583">
        <v>6530.9</v>
      </c>
      <c r="AH215" s="583">
        <v>6399</v>
      </c>
      <c r="AI215" s="583"/>
      <c r="AJ215" s="845">
        <v>2257146.2999999993</v>
      </c>
      <c r="AK215" s="846" t="s">
        <v>5</v>
      </c>
      <c r="AL215" s="863">
        <v>130541</v>
      </c>
      <c r="AM215" s="863">
        <v>92730.799999999988</v>
      </c>
      <c r="AN215" s="863">
        <v>449800.50000000006</v>
      </c>
      <c r="AO215" s="863">
        <v>518589.00000000006</v>
      </c>
      <c r="AP215" s="863">
        <v>536784.4</v>
      </c>
      <c r="AQ215" s="863">
        <v>499306.2</v>
      </c>
      <c r="AR215" s="863">
        <v>29394.400000000001</v>
      </c>
      <c r="AS215" s="863">
        <v>1110626</v>
      </c>
      <c r="AT215" s="863">
        <v>1146520.2999999998</v>
      </c>
      <c r="AU215" s="863">
        <v>2257146.2999999998</v>
      </c>
      <c r="AV215" s="990"/>
      <c r="AW215" s="876"/>
      <c r="AX215" s="873" t="s">
        <v>5</v>
      </c>
      <c r="AY215" s="583">
        <v>51964.9</v>
      </c>
      <c r="AZ215" s="583">
        <v>58542</v>
      </c>
      <c r="BA215" s="583">
        <v>2519</v>
      </c>
      <c r="BB215" s="583">
        <v>70731</v>
      </c>
      <c r="BC215" s="583">
        <v>31444.9</v>
      </c>
    </row>
    <row r="216" spans="1:55" s="947" customFormat="1" x14ac:dyDescent="0.25">
      <c r="A216" s="1047"/>
      <c r="B216" s="848" t="s">
        <v>3</v>
      </c>
      <c r="C216" s="849">
        <v>0.30123702895466897</v>
      </c>
      <c r="D216" s="849">
        <v>0.5726932626080693</v>
      </c>
      <c r="E216" s="849">
        <v>0.57101437913533837</v>
      </c>
      <c r="F216" s="850">
        <v>0.7124063455363443</v>
      </c>
      <c r="G216" s="850">
        <v>0.71107110819668962</v>
      </c>
      <c r="H216" s="849">
        <v>0.56293423704445389</v>
      </c>
      <c r="I216" s="850">
        <v>0.59985056010885274</v>
      </c>
      <c r="J216" s="849">
        <v>0.30985621214128301</v>
      </c>
      <c r="K216" s="850">
        <v>0.72429510914439055</v>
      </c>
      <c r="L216" s="849">
        <v>0.37347905487184424</v>
      </c>
      <c r="M216" s="850">
        <v>0.52981648880920029</v>
      </c>
      <c r="N216" s="849">
        <v>0.47981549902229453</v>
      </c>
      <c r="O216" s="850">
        <v>0.71600866101147898</v>
      </c>
      <c r="P216" s="850">
        <v>0.68128753661313635</v>
      </c>
      <c r="Q216" s="849">
        <v>0.32027919478605177</v>
      </c>
      <c r="R216" s="850">
        <v>0.75442416221423636</v>
      </c>
      <c r="S216" s="849">
        <v>0.64631976419894244</v>
      </c>
      <c r="T216" s="849">
        <v>0.32349368098493225</v>
      </c>
      <c r="U216" s="849">
        <v>0.349145525150723</v>
      </c>
      <c r="V216" s="849">
        <v>0.15038088388545595</v>
      </c>
      <c r="W216" s="849">
        <v>0.1467170095920457</v>
      </c>
      <c r="X216" s="849">
        <v>0.25410557113012677</v>
      </c>
      <c r="Y216" s="849">
        <v>0.24356588296224518</v>
      </c>
      <c r="Z216" s="849">
        <v>6.935560415474111E-2</v>
      </c>
      <c r="AA216" s="849">
        <v>6.7656977562870979E-2</v>
      </c>
      <c r="AB216" s="849">
        <v>0.16648341685549409</v>
      </c>
      <c r="AC216" s="849">
        <v>2.5671761900171424E-5</v>
      </c>
      <c r="AD216" s="849">
        <v>4.8166832685325019E-2</v>
      </c>
      <c r="AE216" s="849">
        <v>0.24646719435607964</v>
      </c>
      <c r="AF216" s="849">
        <v>4.1812718918320217E-2</v>
      </c>
      <c r="AG216" s="849">
        <v>4.1812718918320217E-2</v>
      </c>
      <c r="AH216" s="849">
        <v>2.855853696743952E-2</v>
      </c>
      <c r="AI216" s="849"/>
      <c r="AJ216" s="851">
        <v>0.37436211015022952</v>
      </c>
      <c r="AK216" s="852" t="s">
        <v>3</v>
      </c>
      <c r="AL216" s="849">
        <v>0.27535090413288965</v>
      </c>
      <c r="AM216" s="849">
        <v>0.3023395328759208</v>
      </c>
      <c r="AN216" s="849">
        <v>0.36165960568211797</v>
      </c>
      <c r="AO216" s="849">
        <v>0.38458477941933883</v>
      </c>
      <c r="AP216" s="849">
        <v>0.37986184034681658</v>
      </c>
      <c r="AQ216" s="849">
        <v>0.43229386405743231</v>
      </c>
      <c r="AR216" s="849">
        <v>0.33311310437832542</v>
      </c>
      <c r="AS216" s="849">
        <v>0.39521733455385466</v>
      </c>
      <c r="AT216" s="849">
        <v>0.35615647582743709</v>
      </c>
      <c r="AU216" s="849">
        <v>0.37436211015022952</v>
      </c>
      <c r="AV216" s="991"/>
      <c r="AW216" s="876"/>
      <c r="AX216" s="874" t="s">
        <v>3</v>
      </c>
      <c r="AY216" s="849">
        <v>0.36239495651810061</v>
      </c>
      <c r="AZ216" s="849">
        <v>0.44305694305694304</v>
      </c>
      <c r="BA216" s="849">
        <v>3.0277861582453984E-2</v>
      </c>
      <c r="BB216" s="849">
        <v>0.53530479322981073</v>
      </c>
      <c r="BC216" s="849">
        <v>0.37796122654787906</v>
      </c>
    </row>
    <row r="217" spans="1:55" s="947" customFormat="1" ht="30" x14ac:dyDescent="0.25">
      <c r="A217" s="1040" t="s">
        <v>6</v>
      </c>
      <c r="B217" s="854" t="s">
        <v>7</v>
      </c>
      <c r="C217" s="840">
        <v>4518</v>
      </c>
      <c r="D217" s="840">
        <v>3620</v>
      </c>
      <c r="E217" s="840">
        <v>3560</v>
      </c>
      <c r="F217" s="840">
        <v>7555</v>
      </c>
      <c r="G217" s="840">
        <v>8432</v>
      </c>
      <c r="H217" s="840">
        <v>15702</v>
      </c>
      <c r="I217" s="840">
        <v>7332</v>
      </c>
      <c r="J217" s="840">
        <v>9599</v>
      </c>
      <c r="K217" s="840">
        <v>7072</v>
      </c>
      <c r="L217" s="840">
        <v>9334</v>
      </c>
      <c r="M217" s="840">
        <v>6173</v>
      </c>
      <c r="N217" s="840">
        <v>11562</v>
      </c>
      <c r="O217" s="840">
        <v>4357</v>
      </c>
      <c r="P217" s="840">
        <v>8784</v>
      </c>
      <c r="Q217" s="840">
        <v>4799</v>
      </c>
      <c r="R217" s="840">
        <v>9711</v>
      </c>
      <c r="S217" s="840">
        <v>11320</v>
      </c>
      <c r="T217" s="855">
        <v>2480</v>
      </c>
      <c r="U217" s="855">
        <v>1570</v>
      </c>
      <c r="V217" s="840">
        <v>3999</v>
      </c>
      <c r="W217" s="840">
        <v>7999</v>
      </c>
      <c r="X217" s="840">
        <v>3999</v>
      </c>
      <c r="Y217" s="840">
        <v>7999</v>
      </c>
      <c r="Z217" s="840">
        <v>3999</v>
      </c>
      <c r="AA217" s="840">
        <v>7999</v>
      </c>
      <c r="AB217" s="840">
        <v>11999</v>
      </c>
      <c r="AC217" s="840">
        <v>6400</v>
      </c>
      <c r="AD217" s="840">
        <v>6399</v>
      </c>
      <c r="AE217" s="840">
        <v>6399</v>
      </c>
      <c r="AF217" s="840">
        <v>4800</v>
      </c>
      <c r="AG217" s="840">
        <v>4800</v>
      </c>
      <c r="AH217" s="840">
        <v>6400</v>
      </c>
      <c r="AI217" s="840"/>
      <c r="AJ217" s="840">
        <v>220671</v>
      </c>
      <c r="AK217" s="856" t="s">
        <v>7</v>
      </c>
      <c r="AL217" s="858">
        <v>10917</v>
      </c>
      <c r="AM217" s="858">
        <v>8420</v>
      </c>
      <c r="AN217" s="858">
        <v>45390</v>
      </c>
      <c r="AO217" s="858">
        <v>56792</v>
      </c>
      <c r="AP217" s="858">
        <v>47454</v>
      </c>
      <c r="AQ217" s="858">
        <v>47648</v>
      </c>
      <c r="AR217" s="858">
        <v>4050</v>
      </c>
      <c r="AS217" s="858">
        <v>112860</v>
      </c>
      <c r="AT217" s="858">
        <v>107811</v>
      </c>
      <c r="AU217" s="858">
        <v>220671</v>
      </c>
      <c r="AV217" s="657"/>
      <c r="AW217" s="880" t="s">
        <v>190</v>
      </c>
      <c r="AX217" s="879" t="s">
        <v>4</v>
      </c>
      <c r="AY217" s="857">
        <v>9191.7999999999993</v>
      </c>
      <c r="AZ217" s="857">
        <v>13787.7</v>
      </c>
      <c r="BA217" s="857">
        <v>8804.7999999999993</v>
      </c>
      <c r="BB217" s="857">
        <v>13787.7</v>
      </c>
      <c r="BC217" s="857">
        <v>8804.7999999999993</v>
      </c>
    </row>
    <row r="218" spans="1:55" s="947" customFormat="1" x14ac:dyDescent="0.25">
      <c r="A218" s="1040"/>
      <c r="B218" s="839" t="s">
        <v>11</v>
      </c>
      <c r="C218" s="858">
        <v>152333.40599999999</v>
      </c>
      <c r="D218" s="858">
        <v>122055.54</v>
      </c>
      <c r="E218" s="858">
        <v>120032.51999999999</v>
      </c>
      <c r="F218" s="858">
        <v>254731.935</v>
      </c>
      <c r="G218" s="858">
        <v>284301.74400000001</v>
      </c>
      <c r="H218" s="858">
        <v>529424.33400000003</v>
      </c>
      <c r="I218" s="858">
        <v>247213.04399999999</v>
      </c>
      <c r="J218" s="858">
        <v>323649.48300000001</v>
      </c>
      <c r="K218" s="858">
        <v>238446.62399999998</v>
      </c>
      <c r="L218" s="858">
        <v>314714.478</v>
      </c>
      <c r="M218" s="858">
        <v>208135.041</v>
      </c>
      <c r="N218" s="858">
        <v>389835.95399999997</v>
      </c>
      <c r="O218" s="858">
        <v>146904.96899999998</v>
      </c>
      <c r="P218" s="858">
        <v>296170.12799999997</v>
      </c>
      <c r="Q218" s="858">
        <v>161807.883</v>
      </c>
      <c r="R218" s="858">
        <v>327425.78700000001</v>
      </c>
      <c r="S218" s="858">
        <v>381676.44</v>
      </c>
      <c r="T218" s="858">
        <v>83618.16</v>
      </c>
      <c r="U218" s="858">
        <v>52935.689999999995</v>
      </c>
      <c r="V218" s="858">
        <v>134834.283</v>
      </c>
      <c r="W218" s="858">
        <v>269702.283</v>
      </c>
      <c r="X218" s="858">
        <v>134834.283</v>
      </c>
      <c r="Y218" s="858">
        <v>269702.283</v>
      </c>
      <c r="Z218" s="858">
        <v>134834.283</v>
      </c>
      <c r="AA218" s="858">
        <v>269702.283</v>
      </c>
      <c r="AB218" s="858">
        <v>404570.283</v>
      </c>
      <c r="AC218" s="858">
        <v>215788.79999999999</v>
      </c>
      <c r="AD218" s="858">
        <v>215755.08299999998</v>
      </c>
      <c r="AE218" s="858">
        <v>215755.08299999998</v>
      </c>
      <c r="AF218" s="858">
        <v>161841.60000000001</v>
      </c>
      <c r="AG218" s="858">
        <v>161841.60000000001</v>
      </c>
      <c r="AH218" s="858">
        <v>215788.79999999999</v>
      </c>
      <c r="AI218" s="858"/>
      <c r="AJ218" s="859">
        <v>7440364.106999998</v>
      </c>
      <c r="AK218" s="841" t="s">
        <v>11</v>
      </c>
      <c r="AL218" s="858">
        <v>368088.489</v>
      </c>
      <c r="AM218" s="858">
        <v>283897.14</v>
      </c>
      <c r="AN218" s="858">
        <v>1530414.63</v>
      </c>
      <c r="AO218" s="858">
        <v>1914855.8639999998</v>
      </c>
      <c r="AP218" s="858">
        <v>1600006.5179999999</v>
      </c>
      <c r="AQ218" s="858">
        <v>1606547.6159999999</v>
      </c>
      <c r="AR218" s="858">
        <v>136553.85</v>
      </c>
      <c r="AS218" s="858">
        <v>3805300.6199999996</v>
      </c>
      <c r="AT218" s="858">
        <v>3635063.4869999997</v>
      </c>
      <c r="AU218" s="858">
        <v>7440364.1069999998</v>
      </c>
      <c r="AV218" s="992"/>
      <c r="AW218" s="876"/>
      <c r="AX218" s="873" t="s">
        <v>5</v>
      </c>
      <c r="AY218" s="583">
        <v>7975.5</v>
      </c>
      <c r="AZ218" s="583">
        <v>13649</v>
      </c>
      <c r="BA218" s="583">
        <v>1289.9000000000001</v>
      </c>
      <c r="BB218" s="583">
        <v>13642</v>
      </c>
      <c r="BC218" s="583">
        <v>5483.9</v>
      </c>
    </row>
    <row r="219" spans="1:55" s="947" customFormat="1" x14ac:dyDescent="0.25">
      <c r="A219" s="1040"/>
      <c r="B219" s="839" t="s">
        <v>79</v>
      </c>
      <c r="C219" s="858">
        <v>164000</v>
      </c>
      <c r="D219" s="858">
        <v>109880</v>
      </c>
      <c r="E219" s="858">
        <v>109880</v>
      </c>
      <c r="F219" s="858">
        <v>328000</v>
      </c>
      <c r="G219" s="858">
        <v>330905</v>
      </c>
      <c r="H219" s="858">
        <v>264264</v>
      </c>
      <c r="I219" s="858">
        <v>242663.6</v>
      </c>
      <c r="J219" s="858">
        <v>328000</v>
      </c>
      <c r="K219" s="858">
        <v>328000</v>
      </c>
      <c r="L219" s="858">
        <v>328000</v>
      </c>
      <c r="M219" s="858">
        <v>328000</v>
      </c>
      <c r="N219" s="858">
        <v>264264.40000000002</v>
      </c>
      <c r="O219" s="858">
        <v>328000</v>
      </c>
      <c r="P219" s="858">
        <v>352965.4</v>
      </c>
      <c r="Q219" s="858">
        <v>328000</v>
      </c>
      <c r="R219" s="858">
        <v>328000</v>
      </c>
      <c r="S219" s="858">
        <v>328000</v>
      </c>
      <c r="T219" s="858">
        <v>110302</v>
      </c>
      <c r="U219" s="858">
        <v>66181</v>
      </c>
      <c r="V219" s="858">
        <v>204393</v>
      </c>
      <c r="W219" s="858">
        <v>418993</v>
      </c>
      <c r="X219" s="858">
        <v>204393</v>
      </c>
      <c r="Y219" s="858">
        <v>418993</v>
      </c>
      <c r="Z219" s="858">
        <v>204393</v>
      </c>
      <c r="AA219" s="858">
        <v>418993</v>
      </c>
      <c r="AB219" s="858">
        <v>657390.4</v>
      </c>
      <c r="AC219" s="858">
        <v>381742.4</v>
      </c>
      <c r="AD219" s="858">
        <v>448142.4</v>
      </c>
      <c r="AE219" s="858">
        <v>448142.4</v>
      </c>
      <c r="AF219" s="858">
        <v>312388.2</v>
      </c>
      <c r="AG219" s="858">
        <v>312388.2</v>
      </c>
      <c r="AH219" s="858">
        <v>448132.2</v>
      </c>
      <c r="AI219" s="858"/>
      <c r="AJ219" s="859">
        <v>9845789.5999999996</v>
      </c>
      <c r="AK219" s="841" t="s">
        <v>79</v>
      </c>
      <c r="AL219" s="858">
        <v>948179.2</v>
      </c>
      <c r="AM219" s="858">
        <v>613421.60000000009</v>
      </c>
      <c r="AN219" s="858">
        <v>2487424.6</v>
      </c>
      <c r="AO219" s="858">
        <v>2696877.4000000004</v>
      </c>
      <c r="AP219" s="858">
        <v>2826208.6</v>
      </c>
      <c r="AQ219" s="858">
        <v>2310031.4</v>
      </c>
      <c r="AR219" s="858">
        <v>176483</v>
      </c>
      <c r="AS219" s="858">
        <v>5620330.4000000004</v>
      </c>
      <c r="AT219" s="858">
        <v>6438295.4000000004</v>
      </c>
      <c r="AU219" s="858">
        <v>12058625.800000001</v>
      </c>
      <c r="AV219" s="993"/>
      <c r="AW219" s="877"/>
      <c r="AX219" s="874" t="s">
        <v>3</v>
      </c>
      <c r="AY219" s="849">
        <v>0.86767553689157739</v>
      </c>
      <c r="AZ219" s="849">
        <v>0.98994030911609621</v>
      </c>
      <c r="BA219" s="849">
        <v>0.14649963656187537</v>
      </c>
      <c r="BB219" s="849">
        <v>0.98943261022505558</v>
      </c>
      <c r="BC219" s="849">
        <v>0.62283072869343992</v>
      </c>
    </row>
    <row r="220" spans="1:55" s="947" customFormat="1" ht="45" x14ac:dyDescent="0.25">
      <c r="A220" s="1040"/>
      <c r="B220" s="844" t="s">
        <v>8</v>
      </c>
      <c r="C220" s="861">
        <v>3413</v>
      </c>
      <c r="D220" s="861">
        <v>2807</v>
      </c>
      <c r="E220" s="861">
        <v>2701</v>
      </c>
      <c r="F220" s="861">
        <v>5662</v>
      </c>
      <c r="G220" s="861">
        <v>3366</v>
      </c>
      <c r="H220" s="861">
        <v>13125</v>
      </c>
      <c r="I220" s="861">
        <v>6021</v>
      </c>
      <c r="J220" s="861">
        <v>1380</v>
      </c>
      <c r="K220" s="861">
        <v>6068</v>
      </c>
      <c r="L220" s="861">
        <v>6624</v>
      </c>
      <c r="M220" s="861">
        <v>4240</v>
      </c>
      <c r="N220" s="861">
        <v>10497</v>
      </c>
      <c r="O220" s="861">
        <v>3436</v>
      </c>
      <c r="P220" s="861">
        <v>6984</v>
      </c>
      <c r="Q220" s="861">
        <v>1828</v>
      </c>
      <c r="R220" s="861">
        <v>4629</v>
      </c>
      <c r="S220" s="861">
        <v>9836</v>
      </c>
      <c r="T220" s="598">
        <v>1888</v>
      </c>
      <c r="U220" s="598">
        <v>1197</v>
      </c>
      <c r="V220" s="861">
        <v>1872</v>
      </c>
      <c r="W220" s="861">
        <v>2504</v>
      </c>
      <c r="X220" s="861">
        <v>1393</v>
      </c>
      <c r="Y220" s="861">
        <v>1701</v>
      </c>
      <c r="Z220" s="861">
        <v>1370</v>
      </c>
      <c r="AA220" s="861">
        <v>2414</v>
      </c>
      <c r="AB220" s="861">
        <v>5589</v>
      </c>
      <c r="AC220" s="861">
        <v>0</v>
      </c>
      <c r="AD220" s="861">
        <v>1249</v>
      </c>
      <c r="AE220" s="861">
        <v>2161</v>
      </c>
      <c r="AF220" s="861">
        <v>222</v>
      </c>
      <c r="AG220" s="861">
        <v>221</v>
      </c>
      <c r="AH220" s="861">
        <v>6400</v>
      </c>
      <c r="AI220" s="861"/>
      <c r="AJ220" s="840">
        <v>122798</v>
      </c>
      <c r="AK220" s="846" t="s">
        <v>8</v>
      </c>
      <c r="AL220" s="858">
        <v>5574</v>
      </c>
      <c r="AM220" s="858">
        <v>3028</v>
      </c>
      <c r="AN220" s="858">
        <v>33060</v>
      </c>
      <c r="AO220" s="858">
        <v>25025</v>
      </c>
      <c r="AP220" s="858">
        <v>30162</v>
      </c>
      <c r="AQ220" s="858">
        <v>22864</v>
      </c>
      <c r="AR220" s="858">
        <v>3085</v>
      </c>
      <c r="AS220" s="858">
        <v>50917</v>
      </c>
      <c r="AT220" s="858">
        <v>71881</v>
      </c>
      <c r="AU220" s="858">
        <v>122798</v>
      </c>
      <c r="AV220" s="993"/>
      <c r="AW220" s="877" t="s">
        <v>191</v>
      </c>
      <c r="AX220" s="839" t="s">
        <v>4</v>
      </c>
      <c r="AY220" s="840">
        <v>97433.600000000006</v>
      </c>
      <c r="AZ220" s="840">
        <v>243584.4</v>
      </c>
      <c r="BA220" s="840">
        <v>132070.29999999999</v>
      </c>
      <c r="BB220" s="840">
        <v>292299.3</v>
      </c>
      <c r="BC220" s="840">
        <v>132070.39999999999</v>
      </c>
    </row>
    <row r="221" spans="1:55" s="947" customFormat="1" x14ac:dyDescent="0.25">
      <c r="A221" s="1040"/>
      <c r="B221" s="839" t="s">
        <v>77</v>
      </c>
      <c r="C221" s="858">
        <v>115076.121</v>
      </c>
      <c r="D221" s="858">
        <v>94643.618999999992</v>
      </c>
      <c r="E221" s="858">
        <v>91069.616999999998</v>
      </c>
      <c r="F221" s="858">
        <v>190905.65399999998</v>
      </c>
      <c r="G221" s="858">
        <v>113491.42199999999</v>
      </c>
      <c r="H221" s="858">
        <v>442535.625</v>
      </c>
      <c r="I221" s="858">
        <v>203010.057</v>
      </c>
      <c r="J221" s="858">
        <v>46529.46</v>
      </c>
      <c r="K221" s="858">
        <v>204594.75599999999</v>
      </c>
      <c r="L221" s="858">
        <v>223341.408</v>
      </c>
      <c r="M221" s="858">
        <v>142960.07999999999</v>
      </c>
      <c r="N221" s="858">
        <v>353927.34899999999</v>
      </c>
      <c r="O221" s="858">
        <v>115851.61199999999</v>
      </c>
      <c r="P221" s="858">
        <v>147343.28999999998</v>
      </c>
      <c r="Q221" s="858">
        <v>61634.675999999999</v>
      </c>
      <c r="R221" s="858">
        <v>156075.99299999999</v>
      </c>
      <c r="S221" s="858">
        <v>331640.41200000001</v>
      </c>
      <c r="T221" s="863">
        <v>63657.695999999996</v>
      </c>
      <c r="U221" s="863">
        <v>40359.248999999996</v>
      </c>
      <c r="V221" s="863">
        <v>63118.223999999995</v>
      </c>
      <c r="W221" s="863">
        <v>84427.368000000002</v>
      </c>
      <c r="X221" s="863">
        <v>46967.780999999995</v>
      </c>
      <c r="Y221" s="863">
        <v>57352.616999999998</v>
      </c>
      <c r="Z221" s="863">
        <v>46192.29</v>
      </c>
      <c r="AA221" s="863">
        <v>81392.838000000003</v>
      </c>
      <c r="AB221" s="863">
        <v>188444.31299999999</v>
      </c>
      <c r="AC221" s="863">
        <v>0</v>
      </c>
      <c r="AD221" s="863">
        <v>42112.532999999996</v>
      </c>
      <c r="AE221" s="863">
        <v>72862.436999999991</v>
      </c>
      <c r="AF221" s="863">
        <v>7485.174</v>
      </c>
      <c r="AG221" s="863">
        <v>7451.4569999999994</v>
      </c>
      <c r="AH221" s="863">
        <v>215788.79999999999</v>
      </c>
      <c r="AI221" s="863"/>
      <c r="AJ221" s="864">
        <v>4052243.9279999994</v>
      </c>
      <c r="AK221" s="841" t="s">
        <v>77</v>
      </c>
      <c r="AL221" s="858">
        <v>187938.55799999999</v>
      </c>
      <c r="AM221" s="858">
        <v>102095.076</v>
      </c>
      <c r="AN221" s="858">
        <v>1114684.02</v>
      </c>
      <c r="AO221" s="858">
        <v>843767.92499999993</v>
      </c>
      <c r="AP221" s="858">
        <v>1016972.154</v>
      </c>
      <c r="AQ221" s="858">
        <v>770905.48800000001</v>
      </c>
      <c r="AR221" s="858">
        <v>104016.94499999999</v>
      </c>
      <c r="AS221" s="858">
        <v>1716768.4889999998</v>
      </c>
      <c r="AT221" s="858">
        <v>2423611.6770000001</v>
      </c>
      <c r="AU221" s="858">
        <v>4140380.1659999997</v>
      </c>
      <c r="AV221" s="915"/>
      <c r="AW221" s="997"/>
      <c r="AX221" s="844" t="s">
        <v>5</v>
      </c>
      <c r="AY221" s="583">
        <v>38973.199999999997</v>
      </c>
      <c r="AZ221" s="583">
        <v>124350.5</v>
      </c>
      <c r="BA221" s="583">
        <v>3817.1</v>
      </c>
      <c r="BB221" s="583">
        <v>109009</v>
      </c>
      <c r="BC221" s="583">
        <v>33401</v>
      </c>
    </row>
    <row r="222" spans="1:55" s="947" customFormat="1" x14ac:dyDescent="0.25">
      <c r="A222" s="1040"/>
      <c r="B222" s="848" t="s">
        <v>217</v>
      </c>
      <c r="C222" s="849">
        <v>0.4602706080832451</v>
      </c>
      <c r="D222" s="849">
        <v>0.62879148293843801</v>
      </c>
      <c r="E222" s="866">
        <v>0.60504659615843281</v>
      </c>
      <c r="F222" s="866">
        <v>1.0489390809170169</v>
      </c>
      <c r="G222" s="866">
        <v>0.68464961086642162</v>
      </c>
      <c r="H222" s="866">
        <v>1.1361487657411329</v>
      </c>
      <c r="I222" s="866">
        <v>1.1804591758709817</v>
      </c>
      <c r="J222" s="866">
        <v>0.2801663073977288</v>
      </c>
      <c r="K222" s="866">
        <v>1.6497022719062855</v>
      </c>
      <c r="L222" s="866">
        <v>0.99674303524950991</v>
      </c>
      <c r="M222" s="866">
        <v>0.74061413538165999</v>
      </c>
      <c r="N222" s="866">
        <v>0.8076478247564749</v>
      </c>
      <c r="O222" s="866">
        <v>1.3951503634445583</v>
      </c>
      <c r="P222" s="866">
        <v>0.53360039314758523</v>
      </c>
      <c r="Q222" s="866">
        <v>0.74223948322952638</v>
      </c>
      <c r="R222" s="866">
        <v>0.81451549487470387</v>
      </c>
      <c r="S222" s="866">
        <v>1.2644088712865851</v>
      </c>
      <c r="T222" s="849">
        <v>1.1542437308480353</v>
      </c>
      <c r="U222" s="849">
        <v>1.2196627128632083</v>
      </c>
      <c r="V222" s="849">
        <v>0.61761629801411977</v>
      </c>
      <c r="W222" s="849">
        <v>0.4030013293778178</v>
      </c>
      <c r="X222" s="849">
        <v>0.45958306791328468</v>
      </c>
      <c r="Y222" s="849">
        <v>0.27376408197750318</v>
      </c>
      <c r="Z222" s="849">
        <v>0.45199483348255565</v>
      </c>
      <c r="AA222" s="849">
        <v>0.38851645731551604</v>
      </c>
      <c r="AB222" s="849">
        <v>0.57331020653785025</v>
      </c>
      <c r="AC222" s="849">
        <v>0</v>
      </c>
      <c r="AD222" s="849">
        <v>0.18794264055353832</v>
      </c>
      <c r="AE222" s="849">
        <v>0.32517537729078966</v>
      </c>
      <c r="AF222" s="849">
        <v>4.7922258267117643E-2</v>
      </c>
      <c r="AG222" s="849">
        <v>4.7706392238887382E-2</v>
      </c>
      <c r="AH222" s="849">
        <v>0.96305866884816571</v>
      </c>
      <c r="AI222" s="849"/>
      <c r="AJ222" s="851">
        <v>0.6720905010585867</v>
      </c>
      <c r="AK222" s="852" t="s">
        <v>217</v>
      </c>
      <c r="AL222" s="849">
        <v>0.39641991302909829</v>
      </c>
      <c r="AM222" s="849">
        <v>0.33287082163393</v>
      </c>
      <c r="AN222" s="849">
        <v>0.89625552469007497</v>
      </c>
      <c r="AO222" s="849">
        <v>0.62573695415297692</v>
      </c>
      <c r="AP222" s="849">
        <v>0.71967239360887936</v>
      </c>
      <c r="AQ222" s="849">
        <v>0.66744156637870811</v>
      </c>
      <c r="AR222" s="849">
        <v>1.1787758027685384</v>
      </c>
      <c r="AS222" s="849">
        <v>0.61091372457391457</v>
      </c>
      <c r="AT222" s="849">
        <v>0.75287371157278682</v>
      </c>
      <c r="AU222" s="849">
        <v>0.6867084582722518</v>
      </c>
      <c r="AV222" s="914"/>
      <c r="AW222" s="997"/>
      <c r="AX222" s="848" t="s">
        <v>3</v>
      </c>
      <c r="AY222" s="849">
        <v>0.39999753678402516</v>
      </c>
      <c r="AZ222" s="849">
        <v>0.51050272513346506</v>
      </c>
      <c r="BA222" s="849">
        <v>2.8902031720984961E-2</v>
      </c>
      <c r="BB222" s="849">
        <v>0.37293623351133581</v>
      </c>
      <c r="BC222" s="849">
        <v>0.25290299718937781</v>
      </c>
    </row>
    <row r="223" spans="1:55" s="947" customFormat="1" x14ac:dyDescent="0.25">
      <c r="A223" s="997"/>
      <c r="B223" s="848" t="s">
        <v>218</v>
      </c>
      <c r="C223" s="598">
        <v>104604</v>
      </c>
      <c r="D223" s="598">
        <v>94238.399999999994</v>
      </c>
      <c r="E223" s="598">
        <v>90664.5</v>
      </c>
      <c r="F223" s="598">
        <v>186894</v>
      </c>
      <c r="G223" s="598">
        <v>111205</v>
      </c>
      <c r="H223" s="598">
        <v>427461</v>
      </c>
      <c r="I223" s="598">
        <v>128126</v>
      </c>
      <c r="J223" s="598">
        <v>46570.3</v>
      </c>
      <c r="K223" s="598">
        <v>146177</v>
      </c>
      <c r="L223" s="598">
        <v>223729</v>
      </c>
      <c r="M223" s="598">
        <v>138972</v>
      </c>
      <c r="N223" s="598">
        <v>354008</v>
      </c>
      <c r="O223" s="598">
        <v>115895</v>
      </c>
      <c r="P223" s="598">
        <v>121295</v>
      </c>
      <c r="Q223" s="598">
        <v>61685.9</v>
      </c>
      <c r="R223" s="598">
        <v>142313</v>
      </c>
      <c r="S223" s="598">
        <v>331825</v>
      </c>
      <c r="T223" s="598">
        <v>63657.4</v>
      </c>
      <c r="U223" s="598">
        <v>40359.1</v>
      </c>
      <c r="V223" s="598">
        <v>63151.7</v>
      </c>
      <c r="W223" s="598">
        <v>63151.7</v>
      </c>
      <c r="X223" s="598">
        <v>47026.6</v>
      </c>
      <c r="Y223" s="598">
        <v>46991.8</v>
      </c>
      <c r="Z223" s="598">
        <v>34029.9</v>
      </c>
      <c r="AA223" s="598">
        <v>34026.699999999997</v>
      </c>
      <c r="AB223" s="598">
        <v>188524</v>
      </c>
      <c r="AC223" s="598">
        <v>0</v>
      </c>
      <c r="AD223" s="598">
        <v>42160.9</v>
      </c>
      <c r="AE223" s="598">
        <v>72896.800000000003</v>
      </c>
      <c r="AF223" s="598">
        <v>7489.34</v>
      </c>
      <c r="AG223" s="598">
        <v>7451.41</v>
      </c>
      <c r="AH223" s="598">
        <v>0</v>
      </c>
      <c r="AI223" s="598"/>
      <c r="AJ223" s="867">
        <v>3536580.45</v>
      </c>
      <c r="AK223" s="852" t="s">
        <v>218</v>
      </c>
      <c r="AL223" s="861">
        <v>177500.79999999999</v>
      </c>
      <c r="AM223" s="861">
        <v>101689.81</v>
      </c>
      <c r="AN223" s="861">
        <v>880244.9</v>
      </c>
      <c r="AO223" s="861">
        <v>674440.34</v>
      </c>
      <c r="AP223" s="861">
        <v>1013329</v>
      </c>
      <c r="AQ223" s="861">
        <v>585359.1</v>
      </c>
      <c r="AR223" s="861">
        <v>104016.5</v>
      </c>
      <c r="AS223" s="861">
        <v>1361489.25</v>
      </c>
      <c r="AT223" s="861">
        <v>2175091.2000000002</v>
      </c>
      <c r="AU223" s="861">
        <v>3536580.45</v>
      </c>
      <c r="AV223" s="916"/>
      <c r="AW223" s="997" t="s">
        <v>219</v>
      </c>
      <c r="AX223" s="848" t="s">
        <v>3</v>
      </c>
      <c r="AY223" s="849">
        <v>0.38119624665106289</v>
      </c>
      <c r="AZ223" s="849">
        <v>0.47677983409520408</v>
      </c>
      <c r="BA223" s="849">
        <v>2.9589946651719472E-2</v>
      </c>
      <c r="BB223" s="849">
        <v>0.45412051337057324</v>
      </c>
      <c r="BC223" s="849">
        <v>0.31543211186862841</v>
      </c>
    </row>
    <row r="224" spans="1:55" s="947" customFormat="1" x14ac:dyDescent="0.25">
      <c r="A224" s="997"/>
      <c r="B224" s="848" t="s">
        <v>216</v>
      </c>
      <c r="C224" s="866">
        <v>0.41838520684877595</v>
      </c>
      <c r="D224" s="866">
        <v>0.62609929662289954</v>
      </c>
      <c r="E224" s="866">
        <v>0.60235508750856215</v>
      </c>
      <c r="F224" s="866">
        <v>1.0268968806387735</v>
      </c>
      <c r="G224" s="866">
        <v>0.67085651615503084</v>
      </c>
      <c r="H224" s="866">
        <v>1.0974467593484036</v>
      </c>
      <c r="I224" s="866">
        <v>0.74502472735942038</v>
      </c>
      <c r="J224" s="866">
        <v>0.28041221594672383</v>
      </c>
      <c r="K224" s="866">
        <v>1.1786642713386315</v>
      </c>
      <c r="L224" s="866">
        <v>0.99847280685782014</v>
      </c>
      <c r="M224" s="866">
        <v>0.71995362357281878</v>
      </c>
      <c r="N224" s="866">
        <v>0.80783186706035026</v>
      </c>
      <c r="O224" s="866">
        <v>1.3956728661782203</v>
      </c>
      <c r="P224" s="866">
        <v>0.43926709989193508</v>
      </c>
      <c r="Q224" s="866">
        <v>0.74285635148870166</v>
      </c>
      <c r="R224" s="866">
        <v>0.74269041249735146</v>
      </c>
      <c r="S224" s="866">
        <v>1.2651126296232893</v>
      </c>
      <c r="T224" s="866">
        <v>1.1542383637649363</v>
      </c>
      <c r="U224" s="866">
        <v>1.2196582100602891</v>
      </c>
      <c r="V224" s="866">
        <v>0.61794386304814741</v>
      </c>
      <c r="W224" s="866">
        <v>0.30144513154157704</v>
      </c>
      <c r="X224" s="866">
        <v>0.46015861599956942</v>
      </c>
      <c r="Y224" s="866">
        <v>0.22430828199993796</v>
      </c>
      <c r="Z224" s="866">
        <v>0.33298498480867744</v>
      </c>
      <c r="AA224" s="866">
        <v>0.16242132923461727</v>
      </c>
      <c r="AB224" s="866">
        <v>0.57355264086606683</v>
      </c>
      <c r="AC224" s="866">
        <v>0</v>
      </c>
      <c r="AD224" s="866">
        <v>0.18815849604946999</v>
      </c>
      <c r="AE224" s="866">
        <v>0.32532873479501156</v>
      </c>
      <c r="AF224" s="866">
        <v>4.794893020927167E-2</v>
      </c>
      <c r="AG224" s="866">
        <v>4.7706091331234657E-2</v>
      </c>
      <c r="AH224" s="866">
        <v>0</v>
      </c>
      <c r="AI224" s="866"/>
      <c r="AJ224" s="869">
        <v>0.58656442428124789</v>
      </c>
      <c r="AK224" s="852" t="s">
        <v>216</v>
      </c>
      <c r="AL224" s="849">
        <v>0.37440348828575865</v>
      </c>
      <c r="AM224" s="849">
        <v>0.33154949222524926</v>
      </c>
      <c r="AN224" s="849">
        <v>0.7077560461531176</v>
      </c>
      <c r="AO224" s="849">
        <v>0.50016388583329729</v>
      </c>
      <c r="AP224" s="849">
        <v>0.71709427251760538</v>
      </c>
      <c r="AQ224" s="849">
        <v>0.5067975266483391</v>
      </c>
      <c r="AR224" s="849">
        <v>1.1787707597898949</v>
      </c>
      <c r="AS224" s="849">
        <v>0.48448726430745065</v>
      </c>
      <c r="AT224" s="849">
        <v>0.67567300500067151</v>
      </c>
      <c r="AU224" s="849">
        <v>0.58656442428124766</v>
      </c>
      <c r="AV224" s="914"/>
      <c r="AW224" s="997"/>
      <c r="AX224" s="848"/>
      <c r="AY224" s="849"/>
      <c r="AZ224" s="849"/>
      <c r="BA224" s="849"/>
      <c r="BB224" s="849"/>
      <c r="BC224" s="849"/>
    </row>
    <row r="225" spans="1:55" s="947" customFormat="1" x14ac:dyDescent="0.25">
      <c r="A225" s="1041">
        <v>41864</v>
      </c>
      <c r="B225" s="1041"/>
      <c r="C225" s="1041"/>
      <c r="D225" s="529"/>
      <c r="E225" s="529"/>
      <c r="F225" s="529"/>
      <c r="G225" s="529"/>
      <c r="H225" s="529"/>
      <c r="I225" s="525"/>
      <c r="J225" s="531"/>
      <c r="K225" s="531"/>
      <c r="L225" s="529"/>
      <c r="M225" s="529"/>
      <c r="N225" s="527"/>
      <c r="R225" s="526"/>
      <c r="S225" s="534"/>
      <c r="T225" s="534"/>
      <c r="U225" s="534"/>
      <c r="V225" s="534"/>
      <c r="W225" s="534"/>
      <c r="X225" s="534"/>
      <c r="Y225" s="534"/>
      <c r="Z225" s="534"/>
      <c r="AA225" s="534"/>
      <c r="AB225" s="534"/>
      <c r="AC225" s="534"/>
      <c r="AD225" s="534"/>
      <c r="AE225" s="534"/>
      <c r="AF225" s="534"/>
      <c r="AG225" s="534"/>
      <c r="AH225" s="534"/>
      <c r="AI225" s="534"/>
      <c r="AJ225" s="534"/>
      <c r="AK225" s="534"/>
      <c r="AL225" s="534"/>
      <c r="AM225" s="534"/>
      <c r="AN225" s="534"/>
      <c r="AO225" s="534"/>
    </row>
    <row r="226" spans="1:55" s="947" customFormat="1" x14ac:dyDescent="0.25">
      <c r="A226" s="1042" t="s">
        <v>1</v>
      </c>
      <c r="B226" s="1042"/>
      <c r="C226" s="995" t="s">
        <v>12</v>
      </c>
      <c r="D226" s="995" t="s">
        <v>12</v>
      </c>
      <c r="E226" s="995" t="s">
        <v>13</v>
      </c>
      <c r="F226" s="995" t="s">
        <v>13</v>
      </c>
      <c r="G226" s="995" t="s">
        <v>13</v>
      </c>
      <c r="H226" s="995" t="s">
        <v>13</v>
      </c>
      <c r="I226" s="995" t="s">
        <v>13</v>
      </c>
      <c r="J226" s="995" t="s">
        <v>13</v>
      </c>
      <c r="K226" s="995" t="s">
        <v>13</v>
      </c>
      <c r="L226" s="995" t="s">
        <v>13</v>
      </c>
      <c r="M226" s="829" t="s">
        <v>2</v>
      </c>
      <c r="N226" s="995" t="s">
        <v>2</v>
      </c>
      <c r="O226" s="995" t="s">
        <v>2</v>
      </c>
      <c r="P226" s="995" t="s">
        <v>2</v>
      </c>
      <c r="Q226" s="995" t="s">
        <v>2</v>
      </c>
      <c r="R226" s="995" t="s">
        <v>2</v>
      </c>
      <c r="S226" s="995" t="s">
        <v>2</v>
      </c>
      <c r="T226" s="830" t="s">
        <v>183</v>
      </c>
      <c r="U226" s="830" t="s">
        <v>183</v>
      </c>
      <c r="V226" s="830" t="s">
        <v>2</v>
      </c>
      <c r="W226" s="830" t="s">
        <v>13</v>
      </c>
      <c r="X226" s="830" t="s">
        <v>13</v>
      </c>
      <c r="Y226" s="830" t="s">
        <v>2</v>
      </c>
      <c r="Z226" s="830" t="s">
        <v>13</v>
      </c>
      <c r="AA226" s="830" t="s">
        <v>2</v>
      </c>
      <c r="AB226" s="888" t="s">
        <v>2</v>
      </c>
      <c r="AC226" s="888" t="s">
        <v>2</v>
      </c>
      <c r="AD226" s="888" t="s">
        <v>13</v>
      </c>
      <c r="AE226" s="888" t="s">
        <v>12</v>
      </c>
      <c r="AF226" s="888" t="s">
        <v>13</v>
      </c>
      <c r="AG226" s="888" t="s">
        <v>12</v>
      </c>
      <c r="AH226" s="888" t="s">
        <v>13</v>
      </c>
      <c r="AI226" s="888" t="s">
        <v>13</v>
      </c>
      <c r="AJ226" s="831" t="s">
        <v>219</v>
      </c>
      <c r="AK226" s="1042" t="s">
        <v>0</v>
      </c>
      <c r="AL226" s="1042"/>
      <c r="AM226" s="833"/>
      <c r="AN226" s="833"/>
      <c r="AO226" s="833"/>
      <c r="AP226" s="833"/>
      <c r="AQ226" s="833"/>
      <c r="AR226" s="833"/>
      <c r="AS226" s="833"/>
      <c r="AT226" s="833"/>
      <c r="AU226" s="803"/>
      <c r="AV226" s="803"/>
      <c r="AW226" s="1042" t="s">
        <v>1</v>
      </c>
      <c r="AX226" s="1043"/>
      <c r="AY226" s="995" t="s">
        <v>12</v>
      </c>
      <c r="AZ226" s="1044" t="s">
        <v>13</v>
      </c>
      <c r="BA226" s="1045"/>
      <c r="BB226" s="1044" t="s">
        <v>2</v>
      </c>
      <c r="BC226" s="1045"/>
    </row>
    <row r="227" spans="1:55" s="947" customFormat="1" x14ac:dyDescent="0.25">
      <c r="A227" s="1042" t="s">
        <v>0</v>
      </c>
      <c r="B227" s="1042"/>
      <c r="C227" s="834" t="s">
        <v>99</v>
      </c>
      <c r="D227" s="835" t="s">
        <v>100</v>
      </c>
      <c r="E227" s="835" t="s">
        <v>101</v>
      </c>
      <c r="F227" s="834" t="s">
        <v>102</v>
      </c>
      <c r="G227" s="835" t="s">
        <v>97</v>
      </c>
      <c r="H227" s="834" t="s">
        <v>104</v>
      </c>
      <c r="I227" s="835" t="s">
        <v>103</v>
      </c>
      <c r="J227" s="835" t="s">
        <v>178</v>
      </c>
      <c r="K227" s="835" t="s">
        <v>199</v>
      </c>
      <c r="L227" s="834" t="s">
        <v>206</v>
      </c>
      <c r="M227" s="834" t="s">
        <v>105</v>
      </c>
      <c r="N227" s="834" t="s">
        <v>107</v>
      </c>
      <c r="O227" s="835" t="s">
        <v>98</v>
      </c>
      <c r="P227" s="835" t="s">
        <v>106</v>
      </c>
      <c r="Q227" s="835" t="s">
        <v>179</v>
      </c>
      <c r="R227" s="835" t="s">
        <v>198</v>
      </c>
      <c r="S227" s="834" t="s">
        <v>207</v>
      </c>
      <c r="T227" s="834" t="s">
        <v>182</v>
      </c>
      <c r="U227" s="834" t="s">
        <v>184</v>
      </c>
      <c r="V227" s="835" t="s">
        <v>221</v>
      </c>
      <c r="W227" s="835" t="s">
        <v>222</v>
      </c>
      <c r="X227" s="835" t="s">
        <v>255</v>
      </c>
      <c r="Y227" s="835" t="s">
        <v>256</v>
      </c>
      <c r="Z227" s="835" t="s">
        <v>266</v>
      </c>
      <c r="AA227" s="835" t="s">
        <v>267</v>
      </c>
      <c r="AB227" s="889" t="s">
        <v>268</v>
      </c>
      <c r="AC227" s="889" t="s">
        <v>269</v>
      </c>
      <c r="AD227" s="889" t="s">
        <v>295</v>
      </c>
      <c r="AE227" s="889" t="s">
        <v>290</v>
      </c>
      <c r="AF227" s="946" t="s">
        <v>291</v>
      </c>
      <c r="AG227" s="946" t="s">
        <v>292</v>
      </c>
      <c r="AH227" s="889" t="s">
        <v>293</v>
      </c>
      <c r="AI227" s="889" t="s">
        <v>294</v>
      </c>
      <c r="AJ227" s="836"/>
      <c r="AK227" s="903" t="s">
        <v>1</v>
      </c>
      <c r="AL227" s="838" t="s">
        <v>257</v>
      </c>
      <c r="AM227" s="838" t="s">
        <v>258</v>
      </c>
      <c r="AN227" s="838" t="s">
        <v>259</v>
      </c>
      <c r="AO227" s="838" t="s">
        <v>260</v>
      </c>
      <c r="AP227" s="838" t="s">
        <v>261</v>
      </c>
      <c r="AQ227" s="838" t="s">
        <v>262</v>
      </c>
      <c r="AR227" s="838" t="s">
        <v>263</v>
      </c>
      <c r="AS227" s="904" t="s">
        <v>264</v>
      </c>
      <c r="AT227" s="904" t="s">
        <v>265</v>
      </c>
      <c r="AU227" s="988" t="s">
        <v>306</v>
      </c>
      <c r="AV227" s="988"/>
      <c r="AW227" s="1046" t="s">
        <v>0</v>
      </c>
      <c r="AX227" s="1043"/>
      <c r="AY227" s="834" t="s">
        <v>99</v>
      </c>
      <c r="AZ227" s="834" t="s">
        <v>104</v>
      </c>
      <c r="BA227" s="834" t="s">
        <v>206</v>
      </c>
      <c r="BB227" s="834" t="s">
        <v>107</v>
      </c>
      <c r="BC227" s="834" t="s">
        <v>207</v>
      </c>
    </row>
    <row r="228" spans="1:55" s="947" customFormat="1" ht="30" x14ac:dyDescent="0.25">
      <c r="A228" s="1047" t="s">
        <v>9</v>
      </c>
      <c r="B228" s="839" t="s">
        <v>4</v>
      </c>
      <c r="C228" s="840">
        <v>250018.4</v>
      </c>
      <c r="D228" s="840">
        <v>150516.70000000001</v>
      </c>
      <c r="E228" s="840">
        <v>150516.70000000001</v>
      </c>
      <c r="F228" s="840">
        <v>181998.8</v>
      </c>
      <c r="G228" s="840">
        <v>165765.70000000001</v>
      </c>
      <c r="H228" s="840">
        <v>389505</v>
      </c>
      <c r="I228" s="840">
        <v>171975.5</v>
      </c>
      <c r="J228" s="840">
        <v>166078</v>
      </c>
      <c r="K228" s="840">
        <v>124019.2</v>
      </c>
      <c r="L228" s="840">
        <v>224071.2</v>
      </c>
      <c r="M228" s="840">
        <v>193029.1</v>
      </c>
      <c r="N228" s="840">
        <v>438219.9</v>
      </c>
      <c r="O228" s="840">
        <v>83038.8</v>
      </c>
      <c r="P228" s="840">
        <v>276130.40000000002</v>
      </c>
      <c r="Q228" s="840">
        <v>83038.8</v>
      </c>
      <c r="R228" s="840">
        <v>191618.2</v>
      </c>
      <c r="S228" s="840">
        <v>262288.90000000002</v>
      </c>
      <c r="T228" s="840">
        <v>55151</v>
      </c>
      <c r="U228" s="840">
        <v>33090.5</v>
      </c>
      <c r="V228" s="840">
        <v>102196.5</v>
      </c>
      <c r="W228" s="840">
        <v>209496.5</v>
      </c>
      <c r="X228" s="840">
        <v>102196.5</v>
      </c>
      <c r="Y228" s="840">
        <v>209496.5</v>
      </c>
      <c r="Z228" s="840">
        <v>102196.5</v>
      </c>
      <c r="AA228" s="840">
        <v>209496.5</v>
      </c>
      <c r="AB228" s="840">
        <v>328695.2</v>
      </c>
      <c r="AC228" s="901">
        <v>190871.2</v>
      </c>
      <c r="AD228" s="901">
        <v>224071.2</v>
      </c>
      <c r="AE228" s="901">
        <v>224071.2</v>
      </c>
      <c r="AF228" s="901">
        <v>156194.1</v>
      </c>
      <c r="AG228" s="901">
        <v>156194.1</v>
      </c>
      <c r="AH228" s="901">
        <v>224066.1</v>
      </c>
      <c r="AI228" s="901"/>
      <c r="AJ228" s="840">
        <v>6029312.8999999985</v>
      </c>
      <c r="AK228" s="841" t="s">
        <v>4</v>
      </c>
      <c r="AL228" s="863">
        <v>474089.6</v>
      </c>
      <c r="AM228" s="863">
        <v>306710.80000000005</v>
      </c>
      <c r="AN228" s="863">
        <v>1243712.3</v>
      </c>
      <c r="AO228" s="863">
        <v>1348438.7000000002</v>
      </c>
      <c r="AP228" s="863">
        <v>1413104.3</v>
      </c>
      <c r="AQ228" s="863">
        <v>1155015.7</v>
      </c>
      <c r="AR228" s="863">
        <v>88241.5</v>
      </c>
      <c r="AS228" s="863">
        <v>2810165.2</v>
      </c>
      <c r="AT228" s="863">
        <v>3219147.7</v>
      </c>
      <c r="AU228" s="863">
        <v>6029312.9000000004</v>
      </c>
      <c r="AV228" s="989"/>
      <c r="AW228" s="875" t="s">
        <v>194</v>
      </c>
      <c r="AX228" s="872" t="s">
        <v>4</v>
      </c>
      <c r="AY228" s="840">
        <v>143393</v>
      </c>
      <c r="AZ228" s="840">
        <v>132132</v>
      </c>
      <c r="BA228" s="840">
        <v>83196.100000000006</v>
      </c>
      <c r="BB228" s="840">
        <v>132132.20000000001</v>
      </c>
      <c r="BC228" s="840">
        <v>83196.100000000006</v>
      </c>
    </row>
    <row r="229" spans="1:55" s="947" customFormat="1" x14ac:dyDescent="0.25">
      <c r="A229" s="1047"/>
      <c r="B229" s="844" t="s">
        <v>5</v>
      </c>
      <c r="C229" s="583">
        <v>75279.100000000006</v>
      </c>
      <c r="D229" s="583">
        <v>86052.800000000003</v>
      </c>
      <c r="E229" s="583">
        <v>85799.9</v>
      </c>
      <c r="F229" s="583">
        <v>129617.3</v>
      </c>
      <c r="G229" s="583">
        <v>117744.4</v>
      </c>
      <c r="H229" s="583">
        <v>218783</v>
      </c>
      <c r="I229" s="583">
        <v>110172.9</v>
      </c>
      <c r="J229" s="583">
        <v>51327.1</v>
      </c>
      <c r="K229" s="583">
        <v>89462.5</v>
      </c>
      <c r="L229" s="583">
        <v>83013.5</v>
      </c>
      <c r="M229" s="583">
        <v>102251.1</v>
      </c>
      <c r="N229" s="583">
        <v>210475.9</v>
      </c>
      <c r="O229" s="583">
        <v>59397.8</v>
      </c>
      <c r="P229" s="583">
        <v>202159.1</v>
      </c>
      <c r="Q229" s="583">
        <v>26528.9</v>
      </c>
      <c r="R229" s="583">
        <v>143827.20000000001</v>
      </c>
      <c r="S229" s="583">
        <v>180476.4</v>
      </c>
      <c r="T229" s="583">
        <v>17841</v>
      </c>
      <c r="U229" s="583">
        <v>11553.4</v>
      </c>
      <c r="V229" s="583">
        <v>15332.9</v>
      </c>
      <c r="W229" s="583">
        <v>30665.599999999999</v>
      </c>
      <c r="X229" s="583">
        <v>25491.7</v>
      </c>
      <c r="Y229" s="583">
        <v>50072.2</v>
      </c>
      <c r="Z229" s="583">
        <v>6214.1</v>
      </c>
      <c r="AA229" s="583">
        <v>12426.2</v>
      </c>
      <c r="AB229" s="583">
        <v>51283.199999999997</v>
      </c>
      <c r="AC229" s="583">
        <v>4.9000000000000004</v>
      </c>
      <c r="AD229" s="583">
        <v>9004.2000000000007</v>
      </c>
      <c r="AE229" s="583">
        <v>54941.7</v>
      </c>
      <c r="AF229" s="583">
        <v>5715.5</v>
      </c>
      <c r="AG229" s="583">
        <v>5715.5</v>
      </c>
      <c r="AH229" s="583">
        <v>6399</v>
      </c>
      <c r="AI229" s="583"/>
      <c r="AJ229" s="845">
        <v>2275030.0000000005</v>
      </c>
      <c r="AK229" s="846" t="s">
        <v>5</v>
      </c>
      <c r="AL229" s="863">
        <v>130220.8</v>
      </c>
      <c r="AM229" s="863">
        <v>91768.3</v>
      </c>
      <c r="AN229" s="863">
        <v>446817</v>
      </c>
      <c r="AO229" s="863">
        <v>522593.6999999999</v>
      </c>
      <c r="AP229" s="863">
        <v>544491.5</v>
      </c>
      <c r="AQ229" s="863">
        <v>509744.3000000001</v>
      </c>
      <c r="AR229" s="863">
        <v>29394.400000000001</v>
      </c>
      <c r="AS229" s="863">
        <v>1124106.3</v>
      </c>
      <c r="AT229" s="863">
        <v>1150923.7</v>
      </c>
      <c r="AU229" s="863">
        <v>2275030</v>
      </c>
      <c r="AV229" s="990"/>
      <c r="AW229" s="876"/>
      <c r="AX229" s="873" t="s">
        <v>5</v>
      </c>
      <c r="AY229" s="583">
        <v>51964.9</v>
      </c>
      <c r="AZ229" s="583">
        <v>58542</v>
      </c>
      <c r="BA229" s="583">
        <v>2519</v>
      </c>
      <c r="BB229" s="583">
        <v>70731</v>
      </c>
      <c r="BC229" s="583">
        <v>31444.9</v>
      </c>
    </row>
    <row r="230" spans="1:55" s="947" customFormat="1" x14ac:dyDescent="0.25">
      <c r="A230" s="1047"/>
      <c r="B230" s="848" t="s">
        <v>3</v>
      </c>
      <c r="C230" s="849">
        <v>0.30109423946397545</v>
      </c>
      <c r="D230" s="849">
        <v>0.57171596241480183</v>
      </c>
      <c r="E230" s="849">
        <v>0.57003575018585972</v>
      </c>
      <c r="F230" s="850">
        <v>0.71218766277579859</v>
      </c>
      <c r="G230" s="850">
        <v>0.71030617311060118</v>
      </c>
      <c r="H230" s="849">
        <v>0.56169497182321149</v>
      </c>
      <c r="I230" s="850">
        <v>0.64063136900314288</v>
      </c>
      <c r="J230" s="849">
        <v>0.30905417936150481</v>
      </c>
      <c r="K230" s="850">
        <v>0.72136007972959026</v>
      </c>
      <c r="L230" s="849">
        <v>0.37047822299340566</v>
      </c>
      <c r="M230" s="850">
        <v>0.5297185761110631</v>
      </c>
      <c r="N230" s="849">
        <v>0.48029744883790076</v>
      </c>
      <c r="O230" s="850">
        <v>0.71530176254955513</v>
      </c>
      <c r="P230" s="850">
        <v>0.73211460961922337</v>
      </c>
      <c r="Q230" s="849">
        <v>0.31947595581824401</v>
      </c>
      <c r="R230" s="850">
        <v>0.75059258462922629</v>
      </c>
      <c r="S230" s="849">
        <v>0.68808249224423901</v>
      </c>
      <c r="T230" s="849">
        <v>0.32349368098493225</v>
      </c>
      <c r="U230" s="849">
        <v>0.349145525150723</v>
      </c>
      <c r="V230" s="849">
        <v>0.15003351386789177</v>
      </c>
      <c r="W230" s="849">
        <v>0.14637762444718647</v>
      </c>
      <c r="X230" s="849">
        <v>0.24943809230257397</v>
      </c>
      <c r="Y230" s="849">
        <v>0.23901210760084296</v>
      </c>
      <c r="Z230" s="849">
        <v>6.0805409187203091E-2</v>
      </c>
      <c r="AA230" s="849">
        <v>5.931459475456631E-2</v>
      </c>
      <c r="AB230" s="849">
        <v>0.15602053209173725</v>
      </c>
      <c r="AC230" s="849">
        <v>2.5671761900171424E-5</v>
      </c>
      <c r="AD230" s="849">
        <v>4.0184548482803679E-2</v>
      </c>
      <c r="AE230" s="849">
        <v>0.24519750864903653</v>
      </c>
      <c r="AF230" s="849">
        <v>3.6592291258120503E-2</v>
      </c>
      <c r="AG230" s="849">
        <v>3.6592291258120503E-2</v>
      </c>
      <c r="AH230" s="849">
        <v>2.855853696743952E-2</v>
      </c>
      <c r="AI230" s="849"/>
      <c r="AJ230" s="851">
        <v>0.37732823585918074</v>
      </c>
      <c r="AK230" s="852" t="s">
        <v>3</v>
      </c>
      <c r="AL230" s="849">
        <v>0.27467550437723165</v>
      </c>
      <c r="AM230" s="849">
        <v>0.29920139753800645</v>
      </c>
      <c r="AN230" s="849">
        <v>0.35926073899888261</v>
      </c>
      <c r="AO230" s="849">
        <v>0.38755465858403487</v>
      </c>
      <c r="AP230" s="849">
        <v>0.3853158609736026</v>
      </c>
      <c r="AQ230" s="849">
        <v>0.44133105723151655</v>
      </c>
      <c r="AR230" s="849">
        <v>0.33311310437832542</v>
      </c>
      <c r="AS230" s="849">
        <v>0.40001431232583762</v>
      </c>
      <c r="AT230" s="849">
        <v>0.35752435341814232</v>
      </c>
      <c r="AU230" s="849">
        <v>0.37732823585918057</v>
      </c>
      <c r="AV230" s="991"/>
      <c r="AW230" s="876"/>
      <c r="AX230" s="874" t="s">
        <v>3</v>
      </c>
      <c r="AY230" s="849">
        <v>0.36239495651810061</v>
      </c>
      <c r="AZ230" s="849">
        <v>0.44305694305694304</v>
      </c>
      <c r="BA230" s="849">
        <v>3.0277861582453984E-2</v>
      </c>
      <c r="BB230" s="849">
        <v>0.53530479322981073</v>
      </c>
      <c r="BC230" s="849">
        <v>0.37796122654787906</v>
      </c>
    </row>
    <row r="231" spans="1:55" s="947" customFormat="1" ht="30" x14ac:dyDescent="0.25">
      <c r="A231" s="1040" t="s">
        <v>6</v>
      </c>
      <c r="B231" s="854" t="s">
        <v>7</v>
      </c>
      <c r="C231" s="840">
        <v>4518</v>
      </c>
      <c r="D231" s="840">
        <v>3620</v>
      </c>
      <c r="E231" s="840">
        <v>3560</v>
      </c>
      <c r="F231" s="840">
        <v>7556</v>
      </c>
      <c r="G231" s="840">
        <v>8432</v>
      </c>
      <c r="H231" s="840">
        <v>15702</v>
      </c>
      <c r="I231" s="840">
        <v>7704</v>
      </c>
      <c r="J231" s="840">
        <v>9599</v>
      </c>
      <c r="K231" s="840">
        <v>7072</v>
      </c>
      <c r="L231" s="840">
        <v>9334</v>
      </c>
      <c r="M231" s="840">
        <v>6173</v>
      </c>
      <c r="N231" s="840">
        <v>11588</v>
      </c>
      <c r="O231" s="840">
        <v>4357</v>
      </c>
      <c r="P231" s="840">
        <v>9528</v>
      </c>
      <c r="Q231" s="840">
        <v>4799</v>
      </c>
      <c r="R231" s="840">
        <v>9711</v>
      </c>
      <c r="S231" s="840">
        <v>11664</v>
      </c>
      <c r="T231" s="855">
        <v>2480</v>
      </c>
      <c r="U231" s="855">
        <v>1570</v>
      </c>
      <c r="V231" s="840">
        <v>3999</v>
      </c>
      <c r="W231" s="840">
        <v>7999</v>
      </c>
      <c r="X231" s="840">
        <v>3999</v>
      </c>
      <c r="Y231" s="840">
        <v>7999</v>
      </c>
      <c r="Z231" s="840">
        <v>3999</v>
      </c>
      <c r="AA231" s="840">
        <v>7999</v>
      </c>
      <c r="AB231" s="840">
        <v>11999</v>
      </c>
      <c r="AC231" s="840">
        <v>6400</v>
      </c>
      <c r="AD231" s="840">
        <v>6399</v>
      </c>
      <c r="AE231" s="840">
        <v>6399</v>
      </c>
      <c r="AF231" s="840">
        <v>4800</v>
      </c>
      <c r="AG231" s="840">
        <v>4800</v>
      </c>
      <c r="AH231" s="840">
        <v>6400</v>
      </c>
      <c r="AI231" s="840"/>
      <c r="AJ231" s="840">
        <v>222158</v>
      </c>
      <c r="AK231" s="856" t="s">
        <v>7</v>
      </c>
      <c r="AL231" s="858">
        <v>10917</v>
      </c>
      <c r="AM231" s="858">
        <v>8420</v>
      </c>
      <c r="AN231" s="858">
        <v>45391</v>
      </c>
      <c r="AO231" s="858">
        <v>57164</v>
      </c>
      <c r="AP231" s="858">
        <v>47824</v>
      </c>
      <c r="AQ231" s="858">
        <v>48392</v>
      </c>
      <c r="AR231" s="858">
        <v>4050</v>
      </c>
      <c r="AS231" s="858">
        <v>113976</v>
      </c>
      <c r="AT231" s="858">
        <v>108182</v>
      </c>
      <c r="AU231" s="858">
        <v>222158</v>
      </c>
      <c r="AV231" s="657"/>
      <c r="AW231" s="880" t="s">
        <v>190</v>
      </c>
      <c r="AX231" s="879" t="s">
        <v>4</v>
      </c>
      <c r="AY231" s="857">
        <v>9191.7999999999993</v>
      </c>
      <c r="AZ231" s="857">
        <v>13787.7</v>
      </c>
      <c r="BA231" s="857">
        <v>8804.7999999999993</v>
      </c>
      <c r="BB231" s="857">
        <v>13787.7</v>
      </c>
      <c r="BC231" s="857">
        <v>8804.7999999999993</v>
      </c>
    </row>
    <row r="232" spans="1:55" s="947" customFormat="1" x14ac:dyDescent="0.25">
      <c r="A232" s="1040"/>
      <c r="B232" s="839" t="s">
        <v>11</v>
      </c>
      <c r="C232" s="858">
        <v>152333.40599999999</v>
      </c>
      <c r="D232" s="858">
        <v>122055.54</v>
      </c>
      <c r="E232" s="858">
        <v>120032.51999999999</v>
      </c>
      <c r="F232" s="858">
        <v>254765.652</v>
      </c>
      <c r="G232" s="858">
        <v>284301.74400000001</v>
      </c>
      <c r="H232" s="858">
        <v>529424.33400000003</v>
      </c>
      <c r="I232" s="858">
        <v>259755.76799999998</v>
      </c>
      <c r="J232" s="858">
        <v>323649.48300000001</v>
      </c>
      <c r="K232" s="858">
        <v>238446.62399999998</v>
      </c>
      <c r="L232" s="858">
        <v>314714.478</v>
      </c>
      <c r="M232" s="858">
        <v>208135.041</v>
      </c>
      <c r="N232" s="858">
        <v>390712.59599999996</v>
      </c>
      <c r="O232" s="858">
        <v>146904.96899999998</v>
      </c>
      <c r="P232" s="858">
        <v>321255.576</v>
      </c>
      <c r="Q232" s="858">
        <v>161807.883</v>
      </c>
      <c r="R232" s="858">
        <v>327425.78700000001</v>
      </c>
      <c r="S232" s="858">
        <v>393275.08799999999</v>
      </c>
      <c r="T232" s="858">
        <v>83618.16</v>
      </c>
      <c r="U232" s="858">
        <v>52935.689999999995</v>
      </c>
      <c r="V232" s="858">
        <v>134834.283</v>
      </c>
      <c r="W232" s="858">
        <v>269702.283</v>
      </c>
      <c r="X232" s="858">
        <v>134834.283</v>
      </c>
      <c r="Y232" s="858">
        <v>269702.283</v>
      </c>
      <c r="Z232" s="858">
        <v>134834.283</v>
      </c>
      <c r="AA232" s="858">
        <v>269702.283</v>
      </c>
      <c r="AB232" s="858">
        <v>404570.283</v>
      </c>
      <c r="AC232" s="858">
        <v>215788.79999999999</v>
      </c>
      <c r="AD232" s="858">
        <v>215755.08299999998</v>
      </c>
      <c r="AE232" s="858">
        <v>215755.08299999998</v>
      </c>
      <c r="AF232" s="858">
        <v>161841.60000000001</v>
      </c>
      <c r="AG232" s="858">
        <v>161841.60000000001</v>
      </c>
      <c r="AH232" s="858">
        <v>215788.79999999999</v>
      </c>
      <c r="AI232" s="858"/>
      <c r="AJ232" s="859">
        <v>7490501.2859999975</v>
      </c>
      <c r="AK232" s="841" t="s">
        <v>11</v>
      </c>
      <c r="AL232" s="858">
        <v>368088.489</v>
      </c>
      <c r="AM232" s="858">
        <v>283897.14</v>
      </c>
      <c r="AN232" s="858">
        <v>1530448.3469999998</v>
      </c>
      <c r="AO232" s="858">
        <v>1927398.588</v>
      </c>
      <c r="AP232" s="858">
        <v>1612481.808</v>
      </c>
      <c r="AQ232" s="858">
        <v>1631633.064</v>
      </c>
      <c r="AR232" s="858">
        <v>136553.85</v>
      </c>
      <c r="AS232" s="858">
        <v>3842928.7919999999</v>
      </c>
      <c r="AT232" s="858">
        <v>3647572.4939999999</v>
      </c>
      <c r="AU232" s="858">
        <v>7490501.2859999994</v>
      </c>
      <c r="AV232" s="992"/>
      <c r="AW232" s="876"/>
      <c r="AX232" s="873" t="s">
        <v>5</v>
      </c>
      <c r="AY232" s="583">
        <v>7975.5</v>
      </c>
      <c r="AZ232" s="583">
        <v>13649</v>
      </c>
      <c r="BA232" s="583">
        <v>1289.9000000000001</v>
      </c>
      <c r="BB232" s="583">
        <v>13642</v>
      </c>
      <c r="BC232" s="583">
        <v>5483.9</v>
      </c>
    </row>
    <row r="233" spans="1:55" s="947" customFormat="1" x14ac:dyDescent="0.25">
      <c r="A233" s="1040"/>
      <c r="B233" s="839" t="s">
        <v>79</v>
      </c>
      <c r="C233" s="858">
        <v>164000</v>
      </c>
      <c r="D233" s="858">
        <v>109880</v>
      </c>
      <c r="E233" s="858">
        <v>109880</v>
      </c>
      <c r="F233" s="858">
        <v>328000</v>
      </c>
      <c r="G233" s="858">
        <v>330905</v>
      </c>
      <c r="H233" s="858">
        <v>264264</v>
      </c>
      <c r="I233" s="858">
        <v>242663.6</v>
      </c>
      <c r="J233" s="858">
        <v>328000</v>
      </c>
      <c r="K233" s="858">
        <v>328000</v>
      </c>
      <c r="L233" s="858">
        <v>328000</v>
      </c>
      <c r="M233" s="858">
        <v>328000</v>
      </c>
      <c r="N233" s="858">
        <v>264264.40000000002</v>
      </c>
      <c r="O233" s="858">
        <v>328000</v>
      </c>
      <c r="P233" s="858">
        <v>352965.4</v>
      </c>
      <c r="Q233" s="858">
        <v>328000</v>
      </c>
      <c r="R233" s="858">
        <v>328000</v>
      </c>
      <c r="S233" s="858">
        <v>328000</v>
      </c>
      <c r="T233" s="858">
        <v>110302</v>
      </c>
      <c r="U233" s="858">
        <v>66181</v>
      </c>
      <c r="V233" s="858">
        <v>204393</v>
      </c>
      <c r="W233" s="858">
        <v>418993</v>
      </c>
      <c r="X233" s="858">
        <v>204393</v>
      </c>
      <c r="Y233" s="858">
        <v>418993</v>
      </c>
      <c r="Z233" s="858">
        <v>204393</v>
      </c>
      <c r="AA233" s="858">
        <v>418993</v>
      </c>
      <c r="AB233" s="858">
        <v>657390.4</v>
      </c>
      <c r="AC233" s="858">
        <v>381742.4</v>
      </c>
      <c r="AD233" s="858">
        <v>448142.4</v>
      </c>
      <c r="AE233" s="858">
        <v>448142.4</v>
      </c>
      <c r="AF233" s="858">
        <v>312388.2</v>
      </c>
      <c r="AG233" s="858">
        <v>312388.2</v>
      </c>
      <c r="AH233" s="858">
        <v>448132.2</v>
      </c>
      <c r="AI233" s="858"/>
      <c r="AJ233" s="859">
        <v>9845789.5999999996</v>
      </c>
      <c r="AK233" s="841" t="s">
        <v>79</v>
      </c>
      <c r="AL233" s="858">
        <v>948179.2</v>
      </c>
      <c r="AM233" s="858">
        <v>613421.60000000009</v>
      </c>
      <c r="AN233" s="858">
        <v>2487424.6</v>
      </c>
      <c r="AO233" s="858">
        <v>2696877.4000000004</v>
      </c>
      <c r="AP233" s="858">
        <v>2826208.6</v>
      </c>
      <c r="AQ233" s="858">
        <v>2310031.4</v>
      </c>
      <c r="AR233" s="858">
        <v>176483</v>
      </c>
      <c r="AS233" s="858">
        <v>5620330.4000000004</v>
      </c>
      <c r="AT233" s="858">
        <v>6438295.4000000004</v>
      </c>
      <c r="AU233" s="858">
        <v>12058625.800000001</v>
      </c>
      <c r="AV233" s="993"/>
      <c r="AW233" s="877"/>
      <c r="AX233" s="874" t="s">
        <v>3</v>
      </c>
      <c r="AY233" s="849">
        <v>0.86767553689157739</v>
      </c>
      <c r="AZ233" s="849">
        <v>0.98994030911609621</v>
      </c>
      <c r="BA233" s="849">
        <v>0.14649963656187537</v>
      </c>
      <c r="BB233" s="849">
        <v>0.98943261022505558</v>
      </c>
      <c r="BC233" s="849">
        <v>0.62283072869343992</v>
      </c>
    </row>
    <row r="234" spans="1:55" s="947" customFormat="1" ht="45" x14ac:dyDescent="0.25">
      <c r="A234" s="1040"/>
      <c r="B234" s="844" t="s">
        <v>8</v>
      </c>
      <c r="C234" s="861">
        <v>3420</v>
      </c>
      <c r="D234" s="861">
        <v>2830</v>
      </c>
      <c r="E234" s="861">
        <v>2709</v>
      </c>
      <c r="F234" s="861">
        <v>5679</v>
      </c>
      <c r="G234" s="861">
        <v>3366</v>
      </c>
      <c r="H234" s="861">
        <v>13125</v>
      </c>
      <c r="I234" s="861">
        <v>6393</v>
      </c>
      <c r="J234" s="861">
        <v>1380</v>
      </c>
      <c r="K234" s="861">
        <v>6060</v>
      </c>
      <c r="L234" s="861">
        <v>6552</v>
      </c>
      <c r="M234" s="861">
        <v>4656</v>
      </c>
      <c r="N234" s="861">
        <v>10522</v>
      </c>
      <c r="O234" s="861">
        <v>3436</v>
      </c>
      <c r="P234" s="861">
        <v>7060</v>
      </c>
      <c r="Q234" s="861">
        <v>1828</v>
      </c>
      <c r="R234" s="861">
        <v>4621</v>
      </c>
      <c r="S234" s="861">
        <v>10108</v>
      </c>
      <c r="T234" s="598">
        <v>1888</v>
      </c>
      <c r="U234" s="598">
        <v>1197</v>
      </c>
      <c r="V234" s="861">
        <v>1872</v>
      </c>
      <c r="W234" s="861">
        <v>2504</v>
      </c>
      <c r="X234" s="861">
        <v>1370</v>
      </c>
      <c r="Y234" s="861">
        <v>1678</v>
      </c>
      <c r="Z234" s="861">
        <v>942</v>
      </c>
      <c r="AA234" s="861">
        <v>1634</v>
      </c>
      <c r="AB234" s="861">
        <v>5349</v>
      </c>
      <c r="AC234" s="861">
        <v>0</v>
      </c>
      <c r="AD234" s="861">
        <v>1155</v>
      </c>
      <c r="AE234" s="861">
        <v>2148</v>
      </c>
      <c r="AF234" s="861">
        <v>196</v>
      </c>
      <c r="AG234" s="861">
        <v>196</v>
      </c>
      <c r="AH234" s="861">
        <v>6400</v>
      </c>
      <c r="AI234" s="861"/>
      <c r="AJ234" s="840">
        <v>122274</v>
      </c>
      <c r="AK234" s="846" t="s">
        <v>8</v>
      </c>
      <c r="AL234" s="858">
        <v>5568</v>
      </c>
      <c r="AM234" s="858">
        <v>3026</v>
      </c>
      <c r="AN234" s="858">
        <v>32911</v>
      </c>
      <c r="AO234" s="858">
        <v>24920</v>
      </c>
      <c r="AP234" s="858">
        <v>30635</v>
      </c>
      <c r="AQ234" s="858">
        <v>22129</v>
      </c>
      <c r="AR234" s="858">
        <v>3085</v>
      </c>
      <c r="AS234" s="858">
        <v>50075</v>
      </c>
      <c r="AT234" s="858">
        <v>72199</v>
      </c>
      <c r="AU234" s="858">
        <v>122274</v>
      </c>
      <c r="AV234" s="993"/>
      <c r="AW234" s="877" t="s">
        <v>191</v>
      </c>
      <c r="AX234" s="839" t="s">
        <v>4</v>
      </c>
      <c r="AY234" s="840">
        <v>97433.600000000006</v>
      </c>
      <c r="AZ234" s="840">
        <v>243584.4</v>
      </c>
      <c r="BA234" s="840">
        <v>132070.29999999999</v>
      </c>
      <c r="BB234" s="840">
        <v>292299.3</v>
      </c>
      <c r="BC234" s="840">
        <v>132070.39999999999</v>
      </c>
    </row>
    <row r="235" spans="1:55" s="947" customFormat="1" x14ac:dyDescent="0.25">
      <c r="A235" s="1040"/>
      <c r="B235" s="839" t="s">
        <v>77</v>
      </c>
      <c r="C235" s="858">
        <v>115312.14</v>
      </c>
      <c r="D235" s="858">
        <v>95419.11</v>
      </c>
      <c r="E235" s="858">
        <v>91339.353000000003</v>
      </c>
      <c r="F235" s="858">
        <v>191478.84299999999</v>
      </c>
      <c r="G235" s="858">
        <v>113491.42199999999</v>
      </c>
      <c r="H235" s="858">
        <v>442535.625</v>
      </c>
      <c r="I235" s="858">
        <v>215552.78099999999</v>
      </c>
      <c r="J235" s="858">
        <v>46529.46</v>
      </c>
      <c r="K235" s="858">
        <v>204325.02</v>
      </c>
      <c r="L235" s="858">
        <v>220913.78399999999</v>
      </c>
      <c r="M235" s="858">
        <v>156986.35199999998</v>
      </c>
      <c r="N235" s="858">
        <v>354770.27399999998</v>
      </c>
      <c r="O235" s="858">
        <v>115851.61199999999</v>
      </c>
      <c r="P235" s="858">
        <v>149905.78200000001</v>
      </c>
      <c r="Q235" s="858">
        <v>61634.675999999999</v>
      </c>
      <c r="R235" s="858">
        <v>155806.25699999998</v>
      </c>
      <c r="S235" s="858">
        <v>340811.43599999999</v>
      </c>
      <c r="T235" s="863">
        <v>63657.695999999996</v>
      </c>
      <c r="U235" s="863">
        <v>40359.248999999996</v>
      </c>
      <c r="V235" s="863">
        <v>63118.223999999995</v>
      </c>
      <c r="W235" s="863">
        <v>84427.368000000002</v>
      </c>
      <c r="X235" s="863">
        <v>46192.29</v>
      </c>
      <c r="Y235" s="863">
        <v>56577.125999999997</v>
      </c>
      <c r="Z235" s="863">
        <v>31761.413999999997</v>
      </c>
      <c r="AA235" s="863">
        <v>55093.578000000001</v>
      </c>
      <c r="AB235" s="863">
        <v>180352.23300000001</v>
      </c>
      <c r="AC235" s="863">
        <v>0</v>
      </c>
      <c r="AD235" s="863">
        <v>38943.135000000002</v>
      </c>
      <c r="AE235" s="863">
        <v>72424.115999999995</v>
      </c>
      <c r="AF235" s="863">
        <v>6608.5320000000002</v>
      </c>
      <c r="AG235" s="863">
        <v>6608.5320000000002</v>
      </c>
      <c r="AH235" s="863">
        <v>215788.79999999999</v>
      </c>
      <c r="AI235" s="863"/>
      <c r="AJ235" s="864">
        <v>4034576.2199999997</v>
      </c>
      <c r="AK235" s="841" t="s">
        <v>77</v>
      </c>
      <c r="AL235" s="858">
        <v>187736.25599999999</v>
      </c>
      <c r="AM235" s="858">
        <v>102027.64199999999</v>
      </c>
      <c r="AN235" s="858">
        <v>1109660.1869999999</v>
      </c>
      <c r="AO235" s="858">
        <v>840227.64</v>
      </c>
      <c r="AP235" s="858">
        <v>1032920.2949999999</v>
      </c>
      <c r="AQ235" s="858">
        <v>746123.49300000002</v>
      </c>
      <c r="AR235" s="858">
        <v>104016.94499999999</v>
      </c>
      <c r="AS235" s="858">
        <v>1688378.7749999999</v>
      </c>
      <c r="AT235" s="858">
        <v>2434333.6829999997</v>
      </c>
      <c r="AU235" s="858">
        <v>4122712.4579999996</v>
      </c>
      <c r="AV235" s="915"/>
      <c r="AW235" s="994"/>
      <c r="AX235" s="844" t="s">
        <v>5</v>
      </c>
      <c r="AY235" s="583">
        <v>38973.199999999997</v>
      </c>
      <c r="AZ235" s="583">
        <v>124350.5</v>
      </c>
      <c r="BA235" s="583">
        <v>3817.1</v>
      </c>
      <c r="BB235" s="583">
        <v>109009</v>
      </c>
      <c r="BC235" s="583">
        <v>33401</v>
      </c>
    </row>
    <row r="236" spans="1:55" s="947" customFormat="1" x14ac:dyDescent="0.25">
      <c r="A236" s="1040"/>
      <c r="B236" s="848" t="s">
        <v>217</v>
      </c>
      <c r="C236" s="849">
        <v>0.46121461460436514</v>
      </c>
      <c r="D236" s="849">
        <v>0.63394367535296747</v>
      </c>
      <c r="E236" s="866">
        <v>0.60683866308522572</v>
      </c>
      <c r="F236" s="866">
        <v>1.0520884917922535</v>
      </c>
      <c r="G236" s="866">
        <v>0.68464961086642162</v>
      </c>
      <c r="H236" s="866">
        <v>1.1361487657411329</v>
      </c>
      <c r="I236" s="866">
        <v>1.2533923785655514</v>
      </c>
      <c r="J236" s="866">
        <v>0.2801663073977288</v>
      </c>
      <c r="K236" s="866">
        <v>1.6475273183507069</v>
      </c>
      <c r="L236" s="866">
        <v>0.98590887182288478</v>
      </c>
      <c r="M236" s="866">
        <v>0.81327816375872852</v>
      </c>
      <c r="N236" s="866">
        <v>0.80957134534511088</v>
      </c>
      <c r="O236" s="866">
        <v>1.3951503634445583</v>
      </c>
      <c r="P236" s="866">
        <v>0.54288039998493465</v>
      </c>
      <c r="Q236" s="866">
        <v>0.74223948322952638</v>
      </c>
      <c r="R236" s="866">
        <v>0.81310782065586662</v>
      </c>
      <c r="S236" s="866">
        <v>1.2993742243762505</v>
      </c>
      <c r="T236" s="849">
        <v>1.1542437308480353</v>
      </c>
      <c r="U236" s="849">
        <v>1.2196627128632083</v>
      </c>
      <c r="V236" s="849">
        <v>0.61761629801411977</v>
      </c>
      <c r="W236" s="849">
        <v>0.4030013293778178</v>
      </c>
      <c r="X236" s="849">
        <v>0.45199483348255565</v>
      </c>
      <c r="Y236" s="849">
        <v>0.27006239245047053</v>
      </c>
      <c r="Z236" s="849">
        <v>0.3107876884237718</v>
      </c>
      <c r="AA236" s="849">
        <v>0.26298089944223413</v>
      </c>
      <c r="AB236" s="849">
        <v>0.54869141076596195</v>
      </c>
      <c r="AC236" s="849">
        <v>0</v>
      </c>
      <c r="AD236" s="849">
        <v>0.1737980383021111</v>
      </c>
      <c r="AE236" s="849">
        <v>0.32321920889431571</v>
      </c>
      <c r="AF236" s="849">
        <v>4.2309741533130892E-2</v>
      </c>
      <c r="AG236" s="849">
        <v>4.2309741533130892E-2</v>
      </c>
      <c r="AH236" s="849">
        <v>0.96305866884816571</v>
      </c>
      <c r="AI236" s="849"/>
      <c r="AJ236" s="851">
        <v>0.66916019900045343</v>
      </c>
      <c r="AK236" s="852" t="s">
        <v>217</v>
      </c>
      <c r="AL236" s="849">
        <v>0.3959931962228237</v>
      </c>
      <c r="AM236" s="849">
        <v>0.33265095979665527</v>
      </c>
      <c r="AN236" s="849">
        <v>0.89221613953645063</v>
      </c>
      <c r="AO236" s="849">
        <v>0.6231114844152722</v>
      </c>
      <c r="AP236" s="849">
        <v>0.73095828453710021</v>
      </c>
      <c r="AQ236" s="849">
        <v>0.64598558530416517</v>
      </c>
      <c r="AR236" s="849">
        <v>1.1787758027685384</v>
      </c>
      <c r="AS236" s="849">
        <v>0.60081121743305332</v>
      </c>
      <c r="AT236" s="849">
        <v>0.75620440870109795</v>
      </c>
      <c r="AU236" s="849">
        <v>0.68377815621411842</v>
      </c>
      <c r="AV236" s="914"/>
      <c r="AW236" s="994"/>
      <c r="AX236" s="848" t="s">
        <v>3</v>
      </c>
      <c r="AY236" s="849">
        <v>0.39999753678402516</v>
      </c>
      <c r="AZ236" s="849">
        <v>0.51050272513346506</v>
      </c>
      <c r="BA236" s="849">
        <v>2.8902031720984961E-2</v>
      </c>
      <c r="BB236" s="849">
        <v>0.37293623351133581</v>
      </c>
      <c r="BC236" s="849">
        <v>0.25290299718937781</v>
      </c>
    </row>
    <row r="237" spans="1:55" s="947" customFormat="1" x14ac:dyDescent="0.25">
      <c r="A237" s="994"/>
      <c r="B237" s="848" t="s">
        <v>218</v>
      </c>
      <c r="C237" s="598">
        <v>104840</v>
      </c>
      <c r="D237" s="598">
        <v>95013.9</v>
      </c>
      <c r="E237" s="598">
        <v>90934.2</v>
      </c>
      <c r="F237" s="598">
        <v>187467</v>
      </c>
      <c r="G237" s="598">
        <v>111205</v>
      </c>
      <c r="H237" s="598">
        <v>427461</v>
      </c>
      <c r="I237" s="598">
        <v>140679</v>
      </c>
      <c r="J237" s="598">
        <v>46570.3</v>
      </c>
      <c r="K237" s="598">
        <v>145907</v>
      </c>
      <c r="L237" s="598">
        <v>221301</v>
      </c>
      <c r="M237" s="598">
        <v>153000</v>
      </c>
      <c r="N237" s="598">
        <v>354851</v>
      </c>
      <c r="O237" s="598">
        <v>115895</v>
      </c>
      <c r="P237" s="598">
        <v>123867</v>
      </c>
      <c r="Q237" s="598">
        <v>61685.9</v>
      </c>
      <c r="R237" s="598">
        <v>142044</v>
      </c>
      <c r="S237" s="598">
        <v>340999</v>
      </c>
      <c r="T237" s="598">
        <v>63657.4</v>
      </c>
      <c r="U237" s="598">
        <v>40359.1</v>
      </c>
      <c r="V237" s="598">
        <v>63151.7</v>
      </c>
      <c r="W237" s="598">
        <v>63151.7</v>
      </c>
      <c r="X237" s="598">
        <v>46251.1</v>
      </c>
      <c r="Y237" s="598">
        <v>46216.3</v>
      </c>
      <c r="Z237" s="598">
        <v>31464.3</v>
      </c>
      <c r="AA237" s="598">
        <v>31464.3</v>
      </c>
      <c r="AB237" s="598">
        <v>180429</v>
      </c>
      <c r="AC237" s="598">
        <v>0</v>
      </c>
      <c r="AD237" s="598">
        <v>38990.400000000001</v>
      </c>
      <c r="AE237" s="598">
        <v>72458.5</v>
      </c>
      <c r="AF237" s="598">
        <v>6612.7</v>
      </c>
      <c r="AG237" s="598">
        <v>6608.49</v>
      </c>
      <c r="AH237" s="598">
        <v>0</v>
      </c>
      <c r="AI237" s="598"/>
      <c r="AJ237" s="867">
        <v>3554535.2900000005</v>
      </c>
      <c r="AK237" s="852" t="s">
        <v>218</v>
      </c>
      <c r="AL237" s="861">
        <v>177298.5</v>
      </c>
      <c r="AM237" s="861">
        <v>101622.39</v>
      </c>
      <c r="AN237" s="861">
        <v>875219.4</v>
      </c>
      <c r="AO237" s="861">
        <v>682775.29999999993</v>
      </c>
      <c r="AP237" s="861">
        <v>1029279</v>
      </c>
      <c r="AQ237" s="861">
        <v>584324.20000000007</v>
      </c>
      <c r="AR237" s="861">
        <v>104016.5</v>
      </c>
      <c r="AS237" s="861">
        <v>1368721.8900000001</v>
      </c>
      <c r="AT237" s="861">
        <v>2185813.4</v>
      </c>
      <c r="AU237" s="861">
        <v>3554535.29</v>
      </c>
      <c r="AV237" s="916"/>
      <c r="AW237" s="994" t="s">
        <v>219</v>
      </c>
      <c r="AX237" s="848" t="s">
        <v>3</v>
      </c>
      <c r="AY237" s="849">
        <v>0.38119624665106289</v>
      </c>
      <c r="AZ237" s="849">
        <v>0.47677983409520408</v>
      </c>
      <c r="BA237" s="849">
        <v>2.9589946651719472E-2</v>
      </c>
      <c r="BB237" s="849">
        <v>0.45412051337057324</v>
      </c>
      <c r="BC237" s="849">
        <v>0.31543211186862841</v>
      </c>
    </row>
    <row r="238" spans="1:55" s="947" customFormat="1" x14ac:dyDescent="0.25">
      <c r="A238" s="994"/>
      <c r="B238" s="848" t="s">
        <v>216</v>
      </c>
      <c r="C238" s="866">
        <v>0.41932913737548916</v>
      </c>
      <c r="D238" s="866">
        <v>0.63125154883145851</v>
      </c>
      <c r="E238" s="866">
        <v>0.60414691525923692</v>
      </c>
      <c r="F238" s="866">
        <v>1.0300452530456246</v>
      </c>
      <c r="G238" s="866">
        <v>0.67085651615503084</v>
      </c>
      <c r="H238" s="866">
        <v>1.0974467593484036</v>
      </c>
      <c r="I238" s="866">
        <v>0.81801768275132214</v>
      </c>
      <c r="J238" s="866">
        <v>0.28041221594672383</v>
      </c>
      <c r="K238" s="866">
        <v>1.1764871890804005</v>
      </c>
      <c r="L238" s="866">
        <v>0.98763696539314283</v>
      </c>
      <c r="M238" s="866">
        <v>0.79262660396800277</v>
      </c>
      <c r="N238" s="866">
        <v>0.80975555879593775</v>
      </c>
      <c r="O238" s="866">
        <v>1.3956728661782203</v>
      </c>
      <c r="P238" s="866">
        <v>0.44858153973629844</v>
      </c>
      <c r="Q238" s="866">
        <v>0.74285635148870166</v>
      </c>
      <c r="R238" s="866">
        <v>0.74128657924977892</v>
      </c>
      <c r="S238" s="866">
        <v>1.3000893289803723</v>
      </c>
      <c r="T238" s="866">
        <v>1.1542383637649363</v>
      </c>
      <c r="U238" s="866">
        <v>1.2196582100602891</v>
      </c>
      <c r="V238" s="866">
        <v>0.61794386304814741</v>
      </c>
      <c r="W238" s="866">
        <v>0.30144513154157704</v>
      </c>
      <c r="X238" s="866">
        <v>0.45257029350320216</v>
      </c>
      <c r="Y238" s="866">
        <v>0.22060654951276037</v>
      </c>
      <c r="Z238" s="866">
        <v>0.30788040686324875</v>
      </c>
      <c r="AA238" s="866">
        <v>0.15019009864126609</v>
      </c>
      <c r="AB238" s="866">
        <v>0.54892496148407399</v>
      </c>
      <c r="AC238" s="866">
        <v>0</v>
      </c>
      <c r="AD238" s="866">
        <v>0.17400897571843235</v>
      </c>
      <c r="AE238" s="866">
        <v>0.32337266011874793</v>
      </c>
      <c r="AF238" s="866">
        <v>4.2336426279865884E-2</v>
      </c>
      <c r="AG238" s="866">
        <v>4.2309472636930585E-2</v>
      </c>
      <c r="AH238" s="866">
        <v>0</v>
      </c>
      <c r="AI238" s="866"/>
      <c r="AJ238" s="869">
        <v>0.58954234901293667</v>
      </c>
      <c r="AK238" s="852" t="s">
        <v>216</v>
      </c>
      <c r="AL238" s="849">
        <v>0.3739767756980959</v>
      </c>
      <c r="AM238" s="849">
        <v>0.33132967603357949</v>
      </c>
      <c r="AN238" s="849">
        <v>0.70371532065735776</v>
      </c>
      <c r="AO238" s="849">
        <v>0.50634507894203851</v>
      </c>
      <c r="AP238" s="849">
        <v>0.72838147898920125</v>
      </c>
      <c r="AQ238" s="849">
        <v>0.50590152151178558</v>
      </c>
      <c r="AR238" s="849">
        <v>1.1787707597898949</v>
      </c>
      <c r="AS238" s="849">
        <v>0.4870610062355053</v>
      </c>
      <c r="AT238" s="849">
        <v>0.67900376239338123</v>
      </c>
      <c r="AU238" s="849">
        <v>0.58954234901293645</v>
      </c>
      <c r="AV238" s="914"/>
      <c r="AW238" s="994"/>
      <c r="AX238" s="848"/>
      <c r="AY238" s="849"/>
      <c r="AZ238" s="849"/>
      <c r="BA238" s="849"/>
      <c r="BB238" s="849"/>
      <c r="BC238" s="849"/>
    </row>
    <row r="239" spans="1:55" s="947" customFormat="1" x14ac:dyDescent="0.25">
      <c r="A239" s="1041">
        <v>41857</v>
      </c>
      <c r="B239" s="1041"/>
      <c r="C239" s="1041"/>
      <c r="D239" s="529"/>
      <c r="E239" s="529"/>
      <c r="F239" s="529"/>
      <c r="G239" s="529"/>
      <c r="H239" s="529"/>
      <c r="I239" s="525"/>
      <c r="J239" s="531"/>
      <c r="K239" s="531"/>
      <c r="L239" s="529"/>
      <c r="M239" s="529"/>
      <c r="N239" s="527"/>
      <c r="R239" s="526"/>
      <c r="S239" s="534"/>
      <c r="T239" s="534"/>
      <c r="U239" s="534"/>
      <c r="V239" s="534"/>
      <c r="W239" s="534"/>
      <c r="X239" s="534"/>
      <c r="Y239" s="534"/>
      <c r="Z239" s="534"/>
      <c r="AA239" s="534"/>
      <c r="AB239" s="534"/>
      <c r="AC239" s="534"/>
      <c r="AD239" s="534"/>
      <c r="AE239" s="534"/>
      <c r="AF239" s="534"/>
      <c r="AG239" s="534"/>
      <c r="AH239" s="534"/>
      <c r="AI239" s="534"/>
      <c r="AJ239" s="534"/>
      <c r="AK239" s="534"/>
      <c r="AL239" s="534"/>
      <c r="AM239" s="534"/>
      <c r="AN239" s="534"/>
      <c r="AO239" s="534"/>
    </row>
    <row r="240" spans="1:55" s="947" customFormat="1" x14ac:dyDescent="0.25">
      <c r="A240" s="1042" t="s">
        <v>1</v>
      </c>
      <c r="B240" s="1042"/>
      <c r="C240" s="981" t="s">
        <v>12</v>
      </c>
      <c r="D240" s="981" t="s">
        <v>12</v>
      </c>
      <c r="E240" s="981" t="s">
        <v>13</v>
      </c>
      <c r="F240" s="981" t="s">
        <v>13</v>
      </c>
      <c r="G240" s="981" t="s">
        <v>13</v>
      </c>
      <c r="H240" s="981" t="s">
        <v>13</v>
      </c>
      <c r="I240" s="981" t="s">
        <v>13</v>
      </c>
      <c r="J240" s="981" t="s">
        <v>13</v>
      </c>
      <c r="K240" s="981" t="s">
        <v>13</v>
      </c>
      <c r="L240" s="981" t="s">
        <v>13</v>
      </c>
      <c r="M240" s="829" t="s">
        <v>2</v>
      </c>
      <c r="N240" s="981" t="s">
        <v>2</v>
      </c>
      <c r="O240" s="981" t="s">
        <v>2</v>
      </c>
      <c r="P240" s="981" t="s">
        <v>2</v>
      </c>
      <c r="Q240" s="981" t="s">
        <v>2</v>
      </c>
      <c r="R240" s="981" t="s">
        <v>2</v>
      </c>
      <c r="S240" s="981" t="s">
        <v>2</v>
      </c>
      <c r="T240" s="830" t="s">
        <v>183</v>
      </c>
      <c r="U240" s="830" t="s">
        <v>183</v>
      </c>
      <c r="V240" s="830" t="s">
        <v>2</v>
      </c>
      <c r="W240" s="830" t="s">
        <v>13</v>
      </c>
      <c r="X240" s="830" t="s">
        <v>13</v>
      </c>
      <c r="Y240" s="830" t="s">
        <v>2</v>
      </c>
      <c r="Z240" s="830" t="s">
        <v>13</v>
      </c>
      <c r="AA240" s="830" t="s">
        <v>2</v>
      </c>
      <c r="AB240" s="888" t="s">
        <v>2</v>
      </c>
      <c r="AC240" s="888" t="s">
        <v>2</v>
      </c>
      <c r="AD240" s="888" t="s">
        <v>13</v>
      </c>
      <c r="AE240" s="888" t="s">
        <v>12</v>
      </c>
      <c r="AF240" s="888" t="s">
        <v>13</v>
      </c>
      <c r="AG240" s="888" t="s">
        <v>12</v>
      </c>
      <c r="AH240" s="888" t="s">
        <v>13</v>
      </c>
      <c r="AI240" s="888" t="s">
        <v>13</v>
      </c>
      <c r="AJ240" s="831" t="s">
        <v>219</v>
      </c>
      <c r="AK240" s="1042" t="s">
        <v>0</v>
      </c>
      <c r="AL240" s="1042"/>
      <c r="AM240" s="833"/>
      <c r="AN240" s="833"/>
      <c r="AO240" s="833"/>
      <c r="AP240" s="833"/>
      <c r="AQ240" s="833"/>
      <c r="AR240" s="833"/>
      <c r="AS240" s="833"/>
      <c r="AT240" s="833"/>
      <c r="AU240" s="803"/>
      <c r="AV240" s="803"/>
      <c r="AW240" s="1042" t="s">
        <v>1</v>
      </c>
      <c r="AX240" s="1043"/>
      <c r="AY240" s="981" t="s">
        <v>12</v>
      </c>
      <c r="AZ240" s="1044" t="s">
        <v>13</v>
      </c>
      <c r="BA240" s="1045"/>
      <c r="BB240" s="1044" t="s">
        <v>2</v>
      </c>
      <c r="BC240" s="1045"/>
    </row>
    <row r="241" spans="1:55" s="947" customFormat="1" x14ac:dyDescent="0.25">
      <c r="A241" s="1042" t="s">
        <v>0</v>
      </c>
      <c r="B241" s="1042"/>
      <c r="C241" s="834" t="s">
        <v>99</v>
      </c>
      <c r="D241" s="835" t="s">
        <v>100</v>
      </c>
      <c r="E241" s="835" t="s">
        <v>101</v>
      </c>
      <c r="F241" s="834" t="s">
        <v>102</v>
      </c>
      <c r="G241" s="835" t="s">
        <v>97</v>
      </c>
      <c r="H241" s="834" t="s">
        <v>104</v>
      </c>
      <c r="I241" s="835" t="s">
        <v>103</v>
      </c>
      <c r="J241" s="835" t="s">
        <v>178</v>
      </c>
      <c r="K241" s="835" t="s">
        <v>199</v>
      </c>
      <c r="L241" s="834" t="s">
        <v>206</v>
      </c>
      <c r="M241" s="834" t="s">
        <v>105</v>
      </c>
      <c r="N241" s="834" t="s">
        <v>107</v>
      </c>
      <c r="O241" s="835" t="s">
        <v>98</v>
      </c>
      <c r="P241" s="835" t="s">
        <v>106</v>
      </c>
      <c r="Q241" s="835" t="s">
        <v>179</v>
      </c>
      <c r="R241" s="835" t="s">
        <v>198</v>
      </c>
      <c r="S241" s="834" t="s">
        <v>207</v>
      </c>
      <c r="T241" s="834" t="s">
        <v>182</v>
      </c>
      <c r="U241" s="834" t="s">
        <v>184</v>
      </c>
      <c r="V241" s="835" t="s">
        <v>221</v>
      </c>
      <c r="W241" s="835" t="s">
        <v>222</v>
      </c>
      <c r="X241" s="835" t="s">
        <v>255</v>
      </c>
      <c r="Y241" s="835" t="s">
        <v>256</v>
      </c>
      <c r="Z241" s="835" t="s">
        <v>266</v>
      </c>
      <c r="AA241" s="835" t="s">
        <v>267</v>
      </c>
      <c r="AB241" s="889" t="s">
        <v>268</v>
      </c>
      <c r="AC241" s="889" t="s">
        <v>269</v>
      </c>
      <c r="AD241" s="889" t="s">
        <v>295</v>
      </c>
      <c r="AE241" s="889" t="s">
        <v>290</v>
      </c>
      <c r="AF241" s="946" t="s">
        <v>291</v>
      </c>
      <c r="AG241" s="946" t="s">
        <v>292</v>
      </c>
      <c r="AH241" s="889" t="s">
        <v>293</v>
      </c>
      <c r="AI241" s="889" t="s">
        <v>294</v>
      </c>
      <c r="AJ241" s="836"/>
      <c r="AK241" s="903" t="s">
        <v>1</v>
      </c>
      <c r="AL241" s="838" t="s">
        <v>257</v>
      </c>
      <c r="AM241" s="838" t="s">
        <v>258</v>
      </c>
      <c r="AN241" s="838" t="s">
        <v>259</v>
      </c>
      <c r="AO241" s="838" t="s">
        <v>260</v>
      </c>
      <c r="AP241" s="838" t="s">
        <v>261</v>
      </c>
      <c r="AQ241" s="838" t="s">
        <v>262</v>
      </c>
      <c r="AR241" s="838" t="s">
        <v>263</v>
      </c>
      <c r="AS241" s="904" t="s">
        <v>264</v>
      </c>
      <c r="AT241" s="904" t="s">
        <v>265</v>
      </c>
      <c r="AU241" s="988" t="s">
        <v>306</v>
      </c>
      <c r="AV241" s="988"/>
      <c r="AW241" s="1046" t="s">
        <v>0</v>
      </c>
      <c r="AX241" s="1043"/>
      <c r="AY241" s="834" t="s">
        <v>99</v>
      </c>
      <c r="AZ241" s="834" t="s">
        <v>104</v>
      </c>
      <c r="BA241" s="834" t="s">
        <v>206</v>
      </c>
      <c r="BB241" s="834" t="s">
        <v>107</v>
      </c>
      <c r="BC241" s="834" t="s">
        <v>207</v>
      </c>
    </row>
    <row r="242" spans="1:55" s="947" customFormat="1" ht="30" x14ac:dyDescent="0.25">
      <c r="A242" s="1047" t="s">
        <v>9</v>
      </c>
      <c r="B242" s="839" t="s">
        <v>4</v>
      </c>
      <c r="C242" s="840">
        <v>250018.4</v>
      </c>
      <c r="D242" s="840">
        <v>150516.70000000001</v>
      </c>
      <c r="E242" s="840">
        <v>150516.70000000001</v>
      </c>
      <c r="F242" s="840">
        <v>181998.8</v>
      </c>
      <c r="G242" s="840">
        <v>165765.70000000001</v>
      </c>
      <c r="H242" s="840">
        <v>389505</v>
      </c>
      <c r="I242" s="840">
        <v>171975.5</v>
      </c>
      <c r="J242" s="840">
        <v>166078</v>
      </c>
      <c r="K242" s="840">
        <v>124019.2</v>
      </c>
      <c r="L242" s="840">
        <v>224071.2</v>
      </c>
      <c r="M242" s="840">
        <v>193029.1</v>
      </c>
      <c r="N242" s="840">
        <v>438219.9</v>
      </c>
      <c r="O242" s="840">
        <v>83038.8</v>
      </c>
      <c r="P242" s="840">
        <v>276130.40000000002</v>
      </c>
      <c r="Q242" s="840">
        <v>83038.8</v>
      </c>
      <c r="R242" s="840">
        <v>191618.2</v>
      </c>
      <c r="S242" s="840">
        <v>262288.90000000002</v>
      </c>
      <c r="T242" s="840">
        <v>55151</v>
      </c>
      <c r="U242" s="840">
        <v>33090.5</v>
      </c>
      <c r="V242" s="840">
        <v>102196.5</v>
      </c>
      <c r="W242" s="840">
        <v>209496.5</v>
      </c>
      <c r="X242" s="840">
        <v>102196.5</v>
      </c>
      <c r="Y242" s="840">
        <v>209496.5</v>
      </c>
      <c r="Z242" s="840">
        <v>102196.5</v>
      </c>
      <c r="AA242" s="840">
        <v>209496.5</v>
      </c>
      <c r="AB242" s="840">
        <v>328695.2</v>
      </c>
      <c r="AC242" s="901">
        <v>190871.2</v>
      </c>
      <c r="AD242" s="901">
        <v>224071.2</v>
      </c>
      <c r="AE242" s="901">
        <v>224071.2</v>
      </c>
      <c r="AF242" s="901">
        <v>156194.1</v>
      </c>
      <c r="AG242" s="901">
        <v>156194.1</v>
      </c>
      <c r="AH242" s="901">
        <v>224066.1</v>
      </c>
      <c r="AI242" s="901"/>
      <c r="AJ242" s="840">
        <v>6029312.8999999985</v>
      </c>
      <c r="AK242" s="841" t="s">
        <v>4</v>
      </c>
      <c r="AL242" s="863">
        <v>474089.6</v>
      </c>
      <c r="AM242" s="863">
        <v>306710.80000000005</v>
      </c>
      <c r="AN242" s="863">
        <v>1243712.3</v>
      </c>
      <c r="AO242" s="863">
        <v>1348438.7000000002</v>
      </c>
      <c r="AP242" s="863">
        <v>1413104.3</v>
      </c>
      <c r="AQ242" s="863">
        <v>1155015.7</v>
      </c>
      <c r="AR242" s="863">
        <v>88241.5</v>
      </c>
      <c r="AS242" s="863">
        <v>2810165.2</v>
      </c>
      <c r="AT242" s="863">
        <v>3219147.7</v>
      </c>
      <c r="AU242" s="863">
        <v>6029312.9000000004</v>
      </c>
      <c r="AV242" s="989"/>
      <c r="AW242" s="875" t="s">
        <v>194</v>
      </c>
      <c r="AX242" s="872" t="s">
        <v>4</v>
      </c>
      <c r="AY242" s="840">
        <v>143393</v>
      </c>
      <c r="AZ242" s="840">
        <v>132132</v>
      </c>
      <c r="BA242" s="840">
        <v>83196.100000000006</v>
      </c>
      <c r="BB242" s="840">
        <v>132132.20000000001</v>
      </c>
      <c r="BC242" s="840">
        <v>83196.100000000006</v>
      </c>
    </row>
    <row r="243" spans="1:55" s="947" customFormat="1" x14ac:dyDescent="0.25">
      <c r="A243" s="1047"/>
      <c r="B243" s="844" t="s">
        <v>5</v>
      </c>
      <c r="C243" s="583">
        <v>90262.6</v>
      </c>
      <c r="D243" s="583">
        <v>85316</v>
      </c>
      <c r="E243" s="583">
        <v>86029.7</v>
      </c>
      <c r="F243" s="583">
        <v>129553.60000000001</v>
      </c>
      <c r="G243" s="583">
        <v>117470.8</v>
      </c>
      <c r="H243" s="583">
        <v>218299</v>
      </c>
      <c r="I243" s="583">
        <v>121973.8</v>
      </c>
      <c r="J243" s="583">
        <v>51011.6</v>
      </c>
      <c r="K243" s="583">
        <v>87811.8</v>
      </c>
      <c r="L243" s="583">
        <v>82571.8</v>
      </c>
      <c r="M243" s="583">
        <v>130549.2</v>
      </c>
      <c r="N243" s="583">
        <v>214162.8</v>
      </c>
      <c r="O243" s="583">
        <v>59264</v>
      </c>
      <c r="P243" s="583">
        <v>225443.4</v>
      </c>
      <c r="Q243" s="583">
        <v>26369</v>
      </c>
      <c r="R243" s="583">
        <v>140430</v>
      </c>
      <c r="S243" s="583">
        <v>178777.4</v>
      </c>
      <c r="T243" s="583">
        <v>17841</v>
      </c>
      <c r="U243" s="583">
        <v>11553.4</v>
      </c>
      <c r="V243" s="583">
        <v>15192.1</v>
      </c>
      <c r="W243" s="583">
        <v>30384</v>
      </c>
      <c r="X243" s="583">
        <v>21204.799999999999</v>
      </c>
      <c r="Y243" s="583">
        <v>41495.699999999997</v>
      </c>
      <c r="Z243" s="583">
        <v>3085.9</v>
      </c>
      <c r="AA243" s="583">
        <v>6090</v>
      </c>
      <c r="AB243" s="583">
        <v>36603.9</v>
      </c>
      <c r="AC243" s="583">
        <v>4.9000000000000004</v>
      </c>
      <c r="AD243" s="583">
        <v>5069.5</v>
      </c>
      <c r="AE243" s="583">
        <v>43628.7</v>
      </c>
      <c r="AF243" s="583">
        <v>4667.1000000000004</v>
      </c>
      <c r="AG243" s="583">
        <v>4667.1000000000004</v>
      </c>
      <c r="AH243" s="583">
        <v>6399</v>
      </c>
      <c r="AI243" s="583"/>
      <c r="AJ243" s="845">
        <v>2293183.6</v>
      </c>
      <c r="AK243" s="846" t="s">
        <v>5</v>
      </c>
      <c r="AL243" s="863">
        <v>133891.29999999999</v>
      </c>
      <c r="AM243" s="863">
        <v>89983.1</v>
      </c>
      <c r="AN243" s="863">
        <v>441892.89999999997</v>
      </c>
      <c r="AO243" s="863">
        <v>523639.49999999994</v>
      </c>
      <c r="AP243" s="863">
        <v>560098.20000000007</v>
      </c>
      <c r="AQ243" s="863">
        <v>514284.2</v>
      </c>
      <c r="AR243" s="863">
        <v>29394.400000000001</v>
      </c>
      <c r="AS243" s="863">
        <v>1127906.8</v>
      </c>
      <c r="AT243" s="863">
        <v>1165276.7999999998</v>
      </c>
      <c r="AU243" s="863">
        <v>2293183.5999999996</v>
      </c>
      <c r="AV243" s="990"/>
      <c r="AW243" s="876"/>
      <c r="AX243" s="873" t="s">
        <v>5</v>
      </c>
      <c r="AY243" s="583">
        <v>51964.9</v>
      </c>
      <c r="AZ243" s="583">
        <v>58542</v>
      </c>
      <c r="BA243" s="583">
        <v>2519</v>
      </c>
      <c r="BB243" s="583">
        <v>70731</v>
      </c>
      <c r="BC243" s="583">
        <v>31444.9</v>
      </c>
    </row>
    <row r="244" spans="1:55" s="947" customFormat="1" x14ac:dyDescent="0.25">
      <c r="A244" s="1047"/>
      <c r="B244" s="848" t="s">
        <v>3</v>
      </c>
      <c r="C244" s="849">
        <v>0.36102382864621169</v>
      </c>
      <c r="D244" s="849">
        <v>0.56682082453309168</v>
      </c>
      <c r="E244" s="849">
        <v>0.57156249107241919</v>
      </c>
      <c r="F244" s="850">
        <v>0.71183766046809105</v>
      </c>
      <c r="G244" s="850">
        <v>0.70865565071664405</v>
      </c>
      <c r="H244" s="849">
        <v>0.56045236903248996</v>
      </c>
      <c r="I244" s="850">
        <v>0.70925102703582776</v>
      </c>
      <c r="J244" s="849">
        <v>0.30715446958657977</v>
      </c>
      <c r="K244" s="850">
        <v>0.70805004386417592</v>
      </c>
      <c r="L244" s="849">
        <v>0.36850697456879777</v>
      </c>
      <c r="M244" s="850">
        <v>0.67631875193947433</v>
      </c>
      <c r="N244" s="849">
        <v>0.48871080478088735</v>
      </c>
      <c r="O244" s="850">
        <v>0.71369046758864529</v>
      </c>
      <c r="P244" s="850">
        <v>0.81643817558660681</v>
      </c>
      <c r="Q244" s="849">
        <v>0.31755034995688763</v>
      </c>
      <c r="R244" s="850">
        <v>0.7328635797643438</v>
      </c>
      <c r="S244" s="849">
        <v>0.6816049020755357</v>
      </c>
      <c r="T244" s="849">
        <v>0.32349368098493225</v>
      </c>
      <c r="U244" s="849">
        <v>0.349145525150723</v>
      </c>
      <c r="V244" s="849">
        <v>0.14865577588273571</v>
      </c>
      <c r="W244" s="849">
        <v>0.14503344924616879</v>
      </c>
      <c r="X244" s="849">
        <v>0.20749047178719426</v>
      </c>
      <c r="Y244" s="849">
        <v>0.19807347616785959</v>
      </c>
      <c r="Z244" s="849">
        <v>3.0195750343700617E-2</v>
      </c>
      <c r="AA244" s="849">
        <v>2.9069698061781463E-2</v>
      </c>
      <c r="AB244" s="849">
        <v>0.11136122462390689</v>
      </c>
      <c r="AC244" s="849">
        <v>2.5671761900171424E-5</v>
      </c>
      <c r="AD244" s="849">
        <v>2.2624505068031944E-2</v>
      </c>
      <c r="AE244" s="849">
        <v>0.19470909246703724</v>
      </c>
      <c r="AF244" s="849">
        <v>2.988012991527849E-2</v>
      </c>
      <c r="AG244" s="849">
        <v>2.988012991527849E-2</v>
      </c>
      <c r="AH244" s="849">
        <v>2.855853696743952E-2</v>
      </c>
      <c r="AI244" s="849"/>
      <c r="AJ244" s="851">
        <v>0.38033912620457971</v>
      </c>
      <c r="AK244" s="852" t="s">
        <v>3</v>
      </c>
      <c r="AL244" s="849">
        <v>0.28241771175743996</v>
      </c>
      <c r="AM244" s="849">
        <v>0.2933809308312586</v>
      </c>
      <c r="AN244" s="849">
        <v>0.3553015436126184</v>
      </c>
      <c r="AO244" s="849">
        <v>0.38833022220439078</v>
      </c>
      <c r="AP244" s="849">
        <v>0.39636012713286634</v>
      </c>
      <c r="AQ244" s="849">
        <v>0.4452616531532862</v>
      </c>
      <c r="AR244" s="849">
        <v>0.33311310437832542</v>
      </c>
      <c r="AS244" s="849">
        <v>0.40136672392071471</v>
      </c>
      <c r="AT244" s="849">
        <v>0.36198301805164135</v>
      </c>
      <c r="AU244" s="849">
        <v>0.38033912620457955</v>
      </c>
      <c r="AV244" s="991"/>
      <c r="AW244" s="876"/>
      <c r="AX244" s="874" t="s">
        <v>3</v>
      </c>
      <c r="AY244" s="849">
        <f>AY243/AY242</f>
        <v>0.36239495651810061</v>
      </c>
      <c r="AZ244" s="849">
        <f>AZ243/AZ242</f>
        <v>0.44305694305694304</v>
      </c>
      <c r="BA244" s="849">
        <f>BA243/BA242</f>
        <v>3.0277861582453984E-2</v>
      </c>
      <c r="BB244" s="849">
        <f>BB243/BB242</f>
        <v>0.53530479322981073</v>
      </c>
      <c r="BC244" s="849">
        <f>BC243/BC242</f>
        <v>0.37796122654787906</v>
      </c>
    </row>
    <row r="245" spans="1:55" s="947" customFormat="1" ht="30" x14ac:dyDescent="0.25">
      <c r="A245" s="1040" t="s">
        <v>6</v>
      </c>
      <c r="B245" s="854" t="s">
        <v>7</v>
      </c>
      <c r="C245" s="840">
        <v>5122</v>
      </c>
      <c r="D245" s="840">
        <v>3620</v>
      </c>
      <c r="E245" s="840">
        <v>3591</v>
      </c>
      <c r="F245" s="840">
        <v>7556</v>
      </c>
      <c r="G245" s="840">
        <v>8432</v>
      </c>
      <c r="H245" s="840">
        <v>15702</v>
      </c>
      <c r="I245" s="840">
        <v>8123</v>
      </c>
      <c r="J245" s="840">
        <v>9599</v>
      </c>
      <c r="K245" s="840">
        <v>7072</v>
      </c>
      <c r="L245" s="840">
        <v>9334</v>
      </c>
      <c r="M245" s="840">
        <v>7730</v>
      </c>
      <c r="N245" s="840">
        <v>11924</v>
      </c>
      <c r="O245" s="840">
        <v>4357</v>
      </c>
      <c r="P245" s="840">
        <v>10312</v>
      </c>
      <c r="Q245" s="840">
        <v>4799</v>
      </c>
      <c r="R245" s="840">
        <v>9711</v>
      </c>
      <c r="S245" s="840">
        <v>11664</v>
      </c>
      <c r="T245" s="855">
        <v>2480</v>
      </c>
      <c r="U245" s="855">
        <v>1570</v>
      </c>
      <c r="V245" s="840">
        <v>3999</v>
      </c>
      <c r="W245" s="840">
        <v>7999</v>
      </c>
      <c r="X245" s="840">
        <v>3999</v>
      </c>
      <c r="Y245" s="840">
        <v>7999</v>
      </c>
      <c r="Z245" s="840">
        <v>3999</v>
      </c>
      <c r="AA245" s="840">
        <v>7999</v>
      </c>
      <c r="AB245" s="840">
        <v>11999</v>
      </c>
      <c r="AC245" s="840">
        <v>6400</v>
      </c>
      <c r="AD245" s="840">
        <v>6399</v>
      </c>
      <c r="AE245" s="840">
        <v>6399</v>
      </c>
      <c r="AF245" s="840">
        <v>4800</v>
      </c>
      <c r="AG245" s="840">
        <v>4800</v>
      </c>
      <c r="AH245" s="840">
        <v>6400</v>
      </c>
      <c r="AI245" s="840"/>
      <c r="AJ245" s="840">
        <v>225889</v>
      </c>
      <c r="AK245" s="856" t="s">
        <v>7</v>
      </c>
      <c r="AL245" s="858">
        <v>11521</v>
      </c>
      <c r="AM245" s="858">
        <v>8420</v>
      </c>
      <c r="AN245" s="858">
        <v>45391</v>
      </c>
      <c r="AO245" s="858">
        <v>57614</v>
      </c>
      <c r="AP245" s="858">
        <v>49717</v>
      </c>
      <c r="AQ245" s="858">
        <v>49176</v>
      </c>
      <c r="AR245" s="858">
        <v>4050</v>
      </c>
      <c r="AS245" s="858">
        <v>115210</v>
      </c>
      <c r="AT245" s="858">
        <v>110679</v>
      </c>
      <c r="AU245" s="858">
        <v>225889</v>
      </c>
      <c r="AV245" s="657"/>
      <c r="AW245" s="880" t="s">
        <v>190</v>
      </c>
      <c r="AX245" s="879" t="s">
        <v>4</v>
      </c>
      <c r="AY245" s="857">
        <v>9191.7999999999993</v>
      </c>
      <c r="AZ245" s="857">
        <v>13787.7</v>
      </c>
      <c r="BA245" s="857">
        <v>8804.7999999999993</v>
      </c>
      <c r="BB245" s="857">
        <v>13787.7</v>
      </c>
      <c r="BC245" s="857">
        <v>8804.7999999999993</v>
      </c>
    </row>
    <row r="246" spans="1:55" s="947" customFormat="1" x14ac:dyDescent="0.25">
      <c r="A246" s="1040"/>
      <c r="B246" s="839" t="s">
        <v>11</v>
      </c>
      <c r="C246" s="858">
        <v>172698.47399999999</v>
      </c>
      <c r="D246" s="858">
        <v>122055.54</v>
      </c>
      <c r="E246" s="858">
        <v>121077.74699999999</v>
      </c>
      <c r="F246" s="858">
        <v>254765.652</v>
      </c>
      <c r="G246" s="858">
        <v>284301.74400000001</v>
      </c>
      <c r="H246" s="858">
        <v>529424.33400000003</v>
      </c>
      <c r="I246" s="858">
        <v>273883.19099999999</v>
      </c>
      <c r="J246" s="858">
        <v>323649.48300000001</v>
      </c>
      <c r="K246" s="858">
        <v>238446.62399999998</v>
      </c>
      <c r="L246" s="858">
        <v>314714.478</v>
      </c>
      <c r="M246" s="858">
        <v>260632.41</v>
      </c>
      <c r="N246" s="858">
        <v>402041.50799999997</v>
      </c>
      <c r="O246" s="858">
        <v>146904.96899999998</v>
      </c>
      <c r="P246" s="858">
        <v>347689.70399999997</v>
      </c>
      <c r="Q246" s="858">
        <v>161807.883</v>
      </c>
      <c r="R246" s="858">
        <v>327425.78700000001</v>
      </c>
      <c r="S246" s="858">
        <v>393275.08799999999</v>
      </c>
      <c r="T246" s="858">
        <v>83618.16</v>
      </c>
      <c r="U246" s="858">
        <v>52935.689999999995</v>
      </c>
      <c r="V246" s="858">
        <v>134834.283</v>
      </c>
      <c r="W246" s="858">
        <v>269702.283</v>
      </c>
      <c r="X246" s="858">
        <v>134834.283</v>
      </c>
      <c r="Y246" s="858">
        <v>269702.283</v>
      </c>
      <c r="Z246" s="858">
        <v>134834.283</v>
      </c>
      <c r="AA246" s="858">
        <v>269702.283</v>
      </c>
      <c r="AB246" s="858">
        <v>404570.283</v>
      </c>
      <c r="AC246" s="858">
        <v>215788.79999999999</v>
      </c>
      <c r="AD246" s="858">
        <v>215755.08299999998</v>
      </c>
      <c r="AE246" s="858">
        <v>215755.08299999998</v>
      </c>
      <c r="AF246" s="858">
        <v>161841.60000000001</v>
      </c>
      <c r="AG246" s="858">
        <v>161841.60000000001</v>
      </c>
      <c r="AH246" s="858">
        <v>215788.79999999999</v>
      </c>
      <c r="AI246" s="858"/>
      <c r="AJ246" s="859">
        <v>7616299.4129999978</v>
      </c>
      <c r="AK246" s="841" t="s">
        <v>11</v>
      </c>
      <c r="AL246" s="858">
        <v>388453.55699999997</v>
      </c>
      <c r="AM246" s="858">
        <v>283897.14</v>
      </c>
      <c r="AN246" s="858">
        <v>1530448.3469999998</v>
      </c>
      <c r="AO246" s="858">
        <v>1942571.2379999999</v>
      </c>
      <c r="AP246" s="858">
        <v>1676308.0889999999</v>
      </c>
      <c r="AQ246" s="858">
        <v>1658067.192</v>
      </c>
      <c r="AR246" s="858">
        <v>136553.85</v>
      </c>
      <c r="AS246" s="858">
        <v>3884535.57</v>
      </c>
      <c r="AT246" s="858">
        <v>3731763.8429999999</v>
      </c>
      <c r="AU246" s="858">
        <v>7616299.4129999997</v>
      </c>
      <c r="AV246" s="992"/>
      <c r="AW246" s="876"/>
      <c r="AX246" s="873" t="s">
        <v>5</v>
      </c>
      <c r="AY246" s="583">
        <v>7975.5</v>
      </c>
      <c r="AZ246" s="583">
        <v>13649</v>
      </c>
      <c r="BA246" s="583">
        <v>1289.9000000000001</v>
      </c>
      <c r="BB246" s="583">
        <v>13642</v>
      </c>
      <c r="BC246" s="583">
        <v>5483.9</v>
      </c>
    </row>
    <row r="247" spans="1:55" s="947" customFormat="1" x14ac:dyDescent="0.25">
      <c r="A247" s="1040"/>
      <c r="B247" s="839" t="s">
        <v>79</v>
      </c>
      <c r="C247" s="858">
        <v>164000</v>
      </c>
      <c r="D247" s="858">
        <v>109880</v>
      </c>
      <c r="E247" s="858">
        <v>109880</v>
      </c>
      <c r="F247" s="858">
        <v>328000</v>
      </c>
      <c r="G247" s="858">
        <v>330905</v>
      </c>
      <c r="H247" s="858">
        <v>264264</v>
      </c>
      <c r="I247" s="858">
        <v>242663.6</v>
      </c>
      <c r="J247" s="858">
        <v>328000</v>
      </c>
      <c r="K247" s="858">
        <v>328000</v>
      </c>
      <c r="L247" s="858">
        <v>328000</v>
      </c>
      <c r="M247" s="858">
        <v>328000</v>
      </c>
      <c r="N247" s="858">
        <v>264264.40000000002</v>
      </c>
      <c r="O247" s="858">
        <v>328000</v>
      </c>
      <c r="P247" s="858">
        <v>352965.4</v>
      </c>
      <c r="Q247" s="858">
        <v>328000</v>
      </c>
      <c r="R247" s="858">
        <v>328000</v>
      </c>
      <c r="S247" s="858">
        <v>328000</v>
      </c>
      <c r="T247" s="858">
        <v>110302</v>
      </c>
      <c r="U247" s="858">
        <v>66181</v>
      </c>
      <c r="V247" s="858">
        <v>204393</v>
      </c>
      <c r="W247" s="858">
        <v>418993</v>
      </c>
      <c r="X247" s="858">
        <v>204393</v>
      </c>
      <c r="Y247" s="858">
        <v>418993</v>
      </c>
      <c r="Z247" s="858">
        <v>204393</v>
      </c>
      <c r="AA247" s="858">
        <v>418993</v>
      </c>
      <c r="AB247" s="858">
        <v>657390.4</v>
      </c>
      <c r="AC247" s="858">
        <v>381742.4</v>
      </c>
      <c r="AD247" s="858">
        <v>448142.4</v>
      </c>
      <c r="AE247" s="858">
        <v>448142.4</v>
      </c>
      <c r="AF247" s="858">
        <v>312388.2</v>
      </c>
      <c r="AG247" s="858">
        <v>312388.2</v>
      </c>
      <c r="AH247" s="858">
        <v>448132.2</v>
      </c>
      <c r="AI247" s="858"/>
      <c r="AJ247" s="859">
        <v>9845789.5999999996</v>
      </c>
      <c r="AK247" s="841" t="s">
        <v>79</v>
      </c>
      <c r="AL247" s="858">
        <v>948179.2</v>
      </c>
      <c r="AM247" s="858">
        <v>613421.60000000009</v>
      </c>
      <c r="AN247" s="858">
        <v>2487424.6</v>
      </c>
      <c r="AO247" s="858">
        <v>2696877.4000000004</v>
      </c>
      <c r="AP247" s="858">
        <v>2826208.6</v>
      </c>
      <c r="AQ247" s="858">
        <v>2310031.4</v>
      </c>
      <c r="AR247" s="858">
        <v>176483</v>
      </c>
      <c r="AS247" s="858">
        <v>5620330.4000000004</v>
      </c>
      <c r="AT247" s="858">
        <v>6438295.4000000004</v>
      </c>
      <c r="AU247" s="858">
        <v>12058625.800000001</v>
      </c>
      <c r="AV247" s="993"/>
      <c r="AW247" s="877"/>
      <c r="AX247" s="874" t="s">
        <v>3</v>
      </c>
      <c r="AY247" s="849">
        <f>AY246/AY245</f>
        <v>0.86767553689157739</v>
      </c>
      <c r="AZ247" s="849">
        <f>AZ246/AZ245</f>
        <v>0.98994030911609621</v>
      </c>
      <c r="BA247" s="849">
        <f>BA246/BA245</f>
        <v>0.14649963656187537</v>
      </c>
      <c r="BB247" s="849">
        <f>BB246/BB245</f>
        <v>0.98943261022505558</v>
      </c>
      <c r="BC247" s="849">
        <f>BC246/BC245</f>
        <v>0.62283072869343992</v>
      </c>
    </row>
    <row r="248" spans="1:55" s="947" customFormat="1" ht="45" x14ac:dyDescent="0.25">
      <c r="A248" s="1040"/>
      <c r="B248" s="844" t="s">
        <v>8</v>
      </c>
      <c r="C248" s="861">
        <v>3847</v>
      </c>
      <c r="D248" s="861">
        <v>2879</v>
      </c>
      <c r="E248" s="861">
        <v>2829</v>
      </c>
      <c r="F248" s="861">
        <v>5679</v>
      </c>
      <c r="G248" s="861">
        <v>3366</v>
      </c>
      <c r="H248" s="861">
        <v>13405</v>
      </c>
      <c r="I248" s="861">
        <v>6588</v>
      </c>
      <c r="J248" s="861">
        <v>1380</v>
      </c>
      <c r="K248" s="861">
        <v>6060</v>
      </c>
      <c r="L248" s="861">
        <v>6735</v>
      </c>
      <c r="M248" s="861">
        <v>6187</v>
      </c>
      <c r="N248" s="861">
        <v>10872</v>
      </c>
      <c r="O248" s="861">
        <v>3436</v>
      </c>
      <c r="P248" s="861">
        <v>7524</v>
      </c>
      <c r="Q248" s="861">
        <v>1828</v>
      </c>
      <c r="R248" s="861">
        <v>4621</v>
      </c>
      <c r="S248" s="861">
        <v>10108</v>
      </c>
      <c r="T248" s="598">
        <v>1888</v>
      </c>
      <c r="U248" s="598">
        <v>1197</v>
      </c>
      <c r="V248" s="861">
        <v>1868</v>
      </c>
      <c r="W248" s="861">
        <v>2500</v>
      </c>
      <c r="X248" s="861">
        <v>1179</v>
      </c>
      <c r="Y248" s="861">
        <v>1487</v>
      </c>
      <c r="Z248" s="861">
        <v>761</v>
      </c>
      <c r="AA248" s="861">
        <v>1453</v>
      </c>
      <c r="AB248" s="861">
        <v>5300</v>
      </c>
      <c r="AC248" s="861">
        <v>0</v>
      </c>
      <c r="AD248" s="861">
        <v>892</v>
      </c>
      <c r="AE248" s="861">
        <v>1583</v>
      </c>
      <c r="AF248" s="861">
        <v>157</v>
      </c>
      <c r="AG248" s="861">
        <v>157</v>
      </c>
      <c r="AH248" s="861">
        <v>6400</v>
      </c>
      <c r="AI248" s="861"/>
      <c r="AJ248" s="840">
        <v>124166</v>
      </c>
      <c r="AK248" s="846" t="s">
        <v>8</v>
      </c>
      <c r="AL248" s="858">
        <v>5430</v>
      </c>
      <c r="AM248" s="858">
        <v>3036</v>
      </c>
      <c r="AN248" s="858">
        <v>33111</v>
      </c>
      <c r="AO248" s="858">
        <v>24820</v>
      </c>
      <c r="AP248" s="858">
        <v>32467</v>
      </c>
      <c r="AQ248" s="858">
        <v>22217</v>
      </c>
      <c r="AR248" s="858">
        <v>3085</v>
      </c>
      <c r="AS248" s="858">
        <v>50073</v>
      </c>
      <c r="AT248" s="858">
        <v>74093</v>
      </c>
      <c r="AU248" s="858">
        <v>124166</v>
      </c>
      <c r="AV248" s="993"/>
      <c r="AW248" s="877" t="s">
        <v>191</v>
      </c>
      <c r="AX248" s="839" t="s">
        <v>4</v>
      </c>
      <c r="AY248" s="840">
        <v>97433.600000000006</v>
      </c>
      <c r="AZ248" s="840">
        <v>243584.4</v>
      </c>
      <c r="BA248" s="840">
        <v>132070.29999999999</v>
      </c>
      <c r="BB248" s="840">
        <v>292299.3</v>
      </c>
      <c r="BC248" s="840">
        <v>132070.39999999999</v>
      </c>
    </row>
    <row r="249" spans="1:55" s="947" customFormat="1" x14ac:dyDescent="0.25">
      <c r="A249" s="1040"/>
      <c r="B249" s="839" t="s">
        <v>77</v>
      </c>
      <c r="C249" s="858">
        <v>129709.299</v>
      </c>
      <c r="D249" s="858">
        <v>97071.243000000002</v>
      </c>
      <c r="E249" s="858">
        <v>95385.392999999996</v>
      </c>
      <c r="F249" s="858">
        <v>191478.84299999999</v>
      </c>
      <c r="G249" s="858">
        <v>113491.42199999999</v>
      </c>
      <c r="H249" s="858">
        <v>451976.38500000001</v>
      </c>
      <c r="I249" s="858">
        <v>222127.59599999999</v>
      </c>
      <c r="J249" s="858">
        <v>46529.46</v>
      </c>
      <c r="K249" s="858">
        <v>204325.02</v>
      </c>
      <c r="L249" s="858">
        <v>227083.995</v>
      </c>
      <c r="M249" s="858">
        <v>208607.079</v>
      </c>
      <c r="N249" s="858">
        <v>366571.22399999999</v>
      </c>
      <c r="O249" s="858">
        <v>115851.61199999999</v>
      </c>
      <c r="P249" s="858">
        <v>165550.46999999997</v>
      </c>
      <c r="Q249" s="858">
        <v>61634.675999999999</v>
      </c>
      <c r="R249" s="858">
        <v>155806.25699999998</v>
      </c>
      <c r="S249" s="858">
        <v>340811.43599999999</v>
      </c>
      <c r="T249" s="863">
        <v>63657.695999999996</v>
      </c>
      <c r="U249" s="863">
        <v>40359.248999999996</v>
      </c>
      <c r="V249" s="863">
        <v>62983.356</v>
      </c>
      <c r="W249" s="863">
        <v>84292.5</v>
      </c>
      <c r="X249" s="863">
        <v>39752.343000000001</v>
      </c>
      <c r="Y249" s="863">
        <v>50137.178999999996</v>
      </c>
      <c r="Z249" s="863">
        <v>25658.636999999999</v>
      </c>
      <c r="AA249" s="863">
        <v>48990.800999999999</v>
      </c>
      <c r="AB249" s="863">
        <v>178700.1</v>
      </c>
      <c r="AC249" s="863">
        <v>0</v>
      </c>
      <c r="AD249" s="863">
        <v>30075.563999999998</v>
      </c>
      <c r="AE249" s="863">
        <v>53374.010999999999</v>
      </c>
      <c r="AF249" s="863">
        <v>5293.5689999999995</v>
      </c>
      <c r="AG249" s="863">
        <v>5293.5689999999995</v>
      </c>
      <c r="AH249" s="863">
        <v>215788.79999999999</v>
      </c>
      <c r="AI249" s="863"/>
      <c r="AJ249" s="864">
        <v>4098368.784</v>
      </c>
      <c r="AK249" s="841" t="s">
        <v>77</v>
      </c>
      <c r="AL249" s="858">
        <v>183083.31</v>
      </c>
      <c r="AM249" s="858">
        <v>102364.81199999999</v>
      </c>
      <c r="AN249" s="858">
        <v>1116403.5870000001</v>
      </c>
      <c r="AO249" s="858">
        <v>836855.94</v>
      </c>
      <c r="AP249" s="858">
        <v>1094689.8389999999</v>
      </c>
      <c r="AQ249" s="858">
        <v>749090.58899999992</v>
      </c>
      <c r="AR249" s="858">
        <v>104016.94499999999</v>
      </c>
      <c r="AS249" s="858">
        <v>1688311.341</v>
      </c>
      <c r="AT249" s="858">
        <v>2498193.6809999999</v>
      </c>
      <c r="AU249" s="858">
        <v>4186505.0219999999</v>
      </c>
      <c r="AV249" s="915"/>
      <c r="AW249" s="980"/>
      <c r="AX249" s="844" t="s">
        <v>5</v>
      </c>
      <c r="AY249" s="583">
        <v>38973.199999999997</v>
      </c>
      <c r="AZ249" s="583">
        <v>124350.5</v>
      </c>
      <c r="BA249" s="583">
        <v>3817.1</v>
      </c>
      <c r="BB249" s="583">
        <v>109009</v>
      </c>
      <c r="BC249" s="583">
        <v>33401</v>
      </c>
    </row>
    <row r="250" spans="1:55" s="947" customFormat="1" x14ac:dyDescent="0.25">
      <c r="A250" s="1040"/>
      <c r="B250" s="848" t="s">
        <v>217</v>
      </c>
      <c r="C250" s="849">
        <v>0.51879901239268789</v>
      </c>
      <c r="D250" s="849">
        <v>0.64492008527957356</v>
      </c>
      <c r="E250" s="866">
        <v>0.63371966698711835</v>
      </c>
      <c r="F250" s="866">
        <v>1.0520884917922535</v>
      </c>
      <c r="G250" s="866">
        <v>0.68464961086642162</v>
      </c>
      <c r="H250" s="866">
        <v>1.1603866060769439</v>
      </c>
      <c r="I250" s="866">
        <v>1.2916234928812533</v>
      </c>
      <c r="J250" s="866">
        <v>0.2801663073977288</v>
      </c>
      <c r="K250" s="866">
        <v>1.6475273183507069</v>
      </c>
      <c r="L250" s="866">
        <v>1.0134457038655569</v>
      </c>
      <c r="M250" s="866">
        <v>1.0807027489637573</v>
      </c>
      <c r="N250" s="866">
        <v>0.83650063358601467</v>
      </c>
      <c r="O250" s="866">
        <v>1.3951503634445583</v>
      </c>
      <c r="P250" s="866">
        <v>0.5995372838340145</v>
      </c>
      <c r="Q250" s="866">
        <v>0.74223948322952638</v>
      </c>
      <c r="R250" s="866">
        <v>0.81310782065586662</v>
      </c>
      <c r="S250" s="866">
        <v>1.2993742243762505</v>
      </c>
      <c r="T250" s="849">
        <v>1.1542437308480353</v>
      </c>
      <c r="U250" s="849">
        <v>1.2196627128632083</v>
      </c>
      <c r="V250" s="849">
        <v>0.61629660506964523</v>
      </c>
      <c r="W250" s="849">
        <v>0.40235755728615991</v>
      </c>
      <c r="X250" s="849">
        <v>0.38897949538389281</v>
      </c>
      <c r="Y250" s="849">
        <v>0.23932227507380791</v>
      </c>
      <c r="Z250" s="849">
        <v>0.25107158268629548</v>
      </c>
      <c r="AA250" s="849">
        <v>0.23385021229471614</v>
      </c>
      <c r="AB250" s="849">
        <v>0.543665073295868</v>
      </c>
      <c r="AC250" s="849">
        <v>0</v>
      </c>
      <c r="AD250" s="849">
        <v>0.13422324689652215</v>
      </c>
      <c r="AE250" s="849">
        <v>0.2382011208937159</v>
      </c>
      <c r="AF250" s="849">
        <v>3.3890966432150761E-2</v>
      </c>
      <c r="AG250" s="849">
        <v>3.3890966432150761E-2</v>
      </c>
      <c r="AH250" s="849">
        <v>0.96305866884816571</v>
      </c>
      <c r="AI250" s="849"/>
      <c r="AJ250" s="851">
        <v>0.67974060261493496</v>
      </c>
      <c r="AK250" s="852" t="s">
        <v>217</v>
      </c>
      <c r="AL250" s="849">
        <v>0.38617870967850804</v>
      </c>
      <c r="AM250" s="849">
        <v>0.3337502689830289</v>
      </c>
      <c r="AN250" s="849">
        <v>0.89763813303124851</v>
      </c>
      <c r="AO250" s="849">
        <v>0.62061103704602949</v>
      </c>
      <c r="AP250" s="849">
        <v>0.77467023417875092</v>
      </c>
      <c r="AQ250" s="849">
        <v>0.64855446467091304</v>
      </c>
      <c r="AR250" s="849">
        <v>1.1787758027685384</v>
      </c>
      <c r="AS250" s="849">
        <v>0.60078722097903703</v>
      </c>
      <c r="AT250" s="849">
        <v>0.7760419570061976</v>
      </c>
      <c r="AU250" s="849">
        <v>0.69435855982859995</v>
      </c>
      <c r="AV250" s="914"/>
      <c r="AW250" s="980"/>
      <c r="AX250" s="848" t="s">
        <v>3</v>
      </c>
      <c r="AY250" s="849">
        <f>AY249/AY248</f>
        <v>0.39999753678402516</v>
      </c>
      <c r="AZ250" s="849">
        <f>AZ249/AZ248</f>
        <v>0.51050272513346506</v>
      </c>
      <c r="BA250" s="849">
        <f>BA249/BA248</f>
        <v>2.8902031720984961E-2</v>
      </c>
      <c r="BB250" s="849">
        <f>BB249/BB248</f>
        <v>0.37293623351133581</v>
      </c>
      <c r="BC250" s="849">
        <f>BC249/BC248</f>
        <v>0.25290299718937781</v>
      </c>
    </row>
    <row r="251" spans="1:55" s="947" customFormat="1" x14ac:dyDescent="0.25">
      <c r="A251" s="980"/>
      <c r="B251" s="848" t="s">
        <v>218</v>
      </c>
      <c r="C251" s="598">
        <v>119239</v>
      </c>
      <c r="D251" s="598">
        <v>96666.1</v>
      </c>
      <c r="E251" s="598">
        <v>94980.2</v>
      </c>
      <c r="F251" s="598">
        <v>187467</v>
      </c>
      <c r="G251" s="598">
        <v>111205</v>
      </c>
      <c r="H251" s="598">
        <v>436927</v>
      </c>
      <c r="I251" s="598">
        <v>147328</v>
      </c>
      <c r="J251" s="598">
        <v>46570.3</v>
      </c>
      <c r="K251" s="598">
        <v>145907</v>
      </c>
      <c r="L251" s="598">
        <v>227472</v>
      </c>
      <c r="M251" s="598">
        <v>153101</v>
      </c>
      <c r="N251" s="598">
        <v>355323</v>
      </c>
      <c r="O251" s="598">
        <v>115895</v>
      </c>
      <c r="P251" s="598">
        <v>136845</v>
      </c>
      <c r="Q251" s="598">
        <v>61685.9</v>
      </c>
      <c r="R251" s="598">
        <v>142044</v>
      </c>
      <c r="S251" s="598">
        <v>340999</v>
      </c>
      <c r="T251" s="598">
        <v>63657.4</v>
      </c>
      <c r="U251" s="598">
        <v>40359.1</v>
      </c>
      <c r="V251" s="598">
        <v>63016.800000000003</v>
      </c>
      <c r="W251" s="598">
        <v>63016.800000000003</v>
      </c>
      <c r="X251" s="598">
        <v>39810.1</v>
      </c>
      <c r="Y251" s="598">
        <v>39776.400000000001</v>
      </c>
      <c r="Z251" s="598">
        <v>25355.200000000001</v>
      </c>
      <c r="AA251" s="598">
        <v>25355.200000000001</v>
      </c>
      <c r="AB251" s="598">
        <v>178773</v>
      </c>
      <c r="AC251" s="598">
        <v>0</v>
      </c>
      <c r="AD251" s="598">
        <v>30112.400000000001</v>
      </c>
      <c r="AE251" s="598">
        <v>53408.5</v>
      </c>
      <c r="AF251" s="598">
        <v>5297.75</v>
      </c>
      <c r="AG251" s="598">
        <v>5293.54</v>
      </c>
      <c r="AH251" s="598">
        <v>0</v>
      </c>
      <c r="AI251" s="598"/>
      <c r="AJ251" s="867">
        <v>3552886.69</v>
      </c>
      <c r="AK251" s="852" t="s">
        <v>218</v>
      </c>
      <c r="AL251" s="861">
        <v>172647.5</v>
      </c>
      <c r="AM251" s="861">
        <v>101959.64</v>
      </c>
      <c r="AN251" s="861">
        <v>881978.4</v>
      </c>
      <c r="AO251" s="861">
        <v>679470.35</v>
      </c>
      <c r="AP251" s="861">
        <v>1028196</v>
      </c>
      <c r="AQ251" s="861">
        <v>584618.29999999993</v>
      </c>
      <c r="AR251" s="861">
        <v>104016.5</v>
      </c>
      <c r="AS251" s="861">
        <v>1366048.29</v>
      </c>
      <c r="AT251" s="861">
        <v>2186838.4</v>
      </c>
      <c r="AU251" s="861">
        <v>3552886.69</v>
      </c>
      <c r="AV251" s="916"/>
      <c r="AW251" s="980" t="s">
        <v>219</v>
      </c>
      <c r="AX251" s="848" t="s">
        <v>3</v>
      </c>
      <c r="AY251" s="849">
        <f>(AY244+AY250)/2</f>
        <v>0.38119624665106289</v>
      </c>
      <c r="AZ251" s="849">
        <f t="shared" ref="AZ251:BC251" si="64">(AZ244+AZ250)/2</f>
        <v>0.47677983409520408</v>
      </c>
      <c r="BA251" s="849">
        <f t="shared" si="64"/>
        <v>2.9589946651719472E-2</v>
      </c>
      <c r="BB251" s="849">
        <f t="shared" si="64"/>
        <v>0.45412051337057324</v>
      </c>
      <c r="BC251" s="849">
        <f t="shared" si="64"/>
        <v>0.31543211186862841</v>
      </c>
    </row>
    <row r="252" spans="1:55" s="947" customFormat="1" x14ac:dyDescent="0.25">
      <c r="A252" s="980"/>
      <c r="B252" s="848" t="s">
        <v>216</v>
      </c>
      <c r="C252" s="866">
        <v>0.47692089862186143</v>
      </c>
      <c r="D252" s="866">
        <v>0.64222840389139546</v>
      </c>
      <c r="E252" s="866">
        <v>0.63102765340988731</v>
      </c>
      <c r="F252" s="866">
        <v>1.0300452530456246</v>
      </c>
      <c r="G252" s="866">
        <v>0.67085651615503084</v>
      </c>
      <c r="H252" s="866">
        <v>1.121749399879334</v>
      </c>
      <c r="I252" s="866">
        <v>0.85668016665164515</v>
      </c>
      <c r="J252" s="866">
        <v>0.28041221594672383</v>
      </c>
      <c r="K252" s="866">
        <v>1.1764871890804005</v>
      </c>
      <c r="L252" s="866">
        <v>1.0151773186380042</v>
      </c>
      <c r="M252" s="866">
        <v>0.7931498411379424</v>
      </c>
      <c r="N252" s="866">
        <v>0.81083264361111851</v>
      </c>
      <c r="O252" s="866">
        <v>1.3956728661782203</v>
      </c>
      <c r="P252" s="866">
        <v>0.49558107329001078</v>
      </c>
      <c r="Q252" s="866">
        <v>0.74285635148870166</v>
      </c>
      <c r="R252" s="866">
        <v>0.74128657924977892</v>
      </c>
      <c r="S252" s="866">
        <v>1.3000893289803723</v>
      </c>
      <c r="T252" s="866">
        <v>1.1542383637649363</v>
      </c>
      <c r="U252" s="866">
        <v>1.2196582100602891</v>
      </c>
      <c r="V252" s="866">
        <v>0.61662385698140354</v>
      </c>
      <c r="W252" s="866">
        <v>0.3008012067027373</v>
      </c>
      <c r="X252" s="866">
        <v>0.38954465172486336</v>
      </c>
      <c r="Y252" s="866">
        <v>0.18986665648352122</v>
      </c>
      <c r="Z252" s="866">
        <v>0.24810243012236233</v>
      </c>
      <c r="AA252" s="866">
        <v>0.12102922960526787</v>
      </c>
      <c r="AB252" s="866">
        <v>0.54388685931525615</v>
      </c>
      <c r="AC252" s="866">
        <v>0</v>
      </c>
      <c r="AD252" s="866">
        <v>0.13438764107123094</v>
      </c>
      <c r="AE252" s="866">
        <v>0.23835504071919997</v>
      </c>
      <c r="AF252" s="866">
        <v>3.391773440866204E-2</v>
      </c>
      <c r="AG252" s="866">
        <v>3.3890780765726748E-2</v>
      </c>
      <c r="AH252" s="866">
        <v>0</v>
      </c>
      <c r="AI252" s="866"/>
      <c r="AJ252" s="869">
        <v>0.58926891818800797</v>
      </c>
      <c r="AK252" s="852" t="s">
        <v>216</v>
      </c>
      <c r="AL252" s="849">
        <v>0.36416639386310101</v>
      </c>
      <c r="AM252" s="849">
        <v>0.33242924605198115</v>
      </c>
      <c r="AN252" s="849">
        <v>0.70914985724592416</v>
      </c>
      <c r="AO252" s="849">
        <v>0.50389413326686627</v>
      </c>
      <c r="AP252" s="849">
        <v>0.72761508120808915</v>
      </c>
      <c r="AQ252" s="849">
        <v>0.50615615008523251</v>
      </c>
      <c r="AR252" s="849">
        <v>1.1787707597898949</v>
      </c>
      <c r="AS252" s="849">
        <v>0.48610960309379675</v>
      </c>
      <c r="AT252" s="849">
        <v>0.67932216965378744</v>
      </c>
      <c r="AU252" s="849">
        <v>0.58926891818800775</v>
      </c>
      <c r="AV252" s="914"/>
      <c r="AW252" s="980"/>
      <c r="AX252" s="848"/>
      <c r="AY252" s="849"/>
      <c r="AZ252" s="849"/>
      <c r="BA252" s="849"/>
      <c r="BB252" s="849"/>
      <c r="BC252" s="849"/>
    </row>
    <row r="253" spans="1:55" s="947" customFormat="1" x14ac:dyDescent="0.25">
      <c r="A253" s="1041">
        <v>41850</v>
      </c>
      <c r="B253" s="1041"/>
      <c r="C253" s="1041"/>
      <c r="D253" s="529"/>
      <c r="E253" s="529"/>
      <c r="F253" s="529"/>
      <c r="G253" s="529"/>
      <c r="H253" s="529"/>
      <c r="I253" s="525"/>
      <c r="J253" s="531"/>
      <c r="K253" s="531"/>
      <c r="L253" s="529"/>
      <c r="M253" s="529"/>
      <c r="N253" s="527"/>
      <c r="R253" s="526"/>
      <c r="S253" s="534"/>
      <c r="T253" s="534"/>
      <c r="U253" s="534"/>
      <c r="V253" s="534"/>
      <c r="W253" s="534"/>
      <c r="X253" s="534"/>
      <c r="Y253" s="534"/>
      <c r="Z253" s="534"/>
      <c r="AA253" s="534"/>
      <c r="AB253" s="534"/>
      <c r="AC253" s="534"/>
      <c r="AD253" s="534"/>
      <c r="AE253" s="534"/>
      <c r="AF253" s="534"/>
      <c r="AG253" s="534"/>
      <c r="AH253" s="534"/>
      <c r="AI253" s="534"/>
      <c r="AJ253" s="534"/>
      <c r="AK253" s="534"/>
      <c r="AL253" s="534"/>
      <c r="AM253" s="534"/>
      <c r="AN253" s="534"/>
      <c r="AO253" s="534"/>
    </row>
    <row r="254" spans="1:55" s="947" customFormat="1" x14ac:dyDescent="0.25">
      <c r="A254" s="1042" t="s">
        <v>1</v>
      </c>
      <c r="B254" s="1042"/>
      <c r="C254" s="979" t="s">
        <v>12</v>
      </c>
      <c r="D254" s="979" t="s">
        <v>12</v>
      </c>
      <c r="E254" s="979" t="s">
        <v>13</v>
      </c>
      <c r="F254" s="979" t="s">
        <v>13</v>
      </c>
      <c r="G254" s="979" t="s">
        <v>13</v>
      </c>
      <c r="H254" s="979" t="s">
        <v>13</v>
      </c>
      <c r="I254" s="979" t="s">
        <v>13</v>
      </c>
      <c r="J254" s="979" t="s">
        <v>13</v>
      </c>
      <c r="K254" s="979" t="s">
        <v>13</v>
      </c>
      <c r="L254" s="979" t="s">
        <v>13</v>
      </c>
      <c r="M254" s="829" t="s">
        <v>2</v>
      </c>
      <c r="N254" s="979" t="s">
        <v>2</v>
      </c>
      <c r="O254" s="979" t="s">
        <v>2</v>
      </c>
      <c r="P254" s="979" t="s">
        <v>2</v>
      </c>
      <c r="Q254" s="979" t="s">
        <v>2</v>
      </c>
      <c r="R254" s="979" t="s">
        <v>2</v>
      </c>
      <c r="S254" s="979" t="s">
        <v>2</v>
      </c>
      <c r="T254" s="830" t="s">
        <v>183</v>
      </c>
      <c r="U254" s="830" t="s">
        <v>183</v>
      </c>
      <c r="V254" s="830" t="s">
        <v>2</v>
      </c>
      <c r="W254" s="830" t="s">
        <v>13</v>
      </c>
      <c r="X254" s="830" t="s">
        <v>13</v>
      </c>
      <c r="Y254" s="830" t="s">
        <v>2</v>
      </c>
      <c r="Z254" s="830" t="s">
        <v>13</v>
      </c>
      <c r="AA254" s="830" t="s">
        <v>2</v>
      </c>
      <c r="AB254" s="888" t="s">
        <v>2</v>
      </c>
      <c r="AC254" s="888" t="s">
        <v>2</v>
      </c>
      <c r="AD254" s="888" t="s">
        <v>13</v>
      </c>
      <c r="AE254" s="888" t="s">
        <v>12</v>
      </c>
      <c r="AF254" s="888" t="s">
        <v>13</v>
      </c>
      <c r="AG254" s="888" t="s">
        <v>12</v>
      </c>
      <c r="AH254" s="888" t="s">
        <v>13</v>
      </c>
      <c r="AI254" s="888" t="s">
        <v>13</v>
      </c>
      <c r="AJ254" s="831" t="s">
        <v>219</v>
      </c>
      <c r="AK254" s="1042" t="s">
        <v>0</v>
      </c>
      <c r="AL254" s="1042"/>
      <c r="AM254" s="833"/>
      <c r="AN254" s="833"/>
      <c r="AO254" s="833"/>
      <c r="AP254" s="833"/>
      <c r="AQ254" s="833"/>
      <c r="AR254" s="833"/>
      <c r="AS254" s="833"/>
      <c r="AT254" s="833"/>
      <c r="AU254" s="1042" t="s">
        <v>1</v>
      </c>
      <c r="AV254" s="1043"/>
      <c r="AW254" s="979" t="s">
        <v>12</v>
      </c>
      <c r="AX254" s="1044" t="s">
        <v>13</v>
      </c>
      <c r="AY254" s="1045"/>
      <c r="AZ254" s="1044" t="s">
        <v>2</v>
      </c>
      <c r="BA254" s="1045"/>
    </row>
    <row r="255" spans="1:55" s="947" customFormat="1" x14ac:dyDescent="0.25">
      <c r="A255" s="1042" t="s">
        <v>0</v>
      </c>
      <c r="B255" s="1042"/>
      <c r="C255" s="834" t="s">
        <v>99</v>
      </c>
      <c r="D255" s="835" t="s">
        <v>100</v>
      </c>
      <c r="E255" s="835" t="s">
        <v>101</v>
      </c>
      <c r="F255" s="834" t="s">
        <v>102</v>
      </c>
      <c r="G255" s="835" t="s">
        <v>97</v>
      </c>
      <c r="H255" s="834" t="s">
        <v>104</v>
      </c>
      <c r="I255" s="835" t="s">
        <v>103</v>
      </c>
      <c r="J255" s="835" t="s">
        <v>178</v>
      </c>
      <c r="K255" s="835" t="s">
        <v>199</v>
      </c>
      <c r="L255" s="834" t="s">
        <v>206</v>
      </c>
      <c r="M255" s="834" t="s">
        <v>105</v>
      </c>
      <c r="N255" s="834" t="s">
        <v>107</v>
      </c>
      <c r="O255" s="835" t="s">
        <v>98</v>
      </c>
      <c r="P255" s="835" t="s">
        <v>106</v>
      </c>
      <c r="Q255" s="835" t="s">
        <v>179</v>
      </c>
      <c r="R255" s="835" t="s">
        <v>198</v>
      </c>
      <c r="S255" s="834" t="s">
        <v>207</v>
      </c>
      <c r="T255" s="834" t="s">
        <v>182</v>
      </c>
      <c r="U255" s="834" t="s">
        <v>184</v>
      </c>
      <c r="V255" s="835" t="s">
        <v>221</v>
      </c>
      <c r="W255" s="835" t="s">
        <v>222</v>
      </c>
      <c r="X255" s="835" t="s">
        <v>255</v>
      </c>
      <c r="Y255" s="835" t="s">
        <v>256</v>
      </c>
      <c r="Z255" s="835" t="s">
        <v>266</v>
      </c>
      <c r="AA255" s="835" t="s">
        <v>267</v>
      </c>
      <c r="AB255" s="889" t="s">
        <v>268</v>
      </c>
      <c r="AC255" s="889" t="s">
        <v>269</v>
      </c>
      <c r="AD255" s="889" t="s">
        <v>295</v>
      </c>
      <c r="AE255" s="889" t="s">
        <v>290</v>
      </c>
      <c r="AF255" s="946" t="s">
        <v>291</v>
      </c>
      <c r="AG255" s="946" t="s">
        <v>292</v>
      </c>
      <c r="AH255" s="889" t="s">
        <v>293</v>
      </c>
      <c r="AI255" s="889" t="s">
        <v>294</v>
      </c>
      <c r="AJ255" s="836"/>
      <c r="AK255" s="903" t="s">
        <v>1</v>
      </c>
      <c r="AL255" s="838" t="s">
        <v>257</v>
      </c>
      <c r="AM255" s="838" t="s">
        <v>258</v>
      </c>
      <c r="AN255" s="838" t="s">
        <v>259</v>
      </c>
      <c r="AO255" s="838" t="s">
        <v>260</v>
      </c>
      <c r="AP255" s="838" t="s">
        <v>261</v>
      </c>
      <c r="AQ255" s="838" t="s">
        <v>262</v>
      </c>
      <c r="AR255" s="838" t="s">
        <v>263</v>
      </c>
      <c r="AS255" s="904" t="s">
        <v>264</v>
      </c>
      <c r="AT255" s="904" t="s">
        <v>265</v>
      </c>
      <c r="AU255" s="1046" t="s">
        <v>0</v>
      </c>
      <c r="AV255" s="1043"/>
      <c r="AW255" s="834" t="s">
        <v>99</v>
      </c>
      <c r="AX255" s="834" t="s">
        <v>104</v>
      </c>
      <c r="AY255" s="834" t="s">
        <v>206</v>
      </c>
      <c r="AZ255" s="834" t="s">
        <v>107</v>
      </c>
      <c r="BA255" s="834" t="s">
        <v>207</v>
      </c>
    </row>
    <row r="256" spans="1:55" s="947" customFormat="1" x14ac:dyDescent="0.25">
      <c r="A256" s="1047" t="s">
        <v>9</v>
      </c>
      <c r="B256" s="839" t="s">
        <v>4</v>
      </c>
      <c r="C256" s="840">
        <v>250018.4</v>
      </c>
      <c r="D256" s="840">
        <v>150516.70000000001</v>
      </c>
      <c r="E256" s="840">
        <v>150516.70000000001</v>
      </c>
      <c r="F256" s="840">
        <v>181998.8</v>
      </c>
      <c r="G256" s="840">
        <v>165765.70000000001</v>
      </c>
      <c r="H256" s="840">
        <v>389505</v>
      </c>
      <c r="I256" s="840">
        <v>171975.5</v>
      </c>
      <c r="J256" s="840">
        <v>166078</v>
      </c>
      <c r="K256" s="840">
        <v>124019.2</v>
      </c>
      <c r="L256" s="840">
        <v>224071.2</v>
      </c>
      <c r="M256" s="840">
        <v>193029.1</v>
      </c>
      <c r="N256" s="840">
        <v>438219.9</v>
      </c>
      <c r="O256" s="840">
        <v>83038.8</v>
      </c>
      <c r="P256" s="840">
        <v>276130.40000000002</v>
      </c>
      <c r="Q256" s="840">
        <v>83038.8</v>
      </c>
      <c r="R256" s="840">
        <v>191618.2</v>
      </c>
      <c r="S256" s="840">
        <v>262288.90000000002</v>
      </c>
      <c r="T256" s="840">
        <v>55151</v>
      </c>
      <c r="U256" s="840">
        <v>33090.5</v>
      </c>
      <c r="V256" s="840">
        <v>102196.5</v>
      </c>
      <c r="W256" s="840">
        <v>209496.5</v>
      </c>
      <c r="X256" s="840">
        <v>102196.5</v>
      </c>
      <c r="Y256" s="840">
        <v>209496.5</v>
      </c>
      <c r="Z256" s="840">
        <v>102196.5</v>
      </c>
      <c r="AA256" s="840">
        <v>209496.5</v>
      </c>
      <c r="AB256" s="840">
        <v>328695.2</v>
      </c>
      <c r="AC256" s="901">
        <v>190871.2</v>
      </c>
      <c r="AD256" s="901">
        <v>224071.2</v>
      </c>
      <c r="AE256" s="901">
        <v>224071.2</v>
      </c>
      <c r="AF256" s="901">
        <v>156194.1</v>
      </c>
      <c r="AG256" s="901">
        <v>156194.1</v>
      </c>
      <c r="AH256" s="901">
        <v>224066.1</v>
      </c>
      <c r="AI256" s="901"/>
      <c r="AJ256" s="840">
        <v>6029312.8999999985</v>
      </c>
      <c r="AK256" s="841" t="s">
        <v>4</v>
      </c>
      <c r="AL256" s="863">
        <v>474089.6</v>
      </c>
      <c r="AM256" s="863">
        <v>306710.80000000005</v>
      </c>
      <c r="AN256" s="863">
        <v>1243712.3</v>
      </c>
      <c r="AO256" s="863">
        <v>1348438.7000000002</v>
      </c>
      <c r="AP256" s="863">
        <v>1413104.3</v>
      </c>
      <c r="AQ256" s="863">
        <v>1155015.7</v>
      </c>
      <c r="AR256" s="863">
        <v>88241.5</v>
      </c>
      <c r="AS256" s="863">
        <v>2810165.2</v>
      </c>
      <c r="AT256" s="863">
        <v>3219147.7</v>
      </c>
      <c r="AU256" s="875" t="s">
        <v>194</v>
      </c>
      <c r="AV256" s="872" t="s">
        <v>4</v>
      </c>
      <c r="AW256" s="840">
        <v>143393</v>
      </c>
      <c r="AX256" s="840">
        <v>132132</v>
      </c>
      <c r="AY256" s="840">
        <v>83196.100000000006</v>
      </c>
      <c r="AZ256" s="840">
        <v>132132.20000000001</v>
      </c>
      <c r="BA256" s="840">
        <v>83196.100000000006</v>
      </c>
    </row>
    <row r="257" spans="1:53" s="947" customFormat="1" x14ac:dyDescent="0.25">
      <c r="A257" s="1047"/>
      <c r="B257" s="844" t="s">
        <v>5</v>
      </c>
      <c r="C257" s="583">
        <v>103588.6</v>
      </c>
      <c r="D257" s="583">
        <v>85005.9</v>
      </c>
      <c r="E257" s="583">
        <v>85713.7</v>
      </c>
      <c r="F257" s="583">
        <v>129449.3</v>
      </c>
      <c r="G257" s="583">
        <v>116913.7</v>
      </c>
      <c r="H257" s="583">
        <v>217591.3</v>
      </c>
      <c r="I257" s="583">
        <v>121151.2</v>
      </c>
      <c r="J257" s="583">
        <v>50693.4</v>
      </c>
      <c r="K257" s="583">
        <v>87322.1</v>
      </c>
      <c r="L257" s="583">
        <v>80885.399999999994</v>
      </c>
      <c r="M257" s="583">
        <v>130434.2</v>
      </c>
      <c r="N257" s="583">
        <v>213797.3</v>
      </c>
      <c r="O257" s="583">
        <v>58988.800000000003</v>
      </c>
      <c r="P257" s="583">
        <v>223835.3</v>
      </c>
      <c r="Q257" s="583">
        <v>26205</v>
      </c>
      <c r="R257" s="583">
        <v>139541.79999999999</v>
      </c>
      <c r="S257" s="583">
        <v>176364.1</v>
      </c>
      <c r="T257" s="583">
        <v>17841</v>
      </c>
      <c r="U257" s="583">
        <v>11553.4</v>
      </c>
      <c r="V257" s="583">
        <v>14972.2</v>
      </c>
      <c r="W257" s="583">
        <v>29944.2</v>
      </c>
      <c r="X257" s="583">
        <v>21133.7</v>
      </c>
      <c r="Y257" s="583">
        <v>41337.699999999997</v>
      </c>
      <c r="Z257" s="583">
        <v>163.9</v>
      </c>
      <c r="AA257" s="583">
        <v>327.5</v>
      </c>
      <c r="AB257" s="583">
        <v>34936.199999999997</v>
      </c>
      <c r="AC257" s="583">
        <v>4.9000000000000004</v>
      </c>
      <c r="AD257" s="583">
        <v>3832.8</v>
      </c>
      <c r="AE257" s="583">
        <v>41188.699999999997</v>
      </c>
      <c r="AF257" s="583">
        <v>4047.8</v>
      </c>
      <c r="AG257" s="583">
        <v>4047.8</v>
      </c>
      <c r="AH257" s="583">
        <v>6399</v>
      </c>
      <c r="AI257" s="583"/>
      <c r="AJ257" s="845">
        <v>2279211.9</v>
      </c>
      <c r="AK257" s="846" t="s">
        <v>5</v>
      </c>
      <c r="AL257" s="863">
        <v>144777.29999999999</v>
      </c>
      <c r="AM257" s="863">
        <v>89053.7</v>
      </c>
      <c r="AN257" s="863">
        <v>438157.8</v>
      </c>
      <c r="AO257" s="863">
        <v>517083.7</v>
      </c>
      <c r="AP257" s="863">
        <v>555536.69999999995</v>
      </c>
      <c r="AQ257" s="863">
        <v>505208.3</v>
      </c>
      <c r="AR257" s="863">
        <v>29394.400000000001</v>
      </c>
      <c r="AS257" s="863">
        <v>1111345.7</v>
      </c>
      <c r="AT257" s="863">
        <v>1167866.1999999997</v>
      </c>
      <c r="AU257" s="876"/>
      <c r="AV257" s="873" t="s">
        <v>5</v>
      </c>
      <c r="AW257" s="583">
        <v>51964.9</v>
      </c>
      <c r="AX257" s="583">
        <v>58542</v>
      </c>
      <c r="AY257" s="583">
        <v>2519</v>
      </c>
      <c r="AZ257" s="583">
        <v>70731</v>
      </c>
      <c r="BA257" s="583">
        <v>31444.9</v>
      </c>
    </row>
    <row r="258" spans="1:53" s="947" customFormat="1" x14ac:dyDescent="0.25">
      <c r="A258" s="1047"/>
      <c r="B258" s="848" t="s">
        <v>3</v>
      </c>
      <c r="C258" s="849">
        <v>0.41432390576053607</v>
      </c>
      <c r="D258" s="849">
        <v>0.56476058802777362</v>
      </c>
      <c r="E258" s="849">
        <v>0.5694630562588735</v>
      </c>
      <c r="F258" s="850">
        <v>0.71126457976646007</v>
      </c>
      <c r="G258" s="849">
        <v>0.70529488307894816</v>
      </c>
      <c r="H258" s="849">
        <v>0.55863544755523031</v>
      </c>
      <c r="I258" s="849">
        <v>0.70446778756276329</v>
      </c>
      <c r="J258" s="849">
        <v>0.30523850239044303</v>
      </c>
      <c r="K258" s="849">
        <v>0.70410146170915477</v>
      </c>
      <c r="L258" s="849">
        <v>0.36098079539003669</v>
      </c>
      <c r="M258" s="850">
        <v>0.67572298684498866</v>
      </c>
      <c r="N258" s="849">
        <v>0.48787674863692859</v>
      </c>
      <c r="O258" s="849">
        <v>0.71037635418623579</v>
      </c>
      <c r="P258" s="849">
        <v>0.81061447779744633</v>
      </c>
      <c r="Q258" s="849">
        <v>0.3155753695862657</v>
      </c>
      <c r="R258" s="849">
        <v>0.72822832069187571</v>
      </c>
      <c r="S258" s="849">
        <v>0.67240397897127935</v>
      </c>
      <c r="T258" s="849">
        <v>0.32349368098493225</v>
      </c>
      <c r="U258" s="849">
        <v>0.349145525150723</v>
      </c>
      <c r="V258" s="849">
        <v>0.14650403878802112</v>
      </c>
      <c r="W258" s="849">
        <v>0.14293413016446577</v>
      </c>
      <c r="X258" s="849">
        <v>0.20679475324497415</v>
      </c>
      <c r="Y258" s="849">
        <v>0.19731928695706133</v>
      </c>
      <c r="Z258" s="849">
        <v>1.6037731233457114E-3</v>
      </c>
      <c r="AA258" s="849">
        <v>1.5632719401040113E-3</v>
      </c>
      <c r="AB258" s="849">
        <v>0.10628752716802678</v>
      </c>
      <c r="AC258" s="849">
        <v>2.5671761900171424E-5</v>
      </c>
      <c r="AD258" s="849">
        <v>1.7105277251159453E-2</v>
      </c>
      <c r="AE258" s="849">
        <v>0.18381969659643896</v>
      </c>
      <c r="AF258" s="849">
        <v>2.591519141888202E-2</v>
      </c>
      <c r="AG258" s="849">
        <v>2.591519141888202E-2</v>
      </c>
      <c r="AH258" s="849">
        <v>2.855853696743952E-2</v>
      </c>
      <c r="AI258" s="849"/>
      <c r="AJ258" s="851">
        <v>0.37802183064673928</v>
      </c>
      <c r="AK258" s="852" t="s">
        <v>3</v>
      </c>
      <c r="AL258" s="849">
        <v>0.30537961600507585</v>
      </c>
      <c r="AM258" s="849">
        <v>0.29035071474496493</v>
      </c>
      <c r="AN258" s="849">
        <v>0.35229835710397006</v>
      </c>
      <c r="AO258" s="849">
        <v>0.38346845132819157</v>
      </c>
      <c r="AP258" s="849">
        <v>0.39313212761435934</v>
      </c>
      <c r="AQ258" s="849">
        <v>0.43740383788722526</v>
      </c>
      <c r="AR258" s="849">
        <v>0.33311310437832542</v>
      </c>
      <c r="AS258" s="849">
        <v>0.39547344049381861</v>
      </c>
      <c r="AT258" s="849">
        <v>0.36278739245173486</v>
      </c>
      <c r="AU258" s="876"/>
      <c r="AV258" s="874" t="s">
        <v>3</v>
      </c>
      <c r="AW258" s="849">
        <v>0.36239495651810061</v>
      </c>
      <c r="AX258" s="849">
        <v>0.44305694305694304</v>
      </c>
      <c r="AY258" s="849">
        <v>3.0277861582453984E-2</v>
      </c>
      <c r="AZ258" s="849">
        <v>0.53530479322981073</v>
      </c>
      <c r="BA258" s="849">
        <v>0.37796122654787906</v>
      </c>
    </row>
    <row r="259" spans="1:53" s="947" customFormat="1" x14ac:dyDescent="0.25">
      <c r="A259" s="1040" t="s">
        <v>6</v>
      </c>
      <c r="B259" s="854" t="s">
        <v>7</v>
      </c>
      <c r="C259" s="840">
        <v>5644</v>
      </c>
      <c r="D259" s="840">
        <v>3620</v>
      </c>
      <c r="E259" s="840">
        <v>3591</v>
      </c>
      <c r="F259" s="840">
        <v>7556</v>
      </c>
      <c r="G259" s="840">
        <v>8432</v>
      </c>
      <c r="H259" s="840">
        <v>15702</v>
      </c>
      <c r="I259" s="840">
        <v>8123</v>
      </c>
      <c r="J259" s="840">
        <v>9599</v>
      </c>
      <c r="K259" s="840">
        <v>7072</v>
      </c>
      <c r="L259" s="840">
        <v>9334</v>
      </c>
      <c r="M259" s="840">
        <v>7730</v>
      </c>
      <c r="N259" s="840">
        <v>11924</v>
      </c>
      <c r="O259" s="840">
        <v>4357</v>
      </c>
      <c r="P259" s="840">
        <v>10312</v>
      </c>
      <c r="Q259" s="840">
        <v>4799</v>
      </c>
      <c r="R259" s="840">
        <v>9711</v>
      </c>
      <c r="S259" s="840">
        <v>11664</v>
      </c>
      <c r="T259" s="855">
        <v>2480</v>
      </c>
      <c r="U259" s="855">
        <v>1570</v>
      </c>
      <c r="V259" s="840">
        <v>3999</v>
      </c>
      <c r="W259" s="840">
        <v>7999</v>
      </c>
      <c r="X259" s="840">
        <v>3999</v>
      </c>
      <c r="Y259" s="840">
        <v>7999</v>
      </c>
      <c r="Z259" s="840">
        <v>3999</v>
      </c>
      <c r="AA259" s="840">
        <v>7999</v>
      </c>
      <c r="AB259" s="840">
        <v>11999</v>
      </c>
      <c r="AC259" s="840">
        <v>6400</v>
      </c>
      <c r="AD259" s="840">
        <v>6399</v>
      </c>
      <c r="AE259" s="840">
        <v>6399</v>
      </c>
      <c r="AF259" s="840">
        <v>4800</v>
      </c>
      <c r="AG259" s="840">
        <v>4800</v>
      </c>
      <c r="AH259" s="840">
        <v>6400</v>
      </c>
      <c r="AI259" s="840"/>
      <c r="AJ259" s="840">
        <v>226411</v>
      </c>
      <c r="AK259" s="856" t="s">
        <v>7</v>
      </c>
      <c r="AL259" s="858">
        <v>12043</v>
      </c>
      <c r="AM259" s="858">
        <v>8420</v>
      </c>
      <c r="AN259" s="858">
        <v>45391</v>
      </c>
      <c r="AO259" s="858">
        <v>57614</v>
      </c>
      <c r="AP259" s="858">
        <v>49717</v>
      </c>
      <c r="AQ259" s="858">
        <v>49176</v>
      </c>
      <c r="AR259" s="858">
        <v>4050</v>
      </c>
      <c r="AS259" s="858">
        <v>115210</v>
      </c>
      <c r="AT259" s="858">
        <v>111201</v>
      </c>
      <c r="AU259" s="880" t="s">
        <v>190</v>
      </c>
      <c r="AV259" s="879" t="s">
        <v>4</v>
      </c>
      <c r="AW259" s="857">
        <v>9191.7999999999993</v>
      </c>
      <c r="AX259" s="857">
        <v>13787.7</v>
      </c>
      <c r="AY259" s="857">
        <v>8804.7999999999993</v>
      </c>
      <c r="AZ259" s="857">
        <v>13787.7</v>
      </c>
      <c r="BA259" s="857">
        <v>8804.7999999999993</v>
      </c>
    </row>
    <row r="260" spans="1:53" s="947" customFormat="1" x14ac:dyDescent="0.25">
      <c r="A260" s="1040"/>
      <c r="B260" s="839" t="s">
        <v>11</v>
      </c>
      <c r="C260" s="858">
        <v>190298.74799999999</v>
      </c>
      <c r="D260" s="858">
        <v>122055.54</v>
      </c>
      <c r="E260" s="858">
        <v>121077.74699999999</v>
      </c>
      <c r="F260" s="858">
        <v>254765.652</v>
      </c>
      <c r="G260" s="858">
        <v>284301.74400000001</v>
      </c>
      <c r="H260" s="858">
        <v>529424.33400000003</v>
      </c>
      <c r="I260" s="858">
        <v>273883.19099999999</v>
      </c>
      <c r="J260" s="858">
        <v>323649.48300000001</v>
      </c>
      <c r="K260" s="858">
        <v>238446.62399999998</v>
      </c>
      <c r="L260" s="858">
        <v>314714.478</v>
      </c>
      <c r="M260" s="858">
        <v>260632.41</v>
      </c>
      <c r="N260" s="858">
        <v>402041.50799999997</v>
      </c>
      <c r="O260" s="858">
        <v>146904.96899999998</v>
      </c>
      <c r="P260" s="858">
        <v>347689.70399999997</v>
      </c>
      <c r="Q260" s="858">
        <v>161807.883</v>
      </c>
      <c r="R260" s="858">
        <v>327425.78700000001</v>
      </c>
      <c r="S260" s="858">
        <v>393275.08799999999</v>
      </c>
      <c r="T260" s="858">
        <v>83618.16</v>
      </c>
      <c r="U260" s="858">
        <v>52935.689999999995</v>
      </c>
      <c r="V260" s="858">
        <v>134834.283</v>
      </c>
      <c r="W260" s="858">
        <v>269702.283</v>
      </c>
      <c r="X260" s="858">
        <v>134834.283</v>
      </c>
      <c r="Y260" s="858">
        <v>269702.283</v>
      </c>
      <c r="Z260" s="858">
        <v>134834.283</v>
      </c>
      <c r="AA260" s="858">
        <v>269702.283</v>
      </c>
      <c r="AB260" s="858">
        <v>404570.283</v>
      </c>
      <c r="AC260" s="858">
        <v>215788.79999999999</v>
      </c>
      <c r="AD260" s="858">
        <v>215755.08299999998</v>
      </c>
      <c r="AE260" s="858">
        <v>215755.08299999998</v>
      </c>
      <c r="AF260" s="858">
        <v>161841.60000000001</v>
      </c>
      <c r="AG260" s="858">
        <v>161841.60000000001</v>
      </c>
      <c r="AH260" s="858">
        <v>215788.79999999999</v>
      </c>
      <c r="AI260" s="858"/>
      <c r="AJ260" s="859">
        <v>7633899.6869999962</v>
      </c>
      <c r="AK260" s="841" t="s">
        <v>11</v>
      </c>
      <c r="AL260" s="858">
        <v>406053.83100000001</v>
      </c>
      <c r="AM260" s="858">
        <v>283897.14</v>
      </c>
      <c r="AN260" s="858">
        <v>1530448.3469999998</v>
      </c>
      <c r="AO260" s="858">
        <v>1942571.2379999999</v>
      </c>
      <c r="AP260" s="858">
        <v>1676308.0889999999</v>
      </c>
      <c r="AQ260" s="858">
        <v>1658067.192</v>
      </c>
      <c r="AR260" s="858">
        <v>136553.85</v>
      </c>
      <c r="AS260" s="858">
        <v>3884535.57</v>
      </c>
      <c r="AT260" s="858">
        <v>3749364.1170000001</v>
      </c>
      <c r="AU260" s="876"/>
      <c r="AV260" s="873" t="s">
        <v>5</v>
      </c>
      <c r="AW260" s="583">
        <v>7975.5</v>
      </c>
      <c r="AX260" s="583">
        <v>13649</v>
      </c>
      <c r="AY260" s="583">
        <v>1289.9000000000001</v>
      </c>
      <c r="AZ260" s="583">
        <v>13642</v>
      </c>
      <c r="BA260" s="583">
        <v>5483.9</v>
      </c>
    </row>
    <row r="261" spans="1:53" s="947" customFormat="1" x14ac:dyDescent="0.25">
      <c r="A261" s="1040"/>
      <c r="B261" s="839" t="s">
        <v>79</v>
      </c>
      <c r="C261" s="858">
        <v>164000</v>
      </c>
      <c r="D261" s="858">
        <v>109880</v>
      </c>
      <c r="E261" s="858">
        <v>109880</v>
      </c>
      <c r="F261" s="858">
        <v>328000</v>
      </c>
      <c r="G261" s="858">
        <v>330905</v>
      </c>
      <c r="H261" s="858">
        <v>264264</v>
      </c>
      <c r="I261" s="858">
        <v>242663.6</v>
      </c>
      <c r="J261" s="858">
        <v>328000</v>
      </c>
      <c r="K261" s="858">
        <v>328000</v>
      </c>
      <c r="L261" s="858">
        <v>328000</v>
      </c>
      <c r="M261" s="858">
        <v>328000</v>
      </c>
      <c r="N261" s="858">
        <v>264264.40000000002</v>
      </c>
      <c r="O261" s="858">
        <v>328000</v>
      </c>
      <c r="P261" s="858">
        <v>352965.4</v>
      </c>
      <c r="Q261" s="858">
        <v>328000</v>
      </c>
      <c r="R261" s="858">
        <v>328000</v>
      </c>
      <c r="S261" s="858">
        <v>328000</v>
      </c>
      <c r="T261" s="858">
        <v>110302</v>
      </c>
      <c r="U261" s="858">
        <v>66181</v>
      </c>
      <c r="V261" s="858">
        <v>204393</v>
      </c>
      <c r="W261" s="858">
        <v>418993</v>
      </c>
      <c r="X261" s="858">
        <v>204393</v>
      </c>
      <c r="Y261" s="858">
        <v>418993</v>
      </c>
      <c r="Z261" s="858">
        <v>204393</v>
      </c>
      <c r="AA261" s="858">
        <v>418993</v>
      </c>
      <c r="AB261" s="858">
        <v>657390.4</v>
      </c>
      <c r="AC261" s="858">
        <v>381742.4</v>
      </c>
      <c r="AD261" s="858">
        <v>448142.4</v>
      </c>
      <c r="AE261" s="858">
        <v>448142.4</v>
      </c>
      <c r="AF261" s="858">
        <v>312388.2</v>
      </c>
      <c r="AG261" s="858">
        <v>312388.2</v>
      </c>
      <c r="AH261" s="858">
        <v>448132.2</v>
      </c>
      <c r="AI261" s="858"/>
      <c r="AJ261" s="859">
        <v>9845789.5999999996</v>
      </c>
      <c r="AK261" s="841" t="s">
        <v>79</v>
      </c>
      <c r="AL261" s="858">
        <v>948179.2</v>
      </c>
      <c r="AM261" s="858">
        <v>613421.60000000009</v>
      </c>
      <c r="AN261" s="858">
        <v>2487424.6</v>
      </c>
      <c r="AO261" s="858">
        <v>2696877.4000000004</v>
      </c>
      <c r="AP261" s="858">
        <v>2826208.6</v>
      </c>
      <c r="AQ261" s="858">
        <v>2310031.4</v>
      </c>
      <c r="AR261" s="858">
        <v>176483</v>
      </c>
      <c r="AS261" s="858">
        <v>5620330.4000000004</v>
      </c>
      <c r="AT261" s="858">
        <v>6438295.4000000004</v>
      </c>
      <c r="AU261" s="877"/>
      <c r="AV261" s="874" t="s">
        <v>3</v>
      </c>
      <c r="AW261" s="849">
        <v>0.86767553689157739</v>
      </c>
      <c r="AX261" s="849">
        <v>0.98994030911609621</v>
      </c>
      <c r="AY261" s="849">
        <v>0.14649963656187537</v>
      </c>
      <c r="AZ261" s="849">
        <v>0.98943261022505558</v>
      </c>
      <c r="BA261" s="849">
        <v>0.62283072869343992</v>
      </c>
    </row>
    <row r="262" spans="1:53" s="947" customFormat="1" x14ac:dyDescent="0.25">
      <c r="A262" s="1040"/>
      <c r="B262" s="844" t="s">
        <v>8</v>
      </c>
      <c r="C262" s="861">
        <v>5295</v>
      </c>
      <c r="D262" s="861">
        <v>2861</v>
      </c>
      <c r="E262" s="861">
        <v>2811</v>
      </c>
      <c r="F262" s="861">
        <v>5684</v>
      </c>
      <c r="G262" s="861">
        <v>3366</v>
      </c>
      <c r="H262" s="861">
        <v>13616</v>
      </c>
      <c r="I262" s="861">
        <v>6633</v>
      </c>
      <c r="J262" s="861">
        <v>1380</v>
      </c>
      <c r="K262" s="861">
        <v>6054</v>
      </c>
      <c r="L262" s="861">
        <v>6824</v>
      </c>
      <c r="M262" s="861">
        <v>6187</v>
      </c>
      <c r="N262" s="861">
        <v>10872</v>
      </c>
      <c r="O262" s="861">
        <v>3436</v>
      </c>
      <c r="P262" s="861">
        <v>7584</v>
      </c>
      <c r="Q262" s="861">
        <v>1828</v>
      </c>
      <c r="R262" s="861">
        <v>4673</v>
      </c>
      <c r="S262" s="861">
        <v>10093</v>
      </c>
      <c r="T262" s="598">
        <v>1888</v>
      </c>
      <c r="U262" s="598">
        <v>1197</v>
      </c>
      <c r="V262" s="861">
        <v>1868</v>
      </c>
      <c r="W262" s="861">
        <v>2500</v>
      </c>
      <c r="X262" s="861">
        <v>1179</v>
      </c>
      <c r="Y262" s="861">
        <v>1487</v>
      </c>
      <c r="Z262" s="861">
        <v>593</v>
      </c>
      <c r="AA262" s="861">
        <v>1177</v>
      </c>
      <c r="AB262" s="861">
        <v>5237</v>
      </c>
      <c r="AC262" s="861">
        <v>0</v>
      </c>
      <c r="AD262" s="861">
        <v>799</v>
      </c>
      <c r="AE262" s="861">
        <v>1550</v>
      </c>
      <c r="AF262" s="861">
        <v>145</v>
      </c>
      <c r="AG262" s="861">
        <v>145</v>
      </c>
      <c r="AH262" s="861">
        <v>6400</v>
      </c>
      <c r="AI262" s="861"/>
      <c r="AJ262" s="840">
        <v>125362</v>
      </c>
      <c r="AK262" s="846" t="s">
        <v>8</v>
      </c>
      <c r="AL262" s="858">
        <v>6845</v>
      </c>
      <c r="AM262" s="858">
        <v>3006</v>
      </c>
      <c r="AN262" s="858">
        <v>33323</v>
      </c>
      <c r="AO262" s="858">
        <v>24661</v>
      </c>
      <c r="AP262" s="858">
        <v>32389</v>
      </c>
      <c r="AQ262" s="858">
        <v>22053</v>
      </c>
      <c r="AR262" s="858">
        <v>3085</v>
      </c>
      <c r="AS262" s="858">
        <v>49720</v>
      </c>
      <c r="AT262" s="858">
        <v>75642</v>
      </c>
      <c r="AU262" s="877" t="s">
        <v>191</v>
      </c>
      <c r="AV262" s="839" t="s">
        <v>4</v>
      </c>
      <c r="AW262" s="840">
        <v>97433.600000000006</v>
      </c>
      <c r="AX262" s="840">
        <v>243584.4</v>
      </c>
      <c r="AY262" s="840">
        <v>132070.29999999999</v>
      </c>
      <c r="AZ262" s="840">
        <v>292299.3</v>
      </c>
      <c r="BA262" s="840">
        <v>132070.39999999999</v>
      </c>
    </row>
    <row r="263" spans="1:53" s="947" customFormat="1" x14ac:dyDescent="0.25">
      <c r="A263" s="1040"/>
      <c r="B263" s="839" t="s">
        <v>77</v>
      </c>
      <c r="C263" s="858">
        <v>178531.51499999998</v>
      </c>
      <c r="D263" s="858">
        <v>96464.337</v>
      </c>
      <c r="E263" s="858">
        <v>94778.486999999994</v>
      </c>
      <c r="F263" s="858">
        <v>191647.42799999999</v>
      </c>
      <c r="G263" s="858">
        <v>113491.42199999999</v>
      </c>
      <c r="H263" s="858">
        <v>459090.67199999996</v>
      </c>
      <c r="I263" s="858">
        <v>223644.861</v>
      </c>
      <c r="J263" s="858">
        <v>46529.46</v>
      </c>
      <c r="K263" s="858">
        <v>204122.71799999999</v>
      </c>
      <c r="L263" s="858">
        <v>230084.80799999999</v>
      </c>
      <c r="M263" s="858">
        <v>208607.079</v>
      </c>
      <c r="N263" s="858">
        <v>366571.22399999999</v>
      </c>
      <c r="O263" s="858">
        <v>115851.61199999999</v>
      </c>
      <c r="P263" s="858">
        <v>167573.49</v>
      </c>
      <c r="Q263" s="858">
        <v>61634.675999999999</v>
      </c>
      <c r="R263" s="858">
        <v>157559.541</v>
      </c>
      <c r="S263" s="858">
        <v>340305.68099999998</v>
      </c>
      <c r="T263" s="863">
        <v>63657.695999999996</v>
      </c>
      <c r="U263" s="863">
        <v>40359.248999999996</v>
      </c>
      <c r="V263" s="863">
        <v>62983.356</v>
      </c>
      <c r="W263" s="863">
        <v>84292.5</v>
      </c>
      <c r="X263" s="863">
        <v>39752.343000000001</v>
      </c>
      <c r="Y263" s="863">
        <v>50137.178999999996</v>
      </c>
      <c r="Z263" s="863">
        <v>19994.181</v>
      </c>
      <c r="AA263" s="863">
        <v>39684.909</v>
      </c>
      <c r="AB263" s="863">
        <v>176575.929</v>
      </c>
      <c r="AC263" s="863">
        <v>0</v>
      </c>
      <c r="AD263" s="863">
        <v>26939.882999999998</v>
      </c>
      <c r="AE263" s="863">
        <v>52261.35</v>
      </c>
      <c r="AF263" s="863">
        <v>4888.9650000000001</v>
      </c>
      <c r="AG263" s="863">
        <v>4888.9650000000001</v>
      </c>
      <c r="AH263" s="863">
        <v>215788.79999999999</v>
      </c>
      <c r="AI263" s="863"/>
      <c r="AJ263" s="864">
        <v>4138694.3159999992</v>
      </c>
      <c r="AK263" s="841" t="s">
        <v>77</v>
      </c>
      <c r="AL263" s="858">
        <v>230792.86499999999</v>
      </c>
      <c r="AM263" s="858">
        <v>101353.302</v>
      </c>
      <c r="AN263" s="858">
        <v>1123551.591</v>
      </c>
      <c r="AO263" s="858">
        <v>831494.93699999992</v>
      </c>
      <c r="AP263" s="858">
        <v>1092059.9129999999</v>
      </c>
      <c r="AQ263" s="858">
        <v>743561.00099999993</v>
      </c>
      <c r="AR263" s="858">
        <v>104016.94499999999</v>
      </c>
      <c r="AS263" s="858">
        <v>1676409.24</v>
      </c>
      <c r="AT263" s="858">
        <v>2550421.3139999998</v>
      </c>
      <c r="AU263" s="978"/>
      <c r="AV263" s="844" t="s">
        <v>5</v>
      </c>
      <c r="AW263" s="583">
        <v>38973.199999999997</v>
      </c>
      <c r="AX263" s="583">
        <v>124350.5</v>
      </c>
      <c r="AY263" s="583">
        <v>3817.1</v>
      </c>
      <c r="AZ263" s="583">
        <v>109009</v>
      </c>
      <c r="BA263" s="583">
        <v>33401</v>
      </c>
    </row>
    <row r="264" spans="1:53" s="947" customFormat="1" x14ac:dyDescent="0.25">
      <c r="A264" s="1040"/>
      <c r="B264" s="848" t="s">
        <v>217</v>
      </c>
      <c r="C264" s="849">
        <v>0.71407350419009152</v>
      </c>
      <c r="D264" s="849">
        <v>0.64088793469428973</v>
      </c>
      <c r="E264" s="866">
        <v>0.6296875164018344</v>
      </c>
      <c r="F264" s="866">
        <v>1.0530147891084995</v>
      </c>
      <c r="G264" s="866">
        <v>0.68464961086642162</v>
      </c>
      <c r="H264" s="866">
        <v>1.1786515500442869</v>
      </c>
      <c r="I264" s="866">
        <v>1.3004460577233385</v>
      </c>
      <c r="J264" s="866">
        <v>0.2801663073977288</v>
      </c>
      <c r="K264" s="866">
        <v>1.6458961031840231</v>
      </c>
      <c r="L264" s="866">
        <v>1.0268379336568019</v>
      </c>
      <c r="M264" s="866">
        <v>1.0807027489637573</v>
      </c>
      <c r="N264" s="866">
        <v>0.83650063358601467</v>
      </c>
      <c r="O264" s="866">
        <v>1.3951503634445583</v>
      </c>
      <c r="P264" s="866">
        <v>0.60686360502139558</v>
      </c>
      <c r="Q264" s="866">
        <v>0.74223948322952638</v>
      </c>
      <c r="R264" s="866">
        <v>0.82225770307830881</v>
      </c>
      <c r="S264" s="866">
        <v>1.2974459879926292</v>
      </c>
      <c r="T264" s="849">
        <v>1.1542437308480353</v>
      </c>
      <c r="U264" s="849">
        <v>1.2196627128632083</v>
      </c>
      <c r="V264" s="849">
        <v>0.61629660506964523</v>
      </c>
      <c r="W264" s="849">
        <v>0.40235755728615991</v>
      </c>
      <c r="X264" s="849">
        <v>0.38897949538389281</v>
      </c>
      <c r="Y264" s="849">
        <v>0.23932227507380791</v>
      </c>
      <c r="Z264" s="849">
        <v>0.19564447901836168</v>
      </c>
      <c r="AA264" s="849">
        <v>0.18942993797032409</v>
      </c>
      <c r="AB264" s="849">
        <v>0.53720263940574731</v>
      </c>
      <c r="AC264" s="849">
        <v>0</v>
      </c>
      <c r="AD264" s="849">
        <v>0.1202291191371314</v>
      </c>
      <c r="AE264" s="849">
        <v>0.23323546265651274</v>
      </c>
      <c r="AF264" s="849">
        <v>3.1300574093387649E-2</v>
      </c>
      <c r="AG264" s="849">
        <v>3.1300574093387649E-2</v>
      </c>
      <c r="AH264" s="849">
        <v>0.96305866884816571</v>
      </c>
      <c r="AI264" s="849"/>
      <c r="AJ264" s="851">
        <v>0.68642884929723924</v>
      </c>
      <c r="AK264" s="852" t="s">
        <v>217</v>
      </c>
      <c r="AL264" s="849">
        <v>0.48681275649159989</v>
      </c>
      <c r="AM264" s="849">
        <v>0.33045234142390806</v>
      </c>
      <c r="AN264" s="849">
        <v>0.90338544613573413</v>
      </c>
      <c r="AO264" s="849">
        <v>0.61663532572893365</v>
      </c>
      <c r="AP264" s="849">
        <v>0.77280913588614786</v>
      </c>
      <c r="AQ264" s="849">
        <v>0.64376700766924633</v>
      </c>
      <c r="AR264" s="849">
        <v>1.1787758027685384</v>
      </c>
      <c r="AS264" s="849">
        <v>0.59655184684516049</v>
      </c>
      <c r="AT264" s="849">
        <v>0.79226601314378942</v>
      </c>
      <c r="AU264" s="978"/>
      <c r="AV264" s="848" t="s">
        <v>3</v>
      </c>
      <c r="AW264" s="849">
        <v>0.39999753678402516</v>
      </c>
      <c r="AX264" s="849">
        <v>0.51050272513346506</v>
      </c>
      <c r="AY264" s="849">
        <v>2.8902031720984961E-2</v>
      </c>
      <c r="AZ264" s="849">
        <v>0.37293623351133581</v>
      </c>
      <c r="BA264" s="849">
        <v>0.25290299718937781</v>
      </c>
    </row>
    <row r="265" spans="1:53" s="947" customFormat="1" x14ac:dyDescent="0.25">
      <c r="A265" s="978"/>
      <c r="B265" s="848" t="s">
        <v>218</v>
      </c>
      <c r="C265" s="598">
        <v>168060</v>
      </c>
      <c r="D265" s="598">
        <v>96059.199999999997</v>
      </c>
      <c r="E265" s="598">
        <v>94373.3</v>
      </c>
      <c r="F265" s="598">
        <v>187636</v>
      </c>
      <c r="G265" s="598">
        <v>111205</v>
      </c>
      <c r="H265" s="598">
        <v>444051</v>
      </c>
      <c r="I265" s="598">
        <v>148846</v>
      </c>
      <c r="J265" s="598">
        <v>46570.3</v>
      </c>
      <c r="K265" s="598">
        <v>145705</v>
      </c>
      <c r="L265" s="598">
        <v>230472</v>
      </c>
      <c r="M265" s="598">
        <v>204621</v>
      </c>
      <c r="N265" s="598">
        <v>366652</v>
      </c>
      <c r="O265" s="598">
        <v>115895</v>
      </c>
      <c r="P265" s="598">
        <v>138868</v>
      </c>
      <c r="Q265" s="598">
        <v>61685.9</v>
      </c>
      <c r="R265" s="598">
        <v>143797</v>
      </c>
      <c r="S265" s="598">
        <v>340492</v>
      </c>
      <c r="T265" s="598">
        <v>63657.4</v>
      </c>
      <c r="U265" s="598">
        <v>40359.1</v>
      </c>
      <c r="V265" s="598">
        <v>63016.800000000003</v>
      </c>
      <c r="W265" s="598">
        <v>63016.800000000003</v>
      </c>
      <c r="X265" s="598">
        <v>39810.1</v>
      </c>
      <c r="Y265" s="598">
        <v>39776.400000000001</v>
      </c>
      <c r="Z265" s="598">
        <v>19690.8</v>
      </c>
      <c r="AA265" s="598">
        <v>19690.8</v>
      </c>
      <c r="AB265" s="598">
        <v>176648</v>
      </c>
      <c r="AC265" s="598">
        <v>0</v>
      </c>
      <c r="AD265" s="598">
        <v>26976.7</v>
      </c>
      <c r="AE265" s="598">
        <v>52295.9</v>
      </c>
      <c r="AF265" s="598">
        <v>4893.1499999999996</v>
      </c>
      <c r="AG265" s="598">
        <v>4888.9399999999996</v>
      </c>
      <c r="AH265" s="598">
        <v>0</v>
      </c>
      <c r="AI265" s="598"/>
      <c r="AJ265" s="867">
        <v>3659709.5899999989</v>
      </c>
      <c r="AK265" s="852" t="s">
        <v>218</v>
      </c>
      <c r="AL265" s="861">
        <v>220355.9</v>
      </c>
      <c r="AM265" s="861">
        <v>100948.14</v>
      </c>
      <c r="AN265" s="861">
        <v>889135.7</v>
      </c>
      <c r="AO265" s="861">
        <v>674110.45000000007</v>
      </c>
      <c r="AP265" s="861">
        <v>1088413</v>
      </c>
      <c r="AQ265" s="861">
        <v>582729.9</v>
      </c>
      <c r="AR265" s="861">
        <v>104016.5</v>
      </c>
      <c r="AS265" s="861">
        <v>1357788.4900000002</v>
      </c>
      <c r="AT265" s="861">
        <v>2301921.0999999996</v>
      </c>
      <c r="AU265" s="978" t="s">
        <v>219</v>
      </c>
      <c r="AV265" s="848" t="s">
        <v>3</v>
      </c>
      <c r="AW265" s="849">
        <v>0.38119624665106289</v>
      </c>
      <c r="AX265" s="849">
        <v>0.47677983409520408</v>
      </c>
      <c r="AY265" s="849">
        <v>2.9589946651719472E-2</v>
      </c>
      <c r="AZ265" s="849">
        <v>0.45412051337057324</v>
      </c>
      <c r="BA265" s="849">
        <v>0.31543211186862841</v>
      </c>
    </row>
    <row r="266" spans="1:53" s="947" customFormat="1" x14ac:dyDescent="0.25">
      <c r="A266" s="978"/>
      <c r="B266" s="848" t="s">
        <v>216</v>
      </c>
      <c r="C266" s="866">
        <v>0.67219052677722924</v>
      </c>
      <c r="D266" s="866">
        <v>0.63819629316879778</v>
      </c>
      <c r="E266" s="866">
        <v>0.62699554268728985</v>
      </c>
      <c r="F266" s="866">
        <v>1.0309738305966853</v>
      </c>
      <c r="G266" s="866">
        <v>0.67085651615503084</v>
      </c>
      <c r="H266" s="866">
        <v>1.1400392806254092</v>
      </c>
      <c r="I266" s="866">
        <v>0.86550700535832137</v>
      </c>
      <c r="J266" s="866">
        <v>0.28041221594672383</v>
      </c>
      <c r="K266" s="866">
        <v>1.1748584090205387</v>
      </c>
      <c r="L266" s="866">
        <v>1.028565920118248</v>
      </c>
      <c r="M266" s="866">
        <v>1.0600526034675601</v>
      </c>
      <c r="N266" s="866">
        <v>0.83668496113480917</v>
      </c>
      <c r="O266" s="866">
        <v>1.3956728661782203</v>
      </c>
      <c r="P266" s="866">
        <v>0.50290732204784405</v>
      </c>
      <c r="Q266" s="866">
        <v>0.74285635148870166</v>
      </c>
      <c r="R266" s="866">
        <v>0.75043497955830918</v>
      </c>
      <c r="S266" s="866">
        <v>1.2981563459223779</v>
      </c>
      <c r="T266" s="866">
        <v>1.1542383637649363</v>
      </c>
      <c r="U266" s="866">
        <v>1.2196582100602891</v>
      </c>
      <c r="V266" s="866">
        <v>0.61662385698140354</v>
      </c>
      <c r="W266" s="866">
        <v>0.3008012067027373</v>
      </c>
      <c r="X266" s="866">
        <v>0.38954465172486336</v>
      </c>
      <c r="Y266" s="866">
        <v>0.18986665648352122</v>
      </c>
      <c r="Z266" s="866">
        <v>0.19267587441839984</v>
      </c>
      <c r="AA266" s="866">
        <v>9.3991069063206298E-2</v>
      </c>
      <c r="AB266" s="866">
        <v>0.5374219033317188</v>
      </c>
      <c r="AC266" s="866">
        <v>0</v>
      </c>
      <c r="AD266" s="866">
        <v>0.12039342851736412</v>
      </c>
      <c r="AE266" s="866">
        <v>0.23338965471689355</v>
      </c>
      <c r="AF266" s="866">
        <v>3.1327367679060858E-2</v>
      </c>
      <c r="AG266" s="866">
        <v>3.130041403612556E-2</v>
      </c>
      <c r="AH266" s="866">
        <v>0</v>
      </c>
      <c r="AI266" s="866"/>
      <c r="AJ266" s="869">
        <v>0.60698617747969252</v>
      </c>
      <c r="AK266" s="852" t="s">
        <v>216</v>
      </c>
      <c r="AL266" s="849">
        <v>0.46479800442785502</v>
      </c>
      <c r="AM266" s="849">
        <v>0.32913135109686381</v>
      </c>
      <c r="AN266" s="849">
        <v>0.71490464474782467</v>
      </c>
      <c r="AO266" s="849">
        <v>0.49991923993282006</v>
      </c>
      <c r="AP266" s="849">
        <v>0.7702283546939882</v>
      </c>
      <c r="AQ266" s="849">
        <v>0.50452119395433326</v>
      </c>
      <c r="AR266" s="849">
        <v>1.1787707597898949</v>
      </c>
      <c r="AS266" s="849">
        <v>0.48317034528788561</v>
      </c>
      <c r="AT266" s="849">
        <v>0.71507160109491075</v>
      </c>
      <c r="AU266" s="978"/>
      <c r="AV266" s="848"/>
      <c r="AW266" s="849"/>
      <c r="AX266" s="849"/>
      <c r="AY266" s="849"/>
      <c r="AZ266" s="849"/>
      <c r="BA266" s="849"/>
    </row>
    <row r="267" spans="1:53" s="947" customFormat="1" x14ac:dyDescent="0.25">
      <c r="A267" s="1041" t="s">
        <v>303</v>
      </c>
      <c r="B267" s="1041"/>
      <c r="C267" s="1041"/>
      <c r="D267" s="529"/>
      <c r="E267" s="529"/>
      <c r="F267" s="529"/>
      <c r="G267" s="529"/>
      <c r="H267" s="529"/>
      <c r="I267" s="525"/>
      <c r="J267" s="531"/>
      <c r="K267" s="531"/>
      <c r="L267" s="529"/>
      <c r="M267" s="529"/>
      <c r="N267" s="527"/>
      <c r="R267" s="526"/>
      <c r="S267" s="534"/>
      <c r="T267" s="534"/>
      <c r="U267" s="534"/>
      <c r="V267" s="534"/>
      <c r="W267" s="534"/>
      <c r="X267" s="534"/>
      <c r="Y267" s="534"/>
      <c r="Z267" s="534"/>
      <c r="AA267" s="534"/>
      <c r="AB267" s="534"/>
      <c r="AC267" s="534"/>
      <c r="AD267" s="534"/>
      <c r="AE267" s="534"/>
      <c r="AF267" s="534"/>
      <c r="AG267" s="534"/>
      <c r="AH267" s="534"/>
      <c r="AI267" s="534"/>
      <c r="AJ267" s="534"/>
      <c r="AK267" s="534"/>
      <c r="AL267" s="534"/>
      <c r="AM267" s="534"/>
      <c r="AN267" s="534"/>
      <c r="AO267" s="534"/>
    </row>
    <row r="268" spans="1:53" s="947" customFormat="1" x14ac:dyDescent="0.25">
      <c r="A268" s="1042" t="s">
        <v>1</v>
      </c>
      <c r="B268" s="1042"/>
      <c r="C268" s="971" t="s">
        <v>12</v>
      </c>
      <c r="D268" s="971" t="s">
        <v>12</v>
      </c>
      <c r="E268" s="971" t="s">
        <v>13</v>
      </c>
      <c r="F268" s="971" t="s">
        <v>13</v>
      </c>
      <c r="G268" s="971" t="s">
        <v>13</v>
      </c>
      <c r="H268" s="971" t="s">
        <v>13</v>
      </c>
      <c r="I268" s="971" t="s">
        <v>13</v>
      </c>
      <c r="J268" s="971" t="s">
        <v>13</v>
      </c>
      <c r="K268" s="971" t="s">
        <v>13</v>
      </c>
      <c r="L268" s="971" t="s">
        <v>13</v>
      </c>
      <c r="M268" s="829" t="s">
        <v>2</v>
      </c>
      <c r="N268" s="971" t="s">
        <v>2</v>
      </c>
      <c r="O268" s="971" t="s">
        <v>2</v>
      </c>
      <c r="P268" s="971" t="s">
        <v>2</v>
      </c>
      <c r="Q268" s="971" t="s">
        <v>2</v>
      </c>
      <c r="R268" s="971" t="s">
        <v>2</v>
      </c>
      <c r="S268" s="971" t="s">
        <v>2</v>
      </c>
      <c r="T268" s="830" t="s">
        <v>183</v>
      </c>
      <c r="U268" s="830" t="s">
        <v>183</v>
      </c>
      <c r="V268" s="830" t="s">
        <v>2</v>
      </c>
      <c r="W268" s="830" t="s">
        <v>13</v>
      </c>
      <c r="X268" s="830" t="s">
        <v>13</v>
      </c>
      <c r="Y268" s="830" t="s">
        <v>2</v>
      </c>
      <c r="Z268" s="830" t="s">
        <v>13</v>
      </c>
      <c r="AA268" s="830" t="s">
        <v>2</v>
      </c>
      <c r="AB268" s="888" t="s">
        <v>2</v>
      </c>
      <c r="AC268" s="888" t="s">
        <v>2</v>
      </c>
      <c r="AD268" s="888" t="s">
        <v>13</v>
      </c>
      <c r="AE268" s="888" t="s">
        <v>12</v>
      </c>
      <c r="AF268" s="888" t="s">
        <v>13</v>
      </c>
      <c r="AG268" s="888" t="s">
        <v>12</v>
      </c>
      <c r="AH268" s="888" t="s">
        <v>13</v>
      </c>
      <c r="AI268" s="888" t="s">
        <v>13</v>
      </c>
      <c r="AJ268" s="831" t="s">
        <v>219</v>
      </c>
      <c r="AK268" s="1042" t="s">
        <v>0</v>
      </c>
      <c r="AL268" s="1042"/>
      <c r="AM268" s="833"/>
      <c r="AN268" s="833"/>
      <c r="AO268" s="833"/>
      <c r="AP268" s="833"/>
      <c r="AQ268" s="833"/>
      <c r="AR268" s="833"/>
      <c r="AS268" s="833"/>
      <c r="AT268" s="833"/>
      <c r="AU268" s="1042" t="s">
        <v>1</v>
      </c>
      <c r="AV268" s="1043"/>
      <c r="AW268" s="971" t="s">
        <v>12</v>
      </c>
      <c r="AX268" s="1044" t="s">
        <v>13</v>
      </c>
      <c r="AY268" s="1045"/>
      <c r="AZ268" s="1044" t="s">
        <v>2</v>
      </c>
      <c r="BA268" s="1045"/>
    </row>
    <row r="269" spans="1:53" s="947" customFormat="1" x14ac:dyDescent="0.25">
      <c r="A269" s="1042" t="s">
        <v>0</v>
      </c>
      <c r="B269" s="1042"/>
      <c r="C269" s="834" t="s">
        <v>99</v>
      </c>
      <c r="D269" s="835" t="s">
        <v>100</v>
      </c>
      <c r="E269" s="835" t="s">
        <v>101</v>
      </c>
      <c r="F269" s="834" t="s">
        <v>102</v>
      </c>
      <c r="G269" s="835" t="s">
        <v>97</v>
      </c>
      <c r="H269" s="834" t="s">
        <v>104</v>
      </c>
      <c r="I269" s="835" t="s">
        <v>103</v>
      </c>
      <c r="J269" s="835" t="s">
        <v>178</v>
      </c>
      <c r="K269" s="835" t="s">
        <v>199</v>
      </c>
      <c r="L269" s="834" t="s">
        <v>206</v>
      </c>
      <c r="M269" s="834" t="s">
        <v>105</v>
      </c>
      <c r="N269" s="834" t="s">
        <v>107</v>
      </c>
      <c r="O269" s="835" t="s">
        <v>98</v>
      </c>
      <c r="P269" s="835" t="s">
        <v>106</v>
      </c>
      <c r="Q269" s="835" t="s">
        <v>179</v>
      </c>
      <c r="R269" s="835" t="s">
        <v>198</v>
      </c>
      <c r="S269" s="834" t="s">
        <v>207</v>
      </c>
      <c r="T269" s="834" t="s">
        <v>182</v>
      </c>
      <c r="U269" s="834" t="s">
        <v>184</v>
      </c>
      <c r="V269" s="835" t="s">
        <v>221</v>
      </c>
      <c r="W269" s="835" t="s">
        <v>222</v>
      </c>
      <c r="X269" s="835" t="s">
        <v>255</v>
      </c>
      <c r="Y269" s="835" t="s">
        <v>256</v>
      </c>
      <c r="Z269" s="835" t="s">
        <v>266</v>
      </c>
      <c r="AA269" s="835" t="s">
        <v>267</v>
      </c>
      <c r="AB269" s="889" t="s">
        <v>268</v>
      </c>
      <c r="AC269" s="889" t="s">
        <v>269</v>
      </c>
      <c r="AD269" s="889" t="s">
        <v>295</v>
      </c>
      <c r="AE269" s="889" t="s">
        <v>290</v>
      </c>
      <c r="AF269" s="946" t="s">
        <v>291</v>
      </c>
      <c r="AG269" s="946" t="s">
        <v>292</v>
      </c>
      <c r="AH269" s="889" t="s">
        <v>293</v>
      </c>
      <c r="AI269" s="889" t="s">
        <v>294</v>
      </c>
      <c r="AJ269" s="836"/>
      <c r="AK269" s="903" t="s">
        <v>1</v>
      </c>
      <c r="AL269" s="838" t="s">
        <v>257</v>
      </c>
      <c r="AM269" s="838" t="s">
        <v>258</v>
      </c>
      <c r="AN269" s="838" t="s">
        <v>259</v>
      </c>
      <c r="AO269" s="838" t="s">
        <v>260</v>
      </c>
      <c r="AP269" s="838" t="s">
        <v>261</v>
      </c>
      <c r="AQ269" s="838" t="s">
        <v>262</v>
      </c>
      <c r="AR269" s="838" t="s">
        <v>263</v>
      </c>
      <c r="AS269" s="904" t="s">
        <v>264</v>
      </c>
      <c r="AT269" s="904" t="s">
        <v>265</v>
      </c>
      <c r="AU269" s="1046" t="s">
        <v>0</v>
      </c>
      <c r="AV269" s="1043"/>
      <c r="AW269" s="834" t="s">
        <v>99</v>
      </c>
      <c r="AX269" s="834" t="s">
        <v>104</v>
      </c>
      <c r="AY269" s="834" t="s">
        <v>206</v>
      </c>
      <c r="AZ269" s="834" t="s">
        <v>107</v>
      </c>
      <c r="BA269" s="834" t="s">
        <v>207</v>
      </c>
    </row>
    <row r="270" spans="1:53" s="947" customFormat="1" x14ac:dyDescent="0.25">
      <c r="A270" s="1047" t="s">
        <v>9</v>
      </c>
      <c r="B270" s="839" t="s">
        <v>4</v>
      </c>
      <c r="C270" s="977">
        <v>250018.4</v>
      </c>
      <c r="D270" s="977">
        <v>150516.70000000001</v>
      </c>
      <c r="E270" s="977">
        <v>150516.70000000001</v>
      </c>
      <c r="F270" s="977">
        <v>181998.8</v>
      </c>
      <c r="G270" s="977">
        <v>165765.70000000001</v>
      </c>
      <c r="H270" s="977">
        <v>389505</v>
      </c>
      <c r="I270" s="977">
        <v>171975.5</v>
      </c>
      <c r="J270" s="977">
        <v>166078</v>
      </c>
      <c r="K270" s="977">
        <v>124019.2</v>
      </c>
      <c r="L270" s="977">
        <v>224071.2</v>
      </c>
      <c r="M270" s="977">
        <v>193029.1</v>
      </c>
      <c r="N270" s="977">
        <v>438219.9</v>
      </c>
      <c r="O270" s="977">
        <v>83038.8</v>
      </c>
      <c r="P270" s="977">
        <v>276130.40000000002</v>
      </c>
      <c r="Q270" s="977">
        <v>83038.8</v>
      </c>
      <c r="R270" s="977">
        <v>191618.2</v>
      </c>
      <c r="S270" s="977">
        <v>262288.90000000002</v>
      </c>
      <c r="T270" s="977">
        <v>55151</v>
      </c>
      <c r="U270" s="977">
        <v>33090.5</v>
      </c>
      <c r="V270" s="977">
        <v>102196.5</v>
      </c>
      <c r="W270" s="977">
        <v>209496.5</v>
      </c>
      <c r="X270" s="977">
        <f>Source!B33</f>
        <v>262288.90000000002</v>
      </c>
      <c r="Y270" s="840">
        <f>Source!B50</f>
        <v>0</v>
      </c>
      <c r="Z270" s="840">
        <f>Source!B36</f>
        <v>209496.5</v>
      </c>
      <c r="AA270" s="840">
        <f>Source!B51</f>
        <v>0</v>
      </c>
      <c r="AB270" s="840">
        <f>Source!B49</f>
        <v>0</v>
      </c>
      <c r="AC270" s="901">
        <f>Source!B52</f>
        <v>0</v>
      </c>
      <c r="AD270" s="901">
        <f>Source!B35</f>
        <v>328695.2</v>
      </c>
      <c r="AE270" s="901">
        <f>Source!B18</f>
        <v>209496.5</v>
      </c>
      <c r="AF270" s="901">
        <f>Source!B32</f>
        <v>191618.2</v>
      </c>
      <c r="AG270" s="901">
        <f>Source!B19</f>
        <v>156194.1</v>
      </c>
      <c r="AH270" s="901">
        <f>Source!C34</f>
        <v>86068.1</v>
      </c>
      <c r="AI270" s="901"/>
      <c r="AJ270" s="840">
        <f>SUM(C270:AI270)</f>
        <v>5345621.2999999989</v>
      </c>
      <c r="AK270" s="841" t="s">
        <v>4</v>
      </c>
      <c r="AL270" s="863">
        <f>C270+AE270</f>
        <v>459514.9</v>
      </c>
      <c r="AM270" s="863">
        <f>D270+AG270</f>
        <v>306710.80000000005</v>
      </c>
      <c r="AN270" s="863">
        <f>F270+H270+L270+AD270+AH270+AI270</f>
        <v>1210338.3</v>
      </c>
      <c r="AO270" s="863">
        <f>E270+G270+I270+J270+K270+W270+X270+Z270+AF270</f>
        <v>1651255.2</v>
      </c>
      <c r="AP270" s="863">
        <f>M270+N270+S270+AB270+AC270</f>
        <v>893537.9</v>
      </c>
      <c r="AQ270" s="863">
        <f>O270+P270+Q270+R270+V270+Y270+AA270</f>
        <v>736022.7</v>
      </c>
      <c r="AR270" s="863">
        <f>T270+U270</f>
        <v>88241.5</v>
      </c>
      <c r="AS270" s="863">
        <f>AM270+AO270+AQ270</f>
        <v>2693988.7</v>
      </c>
      <c r="AT270" s="863">
        <f>AL270+AN270+AP270+AR270</f>
        <v>2651632.6</v>
      </c>
      <c r="AU270" s="875" t="s">
        <v>194</v>
      </c>
      <c r="AV270" s="872" t="s">
        <v>4</v>
      </c>
      <c r="AW270" s="840">
        <v>143393</v>
      </c>
      <c r="AX270" s="840">
        <v>132132</v>
      </c>
      <c r="AY270" s="840">
        <v>83196.100000000006</v>
      </c>
      <c r="AZ270" s="840">
        <v>132132.20000000001</v>
      </c>
      <c r="BA270" s="840">
        <v>83196.100000000006</v>
      </c>
    </row>
    <row r="271" spans="1:53" s="947" customFormat="1" x14ac:dyDescent="0.25">
      <c r="A271" s="1047"/>
      <c r="B271" s="844" t="s">
        <v>5</v>
      </c>
      <c r="C271" s="977">
        <v>90178.3</v>
      </c>
      <c r="D271" s="977">
        <v>85122.1</v>
      </c>
      <c r="E271" s="977">
        <v>85833.600000000006</v>
      </c>
      <c r="F271" s="977">
        <v>129510.39999999999</v>
      </c>
      <c r="G271" s="977">
        <v>117264.1</v>
      </c>
      <c r="H271" s="977">
        <v>218030.3</v>
      </c>
      <c r="I271" s="977">
        <v>121427.6</v>
      </c>
      <c r="J271" s="977">
        <v>50784.1</v>
      </c>
      <c r="K271" s="977">
        <v>87530.3</v>
      </c>
      <c r="L271" s="977">
        <v>81490.5</v>
      </c>
      <c r="M271" s="977">
        <v>130490.4</v>
      </c>
      <c r="N271" s="977">
        <v>213989.4</v>
      </c>
      <c r="O271" s="977">
        <v>59162.400000000001</v>
      </c>
      <c r="P271" s="977">
        <v>224375.1</v>
      </c>
      <c r="Q271" s="977">
        <v>26250.7</v>
      </c>
      <c r="R271" s="977">
        <v>139924</v>
      </c>
      <c r="S271" s="977">
        <v>177846.6</v>
      </c>
      <c r="T271" s="977">
        <v>17841</v>
      </c>
      <c r="U271" s="977">
        <v>11553.4</v>
      </c>
      <c r="V271" s="977">
        <v>14995.3</v>
      </c>
      <c r="W271" s="977">
        <v>29990.3</v>
      </c>
      <c r="X271" s="977">
        <f>Source!D33</f>
        <v>157041.20000000001</v>
      </c>
      <c r="Y271" s="583">
        <f>Source!D50</f>
        <v>0</v>
      </c>
      <c r="Z271" s="583">
        <f>Source!D36</f>
        <v>87961.7</v>
      </c>
      <c r="AA271" s="583">
        <f>Source!D51</f>
        <v>0</v>
      </c>
      <c r="AB271" s="583">
        <f>Source!D49</f>
        <v>0</v>
      </c>
      <c r="AC271" s="583">
        <f>Source!D52</f>
        <v>0</v>
      </c>
      <c r="AD271" s="583">
        <f>Source!D35</f>
        <v>142227.6</v>
      </c>
      <c r="AE271" s="583">
        <f>Source!D18</f>
        <v>32240.400000000001</v>
      </c>
      <c r="AF271" s="583">
        <f>Source!D32</f>
        <v>151854.70000000001</v>
      </c>
      <c r="AG271" s="583">
        <f>Source!D19</f>
        <v>32996.199999999997</v>
      </c>
      <c r="AH271" s="583">
        <f>Source!E34</f>
        <v>3999</v>
      </c>
      <c r="AI271" s="583"/>
      <c r="AJ271" s="845">
        <f>SUM(C271:AI271)</f>
        <v>2721910.7000000007</v>
      </c>
      <c r="AK271" s="846" t="s">
        <v>5</v>
      </c>
      <c r="AL271" s="863">
        <f>C271+AE271</f>
        <v>122418.70000000001</v>
      </c>
      <c r="AM271" s="863">
        <f>D271+AG271</f>
        <v>118118.3</v>
      </c>
      <c r="AN271" s="863">
        <f>H271+F271+L271+AD271+AH271+AI271</f>
        <v>575257.79999999993</v>
      </c>
      <c r="AO271" s="863">
        <f>E271+G271+I271+J271+K271+W271+X271+Z271+AF271</f>
        <v>889687.59999999986</v>
      </c>
      <c r="AP271" s="863">
        <f>M271+N271+S271+AB271+AC271</f>
        <v>522326.4</v>
      </c>
      <c r="AQ271" s="863">
        <f>O271+P271+Q271+R271+V271+Y271+AA271</f>
        <v>464707.5</v>
      </c>
      <c r="AR271" s="863">
        <f>T271+U271</f>
        <v>29394.400000000001</v>
      </c>
      <c r="AS271" s="863">
        <f>AM271+AO271+AQ271</f>
        <v>1472513.4</v>
      </c>
      <c r="AT271" s="863">
        <f>AL271+AN271+AP271+AR271</f>
        <v>1249397.2999999998</v>
      </c>
      <c r="AU271" s="876"/>
      <c r="AV271" s="873" t="s">
        <v>5</v>
      </c>
      <c r="AW271" s="583">
        <v>51964.9</v>
      </c>
      <c r="AX271" s="583">
        <v>58542</v>
      </c>
      <c r="AY271" s="583">
        <v>2519</v>
      </c>
      <c r="AZ271" s="583">
        <v>70731</v>
      </c>
      <c r="BA271" s="583">
        <v>31444.9</v>
      </c>
    </row>
    <row r="272" spans="1:53" s="947" customFormat="1" x14ac:dyDescent="0.25">
      <c r="A272" s="1047"/>
      <c r="B272" s="848" t="s">
        <v>3</v>
      </c>
      <c r="C272" s="974">
        <v>0.36068665346230522</v>
      </c>
      <c r="D272" s="974">
        <v>0.56553259538642553</v>
      </c>
      <c r="E272" s="974">
        <v>0.57025964560743092</v>
      </c>
      <c r="F272" s="975">
        <v>0.71160029626568966</v>
      </c>
      <c r="G272" s="975">
        <v>0.70740871000454253</v>
      </c>
      <c r="H272" s="974">
        <v>0.55976251909474839</v>
      </c>
      <c r="I272" s="975">
        <v>0.7060749932403162</v>
      </c>
      <c r="J272" s="974">
        <v>0.30578463131781453</v>
      </c>
      <c r="K272" s="975">
        <v>0.7057802340282795</v>
      </c>
      <c r="L272" s="974">
        <v>0.36368127630860186</v>
      </c>
      <c r="M272" s="975">
        <v>0.67601413465638083</v>
      </c>
      <c r="N272" s="974">
        <v>0.48831511302886971</v>
      </c>
      <c r="O272" s="975">
        <v>0.71246694316391856</v>
      </c>
      <c r="P272" s="975">
        <v>0.81256935129199825</v>
      </c>
      <c r="Q272" s="974">
        <v>0.31612571472612805</v>
      </c>
      <c r="R272" s="975">
        <v>0.73022291201983935</v>
      </c>
      <c r="S272" s="974">
        <v>0.67805614343573062</v>
      </c>
      <c r="T272" s="974">
        <v>0.32349368098493225</v>
      </c>
      <c r="U272" s="974">
        <v>0.349145525150723</v>
      </c>
      <c r="V272" s="974">
        <v>0.14673007392621076</v>
      </c>
      <c r="W272" s="974">
        <v>0.14315418157343918</v>
      </c>
      <c r="X272" s="849">
        <f t="shared" ref="X272:AH272" si="65">X271/X270</f>
        <v>0.59873368640457147</v>
      </c>
      <c r="Y272" s="849" t="e">
        <f t="shared" si="65"/>
        <v>#DIV/0!</v>
      </c>
      <c r="Z272" s="849">
        <f t="shared" si="65"/>
        <v>0.41987193103464732</v>
      </c>
      <c r="AA272" s="849" t="e">
        <f t="shared" si="65"/>
        <v>#DIV/0!</v>
      </c>
      <c r="AB272" s="849" t="e">
        <f t="shared" si="65"/>
        <v>#DIV/0!</v>
      </c>
      <c r="AC272" s="849" t="e">
        <f t="shared" si="65"/>
        <v>#DIV/0!</v>
      </c>
      <c r="AD272" s="849">
        <f t="shared" si="65"/>
        <v>0.43270361112666084</v>
      </c>
      <c r="AE272" s="849">
        <f t="shared" si="65"/>
        <v>0.15389469513810494</v>
      </c>
      <c r="AF272" s="849">
        <f t="shared" si="65"/>
        <v>0.79248578684070725</v>
      </c>
      <c r="AG272" s="849">
        <f t="shared" si="65"/>
        <v>0.21125125724979366</v>
      </c>
      <c r="AH272" s="849">
        <f t="shared" si="65"/>
        <v>4.6463207622801012E-2</v>
      </c>
      <c r="AI272" s="849"/>
      <c r="AJ272" s="851">
        <f t="shared" ref="AJ272" si="66">AJ271/AJ270</f>
        <v>0.5091850969689905</v>
      </c>
      <c r="AK272" s="852" t="s">
        <v>3</v>
      </c>
      <c r="AL272" s="849">
        <f t="shared" ref="AL272:AT272" si="67">AL271/AL270</f>
        <v>0.26640855389020029</v>
      </c>
      <c r="AM272" s="849">
        <f t="shared" si="67"/>
        <v>0.38511294678896207</v>
      </c>
      <c r="AN272" s="849">
        <f t="shared" si="67"/>
        <v>0.47528678552103981</v>
      </c>
      <c r="AO272" s="849">
        <f t="shared" si="67"/>
        <v>0.53879473021492974</v>
      </c>
      <c r="AP272" s="849">
        <f t="shared" si="67"/>
        <v>0.58455987149509836</v>
      </c>
      <c r="AQ272" s="849">
        <f t="shared" si="67"/>
        <v>0.63137658661886387</v>
      </c>
      <c r="AR272" s="849">
        <f t="shared" si="67"/>
        <v>0.33311310437832542</v>
      </c>
      <c r="AS272" s="849">
        <f t="shared" si="67"/>
        <v>0.54659227041301239</v>
      </c>
      <c r="AT272" s="849">
        <f t="shared" si="67"/>
        <v>0.47118039656021721</v>
      </c>
      <c r="AU272" s="876"/>
      <c r="AV272" s="874" t="s">
        <v>3</v>
      </c>
      <c r="AW272" s="849">
        <f>AW271/AW270</f>
        <v>0.36239495651810061</v>
      </c>
      <c r="AX272" s="849">
        <f>AX271/AX270</f>
        <v>0.44305694305694304</v>
      </c>
      <c r="AY272" s="849">
        <f>AY271/AY270</f>
        <v>3.0277861582453984E-2</v>
      </c>
      <c r="AZ272" s="849">
        <f>AZ271/AZ270</f>
        <v>0.53530479322981073</v>
      </c>
      <c r="BA272" s="849">
        <f>BA271/BA270</f>
        <v>0.37796122654787906</v>
      </c>
    </row>
    <row r="273" spans="1:53" s="947" customFormat="1" x14ac:dyDescent="0.25">
      <c r="A273" s="1040" t="s">
        <v>6</v>
      </c>
      <c r="B273" s="854" t="s">
        <v>7</v>
      </c>
      <c r="C273" s="864">
        <v>5122</v>
      </c>
      <c r="D273" s="864">
        <v>3620</v>
      </c>
      <c r="E273" s="864">
        <v>3591</v>
      </c>
      <c r="F273" s="864">
        <v>7556</v>
      </c>
      <c r="G273" s="864">
        <v>8432</v>
      </c>
      <c r="H273" s="864">
        <v>15702</v>
      </c>
      <c r="I273" s="864">
        <v>8123</v>
      </c>
      <c r="J273" s="864">
        <v>9599</v>
      </c>
      <c r="K273" s="864">
        <v>7072</v>
      </c>
      <c r="L273" s="864">
        <v>9334</v>
      </c>
      <c r="M273" s="864">
        <v>7730</v>
      </c>
      <c r="N273" s="864">
        <v>11924</v>
      </c>
      <c r="O273" s="864">
        <v>4357</v>
      </c>
      <c r="P273" s="864">
        <v>10312</v>
      </c>
      <c r="Q273" s="864">
        <v>4799</v>
      </c>
      <c r="R273" s="864">
        <v>9711</v>
      </c>
      <c r="S273" s="864">
        <v>11664</v>
      </c>
      <c r="T273" s="829">
        <v>2480</v>
      </c>
      <c r="U273" s="829">
        <v>1570</v>
      </c>
      <c r="V273" s="864">
        <v>3999</v>
      </c>
      <c r="W273" s="864">
        <v>7999</v>
      </c>
      <c r="X273" s="840">
        <f>Source!E33</f>
        <v>10561</v>
      </c>
      <c r="Y273" s="840">
        <f>Source!E50</f>
        <v>0</v>
      </c>
      <c r="Z273" s="840">
        <f>Source!E36</f>
        <v>7999</v>
      </c>
      <c r="AA273" s="840">
        <f>Source!E51</f>
        <v>0</v>
      </c>
      <c r="AB273" s="840">
        <f>Source!E49</f>
        <v>0</v>
      </c>
      <c r="AC273" s="840">
        <f>Source!E52</f>
        <v>0</v>
      </c>
      <c r="AD273" s="840">
        <f>Source!E35</f>
        <v>11649</v>
      </c>
      <c r="AE273" s="840">
        <f>Source!E18</f>
        <v>7999</v>
      </c>
      <c r="AF273" s="840">
        <f>Source!E32</f>
        <v>9395</v>
      </c>
      <c r="AG273" s="840">
        <f>Source!E19</f>
        <v>4800</v>
      </c>
      <c r="AH273" s="840">
        <f>Source!F34</f>
        <v>2092</v>
      </c>
      <c r="AI273" s="840"/>
      <c r="AJ273" s="840">
        <f>SUM(C273:AI273)</f>
        <v>209191</v>
      </c>
      <c r="AK273" s="856" t="s">
        <v>7</v>
      </c>
      <c r="AL273" s="858">
        <f>C273+AE273</f>
        <v>13121</v>
      </c>
      <c r="AM273" s="858">
        <f>D273+AG273</f>
        <v>8420</v>
      </c>
      <c r="AN273" s="858">
        <f>F273+H273+L273+AD273+AH273+AI273</f>
        <v>46333</v>
      </c>
      <c r="AO273" s="858">
        <f>E273+G273+I273+J273+K273+W273+X273+Z273+AF273</f>
        <v>72771</v>
      </c>
      <c r="AP273" s="858">
        <f>M273+N273+S273+AB273+AC273</f>
        <v>31318</v>
      </c>
      <c r="AQ273" s="858">
        <f>O273+P273+Q273+R273+V273+Y273+AA273</f>
        <v>33178</v>
      </c>
      <c r="AR273" s="858">
        <f>T273+U273</f>
        <v>4050</v>
      </c>
      <c r="AS273" s="858">
        <f>AM273+AO273+AQ273</f>
        <v>114369</v>
      </c>
      <c r="AT273" s="858">
        <f>AL273+AN273+AP273+AR273</f>
        <v>94822</v>
      </c>
      <c r="AU273" s="880" t="s">
        <v>190</v>
      </c>
      <c r="AV273" s="879" t="s">
        <v>4</v>
      </c>
      <c r="AW273" s="857">
        <v>9191.7999999999993</v>
      </c>
      <c r="AX273" s="857">
        <v>13787.7</v>
      </c>
      <c r="AY273" s="857">
        <v>8804.7999999999993</v>
      </c>
      <c r="AZ273" s="857">
        <v>13787.7</v>
      </c>
      <c r="BA273" s="857">
        <v>8804.7999999999993</v>
      </c>
    </row>
    <row r="274" spans="1:53" s="947" customFormat="1" x14ac:dyDescent="0.25">
      <c r="A274" s="1040"/>
      <c r="B274" s="839" t="s">
        <v>11</v>
      </c>
      <c r="C274" s="976">
        <v>172698.47399999999</v>
      </c>
      <c r="D274" s="976">
        <v>122055.54</v>
      </c>
      <c r="E274" s="976">
        <v>121077.74699999999</v>
      </c>
      <c r="F274" s="976">
        <v>254765.652</v>
      </c>
      <c r="G274" s="976">
        <v>284301.74400000001</v>
      </c>
      <c r="H274" s="976">
        <v>529424.33400000003</v>
      </c>
      <c r="I274" s="976">
        <v>273883.19099999999</v>
      </c>
      <c r="J274" s="976">
        <v>323649.48300000001</v>
      </c>
      <c r="K274" s="976">
        <v>238446.62399999998</v>
      </c>
      <c r="L274" s="976">
        <v>314714.478</v>
      </c>
      <c r="M274" s="976">
        <v>260632.41</v>
      </c>
      <c r="N274" s="976">
        <v>402041.50799999997</v>
      </c>
      <c r="O274" s="976">
        <v>146904.96899999998</v>
      </c>
      <c r="P274" s="976">
        <v>347689.70399999997</v>
      </c>
      <c r="Q274" s="976">
        <v>161807.883</v>
      </c>
      <c r="R274" s="976">
        <v>327425.78700000001</v>
      </c>
      <c r="S274" s="976">
        <v>393275.08799999999</v>
      </c>
      <c r="T274" s="976">
        <v>83618.16</v>
      </c>
      <c r="U274" s="976">
        <v>52935.689999999995</v>
      </c>
      <c r="V274" s="976">
        <v>134834.283</v>
      </c>
      <c r="W274" s="976">
        <v>269702.283</v>
      </c>
      <c r="X274" s="858">
        <f t="shared" ref="X274:AH274" si="68">X273*33.717</f>
        <v>356085.23699999996</v>
      </c>
      <c r="Y274" s="858">
        <f t="shared" si="68"/>
        <v>0</v>
      </c>
      <c r="Z274" s="858">
        <f t="shared" si="68"/>
        <v>269702.283</v>
      </c>
      <c r="AA274" s="858">
        <f t="shared" si="68"/>
        <v>0</v>
      </c>
      <c r="AB274" s="858">
        <f t="shared" si="68"/>
        <v>0</v>
      </c>
      <c r="AC274" s="858">
        <f t="shared" si="68"/>
        <v>0</v>
      </c>
      <c r="AD274" s="858">
        <f t="shared" si="68"/>
        <v>392769.33299999998</v>
      </c>
      <c r="AE274" s="858">
        <f t="shared" si="68"/>
        <v>269702.283</v>
      </c>
      <c r="AF274" s="858">
        <f t="shared" si="68"/>
        <v>316771.21499999997</v>
      </c>
      <c r="AG274" s="858">
        <f t="shared" si="68"/>
        <v>161841.60000000001</v>
      </c>
      <c r="AH274" s="858">
        <f t="shared" si="68"/>
        <v>70535.963999999993</v>
      </c>
      <c r="AI274" s="858"/>
      <c r="AJ274" s="859">
        <f>SUM(C274:AI274)</f>
        <v>7053292.9469999988</v>
      </c>
      <c r="AK274" s="841" t="s">
        <v>11</v>
      </c>
      <c r="AL274" s="858">
        <f t="shared" ref="AL274:AT274" si="69">AL273*33.717</f>
        <v>442400.75699999998</v>
      </c>
      <c r="AM274" s="858">
        <f t="shared" si="69"/>
        <v>283897.14</v>
      </c>
      <c r="AN274" s="858">
        <f t="shared" si="69"/>
        <v>1562209.7609999999</v>
      </c>
      <c r="AO274" s="858">
        <f t="shared" si="69"/>
        <v>2453619.807</v>
      </c>
      <c r="AP274" s="858">
        <f t="shared" si="69"/>
        <v>1055949.0060000001</v>
      </c>
      <c r="AQ274" s="858">
        <f t="shared" si="69"/>
        <v>1118662.6259999999</v>
      </c>
      <c r="AR274" s="858">
        <f t="shared" si="69"/>
        <v>136553.85</v>
      </c>
      <c r="AS274" s="858">
        <f t="shared" si="69"/>
        <v>3856179.5729999999</v>
      </c>
      <c r="AT274" s="858">
        <f t="shared" si="69"/>
        <v>3197113.3739999998</v>
      </c>
      <c r="AU274" s="876"/>
      <c r="AV274" s="873" t="s">
        <v>5</v>
      </c>
      <c r="AW274" s="583">
        <v>7975.5</v>
      </c>
      <c r="AX274" s="583">
        <v>13649</v>
      </c>
      <c r="AY274" s="583">
        <v>1289.9000000000001</v>
      </c>
      <c r="AZ274" s="583">
        <v>13642</v>
      </c>
      <c r="BA274" s="583">
        <v>5483.9</v>
      </c>
    </row>
    <row r="275" spans="1:53" s="947" customFormat="1" x14ac:dyDescent="0.25">
      <c r="A275" s="1040"/>
      <c r="B275" s="839" t="s">
        <v>79</v>
      </c>
      <c r="C275" s="976">
        <v>164000</v>
      </c>
      <c r="D275" s="976">
        <v>109880</v>
      </c>
      <c r="E275" s="976">
        <v>109880</v>
      </c>
      <c r="F275" s="976">
        <v>328000</v>
      </c>
      <c r="G275" s="976">
        <v>330905</v>
      </c>
      <c r="H275" s="976">
        <v>264264</v>
      </c>
      <c r="I275" s="976">
        <v>242663.6</v>
      </c>
      <c r="J275" s="976">
        <v>328000</v>
      </c>
      <c r="K275" s="976">
        <v>328000</v>
      </c>
      <c r="L275" s="976">
        <v>328000</v>
      </c>
      <c r="M275" s="976">
        <v>328000</v>
      </c>
      <c r="N275" s="976">
        <v>264264.40000000002</v>
      </c>
      <c r="O275" s="976">
        <v>328000</v>
      </c>
      <c r="P275" s="976">
        <v>352965.4</v>
      </c>
      <c r="Q275" s="976">
        <v>328000</v>
      </c>
      <c r="R275" s="976">
        <v>328000</v>
      </c>
      <c r="S275" s="976">
        <v>328000</v>
      </c>
      <c r="T275" s="976">
        <v>110302</v>
      </c>
      <c r="U275" s="976">
        <v>66181</v>
      </c>
      <c r="V275" s="976">
        <v>204393</v>
      </c>
      <c r="W275" s="976">
        <v>418993</v>
      </c>
      <c r="X275" s="858">
        <f t="shared" ref="X275:AH275" si="70">2*X270</f>
        <v>524577.80000000005</v>
      </c>
      <c r="Y275" s="858">
        <f t="shared" si="70"/>
        <v>0</v>
      </c>
      <c r="Z275" s="858">
        <f t="shared" si="70"/>
        <v>418993</v>
      </c>
      <c r="AA275" s="858">
        <f t="shared" si="70"/>
        <v>0</v>
      </c>
      <c r="AB275" s="858">
        <f t="shared" si="70"/>
        <v>0</v>
      </c>
      <c r="AC275" s="858">
        <f t="shared" si="70"/>
        <v>0</v>
      </c>
      <c r="AD275" s="858">
        <f t="shared" si="70"/>
        <v>657390.4</v>
      </c>
      <c r="AE275" s="858">
        <f t="shared" si="70"/>
        <v>418993</v>
      </c>
      <c r="AF275" s="858">
        <f t="shared" si="70"/>
        <v>383236.4</v>
      </c>
      <c r="AG275" s="858">
        <f t="shared" si="70"/>
        <v>312388.2</v>
      </c>
      <c r="AH275" s="858">
        <f t="shared" si="70"/>
        <v>172136.2</v>
      </c>
      <c r="AI275" s="858"/>
      <c r="AJ275" s="859">
        <f>SUM(C275:AI275)</f>
        <v>8478406.4000000004</v>
      </c>
      <c r="AK275" s="841" t="s">
        <v>79</v>
      </c>
      <c r="AL275" s="858">
        <f t="shared" ref="AL275:AT275" si="71">2*AL270</f>
        <v>919029.8</v>
      </c>
      <c r="AM275" s="858">
        <f t="shared" si="71"/>
        <v>613421.60000000009</v>
      </c>
      <c r="AN275" s="858">
        <f t="shared" si="71"/>
        <v>2420676.6</v>
      </c>
      <c r="AO275" s="858">
        <f t="shared" si="71"/>
        <v>3302510.4</v>
      </c>
      <c r="AP275" s="858">
        <f t="shared" si="71"/>
        <v>1787075.8</v>
      </c>
      <c r="AQ275" s="858">
        <f t="shared" si="71"/>
        <v>1472045.4</v>
      </c>
      <c r="AR275" s="858">
        <f t="shared" si="71"/>
        <v>176483</v>
      </c>
      <c r="AS275" s="858">
        <f t="shared" si="71"/>
        <v>5387977.4000000004</v>
      </c>
      <c r="AT275" s="858">
        <f t="shared" si="71"/>
        <v>5303265.2</v>
      </c>
      <c r="AU275" s="877"/>
      <c r="AV275" s="874" t="s">
        <v>3</v>
      </c>
      <c r="AW275" s="849">
        <f>AW274/AW273</f>
        <v>0.86767553689157739</v>
      </c>
      <c r="AX275" s="849">
        <f>AX274/AX273</f>
        <v>0.98994030911609621</v>
      </c>
      <c r="AY275" s="849">
        <f>AY274/AY273</f>
        <v>0.14649963656187537</v>
      </c>
      <c r="AZ275" s="849">
        <f>AZ274/AZ273</f>
        <v>0.98943261022505558</v>
      </c>
      <c r="BA275" s="849">
        <f>BA274/BA273</f>
        <v>0.62283072869343992</v>
      </c>
    </row>
    <row r="276" spans="1:53" s="947" customFormat="1" x14ac:dyDescent="0.25">
      <c r="A276" s="1040"/>
      <c r="B276" s="844" t="s">
        <v>8</v>
      </c>
      <c r="C276" s="976">
        <v>3847</v>
      </c>
      <c r="D276" s="976">
        <v>2879</v>
      </c>
      <c r="E276" s="976">
        <v>2829</v>
      </c>
      <c r="F276" s="976">
        <v>5679</v>
      </c>
      <c r="G276" s="976">
        <v>3366</v>
      </c>
      <c r="H276" s="976">
        <v>13616</v>
      </c>
      <c r="I276" s="976">
        <v>6588</v>
      </c>
      <c r="J276" s="976">
        <v>1380</v>
      </c>
      <c r="K276" s="976">
        <v>6060</v>
      </c>
      <c r="L276" s="976">
        <v>6800</v>
      </c>
      <c r="M276" s="976">
        <v>6187</v>
      </c>
      <c r="N276" s="976">
        <v>10872</v>
      </c>
      <c r="O276" s="976">
        <v>3436</v>
      </c>
      <c r="P276" s="976">
        <v>7524</v>
      </c>
      <c r="Q276" s="976">
        <v>1828</v>
      </c>
      <c r="R276" s="976">
        <v>4621</v>
      </c>
      <c r="S276" s="976">
        <v>10108</v>
      </c>
      <c r="T276" s="829">
        <v>1888</v>
      </c>
      <c r="U276" s="829">
        <v>1197</v>
      </c>
      <c r="V276" s="976">
        <v>1868</v>
      </c>
      <c r="W276" s="976">
        <v>2500</v>
      </c>
      <c r="X276" s="861">
        <f>SUM(X273-Source!F33)</f>
        <v>8563</v>
      </c>
      <c r="Y276" s="861">
        <f>SUM(Y273-Source!F50)</f>
        <v>0</v>
      </c>
      <c r="Z276" s="861">
        <f>SUM(Z273-Source!F36)</f>
        <v>2701</v>
      </c>
      <c r="AA276" s="861">
        <f>SUM(AA273-Source!F51)</f>
        <v>0</v>
      </c>
      <c r="AB276" s="861">
        <f>SUM(AB273-Source!F49)</f>
        <v>0</v>
      </c>
      <c r="AC276" s="861">
        <f>SUM(AC273-Source!F52)</f>
        <v>0</v>
      </c>
      <c r="AD276" s="861">
        <f>SUM(AD273-Source!F35)</f>
        <v>7017</v>
      </c>
      <c r="AE276" s="861">
        <f>SUM(AE273-Source!F18)</f>
        <v>2490</v>
      </c>
      <c r="AF276" s="861">
        <f>SUM(AF273-Source!F32)</f>
        <v>4636</v>
      </c>
      <c r="AG276" s="861">
        <f>SUM(AG273-Source!F19)</f>
        <v>1562</v>
      </c>
      <c r="AH276" s="861">
        <f>SUM(AH273-Source!G34)</f>
        <v>-62243</v>
      </c>
      <c r="AI276" s="861"/>
      <c r="AJ276" s="840">
        <f>SUM(C276:AI276)</f>
        <v>69799</v>
      </c>
      <c r="AK276" s="846" t="s">
        <v>8</v>
      </c>
      <c r="AL276" s="858">
        <f>C276+AE276</f>
        <v>6337</v>
      </c>
      <c r="AM276" s="858">
        <f>D276+AG276</f>
        <v>4441</v>
      </c>
      <c r="AN276" s="858">
        <f>F276+H276+L276+AD276+AH276+AI276</f>
        <v>-29131</v>
      </c>
      <c r="AO276" s="858">
        <f>E276+G276+I276+J276+K276+W276+X276+Z276+AF276</f>
        <v>38623</v>
      </c>
      <c r="AP276" s="858">
        <f>M276+N276+S276+AB276+AC276</f>
        <v>27167</v>
      </c>
      <c r="AQ276" s="858">
        <f>O276+P276+Q276+R276+V276+Y276+AA276</f>
        <v>19277</v>
      </c>
      <c r="AR276" s="858">
        <f>T276+U276</f>
        <v>3085</v>
      </c>
      <c r="AS276" s="858">
        <f>AM276+AO276+AQ276</f>
        <v>62341</v>
      </c>
      <c r="AT276" s="858">
        <f>AL276+AN276+AP276+AR276</f>
        <v>7458</v>
      </c>
      <c r="AU276" s="877" t="s">
        <v>191</v>
      </c>
      <c r="AV276" s="839" t="s">
        <v>4</v>
      </c>
      <c r="AW276" s="840">
        <v>97433.600000000006</v>
      </c>
      <c r="AX276" s="840">
        <v>243584.4</v>
      </c>
      <c r="AY276" s="840">
        <v>132070.29999999999</v>
      </c>
      <c r="AZ276" s="840">
        <v>292299.3</v>
      </c>
      <c r="BA276" s="840">
        <v>132070.39999999999</v>
      </c>
    </row>
    <row r="277" spans="1:53" s="947" customFormat="1" x14ac:dyDescent="0.25">
      <c r="A277" s="1040"/>
      <c r="B277" s="839" t="s">
        <v>77</v>
      </c>
      <c r="C277" s="858">
        <v>129709.299</v>
      </c>
      <c r="D277" s="858">
        <v>97071.243000000002</v>
      </c>
      <c r="E277" s="858">
        <v>95385.392999999996</v>
      </c>
      <c r="F277" s="858">
        <v>191478.84299999999</v>
      </c>
      <c r="G277" s="858">
        <v>113491.42199999999</v>
      </c>
      <c r="H277" s="858">
        <v>459090.67199999996</v>
      </c>
      <c r="I277" s="858">
        <v>222127.59599999999</v>
      </c>
      <c r="J277" s="858">
        <v>46529.46</v>
      </c>
      <c r="K277" s="858">
        <v>204325.02</v>
      </c>
      <c r="L277" s="858">
        <v>229275.6</v>
      </c>
      <c r="M277" s="858">
        <v>208607.079</v>
      </c>
      <c r="N277" s="858">
        <v>366571.22399999999</v>
      </c>
      <c r="O277" s="858">
        <v>115851.61199999999</v>
      </c>
      <c r="P277" s="858">
        <v>165550.46999999997</v>
      </c>
      <c r="Q277" s="858">
        <v>61634.675999999999</v>
      </c>
      <c r="R277" s="858">
        <v>155806.25699999998</v>
      </c>
      <c r="S277" s="858">
        <v>340811.43599999999</v>
      </c>
      <c r="T277" s="863">
        <v>63657.695999999996</v>
      </c>
      <c r="U277" s="863">
        <v>40359.248999999996</v>
      </c>
      <c r="V277" s="863">
        <v>62983.356</v>
      </c>
      <c r="W277" s="863">
        <v>84292.5</v>
      </c>
      <c r="X277" s="863">
        <f t="shared" ref="X277:AH277" si="72">X276*33.717</f>
        <v>288718.67099999997</v>
      </c>
      <c r="Y277" s="863">
        <f t="shared" si="72"/>
        <v>0</v>
      </c>
      <c r="Z277" s="863">
        <f t="shared" si="72"/>
        <v>91069.616999999998</v>
      </c>
      <c r="AA277" s="863">
        <f t="shared" si="72"/>
        <v>0</v>
      </c>
      <c r="AB277" s="863">
        <f t="shared" si="72"/>
        <v>0</v>
      </c>
      <c r="AC277" s="863">
        <f t="shared" si="72"/>
        <v>0</v>
      </c>
      <c r="AD277" s="863">
        <f t="shared" si="72"/>
        <v>236592.18899999998</v>
      </c>
      <c r="AE277" s="863">
        <f t="shared" si="72"/>
        <v>83955.33</v>
      </c>
      <c r="AF277" s="863">
        <f t="shared" si="72"/>
        <v>156312.01199999999</v>
      </c>
      <c r="AG277" s="863">
        <f t="shared" si="72"/>
        <v>52665.953999999998</v>
      </c>
      <c r="AH277" s="863">
        <f t="shared" si="72"/>
        <v>-2098647.2310000001</v>
      </c>
      <c r="AI277" s="863"/>
      <c r="AJ277" s="864">
        <f>SUM(C277:AI277)</f>
        <v>2265276.645</v>
      </c>
      <c r="AK277" s="841" t="s">
        <v>77</v>
      </c>
      <c r="AL277" s="858">
        <f t="shared" ref="AL277:AT277" si="73">AL276*33.717</f>
        <v>213664.62899999999</v>
      </c>
      <c r="AM277" s="858">
        <f t="shared" si="73"/>
        <v>149737.19699999999</v>
      </c>
      <c r="AN277" s="858">
        <f t="shared" si="73"/>
        <v>-982209.92699999991</v>
      </c>
      <c r="AO277" s="858">
        <f t="shared" si="73"/>
        <v>1302251.6909999999</v>
      </c>
      <c r="AP277" s="858">
        <f t="shared" si="73"/>
        <v>915989.73899999994</v>
      </c>
      <c r="AQ277" s="858">
        <f t="shared" si="73"/>
        <v>649962.60899999994</v>
      </c>
      <c r="AR277" s="858">
        <f t="shared" si="73"/>
        <v>104016.94499999999</v>
      </c>
      <c r="AS277" s="858">
        <f t="shared" si="73"/>
        <v>2101951.497</v>
      </c>
      <c r="AT277" s="858">
        <f t="shared" si="73"/>
        <v>251461.386</v>
      </c>
      <c r="AU277" s="970"/>
      <c r="AV277" s="844" t="s">
        <v>5</v>
      </c>
      <c r="AW277" s="583">
        <v>38973.199999999997</v>
      </c>
      <c r="AX277" s="583">
        <v>124350.5</v>
      </c>
      <c r="AY277" s="583">
        <v>3817.1</v>
      </c>
      <c r="AZ277" s="583">
        <v>109009</v>
      </c>
      <c r="BA277" s="583">
        <v>33401</v>
      </c>
    </row>
    <row r="278" spans="1:53" s="947" customFormat="1" x14ac:dyDescent="0.25">
      <c r="A278" s="1040"/>
      <c r="B278" s="848" t="s">
        <v>217</v>
      </c>
      <c r="C278" s="849">
        <v>0.51879901239268789</v>
      </c>
      <c r="D278" s="849">
        <v>0.64492008527957356</v>
      </c>
      <c r="E278" s="866">
        <v>0.63371966698711835</v>
      </c>
      <c r="F278" s="866">
        <v>1.0520884917922535</v>
      </c>
      <c r="G278" s="866">
        <v>0.68464961086642162</v>
      </c>
      <c r="H278" s="866">
        <v>1.1786515500442869</v>
      </c>
      <c r="I278" s="866">
        <v>1.2916234928812533</v>
      </c>
      <c r="J278" s="866">
        <v>0.2801663073977288</v>
      </c>
      <c r="K278" s="866">
        <v>1.6475273183507069</v>
      </c>
      <c r="L278" s="866">
        <v>1.0232265458479268</v>
      </c>
      <c r="M278" s="866">
        <v>1.0807027489637573</v>
      </c>
      <c r="N278" s="866">
        <v>0.83650063358601467</v>
      </c>
      <c r="O278" s="866">
        <v>1.3951503634445583</v>
      </c>
      <c r="P278" s="866">
        <v>0.5995372838340145</v>
      </c>
      <c r="Q278" s="866">
        <v>0.74223948322952638</v>
      </c>
      <c r="R278" s="866">
        <v>0.81310782065586662</v>
      </c>
      <c r="S278" s="866">
        <v>1.2993742243762505</v>
      </c>
      <c r="T278" s="849">
        <v>1.1542437308480353</v>
      </c>
      <c r="U278" s="849">
        <v>1.2196627128632083</v>
      </c>
      <c r="V278" s="849">
        <v>0.61629660506964523</v>
      </c>
      <c r="W278" s="849">
        <v>0.40235755728615991</v>
      </c>
      <c r="X278" s="849">
        <f t="shared" ref="X278:AH278" si="74">X277/X270</f>
        <v>1.1007658768632602</v>
      </c>
      <c r="Y278" s="849" t="e">
        <f t="shared" si="74"/>
        <v>#DIV/0!</v>
      </c>
      <c r="Z278" s="849">
        <f t="shared" si="74"/>
        <v>0.43470710489196718</v>
      </c>
      <c r="AA278" s="849" t="e">
        <f t="shared" si="74"/>
        <v>#DIV/0!</v>
      </c>
      <c r="AB278" s="849" t="e">
        <f t="shared" si="74"/>
        <v>#DIV/0!</v>
      </c>
      <c r="AC278" s="849" t="e">
        <f t="shared" si="74"/>
        <v>#DIV/0!</v>
      </c>
      <c r="AD278" s="849">
        <f t="shared" si="74"/>
        <v>0.71979204138058595</v>
      </c>
      <c r="AE278" s="849">
        <f t="shared" si="74"/>
        <v>0.40074812705701529</v>
      </c>
      <c r="AF278" s="849">
        <f t="shared" si="74"/>
        <v>0.81574720981618642</v>
      </c>
      <c r="AG278" s="849">
        <f t="shared" si="74"/>
        <v>0.33718273609566557</v>
      </c>
      <c r="AH278" s="849">
        <f t="shared" si="74"/>
        <v>-24.383566396841569</v>
      </c>
      <c r="AI278" s="849"/>
      <c r="AJ278" s="851">
        <f t="shared" ref="AJ278" si="75">AJ277/AJ270</f>
        <v>0.42376302357969137</v>
      </c>
      <c r="AK278" s="852" t="s">
        <v>217</v>
      </c>
      <c r="AL278" s="849">
        <f t="shared" ref="AL278:AT278" si="76">AL277/AL270</f>
        <v>0.46497867424973593</v>
      </c>
      <c r="AM278" s="849">
        <f t="shared" si="76"/>
        <v>0.48820320966852149</v>
      </c>
      <c r="AN278" s="849">
        <f t="shared" si="76"/>
        <v>-0.81151685194131251</v>
      </c>
      <c r="AO278" s="849">
        <f t="shared" si="76"/>
        <v>0.78864350646708026</v>
      </c>
      <c r="AP278" s="849">
        <f t="shared" si="76"/>
        <v>1.0251269017240343</v>
      </c>
      <c r="AQ278" s="849">
        <f t="shared" si="76"/>
        <v>0.88307413480589658</v>
      </c>
      <c r="AR278" s="849">
        <f t="shared" si="76"/>
        <v>1.1787758027685384</v>
      </c>
      <c r="AS278" s="849">
        <f t="shared" si="76"/>
        <v>0.78023768139784688</v>
      </c>
      <c r="AT278" s="849">
        <f t="shared" si="76"/>
        <v>9.4832664977795189E-2</v>
      </c>
      <c r="AU278" s="970"/>
      <c r="AV278" s="848" t="s">
        <v>3</v>
      </c>
      <c r="AW278" s="849">
        <f>AW277/AW276</f>
        <v>0.39999753678402516</v>
      </c>
      <c r="AX278" s="849">
        <f>AX277/AX276</f>
        <v>0.51050272513346506</v>
      </c>
      <c r="AY278" s="849">
        <f>AY277/AY276</f>
        <v>2.8902031720984961E-2</v>
      </c>
      <c r="AZ278" s="849">
        <f>AZ277/AZ276</f>
        <v>0.37293623351133581</v>
      </c>
      <c r="BA278" s="849">
        <f>BA277/BA276</f>
        <v>0.25290299718937781</v>
      </c>
    </row>
    <row r="279" spans="1:53" s="947" customFormat="1" x14ac:dyDescent="0.25">
      <c r="A279" s="970"/>
      <c r="B279" s="848" t="s">
        <v>218</v>
      </c>
      <c r="C279" s="598">
        <v>119239</v>
      </c>
      <c r="D279" s="598">
        <v>96666.1</v>
      </c>
      <c r="E279" s="598">
        <v>94980.2</v>
      </c>
      <c r="F279" s="598">
        <v>187467</v>
      </c>
      <c r="G279" s="598">
        <v>111205</v>
      </c>
      <c r="H279" s="598">
        <v>444051</v>
      </c>
      <c r="I279" s="598">
        <v>147328</v>
      </c>
      <c r="J279" s="598">
        <v>46570.3</v>
      </c>
      <c r="K279" s="598">
        <v>145907</v>
      </c>
      <c r="L279" s="598">
        <v>229663</v>
      </c>
      <c r="M279" s="598">
        <v>153101</v>
      </c>
      <c r="N279" s="598">
        <v>355323</v>
      </c>
      <c r="O279" s="598">
        <v>115895</v>
      </c>
      <c r="P279" s="598">
        <v>136845</v>
      </c>
      <c r="Q279" s="598">
        <v>61685.9</v>
      </c>
      <c r="R279" s="598">
        <v>142044</v>
      </c>
      <c r="S279" s="598">
        <v>340999</v>
      </c>
      <c r="T279" s="598">
        <v>63657.4</v>
      </c>
      <c r="U279" s="598">
        <v>40359.1</v>
      </c>
      <c r="V279" s="598">
        <v>63016.800000000003</v>
      </c>
      <c r="W279" s="598">
        <v>63016.800000000003</v>
      </c>
      <c r="X279" s="598">
        <f>Source!G33</f>
        <v>288880</v>
      </c>
      <c r="Y279" s="598">
        <f>Source!G50</f>
        <v>0</v>
      </c>
      <c r="Z279" s="598">
        <f>Source!G36</f>
        <v>70088.899999999994</v>
      </c>
      <c r="AA279" s="598">
        <f>Source!G51</f>
        <v>0</v>
      </c>
      <c r="AB279" s="598">
        <f>Source!G49</f>
        <v>0</v>
      </c>
      <c r="AC279" s="598">
        <f>Source!G52</f>
        <v>0</v>
      </c>
      <c r="AD279" s="598">
        <f>Source!G35</f>
        <v>236737</v>
      </c>
      <c r="AE279" s="598">
        <f>Source!G18</f>
        <v>62682.8</v>
      </c>
      <c r="AF279" s="598">
        <f>Source!G32</f>
        <v>142414</v>
      </c>
      <c r="AG279" s="598">
        <f>Source!G19</f>
        <v>52705.599999999999</v>
      </c>
      <c r="AH279" s="598">
        <f>Source!H34</f>
        <v>0</v>
      </c>
      <c r="AI279" s="598"/>
      <c r="AJ279" s="867">
        <f>SUM(C279:AI279)</f>
        <v>4012527.8999999994</v>
      </c>
      <c r="AK279" s="852" t="s">
        <v>218</v>
      </c>
      <c r="AL279" s="861">
        <f>C279+AE279</f>
        <v>181921.8</v>
      </c>
      <c r="AM279" s="861">
        <f>D279+AG279</f>
        <v>149371.70000000001</v>
      </c>
      <c r="AN279" s="861">
        <f>F279+H279+L279+AD279+AH279+AI279</f>
        <v>1097918</v>
      </c>
      <c r="AO279" s="861">
        <f>E279+G279+I279+J279+K279+W279+X279+Z279+AF279</f>
        <v>1110390.2000000002</v>
      </c>
      <c r="AP279" s="861">
        <f>M279+N279+S279+AB279+AC279</f>
        <v>849423</v>
      </c>
      <c r="AQ279" s="861">
        <f>O279+P279+Q279+R279+V279+Y279+AA279</f>
        <v>519486.7</v>
      </c>
      <c r="AR279" s="861">
        <f>T279+U279</f>
        <v>104016.5</v>
      </c>
      <c r="AS279" s="861">
        <f>AM279+AO279+AQ279</f>
        <v>1779248.6</v>
      </c>
      <c r="AT279" s="861">
        <f>AL279+AN279+AP279+AR279</f>
        <v>2233279.2999999998</v>
      </c>
      <c r="AU279" s="970" t="s">
        <v>219</v>
      </c>
      <c r="AV279" s="848" t="s">
        <v>3</v>
      </c>
      <c r="AW279" s="849">
        <f>(AW272+AW278)/2</f>
        <v>0.38119624665106289</v>
      </c>
      <c r="AX279" s="849">
        <f t="shared" ref="AX279:BA279" si="77">(AX272+AX278)/2</f>
        <v>0.47677983409520408</v>
      </c>
      <c r="AY279" s="849">
        <f t="shared" si="77"/>
        <v>2.9589946651719472E-2</v>
      </c>
      <c r="AZ279" s="849">
        <f t="shared" si="77"/>
        <v>0.45412051337057324</v>
      </c>
      <c r="BA279" s="849">
        <f t="shared" si="77"/>
        <v>0.31543211186862841</v>
      </c>
    </row>
    <row r="280" spans="1:53" s="947" customFormat="1" x14ac:dyDescent="0.25">
      <c r="A280" s="970"/>
      <c r="B280" s="848" t="s">
        <v>216</v>
      </c>
      <c r="C280" s="866">
        <v>0.47692089862186143</v>
      </c>
      <c r="D280" s="866">
        <v>0.64222840389139546</v>
      </c>
      <c r="E280" s="866">
        <v>0.63102765340988731</v>
      </c>
      <c r="F280" s="866">
        <v>1.0300452530456246</v>
      </c>
      <c r="G280" s="866">
        <v>0.67085651615503084</v>
      </c>
      <c r="H280" s="866">
        <v>1.1400392806254092</v>
      </c>
      <c r="I280" s="866">
        <v>0.85668016665164515</v>
      </c>
      <c r="J280" s="866">
        <v>0.28041221594672383</v>
      </c>
      <c r="K280" s="866">
        <v>1.1764871890804005</v>
      </c>
      <c r="L280" s="866">
        <v>1.0249554605857423</v>
      </c>
      <c r="M280" s="866">
        <v>0.7931498411379424</v>
      </c>
      <c r="N280" s="866">
        <v>0.81083264361111851</v>
      </c>
      <c r="O280" s="866">
        <v>1.3956728661782203</v>
      </c>
      <c r="P280" s="866">
        <v>0.49558107329001078</v>
      </c>
      <c r="Q280" s="866">
        <v>0.74285635148870166</v>
      </c>
      <c r="R280" s="866">
        <v>0.74128657924977892</v>
      </c>
      <c r="S280" s="866">
        <v>1.3000893289803723</v>
      </c>
      <c r="T280" s="866">
        <v>1.1542383637649363</v>
      </c>
      <c r="U280" s="866">
        <v>1.2196582100602891</v>
      </c>
      <c r="V280" s="866">
        <v>0.61662385698140354</v>
      </c>
      <c r="W280" s="866">
        <v>0.3008012067027373</v>
      </c>
      <c r="X280" s="866">
        <f t="shared" ref="X280:AH280" si="78">X279/X270</f>
        <v>1.1013809581724578</v>
      </c>
      <c r="Y280" s="866" t="e">
        <f t="shared" si="78"/>
        <v>#DIV/0!</v>
      </c>
      <c r="Z280" s="866">
        <f t="shared" si="78"/>
        <v>0.3345588112450566</v>
      </c>
      <c r="AA280" s="866" t="e">
        <f t="shared" si="78"/>
        <v>#DIV/0!</v>
      </c>
      <c r="AB280" s="866" t="e">
        <f t="shared" si="78"/>
        <v>#DIV/0!</v>
      </c>
      <c r="AC280" s="866" t="e">
        <f t="shared" si="78"/>
        <v>#DIV/0!</v>
      </c>
      <c r="AD280" s="866">
        <f t="shared" si="78"/>
        <v>0.72023260455278926</v>
      </c>
      <c r="AE280" s="866">
        <f t="shared" si="78"/>
        <v>0.29920690799130295</v>
      </c>
      <c r="AF280" s="866">
        <f t="shared" si="78"/>
        <v>0.74321750230406081</v>
      </c>
      <c r="AG280" s="866">
        <f t="shared" si="78"/>
        <v>0.33743656130417216</v>
      </c>
      <c r="AH280" s="866">
        <f t="shared" si="78"/>
        <v>0</v>
      </c>
      <c r="AI280" s="866"/>
      <c r="AJ280" s="869">
        <f t="shared" ref="AJ280" si="79">AJ279/AJ270</f>
        <v>0.75061955847863748</v>
      </c>
      <c r="AK280" s="852" t="s">
        <v>216</v>
      </c>
      <c r="AL280" s="849">
        <f t="shared" ref="AL280:AT280" si="80">AL279/AL270</f>
        <v>0.39589967594086717</v>
      </c>
      <c r="AM280" s="849">
        <f t="shared" si="80"/>
        <v>0.48701154312140293</v>
      </c>
      <c r="AN280" s="849">
        <f t="shared" si="80"/>
        <v>0.90711663011903365</v>
      </c>
      <c r="AO280" s="849">
        <f t="shared" si="80"/>
        <v>0.67245220484392731</v>
      </c>
      <c r="AP280" s="849">
        <f t="shared" si="80"/>
        <v>0.95062895485462895</v>
      </c>
      <c r="AQ280" s="849">
        <f t="shared" si="80"/>
        <v>0.70580255201368114</v>
      </c>
      <c r="AR280" s="849">
        <f t="shared" si="80"/>
        <v>1.1787707597898949</v>
      </c>
      <c r="AS280" s="849">
        <f t="shared" si="80"/>
        <v>0.66045139684513154</v>
      </c>
      <c r="AT280" s="849">
        <f t="shared" si="80"/>
        <v>0.84222802962974574</v>
      </c>
      <c r="AU280" s="970"/>
      <c r="AV280" s="848"/>
      <c r="AW280" s="849"/>
      <c r="AX280" s="849"/>
      <c r="AY280" s="849"/>
      <c r="AZ280" s="849"/>
      <c r="BA280" s="849"/>
    </row>
    <row r="281" spans="1:53" s="947" customFormat="1" x14ac:dyDescent="0.25">
      <c r="A281" s="1041">
        <v>41843</v>
      </c>
      <c r="B281" s="1041"/>
      <c r="C281" s="1041"/>
      <c r="D281" s="529"/>
      <c r="E281" s="529"/>
      <c r="F281" s="529"/>
      <c r="G281" s="529"/>
      <c r="H281" s="529"/>
      <c r="I281" s="525"/>
      <c r="J281" s="531"/>
      <c r="K281" s="531"/>
      <c r="L281" s="529"/>
      <c r="M281" s="529"/>
      <c r="N281" s="527"/>
      <c r="R281" s="526"/>
      <c r="S281" s="534"/>
      <c r="T281" s="534"/>
      <c r="U281" s="534"/>
      <c r="V281" s="534"/>
      <c r="W281" s="534"/>
      <c r="X281" s="534"/>
      <c r="Y281" s="534"/>
      <c r="Z281" s="534"/>
      <c r="AA281" s="534"/>
      <c r="AB281" s="534"/>
      <c r="AC281" s="534"/>
      <c r="AD281" s="534"/>
      <c r="AE281" s="534"/>
      <c r="AF281" s="534"/>
      <c r="AG281" s="534"/>
      <c r="AH281" s="534"/>
      <c r="AI281" s="534"/>
      <c r="AJ281" s="534"/>
      <c r="AK281" s="534"/>
      <c r="AL281" s="534"/>
      <c r="AM281" s="534"/>
      <c r="AN281" s="534"/>
      <c r="AO281" s="534"/>
    </row>
    <row r="282" spans="1:53" s="947" customFormat="1" x14ac:dyDescent="0.25">
      <c r="A282" s="1042" t="s">
        <v>1</v>
      </c>
      <c r="B282" s="1042"/>
      <c r="C282" s="968" t="s">
        <v>12</v>
      </c>
      <c r="D282" s="968" t="s">
        <v>12</v>
      </c>
      <c r="E282" s="968" t="s">
        <v>13</v>
      </c>
      <c r="F282" s="968" t="s">
        <v>13</v>
      </c>
      <c r="G282" s="968" t="s">
        <v>13</v>
      </c>
      <c r="H282" s="968" t="s">
        <v>13</v>
      </c>
      <c r="I282" s="968" t="s">
        <v>13</v>
      </c>
      <c r="J282" s="968" t="s">
        <v>13</v>
      </c>
      <c r="K282" s="968" t="s">
        <v>13</v>
      </c>
      <c r="L282" s="968" t="s">
        <v>13</v>
      </c>
      <c r="M282" s="829" t="s">
        <v>2</v>
      </c>
      <c r="N282" s="968" t="s">
        <v>2</v>
      </c>
      <c r="O282" s="968" t="s">
        <v>2</v>
      </c>
      <c r="P282" s="968" t="s">
        <v>2</v>
      </c>
      <c r="Q282" s="968" t="s">
        <v>2</v>
      </c>
      <c r="R282" s="968" t="s">
        <v>2</v>
      </c>
      <c r="S282" s="968" t="s">
        <v>2</v>
      </c>
      <c r="T282" s="830" t="s">
        <v>183</v>
      </c>
      <c r="U282" s="830" t="s">
        <v>183</v>
      </c>
      <c r="V282" s="830" t="s">
        <v>2</v>
      </c>
      <c r="W282" s="830" t="s">
        <v>13</v>
      </c>
      <c r="X282" s="830" t="s">
        <v>13</v>
      </c>
      <c r="Y282" s="830" t="s">
        <v>2</v>
      </c>
      <c r="Z282" s="830" t="s">
        <v>13</v>
      </c>
      <c r="AA282" s="830" t="s">
        <v>2</v>
      </c>
      <c r="AB282" s="888" t="s">
        <v>2</v>
      </c>
      <c r="AC282" s="888" t="s">
        <v>2</v>
      </c>
      <c r="AD282" s="888" t="s">
        <v>13</v>
      </c>
      <c r="AE282" s="888" t="s">
        <v>12</v>
      </c>
      <c r="AF282" s="888" t="s">
        <v>13</v>
      </c>
      <c r="AG282" s="888" t="s">
        <v>12</v>
      </c>
      <c r="AH282" s="888" t="s">
        <v>13</v>
      </c>
      <c r="AI282" s="888" t="s">
        <v>13</v>
      </c>
      <c r="AJ282" s="831" t="s">
        <v>219</v>
      </c>
      <c r="AK282" s="1042" t="s">
        <v>0</v>
      </c>
      <c r="AL282" s="1042"/>
      <c r="AM282" s="833"/>
      <c r="AN282" s="833"/>
      <c r="AO282" s="833"/>
      <c r="AP282" s="833"/>
      <c r="AQ282" s="833"/>
      <c r="AR282" s="833"/>
      <c r="AS282" s="833"/>
      <c r="AT282" s="833"/>
      <c r="AU282" s="1042" t="s">
        <v>1</v>
      </c>
      <c r="AV282" s="1043"/>
      <c r="AW282" s="968" t="s">
        <v>12</v>
      </c>
      <c r="AX282" s="1044" t="s">
        <v>13</v>
      </c>
      <c r="AY282" s="1045"/>
      <c r="AZ282" s="1044" t="s">
        <v>2</v>
      </c>
      <c r="BA282" s="1045"/>
    </row>
    <row r="283" spans="1:53" s="947" customFormat="1" x14ac:dyDescent="0.25">
      <c r="A283" s="1042" t="s">
        <v>0</v>
      </c>
      <c r="B283" s="1042"/>
      <c r="C283" s="834" t="s">
        <v>99</v>
      </c>
      <c r="D283" s="835" t="s">
        <v>100</v>
      </c>
      <c r="E283" s="835" t="s">
        <v>101</v>
      </c>
      <c r="F283" s="834" t="s">
        <v>102</v>
      </c>
      <c r="G283" s="835" t="s">
        <v>97</v>
      </c>
      <c r="H283" s="834" t="s">
        <v>104</v>
      </c>
      <c r="I283" s="835" t="s">
        <v>103</v>
      </c>
      <c r="J283" s="835" t="s">
        <v>178</v>
      </c>
      <c r="K283" s="835" t="s">
        <v>199</v>
      </c>
      <c r="L283" s="834" t="s">
        <v>206</v>
      </c>
      <c r="M283" s="834" t="s">
        <v>105</v>
      </c>
      <c r="N283" s="834" t="s">
        <v>107</v>
      </c>
      <c r="O283" s="835" t="s">
        <v>98</v>
      </c>
      <c r="P283" s="835" t="s">
        <v>106</v>
      </c>
      <c r="Q283" s="835" t="s">
        <v>179</v>
      </c>
      <c r="R283" s="835" t="s">
        <v>198</v>
      </c>
      <c r="S283" s="834" t="s">
        <v>207</v>
      </c>
      <c r="T283" s="834" t="s">
        <v>182</v>
      </c>
      <c r="U283" s="834" t="s">
        <v>184</v>
      </c>
      <c r="V283" s="835" t="s">
        <v>221</v>
      </c>
      <c r="W283" s="835" t="s">
        <v>222</v>
      </c>
      <c r="X283" s="835" t="s">
        <v>255</v>
      </c>
      <c r="Y283" s="835" t="s">
        <v>256</v>
      </c>
      <c r="Z283" s="835" t="s">
        <v>266</v>
      </c>
      <c r="AA283" s="835" t="s">
        <v>267</v>
      </c>
      <c r="AB283" s="889" t="s">
        <v>268</v>
      </c>
      <c r="AC283" s="889" t="s">
        <v>269</v>
      </c>
      <c r="AD283" s="889" t="s">
        <v>295</v>
      </c>
      <c r="AE283" s="889" t="s">
        <v>290</v>
      </c>
      <c r="AF283" s="946" t="s">
        <v>291</v>
      </c>
      <c r="AG283" s="946" t="s">
        <v>292</v>
      </c>
      <c r="AH283" s="889" t="s">
        <v>293</v>
      </c>
      <c r="AI283" s="889" t="s">
        <v>294</v>
      </c>
      <c r="AJ283" s="836"/>
      <c r="AK283" s="903" t="s">
        <v>1</v>
      </c>
      <c r="AL283" s="838" t="s">
        <v>257</v>
      </c>
      <c r="AM283" s="838" t="s">
        <v>258</v>
      </c>
      <c r="AN283" s="838" t="s">
        <v>259</v>
      </c>
      <c r="AO283" s="838" t="s">
        <v>260</v>
      </c>
      <c r="AP283" s="838" t="s">
        <v>261</v>
      </c>
      <c r="AQ283" s="838" t="s">
        <v>262</v>
      </c>
      <c r="AR283" s="838" t="s">
        <v>263</v>
      </c>
      <c r="AS283" s="904" t="s">
        <v>264</v>
      </c>
      <c r="AT283" s="904" t="s">
        <v>265</v>
      </c>
      <c r="AU283" s="1046" t="s">
        <v>0</v>
      </c>
      <c r="AV283" s="1043"/>
      <c r="AW283" s="834" t="s">
        <v>99</v>
      </c>
      <c r="AX283" s="834" t="s">
        <v>104</v>
      </c>
      <c r="AY283" s="834" t="s">
        <v>206</v>
      </c>
      <c r="AZ283" s="834" t="s">
        <v>107</v>
      </c>
      <c r="BA283" s="834" t="s">
        <v>207</v>
      </c>
    </row>
    <row r="284" spans="1:53" s="947" customFormat="1" x14ac:dyDescent="0.25">
      <c r="A284" s="1047" t="s">
        <v>9</v>
      </c>
      <c r="B284" s="839" t="s">
        <v>4</v>
      </c>
      <c r="C284" s="840">
        <v>250018.4</v>
      </c>
      <c r="D284" s="840">
        <v>150516.70000000001</v>
      </c>
      <c r="E284" s="840">
        <v>150516.70000000001</v>
      </c>
      <c r="F284" s="840">
        <v>181998.8</v>
      </c>
      <c r="G284" s="840">
        <v>165765.70000000001</v>
      </c>
      <c r="H284" s="840">
        <v>389505</v>
      </c>
      <c r="I284" s="840">
        <v>171975.5</v>
      </c>
      <c r="J284" s="840">
        <v>166078</v>
      </c>
      <c r="K284" s="840">
        <v>124019.2</v>
      </c>
      <c r="L284" s="840">
        <v>224071.2</v>
      </c>
      <c r="M284" s="840">
        <v>193029.1</v>
      </c>
      <c r="N284" s="840">
        <v>438219.9</v>
      </c>
      <c r="O284" s="840">
        <v>83038.8</v>
      </c>
      <c r="P284" s="840">
        <v>276130.40000000002</v>
      </c>
      <c r="Q284" s="840">
        <v>83038.8</v>
      </c>
      <c r="R284" s="840">
        <v>191618.2</v>
      </c>
      <c r="S284" s="840">
        <v>262288.90000000002</v>
      </c>
      <c r="T284" s="840">
        <v>55151</v>
      </c>
      <c r="U284" s="840">
        <v>33090.5</v>
      </c>
      <c r="V284" s="840">
        <v>102196.5</v>
      </c>
      <c r="W284" s="840">
        <v>209496.5</v>
      </c>
      <c r="X284" s="840">
        <v>102196.5</v>
      </c>
      <c r="Y284" s="840">
        <v>209496.5</v>
      </c>
      <c r="Z284" s="840">
        <v>102196.5</v>
      </c>
      <c r="AA284" s="840">
        <v>209496.5</v>
      </c>
      <c r="AB284" s="840">
        <v>328695.2</v>
      </c>
      <c r="AC284" s="901">
        <v>190871.2</v>
      </c>
      <c r="AD284" s="901">
        <v>224071.2</v>
      </c>
      <c r="AE284" s="901">
        <v>224071.2</v>
      </c>
      <c r="AF284" s="901">
        <v>156194.1</v>
      </c>
      <c r="AG284" s="901">
        <v>156194.1</v>
      </c>
      <c r="AH284" s="901">
        <v>224066.1</v>
      </c>
      <c r="AI284" s="901"/>
      <c r="AJ284" s="840">
        <v>6029312.8999999985</v>
      </c>
      <c r="AK284" s="841" t="s">
        <v>4</v>
      </c>
      <c r="AL284" s="863">
        <v>474089.6</v>
      </c>
      <c r="AM284" s="863">
        <v>306710.80000000005</v>
      </c>
      <c r="AN284" s="863">
        <v>1243712.3</v>
      </c>
      <c r="AO284" s="863">
        <v>1348438.7000000002</v>
      </c>
      <c r="AP284" s="863">
        <v>1413104.3</v>
      </c>
      <c r="AQ284" s="863">
        <v>1155015.7</v>
      </c>
      <c r="AR284" s="863">
        <v>88241.5</v>
      </c>
      <c r="AS284" s="863">
        <v>2810165.2</v>
      </c>
      <c r="AT284" s="863">
        <v>3219147.7</v>
      </c>
      <c r="AU284" s="875" t="s">
        <v>194</v>
      </c>
      <c r="AV284" s="872" t="s">
        <v>4</v>
      </c>
      <c r="AW284" s="840">
        <v>143393</v>
      </c>
      <c r="AX284" s="840">
        <v>132132</v>
      </c>
      <c r="AY284" s="840">
        <v>83196.100000000006</v>
      </c>
      <c r="AZ284" s="840">
        <v>132132.20000000001</v>
      </c>
      <c r="BA284" s="840">
        <v>83196.100000000006</v>
      </c>
    </row>
    <row r="285" spans="1:53" s="947" customFormat="1" x14ac:dyDescent="0.25">
      <c r="A285" s="1047"/>
      <c r="B285" s="844" t="s">
        <v>5</v>
      </c>
      <c r="C285" s="583">
        <v>103588.6</v>
      </c>
      <c r="D285" s="583">
        <v>85005.9</v>
      </c>
      <c r="E285" s="583">
        <v>85713.7</v>
      </c>
      <c r="F285" s="583">
        <v>129449.3</v>
      </c>
      <c r="G285" s="583">
        <v>116913.7</v>
      </c>
      <c r="H285" s="583">
        <v>217591.3</v>
      </c>
      <c r="I285" s="583">
        <v>121151.2</v>
      </c>
      <c r="J285" s="583">
        <v>50693.4</v>
      </c>
      <c r="K285" s="583">
        <v>87322.1</v>
      </c>
      <c r="L285" s="583">
        <v>80885.399999999994</v>
      </c>
      <c r="M285" s="583">
        <v>130434.2</v>
      </c>
      <c r="N285" s="583">
        <v>213797.3</v>
      </c>
      <c r="O285" s="583">
        <v>58988.800000000003</v>
      </c>
      <c r="P285" s="583">
        <v>223835.3</v>
      </c>
      <c r="Q285" s="583">
        <v>26205</v>
      </c>
      <c r="R285" s="583">
        <v>139541.79999999999</v>
      </c>
      <c r="S285" s="583">
        <v>176364.1</v>
      </c>
      <c r="T285" s="583">
        <v>17841</v>
      </c>
      <c r="U285" s="583">
        <v>11553.4</v>
      </c>
      <c r="V285" s="583">
        <v>14972.2</v>
      </c>
      <c r="W285" s="583">
        <v>29944.2</v>
      </c>
      <c r="X285" s="583">
        <v>21133.7</v>
      </c>
      <c r="Y285" s="583">
        <v>41337.699999999997</v>
      </c>
      <c r="Z285" s="583">
        <v>163.9</v>
      </c>
      <c r="AA285" s="583">
        <v>327.5</v>
      </c>
      <c r="AB285" s="583">
        <v>34936.199999999997</v>
      </c>
      <c r="AC285" s="583">
        <v>4.9000000000000004</v>
      </c>
      <c r="AD285" s="583">
        <v>3832.8</v>
      </c>
      <c r="AE285" s="583">
        <v>41188.699999999997</v>
      </c>
      <c r="AF285" s="583">
        <v>4047.8</v>
      </c>
      <c r="AG285" s="583">
        <v>4047.8</v>
      </c>
      <c r="AH285" s="583">
        <v>6399</v>
      </c>
      <c r="AI285" s="583"/>
      <c r="AJ285" s="845">
        <v>2279211.9</v>
      </c>
      <c r="AK285" s="846" t="s">
        <v>5</v>
      </c>
      <c r="AL285" s="863">
        <v>144777.29999999999</v>
      </c>
      <c r="AM285" s="863">
        <v>89053.7</v>
      </c>
      <c r="AN285" s="863">
        <v>438157.8</v>
      </c>
      <c r="AO285" s="863">
        <v>517083.7</v>
      </c>
      <c r="AP285" s="863">
        <v>555536.69999999995</v>
      </c>
      <c r="AQ285" s="863">
        <v>505208.3</v>
      </c>
      <c r="AR285" s="863">
        <v>29394.400000000001</v>
      </c>
      <c r="AS285" s="863">
        <v>1111345.7</v>
      </c>
      <c r="AT285" s="863">
        <v>1167866.1999999997</v>
      </c>
      <c r="AU285" s="876"/>
      <c r="AV285" s="873" t="s">
        <v>5</v>
      </c>
      <c r="AW285" s="583">
        <v>51964.9</v>
      </c>
      <c r="AX285" s="583">
        <v>58542</v>
      </c>
      <c r="AY285" s="583">
        <v>2519</v>
      </c>
      <c r="AZ285" s="583">
        <v>70731</v>
      </c>
      <c r="BA285" s="583">
        <v>31444.9</v>
      </c>
    </row>
    <row r="286" spans="1:53" s="947" customFormat="1" x14ac:dyDescent="0.25">
      <c r="A286" s="1047"/>
      <c r="B286" s="848" t="s">
        <v>3</v>
      </c>
      <c r="C286" s="849">
        <v>0.41432390576053607</v>
      </c>
      <c r="D286" s="849">
        <v>0.56476058802777362</v>
      </c>
      <c r="E286" s="849">
        <v>0.5694630562588735</v>
      </c>
      <c r="F286" s="850">
        <v>0.71126457976646007</v>
      </c>
      <c r="G286" s="849">
        <v>0.70529488307894816</v>
      </c>
      <c r="H286" s="849">
        <v>0.55863544755523031</v>
      </c>
      <c r="I286" s="849">
        <v>0.70446778756276329</v>
      </c>
      <c r="J286" s="849">
        <v>0.30523850239044303</v>
      </c>
      <c r="K286" s="849">
        <v>0.70410146170915477</v>
      </c>
      <c r="L286" s="849">
        <v>0.36098079539003669</v>
      </c>
      <c r="M286" s="850">
        <v>0.67572298684498866</v>
      </c>
      <c r="N286" s="849">
        <v>0.48787674863692859</v>
      </c>
      <c r="O286" s="849">
        <v>0.71037635418623579</v>
      </c>
      <c r="P286" s="849">
        <v>0.81061447779744633</v>
      </c>
      <c r="Q286" s="849">
        <v>0.3155753695862657</v>
      </c>
      <c r="R286" s="849">
        <v>0.72822832069187571</v>
      </c>
      <c r="S286" s="849">
        <v>0.67240397897127935</v>
      </c>
      <c r="T286" s="849">
        <v>0.32349368098493225</v>
      </c>
      <c r="U286" s="849">
        <v>0.349145525150723</v>
      </c>
      <c r="V286" s="849">
        <v>0.14650403878802112</v>
      </c>
      <c r="W286" s="849">
        <v>0.14293413016446577</v>
      </c>
      <c r="X286" s="849">
        <v>0.20679475324497415</v>
      </c>
      <c r="Y286" s="849">
        <v>0.19731928695706133</v>
      </c>
      <c r="Z286" s="849">
        <v>1.6037731233457114E-3</v>
      </c>
      <c r="AA286" s="849">
        <v>1.5632719401040113E-3</v>
      </c>
      <c r="AB286" s="849">
        <v>0.10628752716802678</v>
      </c>
      <c r="AC286" s="849">
        <v>2.5671761900171424E-5</v>
      </c>
      <c r="AD286" s="849">
        <v>1.7105277251159453E-2</v>
      </c>
      <c r="AE286" s="849">
        <v>0.18381969659643896</v>
      </c>
      <c r="AF286" s="849">
        <v>2.591519141888202E-2</v>
      </c>
      <c r="AG286" s="849">
        <v>2.591519141888202E-2</v>
      </c>
      <c r="AH286" s="849">
        <v>2.855853696743952E-2</v>
      </c>
      <c r="AI286" s="849"/>
      <c r="AJ286" s="851">
        <v>0.37802183064673928</v>
      </c>
      <c r="AK286" s="852" t="s">
        <v>3</v>
      </c>
      <c r="AL286" s="849">
        <v>0.30537961600507585</v>
      </c>
      <c r="AM286" s="849">
        <v>0.29035071474496493</v>
      </c>
      <c r="AN286" s="849">
        <v>0.35229835710397006</v>
      </c>
      <c r="AO286" s="849">
        <v>0.38346845132819157</v>
      </c>
      <c r="AP286" s="849">
        <v>0.39313212761435934</v>
      </c>
      <c r="AQ286" s="849">
        <v>0.43740383788722526</v>
      </c>
      <c r="AR286" s="849">
        <v>0.33311310437832542</v>
      </c>
      <c r="AS286" s="849">
        <v>0.39547344049381861</v>
      </c>
      <c r="AT286" s="849">
        <v>0.36278739245173486</v>
      </c>
      <c r="AU286" s="876"/>
      <c r="AV286" s="874" t="s">
        <v>3</v>
      </c>
      <c r="AW286" s="849">
        <v>0.36239495651810061</v>
      </c>
      <c r="AX286" s="849">
        <v>0.44305694305694304</v>
      </c>
      <c r="AY286" s="849">
        <v>3.0277861582453984E-2</v>
      </c>
      <c r="AZ286" s="849">
        <v>0.53530479322981073</v>
      </c>
      <c r="BA286" s="849">
        <v>0.37796122654787906</v>
      </c>
    </row>
    <row r="287" spans="1:53" s="947" customFormat="1" x14ac:dyDescent="0.25">
      <c r="A287" s="1040" t="s">
        <v>6</v>
      </c>
      <c r="B287" s="854" t="s">
        <v>7</v>
      </c>
      <c r="C287" s="840">
        <v>5644</v>
      </c>
      <c r="D287" s="840">
        <v>3620</v>
      </c>
      <c r="E287" s="840">
        <v>3591</v>
      </c>
      <c r="F287" s="840">
        <v>7556</v>
      </c>
      <c r="G287" s="840">
        <v>8432</v>
      </c>
      <c r="H287" s="840">
        <v>15702</v>
      </c>
      <c r="I287" s="840">
        <v>8123</v>
      </c>
      <c r="J287" s="840">
        <v>9599</v>
      </c>
      <c r="K287" s="840">
        <v>7072</v>
      </c>
      <c r="L287" s="840">
        <v>9334</v>
      </c>
      <c r="M287" s="840">
        <v>7730</v>
      </c>
      <c r="N287" s="840">
        <v>11924</v>
      </c>
      <c r="O287" s="840">
        <v>4357</v>
      </c>
      <c r="P287" s="840">
        <v>10312</v>
      </c>
      <c r="Q287" s="840">
        <v>4799</v>
      </c>
      <c r="R287" s="840">
        <v>9711</v>
      </c>
      <c r="S287" s="840">
        <v>11664</v>
      </c>
      <c r="T287" s="855">
        <v>2480</v>
      </c>
      <c r="U287" s="855">
        <v>1570</v>
      </c>
      <c r="V287" s="840">
        <v>3999</v>
      </c>
      <c r="W287" s="840">
        <v>7999</v>
      </c>
      <c r="X287" s="840">
        <v>3999</v>
      </c>
      <c r="Y287" s="840">
        <v>7999</v>
      </c>
      <c r="Z287" s="840">
        <v>3999</v>
      </c>
      <c r="AA287" s="840">
        <v>7999</v>
      </c>
      <c r="AB287" s="840">
        <v>11999</v>
      </c>
      <c r="AC287" s="840">
        <v>6400</v>
      </c>
      <c r="AD287" s="840">
        <v>6399</v>
      </c>
      <c r="AE287" s="840">
        <v>6399</v>
      </c>
      <c r="AF287" s="840">
        <v>4800</v>
      </c>
      <c r="AG287" s="840">
        <v>4800</v>
      </c>
      <c r="AH287" s="840">
        <v>6400</v>
      </c>
      <c r="AI287" s="840"/>
      <c r="AJ287" s="840">
        <v>226411</v>
      </c>
      <c r="AK287" s="856" t="s">
        <v>7</v>
      </c>
      <c r="AL287" s="858">
        <v>12043</v>
      </c>
      <c r="AM287" s="858">
        <v>8420</v>
      </c>
      <c r="AN287" s="858">
        <v>45391</v>
      </c>
      <c r="AO287" s="858">
        <v>57614</v>
      </c>
      <c r="AP287" s="858">
        <v>49717</v>
      </c>
      <c r="AQ287" s="858">
        <v>49176</v>
      </c>
      <c r="AR287" s="858">
        <v>4050</v>
      </c>
      <c r="AS287" s="858">
        <v>115210</v>
      </c>
      <c r="AT287" s="858">
        <v>111201</v>
      </c>
      <c r="AU287" s="880" t="s">
        <v>190</v>
      </c>
      <c r="AV287" s="879" t="s">
        <v>4</v>
      </c>
      <c r="AW287" s="857">
        <v>9191.7999999999993</v>
      </c>
      <c r="AX287" s="857">
        <v>13787.7</v>
      </c>
      <c r="AY287" s="857">
        <v>8804.7999999999993</v>
      </c>
      <c r="AZ287" s="857">
        <v>13787.7</v>
      </c>
      <c r="BA287" s="857">
        <v>8804.7999999999993</v>
      </c>
    </row>
    <row r="288" spans="1:53" s="947" customFormat="1" x14ac:dyDescent="0.25">
      <c r="A288" s="1040"/>
      <c r="B288" s="839" t="s">
        <v>11</v>
      </c>
      <c r="C288" s="858">
        <v>190298.74799999999</v>
      </c>
      <c r="D288" s="858">
        <v>122055.54</v>
      </c>
      <c r="E288" s="858">
        <v>121077.74699999999</v>
      </c>
      <c r="F288" s="858">
        <v>254765.652</v>
      </c>
      <c r="G288" s="858">
        <v>284301.74400000001</v>
      </c>
      <c r="H288" s="858">
        <v>529424.33400000003</v>
      </c>
      <c r="I288" s="858">
        <v>273883.19099999999</v>
      </c>
      <c r="J288" s="858">
        <v>323649.48300000001</v>
      </c>
      <c r="K288" s="858">
        <v>238446.62399999998</v>
      </c>
      <c r="L288" s="858">
        <v>314714.478</v>
      </c>
      <c r="M288" s="858">
        <v>260632.41</v>
      </c>
      <c r="N288" s="858">
        <v>402041.50799999997</v>
      </c>
      <c r="O288" s="858">
        <v>146904.96899999998</v>
      </c>
      <c r="P288" s="858">
        <v>347689.70399999997</v>
      </c>
      <c r="Q288" s="858">
        <v>161807.883</v>
      </c>
      <c r="R288" s="858">
        <v>327425.78700000001</v>
      </c>
      <c r="S288" s="858">
        <v>393275.08799999999</v>
      </c>
      <c r="T288" s="858">
        <v>83618.16</v>
      </c>
      <c r="U288" s="858">
        <v>52935.689999999995</v>
      </c>
      <c r="V288" s="858">
        <v>134834.283</v>
      </c>
      <c r="W288" s="858">
        <v>269702.283</v>
      </c>
      <c r="X288" s="858">
        <v>134834.283</v>
      </c>
      <c r="Y288" s="858">
        <v>269702.283</v>
      </c>
      <c r="Z288" s="858">
        <v>134834.283</v>
      </c>
      <c r="AA288" s="858">
        <v>269702.283</v>
      </c>
      <c r="AB288" s="858">
        <v>404570.283</v>
      </c>
      <c r="AC288" s="858">
        <v>215788.79999999999</v>
      </c>
      <c r="AD288" s="858">
        <v>215755.08299999998</v>
      </c>
      <c r="AE288" s="858">
        <v>215755.08299999998</v>
      </c>
      <c r="AF288" s="858">
        <v>161841.60000000001</v>
      </c>
      <c r="AG288" s="858">
        <v>161841.60000000001</v>
      </c>
      <c r="AH288" s="858">
        <v>215788.79999999999</v>
      </c>
      <c r="AI288" s="858"/>
      <c r="AJ288" s="859">
        <v>7633899.6869999962</v>
      </c>
      <c r="AK288" s="841" t="s">
        <v>11</v>
      </c>
      <c r="AL288" s="858">
        <v>406053.83100000001</v>
      </c>
      <c r="AM288" s="858">
        <v>283897.14</v>
      </c>
      <c r="AN288" s="858">
        <v>1530448.3469999998</v>
      </c>
      <c r="AO288" s="858">
        <v>1942571.2379999999</v>
      </c>
      <c r="AP288" s="858">
        <v>1676308.0889999999</v>
      </c>
      <c r="AQ288" s="858">
        <v>1658067.192</v>
      </c>
      <c r="AR288" s="858">
        <v>136553.85</v>
      </c>
      <c r="AS288" s="858">
        <v>3884535.57</v>
      </c>
      <c r="AT288" s="858">
        <v>3749364.1170000001</v>
      </c>
      <c r="AU288" s="876"/>
      <c r="AV288" s="873" t="s">
        <v>5</v>
      </c>
      <c r="AW288" s="583">
        <v>7975.5</v>
      </c>
      <c r="AX288" s="583">
        <v>13649</v>
      </c>
      <c r="AY288" s="583">
        <v>1289.9000000000001</v>
      </c>
      <c r="AZ288" s="583">
        <v>13642</v>
      </c>
      <c r="BA288" s="583">
        <v>5483.9</v>
      </c>
    </row>
    <row r="289" spans="1:53" s="947" customFormat="1" x14ac:dyDescent="0.25">
      <c r="A289" s="1040"/>
      <c r="B289" s="839" t="s">
        <v>79</v>
      </c>
      <c r="C289" s="858">
        <v>164000</v>
      </c>
      <c r="D289" s="858">
        <v>109880</v>
      </c>
      <c r="E289" s="858">
        <v>109880</v>
      </c>
      <c r="F289" s="858">
        <v>328000</v>
      </c>
      <c r="G289" s="858">
        <v>330905</v>
      </c>
      <c r="H289" s="858">
        <v>264264</v>
      </c>
      <c r="I289" s="858">
        <v>242663.6</v>
      </c>
      <c r="J289" s="858">
        <v>328000</v>
      </c>
      <c r="K289" s="858">
        <v>328000</v>
      </c>
      <c r="L289" s="858">
        <v>328000</v>
      </c>
      <c r="M289" s="858">
        <v>328000</v>
      </c>
      <c r="N289" s="858">
        <v>264264.40000000002</v>
      </c>
      <c r="O289" s="858">
        <v>328000</v>
      </c>
      <c r="P289" s="858">
        <v>352965.4</v>
      </c>
      <c r="Q289" s="858">
        <v>328000</v>
      </c>
      <c r="R289" s="858">
        <v>328000</v>
      </c>
      <c r="S289" s="858">
        <v>328000</v>
      </c>
      <c r="T289" s="858">
        <v>110302</v>
      </c>
      <c r="U289" s="858">
        <v>66181</v>
      </c>
      <c r="V289" s="858">
        <v>204393</v>
      </c>
      <c r="W289" s="858">
        <v>418993</v>
      </c>
      <c r="X289" s="858">
        <v>204393</v>
      </c>
      <c r="Y289" s="858">
        <v>418993</v>
      </c>
      <c r="Z289" s="858">
        <v>204393</v>
      </c>
      <c r="AA289" s="858">
        <v>418993</v>
      </c>
      <c r="AB289" s="858">
        <v>657390.4</v>
      </c>
      <c r="AC289" s="858">
        <v>381742.4</v>
      </c>
      <c r="AD289" s="858">
        <v>448142.4</v>
      </c>
      <c r="AE289" s="858">
        <v>448142.4</v>
      </c>
      <c r="AF289" s="858">
        <v>312388.2</v>
      </c>
      <c r="AG289" s="858">
        <v>312388.2</v>
      </c>
      <c r="AH289" s="858">
        <v>448132.2</v>
      </c>
      <c r="AI289" s="858"/>
      <c r="AJ289" s="859">
        <v>9845789.5999999996</v>
      </c>
      <c r="AK289" s="841" t="s">
        <v>79</v>
      </c>
      <c r="AL289" s="858">
        <v>948179.2</v>
      </c>
      <c r="AM289" s="858">
        <v>613421.60000000009</v>
      </c>
      <c r="AN289" s="858">
        <v>2487424.6</v>
      </c>
      <c r="AO289" s="858">
        <v>2696877.4000000004</v>
      </c>
      <c r="AP289" s="858">
        <v>2826208.6</v>
      </c>
      <c r="AQ289" s="858">
        <v>2310031.4</v>
      </c>
      <c r="AR289" s="858">
        <v>176483</v>
      </c>
      <c r="AS289" s="858">
        <v>5620330.4000000004</v>
      </c>
      <c r="AT289" s="858">
        <v>6438295.4000000004</v>
      </c>
      <c r="AU289" s="877"/>
      <c r="AV289" s="874" t="s">
        <v>3</v>
      </c>
      <c r="AW289" s="849">
        <v>0.86767553689157739</v>
      </c>
      <c r="AX289" s="849">
        <v>0.98994030911609621</v>
      </c>
      <c r="AY289" s="849">
        <v>0.14649963656187537</v>
      </c>
      <c r="AZ289" s="849">
        <v>0.98943261022505558</v>
      </c>
      <c r="BA289" s="849">
        <v>0.62283072869343992</v>
      </c>
    </row>
    <row r="290" spans="1:53" s="947" customFormat="1" x14ac:dyDescent="0.25">
      <c r="A290" s="1040"/>
      <c r="B290" s="844" t="s">
        <v>8</v>
      </c>
      <c r="C290" s="861">
        <v>5295</v>
      </c>
      <c r="D290" s="861">
        <v>2861</v>
      </c>
      <c r="E290" s="861">
        <v>2811</v>
      </c>
      <c r="F290" s="861">
        <v>5684</v>
      </c>
      <c r="G290" s="861">
        <v>3366</v>
      </c>
      <c r="H290" s="861">
        <v>13616</v>
      </c>
      <c r="I290" s="861">
        <v>6633</v>
      </c>
      <c r="J290" s="861">
        <v>1380</v>
      </c>
      <c r="K290" s="861">
        <v>6054</v>
      </c>
      <c r="L290" s="861">
        <v>6824</v>
      </c>
      <c r="M290" s="861">
        <v>6187</v>
      </c>
      <c r="N290" s="861">
        <v>10872</v>
      </c>
      <c r="O290" s="861">
        <v>3436</v>
      </c>
      <c r="P290" s="861">
        <v>7584</v>
      </c>
      <c r="Q290" s="861">
        <v>1828</v>
      </c>
      <c r="R290" s="861">
        <v>4673</v>
      </c>
      <c r="S290" s="861">
        <v>10093</v>
      </c>
      <c r="T290" s="598">
        <v>1888</v>
      </c>
      <c r="U290" s="598">
        <v>1197</v>
      </c>
      <c r="V290" s="861">
        <v>1868</v>
      </c>
      <c r="W290" s="861">
        <v>2500</v>
      </c>
      <c r="X290" s="861">
        <v>1179</v>
      </c>
      <c r="Y290" s="861">
        <v>1487</v>
      </c>
      <c r="Z290" s="861">
        <v>593</v>
      </c>
      <c r="AA290" s="861">
        <v>1177</v>
      </c>
      <c r="AB290" s="861">
        <v>5237</v>
      </c>
      <c r="AC290" s="861">
        <v>0</v>
      </c>
      <c r="AD290" s="861">
        <v>799</v>
      </c>
      <c r="AE290" s="861">
        <v>1550</v>
      </c>
      <c r="AF290" s="861">
        <v>145</v>
      </c>
      <c r="AG290" s="861">
        <v>145</v>
      </c>
      <c r="AH290" s="861">
        <v>6400</v>
      </c>
      <c r="AI290" s="861"/>
      <c r="AJ290" s="840">
        <v>125362</v>
      </c>
      <c r="AK290" s="846" t="s">
        <v>8</v>
      </c>
      <c r="AL290" s="858">
        <v>6845</v>
      </c>
      <c r="AM290" s="858">
        <v>3006</v>
      </c>
      <c r="AN290" s="858">
        <v>33323</v>
      </c>
      <c r="AO290" s="858">
        <v>24661</v>
      </c>
      <c r="AP290" s="858">
        <v>32389</v>
      </c>
      <c r="AQ290" s="858">
        <v>22053</v>
      </c>
      <c r="AR290" s="858">
        <v>3085</v>
      </c>
      <c r="AS290" s="858">
        <v>49720</v>
      </c>
      <c r="AT290" s="858">
        <v>75642</v>
      </c>
      <c r="AU290" s="877" t="s">
        <v>191</v>
      </c>
      <c r="AV290" s="839" t="s">
        <v>4</v>
      </c>
      <c r="AW290" s="840">
        <v>97433.600000000006</v>
      </c>
      <c r="AX290" s="840">
        <v>243584.4</v>
      </c>
      <c r="AY290" s="840">
        <v>132070.29999999999</v>
      </c>
      <c r="AZ290" s="840">
        <v>292299.3</v>
      </c>
      <c r="BA290" s="840">
        <v>132070.39999999999</v>
      </c>
    </row>
    <row r="291" spans="1:53" s="947" customFormat="1" x14ac:dyDescent="0.25">
      <c r="A291" s="1040"/>
      <c r="B291" s="839" t="s">
        <v>77</v>
      </c>
      <c r="C291" s="858">
        <v>178531.51499999998</v>
      </c>
      <c r="D291" s="858">
        <v>96464.337</v>
      </c>
      <c r="E291" s="858">
        <v>94778.486999999994</v>
      </c>
      <c r="F291" s="858">
        <v>191647.42799999999</v>
      </c>
      <c r="G291" s="858">
        <v>113491.42199999999</v>
      </c>
      <c r="H291" s="858">
        <v>459090.67199999996</v>
      </c>
      <c r="I291" s="858">
        <v>223644.861</v>
      </c>
      <c r="J291" s="858">
        <v>46529.46</v>
      </c>
      <c r="K291" s="858">
        <v>204122.71799999999</v>
      </c>
      <c r="L291" s="858">
        <v>230084.80799999999</v>
      </c>
      <c r="M291" s="858">
        <v>208607.079</v>
      </c>
      <c r="N291" s="858">
        <v>366571.22399999999</v>
      </c>
      <c r="O291" s="858">
        <v>115851.61199999999</v>
      </c>
      <c r="P291" s="858">
        <v>167573.49</v>
      </c>
      <c r="Q291" s="858">
        <v>61634.675999999999</v>
      </c>
      <c r="R291" s="858">
        <v>157559.541</v>
      </c>
      <c r="S291" s="858">
        <v>340305.68099999998</v>
      </c>
      <c r="T291" s="863">
        <v>63657.695999999996</v>
      </c>
      <c r="U291" s="863">
        <v>40359.248999999996</v>
      </c>
      <c r="V291" s="863">
        <v>62983.356</v>
      </c>
      <c r="W291" s="863">
        <v>84292.5</v>
      </c>
      <c r="X291" s="863">
        <v>39752.343000000001</v>
      </c>
      <c r="Y291" s="863">
        <v>50137.178999999996</v>
      </c>
      <c r="Z291" s="863">
        <v>19994.181</v>
      </c>
      <c r="AA291" s="863">
        <v>39684.909</v>
      </c>
      <c r="AB291" s="863">
        <v>176575.929</v>
      </c>
      <c r="AC291" s="863">
        <v>0</v>
      </c>
      <c r="AD291" s="863">
        <v>26939.882999999998</v>
      </c>
      <c r="AE291" s="863">
        <v>52261.35</v>
      </c>
      <c r="AF291" s="863">
        <v>4888.9650000000001</v>
      </c>
      <c r="AG291" s="863">
        <v>4888.9650000000001</v>
      </c>
      <c r="AH291" s="863">
        <v>215788.79999999999</v>
      </c>
      <c r="AI291" s="863"/>
      <c r="AJ291" s="864">
        <v>4138694.3159999992</v>
      </c>
      <c r="AK291" s="841" t="s">
        <v>77</v>
      </c>
      <c r="AL291" s="858">
        <v>230792.86499999999</v>
      </c>
      <c r="AM291" s="858">
        <v>101353.302</v>
      </c>
      <c r="AN291" s="858">
        <v>1123551.591</v>
      </c>
      <c r="AO291" s="858">
        <v>831494.93699999992</v>
      </c>
      <c r="AP291" s="858">
        <v>1092059.9129999999</v>
      </c>
      <c r="AQ291" s="858">
        <v>743561.00099999993</v>
      </c>
      <c r="AR291" s="858">
        <v>104016.94499999999</v>
      </c>
      <c r="AS291" s="858">
        <v>1676409.24</v>
      </c>
      <c r="AT291" s="858">
        <v>2550421.3139999998</v>
      </c>
      <c r="AU291" s="967"/>
      <c r="AV291" s="844" t="s">
        <v>5</v>
      </c>
      <c r="AW291" s="583">
        <v>38973.199999999997</v>
      </c>
      <c r="AX291" s="583">
        <v>124350.5</v>
      </c>
      <c r="AY291" s="583">
        <v>3817.1</v>
      </c>
      <c r="AZ291" s="583">
        <v>109009</v>
      </c>
      <c r="BA291" s="583">
        <v>33401</v>
      </c>
    </row>
    <row r="292" spans="1:53" s="947" customFormat="1" x14ac:dyDescent="0.25">
      <c r="A292" s="1040"/>
      <c r="B292" s="848" t="s">
        <v>217</v>
      </c>
      <c r="C292" s="849">
        <v>0.71407350419009152</v>
      </c>
      <c r="D292" s="849">
        <v>0.64088793469428973</v>
      </c>
      <c r="E292" s="866">
        <v>0.6296875164018344</v>
      </c>
      <c r="F292" s="866">
        <v>1.0530147891084995</v>
      </c>
      <c r="G292" s="866">
        <v>0.68464961086642162</v>
      </c>
      <c r="H292" s="866">
        <v>1.1786515500442869</v>
      </c>
      <c r="I292" s="866">
        <v>1.3004460577233385</v>
      </c>
      <c r="J292" s="866">
        <v>0.2801663073977288</v>
      </c>
      <c r="K292" s="866">
        <v>1.6458961031840231</v>
      </c>
      <c r="L292" s="866">
        <v>1.0268379336568019</v>
      </c>
      <c r="M292" s="866">
        <v>1.0807027489637573</v>
      </c>
      <c r="N292" s="866">
        <v>0.83650063358601467</v>
      </c>
      <c r="O292" s="866">
        <v>1.3951503634445583</v>
      </c>
      <c r="P292" s="866">
        <v>0.60686360502139558</v>
      </c>
      <c r="Q292" s="866">
        <v>0.74223948322952638</v>
      </c>
      <c r="R292" s="866">
        <v>0.82225770307830881</v>
      </c>
      <c r="S292" s="866">
        <v>1.2974459879926292</v>
      </c>
      <c r="T292" s="849">
        <v>1.1542437308480353</v>
      </c>
      <c r="U292" s="849">
        <v>1.2196627128632083</v>
      </c>
      <c r="V292" s="849">
        <v>0.61629660506964523</v>
      </c>
      <c r="W292" s="849">
        <v>0.40235755728615991</v>
      </c>
      <c r="X292" s="849">
        <v>0.38897949538389281</v>
      </c>
      <c r="Y292" s="849">
        <v>0.23932227507380791</v>
      </c>
      <c r="Z292" s="849">
        <v>0.19564447901836168</v>
      </c>
      <c r="AA292" s="849">
        <v>0.18942993797032409</v>
      </c>
      <c r="AB292" s="849">
        <v>0.53720263940574731</v>
      </c>
      <c r="AC292" s="849">
        <v>0</v>
      </c>
      <c r="AD292" s="849">
        <v>0.1202291191371314</v>
      </c>
      <c r="AE292" s="849">
        <v>0.23323546265651274</v>
      </c>
      <c r="AF292" s="849">
        <v>3.1300574093387649E-2</v>
      </c>
      <c r="AG292" s="849">
        <v>3.1300574093387649E-2</v>
      </c>
      <c r="AH292" s="849">
        <v>0.96305866884816571</v>
      </c>
      <c r="AI292" s="849"/>
      <c r="AJ292" s="851">
        <v>0.68642884929723924</v>
      </c>
      <c r="AK292" s="852" t="s">
        <v>217</v>
      </c>
      <c r="AL292" s="849">
        <v>0.48681275649159989</v>
      </c>
      <c r="AM292" s="849">
        <v>0.33045234142390806</v>
      </c>
      <c r="AN292" s="849">
        <v>0.90338544613573413</v>
      </c>
      <c r="AO292" s="849">
        <v>0.61663532572893365</v>
      </c>
      <c r="AP292" s="849">
        <v>0.77280913588614786</v>
      </c>
      <c r="AQ292" s="849">
        <v>0.64376700766924633</v>
      </c>
      <c r="AR292" s="849">
        <v>1.1787758027685384</v>
      </c>
      <c r="AS292" s="849">
        <v>0.59655184684516049</v>
      </c>
      <c r="AT292" s="849">
        <v>0.79226601314378942</v>
      </c>
      <c r="AU292" s="967"/>
      <c r="AV292" s="848" t="s">
        <v>3</v>
      </c>
      <c r="AW292" s="849">
        <v>0.39999753678402516</v>
      </c>
      <c r="AX292" s="849">
        <v>0.51050272513346506</v>
      </c>
      <c r="AY292" s="849">
        <v>2.8902031720984961E-2</v>
      </c>
      <c r="AZ292" s="849">
        <v>0.37293623351133581</v>
      </c>
      <c r="BA292" s="849">
        <v>0.25290299718937781</v>
      </c>
    </row>
    <row r="293" spans="1:53" s="947" customFormat="1" x14ac:dyDescent="0.25">
      <c r="A293" s="967"/>
      <c r="B293" s="848" t="s">
        <v>218</v>
      </c>
      <c r="C293" s="598">
        <v>168060</v>
      </c>
      <c r="D293" s="598">
        <v>96059.199999999997</v>
      </c>
      <c r="E293" s="598">
        <v>94373.3</v>
      </c>
      <c r="F293" s="598">
        <v>187636</v>
      </c>
      <c r="G293" s="598">
        <v>111205</v>
      </c>
      <c r="H293" s="598">
        <v>444051</v>
      </c>
      <c r="I293" s="598">
        <v>148846</v>
      </c>
      <c r="J293" s="598">
        <v>46570.3</v>
      </c>
      <c r="K293" s="598">
        <v>145705</v>
      </c>
      <c r="L293" s="598">
        <v>230472</v>
      </c>
      <c r="M293" s="598">
        <v>204621</v>
      </c>
      <c r="N293" s="598">
        <v>366652</v>
      </c>
      <c r="O293" s="598">
        <v>115895</v>
      </c>
      <c r="P293" s="598">
        <v>138868</v>
      </c>
      <c r="Q293" s="598">
        <v>61685.9</v>
      </c>
      <c r="R293" s="598">
        <v>143797</v>
      </c>
      <c r="S293" s="598">
        <v>340492</v>
      </c>
      <c r="T293" s="598">
        <v>63657.4</v>
      </c>
      <c r="U293" s="598">
        <v>40359.1</v>
      </c>
      <c r="V293" s="598">
        <v>63016.800000000003</v>
      </c>
      <c r="W293" s="598">
        <v>63016.800000000003</v>
      </c>
      <c r="X293" s="598">
        <v>39810.1</v>
      </c>
      <c r="Y293" s="598">
        <v>39776.400000000001</v>
      </c>
      <c r="Z293" s="598">
        <v>19690.8</v>
      </c>
      <c r="AA293" s="598">
        <v>19690.8</v>
      </c>
      <c r="AB293" s="598">
        <v>176648</v>
      </c>
      <c r="AC293" s="598">
        <v>0</v>
      </c>
      <c r="AD293" s="598">
        <v>26976.7</v>
      </c>
      <c r="AE293" s="598">
        <v>52295.9</v>
      </c>
      <c r="AF293" s="598">
        <v>4893.1499999999996</v>
      </c>
      <c r="AG293" s="598">
        <v>4888.9399999999996</v>
      </c>
      <c r="AH293" s="598">
        <v>0</v>
      </c>
      <c r="AI293" s="598"/>
      <c r="AJ293" s="867">
        <v>3659709.5899999989</v>
      </c>
      <c r="AK293" s="852" t="s">
        <v>218</v>
      </c>
      <c r="AL293" s="861">
        <v>220355.9</v>
      </c>
      <c r="AM293" s="861">
        <v>100948.14</v>
      </c>
      <c r="AN293" s="861">
        <v>889135.7</v>
      </c>
      <c r="AO293" s="861">
        <v>674110.45000000007</v>
      </c>
      <c r="AP293" s="861">
        <v>1088413</v>
      </c>
      <c r="AQ293" s="861">
        <v>582729.9</v>
      </c>
      <c r="AR293" s="861">
        <v>104016.5</v>
      </c>
      <c r="AS293" s="861">
        <v>1357788.4900000002</v>
      </c>
      <c r="AT293" s="861">
        <v>2301921.0999999996</v>
      </c>
      <c r="AU293" s="967" t="s">
        <v>219</v>
      </c>
      <c r="AV293" s="848" t="s">
        <v>3</v>
      </c>
      <c r="AW293" s="849">
        <v>0.38119624665106289</v>
      </c>
      <c r="AX293" s="849">
        <v>0.47677983409520408</v>
      </c>
      <c r="AY293" s="849">
        <v>2.9589946651719472E-2</v>
      </c>
      <c r="AZ293" s="849">
        <v>0.45412051337057324</v>
      </c>
      <c r="BA293" s="849">
        <v>0.31543211186862841</v>
      </c>
    </row>
    <row r="294" spans="1:53" s="947" customFormat="1" x14ac:dyDescent="0.25">
      <c r="A294" s="967"/>
      <c r="B294" s="848" t="s">
        <v>216</v>
      </c>
      <c r="C294" s="866">
        <v>0.67219052677722924</v>
      </c>
      <c r="D294" s="866">
        <v>0.63819629316879778</v>
      </c>
      <c r="E294" s="866">
        <v>0.62699554268728985</v>
      </c>
      <c r="F294" s="866">
        <v>1.0309738305966853</v>
      </c>
      <c r="G294" s="866">
        <v>0.67085651615503084</v>
      </c>
      <c r="H294" s="866">
        <v>1.1400392806254092</v>
      </c>
      <c r="I294" s="866">
        <v>0.86550700535832137</v>
      </c>
      <c r="J294" s="866">
        <v>0.28041221594672383</v>
      </c>
      <c r="K294" s="866">
        <v>1.1748584090205387</v>
      </c>
      <c r="L294" s="866">
        <v>1.028565920118248</v>
      </c>
      <c r="M294" s="866">
        <v>1.0600526034675601</v>
      </c>
      <c r="N294" s="866">
        <v>0.83668496113480917</v>
      </c>
      <c r="O294" s="866">
        <v>1.3956728661782203</v>
      </c>
      <c r="P294" s="866">
        <v>0.50290732204784405</v>
      </c>
      <c r="Q294" s="866">
        <v>0.74285635148870166</v>
      </c>
      <c r="R294" s="866">
        <v>0.75043497955830918</v>
      </c>
      <c r="S294" s="866">
        <v>1.2981563459223779</v>
      </c>
      <c r="T294" s="866">
        <v>1.1542383637649363</v>
      </c>
      <c r="U294" s="866">
        <v>1.2196582100602891</v>
      </c>
      <c r="V294" s="866">
        <v>0.61662385698140354</v>
      </c>
      <c r="W294" s="866">
        <v>0.3008012067027373</v>
      </c>
      <c r="X294" s="866">
        <v>0.38954465172486336</v>
      </c>
      <c r="Y294" s="866">
        <v>0.18986665648352122</v>
      </c>
      <c r="Z294" s="866">
        <v>0.19267587441839984</v>
      </c>
      <c r="AA294" s="866">
        <v>9.3991069063206298E-2</v>
      </c>
      <c r="AB294" s="866">
        <v>0.5374219033317188</v>
      </c>
      <c r="AC294" s="866">
        <v>0</v>
      </c>
      <c r="AD294" s="866">
        <v>0.12039342851736412</v>
      </c>
      <c r="AE294" s="866">
        <v>0.23338965471689355</v>
      </c>
      <c r="AF294" s="866">
        <v>3.1327367679060858E-2</v>
      </c>
      <c r="AG294" s="866">
        <v>3.130041403612556E-2</v>
      </c>
      <c r="AH294" s="866">
        <v>0</v>
      </c>
      <c r="AI294" s="866"/>
      <c r="AJ294" s="869">
        <v>0.60698617747969252</v>
      </c>
      <c r="AK294" s="852" t="s">
        <v>216</v>
      </c>
      <c r="AL294" s="849">
        <v>0.46479800442785502</v>
      </c>
      <c r="AM294" s="849">
        <v>0.32913135109686381</v>
      </c>
      <c r="AN294" s="849">
        <v>0.71490464474782467</v>
      </c>
      <c r="AO294" s="849">
        <v>0.49991923993282006</v>
      </c>
      <c r="AP294" s="849">
        <v>0.7702283546939882</v>
      </c>
      <c r="AQ294" s="849">
        <v>0.50452119395433326</v>
      </c>
      <c r="AR294" s="849">
        <v>1.1787707597898949</v>
      </c>
      <c r="AS294" s="849">
        <v>0.48317034528788561</v>
      </c>
      <c r="AT294" s="849">
        <v>0.71507160109491075</v>
      </c>
      <c r="AU294" s="967"/>
      <c r="AV294" s="848"/>
      <c r="AW294" s="849"/>
      <c r="AX294" s="849"/>
      <c r="AY294" s="849"/>
      <c r="AZ294" s="849"/>
      <c r="BA294" s="849"/>
    </row>
    <row r="295" spans="1:53" s="947" customFormat="1" x14ac:dyDescent="0.25">
      <c r="A295" s="1041">
        <v>41836</v>
      </c>
      <c r="B295" s="1041"/>
      <c r="C295" s="1041"/>
      <c r="D295" s="529"/>
      <c r="E295" s="529"/>
      <c r="F295" s="529"/>
      <c r="G295" s="529"/>
      <c r="H295" s="529"/>
      <c r="I295" s="525"/>
      <c r="J295" s="531"/>
      <c r="K295" s="531"/>
      <c r="L295" s="529"/>
      <c r="M295" s="529"/>
      <c r="N295" s="527"/>
      <c r="R295" s="526"/>
      <c r="S295" s="534"/>
      <c r="T295" s="534"/>
      <c r="U295" s="534"/>
      <c r="V295" s="534"/>
      <c r="W295" s="534"/>
      <c r="X295" s="534"/>
      <c r="Y295" s="534"/>
      <c r="Z295" s="534"/>
      <c r="AA295" s="534"/>
      <c r="AB295" s="534"/>
      <c r="AC295" s="534"/>
      <c r="AD295" s="534"/>
      <c r="AE295" s="534"/>
      <c r="AF295" s="534"/>
      <c r="AG295" s="534"/>
      <c r="AH295" s="534"/>
      <c r="AI295" s="534"/>
      <c r="AJ295" s="534"/>
      <c r="AK295" s="534"/>
      <c r="AL295" s="534"/>
      <c r="AM295" s="534"/>
      <c r="AN295" s="534"/>
      <c r="AO295" s="534"/>
    </row>
    <row r="296" spans="1:53" s="947" customFormat="1" x14ac:dyDescent="0.25">
      <c r="A296" s="1042" t="s">
        <v>1</v>
      </c>
      <c r="B296" s="1042"/>
      <c r="C296" s="963" t="s">
        <v>12</v>
      </c>
      <c r="D296" s="963" t="s">
        <v>12</v>
      </c>
      <c r="E296" s="963" t="s">
        <v>13</v>
      </c>
      <c r="F296" s="963" t="s">
        <v>13</v>
      </c>
      <c r="G296" s="963" t="s">
        <v>13</v>
      </c>
      <c r="H296" s="963" t="s">
        <v>13</v>
      </c>
      <c r="I296" s="963" t="s">
        <v>13</v>
      </c>
      <c r="J296" s="963" t="s">
        <v>13</v>
      </c>
      <c r="K296" s="963" t="s">
        <v>13</v>
      </c>
      <c r="L296" s="963" t="s">
        <v>13</v>
      </c>
      <c r="M296" s="829" t="s">
        <v>2</v>
      </c>
      <c r="N296" s="963" t="s">
        <v>2</v>
      </c>
      <c r="O296" s="963" t="s">
        <v>2</v>
      </c>
      <c r="P296" s="963" t="s">
        <v>2</v>
      </c>
      <c r="Q296" s="963" t="s">
        <v>2</v>
      </c>
      <c r="R296" s="963" t="s">
        <v>2</v>
      </c>
      <c r="S296" s="963" t="s">
        <v>2</v>
      </c>
      <c r="T296" s="830" t="s">
        <v>183</v>
      </c>
      <c r="U296" s="830" t="s">
        <v>183</v>
      </c>
      <c r="V296" s="830" t="s">
        <v>2</v>
      </c>
      <c r="W296" s="830" t="s">
        <v>13</v>
      </c>
      <c r="X296" s="830" t="s">
        <v>13</v>
      </c>
      <c r="Y296" s="830" t="s">
        <v>2</v>
      </c>
      <c r="Z296" s="830" t="s">
        <v>13</v>
      </c>
      <c r="AA296" s="830" t="s">
        <v>2</v>
      </c>
      <c r="AB296" s="888" t="s">
        <v>2</v>
      </c>
      <c r="AC296" s="888" t="s">
        <v>2</v>
      </c>
      <c r="AD296" s="888" t="s">
        <v>13</v>
      </c>
      <c r="AE296" s="888" t="s">
        <v>12</v>
      </c>
      <c r="AF296" s="888" t="s">
        <v>13</v>
      </c>
      <c r="AG296" s="888" t="s">
        <v>12</v>
      </c>
      <c r="AH296" s="888" t="s">
        <v>13</v>
      </c>
      <c r="AI296" s="888" t="s">
        <v>13</v>
      </c>
      <c r="AJ296" s="831" t="s">
        <v>219</v>
      </c>
      <c r="AK296" s="1042" t="s">
        <v>0</v>
      </c>
      <c r="AL296" s="1042"/>
      <c r="AM296" s="833"/>
      <c r="AN296" s="833"/>
      <c r="AO296" s="833"/>
      <c r="AP296" s="833"/>
      <c r="AQ296" s="833"/>
      <c r="AR296" s="833"/>
      <c r="AS296" s="833"/>
      <c r="AT296" s="833"/>
      <c r="AU296" s="1042" t="s">
        <v>1</v>
      </c>
      <c r="AV296" s="1043"/>
      <c r="AW296" s="963" t="s">
        <v>12</v>
      </c>
      <c r="AX296" s="1044" t="s">
        <v>13</v>
      </c>
      <c r="AY296" s="1045"/>
      <c r="AZ296" s="1044" t="s">
        <v>2</v>
      </c>
      <c r="BA296" s="1045"/>
    </row>
    <row r="297" spans="1:53" s="947" customFormat="1" x14ac:dyDescent="0.25">
      <c r="A297" s="1042" t="s">
        <v>0</v>
      </c>
      <c r="B297" s="1042"/>
      <c r="C297" s="834" t="s">
        <v>99</v>
      </c>
      <c r="D297" s="835" t="s">
        <v>100</v>
      </c>
      <c r="E297" s="835" t="s">
        <v>101</v>
      </c>
      <c r="F297" s="834" t="s">
        <v>102</v>
      </c>
      <c r="G297" s="835" t="s">
        <v>97</v>
      </c>
      <c r="H297" s="834" t="s">
        <v>104</v>
      </c>
      <c r="I297" s="835" t="s">
        <v>103</v>
      </c>
      <c r="J297" s="835" t="s">
        <v>178</v>
      </c>
      <c r="K297" s="835" t="s">
        <v>199</v>
      </c>
      <c r="L297" s="834" t="s">
        <v>206</v>
      </c>
      <c r="M297" s="834" t="s">
        <v>105</v>
      </c>
      <c r="N297" s="834" t="s">
        <v>107</v>
      </c>
      <c r="O297" s="835" t="s">
        <v>98</v>
      </c>
      <c r="P297" s="835" t="s">
        <v>106</v>
      </c>
      <c r="Q297" s="835" t="s">
        <v>179</v>
      </c>
      <c r="R297" s="835" t="s">
        <v>198</v>
      </c>
      <c r="S297" s="834" t="s">
        <v>207</v>
      </c>
      <c r="T297" s="834" t="s">
        <v>182</v>
      </c>
      <c r="U297" s="834" t="s">
        <v>184</v>
      </c>
      <c r="V297" s="835" t="s">
        <v>221</v>
      </c>
      <c r="W297" s="835" t="s">
        <v>222</v>
      </c>
      <c r="X297" s="835" t="s">
        <v>255</v>
      </c>
      <c r="Y297" s="835" t="s">
        <v>256</v>
      </c>
      <c r="Z297" s="835" t="s">
        <v>266</v>
      </c>
      <c r="AA297" s="835" t="s">
        <v>267</v>
      </c>
      <c r="AB297" s="889" t="s">
        <v>268</v>
      </c>
      <c r="AC297" s="889" t="s">
        <v>269</v>
      </c>
      <c r="AD297" s="889" t="s">
        <v>295</v>
      </c>
      <c r="AE297" s="889" t="s">
        <v>290</v>
      </c>
      <c r="AF297" s="946" t="s">
        <v>291</v>
      </c>
      <c r="AG297" s="946" t="s">
        <v>292</v>
      </c>
      <c r="AH297" s="889" t="s">
        <v>293</v>
      </c>
      <c r="AI297" s="889" t="s">
        <v>294</v>
      </c>
      <c r="AJ297" s="836"/>
      <c r="AK297" s="903" t="s">
        <v>1</v>
      </c>
      <c r="AL297" s="838" t="s">
        <v>257</v>
      </c>
      <c r="AM297" s="838" t="s">
        <v>258</v>
      </c>
      <c r="AN297" s="838" t="s">
        <v>259</v>
      </c>
      <c r="AO297" s="838" t="s">
        <v>260</v>
      </c>
      <c r="AP297" s="838" t="s">
        <v>261</v>
      </c>
      <c r="AQ297" s="838" t="s">
        <v>262</v>
      </c>
      <c r="AR297" s="838" t="s">
        <v>263</v>
      </c>
      <c r="AS297" s="904" t="s">
        <v>264</v>
      </c>
      <c r="AT297" s="904" t="s">
        <v>265</v>
      </c>
      <c r="AU297" s="1046" t="s">
        <v>0</v>
      </c>
      <c r="AV297" s="1043"/>
      <c r="AW297" s="834" t="s">
        <v>99</v>
      </c>
      <c r="AX297" s="834" t="s">
        <v>104</v>
      </c>
      <c r="AY297" s="834" t="s">
        <v>206</v>
      </c>
      <c r="AZ297" s="834" t="s">
        <v>107</v>
      </c>
      <c r="BA297" s="834" t="s">
        <v>207</v>
      </c>
    </row>
    <row r="298" spans="1:53" s="947" customFormat="1" x14ac:dyDescent="0.25">
      <c r="A298" s="1047" t="s">
        <v>9</v>
      </c>
      <c r="B298" s="839" t="s">
        <v>4</v>
      </c>
      <c r="C298" s="840">
        <v>250018.4</v>
      </c>
      <c r="D298" s="840">
        <v>150516.70000000001</v>
      </c>
      <c r="E298" s="840">
        <v>150516.70000000001</v>
      </c>
      <c r="F298" s="840">
        <v>181998.8</v>
      </c>
      <c r="G298" s="840">
        <v>165765.70000000001</v>
      </c>
      <c r="H298" s="840">
        <v>389505</v>
      </c>
      <c r="I298" s="840">
        <v>171975.5</v>
      </c>
      <c r="J298" s="840">
        <v>166078</v>
      </c>
      <c r="K298" s="840">
        <v>124019.2</v>
      </c>
      <c r="L298" s="840">
        <v>224071.2</v>
      </c>
      <c r="M298" s="840">
        <v>193029.1</v>
      </c>
      <c r="N298" s="840">
        <v>438219.9</v>
      </c>
      <c r="O298" s="840">
        <v>83038.8</v>
      </c>
      <c r="P298" s="840">
        <v>276130.40000000002</v>
      </c>
      <c r="Q298" s="840">
        <v>83038.8</v>
      </c>
      <c r="R298" s="840">
        <v>191618.2</v>
      </c>
      <c r="S298" s="840">
        <v>262288.90000000002</v>
      </c>
      <c r="T298" s="840">
        <v>55151</v>
      </c>
      <c r="U298" s="840">
        <v>33090.5</v>
      </c>
      <c r="V298" s="840">
        <v>102196.5</v>
      </c>
      <c r="W298" s="840">
        <v>209496.5</v>
      </c>
      <c r="X298" s="840">
        <v>102196.5</v>
      </c>
      <c r="Y298" s="840">
        <v>209496.5</v>
      </c>
      <c r="Z298" s="840">
        <v>102196.5</v>
      </c>
      <c r="AA298" s="840">
        <v>209496.5</v>
      </c>
      <c r="AB298" s="840">
        <v>328695.2</v>
      </c>
      <c r="AC298" s="901">
        <v>190871.2</v>
      </c>
      <c r="AD298" s="901">
        <v>224071.2</v>
      </c>
      <c r="AE298" s="901">
        <v>224071.2</v>
      </c>
      <c r="AF298" s="901">
        <v>156194.1</v>
      </c>
      <c r="AG298" s="901">
        <v>156194.1</v>
      </c>
      <c r="AH298" s="901"/>
      <c r="AI298" s="901"/>
      <c r="AJ298" s="840">
        <v>5805246.7999999989</v>
      </c>
      <c r="AK298" s="841" t="s">
        <v>4</v>
      </c>
      <c r="AL298" s="863">
        <v>474089.6</v>
      </c>
      <c r="AM298" s="863">
        <v>306710.80000000005</v>
      </c>
      <c r="AN298" s="863">
        <v>1019646.2</v>
      </c>
      <c r="AO298" s="863">
        <v>1348438.7000000002</v>
      </c>
      <c r="AP298" s="863">
        <v>1413104.3</v>
      </c>
      <c r="AQ298" s="863">
        <v>1155015.7</v>
      </c>
      <c r="AR298" s="863">
        <v>88241.5</v>
      </c>
      <c r="AS298" s="863">
        <v>2810165.2</v>
      </c>
      <c r="AT298" s="863">
        <v>2995081.5999999996</v>
      </c>
      <c r="AU298" s="875" t="s">
        <v>194</v>
      </c>
      <c r="AV298" s="872" t="s">
        <v>4</v>
      </c>
      <c r="AW298" s="840">
        <v>143393</v>
      </c>
      <c r="AX298" s="840">
        <v>132132</v>
      </c>
      <c r="AY298" s="840">
        <v>83196.100000000006</v>
      </c>
      <c r="AZ298" s="840">
        <v>132132.20000000001</v>
      </c>
      <c r="BA298" s="840">
        <v>83196.100000000006</v>
      </c>
    </row>
    <row r="299" spans="1:53" s="947" customFormat="1" x14ac:dyDescent="0.25">
      <c r="A299" s="1047"/>
      <c r="B299" s="844" t="s">
        <v>5</v>
      </c>
      <c r="C299" s="583">
        <v>103500.5</v>
      </c>
      <c r="D299" s="583">
        <v>84792</v>
      </c>
      <c r="E299" s="583">
        <v>85501.2</v>
      </c>
      <c r="F299" s="583">
        <v>132991.5</v>
      </c>
      <c r="G299" s="583">
        <v>116575</v>
      </c>
      <c r="H299" s="583">
        <v>217118.6</v>
      </c>
      <c r="I299" s="583">
        <v>121160.3</v>
      </c>
      <c r="J299" s="583">
        <v>50557.7</v>
      </c>
      <c r="K299" s="583">
        <v>85936.9</v>
      </c>
      <c r="L299" s="583">
        <v>79116.2</v>
      </c>
      <c r="M299" s="583">
        <v>130385.3</v>
      </c>
      <c r="N299" s="583">
        <v>213046.5</v>
      </c>
      <c r="O299" s="583">
        <v>58824.1</v>
      </c>
      <c r="P299" s="583">
        <v>223870.6</v>
      </c>
      <c r="Q299" s="583">
        <v>26137.1</v>
      </c>
      <c r="R299" s="583">
        <v>136790.20000000001</v>
      </c>
      <c r="S299" s="583">
        <v>175547.8</v>
      </c>
      <c r="T299" s="583">
        <v>17841</v>
      </c>
      <c r="U299" s="583">
        <v>11553.4</v>
      </c>
      <c r="V299" s="583">
        <v>14935.1</v>
      </c>
      <c r="W299" s="583">
        <v>29870</v>
      </c>
      <c r="X299" s="583">
        <v>20683.099999999999</v>
      </c>
      <c r="Y299" s="583">
        <v>40432.6</v>
      </c>
      <c r="Z299" s="583">
        <v>3.1</v>
      </c>
      <c r="AA299" s="583">
        <v>6</v>
      </c>
      <c r="AB299" s="583">
        <v>34199.4</v>
      </c>
      <c r="AC299" s="583">
        <v>4.9000000000000004</v>
      </c>
      <c r="AD299" s="583">
        <v>3669.3</v>
      </c>
      <c r="AE299" s="583">
        <v>1132.5999999999999</v>
      </c>
      <c r="AF299" s="583">
        <v>1863.9</v>
      </c>
      <c r="AG299" s="583">
        <v>1863.9</v>
      </c>
      <c r="AH299" s="583"/>
      <c r="AI299" s="583"/>
      <c r="AJ299" s="845">
        <v>2219909.8000000003</v>
      </c>
      <c r="AK299" s="846" t="s">
        <v>5</v>
      </c>
      <c r="AL299" s="863">
        <v>104633.1</v>
      </c>
      <c r="AM299" s="863">
        <v>86655.9</v>
      </c>
      <c r="AN299" s="863">
        <v>432895.6</v>
      </c>
      <c r="AO299" s="863">
        <v>512151.19999999995</v>
      </c>
      <c r="AP299" s="863">
        <v>553183.9</v>
      </c>
      <c r="AQ299" s="863">
        <v>500995.69999999995</v>
      </c>
      <c r="AR299" s="863">
        <v>29394.400000000001</v>
      </c>
      <c r="AS299" s="863">
        <v>1099802.7999999998</v>
      </c>
      <c r="AT299" s="863">
        <v>1120107</v>
      </c>
      <c r="AU299" s="876"/>
      <c r="AV299" s="873" t="s">
        <v>5</v>
      </c>
      <c r="AW299" s="583">
        <v>51964.9</v>
      </c>
      <c r="AX299" s="583">
        <v>58542</v>
      </c>
      <c r="AY299" s="583">
        <v>2519</v>
      </c>
      <c r="AZ299" s="583">
        <v>70731</v>
      </c>
      <c r="BA299" s="583">
        <v>31444.9</v>
      </c>
    </row>
    <row r="300" spans="1:53" s="947" customFormat="1" x14ac:dyDescent="0.25">
      <c r="A300" s="1047"/>
      <c r="B300" s="848" t="s">
        <v>3</v>
      </c>
      <c r="C300" s="849">
        <v>0.41397153169526724</v>
      </c>
      <c r="D300" s="849">
        <v>0.56333948325999705</v>
      </c>
      <c r="E300" s="849">
        <v>0.56805125278457469</v>
      </c>
      <c r="F300" s="850">
        <v>0.73072734545502505</v>
      </c>
      <c r="G300" s="849">
        <v>0.70325163770309529</v>
      </c>
      <c r="H300" s="849">
        <v>0.55742185594536653</v>
      </c>
      <c r="I300" s="849">
        <v>0.70452070207674933</v>
      </c>
      <c r="J300" s="849">
        <v>0.30442141644287624</v>
      </c>
      <c r="K300" s="849">
        <v>0.69293222339766747</v>
      </c>
      <c r="L300" s="849">
        <v>0.35308509081042094</v>
      </c>
      <c r="M300" s="850">
        <v>0.67546965716568119</v>
      </c>
      <c r="N300" s="849">
        <v>0.48616345355379798</v>
      </c>
      <c r="O300" s="849">
        <v>0.708392944021349</v>
      </c>
      <c r="P300" s="849">
        <v>0.81074231594927604</v>
      </c>
      <c r="Q300" s="849">
        <v>0.31475767954257527</v>
      </c>
      <c r="R300" s="849">
        <v>0.71386851562116749</v>
      </c>
      <c r="S300" s="849">
        <v>0.66929176187021244</v>
      </c>
      <c r="T300" s="849">
        <v>0.32349368098493225</v>
      </c>
      <c r="U300" s="849">
        <v>0.349145525150723</v>
      </c>
      <c r="V300" s="849">
        <v>0.14614101265698923</v>
      </c>
      <c r="W300" s="849">
        <v>0.1425799476363567</v>
      </c>
      <c r="X300" s="849">
        <v>0.20238560028963809</v>
      </c>
      <c r="Y300" s="849">
        <v>0.19299892838305174</v>
      </c>
      <c r="Z300" s="849">
        <v>3.0333719843634569E-5</v>
      </c>
      <c r="AA300" s="849">
        <v>2.8640096612592574E-5</v>
      </c>
      <c r="AB300" s="849">
        <v>0.10404593678277017</v>
      </c>
      <c r="AC300" s="849">
        <v>2.5671761900171424E-5</v>
      </c>
      <c r="AD300" s="849">
        <v>1.6375598470486166E-2</v>
      </c>
      <c r="AE300" s="849">
        <v>5.0546433455080347E-3</v>
      </c>
      <c r="AF300" s="849">
        <v>1.1933229232090073E-2</v>
      </c>
      <c r="AG300" s="849">
        <v>1.1933229232090073E-2</v>
      </c>
      <c r="AH300" s="849"/>
      <c r="AI300" s="849"/>
      <c r="AJ300" s="851">
        <v>0.38239714459684998</v>
      </c>
      <c r="AK300" s="852" t="s">
        <v>3</v>
      </c>
      <c r="AL300" s="849">
        <v>0.22070321728213405</v>
      </c>
      <c r="AM300" s="849">
        <v>0.28253292678314551</v>
      </c>
      <c r="AN300" s="849">
        <v>0.42455471319365484</v>
      </c>
      <c r="AO300" s="849">
        <v>0.37981051715587805</v>
      </c>
      <c r="AP300" s="849">
        <v>0.39146714081897566</v>
      </c>
      <c r="AQ300" s="849">
        <v>0.43375661473692517</v>
      </c>
      <c r="AR300" s="849">
        <v>0.33311310437832542</v>
      </c>
      <c r="AS300" s="849">
        <v>0.3913658883826473</v>
      </c>
      <c r="AT300" s="849">
        <v>0.37398213123809387</v>
      </c>
      <c r="AU300" s="876"/>
      <c r="AV300" s="874" t="s">
        <v>3</v>
      </c>
      <c r="AW300" s="849">
        <v>0.36239495651810061</v>
      </c>
      <c r="AX300" s="849">
        <v>0.44305694305694304</v>
      </c>
      <c r="AY300" s="849">
        <v>3.0277861582453984E-2</v>
      </c>
      <c r="AZ300" s="849">
        <v>0.53530479322981073</v>
      </c>
      <c r="BA300" s="849">
        <v>0.37796122654787906</v>
      </c>
    </row>
    <row r="301" spans="1:53" s="947" customFormat="1" x14ac:dyDescent="0.25">
      <c r="A301" s="1040" t="s">
        <v>6</v>
      </c>
      <c r="B301" s="854" t="s">
        <v>7</v>
      </c>
      <c r="C301" s="840">
        <v>5644</v>
      </c>
      <c r="D301" s="840">
        <v>3620</v>
      </c>
      <c r="E301" s="840">
        <v>3591</v>
      </c>
      <c r="F301" s="840">
        <v>8710</v>
      </c>
      <c r="G301" s="840">
        <v>8432</v>
      </c>
      <c r="H301" s="840">
        <v>15702</v>
      </c>
      <c r="I301" s="840">
        <v>8137</v>
      </c>
      <c r="J301" s="840">
        <v>9599</v>
      </c>
      <c r="K301" s="840">
        <v>7072</v>
      </c>
      <c r="L301" s="840">
        <v>9334</v>
      </c>
      <c r="M301" s="840">
        <v>7730</v>
      </c>
      <c r="N301" s="840">
        <v>11924</v>
      </c>
      <c r="O301" s="840">
        <v>4357</v>
      </c>
      <c r="P301" s="840">
        <v>10340</v>
      </c>
      <c r="Q301" s="840">
        <v>4799</v>
      </c>
      <c r="R301" s="840">
        <v>9711</v>
      </c>
      <c r="S301" s="840">
        <v>11664</v>
      </c>
      <c r="T301" s="855">
        <v>2480</v>
      </c>
      <c r="U301" s="855">
        <v>1570</v>
      </c>
      <c r="V301" s="840">
        <v>3999</v>
      </c>
      <c r="W301" s="840">
        <v>7999</v>
      </c>
      <c r="X301" s="840">
        <v>3999</v>
      </c>
      <c r="Y301" s="840">
        <v>7999</v>
      </c>
      <c r="Z301" s="840">
        <v>3999</v>
      </c>
      <c r="AA301" s="840">
        <v>7999</v>
      </c>
      <c r="AB301" s="840">
        <v>11999</v>
      </c>
      <c r="AC301" s="840">
        <v>6400</v>
      </c>
      <c r="AD301" s="840">
        <v>6399</v>
      </c>
      <c r="AE301" s="840">
        <v>6399</v>
      </c>
      <c r="AF301" s="840">
        <v>4800</v>
      </c>
      <c r="AG301" s="840">
        <v>4800</v>
      </c>
      <c r="AH301" s="840"/>
      <c r="AI301" s="840"/>
      <c r="AJ301" s="840">
        <v>221207</v>
      </c>
      <c r="AK301" s="856" t="s">
        <v>7</v>
      </c>
      <c r="AL301" s="858">
        <v>12043</v>
      </c>
      <c r="AM301" s="858">
        <v>8420</v>
      </c>
      <c r="AN301" s="858">
        <v>40145</v>
      </c>
      <c r="AO301" s="858">
        <v>57628</v>
      </c>
      <c r="AP301" s="858">
        <v>49717</v>
      </c>
      <c r="AQ301" s="858">
        <v>49204</v>
      </c>
      <c r="AR301" s="858">
        <v>4050</v>
      </c>
      <c r="AS301" s="858">
        <v>115252</v>
      </c>
      <c r="AT301" s="858">
        <v>105955</v>
      </c>
      <c r="AU301" s="880" t="s">
        <v>190</v>
      </c>
      <c r="AV301" s="879" t="s">
        <v>4</v>
      </c>
      <c r="AW301" s="857">
        <v>9191.7999999999993</v>
      </c>
      <c r="AX301" s="857">
        <v>13787.7</v>
      </c>
      <c r="AY301" s="857">
        <v>8804.7999999999993</v>
      </c>
      <c r="AZ301" s="857">
        <v>13787.7</v>
      </c>
      <c r="BA301" s="857">
        <v>8804.7999999999993</v>
      </c>
    </row>
    <row r="302" spans="1:53" s="947" customFormat="1" x14ac:dyDescent="0.25">
      <c r="A302" s="1040"/>
      <c r="B302" s="839" t="s">
        <v>11</v>
      </c>
      <c r="C302" s="858">
        <v>190298.74799999999</v>
      </c>
      <c r="D302" s="858">
        <v>122055.54</v>
      </c>
      <c r="E302" s="858">
        <v>121077.74699999999</v>
      </c>
      <c r="F302" s="858">
        <v>293675.07</v>
      </c>
      <c r="G302" s="858">
        <v>284301.74400000001</v>
      </c>
      <c r="H302" s="858">
        <v>529424.33400000003</v>
      </c>
      <c r="I302" s="858">
        <v>274355.22899999999</v>
      </c>
      <c r="J302" s="858">
        <v>323649.48300000001</v>
      </c>
      <c r="K302" s="858">
        <v>238446.62399999998</v>
      </c>
      <c r="L302" s="858">
        <v>314714.478</v>
      </c>
      <c r="M302" s="858">
        <v>260632.41</v>
      </c>
      <c r="N302" s="858">
        <v>402041.50799999997</v>
      </c>
      <c r="O302" s="858">
        <v>146904.96899999998</v>
      </c>
      <c r="P302" s="858">
        <v>348633.77999999997</v>
      </c>
      <c r="Q302" s="858">
        <v>161807.883</v>
      </c>
      <c r="R302" s="858">
        <v>327425.78700000001</v>
      </c>
      <c r="S302" s="858">
        <v>393275.08799999999</v>
      </c>
      <c r="T302" s="858">
        <v>83618.16</v>
      </c>
      <c r="U302" s="858">
        <v>52935.689999999995</v>
      </c>
      <c r="V302" s="858">
        <v>134834.283</v>
      </c>
      <c r="W302" s="858">
        <v>269702.283</v>
      </c>
      <c r="X302" s="858">
        <v>134834.283</v>
      </c>
      <c r="Y302" s="858">
        <v>269702.283</v>
      </c>
      <c r="Z302" s="858">
        <v>134834.283</v>
      </c>
      <c r="AA302" s="858">
        <v>269702.283</v>
      </c>
      <c r="AB302" s="858">
        <v>404570.283</v>
      </c>
      <c r="AC302" s="858">
        <v>215788.79999999999</v>
      </c>
      <c r="AD302" s="858">
        <v>215755.08299999998</v>
      </c>
      <c r="AE302" s="858">
        <v>215755.08299999998</v>
      </c>
      <c r="AF302" s="858">
        <v>161841.60000000001</v>
      </c>
      <c r="AG302" s="858">
        <v>161841.60000000001</v>
      </c>
      <c r="AH302" s="858"/>
      <c r="AI302" s="858"/>
      <c r="AJ302" s="859">
        <v>7458436.4189999979</v>
      </c>
      <c r="AK302" s="841" t="s">
        <v>11</v>
      </c>
      <c r="AL302" s="858">
        <v>406053.83100000001</v>
      </c>
      <c r="AM302" s="858">
        <v>283897.14</v>
      </c>
      <c r="AN302" s="858">
        <v>1353568.9649999999</v>
      </c>
      <c r="AO302" s="858">
        <v>1943043.2759999998</v>
      </c>
      <c r="AP302" s="858">
        <v>1676308.0889999999</v>
      </c>
      <c r="AQ302" s="858">
        <v>1659011.2679999999</v>
      </c>
      <c r="AR302" s="858">
        <v>136553.85</v>
      </c>
      <c r="AS302" s="858">
        <v>3885951.6839999999</v>
      </c>
      <c r="AT302" s="858">
        <v>3572484.7349999999</v>
      </c>
      <c r="AU302" s="876"/>
      <c r="AV302" s="873" t="s">
        <v>5</v>
      </c>
      <c r="AW302" s="583">
        <v>7975.5</v>
      </c>
      <c r="AX302" s="583">
        <v>13649</v>
      </c>
      <c r="AY302" s="583">
        <v>1289.9000000000001</v>
      </c>
      <c r="AZ302" s="583">
        <v>13642</v>
      </c>
      <c r="BA302" s="583">
        <v>5483.9</v>
      </c>
    </row>
    <row r="303" spans="1:53" s="947" customFormat="1" x14ac:dyDescent="0.25">
      <c r="A303" s="1040"/>
      <c r="B303" s="839" t="s">
        <v>79</v>
      </c>
      <c r="C303" s="858">
        <v>164000</v>
      </c>
      <c r="D303" s="858">
        <v>109880</v>
      </c>
      <c r="E303" s="858">
        <v>109880</v>
      </c>
      <c r="F303" s="858">
        <v>328000</v>
      </c>
      <c r="G303" s="858">
        <v>330905</v>
      </c>
      <c r="H303" s="858">
        <v>264264</v>
      </c>
      <c r="I303" s="858">
        <v>242663.6</v>
      </c>
      <c r="J303" s="858">
        <v>328000</v>
      </c>
      <c r="K303" s="858">
        <v>328000</v>
      </c>
      <c r="L303" s="858">
        <v>328000</v>
      </c>
      <c r="M303" s="858">
        <v>328000</v>
      </c>
      <c r="N303" s="858">
        <v>264264.40000000002</v>
      </c>
      <c r="O303" s="858">
        <v>328000</v>
      </c>
      <c r="P303" s="858">
        <v>352965.4</v>
      </c>
      <c r="Q303" s="858">
        <v>328000</v>
      </c>
      <c r="R303" s="858">
        <v>328000</v>
      </c>
      <c r="S303" s="858">
        <v>328000</v>
      </c>
      <c r="T303" s="858">
        <v>110302</v>
      </c>
      <c r="U303" s="858">
        <v>66181</v>
      </c>
      <c r="V303" s="858">
        <v>204393</v>
      </c>
      <c r="W303" s="858">
        <v>418993</v>
      </c>
      <c r="X303" s="858">
        <v>204393</v>
      </c>
      <c r="Y303" s="858">
        <v>418993</v>
      </c>
      <c r="Z303" s="858">
        <v>204393</v>
      </c>
      <c r="AA303" s="858">
        <v>418993</v>
      </c>
      <c r="AB303" s="858">
        <v>657390.4</v>
      </c>
      <c r="AC303" s="858">
        <v>381742.4</v>
      </c>
      <c r="AD303" s="858">
        <v>448142.4</v>
      </c>
      <c r="AE303" s="858">
        <v>448142.4</v>
      </c>
      <c r="AF303" s="858">
        <v>312388.2</v>
      </c>
      <c r="AG303" s="858">
        <v>312388.2</v>
      </c>
      <c r="AH303" s="858"/>
      <c r="AI303" s="858"/>
      <c r="AJ303" s="859">
        <v>9397657.4000000004</v>
      </c>
      <c r="AK303" s="841" t="s">
        <v>79</v>
      </c>
      <c r="AL303" s="858">
        <v>948179.2</v>
      </c>
      <c r="AM303" s="858">
        <v>613421.60000000009</v>
      </c>
      <c r="AN303" s="858">
        <v>2039292.4</v>
      </c>
      <c r="AO303" s="858">
        <v>2696877.4000000004</v>
      </c>
      <c r="AP303" s="858">
        <v>2826208.6</v>
      </c>
      <c r="AQ303" s="858">
        <v>2310031.4</v>
      </c>
      <c r="AR303" s="858">
        <v>176483</v>
      </c>
      <c r="AS303" s="858">
        <v>5620330.4000000004</v>
      </c>
      <c r="AT303" s="858">
        <v>5990163.1999999993</v>
      </c>
      <c r="AU303" s="877"/>
      <c r="AV303" s="874" t="s">
        <v>3</v>
      </c>
      <c r="AW303" s="849">
        <v>0.86767553689157739</v>
      </c>
      <c r="AX303" s="849">
        <v>0.98994030911609621</v>
      </c>
      <c r="AY303" s="849">
        <v>0.14649963656187537</v>
      </c>
      <c r="AZ303" s="849">
        <v>0.98943261022505558</v>
      </c>
      <c r="BA303" s="849">
        <v>0.62283072869343992</v>
      </c>
    </row>
    <row r="304" spans="1:53" s="947" customFormat="1" x14ac:dyDescent="0.25">
      <c r="A304" s="1040"/>
      <c r="B304" s="844" t="s">
        <v>8</v>
      </c>
      <c r="C304" s="861">
        <v>5295</v>
      </c>
      <c r="D304" s="861">
        <v>2946</v>
      </c>
      <c r="E304" s="861">
        <v>2811</v>
      </c>
      <c r="F304" s="861">
        <v>6456</v>
      </c>
      <c r="G304" s="861">
        <v>3366</v>
      </c>
      <c r="H304" s="861">
        <v>13620</v>
      </c>
      <c r="I304" s="861">
        <v>6656</v>
      </c>
      <c r="J304" s="861">
        <v>1380</v>
      </c>
      <c r="K304" s="861">
        <v>6054</v>
      </c>
      <c r="L304" s="861">
        <v>6817</v>
      </c>
      <c r="M304" s="861">
        <v>6204</v>
      </c>
      <c r="N304" s="861">
        <v>10872</v>
      </c>
      <c r="O304" s="861">
        <v>3436</v>
      </c>
      <c r="P304" s="861">
        <v>7621</v>
      </c>
      <c r="Q304" s="861">
        <v>1828</v>
      </c>
      <c r="R304" s="861">
        <v>4673</v>
      </c>
      <c r="S304" s="861">
        <v>10109</v>
      </c>
      <c r="T304" s="598">
        <v>1888</v>
      </c>
      <c r="U304" s="598">
        <v>1197</v>
      </c>
      <c r="V304" s="861">
        <v>1858</v>
      </c>
      <c r="W304" s="861">
        <v>2490</v>
      </c>
      <c r="X304" s="861">
        <v>1196</v>
      </c>
      <c r="Y304" s="861">
        <v>1504</v>
      </c>
      <c r="Z304" s="861">
        <v>561</v>
      </c>
      <c r="AA304" s="861">
        <v>1113</v>
      </c>
      <c r="AB304" s="861">
        <v>3109</v>
      </c>
      <c r="AC304" s="861">
        <v>0</v>
      </c>
      <c r="AD304" s="861">
        <v>690</v>
      </c>
      <c r="AE304" s="861">
        <v>151</v>
      </c>
      <c r="AF304" s="861">
        <v>67</v>
      </c>
      <c r="AG304" s="861">
        <v>67</v>
      </c>
      <c r="AH304" s="861"/>
      <c r="AI304" s="861"/>
      <c r="AJ304" s="840">
        <v>116035</v>
      </c>
      <c r="AK304" s="846" t="s">
        <v>8</v>
      </c>
      <c r="AL304" s="858">
        <v>5446</v>
      </c>
      <c r="AM304" s="858">
        <v>3013</v>
      </c>
      <c r="AN304" s="858">
        <v>27583</v>
      </c>
      <c r="AO304" s="858">
        <v>24581</v>
      </c>
      <c r="AP304" s="858">
        <v>30294</v>
      </c>
      <c r="AQ304" s="858">
        <v>22033</v>
      </c>
      <c r="AR304" s="858">
        <v>3085</v>
      </c>
      <c r="AS304" s="858">
        <v>49627</v>
      </c>
      <c r="AT304" s="858">
        <v>66408</v>
      </c>
      <c r="AU304" s="877" t="s">
        <v>191</v>
      </c>
      <c r="AV304" s="839" t="s">
        <v>4</v>
      </c>
      <c r="AW304" s="840">
        <v>97433.600000000006</v>
      </c>
      <c r="AX304" s="840">
        <v>243584.4</v>
      </c>
      <c r="AY304" s="840">
        <v>132070.29999999999</v>
      </c>
      <c r="AZ304" s="840">
        <v>292299.3</v>
      </c>
      <c r="BA304" s="840">
        <v>132070.39999999999</v>
      </c>
    </row>
    <row r="305" spans="1:53" s="947" customFormat="1" x14ac:dyDescent="0.25">
      <c r="A305" s="1040"/>
      <c r="B305" s="839" t="s">
        <v>77</v>
      </c>
      <c r="C305" s="858">
        <v>178531.51499999998</v>
      </c>
      <c r="D305" s="858">
        <v>99330.281999999992</v>
      </c>
      <c r="E305" s="858">
        <v>94778.486999999994</v>
      </c>
      <c r="F305" s="858">
        <v>217676.95199999999</v>
      </c>
      <c r="G305" s="858">
        <v>113491.42199999999</v>
      </c>
      <c r="H305" s="858">
        <v>459225.54</v>
      </c>
      <c r="I305" s="858">
        <v>224420.35199999998</v>
      </c>
      <c r="J305" s="858">
        <v>46529.46</v>
      </c>
      <c r="K305" s="858">
        <v>204122.71799999999</v>
      </c>
      <c r="L305" s="858">
        <v>229848.78899999999</v>
      </c>
      <c r="M305" s="858">
        <v>209180.26799999998</v>
      </c>
      <c r="N305" s="858">
        <v>366571.22399999999</v>
      </c>
      <c r="O305" s="858">
        <v>115851.61199999999</v>
      </c>
      <c r="P305" s="858">
        <v>168821.01899999997</v>
      </c>
      <c r="Q305" s="858">
        <v>61634.675999999999</v>
      </c>
      <c r="R305" s="858">
        <v>157559.541</v>
      </c>
      <c r="S305" s="858">
        <v>340845.15299999999</v>
      </c>
      <c r="T305" s="863">
        <v>63657.695999999996</v>
      </c>
      <c r="U305" s="863">
        <v>40359.248999999996</v>
      </c>
      <c r="V305" s="863">
        <v>62646.185999999994</v>
      </c>
      <c r="W305" s="863">
        <v>83955.33</v>
      </c>
      <c r="X305" s="863">
        <v>40325.531999999999</v>
      </c>
      <c r="Y305" s="863">
        <v>50710.367999999995</v>
      </c>
      <c r="Z305" s="863">
        <v>18915.237000000001</v>
      </c>
      <c r="AA305" s="863">
        <v>37527.021000000001</v>
      </c>
      <c r="AB305" s="863">
        <v>104826.15299999999</v>
      </c>
      <c r="AC305" s="863">
        <v>0</v>
      </c>
      <c r="AD305" s="863">
        <v>23264.73</v>
      </c>
      <c r="AE305" s="863">
        <v>5091.2669999999998</v>
      </c>
      <c r="AF305" s="863">
        <v>2259.0389999999998</v>
      </c>
      <c r="AG305" s="863">
        <v>2259.0389999999998</v>
      </c>
      <c r="AH305" s="863"/>
      <c r="AI305" s="863"/>
      <c r="AJ305" s="864">
        <v>3824215.8570000003</v>
      </c>
      <c r="AK305" s="841" t="s">
        <v>77</v>
      </c>
      <c r="AL305" s="858">
        <v>183622.78200000001</v>
      </c>
      <c r="AM305" s="858">
        <v>101589.321</v>
      </c>
      <c r="AN305" s="858">
        <v>930016.01099999994</v>
      </c>
      <c r="AO305" s="858">
        <v>828797.57699999993</v>
      </c>
      <c r="AP305" s="858">
        <v>1021422.798</v>
      </c>
      <c r="AQ305" s="858">
        <v>742886.66099999996</v>
      </c>
      <c r="AR305" s="858">
        <v>104016.94499999999</v>
      </c>
      <c r="AS305" s="858">
        <v>1673273.5589999999</v>
      </c>
      <c r="AT305" s="858">
        <v>2239078.5359999998</v>
      </c>
      <c r="AU305" s="962"/>
      <c r="AV305" s="844" t="s">
        <v>5</v>
      </c>
      <c r="AW305" s="583">
        <v>38973.199999999997</v>
      </c>
      <c r="AX305" s="583">
        <v>124350.5</v>
      </c>
      <c r="AY305" s="583">
        <v>3817.1</v>
      </c>
      <c r="AZ305" s="583">
        <v>109009</v>
      </c>
      <c r="BA305" s="583">
        <v>33401</v>
      </c>
    </row>
    <row r="306" spans="1:53" s="947" customFormat="1" x14ac:dyDescent="0.25">
      <c r="A306" s="1040"/>
      <c r="B306" s="848" t="s">
        <v>217</v>
      </c>
      <c r="C306" s="849">
        <v>0.71407350419009152</v>
      </c>
      <c r="D306" s="849">
        <v>0.6599286457914636</v>
      </c>
      <c r="E306" s="866">
        <v>0.6296875164018344</v>
      </c>
      <c r="F306" s="866">
        <v>1.1960350947368883</v>
      </c>
      <c r="G306" s="866">
        <v>0.68464961086642162</v>
      </c>
      <c r="H306" s="866">
        <v>1.1789978049062271</v>
      </c>
      <c r="I306" s="866">
        <v>1.3049553686426263</v>
      </c>
      <c r="J306" s="866">
        <v>0.2801663073977288</v>
      </c>
      <c r="K306" s="866">
        <v>1.6458961031840231</v>
      </c>
      <c r="L306" s="866">
        <v>1.0257846122125467</v>
      </c>
      <c r="M306" s="866">
        <v>1.0836721924310893</v>
      </c>
      <c r="N306" s="866">
        <v>0.83650063358601467</v>
      </c>
      <c r="O306" s="866">
        <v>1.3951503634445583</v>
      </c>
      <c r="P306" s="866">
        <v>0.61138150308694716</v>
      </c>
      <c r="Q306" s="866">
        <v>0.74223948322952638</v>
      </c>
      <c r="R306" s="866">
        <v>0.82225770307830881</v>
      </c>
      <c r="S306" s="866">
        <v>1.2995027734684921</v>
      </c>
      <c r="T306" s="849">
        <v>1.1542437308480353</v>
      </c>
      <c r="U306" s="849">
        <v>1.2196627128632083</v>
      </c>
      <c r="V306" s="849">
        <v>0.61299737270845867</v>
      </c>
      <c r="W306" s="849">
        <v>0.40074812705701529</v>
      </c>
      <c r="X306" s="849">
        <v>0.39458819039790988</v>
      </c>
      <c r="Y306" s="849">
        <v>0.24205830646335377</v>
      </c>
      <c r="Z306" s="849">
        <v>0.18508693546256477</v>
      </c>
      <c r="AA306" s="849">
        <v>0.1791295845037984</v>
      </c>
      <c r="AB306" s="849">
        <v>0.31891598356167045</v>
      </c>
      <c r="AC306" s="849">
        <v>0</v>
      </c>
      <c r="AD306" s="849">
        <v>0.10382739950515728</v>
      </c>
      <c r="AE306" s="849">
        <v>2.2721648297505434E-2</v>
      </c>
      <c r="AF306" s="849">
        <v>1.4463023891427396E-2</v>
      </c>
      <c r="AG306" s="849">
        <v>1.4463023891427396E-2</v>
      </c>
      <c r="AH306" s="849"/>
      <c r="AI306" s="849"/>
      <c r="AJ306" s="851">
        <v>0.65875164118776153</v>
      </c>
      <c r="AK306" s="852" t="s">
        <v>217</v>
      </c>
      <c r="AL306" s="849">
        <v>0.38731662116190696</v>
      </c>
      <c r="AM306" s="849">
        <v>0.33122185785436958</v>
      </c>
      <c r="AN306" s="849">
        <v>0.91209677533246336</v>
      </c>
      <c r="AO306" s="849">
        <v>0.61463496783353955</v>
      </c>
      <c r="AP306" s="849">
        <v>0.72282194456559212</v>
      </c>
      <c r="AQ306" s="849">
        <v>0.64318317144953097</v>
      </c>
      <c r="AR306" s="849">
        <v>1.1787758027685384</v>
      </c>
      <c r="AS306" s="849">
        <v>0.59543601173340266</v>
      </c>
      <c r="AT306" s="849">
        <v>0.74758515293873795</v>
      </c>
      <c r="AU306" s="962"/>
      <c r="AV306" s="848" t="s">
        <v>3</v>
      </c>
      <c r="AW306" s="849">
        <v>0.39999753678402516</v>
      </c>
      <c r="AX306" s="849">
        <v>0.51050272513346506</v>
      </c>
      <c r="AY306" s="849">
        <v>2.8902031720984961E-2</v>
      </c>
      <c r="AZ306" s="849">
        <v>0.37293623351133581</v>
      </c>
      <c r="BA306" s="849">
        <v>0.25290299718937781</v>
      </c>
    </row>
    <row r="307" spans="1:53" s="947" customFormat="1" x14ac:dyDescent="0.25">
      <c r="A307" s="962"/>
      <c r="B307" s="848" t="s">
        <v>218</v>
      </c>
      <c r="C307" s="598">
        <v>168060</v>
      </c>
      <c r="D307" s="598">
        <v>98925.1</v>
      </c>
      <c r="E307" s="598">
        <v>94373.3</v>
      </c>
      <c r="F307" s="598">
        <v>199673</v>
      </c>
      <c r="G307" s="598">
        <v>111205</v>
      </c>
      <c r="H307" s="598">
        <v>444187</v>
      </c>
      <c r="I307" s="598">
        <v>149150</v>
      </c>
      <c r="J307" s="598">
        <v>46570.3</v>
      </c>
      <c r="K307" s="598">
        <v>145705</v>
      </c>
      <c r="L307" s="598">
        <v>230236</v>
      </c>
      <c r="M307" s="598">
        <v>205196</v>
      </c>
      <c r="N307" s="598">
        <v>366652</v>
      </c>
      <c r="O307" s="598">
        <v>115895</v>
      </c>
      <c r="P307" s="598">
        <v>139553</v>
      </c>
      <c r="Q307" s="598">
        <v>61685.9</v>
      </c>
      <c r="R307" s="598">
        <v>143797</v>
      </c>
      <c r="S307" s="598">
        <v>341031</v>
      </c>
      <c r="T307" s="598">
        <v>63657.4</v>
      </c>
      <c r="U307" s="598">
        <v>40359.1</v>
      </c>
      <c r="V307" s="598">
        <v>62679.7</v>
      </c>
      <c r="W307" s="598">
        <v>62679.7</v>
      </c>
      <c r="X307" s="598">
        <v>40382.300000000003</v>
      </c>
      <c r="Y307" s="598">
        <v>40348.5</v>
      </c>
      <c r="Z307" s="598">
        <v>18949</v>
      </c>
      <c r="AA307" s="598">
        <v>18949</v>
      </c>
      <c r="AB307" s="598">
        <v>104894</v>
      </c>
      <c r="AC307" s="598">
        <v>0</v>
      </c>
      <c r="AD307" s="598">
        <v>23301.599999999999</v>
      </c>
      <c r="AE307" s="598">
        <v>5124.95</v>
      </c>
      <c r="AF307" s="598">
        <v>2259.0300000000002</v>
      </c>
      <c r="AG307" s="598">
        <v>2259.0300000000002</v>
      </c>
      <c r="AH307" s="598"/>
      <c r="AI307" s="598"/>
      <c r="AJ307" s="867">
        <v>3547737.91</v>
      </c>
      <c r="AK307" s="852" t="s">
        <v>218</v>
      </c>
      <c r="AL307" s="861">
        <v>173184.95</v>
      </c>
      <c r="AM307" s="861">
        <v>101184.13</v>
      </c>
      <c r="AN307" s="861">
        <v>897397.6</v>
      </c>
      <c r="AO307" s="861">
        <v>671273.63</v>
      </c>
      <c r="AP307" s="861">
        <v>1017773</v>
      </c>
      <c r="AQ307" s="861">
        <v>582908.10000000009</v>
      </c>
      <c r="AR307" s="861">
        <v>104016.5</v>
      </c>
      <c r="AS307" s="861">
        <v>1355365.86</v>
      </c>
      <c r="AT307" s="861">
        <v>2192372.0499999998</v>
      </c>
      <c r="AU307" s="962" t="s">
        <v>219</v>
      </c>
      <c r="AV307" s="848" t="s">
        <v>3</v>
      </c>
      <c r="AW307" s="849">
        <v>0.38119624665106289</v>
      </c>
      <c r="AX307" s="849">
        <v>0.47677983409520408</v>
      </c>
      <c r="AY307" s="849">
        <v>2.9589946651719472E-2</v>
      </c>
      <c r="AZ307" s="849">
        <v>0.45412051337057324</v>
      </c>
      <c r="BA307" s="849">
        <v>0.31543211186862841</v>
      </c>
    </row>
    <row r="308" spans="1:53" s="947" customFormat="1" x14ac:dyDescent="0.25">
      <c r="A308" s="962"/>
      <c r="B308" s="848" t="s">
        <v>216</v>
      </c>
      <c r="C308" s="866">
        <v>0.67219052677722924</v>
      </c>
      <c r="D308" s="866">
        <v>0.65723670529582434</v>
      </c>
      <c r="E308" s="866">
        <v>0.62699554268728985</v>
      </c>
      <c r="F308" s="866">
        <v>1.0971116293074461</v>
      </c>
      <c r="G308" s="866">
        <v>0.67085651615503084</v>
      </c>
      <c r="H308" s="866">
        <v>1.1403884417401573</v>
      </c>
      <c r="I308" s="866">
        <v>0.86727469901235932</v>
      </c>
      <c r="J308" s="866">
        <v>0.28041221594672383</v>
      </c>
      <c r="K308" s="866">
        <v>1.1748584090205387</v>
      </c>
      <c r="L308" s="866">
        <v>1.0275126834684689</v>
      </c>
      <c r="M308" s="866">
        <v>1.0630314289399887</v>
      </c>
      <c r="N308" s="866">
        <v>0.83668496113480917</v>
      </c>
      <c r="O308" s="866">
        <v>1.3956728661782203</v>
      </c>
      <c r="P308" s="866">
        <v>0.50538803405927046</v>
      </c>
      <c r="Q308" s="866">
        <v>0.74285635148870166</v>
      </c>
      <c r="R308" s="866">
        <v>0.75043497955830918</v>
      </c>
      <c r="S308" s="866">
        <v>1.3002113318558275</v>
      </c>
      <c r="T308" s="866">
        <v>1.1542383637649363</v>
      </c>
      <c r="U308" s="866">
        <v>1.2196582100602891</v>
      </c>
      <c r="V308" s="866">
        <v>0.61332530957518117</v>
      </c>
      <c r="W308" s="866">
        <v>0.29919211060805312</v>
      </c>
      <c r="X308" s="866">
        <v>0.39514366930374328</v>
      </c>
      <c r="Y308" s="866">
        <v>0.19259748969553189</v>
      </c>
      <c r="Z308" s="866">
        <v>0.18541730881194562</v>
      </c>
      <c r="AA308" s="866">
        <v>9.0450198452002778E-2</v>
      </c>
      <c r="AB308" s="866">
        <v>0.31912239667631287</v>
      </c>
      <c r="AC308" s="866">
        <v>0</v>
      </c>
      <c r="AD308" s="866">
        <v>0.10399194541734948</v>
      </c>
      <c r="AE308" s="866">
        <v>2.2871971052058449E-2</v>
      </c>
      <c r="AF308" s="866">
        <v>1.4462966270813046E-2</v>
      </c>
      <c r="AG308" s="866">
        <v>1.4462966270813046E-2</v>
      </c>
      <c r="AH308" s="866"/>
      <c r="AI308" s="866"/>
      <c r="AJ308" s="869">
        <v>0.61112611267448624</v>
      </c>
      <c r="AK308" s="852" t="s">
        <v>216</v>
      </c>
      <c r="AL308" s="849">
        <v>0.36530004032992924</v>
      </c>
      <c r="AM308" s="849">
        <v>0.32990077297571518</v>
      </c>
      <c r="AN308" s="849">
        <v>0.88010684490365387</v>
      </c>
      <c r="AO308" s="849">
        <v>0.49781545872274352</v>
      </c>
      <c r="AP308" s="849">
        <v>0.72023912176900173</v>
      </c>
      <c r="AQ308" s="849">
        <v>0.5046754775714305</v>
      </c>
      <c r="AR308" s="849">
        <v>1.1787707597898949</v>
      </c>
      <c r="AS308" s="849">
        <v>0.48230825006302119</v>
      </c>
      <c r="AT308" s="849">
        <v>0.7319907577810234</v>
      </c>
      <c r="AU308" s="962"/>
      <c r="AV308" s="848"/>
      <c r="AW308" s="849"/>
      <c r="AX308" s="849"/>
      <c r="AY308" s="849"/>
      <c r="AZ308" s="849"/>
      <c r="BA308" s="849"/>
    </row>
    <row r="309" spans="1:53" s="947" customFormat="1" x14ac:dyDescent="0.25">
      <c r="A309" s="1041">
        <v>41829</v>
      </c>
      <c r="B309" s="1041"/>
      <c r="C309" s="1041"/>
      <c r="D309" s="529"/>
      <c r="E309" s="529"/>
      <c r="F309" s="529"/>
      <c r="G309" s="529"/>
      <c r="H309" s="529"/>
      <c r="I309" s="525"/>
      <c r="J309" s="531"/>
      <c r="K309" s="531"/>
      <c r="L309" s="529"/>
      <c r="M309" s="529"/>
      <c r="N309" s="527"/>
      <c r="R309" s="526"/>
      <c r="S309" s="534"/>
      <c r="T309" s="534"/>
      <c r="U309" s="534"/>
      <c r="V309" s="534"/>
      <c r="W309" s="534"/>
      <c r="X309" s="534"/>
      <c r="Y309" s="534"/>
      <c r="Z309" s="534"/>
      <c r="AA309" s="534"/>
      <c r="AB309" s="534"/>
      <c r="AC309" s="534"/>
      <c r="AD309" s="534"/>
      <c r="AE309" s="534"/>
      <c r="AF309" s="534"/>
      <c r="AG309" s="534"/>
      <c r="AH309" s="534"/>
      <c r="AI309" s="534"/>
      <c r="AJ309" s="534"/>
      <c r="AK309" s="534"/>
      <c r="AL309" s="534"/>
      <c r="AM309" s="534"/>
      <c r="AN309" s="534"/>
      <c r="AO309" s="534"/>
    </row>
    <row r="310" spans="1:53" s="947" customFormat="1" x14ac:dyDescent="0.25">
      <c r="A310" s="1042" t="s">
        <v>1</v>
      </c>
      <c r="B310" s="1042"/>
      <c r="C310" s="960" t="s">
        <v>12</v>
      </c>
      <c r="D310" s="960" t="s">
        <v>12</v>
      </c>
      <c r="E310" s="960" t="s">
        <v>13</v>
      </c>
      <c r="F310" s="960" t="s">
        <v>13</v>
      </c>
      <c r="G310" s="960" t="s">
        <v>13</v>
      </c>
      <c r="H310" s="960" t="s">
        <v>13</v>
      </c>
      <c r="I310" s="960" t="s">
        <v>13</v>
      </c>
      <c r="J310" s="960" t="s">
        <v>13</v>
      </c>
      <c r="K310" s="960" t="s">
        <v>13</v>
      </c>
      <c r="L310" s="960" t="s">
        <v>13</v>
      </c>
      <c r="M310" s="829" t="s">
        <v>2</v>
      </c>
      <c r="N310" s="960" t="s">
        <v>2</v>
      </c>
      <c r="O310" s="960" t="s">
        <v>2</v>
      </c>
      <c r="P310" s="960" t="s">
        <v>2</v>
      </c>
      <c r="Q310" s="960" t="s">
        <v>2</v>
      </c>
      <c r="R310" s="960" t="s">
        <v>2</v>
      </c>
      <c r="S310" s="960" t="s">
        <v>2</v>
      </c>
      <c r="T310" s="830" t="s">
        <v>183</v>
      </c>
      <c r="U310" s="830" t="s">
        <v>183</v>
      </c>
      <c r="V310" s="830" t="s">
        <v>2</v>
      </c>
      <c r="W310" s="830" t="s">
        <v>13</v>
      </c>
      <c r="X310" s="830" t="s">
        <v>13</v>
      </c>
      <c r="Y310" s="830" t="s">
        <v>2</v>
      </c>
      <c r="Z310" s="830" t="s">
        <v>13</v>
      </c>
      <c r="AA310" s="830" t="s">
        <v>2</v>
      </c>
      <c r="AB310" s="888" t="s">
        <v>2</v>
      </c>
      <c r="AC310" s="888" t="s">
        <v>2</v>
      </c>
      <c r="AD310" s="888" t="s">
        <v>13</v>
      </c>
      <c r="AE310" s="888" t="s">
        <v>12</v>
      </c>
      <c r="AF310" s="888" t="s">
        <v>13</v>
      </c>
      <c r="AG310" s="888" t="s">
        <v>12</v>
      </c>
      <c r="AH310" s="888" t="s">
        <v>13</v>
      </c>
      <c r="AI310" s="888" t="s">
        <v>13</v>
      </c>
      <c r="AJ310" s="831" t="s">
        <v>219</v>
      </c>
      <c r="AK310" s="1042" t="s">
        <v>0</v>
      </c>
      <c r="AL310" s="1042"/>
      <c r="AM310" s="833"/>
      <c r="AN310" s="833"/>
      <c r="AO310" s="833"/>
      <c r="AP310" s="833"/>
      <c r="AQ310" s="833"/>
      <c r="AR310" s="833"/>
      <c r="AS310" s="833"/>
      <c r="AT310" s="833"/>
      <c r="AU310" s="1042" t="s">
        <v>1</v>
      </c>
      <c r="AV310" s="1043"/>
      <c r="AW310" s="960" t="s">
        <v>12</v>
      </c>
      <c r="AX310" s="1044" t="s">
        <v>13</v>
      </c>
      <c r="AY310" s="1045"/>
      <c r="AZ310" s="1044" t="s">
        <v>2</v>
      </c>
      <c r="BA310" s="1045"/>
    </row>
    <row r="311" spans="1:53" s="947" customFormat="1" x14ac:dyDescent="0.25">
      <c r="A311" s="1042" t="s">
        <v>0</v>
      </c>
      <c r="B311" s="1042"/>
      <c r="C311" s="834" t="s">
        <v>99</v>
      </c>
      <c r="D311" s="835" t="s">
        <v>100</v>
      </c>
      <c r="E311" s="835" t="s">
        <v>101</v>
      </c>
      <c r="F311" s="834" t="s">
        <v>102</v>
      </c>
      <c r="G311" s="835" t="s">
        <v>97</v>
      </c>
      <c r="H311" s="834" t="s">
        <v>104</v>
      </c>
      <c r="I311" s="835" t="s">
        <v>103</v>
      </c>
      <c r="J311" s="835" t="s">
        <v>178</v>
      </c>
      <c r="K311" s="835" t="s">
        <v>199</v>
      </c>
      <c r="L311" s="834" t="s">
        <v>206</v>
      </c>
      <c r="M311" s="834" t="s">
        <v>105</v>
      </c>
      <c r="N311" s="834" t="s">
        <v>107</v>
      </c>
      <c r="O311" s="835" t="s">
        <v>98</v>
      </c>
      <c r="P311" s="835" t="s">
        <v>106</v>
      </c>
      <c r="Q311" s="835" t="s">
        <v>179</v>
      </c>
      <c r="R311" s="835" t="s">
        <v>198</v>
      </c>
      <c r="S311" s="834" t="s">
        <v>207</v>
      </c>
      <c r="T311" s="834" t="s">
        <v>182</v>
      </c>
      <c r="U311" s="834" t="s">
        <v>184</v>
      </c>
      <c r="V311" s="835" t="s">
        <v>221</v>
      </c>
      <c r="W311" s="835" t="s">
        <v>222</v>
      </c>
      <c r="X311" s="835" t="s">
        <v>255</v>
      </c>
      <c r="Y311" s="835" t="s">
        <v>256</v>
      </c>
      <c r="Z311" s="835" t="s">
        <v>266</v>
      </c>
      <c r="AA311" s="835" t="s">
        <v>267</v>
      </c>
      <c r="AB311" s="889" t="s">
        <v>268</v>
      </c>
      <c r="AC311" s="889" t="s">
        <v>269</v>
      </c>
      <c r="AD311" s="889" t="s">
        <v>295</v>
      </c>
      <c r="AE311" s="889" t="s">
        <v>290</v>
      </c>
      <c r="AF311" s="946" t="s">
        <v>291</v>
      </c>
      <c r="AG311" s="946" t="s">
        <v>292</v>
      </c>
      <c r="AH311" s="889" t="s">
        <v>293</v>
      </c>
      <c r="AI311" s="889" t="s">
        <v>294</v>
      </c>
      <c r="AJ311" s="836"/>
      <c r="AK311" s="903" t="s">
        <v>1</v>
      </c>
      <c r="AL311" s="838" t="s">
        <v>257</v>
      </c>
      <c r="AM311" s="838" t="s">
        <v>258</v>
      </c>
      <c r="AN311" s="838" t="s">
        <v>259</v>
      </c>
      <c r="AO311" s="838" t="s">
        <v>260</v>
      </c>
      <c r="AP311" s="838" t="s">
        <v>261</v>
      </c>
      <c r="AQ311" s="838" t="s">
        <v>262</v>
      </c>
      <c r="AR311" s="838" t="s">
        <v>263</v>
      </c>
      <c r="AS311" s="904" t="s">
        <v>264</v>
      </c>
      <c r="AT311" s="904" t="s">
        <v>265</v>
      </c>
      <c r="AU311" s="1046" t="s">
        <v>0</v>
      </c>
      <c r="AV311" s="1043"/>
      <c r="AW311" s="834" t="s">
        <v>99</v>
      </c>
      <c r="AX311" s="834" t="s">
        <v>104</v>
      </c>
      <c r="AY311" s="834" t="s">
        <v>206</v>
      </c>
      <c r="AZ311" s="834" t="s">
        <v>107</v>
      </c>
      <c r="BA311" s="834" t="s">
        <v>207</v>
      </c>
    </row>
    <row r="312" spans="1:53" s="947" customFormat="1" x14ac:dyDescent="0.25">
      <c r="A312" s="1047" t="s">
        <v>9</v>
      </c>
      <c r="B312" s="839" t="s">
        <v>4</v>
      </c>
      <c r="C312" s="840">
        <v>250018.4</v>
      </c>
      <c r="D312" s="840">
        <v>150516.70000000001</v>
      </c>
      <c r="E312" s="840">
        <v>150516.70000000001</v>
      </c>
      <c r="F312" s="840">
        <v>181998.8</v>
      </c>
      <c r="G312" s="840">
        <v>165765.70000000001</v>
      </c>
      <c r="H312" s="840">
        <v>389505</v>
      </c>
      <c r="I312" s="840">
        <v>171975.5</v>
      </c>
      <c r="J312" s="840">
        <v>166078</v>
      </c>
      <c r="K312" s="840">
        <v>124019.2</v>
      </c>
      <c r="L312" s="840">
        <v>224071.2</v>
      </c>
      <c r="M312" s="840">
        <v>193029.1</v>
      </c>
      <c r="N312" s="840">
        <v>438219.9</v>
      </c>
      <c r="O312" s="840">
        <v>83038.8</v>
      </c>
      <c r="P312" s="840">
        <v>276130.40000000002</v>
      </c>
      <c r="Q312" s="840">
        <v>83038.8</v>
      </c>
      <c r="R312" s="840">
        <v>191618.2</v>
      </c>
      <c r="S312" s="840">
        <v>262288.90000000002</v>
      </c>
      <c r="T312" s="840">
        <v>55151</v>
      </c>
      <c r="U312" s="840">
        <v>33090.5</v>
      </c>
      <c r="V312" s="840">
        <v>102196.5</v>
      </c>
      <c r="W312" s="840">
        <v>209496.5</v>
      </c>
      <c r="X312" s="840">
        <v>102196.5</v>
      </c>
      <c r="Y312" s="840">
        <v>209496.5</v>
      </c>
      <c r="Z312" s="840">
        <v>102196.5</v>
      </c>
      <c r="AA312" s="840">
        <v>209496.5</v>
      </c>
      <c r="AB312" s="840">
        <v>328695.2</v>
      </c>
      <c r="AC312" s="901">
        <v>190871.2</v>
      </c>
      <c r="AD312" s="901">
        <v>224071.2</v>
      </c>
      <c r="AE312" s="901">
        <v>224071.2</v>
      </c>
      <c r="AF312" s="901">
        <v>156194.1</v>
      </c>
      <c r="AG312" s="901">
        <v>156194.1</v>
      </c>
      <c r="AH312" s="901"/>
      <c r="AI312" s="901"/>
      <c r="AJ312" s="840">
        <v>5805246.7999999989</v>
      </c>
      <c r="AK312" s="841" t="s">
        <v>4</v>
      </c>
      <c r="AL312" s="863">
        <v>474089.6</v>
      </c>
      <c r="AM312" s="863">
        <v>306710.80000000005</v>
      </c>
      <c r="AN312" s="863">
        <v>1019646.2</v>
      </c>
      <c r="AO312" s="863">
        <v>1348438.7000000002</v>
      </c>
      <c r="AP312" s="863">
        <v>1413104.3</v>
      </c>
      <c r="AQ312" s="863">
        <v>1155015.7</v>
      </c>
      <c r="AR312" s="863">
        <v>88241.5</v>
      </c>
      <c r="AS312" s="863">
        <v>2810165.2</v>
      </c>
      <c r="AT312" s="863">
        <v>2995081.5999999996</v>
      </c>
      <c r="AU312" s="875" t="s">
        <v>194</v>
      </c>
      <c r="AV312" s="872" t="s">
        <v>4</v>
      </c>
      <c r="AW312" s="840">
        <v>143393</v>
      </c>
      <c r="AX312" s="840">
        <v>132132</v>
      </c>
      <c r="AY312" s="840">
        <v>83196.100000000006</v>
      </c>
      <c r="AZ312" s="840">
        <v>132132.20000000001</v>
      </c>
      <c r="BA312" s="840">
        <v>83196.100000000006</v>
      </c>
    </row>
    <row r="313" spans="1:53" s="947" customFormat="1" x14ac:dyDescent="0.25">
      <c r="A313" s="1047"/>
      <c r="B313" s="844" t="s">
        <v>5</v>
      </c>
      <c r="C313" s="583">
        <v>103387.2</v>
      </c>
      <c r="D313" s="583">
        <v>84700.4</v>
      </c>
      <c r="E313" s="583">
        <v>85409.7</v>
      </c>
      <c r="F313" s="583">
        <v>138052.70000000001</v>
      </c>
      <c r="G313" s="583">
        <v>116316.4</v>
      </c>
      <c r="H313" s="583">
        <v>216612.7</v>
      </c>
      <c r="I313" s="583">
        <v>122858</v>
      </c>
      <c r="J313" s="583">
        <v>50477.5</v>
      </c>
      <c r="K313" s="583">
        <v>84661.5</v>
      </c>
      <c r="L313" s="583">
        <v>78911.100000000006</v>
      </c>
      <c r="M313" s="583">
        <v>135578.5</v>
      </c>
      <c r="N313" s="583">
        <v>212616.5</v>
      </c>
      <c r="O313" s="583">
        <v>58695.6</v>
      </c>
      <c r="P313" s="583">
        <v>227371.9</v>
      </c>
      <c r="Q313" s="583">
        <v>26096.7</v>
      </c>
      <c r="R313" s="583">
        <v>134126.70000000001</v>
      </c>
      <c r="S313" s="583">
        <v>174837.6</v>
      </c>
      <c r="T313" s="583">
        <v>16593.7</v>
      </c>
      <c r="U313" s="583">
        <v>10226.6</v>
      </c>
      <c r="V313" s="583">
        <v>14902.4</v>
      </c>
      <c r="W313" s="583">
        <v>29804.6</v>
      </c>
      <c r="X313" s="583">
        <v>15779.1</v>
      </c>
      <c r="Y313" s="583">
        <v>31481.200000000001</v>
      </c>
      <c r="Z313" s="583">
        <v>3.1</v>
      </c>
      <c r="AA313" s="583">
        <v>6</v>
      </c>
      <c r="AB313" s="583">
        <v>23409.7</v>
      </c>
      <c r="AC313" s="583">
        <v>4.9000000000000004</v>
      </c>
      <c r="AD313" s="583">
        <v>4.9000000000000004</v>
      </c>
      <c r="AE313" s="583">
        <v>291.8</v>
      </c>
      <c r="AF313" s="583">
        <v>577.4</v>
      </c>
      <c r="AG313" s="583">
        <v>577.4</v>
      </c>
      <c r="AH313" s="583"/>
      <c r="AI313" s="583"/>
      <c r="AJ313" s="845">
        <v>2194373.5</v>
      </c>
      <c r="AK313" s="846" t="s">
        <v>5</v>
      </c>
      <c r="AL313" s="863">
        <v>103679</v>
      </c>
      <c r="AM313" s="863">
        <v>85277.799999999988</v>
      </c>
      <c r="AN313" s="863">
        <v>433581.4</v>
      </c>
      <c r="AO313" s="863">
        <v>505887.29999999993</v>
      </c>
      <c r="AP313" s="863">
        <v>546447.19999999995</v>
      </c>
      <c r="AQ313" s="863">
        <v>492680.50000000006</v>
      </c>
      <c r="AR313" s="863">
        <v>26820.300000000003</v>
      </c>
      <c r="AS313" s="863">
        <v>1083845.5999999999</v>
      </c>
      <c r="AT313" s="863">
        <v>1110527.9000000001</v>
      </c>
      <c r="AU313" s="876"/>
      <c r="AV313" s="873" t="s">
        <v>5</v>
      </c>
      <c r="AW313" s="583">
        <v>51964.9</v>
      </c>
      <c r="AX313" s="583">
        <v>58542</v>
      </c>
      <c r="AY313" s="583">
        <v>2519</v>
      </c>
      <c r="AZ313" s="583">
        <v>70731</v>
      </c>
      <c r="BA313" s="583">
        <v>31444.9</v>
      </c>
    </row>
    <row r="314" spans="1:53" s="947" customFormat="1" x14ac:dyDescent="0.25">
      <c r="A314" s="1047"/>
      <c r="B314" s="848" t="s">
        <v>3</v>
      </c>
      <c r="C314" s="849">
        <v>0.41351836504833245</v>
      </c>
      <c r="D314" s="849">
        <v>0.56273091291531097</v>
      </c>
      <c r="E314" s="849">
        <v>0.56744334681799424</v>
      </c>
      <c r="F314" s="850">
        <v>0.75853632001969251</v>
      </c>
      <c r="G314" s="849">
        <v>0.70169160447547341</v>
      </c>
      <c r="H314" s="849">
        <v>0.55612302794572599</v>
      </c>
      <c r="I314" s="849">
        <v>0.71439245706510524</v>
      </c>
      <c r="J314" s="849">
        <v>0.303938510820217</v>
      </c>
      <c r="K314" s="849">
        <v>0.68264833187119411</v>
      </c>
      <c r="L314" s="849">
        <v>0.3521697567558883</v>
      </c>
      <c r="M314" s="850">
        <v>0.70237337271945011</v>
      </c>
      <c r="N314" s="849">
        <v>0.4851822110314935</v>
      </c>
      <c r="O314" s="849">
        <v>0.70684547464558733</v>
      </c>
      <c r="P314" s="849">
        <v>0.82342219473118483</v>
      </c>
      <c r="Q314" s="849">
        <v>0.31427115998786109</v>
      </c>
      <c r="R314" s="849">
        <v>0.6999684789858166</v>
      </c>
      <c r="S314" s="849">
        <v>0.66658406055307717</v>
      </c>
      <c r="T314" s="849">
        <v>0.30087759061485742</v>
      </c>
      <c r="U314" s="849">
        <v>0.30904942506157357</v>
      </c>
      <c r="V314" s="849">
        <v>0.14582104083799347</v>
      </c>
      <c r="W314" s="849">
        <v>0.14226777058327944</v>
      </c>
      <c r="X314" s="849">
        <v>0.15439961251119169</v>
      </c>
      <c r="Y314" s="849">
        <v>0.15027076824672489</v>
      </c>
      <c r="Z314" s="849">
        <v>3.0333719843634569E-5</v>
      </c>
      <c r="AA314" s="849">
        <v>2.8640096612592574E-5</v>
      </c>
      <c r="AB314" s="849">
        <v>7.1220084747206536E-2</v>
      </c>
      <c r="AC314" s="849">
        <v>2.5671761900171424E-5</v>
      </c>
      <c r="AD314" s="849">
        <v>2.1868049084398175E-5</v>
      </c>
      <c r="AE314" s="849">
        <v>1.3022646373117117E-3</v>
      </c>
      <c r="AF314" s="849">
        <v>3.6966825251401937E-3</v>
      </c>
      <c r="AG314" s="849">
        <v>3.6966825251401937E-3</v>
      </c>
      <c r="AH314" s="849"/>
      <c r="AI314" s="849"/>
      <c r="AJ314" s="851">
        <v>0.37799831352561969</v>
      </c>
      <c r="AK314" s="852" t="s">
        <v>3</v>
      </c>
      <c r="AL314" s="849">
        <v>0.21869072850364152</v>
      </c>
      <c r="AM314" s="849">
        <v>0.27803976905932226</v>
      </c>
      <c r="AN314" s="849">
        <v>0.42522729942993959</v>
      </c>
      <c r="AO314" s="849">
        <v>0.37516521885644477</v>
      </c>
      <c r="AP314" s="849">
        <v>0.38669983524924517</v>
      </c>
      <c r="AQ314" s="849">
        <v>0.42655740523700247</v>
      </c>
      <c r="AR314" s="849">
        <v>0.30394202274440035</v>
      </c>
      <c r="AS314" s="849">
        <v>0.38568750335389529</v>
      </c>
      <c r="AT314" s="849">
        <v>0.37078385443655365</v>
      </c>
      <c r="AU314" s="876"/>
      <c r="AV314" s="874" t="s">
        <v>3</v>
      </c>
      <c r="AW314" s="849">
        <v>0.36239495651810061</v>
      </c>
      <c r="AX314" s="849">
        <v>0.44305694305694304</v>
      </c>
      <c r="AY314" s="849">
        <v>3.0277861582453984E-2</v>
      </c>
      <c r="AZ314" s="849">
        <v>0.53530479322981073</v>
      </c>
      <c r="BA314" s="849">
        <v>0.37796122654787906</v>
      </c>
    </row>
    <row r="315" spans="1:53" s="947" customFormat="1" x14ac:dyDescent="0.25">
      <c r="A315" s="1040" t="s">
        <v>6</v>
      </c>
      <c r="B315" s="854" t="s">
        <v>7</v>
      </c>
      <c r="C315" s="840">
        <v>5644</v>
      </c>
      <c r="D315" s="840">
        <v>3620</v>
      </c>
      <c r="E315" s="840">
        <v>3591</v>
      </c>
      <c r="F315" s="840">
        <v>8902</v>
      </c>
      <c r="G315" s="840">
        <v>8432</v>
      </c>
      <c r="H315" s="840">
        <v>15702</v>
      </c>
      <c r="I315" s="840">
        <v>8298</v>
      </c>
      <c r="J315" s="840">
        <v>9599</v>
      </c>
      <c r="K315" s="840">
        <v>7072</v>
      </c>
      <c r="L315" s="840">
        <v>9334</v>
      </c>
      <c r="M315" s="840">
        <v>7997</v>
      </c>
      <c r="N315" s="840">
        <v>11924</v>
      </c>
      <c r="O315" s="840">
        <v>4357</v>
      </c>
      <c r="P315" s="840">
        <v>10643</v>
      </c>
      <c r="Q315" s="840">
        <v>4799</v>
      </c>
      <c r="R315" s="840">
        <v>9711</v>
      </c>
      <c r="S315" s="840">
        <v>11664</v>
      </c>
      <c r="T315" s="855">
        <v>2480</v>
      </c>
      <c r="U315" s="855">
        <v>1570</v>
      </c>
      <c r="V315" s="840">
        <v>3999</v>
      </c>
      <c r="W315" s="840">
        <v>7999</v>
      </c>
      <c r="X315" s="840">
        <v>3999</v>
      </c>
      <c r="Y315" s="840">
        <v>7999</v>
      </c>
      <c r="Z315" s="840">
        <v>3999</v>
      </c>
      <c r="AA315" s="840">
        <v>7999</v>
      </c>
      <c r="AB315" s="840">
        <v>11999</v>
      </c>
      <c r="AC315" s="840">
        <v>6400</v>
      </c>
      <c r="AD315" s="840">
        <v>6399</v>
      </c>
      <c r="AE315" s="840">
        <v>6399</v>
      </c>
      <c r="AF315" s="840">
        <v>4800</v>
      </c>
      <c r="AG315" s="840">
        <v>4800</v>
      </c>
      <c r="AH315" s="840"/>
      <c r="AI315" s="840"/>
      <c r="AJ315" s="840">
        <v>222130</v>
      </c>
      <c r="AK315" s="856" t="s">
        <v>7</v>
      </c>
      <c r="AL315" s="858">
        <v>12043</v>
      </c>
      <c r="AM315" s="858">
        <v>8420</v>
      </c>
      <c r="AN315" s="858">
        <v>40337</v>
      </c>
      <c r="AO315" s="858">
        <v>57789</v>
      </c>
      <c r="AP315" s="858">
        <v>49984</v>
      </c>
      <c r="AQ315" s="858">
        <v>49507</v>
      </c>
      <c r="AR315" s="858">
        <v>4050</v>
      </c>
      <c r="AS315" s="858">
        <v>115716</v>
      </c>
      <c r="AT315" s="858">
        <v>106414</v>
      </c>
      <c r="AU315" s="880" t="s">
        <v>190</v>
      </c>
      <c r="AV315" s="879" t="s">
        <v>4</v>
      </c>
      <c r="AW315" s="857">
        <v>9191.7999999999993</v>
      </c>
      <c r="AX315" s="857">
        <v>13787.7</v>
      </c>
      <c r="AY315" s="857">
        <v>8804.7999999999993</v>
      </c>
      <c r="AZ315" s="857">
        <v>13787.7</v>
      </c>
      <c r="BA315" s="857">
        <v>8804.7999999999993</v>
      </c>
    </row>
    <row r="316" spans="1:53" s="947" customFormat="1" x14ac:dyDescent="0.25">
      <c r="A316" s="1040"/>
      <c r="B316" s="839" t="s">
        <v>11</v>
      </c>
      <c r="C316" s="858">
        <v>190298.74799999999</v>
      </c>
      <c r="D316" s="858">
        <v>122055.54</v>
      </c>
      <c r="E316" s="858">
        <v>121077.74699999999</v>
      </c>
      <c r="F316" s="858">
        <v>300148.734</v>
      </c>
      <c r="G316" s="858">
        <v>284301.74400000001</v>
      </c>
      <c r="H316" s="858">
        <v>529424.33400000003</v>
      </c>
      <c r="I316" s="858">
        <v>279783.66599999997</v>
      </c>
      <c r="J316" s="858">
        <v>323649.48300000001</v>
      </c>
      <c r="K316" s="858">
        <v>238446.62399999998</v>
      </c>
      <c r="L316" s="858">
        <v>314714.478</v>
      </c>
      <c r="M316" s="858">
        <v>269634.84899999999</v>
      </c>
      <c r="N316" s="858">
        <v>402041.50799999997</v>
      </c>
      <c r="O316" s="858">
        <v>146904.96899999998</v>
      </c>
      <c r="P316" s="858">
        <v>358850.03099999996</v>
      </c>
      <c r="Q316" s="858">
        <v>161807.883</v>
      </c>
      <c r="R316" s="858">
        <v>327425.78700000001</v>
      </c>
      <c r="S316" s="858">
        <v>393275.08799999999</v>
      </c>
      <c r="T316" s="858">
        <v>83618.16</v>
      </c>
      <c r="U316" s="858">
        <v>52935.689999999995</v>
      </c>
      <c r="V316" s="858">
        <v>134834.283</v>
      </c>
      <c r="W316" s="858">
        <v>269702.283</v>
      </c>
      <c r="X316" s="858">
        <v>134834.283</v>
      </c>
      <c r="Y316" s="858">
        <v>269702.283</v>
      </c>
      <c r="Z316" s="858">
        <v>134834.283</v>
      </c>
      <c r="AA316" s="858">
        <v>269702.283</v>
      </c>
      <c r="AB316" s="858">
        <v>404570.283</v>
      </c>
      <c r="AC316" s="858">
        <v>215788.79999999999</v>
      </c>
      <c r="AD316" s="858">
        <v>215755.08299999998</v>
      </c>
      <c r="AE316" s="858">
        <v>215755.08299999998</v>
      </c>
      <c r="AF316" s="858">
        <v>161841.60000000001</v>
      </c>
      <c r="AG316" s="858">
        <v>161841.60000000001</v>
      </c>
      <c r="AH316" s="858"/>
      <c r="AI316" s="858"/>
      <c r="AJ316" s="859">
        <v>7489557.2099999972</v>
      </c>
      <c r="AK316" s="841" t="s">
        <v>11</v>
      </c>
      <c r="AL316" s="858">
        <v>406053.83100000001</v>
      </c>
      <c r="AM316" s="858">
        <v>283897.14</v>
      </c>
      <c r="AN316" s="858">
        <v>1360042.629</v>
      </c>
      <c r="AO316" s="858">
        <v>1948471.713</v>
      </c>
      <c r="AP316" s="858">
        <v>1685310.5279999999</v>
      </c>
      <c r="AQ316" s="858">
        <v>1669227.5189999999</v>
      </c>
      <c r="AR316" s="858">
        <v>136553.85</v>
      </c>
      <c r="AS316" s="858">
        <v>3901596.372</v>
      </c>
      <c r="AT316" s="858">
        <v>3587960.838</v>
      </c>
      <c r="AU316" s="876"/>
      <c r="AV316" s="873" t="s">
        <v>5</v>
      </c>
      <c r="AW316" s="583">
        <v>7975.5</v>
      </c>
      <c r="AX316" s="583">
        <v>13649</v>
      </c>
      <c r="AY316" s="583">
        <v>1289.9000000000001</v>
      </c>
      <c r="AZ316" s="583">
        <v>13642</v>
      </c>
      <c r="BA316" s="583">
        <v>5483.9</v>
      </c>
    </row>
    <row r="317" spans="1:53" s="947" customFormat="1" x14ac:dyDescent="0.25">
      <c r="A317" s="1040"/>
      <c r="B317" s="839" t="s">
        <v>79</v>
      </c>
      <c r="C317" s="858">
        <v>164000</v>
      </c>
      <c r="D317" s="858">
        <v>109880</v>
      </c>
      <c r="E317" s="858">
        <v>109880</v>
      </c>
      <c r="F317" s="858">
        <v>328000</v>
      </c>
      <c r="G317" s="858">
        <v>330905</v>
      </c>
      <c r="H317" s="858">
        <v>264264</v>
      </c>
      <c r="I317" s="858">
        <v>242663.6</v>
      </c>
      <c r="J317" s="858">
        <v>328000</v>
      </c>
      <c r="K317" s="858">
        <v>328000</v>
      </c>
      <c r="L317" s="858">
        <v>328000</v>
      </c>
      <c r="M317" s="858">
        <v>328000</v>
      </c>
      <c r="N317" s="858">
        <v>264264.40000000002</v>
      </c>
      <c r="O317" s="858">
        <v>328000</v>
      </c>
      <c r="P317" s="858">
        <v>352965.4</v>
      </c>
      <c r="Q317" s="858">
        <v>328000</v>
      </c>
      <c r="R317" s="858">
        <v>328000</v>
      </c>
      <c r="S317" s="858">
        <v>328000</v>
      </c>
      <c r="T317" s="858">
        <v>110302</v>
      </c>
      <c r="U317" s="858">
        <v>66181</v>
      </c>
      <c r="V317" s="858">
        <v>204393</v>
      </c>
      <c r="W317" s="858">
        <v>418993</v>
      </c>
      <c r="X317" s="858">
        <v>204393</v>
      </c>
      <c r="Y317" s="858">
        <v>418993</v>
      </c>
      <c r="Z317" s="858">
        <v>204393</v>
      </c>
      <c r="AA317" s="858">
        <v>418993</v>
      </c>
      <c r="AB317" s="858">
        <v>657390.4</v>
      </c>
      <c r="AC317" s="858">
        <v>381742.4</v>
      </c>
      <c r="AD317" s="858">
        <v>448142.4</v>
      </c>
      <c r="AE317" s="858">
        <v>448142.4</v>
      </c>
      <c r="AF317" s="858">
        <v>312388.2</v>
      </c>
      <c r="AG317" s="858">
        <v>312388.2</v>
      </c>
      <c r="AH317" s="858"/>
      <c r="AI317" s="858"/>
      <c r="AJ317" s="859">
        <v>9397657.4000000004</v>
      </c>
      <c r="AK317" s="841" t="s">
        <v>79</v>
      </c>
      <c r="AL317" s="858">
        <v>948179.2</v>
      </c>
      <c r="AM317" s="858">
        <v>613421.60000000009</v>
      </c>
      <c r="AN317" s="858">
        <v>2039292.4</v>
      </c>
      <c r="AO317" s="858">
        <v>2696877.4000000004</v>
      </c>
      <c r="AP317" s="858">
        <v>2826208.6</v>
      </c>
      <c r="AQ317" s="858">
        <v>2310031.4</v>
      </c>
      <c r="AR317" s="858">
        <v>176483</v>
      </c>
      <c r="AS317" s="858">
        <v>5620330.4000000004</v>
      </c>
      <c r="AT317" s="858">
        <v>5990163.1999999993</v>
      </c>
      <c r="AU317" s="877"/>
      <c r="AV317" s="874" t="s">
        <v>3</v>
      </c>
      <c r="AW317" s="849">
        <v>0.86767553689157739</v>
      </c>
      <c r="AX317" s="849">
        <v>0.98994030911609621</v>
      </c>
      <c r="AY317" s="849">
        <v>0.14649963656187537</v>
      </c>
      <c r="AZ317" s="849">
        <v>0.98943261022505558</v>
      </c>
      <c r="BA317" s="849">
        <v>0.62283072869343992</v>
      </c>
    </row>
    <row r="318" spans="1:53" s="947" customFormat="1" x14ac:dyDescent="0.25">
      <c r="A318" s="1040"/>
      <c r="B318" s="844" t="s">
        <v>8</v>
      </c>
      <c r="C318" s="861">
        <v>5295</v>
      </c>
      <c r="D318" s="861">
        <v>2985</v>
      </c>
      <c r="E318" s="861">
        <v>3009</v>
      </c>
      <c r="F318" s="861">
        <v>6819</v>
      </c>
      <c r="G318" s="861">
        <v>3366</v>
      </c>
      <c r="H318" s="861">
        <v>13620</v>
      </c>
      <c r="I318" s="861">
        <v>6949</v>
      </c>
      <c r="J318" s="861">
        <v>1379</v>
      </c>
      <c r="K318" s="861">
        <v>6050</v>
      </c>
      <c r="L318" s="861">
        <v>6817</v>
      </c>
      <c r="M318" s="861">
        <v>6350</v>
      </c>
      <c r="N318" s="861">
        <v>10872</v>
      </c>
      <c r="O318" s="861">
        <v>3436</v>
      </c>
      <c r="P318" s="861">
        <v>7753</v>
      </c>
      <c r="Q318" s="861">
        <v>1827</v>
      </c>
      <c r="R318" s="861">
        <v>4669</v>
      </c>
      <c r="S318" s="861">
        <v>10106</v>
      </c>
      <c r="T318" s="598">
        <v>1716</v>
      </c>
      <c r="U318" s="598">
        <v>1103</v>
      </c>
      <c r="V318" s="861">
        <v>1858</v>
      </c>
      <c r="W318" s="861">
        <v>2490</v>
      </c>
      <c r="X318" s="861">
        <v>1149</v>
      </c>
      <c r="Y318" s="861">
        <v>1427</v>
      </c>
      <c r="Z318" s="861">
        <v>561</v>
      </c>
      <c r="AA318" s="861">
        <v>1113</v>
      </c>
      <c r="AB318" s="861">
        <v>2283</v>
      </c>
      <c r="AC318" s="861">
        <v>0</v>
      </c>
      <c r="AD318" s="861">
        <v>479</v>
      </c>
      <c r="AE318" s="861">
        <v>8</v>
      </c>
      <c r="AF318" s="861">
        <v>24</v>
      </c>
      <c r="AG318" s="861">
        <v>24</v>
      </c>
      <c r="AH318" s="861"/>
      <c r="AI318" s="861"/>
      <c r="AJ318" s="840">
        <v>115537</v>
      </c>
      <c r="AK318" s="846" t="s">
        <v>8</v>
      </c>
      <c r="AL318" s="858">
        <v>5303</v>
      </c>
      <c r="AM318" s="858">
        <v>3009</v>
      </c>
      <c r="AN318" s="858">
        <v>27735</v>
      </c>
      <c r="AO318" s="858">
        <v>24977</v>
      </c>
      <c r="AP318" s="858">
        <v>29611</v>
      </c>
      <c r="AQ318" s="858">
        <v>22083</v>
      </c>
      <c r="AR318" s="858">
        <v>2819</v>
      </c>
      <c r="AS318" s="858">
        <v>50069</v>
      </c>
      <c r="AT318" s="858">
        <v>65468</v>
      </c>
      <c r="AU318" s="877" t="s">
        <v>191</v>
      </c>
      <c r="AV318" s="839" t="s">
        <v>4</v>
      </c>
      <c r="AW318" s="840">
        <v>97433.600000000006</v>
      </c>
      <c r="AX318" s="840">
        <v>243584.4</v>
      </c>
      <c r="AY318" s="840">
        <v>132070.29999999999</v>
      </c>
      <c r="AZ318" s="840">
        <v>292299.3</v>
      </c>
      <c r="BA318" s="840">
        <v>132070.39999999999</v>
      </c>
    </row>
    <row r="319" spans="1:53" s="947" customFormat="1" x14ac:dyDescent="0.25">
      <c r="A319" s="1040"/>
      <c r="B319" s="839" t="s">
        <v>77</v>
      </c>
      <c r="C319" s="858">
        <v>178531.51499999998</v>
      </c>
      <c r="D319" s="858">
        <v>100645.245</v>
      </c>
      <c r="E319" s="858">
        <v>101454.45299999999</v>
      </c>
      <c r="F319" s="858">
        <v>229916.223</v>
      </c>
      <c r="G319" s="858">
        <v>113491.42199999999</v>
      </c>
      <c r="H319" s="858">
        <v>459225.54</v>
      </c>
      <c r="I319" s="858">
        <v>234299.43299999999</v>
      </c>
      <c r="J319" s="858">
        <v>46495.742999999995</v>
      </c>
      <c r="K319" s="858">
        <v>203987.85</v>
      </c>
      <c r="L319" s="858">
        <v>229848.78899999999</v>
      </c>
      <c r="M319" s="858">
        <v>214102.94999999998</v>
      </c>
      <c r="N319" s="858">
        <v>366571.22399999999</v>
      </c>
      <c r="O319" s="858">
        <v>115851.61199999999</v>
      </c>
      <c r="P319" s="858">
        <v>173271.663</v>
      </c>
      <c r="Q319" s="858">
        <v>61600.958999999995</v>
      </c>
      <c r="R319" s="858">
        <v>157424.67299999998</v>
      </c>
      <c r="S319" s="858">
        <v>340744.00199999998</v>
      </c>
      <c r="T319" s="863">
        <v>57858.371999999996</v>
      </c>
      <c r="U319" s="863">
        <v>37189.850999999995</v>
      </c>
      <c r="V319" s="863">
        <v>62646.185999999994</v>
      </c>
      <c r="W319" s="863">
        <v>83955.33</v>
      </c>
      <c r="X319" s="863">
        <v>38740.832999999999</v>
      </c>
      <c r="Y319" s="863">
        <v>48114.159</v>
      </c>
      <c r="Z319" s="863">
        <v>18915.237000000001</v>
      </c>
      <c r="AA319" s="863">
        <v>37527.021000000001</v>
      </c>
      <c r="AB319" s="863">
        <v>76975.910999999993</v>
      </c>
      <c r="AC319" s="863">
        <v>0</v>
      </c>
      <c r="AD319" s="863">
        <v>16150.442999999999</v>
      </c>
      <c r="AE319" s="863">
        <v>269.73599999999999</v>
      </c>
      <c r="AF319" s="863">
        <v>809.20799999999997</v>
      </c>
      <c r="AG319" s="863">
        <v>809.20799999999997</v>
      </c>
      <c r="AH319" s="863"/>
      <c r="AI319" s="863"/>
      <c r="AJ319" s="864">
        <v>3807424.7910000007</v>
      </c>
      <c r="AK319" s="841" t="s">
        <v>77</v>
      </c>
      <c r="AL319" s="858">
        <v>178801.25099999999</v>
      </c>
      <c r="AM319" s="858">
        <v>101454.45299999999</v>
      </c>
      <c r="AN319" s="858">
        <v>935140.995</v>
      </c>
      <c r="AO319" s="858">
        <v>842149.50899999996</v>
      </c>
      <c r="AP319" s="858">
        <v>998394.08699999994</v>
      </c>
      <c r="AQ319" s="858">
        <v>744572.51099999994</v>
      </c>
      <c r="AR319" s="858">
        <v>95048.222999999998</v>
      </c>
      <c r="AS319" s="858">
        <v>1688176.473</v>
      </c>
      <c r="AT319" s="858">
        <v>2207384.5559999999</v>
      </c>
      <c r="AU319" s="959"/>
      <c r="AV319" s="844" t="s">
        <v>5</v>
      </c>
      <c r="AW319" s="583">
        <v>38973.199999999997</v>
      </c>
      <c r="AX319" s="583">
        <v>124350.5</v>
      </c>
      <c r="AY319" s="583">
        <v>3817.1</v>
      </c>
      <c r="AZ319" s="583">
        <v>109009</v>
      </c>
      <c r="BA319" s="583">
        <v>33401</v>
      </c>
    </row>
    <row r="320" spans="1:53" s="947" customFormat="1" x14ac:dyDescent="0.25">
      <c r="A320" s="1040"/>
      <c r="B320" s="848" t="s">
        <v>217</v>
      </c>
      <c r="C320" s="849">
        <v>0.71407350419009152</v>
      </c>
      <c r="D320" s="849">
        <v>0.66866497205957864</v>
      </c>
      <c r="E320" s="866">
        <v>0.67404117283995724</v>
      </c>
      <c r="F320" s="866">
        <v>1.2632842798963511</v>
      </c>
      <c r="G320" s="866">
        <v>0.68464961086642162</v>
      </c>
      <c r="H320" s="866">
        <v>1.1789978049062271</v>
      </c>
      <c r="I320" s="866">
        <v>1.3624000686144246</v>
      </c>
      <c r="J320" s="866">
        <v>0.27996328833439704</v>
      </c>
      <c r="K320" s="866">
        <v>1.644808626406234</v>
      </c>
      <c r="L320" s="866">
        <v>1.0257846122125467</v>
      </c>
      <c r="M320" s="866">
        <v>1.109174471621118</v>
      </c>
      <c r="N320" s="866">
        <v>0.83650063358601467</v>
      </c>
      <c r="O320" s="866">
        <v>1.3951503634445583</v>
      </c>
      <c r="P320" s="866">
        <v>0.62749940969918561</v>
      </c>
      <c r="Q320" s="866">
        <v>0.74183344412491503</v>
      </c>
      <c r="R320" s="866">
        <v>0.82155386596889002</v>
      </c>
      <c r="S320" s="866">
        <v>1.2991171261917678</v>
      </c>
      <c r="T320" s="849">
        <v>1.0490901706224727</v>
      </c>
      <c r="U320" s="849">
        <v>1.1238830177845605</v>
      </c>
      <c r="V320" s="849">
        <v>0.61299737270845867</v>
      </c>
      <c r="W320" s="849">
        <v>0.40074812705701529</v>
      </c>
      <c r="X320" s="849">
        <v>0.37908179830033317</v>
      </c>
      <c r="Y320" s="849">
        <v>0.22966569369894008</v>
      </c>
      <c r="Z320" s="849">
        <v>0.18508693546256477</v>
      </c>
      <c r="AA320" s="849">
        <v>0.1791295845037984</v>
      </c>
      <c r="AB320" s="849">
        <v>0.23418629478008804</v>
      </c>
      <c r="AC320" s="849">
        <v>0</v>
      </c>
      <c r="AD320" s="849">
        <v>7.2077281685464262E-2</v>
      </c>
      <c r="AE320" s="849">
        <v>1.2037959362916786E-3</v>
      </c>
      <c r="AF320" s="849">
        <v>5.1807846775262312E-3</v>
      </c>
      <c r="AG320" s="849">
        <v>5.1807846775262312E-3</v>
      </c>
      <c r="AH320" s="849"/>
      <c r="AI320" s="849"/>
      <c r="AJ320" s="851">
        <v>0.65585924632868342</v>
      </c>
      <c r="AK320" s="852" t="s">
        <v>217</v>
      </c>
      <c r="AL320" s="849">
        <v>0.37714653727902908</v>
      </c>
      <c r="AM320" s="849">
        <v>0.33078213417982016</v>
      </c>
      <c r="AN320" s="849">
        <v>0.91712301286465836</v>
      </c>
      <c r="AO320" s="849">
        <v>0.6245367394157405</v>
      </c>
      <c r="AP320" s="849">
        <v>0.70652540438805533</v>
      </c>
      <c r="AQ320" s="849">
        <v>0.64464276199881954</v>
      </c>
      <c r="AR320" s="849">
        <v>1.0771374353337149</v>
      </c>
      <c r="AS320" s="849">
        <v>0.60073922807100444</v>
      </c>
      <c r="AT320" s="849">
        <v>0.73700314408796075</v>
      </c>
      <c r="AU320" s="959"/>
      <c r="AV320" s="848" t="s">
        <v>3</v>
      </c>
      <c r="AW320" s="849">
        <v>0.39999753678402516</v>
      </c>
      <c r="AX320" s="849">
        <v>0.51050272513346506</v>
      </c>
      <c r="AY320" s="849">
        <v>2.8902031720984961E-2</v>
      </c>
      <c r="AZ320" s="849">
        <v>0.37293623351133581</v>
      </c>
      <c r="BA320" s="849">
        <v>0.25290299718937781</v>
      </c>
    </row>
    <row r="321" spans="1:53" s="947" customFormat="1" x14ac:dyDescent="0.25">
      <c r="A321" s="959"/>
      <c r="B321" s="848" t="s">
        <v>218</v>
      </c>
      <c r="C321" s="598">
        <v>168060</v>
      </c>
      <c r="D321" s="598">
        <v>100240</v>
      </c>
      <c r="E321" s="598">
        <v>101049</v>
      </c>
      <c r="F321" s="598">
        <v>211912</v>
      </c>
      <c r="G321" s="598">
        <v>111205</v>
      </c>
      <c r="H321" s="598">
        <v>444187</v>
      </c>
      <c r="I321" s="598">
        <v>159522</v>
      </c>
      <c r="J321" s="598">
        <v>46536.5</v>
      </c>
      <c r="K321" s="598">
        <v>145570</v>
      </c>
      <c r="L321" s="598">
        <v>230236</v>
      </c>
      <c r="M321" s="598">
        <v>210122</v>
      </c>
      <c r="N321" s="598">
        <v>366652</v>
      </c>
      <c r="O321" s="598">
        <v>115895</v>
      </c>
      <c r="P321" s="598">
        <v>145017</v>
      </c>
      <c r="Q321" s="598">
        <v>61652.2</v>
      </c>
      <c r="R321" s="598">
        <v>143662</v>
      </c>
      <c r="S321" s="598">
        <v>340930</v>
      </c>
      <c r="T321" s="598">
        <v>57858.1</v>
      </c>
      <c r="U321" s="598">
        <v>37189.699999999997</v>
      </c>
      <c r="V321" s="598">
        <v>62679.7</v>
      </c>
      <c r="W321" s="598">
        <v>62679.7</v>
      </c>
      <c r="X321" s="598">
        <v>38793.300000000003</v>
      </c>
      <c r="Y321" s="598">
        <v>38759.599999999999</v>
      </c>
      <c r="Z321" s="598">
        <v>18949</v>
      </c>
      <c r="AA321" s="598">
        <v>18949</v>
      </c>
      <c r="AB321" s="598">
        <v>77041.899999999994</v>
      </c>
      <c r="AC321" s="598">
        <v>0</v>
      </c>
      <c r="AD321" s="598">
        <v>16187.3</v>
      </c>
      <c r="AE321" s="598">
        <v>303.45100000000002</v>
      </c>
      <c r="AF321" s="598">
        <v>809.20299999999997</v>
      </c>
      <c r="AG321" s="598">
        <v>809.20299999999997</v>
      </c>
      <c r="AH321" s="598"/>
      <c r="AI321" s="598"/>
      <c r="AJ321" s="867">
        <v>3533456.8570000008</v>
      </c>
      <c r="AK321" s="852" t="s">
        <v>218</v>
      </c>
      <c r="AL321" s="861">
        <v>168363.451</v>
      </c>
      <c r="AM321" s="861">
        <v>101049.20299999999</v>
      </c>
      <c r="AN321" s="861">
        <v>902522.3</v>
      </c>
      <c r="AO321" s="861">
        <v>685113.70299999998</v>
      </c>
      <c r="AP321" s="861">
        <v>994745.9</v>
      </c>
      <c r="AQ321" s="861">
        <v>586614.5</v>
      </c>
      <c r="AR321" s="861">
        <v>95047.799999999988</v>
      </c>
      <c r="AS321" s="861">
        <v>1372777.406</v>
      </c>
      <c r="AT321" s="861">
        <v>2160679.4509999999</v>
      </c>
      <c r="AU321" s="959" t="s">
        <v>219</v>
      </c>
      <c r="AV321" s="848" t="s">
        <v>3</v>
      </c>
      <c r="AW321" s="849">
        <v>0.38119624665106289</v>
      </c>
      <c r="AX321" s="849">
        <v>0.47677983409520408</v>
      </c>
      <c r="AY321" s="849">
        <v>2.9589946651719472E-2</v>
      </c>
      <c r="AZ321" s="849">
        <v>0.45412051337057324</v>
      </c>
      <c r="BA321" s="849">
        <v>0.31543211186862841</v>
      </c>
    </row>
    <row r="322" spans="1:53" s="947" customFormat="1" x14ac:dyDescent="0.25">
      <c r="A322" s="959"/>
      <c r="B322" s="848" t="s">
        <v>216</v>
      </c>
      <c r="C322" s="866">
        <v>0.67219052677722924</v>
      </c>
      <c r="D322" s="866">
        <v>0.66597261300573285</v>
      </c>
      <c r="E322" s="866">
        <v>0.67134743187965185</v>
      </c>
      <c r="F322" s="866">
        <v>1.164359325446102</v>
      </c>
      <c r="G322" s="866">
        <v>0.67085651615503084</v>
      </c>
      <c r="H322" s="866">
        <v>1.1403884417401573</v>
      </c>
      <c r="I322" s="866">
        <v>0.92758561539289031</v>
      </c>
      <c r="J322" s="866">
        <v>0.28020869711822155</v>
      </c>
      <c r="K322" s="866">
        <v>1.1737698678914232</v>
      </c>
      <c r="L322" s="866">
        <v>1.0275126834684689</v>
      </c>
      <c r="M322" s="866">
        <v>1.088550897248135</v>
      </c>
      <c r="N322" s="866">
        <v>0.83668496113480917</v>
      </c>
      <c r="O322" s="866">
        <v>1.3956728661782203</v>
      </c>
      <c r="P322" s="866">
        <v>0.52517578651245933</v>
      </c>
      <c r="Q322" s="866">
        <v>0.7424505171076653</v>
      </c>
      <c r="R322" s="866">
        <v>0.74973045357904411</v>
      </c>
      <c r="S322" s="866">
        <v>1.2998262602801718</v>
      </c>
      <c r="T322" s="866">
        <v>1.0490852387082736</v>
      </c>
      <c r="U322" s="866">
        <v>1.1238784545413336</v>
      </c>
      <c r="V322" s="866">
        <v>0.61332530957518117</v>
      </c>
      <c r="W322" s="866">
        <v>0.29919211060805312</v>
      </c>
      <c r="X322" s="866">
        <v>0.37959519161615124</v>
      </c>
      <c r="Y322" s="866">
        <v>0.18501311477757384</v>
      </c>
      <c r="Z322" s="866">
        <v>0.18541730881194562</v>
      </c>
      <c r="AA322" s="866">
        <v>9.0450198452002778E-2</v>
      </c>
      <c r="AB322" s="866">
        <v>0.23438705524145162</v>
      </c>
      <c r="AC322" s="866">
        <v>0</v>
      </c>
      <c r="AD322" s="866">
        <v>7.2241769580383378E-2</v>
      </c>
      <c r="AE322" s="866">
        <v>1.3542615025938184E-3</v>
      </c>
      <c r="AF322" s="866">
        <v>5.1807526660738144E-3</v>
      </c>
      <c r="AG322" s="866">
        <v>5.1807526660738144E-3</v>
      </c>
      <c r="AH322" s="866"/>
      <c r="AI322" s="866"/>
      <c r="AJ322" s="869">
        <v>0.60866608754687246</v>
      </c>
      <c r="AK322" s="852" t="s">
        <v>216</v>
      </c>
      <c r="AL322" s="849">
        <v>0.35513002394484083</v>
      </c>
      <c r="AM322" s="849">
        <v>0.32946085693754501</v>
      </c>
      <c r="AN322" s="849">
        <v>0.88513280390786542</v>
      </c>
      <c r="AO322" s="849">
        <v>0.50807923489588358</v>
      </c>
      <c r="AP322" s="849">
        <v>0.70394372163470165</v>
      </c>
      <c r="AQ322" s="849">
        <v>0.50788443828079566</v>
      </c>
      <c r="AR322" s="849">
        <v>1.0771326416708691</v>
      </c>
      <c r="AS322" s="849">
        <v>0.4885041655202334</v>
      </c>
      <c r="AT322" s="849">
        <v>0.72140921001952008</v>
      </c>
      <c r="AU322" s="959"/>
      <c r="AV322" s="848"/>
      <c r="AW322" s="849"/>
      <c r="AX322" s="849"/>
      <c r="AY322" s="849"/>
      <c r="AZ322" s="849"/>
      <c r="BA322" s="849"/>
    </row>
    <row r="323" spans="1:53" s="947" customFormat="1" x14ac:dyDescent="0.25">
      <c r="A323" s="1041">
        <v>41822</v>
      </c>
      <c r="B323" s="1041"/>
      <c r="C323" s="1041"/>
      <c r="D323" s="529"/>
      <c r="E323" s="529"/>
      <c r="F323" s="529"/>
      <c r="G323" s="529"/>
      <c r="H323" s="529"/>
      <c r="I323" s="525"/>
      <c r="J323" s="531"/>
      <c r="K323" s="531"/>
      <c r="L323" s="529"/>
      <c r="M323" s="529"/>
      <c r="N323" s="527"/>
      <c r="R323" s="526"/>
      <c r="S323" s="534"/>
      <c r="T323" s="534"/>
      <c r="U323" s="534"/>
      <c r="V323" s="534"/>
      <c r="W323" s="534"/>
      <c r="X323" s="534"/>
      <c r="Y323" s="534"/>
      <c r="Z323" s="534"/>
      <c r="AA323" s="534"/>
      <c r="AB323" s="534"/>
      <c r="AC323" s="534"/>
      <c r="AD323" s="534"/>
      <c r="AE323" s="534"/>
      <c r="AF323" s="534"/>
      <c r="AG323" s="534"/>
      <c r="AH323" s="534"/>
      <c r="AI323" s="534"/>
      <c r="AJ323" s="534"/>
      <c r="AK323" s="534"/>
      <c r="AL323" s="534"/>
      <c r="AM323" s="534"/>
      <c r="AN323" s="534"/>
      <c r="AO323" s="534"/>
    </row>
    <row r="324" spans="1:53" s="947" customFormat="1" x14ac:dyDescent="0.25">
      <c r="A324" s="1042" t="s">
        <v>1</v>
      </c>
      <c r="B324" s="1042"/>
      <c r="C324" s="957" t="s">
        <v>12</v>
      </c>
      <c r="D324" s="957" t="s">
        <v>12</v>
      </c>
      <c r="E324" s="957" t="s">
        <v>13</v>
      </c>
      <c r="F324" s="957" t="s">
        <v>13</v>
      </c>
      <c r="G324" s="957" t="s">
        <v>13</v>
      </c>
      <c r="H324" s="957" t="s">
        <v>13</v>
      </c>
      <c r="I324" s="957" t="s">
        <v>13</v>
      </c>
      <c r="J324" s="957" t="s">
        <v>13</v>
      </c>
      <c r="K324" s="957" t="s">
        <v>13</v>
      </c>
      <c r="L324" s="957" t="s">
        <v>13</v>
      </c>
      <c r="M324" s="829" t="s">
        <v>2</v>
      </c>
      <c r="N324" s="957" t="s">
        <v>2</v>
      </c>
      <c r="O324" s="957" t="s">
        <v>2</v>
      </c>
      <c r="P324" s="957" t="s">
        <v>2</v>
      </c>
      <c r="Q324" s="957" t="s">
        <v>2</v>
      </c>
      <c r="R324" s="957" t="s">
        <v>2</v>
      </c>
      <c r="S324" s="957" t="s">
        <v>2</v>
      </c>
      <c r="T324" s="830" t="s">
        <v>183</v>
      </c>
      <c r="U324" s="830" t="s">
        <v>183</v>
      </c>
      <c r="V324" s="830" t="s">
        <v>2</v>
      </c>
      <c r="W324" s="830" t="s">
        <v>13</v>
      </c>
      <c r="X324" s="830" t="s">
        <v>13</v>
      </c>
      <c r="Y324" s="830" t="s">
        <v>2</v>
      </c>
      <c r="Z324" s="830" t="s">
        <v>13</v>
      </c>
      <c r="AA324" s="830" t="s">
        <v>2</v>
      </c>
      <c r="AB324" s="888" t="s">
        <v>2</v>
      </c>
      <c r="AC324" s="888" t="s">
        <v>2</v>
      </c>
      <c r="AD324" s="945" t="s">
        <v>13</v>
      </c>
      <c r="AE324" s="945" t="s">
        <v>12</v>
      </c>
      <c r="AF324" s="945" t="s">
        <v>13</v>
      </c>
      <c r="AG324" s="945" t="s">
        <v>12</v>
      </c>
      <c r="AH324" s="945" t="s">
        <v>13</v>
      </c>
      <c r="AI324" s="945" t="s">
        <v>13</v>
      </c>
      <c r="AJ324" s="831" t="s">
        <v>219</v>
      </c>
      <c r="AK324" s="1042" t="s">
        <v>0</v>
      </c>
      <c r="AL324" s="1042"/>
      <c r="AM324" s="833"/>
      <c r="AN324" s="833"/>
      <c r="AO324" s="833"/>
      <c r="AP324" s="833"/>
      <c r="AQ324" s="833"/>
      <c r="AR324" s="833"/>
      <c r="AS324" s="833"/>
      <c r="AT324" s="833"/>
      <c r="AU324" s="1042" t="s">
        <v>1</v>
      </c>
      <c r="AV324" s="1043"/>
      <c r="AW324" s="957" t="s">
        <v>12</v>
      </c>
      <c r="AX324" s="1044" t="s">
        <v>13</v>
      </c>
      <c r="AY324" s="1045"/>
      <c r="AZ324" s="1044" t="s">
        <v>2</v>
      </c>
      <c r="BA324" s="1045"/>
    </row>
    <row r="325" spans="1:53" s="947" customFormat="1" x14ac:dyDescent="0.25">
      <c r="A325" s="1042" t="s">
        <v>0</v>
      </c>
      <c r="B325" s="1042"/>
      <c r="C325" s="834" t="s">
        <v>99</v>
      </c>
      <c r="D325" s="835" t="s">
        <v>100</v>
      </c>
      <c r="E325" s="835" t="s">
        <v>101</v>
      </c>
      <c r="F325" s="834" t="s">
        <v>102</v>
      </c>
      <c r="G325" s="835" t="s">
        <v>97</v>
      </c>
      <c r="H325" s="834" t="s">
        <v>104</v>
      </c>
      <c r="I325" s="835" t="s">
        <v>103</v>
      </c>
      <c r="J325" s="835" t="s">
        <v>178</v>
      </c>
      <c r="K325" s="835" t="s">
        <v>199</v>
      </c>
      <c r="L325" s="834" t="s">
        <v>206</v>
      </c>
      <c r="M325" s="834" t="s">
        <v>105</v>
      </c>
      <c r="N325" s="834" t="s">
        <v>107</v>
      </c>
      <c r="O325" s="835" t="s">
        <v>98</v>
      </c>
      <c r="P325" s="835" t="s">
        <v>106</v>
      </c>
      <c r="Q325" s="835" t="s">
        <v>179</v>
      </c>
      <c r="R325" s="835" t="s">
        <v>198</v>
      </c>
      <c r="S325" s="834" t="s">
        <v>207</v>
      </c>
      <c r="T325" s="834" t="s">
        <v>182</v>
      </c>
      <c r="U325" s="834" t="s">
        <v>184</v>
      </c>
      <c r="V325" s="835" t="s">
        <v>221</v>
      </c>
      <c r="W325" s="835" t="s">
        <v>222</v>
      </c>
      <c r="X325" s="835" t="s">
        <v>255</v>
      </c>
      <c r="Y325" s="835" t="s">
        <v>256</v>
      </c>
      <c r="Z325" s="835" t="s">
        <v>266</v>
      </c>
      <c r="AA325" s="835" t="s">
        <v>267</v>
      </c>
      <c r="AB325" s="889" t="s">
        <v>268</v>
      </c>
      <c r="AC325" s="889" t="s">
        <v>269</v>
      </c>
      <c r="AD325" s="889" t="s">
        <v>295</v>
      </c>
      <c r="AE325" s="889" t="s">
        <v>290</v>
      </c>
      <c r="AF325" s="946" t="s">
        <v>291</v>
      </c>
      <c r="AG325" s="946" t="s">
        <v>292</v>
      </c>
      <c r="AH325" s="889" t="s">
        <v>293</v>
      </c>
      <c r="AI325" s="889" t="s">
        <v>294</v>
      </c>
      <c r="AJ325" s="836"/>
      <c r="AK325" s="903" t="s">
        <v>1</v>
      </c>
      <c r="AL325" s="838" t="s">
        <v>257</v>
      </c>
      <c r="AM325" s="838" t="s">
        <v>258</v>
      </c>
      <c r="AN325" s="838" t="s">
        <v>259</v>
      </c>
      <c r="AO325" s="838" t="s">
        <v>260</v>
      </c>
      <c r="AP325" s="838" t="s">
        <v>261</v>
      </c>
      <c r="AQ325" s="838" t="s">
        <v>262</v>
      </c>
      <c r="AR325" s="838" t="s">
        <v>263</v>
      </c>
      <c r="AS325" s="904" t="s">
        <v>264</v>
      </c>
      <c r="AT325" s="904" t="s">
        <v>265</v>
      </c>
      <c r="AU325" s="1046" t="s">
        <v>0</v>
      </c>
      <c r="AV325" s="1043"/>
      <c r="AW325" s="834" t="s">
        <v>99</v>
      </c>
      <c r="AX325" s="834" t="s">
        <v>104</v>
      </c>
      <c r="AY325" s="834" t="s">
        <v>206</v>
      </c>
      <c r="AZ325" s="834" t="s">
        <v>107</v>
      </c>
      <c r="BA325" s="834" t="s">
        <v>207</v>
      </c>
    </row>
    <row r="326" spans="1:53" s="947" customFormat="1" x14ac:dyDescent="0.25">
      <c r="A326" s="1047" t="s">
        <v>9</v>
      </c>
      <c r="B326" s="839" t="s">
        <v>4</v>
      </c>
      <c r="C326" s="840">
        <v>250018.4</v>
      </c>
      <c r="D326" s="840">
        <v>150516.70000000001</v>
      </c>
      <c r="E326" s="840">
        <v>150516.70000000001</v>
      </c>
      <c r="F326" s="840">
        <v>181998.8</v>
      </c>
      <c r="G326" s="840">
        <v>165765.70000000001</v>
      </c>
      <c r="H326" s="840">
        <v>389505</v>
      </c>
      <c r="I326" s="840">
        <v>171975.5</v>
      </c>
      <c r="J326" s="840">
        <v>166078</v>
      </c>
      <c r="K326" s="840">
        <v>124019.2</v>
      </c>
      <c r="L326" s="840">
        <v>224071.2</v>
      </c>
      <c r="M326" s="840">
        <v>193029.1</v>
      </c>
      <c r="N326" s="840">
        <v>438219.9</v>
      </c>
      <c r="O326" s="840">
        <v>83038.8</v>
      </c>
      <c r="P326" s="840">
        <v>276130.40000000002</v>
      </c>
      <c r="Q326" s="840">
        <v>83038.8</v>
      </c>
      <c r="R326" s="840">
        <v>191618.2</v>
      </c>
      <c r="S326" s="840">
        <v>262288.90000000002</v>
      </c>
      <c r="T326" s="840">
        <v>55151</v>
      </c>
      <c r="U326" s="840">
        <v>33090.5</v>
      </c>
      <c r="V326" s="840">
        <v>102196.5</v>
      </c>
      <c r="W326" s="840">
        <v>209496.5</v>
      </c>
      <c r="X326" s="840">
        <v>102196.5</v>
      </c>
      <c r="Y326" s="840">
        <v>209496.5</v>
      </c>
      <c r="Z326" s="840">
        <v>102196.5</v>
      </c>
      <c r="AA326" s="840">
        <v>209496.5</v>
      </c>
      <c r="AB326" s="840">
        <v>328695.2</v>
      </c>
      <c r="AC326" s="901">
        <v>190871.2</v>
      </c>
      <c r="AD326" s="901">
        <v>224071.2</v>
      </c>
      <c r="AE326" s="901">
        <v>224071.2</v>
      </c>
      <c r="AF326" s="901">
        <v>156194.1</v>
      </c>
      <c r="AG326" s="901">
        <v>156194.1</v>
      </c>
      <c r="AH326" s="901"/>
      <c r="AI326" s="901"/>
      <c r="AJ326" s="840">
        <v>5040313.8</v>
      </c>
      <c r="AK326" s="841" t="s">
        <v>4</v>
      </c>
      <c r="AL326" s="863">
        <v>474089.6</v>
      </c>
      <c r="AM326" s="863">
        <v>306710.80000000005</v>
      </c>
      <c r="AN326" s="863">
        <v>1019646.2</v>
      </c>
      <c r="AO326" s="863">
        <v>1348438.7000000002</v>
      </c>
      <c r="AP326" s="863">
        <v>1413104.3</v>
      </c>
      <c r="AQ326" s="863">
        <v>1155015.7</v>
      </c>
      <c r="AR326" s="863">
        <v>88241.5</v>
      </c>
      <c r="AS326" s="863">
        <v>2810165.2</v>
      </c>
      <c r="AT326" s="863">
        <v>2995081.5999999996</v>
      </c>
      <c r="AU326" s="875" t="s">
        <v>194</v>
      </c>
      <c r="AV326" s="872" t="s">
        <v>4</v>
      </c>
      <c r="AW326" s="840">
        <v>143393</v>
      </c>
      <c r="AX326" s="840">
        <v>132132</v>
      </c>
      <c r="AY326" s="840">
        <v>83196.100000000006</v>
      </c>
      <c r="AZ326" s="840">
        <v>132132.20000000001</v>
      </c>
      <c r="BA326" s="840">
        <v>83196.100000000006</v>
      </c>
    </row>
    <row r="327" spans="1:53" s="947" customFormat="1" x14ac:dyDescent="0.25">
      <c r="A327" s="1047"/>
      <c r="B327" s="844" t="s">
        <v>5</v>
      </c>
      <c r="C327" s="583">
        <v>103387.2</v>
      </c>
      <c r="D327" s="583">
        <v>84700.4</v>
      </c>
      <c r="E327" s="583">
        <v>85409.7</v>
      </c>
      <c r="F327" s="583">
        <v>138052.70000000001</v>
      </c>
      <c r="G327" s="583">
        <v>116316.4</v>
      </c>
      <c r="H327" s="583">
        <v>216612.7</v>
      </c>
      <c r="I327" s="583">
        <v>122858</v>
      </c>
      <c r="J327" s="583">
        <v>50477.5</v>
      </c>
      <c r="K327" s="583">
        <v>84661.5</v>
      </c>
      <c r="L327" s="583">
        <v>78911.100000000006</v>
      </c>
      <c r="M327" s="583">
        <v>135578.5</v>
      </c>
      <c r="N327" s="583">
        <v>212616.5</v>
      </c>
      <c r="O327" s="583">
        <v>58695.6</v>
      </c>
      <c r="P327" s="583">
        <v>227371.9</v>
      </c>
      <c r="Q327" s="583">
        <v>26096.7</v>
      </c>
      <c r="R327" s="583">
        <v>134126.70000000001</v>
      </c>
      <c r="S327" s="583">
        <v>174837.6</v>
      </c>
      <c r="T327" s="583">
        <v>16593.7</v>
      </c>
      <c r="U327" s="583">
        <v>10226.6</v>
      </c>
      <c r="V327" s="583">
        <v>14902.4</v>
      </c>
      <c r="W327" s="583">
        <v>29804.6</v>
      </c>
      <c r="X327" s="583">
        <v>15779.1</v>
      </c>
      <c r="Y327" s="583">
        <v>31481.200000000001</v>
      </c>
      <c r="Z327" s="583">
        <v>3.1</v>
      </c>
      <c r="AA327" s="583">
        <v>6</v>
      </c>
      <c r="AB327" s="583">
        <v>23409.7</v>
      </c>
      <c r="AC327" s="583">
        <v>4.9000000000000004</v>
      </c>
      <c r="AD327" s="583">
        <v>4.9000000000000004</v>
      </c>
      <c r="AE327" s="583">
        <v>291.8</v>
      </c>
      <c r="AF327" s="583">
        <v>577.4</v>
      </c>
      <c r="AG327" s="583">
        <v>577.4</v>
      </c>
      <c r="AH327" s="583"/>
      <c r="AI327" s="583"/>
      <c r="AJ327" s="845">
        <v>2176186.7999999998</v>
      </c>
      <c r="AK327" s="846" t="s">
        <v>5</v>
      </c>
      <c r="AL327" s="863">
        <v>103679</v>
      </c>
      <c r="AM327" s="863">
        <v>85277.799999999988</v>
      </c>
      <c r="AN327" s="863">
        <v>433581.4</v>
      </c>
      <c r="AO327" s="863">
        <v>505887.29999999993</v>
      </c>
      <c r="AP327" s="863">
        <v>546447.19999999995</v>
      </c>
      <c r="AQ327" s="863">
        <v>492680.50000000006</v>
      </c>
      <c r="AR327" s="863">
        <v>26820.300000000003</v>
      </c>
      <c r="AS327" s="863">
        <v>1083845.5999999999</v>
      </c>
      <c r="AT327" s="863">
        <v>1110527.9000000001</v>
      </c>
      <c r="AU327" s="876"/>
      <c r="AV327" s="873" t="s">
        <v>5</v>
      </c>
      <c r="AW327" s="583">
        <v>51964.9</v>
      </c>
      <c r="AX327" s="583">
        <v>58542</v>
      </c>
      <c r="AY327" s="583">
        <v>2519</v>
      </c>
      <c r="AZ327" s="583">
        <v>70731</v>
      </c>
      <c r="BA327" s="583">
        <v>31444.9</v>
      </c>
    </row>
    <row r="328" spans="1:53" s="947" customFormat="1" x14ac:dyDescent="0.25">
      <c r="A328" s="1047"/>
      <c r="B328" s="848" t="s">
        <v>3</v>
      </c>
      <c r="C328" s="849">
        <v>0.41351836504833245</v>
      </c>
      <c r="D328" s="849">
        <v>0.56273091291531097</v>
      </c>
      <c r="E328" s="849">
        <v>0.56744334681799424</v>
      </c>
      <c r="F328" s="850">
        <v>0.75853632001969251</v>
      </c>
      <c r="G328" s="849">
        <v>0.70169160447547341</v>
      </c>
      <c r="H328" s="849">
        <v>0.55612302794572599</v>
      </c>
      <c r="I328" s="849">
        <v>0.71439245706510524</v>
      </c>
      <c r="J328" s="849">
        <v>0.303938510820217</v>
      </c>
      <c r="K328" s="849">
        <v>0.68264833187119411</v>
      </c>
      <c r="L328" s="849">
        <v>0.3521697567558883</v>
      </c>
      <c r="M328" s="850">
        <v>0.70237337271945011</v>
      </c>
      <c r="N328" s="849">
        <v>0.4851822110314935</v>
      </c>
      <c r="O328" s="849">
        <v>0.70684547464558733</v>
      </c>
      <c r="P328" s="849">
        <v>0.82342219473118483</v>
      </c>
      <c r="Q328" s="849">
        <v>0.31427115998786109</v>
      </c>
      <c r="R328" s="849">
        <v>0.6999684789858166</v>
      </c>
      <c r="S328" s="849">
        <v>0.66658406055307717</v>
      </c>
      <c r="T328" s="849">
        <v>0.30087759061485742</v>
      </c>
      <c r="U328" s="849">
        <v>0.30904942506157357</v>
      </c>
      <c r="V328" s="849">
        <v>0.14582104083799347</v>
      </c>
      <c r="W328" s="849">
        <v>0.14226777058327944</v>
      </c>
      <c r="X328" s="849">
        <v>0.15439961251119169</v>
      </c>
      <c r="Y328" s="849">
        <v>0.15027076824672489</v>
      </c>
      <c r="Z328" s="849">
        <v>3.0333719843634569E-5</v>
      </c>
      <c r="AA328" s="849">
        <v>2.8640096612592574E-5</v>
      </c>
      <c r="AB328" s="849">
        <v>7.1220084747206536E-2</v>
      </c>
      <c r="AC328" s="849">
        <v>2.5671761900171424E-5</v>
      </c>
      <c r="AD328" s="849">
        <v>2.1868049084398175E-5</v>
      </c>
      <c r="AE328" s="849">
        <v>1.3022646373117117E-3</v>
      </c>
      <c r="AF328" s="849">
        <v>3.6966825251401937E-3</v>
      </c>
      <c r="AG328" s="849">
        <v>3.6966825251401937E-3</v>
      </c>
      <c r="AH328" s="849"/>
      <c r="AI328" s="849"/>
      <c r="AJ328" s="851">
        <v>0.43175621327386399</v>
      </c>
      <c r="AK328" s="852" t="s">
        <v>3</v>
      </c>
      <c r="AL328" s="849">
        <v>0.21869072850364152</v>
      </c>
      <c r="AM328" s="849">
        <v>0.27803976905932226</v>
      </c>
      <c r="AN328" s="849">
        <v>0.42522729942993959</v>
      </c>
      <c r="AO328" s="849">
        <v>0.37516521885644477</v>
      </c>
      <c r="AP328" s="849">
        <v>0.38669983524924517</v>
      </c>
      <c r="AQ328" s="849">
        <v>0.42655740523700247</v>
      </c>
      <c r="AR328" s="849">
        <v>0.30394202274440035</v>
      </c>
      <c r="AS328" s="849">
        <v>0.38568750335389529</v>
      </c>
      <c r="AT328" s="849">
        <v>0.37078385443655365</v>
      </c>
      <c r="AU328" s="876"/>
      <c r="AV328" s="874" t="s">
        <v>3</v>
      </c>
      <c r="AW328" s="849">
        <f>AW327/AW326</f>
        <v>0.36239495651810061</v>
      </c>
      <c r="AX328" s="849">
        <f>AX327/AX326</f>
        <v>0.44305694305694304</v>
      </c>
      <c r="AY328" s="849">
        <f>AY327/AY326</f>
        <v>3.0277861582453984E-2</v>
      </c>
      <c r="AZ328" s="849">
        <f>AZ327/AZ326</f>
        <v>0.53530479322981073</v>
      </c>
      <c r="BA328" s="849">
        <f>BA327/BA326</f>
        <v>0.37796122654787906</v>
      </c>
    </row>
    <row r="329" spans="1:53" s="947" customFormat="1" x14ac:dyDescent="0.25">
      <c r="A329" s="1040" t="s">
        <v>6</v>
      </c>
      <c r="B329" s="854" t="s">
        <v>7</v>
      </c>
      <c r="C329" s="840">
        <v>5644</v>
      </c>
      <c r="D329" s="840">
        <v>3620</v>
      </c>
      <c r="E329" s="840">
        <v>3591</v>
      </c>
      <c r="F329" s="840">
        <v>8902</v>
      </c>
      <c r="G329" s="840">
        <v>8432</v>
      </c>
      <c r="H329" s="840">
        <v>15702</v>
      </c>
      <c r="I329" s="840">
        <v>8298</v>
      </c>
      <c r="J329" s="840">
        <v>9599</v>
      </c>
      <c r="K329" s="840">
        <v>7072</v>
      </c>
      <c r="L329" s="840">
        <v>9334</v>
      </c>
      <c r="M329" s="840">
        <v>7997</v>
      </c>
      <c r="N329" s="840">
        <v>11924</v>
      </c>
      <c r="O329" s="840">
        <v>4357</v>
      </c>
      <c r="P329" s="840">
        <v>10643</v>
      </c>
      <c r="Q329" s="840">
        <v>4799</v>
      </c>
      <c r="R329" s="840">
        <v>9711</v>
      </c>
      <c r="S329" s="840">
        <v>11664</v>
      </c>
      <c r="T329" s="855">
        <v>2480</v>
      </c>
      <c r="U329" s="855">
        <v>1570</v>
      </c>
      <c r="V329" s="840">
        <v>3999</v>
      </c>
      <c r="W329" s="840">
        <v>7999</v>
      </c>
      <c r="X329" s="840">
        <v>3999</v>
      </c>
      <c r="Y329" s="840">
        <v>7999</v>
      </c>
      <c r="Z329" s="840">
        <v>3999</v>
      </c>
      <c r="AA329" s="840">
        <v>7999</v>
      </c>
      <c r="AB329" s="840">
        <v>11999</v>
      </c>
      <c r="AC329" s="840">
        <v>6400</v>
      </c>
      <c r="AD329" s="840">
        <v>6399</v>
      </c>
      <c r="AE329" s="840">
        <v>6399</v>
      </c>
      <c r="AF329" s="840">
        <v>4800</v>
      </c>
      <c r="AG329" s="840">
        <v>4800</v>
      </c>
      <c r="AH329" s="840"/>
      <c r="AI329" s="840"/>
      <c r="AJ329" s="840">
        <v>199805</v>
      </c>
      <c r="AK329" s="856" t="s">
        <v>7</v>
      </c>
      <c r="AL329" s="858">
        <v>12043</v>
      </c>
      <c r="AM329" s="858">
        <v>8420</v>
      </c>
      <c r="AN329" s="858">
        <v>40337</v>
      </c>
      <c r="AO329" s="858">
        <v>57789</v>
      </c>
      <c r="AP329" s="858">
        <v>49984</v>
      </c>
      <c r="AQ329" s="858">
        <v>49507</v>
      </c>
      <c r="AR329" s="858">
        <v>4050</v>
      </c>
      <c r="AS329" s="858">
        <v>115716</v>
      </c>
      <c r="AT329" s="858">
        <v>106414</v>
      </c>
      <c r="AU329" s="880" t="s">
        <v>190</v>
      </c>
      <c r="AV329" s="879" t="s">
        <v>4</v>
      </c>
      <c r="AW329" s="857">
        <v>9191.7999999999993</v>
      </c>
      <c r="AX329" s="857">
        <v>13787.7</v>
      </c>
      <c r="AY329" s="857">
        <v>8804.7999999999993</v>
      </c>
      <c r="AZ329" s="857">
        <v>13787.7</v>
      </c>
      <c r="BA329" s="857">
        <v>8804.7999999999993</v>
      </c>
    </row>
    <row r="330" spans="1:53" s="947" customFormat="1" x14ac:dyDescent="0.25">
      <c r="A330" s="1040"/>
      <c r="B330" s="839" t="s">
        <v>11</v>
      </c>
      <c r="C330" s="858">
        <v>190298.74799999999</v>
      </c>
      <c r="D330" s="858">
        <v>122055.54</v>
      </c>
      <c r="E330" s="858">
        <v>121077.74699999999</v>
      </c>
      <c r="F330" s="858">
        <v>300148.734</v>
      </c>
      <c r="G330" s="858">
        <v>284301.74400000001</v>
      </c>
      <c r="H330" s="858">
        <v>529424.33400000003</v>
      </c>
      <c r="I330" s="858">
        <v>279783.66599999997</v>
      </c>
      <c r="J330" s="858">
        <v>323649.48300000001</v>
      </c>
      <c r="K330" s="858">
        <v>238446.62399999998</v>
      </c>
      <c r="L330" s="858">
        <v>314714.478</v>
      </c>
      <c r="M330" s="858">
        <v>269634.84899999999</v>
      </c>
      <c r="N330" s="858">
        <v>402041.50799999997</v>
      </c>
      <c r="O330" s="858">
        <v>146904.96899999998</v>
      </c>
      <c r="P330" s="858">
        <v>358850.03099999996</v>
      </c>
      <c r="Q330" s="858">
        <v>161807.883</v>
      </c>
      <c r="R330" s="858">
        <v>327425.78700000001</v>
      </c>
      <c r="S330" s="858">
        <v>393275.08799999999</v>
      </c>
      <c r="T330" s="858">
        <v>83618.16</v>
      </c>
      <c r="U330" s="858">
        <v>52935.689999999995</v>
      </c>
      <c r="V330" s="858">
        <v>134834.283</v>
      </c>
      <c r="W330" s="858">
        <v>269702.283</v>
      </c>
      <c r="X330" s="858">
        <v>134834.283</v>
      </c>
      <c r="Y330" s="858">
        <v>269702.283</v>
      </c>
      <c r="Z330" s="858">
        <v>134834.283</v>
      </c>
      <c r="AA330" s="858">
        <v>269702.283</v>
      </c>
      <c r="AB330" s="858">
        <v>404570.283</v>
      </c>
      <c r="AC330" s="858">
        <v>215788.79999999999</v>
      </c>
      <c r="AD330" s="858">
        <v>215755.08299999998</v>
      </c>
      <c r="AE330" s="858">
        <v>215755.08299999998</v>
      </c>
      <c r="AF330" s="858">
        <v>161841.60000000001</v>
      </c>
      <c r="AG330" s="858">
        <v>161841.60000000001</v>
      </c>
      <c r="AH330" s="858"/>
      <c r="AI330" s="858"/>
      <c r="AJ330" s="859">
        <v>6736825.1849999987</v>
      </c>
      <c r="AK330" s="841" t="s">
        <v>11</v>
      </c>
      <c r="AL330" s="858">
        <v>406053.83100000001</v>
      </c>
      <c r="AM330" s="858">
        <v>283897.14</v>
      </c>
      <c r="AN330" s="858">
        <v>1360042.629</v>
      </c>
      <c r="AO330" s="858">
        <v>1948471.713</v>
      </c>
      <c r="AP330" s="858">
        <v>1685310.5279999999</v>
      </c>
      <c r="AQ330" s="858">
        <v>1669227.5189999999</v>
      </c>
      <c r="AR330" s="858">
        <v>136553.85</v>
      </c>
      <c r="AS330" s="858">
        <v>3901596.372</v>
      </c>
      <c r="AT330" s="858">
        <v>3587960.838</v>
      </c>
      <c r="AU330" s="876"/>
      <c r="AV330" s="873" t="s">
        <v>5</v>
      </c>
      <c r="AW330" s="583">
        <v>7975.5</v>
      </c>
      <c r="AX330" s="583">
        <v>13649</v>
      </c>
      <c r="AY330" s="583">
        <v>1289.9000000000001</v>
      </c>
      <c r="AZ330" s="583">
        <v>13642</v>
      </c>
      <c r="BA330" s="583">
        <v>5483.9</v>
      </c>
    </row>
    <row r="331" spans="1:53" s="947" customFormat="1" x14ac:dyDescent="0.25">
      <c r="A331" s="1040"/>
      <c r="B331" s="839" t="s">
        <v>79</v>
      </c>
      <c r="C331" s="858">
        <v>164000</v>
      </c>
      <c r="D331" s="858">
        <v>109880</v>
      </c>
      <c r="E331" s="858">
        <v>109880</v>
      </c>
      <c r="F331" s="858">
        <v>328000</v>
      </c>
      <c r="G331" s="858">
        <v>330905</v>
      </c>
      <c r="H331" s="858">
        <v>264264</v>
      </c>
      <c r="I331" s="858">
        <v>242663.6</v>
      </c>
      <c r="J331" s="858">
        <v>328000</v>
      </c>
      <c r="K331" s="858">
        <v>328000</v>
      </c>
      <c r="L331" s="858">
        <v>328000</v>
      </c>
      <c r="M331" s="858">
        <v>328000</v>
      </c>
      <c r="N331" s="858">
        <v>264264.40000000002</v>
      </c>
      <c r="O331" s="858">
        <v>328000</v>
      </c>
      <c r="P331" s="858">
        <v>352965.4</v>
      </c>
      <c r="Q331" s="858">
        <v>328000</v>
      </c>
      <c r="R331" s="858">
        <v>328000</v>
      </c>
      <c r="S331" s="858">
        <v>328000</v>
      </c>
      <c r="T331" s="858">
        <v>110302</v>
      </c>
      <c r="U331" s="858">
        <v>66181</v>
      </c>
      <c r="V331" s="858">
        <v>204393</v>
      </c>
      <c r="W331" s="858">
        <v>418993</v>
      </c>
      <c r="X331" s="858">
        <v>204393</v>
      </c>
      <c r="Y331" s="858">
        <v>418993</v>
      </c>
      <c r="Z331" s="858">
        <v>204393</v>
      </c>
      <c r="AA331" s="858">
        <v>418993</v>
      </c>
      <c r="AB331" s="858">
        <v>657390.4</v>
      </c>
      <c r="AC331" s="858">
        <v>381742.4</v>
      </c>
      <c r="AD331" s="858">
        <v>448142.4</v>
      </c>
      <c r="AE331" s="858">
        <v>448142.4</v>
      </c>
      <c r="AF331" s="858">
        <v>312388.2</v>
      </c>
      <c r="AG331" s="858">
        <v>312388.2</v>
      </c>
      <c r="AH331" s="858"/>
      <c r="AI331" s="858"/>
      <c r="AJ331" s="859">
        <v>7876596.2000000011</v>
      </c>
      <c r="AK331" s="841" t="s">
        <v>79</v>
      </c>
      <c r="AL331" s="858">
        <v>948179.2</v>
      </c>
      <c r="AM331" s="858">
        <v>613421.60000000009</v>
      </c>
      <c r="AN331" s="858">
        <v>2039292.4</v>
      </c>
      <c r="AO331" s="858">
        <v>2696877.4000000004</v>
      </c>
      <c r="AP331" s="858">
        <v>2826208.6</v>
      </c>
      <c r="AQ331" s="858">
        <v>2310031.4</v>
      </c>
      <c r="AR331" s="858">
        <v>176483</v>
      </c>
      <c r="AS331" s="858">
        <v>5620330.4000000004</v>
      </c>
      <c r="AT331" s="858">
        <v>5990163.1999999993</v>
      </c>
      <c r="AU331" s="877"/>
      <c r="AV331" s="874" t="s">
        <v>3</v>
      </c>
      <c r="AW331" s="849">
        <f>AW330/AW329</f>
        <v>0.86767553689157739</v>
      </c>
      <c r="AX331" s="849">
        <f>AX330/AX329</f>
        <v>0.98994030911609621</v>
      </c>
      <c r="AY331" s="849">
        <f>AY330/AY329</f>
        <v>0.14649963656187537</v>
      </c>
      <c r="AZ331" s="849">
        <f>AZ330/AZ329</f>
        <v>0.98943261022505558</v>
      </c>
      <c r="BA331" s="849">
        <f>BA330/BA329</f>
        <v>0.62283072869343992</v>
      </c>
    </row>
    <row r="332" spans="1:53" s="947" customFormat="1" x14ac:dyDescent="0.25">
      <c r="A332" s="1040"/>
      <c r="B332" s="844" t="s">
        <v>8</v>
      </c>
      <c r="C332" s="861">
        <v>5295</v>
      </c>
      <c r="D332" s="861">
        <v>2985</v>
      </c>
      <c r="E332" s="861">
        <v>3009</v>
      </c>
      <c r="F332" s="861">
        <v>6819</v>
      </c>
      <c r="G332" s="861">
        <v>3366</v>
      </c>
      <c r="H332" s="861">
        <v>13620</v>
      </c>
      <c r="I332" s="861">
        <v>6949</v>
      </c>
      <c r="J332" s="861">
        <v>1379</v>
      </c>
      <c r="K332" s="861">
        <v>6050</v>
      </c>
      <c r="L332" s="861">
        <v>6817</v>
      </c>
      <c r="M332" s="861">
        <v>6350</v>
      </c>
      <c r="N332" s="861">
        <v>10872</v>
      </c>
      <c r="O332" s="861">
        <v>3436</v>
      </c>
      <c r="P332" s="861">
        <v>7753</v>
      </c>
      <c r="Q332" s="861">
        <v>1827</v>
      </c>
      <c r="R332" s="861">
        <v>4669</v>
      </c>
      <c r="S332" s="861">
        <v>10106</v>
      </c>
      <c r="T332" s="598">
        <v>1716</v>
      </c>
      <c r="U332" s="598">
        <v>1103</v>
      </c>
      <c r="V332" s="861">
        <v>1858</v>
      </c>
      <c r="W332" s="861">
        <v>2490</v>
      </c>
      <c r="X332" s="861">
        <v>1149</v>
      </c>
      <c r="Y332" s="861">
        <v>1427</v>
      </c>
      <c r="Z332" s="861">
        <v>561</v>
      </c>
      <c r="AA332" s="861">
        <v>1113</v>
      </c>
      <c r="AB332" s="861">
        <v>2283</v>
      </c>
      <c r="AC332" s="861">
        <v>0</v>
      </c>
      <c r="AD332" s="861">
        <v>479</v>
      </c>
      <c r="AE332" s="861">
        <v>8</v>
      </c>
      <c r="AF332" s="861">
        <v>24</v>
      </c>
      <c r="AG332" s="861">
        <v>24</v>
      </c>
      <c r="AH332" s="861"/>
      <c r="AI332" s="861"/>
      <c r="AJ332" s="840">
        <v>114455</v>
      </c>
      <c r="AK332" s="846" t="s">
        <v>8</v>
      </c>
      <c r="AL332" s="858">
        <v>5303</v>
      </c>
      <c r="AM332" s="858">
        <v>3009</v>
      </c>
      <c r="AN332" s="858">
        <v>27735</v>
      </c>
      <c r="AO332" s="858">
        <v>24977</v>
      </c>
      <c r="AP332" s="858">
        <v>29611</v>
      </c>
      <c r="AQ332" s="858">
        <v>22083</v>
      </c>
      <c r="AR332" s="858">
        <v>2819</v>
      </c>
      <c r="AS332" s="858">
        <v>50069</v>
      </c>
      <c r="AT332" s="858">
        <v>65468</v>
      </c>
      <c r="AU332" s="877" t="s">
        <v>191</v>
      </c>
      <c r="AV332" s="839" t="s">
        <v>4</v>
      </c>
      <c r="AW332" s="840">
        <v>97433.600000000006</v>
      </c>
      <c r="AX332" s="840">
        <v>243584.4</v>
      </c>
      <c r="AY332" s="840">
        <v>132070.29999999999</v>
      </c>
      <c r="AZ332" s="840">
        <v>292299.3</v>
      </c>
      <c r="BA332" s="840">
        <v>132070.39999999999</v>
      </c>
    </row>
    <row r="333" spans="1:53" s="947" customFormat="1" x14ac:dyDescent="0.25">
      <c r="A333" s="1040"/>
      <c r="B333" s="839" t="s">
        <v>77</v>
      </c>
      <c r="C333" s="858">
        <v>178531.51499999998</v>
      </c>
      <c r="D333" s="858">
        <v>100645.245</v>
      </c>
      <c r="E333" s="858">
        <v>101454.45299999999</v>
      </c>
      <c r="F333" s="858">
        <v>229916.223</v>
      </c>
      <c r="G333" s="858">
        <v>113491.42199999999</v>
      </c>
      <c r="H333" s="858">
        <v>459225.54</v>
      </c>
      <c r="I333" s="858">
        <v>234299.43299999999</v>
      </c>
      <c r="J333" s="858">
        <v>46495.742999999995</v>
      </c>
      <c r="K333" s="858">
        <v>203987.85</v>
      </c>
      <c r="L333" s="858">
        <v>229848.78899999999</v>
      </c>
      <c r="M333" s="858">
        <v>214102.94999999998</v>
      </c>
      <c r="N333" s="858">
        <v>366571.22399999999</v>
      </c>
      <c r="O333" s="858">
        <v>115851.61199999999</v>
      </c>
      <c r="P333" s="858">
        <v>173271.663</v>
      </c>
      <c r="Q333" s="858">
        <v>61600.958999999995</v>
      </c>
      <c r="R333" s="858">
        <v>157424.67299999998</v>
      </c>
      <c r="S333" s="858">
        <v>340744.00199999998</v>
      </c>
      <c r="T333" s="863">
        <v>57858.371999999996</v>
      </c>
      <c r="U333" s="863">
        <v>37189.850999999995</v>
      </c>
      <c r="V333" s="863">
        <v>62646.185999999994</v>
      </c>
      <c r="W333" s="863">
        <v>83955.33</v>
      </c>
      <c r="X333" s="863">
        <v>38740.832999999999</v>
      </c>
      <c r="Y333" s="863">
        <v>48114.159</v>
      </c>
      <c r="Z333" s="863">
        <v>18915.237000000001</v>
      </c>
      <c r="AA333" s="863">
        <v>37527.021000000001</v>
      </c>
      <c r="AB333" s="863">
        <v>76975.910999999993</v>
      </c>
      <c r="AC333" s="863">
        <v>0</v>
      </c>
      <c r="AD333" s="863">
        <v>16150.442999999999</v>
      </c>
      <c r="AE333" s="863">
        <v>269.73599999999999</v>
      </c>
      <c r="AF333" s="863">
        <v>809.20799999999997</v>
      </c>
      <c r="AG333" s="863">
        <v>809.20799999999997</v>
      </c>
      <c r="AH333" s="863"/>
      <c r="AI333" s="863"/>
      <c r="AJ333" s="864">
        <v>3770942.997</v>
      </c>
      <c r="AK333" s="841" t="s">
        <v>77</v>
      </c>
      <c r="AL333" s="858">
        <v>178801.25099999999</v>
      </c>
      <c r="AM333" s="858">
        <v>101454.45299999999</v>
      </c>
      <c r="AN333" s="858">
        <v>935140.995</v>
      </c>
      <c r="AO333" s="858">
        <v>842149.50899999996</v>
      </c>
      <c r="AP333" s="858">
        <v>998394.08699999994</v>
      </c>
      <c r="AQ333" s="858">
        <v>744572.51099999994</v>
      </c>
      <c r="AR333" s="858">
        <v>95048.222999999998</v>
      </c>
      <c r="AS333" s="858">
        <v>1688176.473</v>
      </c>
      <c r="AT333" s="858">
        <v>2207384.5559999999</v>
      </c>
      <c r="AU333" s="956"/>
      <c r="AV333" s="844" t="s">
        <v>5</v>
      </c>
      <c r="AW333" s="583">
        <v>38973.199999999997</v>
      </c>
      <c r="AX333" s="583">
        <v>124350.5</v>
      </c>
      <c r="AY333" s="583">
        <v>3817.1</v>
      </c>
      <c r="AZ333" s="583">
        <v>109009</v>
      </c>
      <c r="BA333" s="583">
        <v>33401</v>
      </c>
    </row>
    <row r="334" spans="1:53" s="947" customFormat="1" x14ac:dyDescent="0.25">
      <c r="A334" s="1040"/>
      <c r="B334" s="848" t="s">
        <v>217</v>
      </c>
      <c r="C334" s="849">
        <v>0.71407350419009152</v>
      </c>
      <c r="D334" s="849">
        <v>0.66866497205957864</v>
      </c>
      <c r="E334" s="866">
        <v>0.67404117283995724</v>
      </c>
      <c r="F334" s="866">
        <v>1.2632842798963511</v>
      </c>
      <c r="G334" s="866">
        <v>0.68464961086642162</v>
      </c>
      <c r="H334" s="866">
        <v>1.1789978049062271</v>
      </c>
      <c r="I334" s="866">
        <v>1.3624000686144246</v>
      </c>
      <c r="J334" s="866">
        <v>0.27996328833439704</v>
      </c>
      <c r="K334" s="866">
        <v>1.644808626406234</v>
      </c>
      <c r="L334" s="866">
        <v>1.0257846122125467</v>
      </c>
      <c r="M334" s="866">
        <v>1.109174471621118</v>
      </c>
      <c r="N334" s="866">
        <v>0.83650063358601467</v>
      </c>
      <c r="O334" s="866">
        <v>1.3951503634445583</v>
      </c>
      <c r="P334" s="866">
        <v>0.62749940969918561</v>
      </c>
      <c r="Q334" s="866">
        <v>0.74183344412491503</v>
      </c>
      <c r="R334" s="866">
        <v>0.82155386596889002</v>
      </c>
      <c r="S334" s="866">
        <v>1.2991171261917678</v>
      </c>
      <c r="T334" s="849">
        <v>1.0490901706224727</v>
      </c>
      <c r="U334" s="849">
        <v>1.1238830177845605</v>
      </c>
      <c r="V334" s="849">
        <v>0.61299737270845867</v>
      </c>
      <c r="W334" s="849">
        <v>0.40074812705701529</v>
      </c>
      <c r="X334" s="849">
        <v>0.37908179830033317</v>
      </c>
      <c r="Y334" s="849">
        <v>0.22966569369894008</v>
      </c>
      <c r="Z334" s="849">
        <v>0.18508693546256477</v>
      </c>
      <c r="AA334" s="849">
        <v>0.1791295845037984</v>
      </c>
      <c r="AB334" s="849">
        <v>0.23418629478008804</v>
      </c>
      <c r="AC334" s="849">
        <v>0</v>
      </c>
      <c r="AD334" s="849">
        <v>7.2077281685464262E-2</v>
      </c>
      <c r="AE334" s="849">
        <v>1.2037959362916786E-3</v>
      </c>
      <c r="AF334" s="849">
        <v>5.1807846775262312E-3</v>
      </c>
      <c r="AG334" s="849">
        <v>5.1807846775262312E-3</v>
      </c>
      <c r="AH334" s="849"/>
      <c r="AI334" s="849"/>
      <c r="AJ334" s="851">
        <v>0.74815639395309075</v>
      </c>
      <c r="AK334" s="852" t="s">
        <v>217</v>
      </c>
      <c r="AL334" s="849">
        <v>0.37714653727902908</v>
      </c>
      <c r="AM334" s="849">
        <v>0.33078213417982016</v>
      </c>
      <c r="AN334" s="849">
        <v>0.91712301286465836</v>
      </c>
      <c r="AO334" s="849">
        <v>0.6245367394157405</v>
      </c>
      <c r="AP334" s="849">
        <v>0.70652540438805533</v>
      </c>
      <c r="AQ334" s="849">
        <v>0.64464276199881954</v>
      </c>
      <c r="AR334" s="849">
        <v>1.0771374353337149</v>
      </c>
      <c r="AS334" s="849">
        <v>0.60073922807100444</v>
      </c>
      <c r="AT334" s="849">
        <v>0.73700314408796075</v>
      </c>
      <c r="AU334" s="956"/>
      <c r="AV334" s="848" t="s">
        <v>3</v>
      </c>
      <c r="AW334" s="849">
        <f>AW333/AW332</f>
        <v>0.39999753678402516</v>
      </c>
      <c r="AX334" s="849">
        <f>AX333/AX332</f>
        <v>0.51050272513346506</v>
      </c>
      <c r="AY334" s="849">
        <f>AY333/AY332</f>
        <v>2.8902031720984961E-2</v>
      </c>
      <c r="AZ334" s="849">
        <f>AZ333/AZ332</f>
        <v>0.37293623351133581</v>
      </c>
      <c r="BA334" s="849">
        <f>BA333/BA332</f>
        <v>0.25290299718937781</v>
      </c>
    </row>
    <row r="335" spans="1:53" s="947" customFormat="1" x14ac:dyDescent="0.25">
      <c r="A335" s="956"/>
      <c r="B335" s="848" t="s">
        <v>218</v>
      </c>
      <c r="C335" s="598">
        <v>168060</v>
      </c>
      <c r="D335" s="598">
        <v>100240</v>
      </c>
      <c r="E335" s="598">
        <v>101049</v>
      </c>
      <c r="F335" s="598">
        <v>211912</v>
      </c>
      <c r="G335" s="598">
        <v>111205</v>
      </c>
      <c r="H335" s="598">
        <v>444187</v>
      </c>
      <c r="I335" s="598">
        <v>159522</v>
      </c>
      <c r="J335" s="598">
        <v>46536.5</v>
      </c>
      <c r="K335" s="598">
        <v>145570</v>
      </c>
      <c r="L335" s="598">
        <v>230236</v>
      </c>
      <c r="M335" s="598">
        <v>210122</v>
      </c>
      <c r="N335" s="598">
        <v>366652</v>
      </c>
      <c r="O335" s="598">
        <v>115895</v>
      </c>
      <c r="P335" s="598">
        <v>145017</v>
      </c>
      <c r="Q335" s="598">
        <v>61652.2</v>
      </c>
      <c r="R335" s="598">
        <v>143662</v>
      </c>
      <c r="S335" s="598">
        <v>340930</v>
      </c>
      <c r="T335" s="598">
        <v>57858.1</v>
      </c>
      <c r="U335" s="598">
        <v>37189.699999999997</v>
      </c>
      <c r="V335" s="598">
        <v>62679.7</v>
      </c>
      <c r="W335" s="598">
        <v>62679.7</v>
      </c>
      <c r="X335" s="598">
        <v>38793.300000000003</v>
      </c>
      <c r="Y335" s="598">
        <v>38759.599999999999</v>
      </c>
      <c r="Z335" s="598">
        <v>18949</v>
      </c>
      <c r="AA335" s="598">
        <v>18949</v>
      </c>
      <c r="AB335" s="598">
        <v>77041.899999999994</v>
      </c>
      <c r="AC335" s="598">
        <v>0</v>
      </c>
      <c r="AD335" s="598">
        <v>16187.3</v>
      </c>
      <c r="AE335" s="598">
        <v>303.45100000000002</v>
      </c>
      <c r="AF335" s="598">
        <v>809.20299999999997</v>
      </c>
      <c r="AG335" s="598">
        <v>809.20299999999997</v>
      </c>
      <c r="AH335" s="598"/>
      <c r="AI335" s="598"/>
      <c r="AJ335" s="867">
        <v>3496860.9000000008</v>
      </c>
      <c r="AK335" s="852" t="s">
        <v>218</v>
      </c>
      <c r="AL335" s="861">
        <v>168363.451</v>
      </c>
      <c r="AM335" s="861">
        <v>101049.20299999999</v>
      </c>
      <c r="AN335" s="861">
        <v>902522.3</v>
      </c>
      <c r="AO335" s="861">
        <v>685113.70299999998</v>
      </c>
      <c r="AP335" s="861">
        <v>994745.9</v>
      </c>
      <c r="AQ335" s="861">
        <v>586614.5</v>
      </c>
      <c r="AR335" s="861">
        <v>95047.799999999988</v>
      </c>
      <c r="AS335" s="861">
        <v>1372777.406</v>
      </c>
      <c r="AT335" s="861">
        <v>2160679.4509999999</v>
      </c>
      <c r="AU335" s="956" t="s">
        <v>219</v>
      </c>
      <c r="AV335" s="848" t="s">
        <v>3</v>
      </c>
      <c r="AW335" s="849">
        <f>(AW328+AW334)/2</f>
        <v>0.38119624665106289</v>
      </c>
      <c r="AX335" s="849">
        <f t="shared" ref="AX335:BA335" si="81">(AX328+AX334)/2</f>
        <v>0.47677983409520408</v>
      </c>
      <c r="AY335" s="849">
        <f t="shared" si="81"/>
        <v>2.9589946651719472E-2</v>
      </c>
      <c r="AZ335" s="849">
        <f t="shared" si="81"/>
        <v>0.45412051337057324</v>
      </c>
      <c r="BA335" s="849">
        <f t="shared" si="81"/>
        <v>0.31543211186862841</v>
      </c>
    </row>
    <row r="336" spans="1:53" s="947" customFormat="1" x14ac:dyDescent="0.25">
      <c r="A336" s="956"/>
      <c r="B336" s="848" t="s">
        <v>216</v>
      </c>
      <c r="C336" s="866">
        <v>0.67219052677722924</v>
      </c>
      <c r="D336" s="866">
        <v>0.66597261300573285</v>
      </c>
      <c r="E336" s="866">
        <v>0.67134743187965185</v>
      </c>
      <c r="F336" s="866">
        <v>1.164359325446102</v>
      </c>
      <c r="G336" s="866">
        <v>0.67085651615503084</v>
      </c>
      <c r="H336" s="866">
        <v>1.1403884417401573</v>
      </c>
      <c r="I336" s="866">
        <v>0.92758561539289031</v>
      </c>
      <c r="J336" s="866">
        <v>0.28020869711822155</v>
      </c>
      <c r="K336" s="866">
        <v>1.1737698678914232</v>
      </c>
      <c r="L336" s="866">
        <v>1.0275126834684689</v>
      </c>
      <c r="M336" s="866">
        <v>1.088550897248135</v>
      </c>
      <c r="N336" s="866">
        <v>0.83668496113480917</v>
      </c>
      <c r="O336" s="866">
        <v>1.3956728661782203</v>
      </c>
      <c r="P336" s="866">
        <v>0.52517578651245933</v>
      </c>
      <c r="Q336" s="866">
        <v>0.7424505171076653</v>
      </c>
      <c r="R336" s="866">
        <v>0.74973045357904411</v>
      </c>
      <c r="S336" s="866">
        <v>1.2998262602801718</v>
      </c>
      <c r="T336" s="866">
        <v>1.0490852387082736</v>
      </c>
      <c r="U336" s="866">
        <v>1.1238784545413336</v>
      </c>
      <c r="V336" s="866">
        <v>0.61332530957518117</v>
      </c>
      <c r="W336" s="866">
        <v>0.29919211060805312</v>
      </c>
      <c r="X336" s="866">
        <v>0.37959519161615124</v>
      </c>
      <c r="Y336" s="866">
        <v>0.18501311477757384</v>
      </c>
      <c r="Z336" s="866">
        <v>0.18541730881194562</v>
      </c>
      <c r="AA336" s="866">
        <v>9.0450198452002778E-2</v>
      </c>
      <c r="AB336" s="866">
        <v>0.23438705524145162</v>
      </c>
      <c r="AC336" s="866">
        <v>0</v>
      </c>
      <c r="AD336" s="866">
        <v>7.2241769580383378E-2</v>
      </c>
      <c r="AE336" s="866">
        <v>1.3542615025938184E-3</v>
      </c>
      <c r="AF336" s="866">
        <v>5.1807526660738144E-3</v>
      </c>
      <c r="AG336" s="866">
        <v>5.1807526660738144E-3</v>
      </c>
      <c r="AH336" s="866"/>
      <c r="AI336" s="866"/>
      <c r="AJ336" s="869">
        <v>0.69377841117749472</v>
      </c>
      <c r="AK336" s="852" t="s">
        <v>216</v>
      </c>
      <c r="AL336" s="849">
        <v>0.35513002394484083</v>
      </c>
      <c r="AM336" s="849">
        <v>0.32946085693754501</v>
      </c>
      <c r="AN336" s="849">
        <v>0.88513280390786542</v>
      </c>
      <c r="AO336" s="849">
        <v>0.50807923489588358</v>
      </c>
      <c r="AP336" s="849">
        <v>0.70394372163470165</v>
      </c>
      <c r="AQ336" s="849">
        <v>0.50788443828079566</v>
      </c>
      <c r="AR336" s="849">
        <v>1.0771326416708691</v>
      </c>
      <c r="AS336" s="849">
        <v>0.4885041655202334</v>
      </c>
      <c r="AT336" s="849">
        <v>0.72140921001952008</v>
      </c>
      <c r="AU336" s="956"/>
      <c r="AV336" s="848"/>
      <c r="AW336" s="849"/>
      <c r="AX336" s="849"/>
      <c r="AY336" s="849"/>
      <c r="AZ336" s="849"/>
      <c r="BA336" s="849"/>
    </row>
    <row r="337" spans="1:53" s="743" customFormat="1" x14ac:dyDescent="0.25">
      <c r="A337" s="1041">
        <v>41815</v>
      </c>
      <c r="B337" s="1041"/>
      <c r="C337" s="1041"/>
      <c r="D337" s="529"/>
      <c r="E337" s="529"/>
      <c r="F337" s="529"/>
      <c r="G337" s="529"/>
      <c r="H337" s="529"/>
      <c r="I337" s="525"/>
      <c r="J337" s="531"/>
      <c r="K337" s="531"/>
      <c r="L337" s="529"/>
      <c r="M337" s="529"/>
      <c r="N337" s="527"/>
      <c r="R337" s="526"/>
      <c r="S337" s="534"/>
      <c r="T337" s="534"/>
      <c r="U337" s="534"/>
      <c r="V337" s="534"/>
      <c r="W337" s="534"/>
      <c r="X337" s="534"/>
      <c r="Y337" s="534"/>
      <c r="Z337" s="534"/>
      <c r="AA337" s="534"/>
      <c r="AB337" s="534"/>
      <c r="AC337" s="534"/>
      <c r="AD337" s="534"/>
      <c r="AE337" s="534"/>
      <c r="AF337" s="534"/>
      <c r="AG337" s="534"/>
      <c r="AH337" s="534"/>
      <c r="AI337" s="534"/>
      <c r="AJ337" s="534"/>
      <c r="AK337" s="534"/>
      <c r="AL337" s="534"/>
      <c r="AM337" s="534"/>
      <c r="AN337" s="534"/>
      <c r="AO337" s="534"/>
    </row>
    <row r="338" spans="1:53" s="743" customFormat="1" x14ac:dyDescent="0.25">
      <c r="A338" s="1042" t="s">
        <v>1</v>
      </c>
      <c r="B338" s="1042"/>
      <c r="C338" s="909" t="s">
        <v>12</v>
      </c>
      <c r="D338" s="909" t="s">
        <v>12</v>
      </c>
      <c r="E338" s="909" t="s">
        <v>13</v>
      </c>
      <c r="F338" s="909" t="s">
        <v>13</v>
      </c>
      <c r="G338" s="909" t="s">
        <v>13</v>
      </c>
      <c r="H338" s="909" t="s">
        <v>13</v>
      </c>
      <c r="I338" s="909" t="s">
        <v>13</v>
      </c>
      <c r="J338" s="909" t="s">
        <v>13</v>
      </c>
      <c r="K338" s="909" t="s">
        <v>13</v>
      </c>
      <c r="L338" s="909" t="s">
        <v>13</v>
      </c>
      <c r="M338" s="829" t="s">
        <v>2</v>
      </c>
      <c r="N338" s="909" t="s">
        <v>2</v>
      </c>
      <c r="O338" s="909" t="s">
        <v>2</v>
      </c>
      <c r="P338" s="909" t="s">
        <v>2</v>
      </c>
      <c r="Q338" s="909" t="s">
        <v>2</v>
      </c>
      <c r="R338" s="909" t="s">
        <v>2</v>
      </c>
      <c r="S338" s="909" t="s">
        <v>2</v>
      </c>
      <c r="T338" s="830" t="s">
        <v>183</v>
      </c>
      <c r="U338" s="830" t="s">
        <v>183</v>
      </c>
      <c r="V338" s="830" t="s">
        <v>2</v>
      </c>
      <c r="W338" s="830" t="s">
        <v>13</v>
      </c>
      <c r="X338" s="830" t="s">
        <v>13</v>
      </c>
      <c r="Y338" s="830" t="s">
        <v>2</v>
      </c>
      <c r="Z338" s="830" t="s">
        <v>13</v>
      </c>
      <c r="AA338" s="830" t="s">
        <v>2</v>
      </c>
      <c r="AB338" s="888" t="s">
        <v>2</v>
      </c>
      <c r="AC338" s="888" t="s">
        <v>2</v>
      </c>
      <c r="AD338" s="888"/>
      <c r="AE338" s="888"/>
      <c r="AF338" s="888"/>
      <c r="AG338" s="888"/>
      <c r="AH338" s="888"/>
      <c r="AI338" s="888"/>
      <c r="AJ338" s="831" t="s">
        <v>219</v>
      </c>
      <c r="AK338" s="1042" t="s">
        <v>0</v>
      </c>
      <c r="AL338" s="1042"/>
      <c r="AM338" s="833"/>
      <c r="AN338" s="833"/>
      <c r="AO338" s="833"/>
      <c r="AP338" s="833"/>
      <c r="AQ338" s="833"/>
      <c r="AR338" s="833"/>
      <c r="AS338" s="833"/>
      <c r="AT338" s="833"/>
      <c r="AU338" s="1042" t="s">
        <v>1</v>
      </c>
      <c r="AV338" s="1043"/>
      <c r="AW338" s="909" t="s">
        <v>12</v>
      </c>
      <c r="AX338" s="1044" t="s">
        <v>13</v>
      </c>
      <c r="AY338" s="1045"/>
      <c r="AZ338" s="1044" t="s">
        <v>2</v>
      </c>
      <c r="BA338" s="1045"/>
    </row>
    <row r="339" spans="1:53" s="743" customFormat="1" x14ac:dyDescent="0.25">
      <c r="A339" s="1042" t="s">
        <v>0</v>
      </c>
      <c r="B339" s="1042"/>
      <c r="C339" s="834" t="s">
        <v>99</v>
      </c>
      <c r="D339" s="835" t="s">
        <v>100</v>
      </c>
      <c r="E339" s="835" t="s">
        <v>101</v>
      </c>
      <c r="F339" s="834" t="s">
        <v>102</v>
      </c>
      <c r="G339" s="835" t="s">
        <v>97</v>
      </c>
      <c r="H339" s="834" t="s">
        <v>104</v>
      </c>
      <c r="I339" s="835" t="s">
        <v>103</v>
      </c>
      <c r="J339" s="835" t="s">
        <v>178</v>
      </c>
      <c r="K339" s="835" t="s">
        <v>199</v>
      </c>
      <c r="L339" s="834" t="s">
        <v>206</v>
      </c>
      <c r="M339" s="834" t="s">
        <v>105</v>
      </c>
      <c r="N339" s="834" t="s">
        <v>107</v>
      </c>
      <c r="O339" s="835" t="s">
        <v>98</v>
      </c>
      <c r="P339" s="835" t="s">
        <v>106</v>
      </c>
      <c r="Q339" s="835" t="s">
        <v>179</v>
      </c>
      <c r="R339" s="835" t="s">
        <v>198</v>
      </c>
      <c r="S339" s="834" t="s">
        <v>207</v>
      </c>
      <c r="T339" s="834" t="s">
        <v>182</v>
      </c>
      <c r="U339" s="834" t="s">
        <v>184</v>
      </c>
      <c r="V339" s="835" t="s">
        <v>221</v>
      </c>
      <c r="W339" s="835" t="s">
        <v>222</v>
      </c>
      <c r="X339" s="835" t="s">
        <v>255</v>
      </c>
      <c r="Y339" s="835" t="s">
        <v>256</v>
      </c>
      <c r="Z339" s="835" t="s">
        <v>266</v>
      </c>
      <c r="AA339" s="835" t="s">
        <v>267</v>
      </c>
      <c r="AB339" s="889" t="s">
        <v>268</v>
      </c>
      <c r="AC339" s="889" t="s">
        <v>269</v>
      </c>
      <c r="AD339" s="889"/>
      <c r="AE339" s="889"/>
      <c r="AF339" s="889"/>
      <c r="AG339" s="889"/>
      <c r="AH339" s="889"/>
      <c r="AI339" s="889"/>
      <c r="AJ339" s="836"/>
      <c r="AK339" s="903" t="s">
        <v>1</v>
      </c>
      <c r="AL339" s="838" t="s">
        <v>257</v>
      </c>
      <c r="AM339" s="838" t="s">
        <v>258</v>
      </c>
      <c r="AN339" s="838" t="s">
        <v>259</v>
      </c>
      <c r="AO339" s="838" t="s">
        <v>260</v>
      </c>
      <c r="AP339" s="838" t="s">
        <v>261</v>
      </c>
      <c r="AQ339" s="838" t="s">
        <v>262</v>
      </c>
      <c r="AR339" s="838" t="s">
        <v>263</v>
      </c>
      <c r="AS339" s="904" t="s">
        <v>264</v>
      </c>
      <c r="AT339" s="904" t="s">
        <v>265</v>
      </c>
      <c r="AU339" s="1046" t="s">
        <v>0</v>
      </c>
      <c r="AV339" s="1043"/>
      <c r="AW339" s="834" t="s">
        <v>99</v>
      </c>
      <c r="AX339" s="834" t="s">
        <v>104</v>
      </c>
      <c r="AY339" s="834" t="s">
        <v>206</v>
      </c>
      <c r="AZ339" s="834" t="s">
        <v>107</v>
      </c>
      <c r="BA339" s="834" t="s">
        <v>207</v>
      </c>
    </row>
    <row r="340" spans="1:53" s="743" customFormat="1" x14ac:dyDescent="0.25">
      <c r="A340" s="1047" t="s">
        <v>9</v>
      </c>
      <c r="B340" s="839" t="s">
        <v>4</v>
      </c>
      <c r="C340" s="840">
        <v>250018.4</v>
      </c>
      <c r="D340" s="840">
        <v>150516.70000000001</v>
      </c>
      <c r="E340" s="840">
        <v>150516.70000000001</v>
      </c>
      <c r="F340" s="840">
        <v>181998.8</v>
      </c>
      <c r="G340" s="840">
        <v>165765.70000000001</v>
      </c>
      <c r="H340" s="840">
        <v>389505</v>
      </c>
      <c r="I340" s="840">
        <v>171975.5</v>
      </c>
      <c r="J340" s="840">
        <v>166078</v>
      </c>
      <c r="K340" s="840">
        <v>124019.2</v>
      </c>
      <c r="L340" s="840">
        <v>224071.2</v>
      </c>
      <c r="M340" s="840">
        <v>193029.1</v>
      </c>
      <c r="N340" s="840">
        <v>438219.9</v>
      </c>
      <c r="O340" s="840">
        <v>83038.8</v>
      </c>
      <c r="P340" s="840">
        <v>276130.40000000002</v>
      </c>
      <c r="Q340" s="840">
        <v>83038.8</v>
      </c>
      <c r="R340" s="840">
        <v>191618.2</v>
      </c>
      <c r="S340" s="840">
        <v>257886.5</v>
      </c>
      <c r="T340" s="840">
        <v>55151</v>
      </c>
      <c r="U340" s="840">
        <v>33090.5</v>
      </c>
      <c r="V340" s="840">
        <v>102196.5</v>
      </c>
      <c r="W340" s="840">
        <v>209496.5</v>
      </c>
      <c r="X340" s="840">
        <v>102196.5</v>
      </c>
      <c r="Y340" s="840">
        <v>209496.5</v>
      </c>
      <c r="Z340" s="840">
        <v>102196.5</v>
      </c>
      <c r="AA340" s="840">
        <v>209496.5</v>
      </c>
      <c r="AB340" s="840">
        <v>328695.2</v>
      </c>
      <c r="AC340" s="901">
        <v>190871.2</v>
      </c>
      <c r="AD340" s="901"/>
      <c r="AE340" s="901"/>
      <c r="AF340" s="901"/>
      <c r="AG340" s="901"/>
      <c r="AH340" s="901"/>
      <c r="AI340" s="901"/>
      <c r="AJ340" s="840">
        <v>5040313.8</v>
      </c>
      <c r="AK340" s="841" t="s">
        <v>4</v>
      </c>
      <c r="AL340" s="863">
        <v>250018.4</v>
      </c>
      <c r="AM340" s="863">
        <v>150516.70000000001</v>
      </c>
      <c r="AN340" s="863">
        <v>795575</v>
      </c>
      <c r="AO340" s="863">
        <v>1192244.6000000001</v>
      </c>
      <c r="AP340" s="863">
        <v>1408701.9</v>
      </c>
      <c r="AQ340" s="863">
        <v>1155015.7</v>
      </c>
      <c r="AR340" s="863">
        <v>88241.5</v>
      </c>
      <c r="AS340" s="863">
        <v>2497777</v>
      </c>
      <c r="AT340" s="863">
        <v>2542536.7999999998</v>
      </c>
      <c r="AU340" s="875" t="s">
        <v>194</v>
      </c>
      <c r="AV340" s="872" t="s">
        <v>4</v>
      </c>
      <c r="AW340" s="840">
        <v>143393</v>
      </c>
      <c r="AX340" s="840">
        <v>132132</v>
      </c>
      <c r="AY340" s="840">
        <v>83196.100000000006</v>
      </c>
      <c r="AZ340" s="840">
        <v>132132.20000000001</v>
      </c>
      <c r="BA340" s="840">
        <v>83196.100000000006</v>
      </c>
    </row>
    <row r="341" spans="1:53" s="743" customFormat="1" x14ac:dyDescent="0.25">
      <c r="A341" s="1047"/>
      <c r="B341" s="844" t="s">
        <v>5</v>
      </c>
      <c r="C341" s="583">
        <v>103325.3</v>
      </c>
      <c r="D341" s="583">
        <v>83852.899999999994</v>
      </c>
      <c r="E341" s="583">
        <v>84562</v>
      </c>
      <c r="F341" s="583">
        <v>138278.6</v>
      </c>
      <c r="G341" s="583">
        <v>115998.6</v>
      </c>
      <c r="H341" s="583">
        <v>216361.2</v>
      </c>
      <c r="I341" s="583">
        <v>122404.6</v>
      </c>
      <c r="J341" s="583">
        <v>50371.5</v>
      </c>
      <c r="K341" s="583">
        <v>84259.7</v>
      </c>
      <c r="L341" s="583">
        <v>77122.2</v>
      </c>
      <c r="M341" s="583">
        <v>135743</v>
      </c>
      <c r="N341" s="583">
        <v>212220.5</v>
      </c>
      <c r="O341" s="583">
        <v>58538.9</v>
      </c>
      <c r="P341" s="583">
        <v>226479.2</v>
      </c>
      <c r="Q341" s="583">
        <v>26043.7</v>
      </c>
      <c r="R341" s="583">
        <v>133249.60000000001</v>
      </c>
      <c r="S341" s="583">
        <v>173308.3</v>
      </c>
      <c r="T341" s="583">
        <v>16593.7</v>
      </c>
      <c r="U341" s="583">
        <v>10226.6</v>
      </c>
      <c r="V341" s="583">
        <v>14861.3</v>
      </c>
      <c r="W341" s="583">
        <v>29722.3</v>
      </c>
      <c r="X341" s="583">
        <v>15463.1</v>
      </c>
      <c r="Y341" s="583">
        <v>30918.400000000001</v>
      </c>
      <c r="Z341" s="583">
        <v>3.1</v>
      </c>
      <c r="AA341" s="583">
        <v>6</v>
      </c>
      <c r="AB341" s="583">
        <v>23398.3</v>
      </c>
      <c r="AC341" s="583">
        <v>4.9000000000000004</v>
      </c>
      <c r="AD341" s="913"/>
      <c r="AE341" s="913"/>
      <c r="AF341" s="913"/>
      <c r="AG341" s="913"/>
      <c r="AH341" s="913"/>
      <c r="AI341" s="913"/>
      <c r="AJ341" s="845">
        <v>2176186.7999999998</v>
      </c>
      <c r="AK341" s="846" t="s">
        <v>5</v>
      </c>
      <c r="AL341" s="863">
        <v>103064.3</v>
      </c>
      <c r="AM341" s="863">
        <v>83794.5</v>
      </c>
      <c r="AN341" s="863">
        <v>429665.80000000005</v>
      </c>
      <c r="AO341" s="863">
        <v>501365.5</v>
      </c>
      <c r="AP341" s="863">
        <v>542818.6</v>
      </c>
      <c r="AQ341" s="863">
        <v>488657.8</v>
      </c>
      <c r="AR341" s="863">
        <v>26820.300000000003</v>
      </c>
      <c r="AS341" s="863">
        <v>1073817.8</v>
      </c>
      <c r="AT341" s="863">
        <v>1102369.0000000002</v>
      </c>
      <c r="AU341" s="876"/>
      <c r="AV341" s="873" t="s">
        <v>5</v>
      </c>
      <c r="AW341" s="583">
        <v>51964.9</v>
      </c>
      <c r="AX341" s="583">
        <v>58542</v>
      </c>
      <c r="AY341" s="583">
        <v>2519</v>
      </c>
      <c r="AZ341" s="583">
        <v>70731</v>
      </c>
      <c r="BA341" s="583">
        <v>31444.9</v>
      </c>
    </row>
    <row r="342" spans="1:53" s="743" customFormat="1" x14ac:dyDescent="0.25">
      <c r="A342" s="1047"/>
      <c r="B342" s="848" t="s">
        <v>3</v>
      </c>
      <c r="C342" s="849">
        <v>0.41327078327035133</v>
      </c>
      <c r="D342" s="849">
        <v>0.55710030847075431</v>
      </c>
      <c r="E342" s="849">
        <v>0.56181141361722653</v>
      </c>
      <c r="F342" s="850">
        <v>0.75977753699474948</v>
      </c>
      <c r="G342" s="849">
        <v>0.69977444067138139</v>
      </c>
      <c r="H342" s="849">
        <v>0.55547733661955567</v>
      </c>
      <c r="I342" s="849">
        <v>0.71175603501661577</v>
      </c>
      <c r="J342" s="849">
        <v>0.30330025650597914</v>
      </c>
      <c r="K342" s="849">
        <v>0.67940851094024146</v>
      </c>
      <c r="L342" s="849">
        <v>0.34418613369321893</v>
      </c>
      <c r="M342" s="850">
        <v>0.7032255758328666</v>
      </c>
      <c r="N342" s="849">
        <v>0.48427855512723178</v>
      </c>
      <c r="O342" s="849">
        <v>0.70495840498658457</v>
      </c>
      <c r="P342" s="849">
        <v>0.82018930186607486</v>
      </c>
      <c r="Q342" s="849">
        <v>0.31363290413637962</v>
      </c>
      <c r="R342" s="849">
        <v>0.695391147604977</v>
      </c>
      <c r="S342" s="849">
        <v>0.67203323942897353</v>
      </c>
      <c r="T342" s="849">
        <v>0.30087759061485742</v>
      </c>
      <c r="U342" s="849">
        <v>0.30904942506157357</v>
      </c>
      <c r="V342" s="849">
        <v>0.14541887442329238</v>
      </c>
      <c r="W342" s="849">
        <v>0.14187492392474338</v>
      </c>
      <c r="X342" s="849">
        <v>0.15130753010132442</v>
      </c>
      <c r="Y342" s="849">
        <v>0.14758432718446371</v>
      </c>
      <c r="Z342" s="849">
        <v>3.0333719843634569E-5</v>
      </c>
      <c r="AA342" s="849">
        <v>2.8640096612592574E-5</v>
      </c>
      <c r="AB342" s="849">
        <v>7.1185402159812491E-2</v>
      </c>
      <c r="AC342" s="849">
        <v>2.5671761900171424E-5</v>
      </c>
      <c r="AD342" s="914"/>
      <c r="AE342" s="914"/>
      <c r="AF342" s="914"/>
      <c r="AG342" s="914"/>
      <c r="AH342" s="914"/>
      <c r="AI342" s="914"/>
      <c r="AJ342" s="851">
        <v>0.43175621327386399</v>
      </c>
      <c r="AK342" s="852" t="s">
        <v>3</v>
      </c>
      <c r="AL342" s="849">
        <v>0.41222686010309645</v>
      </c>
      <c r="AM342" s="849">
        <v>0.55671231165711177</v>
      </c>
      <c r="AN342" s="849">
        <v>0.54006950947427967</v>
      </c>
      <c r="AO342" s="849">
        <v>0.42052234918908415</v>
      </c>
      <c r="AP342" s="849">
        <v>0.38533248233710765</v>
      </c>
      <c r="AQ342" s="849">
        <v>0.42307459543623521</v>
      </c>
      <c r="AR342" s="849">
        <v>0.30394202274440035</v>
      </c>
      <c r="AS342" s="849">
        <v>0.42990939543442031</v>
      </c>
      <c r="AT342" s="849">
        <v>0.43357051901864324</v>
      </c>
      <c r="AU342" s="876"/>
      <c r="AV342" s="874" t="s">
        <v>3</v>
      </c>
      <c r="AW342" s="849">
        <f>AW341/AW340</f>
        <v>0.36239495651810061</v>
      </c>
      <c r="AX342" s="849">
        <f>AX341/AX340</f>
        <v>0.44305694305694304</v>
      </c>
      <c r="AY342" s="849">
        <f>AY341/AY340</f>
        <v>3.0277861582453984E-2</v>
      </c>
      <c r="AZ342" s="849">
        <f>AZ341/AZ340</f>
        <v>0.53530479322981073</v>
      </c>
      <c r="BA342" s="849">
        <f>BA341/BA340</f>
        <v>0.37796122654787906</v>
      </c>
    </row>
    <row r="343" spans="1:53" s="743" customFormat="1" x14ac:dyDescent="0.25">
      <c r="A343" s="1040" t="s">
        <v>6</v>
      </c>
      <c r="B343" s="854" t="s">
        <v>7</v>
      </c>
      <c r="C343" s="840">
        <v>5644</v>
      </c>
      <c r="D343" s="840">
        <v>3620</v>
      </c>
      <c r="E343" s="840">
        <v>3591</v>
      </c>
      <c r="F343" s="840">
        <v>8910</v>
      </c>
      <c r="G343" s="840">
        <v>8432</v>
      </c>
      <c r="H343" s="840">
        <v>15703</v>
      </c>
      <c r="I343" s="840">
        <v>8298</v>
      </c>
      <c r="J343" s="840">
        <v>9599</v>
      </c>
      <c r="K343" s="840">
        <v>7072</v>
      </c>
      <c r="L343" s="840">
        <v>9334</v>
      </c>
      <c r="M343" s="840">
        <v>8061</v>
      </c>
      <c r="N343" s="840">
        <v>11924</v>
      </c>
      <c r="O343" s="840">
        <v>4357</v>
      </c>
      <c r="P343" s="840">
        <v>10643</v>
      </c>
      <c r="Q343" s="840">
        <v>4799</v>
      </c>
      <c r="R343" s="840">
        <v>9711</v>
      </c>
      <c r="S343" s="840">
        <v>11664</v>
      </c>
      <c r="T343" s="855">
        <v>2480</v>
      </c>
      <c r="U343" s="855">
        <v>1570</v>
      </c>
      <c r="V343" s="840">
        <v>3999</v>
      </c>
      <c r="W343" s="840">
        <v>7999</v>
      </c>
      <c r="X343" s="840">
        <v>3999</v>
      </c>
      <c r="Y343" s="840">
        <v>7999</v>
      </c>
      <c r="Z343" s="840">
        <v>3999</v>
      </c>
      <c r="AA343" s="840">
        <v>7999</v>
      </c>
      <c r="AB343" s="840">
        <v>11999</v>
      </c>
      <c r="AC343" s="840">
        <v>6400</v>
      </c>
      <c r="AD343" s="901"/>
      <c r="AE343" s="901"/>
      <c r="AF343" s="901"/>
      <c r="AG343" s="901"/>
      <c r="AH343" s="901"/>
      <c r="AI343" s="901"/>
      <c r="AJ343" s="840">
        <v>199805</v>
      </c>
      <c r="AK343" s="856" t="s">
        <v>7</v>
      </c>
      <c r="AL343" s="858">
        <v>5644</v>
      </c>
      <c r="AM343" s="858">
        <v>3620</v>
      </c>
      <c r="AN343" s="858">
        <v>33947</v>
      </c>
      <c r="AO343" s="858">
        <v>52989</v>
      </c>
      <c r="AP343" s="858">
        <v>50048</v>
      </c>
      <c r="AQ343" s="858">
        <v>49507</v>
      </c>
      <c r="AR343" s="858">
        <v>4050</v>
      </c>
      <c r="AS343" s="858">
        <v>106116</v>
      </c>
      <c r="AT343" s="858">
        <v>93689</v>
      </c>
      <c r="AU343" s="880" t="s">
        <v>190</v>
      </c>
      <c r="AV343" s="879" t="s">
        <v>4</v>
      </c>
      <c r="AW343" s="857">
        <v>9191.7999999999993</v>
      </c>
      <c r="AX343" s="857">
        <v>13787.7</v>
      </c>
      <c r="AY343" s="857">
        <v>8804.7999999999993</v>
      </c>
      <c r="AZ343" s="857">
        <v>13787.7</v>
      </c>
      <c r="BA343" s="857">
        <v>8804.7999999999993</v>
      </c>
    </row>
    <row r="344" spans="1:53" s="743" customFormat="1" x14ac:dyDescent="0.25">
      <c r="A344" s="1040"/>
      <c r="B344" s="839" t="s">
        <v>11</v>
      </c>
      <c r="C344" s="858">
        <v>190298.74799999999</v>
      </c>
      <c r="D344" s="858">
        <v>122055.54</v>
      </c>
      <c r="E344" s="858">
        <v>121077.74699999999</v>
      </c>
      <c r="F344" s="858">
        <v>300418.46999999997</v>
      </c>
      <c r="G344" s="858">
        <v>284301.74400000001</v>
      </c>
      <c r="H344" s="858">
        <v>529458.05099999998</v>
      </c>
      <c r="I344" s="858">
        <v>279783.66599999997</v>
      </c>
      <c r="J344" s="858">
        <v>323649.48300000001</v>
      </c>
      <c r="K344" s="858">
        <v>238446.62399999998</v>
      </c>
      <c r="L344" s="858">
        <v>314714.478</v>
      </c>
      <c r="M344" s="858">
        <v>271792.73699999996</v>
      </c>
      <c r="N344" s="858">
        <v>402041.50799999997</v>
      </c>
      <c r="O344" s="858">
        <v>146904.96899999998</v>
      </c>
      <c r="P344" s="858">
        <v>358850.03099999996</v>
      </c>
      <c r="Q344" s="858">
        <v>161807.883</v>
      </c>
      <c r="R344" s="858">
        <v>327425.78700000001</v>
      </c>
      <c r="S344" s="858">
        <v>393275.08799999999</v>
      </c>
      <c r="T344" s="858">
        <v>83618.16</v>
      </c>
      <c r="U344" s="858">
        <v>52935.689999999995</v>
      </c>
      <c r="V344" s="858">
        <v>134834.283</v>
      </c>
      <c r="W344" s="858">
        <v>269702.283</v>
      </c>
      <c r="X344" s="858">
        <v>134834.283</v>
      </c>
      <c r="Y344" s="858">
        <v>269702.283</v>
      </c>
      <c r="Z344" s="858">
        <v>134834.283</v>
      </c>
      <c r="AA344" s="858">
        <v>269702.283</v>
      </c>
      <c r="AB344" s="858">
        <v>404570.283</v>
      </c>
      <c r="AC344" s="858">
        <v>215788.79999999999</v>
      </c>
      <c r="AD344" s="915"/>
      <c r="AE344" s="915"/>
      <c r="AF344" s="915"/>
      <c r="AG344" s="915"/>
      <c r="AH344" s="915"/>
      <c r="AI344" s="915"/>
      <c r="AJ344" s="859">
        <v>6736825.1849999987</v>
      </c>
      <c r="AK344" s="841" t="s">
        <v>11</v>
      </c>
      <c r="AL344" s="858">
        <v>190298.74799999999</v>
      </c>
      <c r="AM344" s="858">
        <v>122055.54</v>
      </c>
      <c r="AN344" s="858">
        <v>1144590.9990000001</v>
      </c>
      <c r="AO344" s="858">
        <v>1786630.1129999999</v>
      </c>
      <c r="AP344" s="858">
        <v>1687468.416</v>
      </c>
      <c r="AQ344" s="858">
        <v>1669227.5189999999</v>
      </c>
      <c r="AR344" s="858">
        <v>136553.85</v>
      </c>
      <c r="AS344" s="858">
        <v>3577913.1719999998</v>
      </c>
      <c r="AT344" s="858">
        <v>3158912.0129999998</v>
      </c>
      <c r="AU344" s="876"/>
      <c r="AV344" s="873" t="s">
        <v>5</v>
      </c>
      <c r="AW344" s="583">
        <v>7975.5</v>
      </c>
      <c r="AX344" s="583">
        <v>13649</v>
      </c>
      <c r="AY344" s="583">
        <v>1289.9000000000001</v>
      </c>
      <c r="AZ344" s="583">
        <v>13642</v>
      </c>
      <c r="BA344" s="583">
        <v>5483.9</v>
      </c>
    </row>
    <row r="345" spans="1:53" s="743" customFormat="1" x14ac:dyDescent="0.25">
      <c r="A345" s="1040"/>
      <c r="B345" s="839" t="s">
        <v>79</v>
      </c>
      <c r="C345" s="858">
        <v>164000</v>
      </c>
      <c r="D345" s="858">
        <v>109880</v>
      </c>
      <c r="E345" s="858">
        <v>109880</v>
      </c>
      <c r="F345" s="858">
        <v>328000</v>
      </c>
      <c r="G345" s="858">
        <v>330905</v>
      </c>
      <c r="H345" s="858">
        <v>264264</v>
      </c>
      <c r="I345" s="858">
        <v>242663.6</v>
      </c>
      <c r="J345" s="858">
        <v>328000</v>
      </c>
      <c r="K345" s="858">
        <v>328000</v>
      </c>
      <c r="L345" s="858">
        <v>328000</v>
      </c>
      <c r="M345" s="858">
        <v>328000</v>
      </c>
      <c r="N345" s="858">
        <v>264264.40000000002</v>
      </c>
      <c r="O345" s="858">
        <v>328000</v>
      </c>
      <c r="P345" s="858">
        <v>352965.4</v>
      </c>
      <c r="Q345" s="858">
        <v>328000</v>
      </c>
      <c r="R345" s="858">
        <v>328000</v>
      </c>
      <c r="S345" s="858">
        <v>328000</v>
      </c>
      <c r="T345" s="858">
        <v>110302</v>
      </c>
      <c r="U345" s="858">
        <v>66181</v>
      </c>
      <c r="V345" s="858">
        <v>204393</v>
      </c>
      <c r="W345" s="858">
        <v>418993</v>
      </c>
      <c r="X345" s="858">
        <v>204393</v>
      </c>
      <c r="Y345" s="858">
        <v>418993</v>
      </c>
      <c r="Z345" s="858">
        <v>204393</v>
      </c>
      <c r="AA345" s="858">
        <v>418993</v>
      </c>
      <c r="AB345" s="858">
        <v>657390.4</v>
      </c>
      <c r="AC345" s="858">
        <v>381742.4</v>
      </c>
      <c r="AD345" s="915"/>
      <c r="AE345" s="915"/>
      <c r="AF345" s="915"/>
      <c r="AG345" s="915"/>
      <c r="AH345" s="915"/>
      <c r="AI345" s="915"/>
      <c r="AJ345" s="859">
        <v>7876596.2000000011</v>
      </c>
      <c r="AK345" s="841" t="s">
        <v>79</v>
      </c>
      <c r="AL345" s="858">
        <v>500036.8</v>
      </c>
      <c r="AM345" s="858">
        <v>301033.40000000002</v>
      </c>
      <c r="AN345" s="858">
        <v>1591150</v>
      </c>
      <c r="AO345" s="858">
        <v>2384489.2000000002</v>
      </c>
      <c r="AP345" s="858">
        <v>2817403.8</v>
      </c>
      <c r="AQ345" s="858">
        <v>2310031.4</v>
      </c>
      <c r="AR345" s="858">
        <v>176483</v>
      </c>
      <c r="AS345" s="858">
        <v>4995554</v>
      </c>
      <c r="AT345" s="858">
        <v>5085073.5999999996</v>
      </c>
      <c r="AU345" s="877"/>
      <c r="AV345" s="874" t="s">
        <v>3</v>
      </c>
      <c r="AW345" s="849">
        <f>AW344/AW343</f>
        <v>0.86767553689157739</v>
      </c>
      <c r="AX345" s="849">
        <f>AX344/AX343</f>
        <v>0.98994030911609621</v>
      </c>
      <c r="AY345" s="849">
        <f>AY344/AY343</f>
        <v>0.14649963656187537</v>
      </c>
      <c r="AZ345" s="849">
        <f>AZ344/AZ343</f>
        <v>0.98943261022505558</v>
      </c>
      <c r="BA345" s="849">
        <f>BA344/BA343</f>
        <v>0.62283072869343992</v>
      </c>
    </row>
    <row r="346" spans="1:53" s="743" customFormat="1" x14ac:dyDescent="0.25">
      <c r="A346" s="1040"/>
      <c r="B346" s="844" t="s">
        <v>8</v>
      </c>
      <c r="C346" s="861">
        <v>5295</v>
      </c>
      <c r="D346" s="861">
        <v>3009</v>
      </c>
      <c r="E346" s="861">
        <v>3009</v>
      </c>
      <c r="F346" s="861">
        <v>6819</v>
      </c>
      <c r="G346" s="861">
        <v>3366</v>
      </c>
      <c r="H346" s="861">
        <v>13621</v>
      </c>
      <c r="I346" s="861">
        <v>6949</v>
      </c>
      <c r="J346" s="861">
        <v>1379</v>
      </c>
      <c r="K346" s="861">
        <v>5979</v>
      </c>
      <c r="L346" s="861">
        <v>6688</v>
      </c>
      <c r="M346" s="861">
        <v>6414</v>
      </c>
      <c r="N346" s="861">
        <v>10872</v>
      </c>
      <c r="O346" s="861">
        <v>3436</v>
      </c>
      <c r="P346" s="861">
        <v>7772</v>
      </c>
      <c r="Q346" s="861">
        <v>1827</v>
      </c>
      <c r="R346" s="861">
        <v>4598</v>
      </c>
      <c r="S346" s="861">
        <v>10095</v>
      </c>
      <c r="T346" s="598">
        <v>1716</v>
      </c>
      <c r="U346" s="598">
        <v>1103</v>
      </c>
      <c r="V346" s="861">
        <v>1858</v>
      </c>
      <c r="W346" s="861">
        <v>2490</v>
      </c>
      <c r="X346" s="861">
        <v>1115</v>
      </c>
      <c r="Y346" s="861">
        <v>1393</v>
      </c>
      <c r="Z346" s="861">
        <v>561</v>
      </c>
      <c r="AA346" s="861">
        <v>1113</v>
      </c>
      <c r="AB346" s="861">
        <v>1978</v>
      </c>
      <c r="AC346" s="861">
        <v>0</v>
      </c>
      <c r="AD346" s="916"/>
      <c r="AE346" s="916"/>
      <c r="AF346" s="916"/>
      <c r="AG346" s="916"/>
      <c r="AH346" s="916"/>
      <c r="AI346" s="916"/>
      <c r="AJ346" s="840">
        <v>114455</v>
      </c>
      <c r="AK346" s="846" t="s">
        <v>8</v>
      </c>
      <c r="AL346" s="858">
        <v>5295</v>
      </c>
      <c r="AM346" s="858">
        <v>3009</v>
      </c>
      <c r="AN346" s="858">
        <v>27128</v>
      </c>
      <c r="AO346" s="858">
        <v>24848</v>
      </c>
      <c r="AP346" s="858">
        <v>29359</v>
      </c>
      <c r="AQ346" s="858">
        <v>21997</v>
      </c>
      <c r="AR346" s="858">
        <v>2819</v>
      </c>
      <c r="AS346" s="858">
        <v>49854</v>
      </c>
      <c r="AT346" s="858">
        <v>64601</v>
      </c>
      <c r="AU346" s="877" t="s">
        <v>191</v>
      </c>
      <c r="AV346" s="839" t="s">
        <v>4</v>
      </c>
      <c r="AW346" s="840">
        <v>97433.600000000006</v>
      </c>
      <c r="AX346" s="840">
        <v>243584.4</v>
      </c>
      <c r="AY346" s="840">
        <v>132070.29999999999</v>
      </c>
      <c r="AZ346" s="840">
        <v>292299.3</v>
      </c>
      <c r="BA346" s="840">
        <v>132070.39999999999</v>
      </c>
    </row>
    <row r="347" spans="1:53" s="743" customFormat="1" x14ac:dyDescent="0.25">
      <c r="A347" s="1040"/>
      <c r="B347" s="839" t="s">
        <v>77</v>
      </c>
      <c r="C347" s="858">
        <v>178531.51499999998</v>
      </c>
      <c r="D347" s="858">
        <v>101454.45299999999</v>
      </c>
      <c r="E347" s="858">
        <v>101454.45299999999</v>
      </c>
      <c r="F347" s="858">
        <v>229916.223</v>
      </c>
      <c r="G347" s="858">
        <v>113491.42199999999</v>
      </c>
      <c r="H347" s="858">
        <v>459259.25699999998</v>
      </c>
      <c r="I347" s="858">
        <v>234299.43299999999</v>
      </c>
      <c r="J347" s="858">
        <v>46495.742999999995</v>
      </c>
      <c r="K347" s="858">
        <v>201593.943</v>
      </c>
      <c r="L347" s="858">
        <v>225499.296</v>
      </c>
      <c r="M347" s="858">
        <v>216260.83799999999</v>
      </c>
      <c r="N347" s="858">
        <v>366571.22399999999</v>
      </c>
      <c r="O347" s="858">
        <v>115851.61199999999</v>
      </c>
      <c r="P347" s="858">
        <v>173912.28599999996</v>
      </c>
      <c r="Q347" s="858">
        <v>61600.958999999995</v>
      </c>
      <c r="R347" s="858">
        <v>155030.766</v>
      </c>
      <c r="S347" s="858">
        <v>340373.11499999999</v>
      </c>
      <c r="T347" s="863">
        <v>57858.371999999996</v>
      </c>
      <c r="U347" s="863">
        <v>37189.850999999995</v>
      </c>
      <c r="V347" s="863">
        <v>62646.185999999994</v>
      </c>
      <c r="W347" s="863">
        <v>83955.33</v>
      </c>
      <c r="X347" s="863">
        <v>37594.455000000002</v>
      </c>
      <c r="Y347" s="863">
        <v>46967.780999999995</v>
      </c>
      <c r="Z347" s="863">
        <v>18915.237000000001</v>
      </c>
      <c r="AA347" s="863">
        <v>37527.021000000001</v>
      </c>
      <c r="AB347" s="863">
        <v>66692.225999999995</v>
      </c>
      <c r="AC347" s="863">
        <v>0</v>
      </c>
      <c r="AD347" s="917"/>
      <c r="AE347" s="917"/>
      <c r="AF347" s="917"/>
      <c r="AG347" s="917"/>
      <c r="AH347" s="917"/>
      <c r="AI347" s="917"/>
      <c r="AJ347" s="864">
        <v>3770942.997</v>
      </c>
      <c r="AK347" s="841" t="s">
        <v>77</v>
      </c>
      <c r="AL347" s="858">
        <v>178531.51499999998</v>
      </c>
      <c r="AM347" s="858">
        <v>101454.45299999999</v>
      </c>
      <c r="AN347" s="858">
        <v>914674.77599999995</v>
      </c>
      <c r="AO347" s="858">
        <v>837800.01599999995</v>
      </c>
      <c r="AP347" s="858">
        <v>989897.40299999993</v>
      </c>
      <c r="AQ347" s="858">
        <v>741672.84899999993</v>
      </c>
      <c r="AR347" s="858">
        <v>95048.222999999998</v>
      </c>
      <c r="AS347" s="858">
        <v>1680927.318</v>
      </c>
      <c r="AT347" s="858">
        <v>2178151.9169999999</v>
      </c>
      <c r="AU347" s="910"/>
      <c r="AV347" s="844" t="s">
        <v>5</v>
      </c>
      <c r="AW347" s="583">
        <v>38973.199999999997</v>
      </c>
      <c r="AX347" s="583">
        <v>124350.5</v>
      </c>
      <c r="AY347" s="583">
        <v>3817.1</v>
      </c>
      <c r="AZ347" s="583">
        <v>109009</v>
      </c>
      <c r="BA347" s="583">
        <v>33401</v>
      </c>
    </row>
    <row r="348" spans="1:53" s="743" customFormat="1" x14ac:dyDescent="0.25">
      <c r="A348" s="1040"/>
      <c r="B348" s="848" t="s">
        <v>217</v>
      </c>
      <c r="C348" s="849">
        <v>0.71407350419009152</v>
      </c>
      <c r="D348" s="849">
        <v>0.67404117283995724</v>
      </c>
      <c r="E348" s="866">
        <v>0.67404117283995724</v>
      </c>
      <c r="F348" s="866">
        <v>1.2632842798963511</v>
      </c>
      <c r="G348" s="866">
        <v>0.68464961086642162</v>
      </c>
      <c r="H348" s="866">
        <v>1.1790843686217121</v>
      </c>
      <c r="I348" s="866">
        <v>1.3624000686144246</v>
      </c>
      <c r="J348" s="866">
        <v>0.27996328833439704</v>
      </c>
      <c r="K348" s="866">
        <v>1.6255059136004748</v>
      </c>
      <c r="L348" s="866">
        <v>1.0063734027398434</v>
      </c>
      <c r="M348" s="866">
        <v>1.120353552909898</v>
      </c>
      <c r="N348" s="866">
        <v>0.83650063358601467</v>
      </c>
      <c r="O348" s="866">
        <v>1.3951503634445583</v>
      </c>
      <c r="P348" s="866">
        <v>0.62981941140852271</v>
      </c>
      <c r="Q348" s="866">
        <v>0.74183344412491503</v>
      </c>
      <c r="R348" s="866">
        <v>0.80906075727670956</v>
      </c>
      <c r="S348" s="866">
        <v>1.3198562739809956</v>
      </c>
      <c r="T348" s="849">
        <v>1.0490901706224727</v>
      </c>
      <c r="U348" s="849">
        <v>1.1238830177845605</v>
      </c>
      <c r="V348" s="849">
        <v>0.61299737270845867</v>
      </c>
      <c r="W348" s="849">
        <v>0.40074812705701529</v>
      </c>
      <c r="X348" s="849">
        <v>0.36786440827229899</v>
      </c>
      <c r="Y348" s="849">
        <v>0.22419363091984829</v>
      </c>
      <c r="Z348" s="849">
        <v>0.18508693546256477</v>
      </c>
      <c r="AA348" s="849">
        <v>0.1791295845037984</v>
      </c>
      <c r="AB348" s="849">
        <v>0.20289990848664657</v>
      </c>
      <c r="AC348" s="849">
        <v>0</v>
      </c>
      <c r="AD348" s="914"/>
      <c r="AE348" s="914"/>
      <c r="AF348" s="914"/>
      <c r="AG348" s="914"/>
      <c r="AH348" s="914"/>
      <c r="AI348" s="914"/>
      <c r="AJ348" s="851">
        <v>0.74815639395309075</v>
      </c>
      <c r="AK348" s="852" t="s">
        <v>217</v>
      </c>
      <c r="AL348" s="849">
        <v>0.71407350419009152</v>
      </c>
      <c r="AM348" s="849">
        <v>0.67404117283995724</v>
      </c>
      <c r="AN348" s="849">
        <v>1.149702763410112</v>
      </c>
      <c r="AO348" s="849">
        <v>0.70270816575726147</v>
      </c>
      <c r="AP348" s="849">
        <v>0.70270182996132824</v>
      </c>
      <c r="AQ348" s="849">
        <v>0.64213226625404307</v>
      </c>
      <c r="AR348" s="849">
        <v>1.0771374353337149</v>
      </c>
      <c r="AS348" s="849">
        <v>0.67296933152959615</v>
      </c>
      <c r="AT348" s="849">
        <v>0.85668451957116221</v>
      </c>
      <c r="AU348" s="910"/>
      <c r="AV348" s="848" t="s">
        <v>3</v>
      </c>
      <c r="AW348" s="849">
        <f>AW347/AW346</f>
        <v>0.39999753678402516</v>
      </c>
      <c r="AX348" s="849">
        <f>AX347/AX346</f>
        <v>0.51050272513346506</v>
      </c>
      <c r="AY348" s="849">
        <f>AY347/AY346</f>
        <v>2.8902031720984961E-2</v>
      </c>
      <c r="AZ348" s="849">
        <f>AZ347/AZ346</f>
        <v>0.37293623351133581</v>
      </c>
      <c r="BA348" s="849">
        <f>BA347/BA346</f>
        <v>0.25290299718937781</v>
      </c>
    </row>
    <row r="349" spans="1:53" s="743" customFormat="1" x14ac:dyDescent="0.25">
      <c r="A349" s="910"/>
      <c r="B349" s="848" t="s">
        <v>218</v>
      </c>
      <c r="C349" s="598">
        <v>168060</v>
      </c>
      <c r="D349" s="598">
        <v>101049</v>
      </c>
      <c r="E349" s="598">
        <v>101049</v>
      </c>
      <c r="F349" s="598">
        <v>211912</v>
      </c>
      <c r="G349" s="598">
        <v>111205</v>
      </c>
      <c r="H349" s="598">
        <v>444187</v>
      </c>
      <c r="I349" s="598">
        <v>159522</v>
      </c>
      <c r="J349" s="598">
        <v>46536.5</v>
      </c>
      <c r="K349" s="598">
        <v>143176</v>
      </c>
      <c r="L349" s="598">
        <v>225887</v>
      </c>
      <c r="M349" s="598">
        <v>212280</v>
      </c>
      <c r="N349" s="598">
        <v>366652</v>
      </c>
      <c r="O349" s="598">
        <v>115895</v>
      </c>
      <c r="P349" s="598">
        <v>145657</v>
      </c>
      <c r="Q349" s="598">
        <v>61652.2</v>
      </c>
      <c r="R349" s="598">
        <v>141268</v>
      </c>
      <c r="S349" s="598">
        <v>340559</v>
      </c>
      <c r="T349" s="598">
        <v>57858.1</v>
      </c>
      <c r="U349" s="598">
        <v>37189.699999999997</v>
      </c>
      <c r="V349" s="598">
        <v>62679.7</v>
      </c>
      <c r="W349" s="598">
        <v>62679.7</v>
      </c>
      <c r="X349" s="598">
        <v>37642.800000000003</v>
      </c>
      <c r="Y349" s="598">
        <v>37609</v>
      </c>
      <c r="Z349" s="598">
        <v>18949</v>
      </c>
      <c r="AA349" s="598">
        <v>18949</v>
      </c>
      <c r="AB349" s="598">
        <v>66757.2</v>
      </c>
      <c r="AC349" s="598">
        <v>0</v>
      </c>
      <c r="AD349" s="918"/>
      <c r="AE349" s="918"/>
      <c r="AF349" s="918"/>
      <c r="AG349" s="918"/>
      <c r="AH349" s="918"/>
      <c r="AI349" s="918"/>
      <c r="AJ349" s="867">
        <v>3496860.9000000008</v>
      </c>
      <c r="AK349" s="852" t="s">
        <v>218</v>
      </c>
      <c r="AL349" s="861">
        <v>168060</v>
      </c>
      <c r="AM349" s="861">
        <v>101049</v>
      </c>
      <c r="AN349" s="861">
        <v>881986</v>
      </c>
      <c r="AO349" s="861">
        <v>680760</v>
      </c>
      <c r="AP349" s="861">
        <v>986248.2</v>
      </c>
      <c r="AQ349" s="861">
        <v>583709.9</v>
      </c>
      <c r="AR349" s="861">
        <v>95047.799999999988</v>
      </c>
      <c r="AS349" s="861">
        <v>1365518.9</v>
      </c>
      <c r="AT349" s="861">
        <v>2131342</v>
      </c>
      <c r="AU349" s="910" t="s">
        <v>219</v>
      </c>
      <c r="AV349" s="848" t="s">
        <v>3</v>
      </c>
      <c r="AW349" s="849">
        <f>(AW342+AW348)/2</f>
        <v>0.38119624665106289</v>
      </c>
      <c r="AX349" s="849">
        <f t="shared" ref="AX349:BA349" si="82">(AX342+AX348)/2</f>
        <v>0.47677983409520408</v>
      </c>
      <c r="AY349" s="849">
        <f t="shared" si="82"/>
        <v>2.9589946651719472E-2</v>
      </c>
      <c r="AZ349" s="849">
        <f t="shared" si="82"/>
        <v>0.45412051337057324</v>
      </c>
      <c r="BA349" s="849">
        <f t="shared" si="82"/>
        <v>0.31543211186862841</v>
      </c>
    </row>
    <row r="350" spans="1:53" s="743" customFormat="1" x14ac:dyDescent="0.25">
      <c r="A350" s="910"/>
      <c r="B350" s="848" t="s">
        <v>216</v>
      </c>
      <c r="C350" s="866">
        <v>0.67219052677722924</v>
      </c>
      <c r="D350" s="866">
        <v>0.67134743187965185</v>
      </c>
      <c r="E350" s="866">
        <v>0.67134743187965185</v>
      </c>
      <c r="F350" s="866">
        <v>1.164359325446102</v>
      </c>
      <c r="G350" s="866">
        <v>0.67085651615503084</v>
      </c>
      <c r="H350" s="866">
        <v>1.1403884417401573</v>
      </c>
      <c r="I350" s="866">
        <v>0.92758561539289031</v>
      </c>
      <c r="J350" s="866">
        <v>0.28020869711822155</v>
      </c>
      <c r="K350" s="866">
        <v>1.1544664052017752</v>
      </c>
      <c r="L350" s="866">
        <v>1.0081036741892755</v>
      </c>
      <c r="M350" s="866">
        <v>1.0997305587603112</v>
      </c>
      <c r="N350" s="866">
        <v>0.83668496113480917</v>
      </c>
      <c r="O350" s="866">
        <v>1.3956728661782203</v>
      </c>
      <c r="P350" s="866">
        <v>0.52749353204138327</v>
      </c>
      <c r="Q350" s="866">
        <v>0.7424505171076653</v>
      </c>
      <c r="R350" s="866">
        <v>0.73723685954674445</v>
      </c>
      <c r="S350" s="866">
        <v>1.3205770755739443</v>
      </c>
      <c r="T350" s="866">
        <v>1.0490852387082736</v>
      </c>
      <c r="U350" s="866">
        <v>1.1238784545413336</v>
      </c>
      <c r="V350" s="866">
        <v>0.61332530957518117</v>
      </c>
      <c r="W350" s="866">
        <v>0.29919211060805312</v>
      </c>
      <c r="X350" s="866">
        <v>0.36833746752579594</v>
      </c>
      <c r="Y350" s="866">
        <v>0.17952089891716569</v>
      </c>
      <c r="Z350" s="866">
        <v>0.18541730881194562</v>
      </c>
      <c r="AA350" s="866">
        <v>9.0450198452002778E-2</v>
      </c>
      <c r="AB350" s="866">
        <v>0.20309758098079922</v>
      </c>
      <c r="AC350" s="866">
        <v>0</v>
      </c>
      <c r="AD350" s="919"/>
      <c r="AE350" s="919"/>
      <c r="AF350" s="919"/>
      <c r="AG350" s="919"/>
      <c r="AH350" s="919"/>
      <c r="AI350" s="919"/>
      <c r="AJ350" s="869">
        <v>0.69377841117749472</v>
      </c>
      <c r="AK350" s="852" t="s">
        <v>216</v>
      </c>
      <c r="AL350" s="849">
        <v>0.67219052677722924</v>
      </c>
      <c r="AM350" s="849">
        <v>0.67134743187965185</v>
      </c>
      <c r="AN350" s="849">
        <v>1.1086145240863527</v>
      </c>
      <c r="AO350" s="849">
        <v>0.57099021459187149</v>
      </c>
      <c r="AP350" s="849">
        <v>0.70011135783944067</v>
      </c>
      <c r="AQ350" s="849">
        <v>0.50536966726945798</v>
      </c>
      <c r="AR350" s="849">
        <v>1.0771326416708691</v>
      </c>
      <c r="AS350" s="849">
        <v>0.54669368002027396</v>
      </c>
      <c r="AT350" s="849">
        <v>0.83827380590912204</v>
      </c>
      <c r="AU350" s="910"/>
      <c r="AV350" s="848"/>
      <c r="AW350" s="849"/>
      <c r="AX350" s="849"/>
      <c r="AY350" s="849"/>
      <c r="AZ350" s="849"/>
      <c r="BA350" s="849"/>
    </row>
    <row r="351" spans="1:53" s="743" customFormat="1" x14ac:dyDescent="0.25">
      <c r="A351" s="1041">
        <v>41808</v>
      </c>
      <c r="B351" s="1041"/>
      <c r="C351" s="1041"/>
      <c r="D351" s="529"/>
      <c r="E351" s="529"/>
      <c r="F351" s="529"/>
      <c r="G351" s="529"/>
      <c r="H351" s="529"/>
      <c r="I351" s="525"/>
      <c r="J351" s="531"/>
      <c r="K351" s="531"/>
      <c r="L351" s="529"/>
      <c r="M351" s="529"/>
      <c r="N351" s="527"/>
      <c r="R351" s="526"/>
      <c r="S351" s="534"/>
      <c r="T351" s="534"/>
      <c r="U351" s="534"/>
      <c r="V351" s="534"/>
      <c r="W351" s="534"/>
      <c r="X351" s="534"/>
      <c r="Y351" s="534"/>
      <c r="Z351" s="534"/>
      <c r="AA351" s="534"/>
      <c r="AB351" s="534"/>
      <c r="AC351" s="534"/>
      <c r="AD351" s="534"/>
      <c r="AE351" s="534"/>
      <c r="AF351" s="534"/>
      <c r="AG351" s="534"/>
      <c r="AH351" s="534"/>
      <c r="AI351" s="534"/>
      <c r="AJ351" s="534"/>
      <c r="AK351" s="534"/>
      <c r="AL351" s="534"/>
      <c r="AM351" s="534"/>
      <c r="AN351" s="534"/>
      <c r="AO351" s="534"/>
    </row>
    <row r="352" spans="1:53" s="743" customFormat="1" x14ac:dyDescent="0.25">
      <c r="A352" s="1042" t="s">
        <v>1</v>
      </c>
      <c r="B352" s="1042"/>
      <c r="C352" s="906" t="s">
        <v>12</v>
      </c>
      <c r="D352" s="906" t="s">
        <v>12</v>
      </c>
      <c r="E352" s="906" t="s">
        <v>13</v>
      </c>
      <c r="F352" s="906" t="s">
        <v>13</v>
      </c>
      <c r="G352" s="906" t="s">
        <v>13</v>
      </c>
      <c r="H352" s="906" t="s">
        <v>13</v>
      </c>
      <c r="I352" s="906" t="s">
        <v>13</v>
      </c>
      <c r="J352" s="906" t="s">
        <v>13</v>
      </c>
      <c r="K352" s="906" t="s">
        <v>13</v>
      </c>
      <c r="L352" s="906" t="s">
        <v>13</v>
      </c>
      <c r="M352" s="829" t="s">
        <v>2</v>
      </c>
      <c r="N352" s="906" t="s">
        <v>2</v>
      </c>
      <c r="O352" s="906" t="s">
        <v>2</v>
      </c>
      <c r="P352" s="906" t="s">
        <v>2</v>
      </c>
      <c r="Q352" s="906" t="s">
        <v>2</v>
      </c>
      <c r="R352" s="906" t="s">
        <v>2</v>
      </c>
      <c r="S352" s="906" t="s">
        <v>2</v>
      </c>
      <c r="T352" s="830" t="s">
        <v>183</v>
      </c>
      <c r="U352" s="830" t="s">
        <v>183</v>
      </c>
      <c r="V352" s="830" t="s">
        <v>2</v>
      </c>
      <c r="W352" s="830" t="s">
        <v>13</v>
      </c>
      <c r="X352" s="830" t="s">
        <v>13</v>
      </c>
      <c r="Y352" s="830" t="s">
        <v>2</v>
      </c>
      <c r="Z352" s="830" t="s">
        <v>13</v>
      </c>
      <c r="AA352" s="830" t="s">
        <v>2</v>
      </c>
      <c r="AB352" s="888" t="s">
        <v>2</v>
      </c>
      <c r="AC352" s="888" t="s">
        <v>2</v>
      </c>
      <c r="AD352" s="888"/>
      <c r="AE352" s="888"/>
      <c r="AF352" s="888"/>
      <c r="AG352" s="888"/>
      <c r="AH352" s="888"/>
      <c r="AI352" s="888"/>
      <c r="AJ352" s="831" t="s">
        <v>219</v>
      </c>
      <c r="AK352" s="1042" t="s">
        <v>0</v>
      </c>
      <c r="AL352" s="1042"/>
      <c r="AM352" s="833"/>
      <c r="AN352" s="833"/>
      <c r="AO352" s="833"/>
      <c r="AP352" s="833"/>
      <c r="AQ352" s="833"/>
      <c r="AR352" s="833"/>
      <c r="AS352" s="833"/>
      <c r="AT352" s="833"/>
      <c r="AU352" s="1042" t="s">
        <v>1</v>
      </c>
      <c r="AV352" s="1043"/>
      <c r="AW352" s="906" t="s">
        <v>12</v>
      </c>
      <c r="AX352" s="1044" t="s">
        <v>13</v>
      </c>
      <c r="AY352" s="1045"/>
      <c r="AZ352" s="1044" t="s">
        <v>2</v>
      </c>
      <c r="BA352" s="1045"/>
    </row>
    <row r="353" spans="1:53" s="743" customFormat="1" x14ac:dyDescent="0.25">
      <c r="A353" s="1042" t="s">
        <v>0</v>
      </c>
      <c r="B353" s="1042"/>
      <c r="C353" s="834" t="s">
        <v>99</v>
      </c>
      <c r="D353" s="835" t="s">
        <v>100</v>
      </c>
      <c r="E353" s="835" t="s">
        <v>101</v>
      </c>
      <c r="F353" s="834" t="s">
        <v>102</v>
      </c>
      <c r="G353" s="835" t="s">
        <v>97</v>
      </c>
      <c r="H353" s="834" t="s">
        <v>104</v>
      </c>
      <c r="I353" s="835" t="s">
        <v>103</v>
      </c>
      <c r="J353" s="835" t="s">
        <v>178</v>
      </c>
      <c r="K353" s="835" t="s">
        <v>199</v>
      </c>
      <c r="L353" s="834" t="s">
        <v>206</v>
      </c>
      <c r="M353" s="834" t="s">
        <v>105</v>
      </c>
      <c r="N353" s="834" t="s">
        <v>107</v>
      </c>
      <c r="O353" s="835" t="s">
        <v>98</v>
      </c>
      <c r="P353" s="835" t="s">
        <v>106</v>
      </c>
      <c r="Q353" s="835" t="s">
        <v>179</v>
      </c>
      <c r="R353" s="835" t="s">
        <v>198</v>
      </c>
      <c r="S353" s="834" t="s">
        <v>207</v>
      </c>
      <c r="T353" s="834" t="s">
        <v>182</v>
      </c>
      <c r="U353" s="834" t="s">
        <v>184</v>
      </c>
      <c r="V353" s="835" t="s">
        <v>221</v>
      </c>
      <c r="W353" s="835" t="s">
        <v>222</v>
      </c>
      <c r="X353" s="835" t="s">
        <v>255</v>
      </c>
      <c r="Y353" s="835" t="s">
        <v>256</v>
      </c>
      <c r="Z353" s="835" t="s">
        <v>266</v>
      </c>
      <c r="AA353" s="835" t="s">
        <v>267</v>
      </c>
      <c r="AB353" s="889" t="s">
        <v>268</v>
      </c>
      <c r="AC353" s="889" t="s">
        <v>269</v>
      </c>
      <c r="AD353" s="889"/>
      <c r="AE353" s="889"/>
      <c r="AF353" s="889"/>
      <c r="AG353" s="889"/>
      <c r="AH353" s="889"/>
      <c r="AI353" s="889"/>
      <c r="AJ353" s="836"/>
      <c r="AK353" s="903" t="s">
        <v>1</v>
      </c>
      <c r="AL353" s="838" t="s">
        <v>257</v>
      </c>
      <c r="AM353" s="838" t="s">
        <v>258</v>
      </c>
      <c r="AN353" s="838" t="s">
        <v>259</v>
      </c>
      <c r="AO353" s="838" t="s">
        <v>260</v>
      </c>
      <c r="AP353" s="838" t="s">
        <v>261</v>
      </c>
      <c r="AQ353" s="838" t="s">
        <v>262</v>
      </c>
      <c r="AR353" s="838" t="s">
        <v>263</v>
      </c>
      <c r="AS353" s="904" t="s">
        <v>264</v>
      </c>
      <c r="AT353" s="904" t="s">
        <v>265</v>
      </c>
      <c r="AU353" s="1046" t="s">
        <v>0</v>
      </c>
      <c r="AV353" s="1043"/>
      <c r="AW353" s="834" t="s">
        <v>99</v>
      </c>
      <c r="AX353" s="834" t="s">
        <v>104</v>
      </c>
      <c r="AY353" s="834" t="s">
        <v>206</v>
      </c>
      <c r="AZ353" s="834" t="s">
        <v>107</v>
      </c>
      <c r="BA353" s="834" t="s">
        <v>207</v>
      </c>
    </row>
    <row r="354" spans="1:53" s="743" customFormat="1" x14ac:dyDescent="0.25">
      <c r="A354" s="1047" t="s">
        <v>9</v>
      </c>
      <c r="B354" s="839" t="s">
        <v>4</v>
      </c>
      <c r="C354" s="840">
        <v>250018.4</v>
      </c>
      <c r="D354" s="840">
        <v>150516.70000000001</v>
      </c>
      <c r="E354" s="840">
        <v>150516.70000000001</v>
      </c>
      <c r="F354" s="840">
        <v>181998.8</v>
      </c>
      <c r="G354" s="840">
        <v>165765.70000000001</v>
      </c>
      <c r="H354" s="840">
        <v>389505</v>
      </c>
      <c r="I354" s="840">
        <v>171975.5</v>
      </c>
      <c r="J354" s="840">
        <v>166078</v>
      </c>
      <c r="K354" s="840">
        <v>124019.2</v>
      </c>
      <c r="L354" s="840">
        <v>224071.2</v>
      </c>
      <c r="M354" s="840">
        <v>193029.1</v>
      </c>
      <c r="N354" s="840">
        <v>438219.9</v>
      </c>
      <c r="O354" s="840">
        <v>83038.8</v>
      </c>
      <c r="P354" s="840">
        <v>276130.40000000002</v>
      </c>
      <c r="Q354" s="840">
        <v>83038.8</v>
      </c>
      <c r="R354" s="840">
        <v>191618.2</v>
      </c>
      <c r="S354" s="840">
        <v>257886.5</v>
      </c>
      <c r="T354" s="840">
        <v>55151</v>
      </c>
      <c r="U354" s="840">
        <v>33090.5</v>
      </c>
      <c r="V354" s="840">
        <v>102196.5</v>
      </c>
      <c r="W354" s="840">
        <v>209496.5</v>
      </c>
      <c r="X354" s="840">
        <v>102196.5</v>
      </c>
      <c r="Y354" s="840">
        <v>209496.5</v>
      </c>
      <c r="Z354" s="840">
        <v>102196.5</v>
      </c>
      <c r="AA354" s="840">
        <v>209496.5</v>
      </c>
      <c r="AB354" s="840">
        <v>262657.90000000002</v>
      </c>
      <c r="AC354" s="901">
        <v>190871.2</v>
      </c>
      <c r="AD354" s="901"/>
      <c r="AE354" s="901"/>
      <c r="AF354" s="901"/>
      <c r="AG354" s="901"/>
      <c r="AH354" s="901"/>
      <c r="AI354" s="901"/>
      <c r="AJ354" s="840">
        <v>4974276.5</v>
      </c>
      <c r="AK354" s="841" t="s">
        <v>4</v>
      </c>
      <c r="AL354" s="863">
        <v>250018.4</v>
      </c>
      <c r="AM354" s="863">
        <v>150516.70000000001</v>
      </c>
      <c r="AN354" s="863">
        <v>795575</v>
      </c>
      <c r="AO354" s="863">
        <v>1192244.6000000001</v>
      </c>
      <c r="AP354" s="863">
        <v>1342664.5999999999</v>
      </c>
      <c r="AQ354" s="863">
        <v>1155015.7</v>
      </c>
      <c r="AR354" s="863">
        <v>88241.5</v>
      </c>
      <c r="AS354" s="863">
        <v>2497777</v>
      </c>
      <c r="AT354" s="863">
        <v>2476499.5</v>
      </c>
      <c r="AU354" s="875" t="s">
        <v>194</v>
      </c>
      <c r="AV354" s="872" t="s">
        <v>4</v>
      </c>
      <c r="AW354" s="840">
        <v>143393</v>
      </c>
      <c r="AX354" s="840">
        <v>132132</v>
      </c>
      <c r="AY354" s="840">
        <v>83196.100000000006</v>
      </c>
      <c r="AZ354" s="840">
        <v>132132.20000000001</v>
      </c>
      <c r="BA354" s="840">
        <v>83196.100000000006</v>
      </c>
    </row>
    <row r="355" spans="1:53" s="743" customFormat="1" x14ac:dyDescent="0.25">
      <c r="A355" s="1047"/>
      <c r="B355" s="844" t="s">
        <v>5</v>
      </c>
      <c r="C355" s="583">
        <v>102703.9</v>
      </c>
      <c r="D355" s="583">
        <v>83557.8</v>
      </c>
      <c r="E355" s="583">
        <v>84309.6</v>
      </c>
      <c r="F355" s="583">
        <v>138124.6</v>
      </c>
      <c r="G355" s="583">
        <v>115485.3</v>
      </c>
      <c r="H355" s="583">
        <v>214843.4</v>
      </c>
      <c r="I355" s="583">
        <v>122009.1</v>
      </c>
      <c r="J355" s="583">
        <v>50069.7</v>
      </c>
      <c r="K355" s="583">
        <v>83342.399999999994</v>
      </c>
      <c r="L355" s="583">
        <v>72466.3</v>
      </c>
      <c r="M355" s="583">
        <v>135250.79999999999</v>
      </c>
      <c r="N355" s="583">
        <v>211435.5</v>
      </c>
      <c r="O355" s="583">
        <v>58291.3</v>
      </c>
      <c r="P355" s="583">
        <v>225635</v>
      </c>
      <c r="Q355" s="583">
        <v>25892.2</v>
      </c>
      <c r="R355" s="583">
        <v>131717.70000000001</v>
      </c>
      <c r="S355" s="583">
        <v>171461.4</v>
      </c>
      <c r="T355" s="583">
        <v>16593.7</v>
      </c>
      <c r="U355" s="583">
        <v>10226.6</v>
      </c>
      <c r="V355" s="583">
        <v>14746</v>
      </c>
      <c r="W355" s="583">
        <v>29491.9</v>
      </c>
      <c r="X355" s="583">
        <v>15125.9</v>
      </c>
      <c r="Y355" s="583">
        <v>30236.5</v>
      </c>
      <c r="Z355" s="583">
        <v>3.1</v>
      </c>
      <c r="AA355" s="583">
        <v>6</v>
      </c>
      <c r="AB355" s="583">
        <v>18364.5</v>
      </c>
      <c r="AC355" s="583">
        <v>4.9000000000000004</v>
      </c>
      <c r="AD355" s="913"/>
      <c r="AE355" s="913"/>
      <c r="AF355" s="913"/>
      <c r="AG355" s="913"/>
      <c r="AH355" s="913"/>
      <c r="AI355" s="913"/>
      <c r="AJ355" s="845">
        <v>2161395.0999999996</v>
      </c>
      <c r="AK355" s="846" t="s">
        <v>5</v>
      </c>
      <c r="AL355" s="863">
        <v>102703.9</v>
      </c>
      <c r="AM355" s="863">
        <v>83557.8</v>
      </c>
      <c r="AN355" s="863">
        <v>425434.3</v>
      </c>
      <c r="AO355" s="863">
        <v>499837</v>
      </c>
      <c r="AP355" s="863">
        <v>536517.1</v>
      </c>
      <c r="AQ355" s="863">
        <v>486524.7</v>
      </c>
      <c r="AR355" s="863">
        <v>26820.300000000003</v>
      </c>
      <c r="AS355" s="863">
        <v>1069919.5</v>
      </c>
      <c r="AT355" s="863">
        <v>1091475.5999999999</v>
      </c>
      <c r="AU355" s="876"/>
      <c r="AV355" s="873" t="s">
        <v>5</v>
      </c>
      <c r="AW355" s="583">
        <v>51964.9</v>
      </c>
      <c r="AX355" s="583">
        <v>58542</v>
      </c>
      <c r="AY355" s="583">
        <v>2519</v>
      </c>
      <c r="AZ355" s="583">
        <v>70731</v>
      </c>
      <c r="BA355" s="583">
        <v>31444.9</v>
      </c>
    </row>
    <row r="356" spans="1:53" s="743" customFormat="1" x14ac:dyDescent="0.25">
      <c r="A356" s="1047"/>
      <c r="B356" s="848" t="s">
        <v>3</v>
      </c>
      <c r="C356" s="849">
        <v>0.41078536619704786</v>
      </c>
      <c r="D356" s="849">
        <v>0.55513972868126926</v>
      </c>
      <c r="E356" s="849">
        <v>0.5601345232788123</v>
      </c>
      <c r="F356" s="850">
        <v>0.75893137756952256</v>
      </c>
      <c r="G356" s="849">
        <v>0.69667790139938479</v>
      </c>
      <c r="H356" s="849">
        <v>0.55158059588452013</v>
      </c>
      <c r="I356" s="849">
        <v>0.70945628883183942</v>
      </c>
      <c r="J356" s="849">
        <v>0.30148303809053578</v>
      </c>
      <c r="K356" s="849">
        <v>0.6720120755495923</v>
      </c>
      <c r="L356" s="849">
        <v>0.3234074704825966</v>
      </c>
      <c r="M356" s="850">
        <v>0.70067570122846756</v>
      </c>
      <c r="N356" s="849">
        <v>0.48248721703418762</v>
      </c>
      <c r="O356" s="849">
        <v>0.70197666632947486</v>
      </c>
      <c r="P356" s="849">
        <v>0.81713205065432848</v>
      </c>
      <c r="Q356" s="849">
        <v>0.31180845580620142</v>
      </c>
      <c r="R356" s="849">
        <v>0.68739660428915417</v>
      </c>
      <c r="S356" s="849">
        <v>0.66487156171416495</v>
      </c>
      <c r="T356" s="849">
        <v>0.30087759061485742</v>
      </c>
      <c r="U356" s="849">
        <v>0.30904942506157357</v>
      </c>
      <c r="V356" s="849">
        <v>0.14429065574652752</v>
      </c>
      <c r="W356" s="849">
        <v>0.14077514421481982</v>
      </c>
      <c r="X356" s="849">
        <v>0.14800800418801036</v>
      </c>
      <c r="Y356" s="849">
        <v>0.14432938020444255</v>
      </c>
      <c r="Z356" s="849">
        <v>3.0333719843634569E-5</v>
      </c>
      <c r="AA356" s="849">
        <v>2.8640096612592574E-5</v>
      </c>
      <c r="AB356" s="849">
        <v>6.9917942692757376E-2</v>
      </c>
      <c r="AC356" s="849">
        <v>2.5671761900171424E-5</v>
      </c>
      <c r="AD356" s="914"/>
      <c r="AE356" s="914"/>
      <c r="AF356" s="914"/>
      <c r="AG356" s="914"/>
      <c r="AH356" s="914"/>
      <c r="AI356" s="914"/>
      <c r="AJ356" s="851">
        <v>0.43451446657619447</v>
      </c>
      <c r="AK356" s="852" t="s">
        <v>3</v>
      </c>
      <c r="AL356" s="849">
        <v>0.41078536619704786</v>
      </c>
      <c r="AM356" s="849">
        <v>0.55513972868126926</v>
      </c>
      <c r="AN356" s="849">
        <v>0.53475071489174497</v>
      </c>
      <c r="AO356" s="849">
        <v>0.41924031360678837</v>
      </c>
      <c r="AP356" s="849">
        <v>0.39959130522991371</v>
      </c>
      <c r="AQ356" s="849">
        <v>0.42122778071328382</v>
      </c>
      <c r="AR356" s="849">
        <v>0.30394202274440035</v>
      </c>
      <c r="AS356" s="849">
        <v>0.42834868765306111</v>
      </c>
      <c r="AT356" s="849">
        <v>0.44073322041857865</v>
      </c>
      <c r="AU356" s="876"/>
      <c r="AV356" s="874" t="s">
        <v>3</v>
      </c>
      <c r="AW356" s="849">
        <v>0.36239495651810061</v>
      </c>
      <c r="AX356" s="849">
        <v>0.44305694305694304</v>
      </c>
      <c r="AY356" s="849">
        <v>3.0277861582453984E-2</v>
      </c>
      <c r="AZ356" s="849">
        <v>0.53530479322981073</v>
      </c>
      <c r="BA356" s="849">
        <v>0.37796122654787906</v>
      </c>
    </row>
    <row r="357" spans="1:53" s="743" customFormat="1" x14ac:dyDescent="0.25">
      <c r="A357" s="1040" t="s">
        <v>6</v>
      </c>
      <c r="B357" s="854" t="s">
        <v>7</v>
      </c>
      <c r="C357" s="840">
        <v>5644</v>
      </c>
      <c r="D357" s="840">
        <v>3620</v>
      </c>
      <c r="E357" s="840">
        <v>3591</v>
      </c>
      <c r="F357" s="840">
        <v>8910</v>
      </c>
      <c r="G357" s="840">
        <v>8432</v>
      </c>
      <c r="H357" s="840">
        <v>15703</v>
      </c>
      <c r="I357" s="840">
        <v>8298</v>
      </c>
      <c r="J357" s="840">
        <v>9599</v>
      </c>
      <c r="K357" s="840">
        <v>7072</v>
      </c>
      <c r="L357" s="840">
        <v>9334</v>
      </c>
      <c r="M357" s="840">
        <v>8046</v>
      </c>
      <c r="N357" s="840">
        <v>11924</v>
      </c>
      <c r="O357" s="840">
        <v>4357</v>
      </c>
      <c r="P357" s="840">
        <v>10643</v>
      </c>
      <c r="Q357" s="840">
        <v>4799</v>
      </c>
      <c r="R357" s="840">
        <v>9711</v>
      </c>
      <c r="S357" s="840">
        <v>11664</v>
      </c>
      <c r="T357" s="855">
        <v>2480</v>
      </c>
      <c r="U357" s="855">
        <v>1570</v>
      </c>
      <c r="V357" s="840">
        <v>3999</v>
      </c>
      <c r="W357" s="840">
        <v>7999</v>
      </c>
      <c r="X357" s="840">
        <v>3999</v>
      </c>
      <c r="Y357" s="840">
        <v>7999</v>
      </c>
      <c r="Z357" s="840">
        <v>3999</v>
      </c>
      <c r="AA357" s="840">
        <v>7999</v>
      </c>
      <c r="AB357" s="840">
        <v>11999</v>
      </c>
      <c r="AC357" s="840">
        <v>6400</v>
      </c>
      <c r="AD357" s="901"/>
      <c r="AE357" s="901"/>
      <c r="AF357" s="901"/>
      <c r="AG357" s="901"/>
      <c r="AH357" s="901"/>
      <c r="AI357" s="901"/>
      <c r="AJ357" s="840">
        <v>199790</v>
      </c>
      <c r="AK357" s="856" t="s">
        <v>7</v>
      </c>
      <c r="AL357" s="858">
        <v>5644</v>
      </c>
      <c r="AM357" s="858">
        <v>3620</v>
      </c>
      <c r="AN357" s="858">
        <v>33947</v>
      </c>
      <c r="AO357" s="858">
        <v>52989</v>
      </c>
      <c r="AP357" s="858">
        <v>50033</v>
      </c>
      <c r="AQ357" s="858">
        <v>49507</v>
      </c>
      <c r="AR357" s="858">
        <v>4050</v>
      </c>
      <c r="AS357" s="858">
        <v>106116</v>
      </c>
      <c r="AT357" s="858">
        <v>93674</v>
      </c>
      <c r="AU357" s="880" t="s">
        <v>190</v>
      </c>
      <c r="AV357" s="879" t="s">
        <v>4</v>
      </c>
      <c r="AW357" s="857">
        <v>9191.7999999999993</v>
      </c>
      <c r="AX357" s="857">
        <v>13787.7</v>
      </c>
      <c r="AY357" s="857">
        <v>8804.7999999999993</v>
      </c>
      <c r="AZ357" s="857">
        <v>13787.7</v>
      </c>
      <c r="BA357" s="857">
        <v>8804.7999999999993</v>
      </c>
    </row>
    <row r="358" spans="1:53" s="743" customFormat="1" x14ac:dyDescent="0.25">
      <c r="A358" s="1040"/>
      <c r="B358" s="839" t="s">
        <v>11</v>
      </c>
      <c r="C358" s="858">
        <v>190298.74799999999</v>
      </c>
      <c r="D358" s="858">
        <v>122055.54</v>
      </c>
      <c r="E358" s="858">
        <v>121077.74699999999</v>
      </c>
      <c r="F358" s="858">
        <v>300418.46999999997</v>
      </c>
      <c r="G358" s="858">
        <v>284301.74400000001</v>
      </c>
      <c r="H358" s="858">
        <v>529458.05099999998</v>
      </c>
      <c r="I358" s="858">
        <v>279783.66599999997</v>
      </c>
      <c r="J358" s="858">
        <v>323649.48300000001</v>
      </c>
      <c r="K358" s="858">
        <v>238446.62399999998</v>
      </c>
      <c r="L358" s="858">
        <v>314714.478</v>
      </c>
      <c r="M358" s="858">
        <v>271286.98200000002</v>
      </c>
      <c r="N358" s="858">
        <v>402041.50799999997</v>
      </c>
      <c r="O358" s="858">
        <v>146904.96899999998</v>
      </c>
      <c r="P358" s="858">
        <v>358850.03099999996</v>
      </c>
      <c r="Q358" s="858">
        <v>161807.883</v>
      </c>
      <c r="R358" s="858">
        <v>327425.78700000001</v>
      </c>
      <c r="S358" s="858">
        <v>393275.08799999999</v>
      </c>
      <c r="T358" s="858">
        <v>83618.16</v>
      </c>
      <c r="U358" s="858">
        <v>52935.689999999995</v>
      </c>
      <c r="V358" s="858">
        <v>134834.283</v>
      </c>
      <c r="W358" s="858">
        <v>269702.283</v>
      </c>
      <c r="X358" s="858">
        <v>134834.283</v>
      </c>
      <c r="Y358" s="858">
        <v>269702.283</v>
      </c>
      <c r="Z358" s="858">
        <v>134834.283</v>
      </c>
      <c r="AA358" s="858">
        <v>269702.283</v>
      </c>
      <c r="AB358" s="858">
        <v>404570.283</v>
      </c>
      <c r="AC358" s="858">
        <v>215788.79999999999</v>
      </c>
      <c r="AD358" s="915"/>
      <c r="AE358" s="915"/>
      <c r="AF358" s="915"/>
      <c r="AG358" s="915"/>
      <c r="AH358" s="915"/>
      <c r="AI358" s="915"/>
      <c r="AJ358" s="859">
        <v>6736319.4299999978</v>
      </c>
      <c r="AK358" s="841" t="s">
        <v>11</v>
      </c>
      <c r="AL358" s="858">
        <v>190298.74799999999</v>
      </c>
      <c r="AM358" s="858">
        <v>122055.54</v>
      </c>
      <c r="AN358" s="858">
        <v>1144590.9990000001</v>
      </c>
      <c r="AO358" s="858">
        <v>1786630.1129999999</v>
      </c>
      <c r="AP358" s="858">
        <v>1686962.6609999998</v>
      </c>
      <c r="AQ358" s="858">
        <v>1669227.5189999999</v>
      </c>
      <c r="AR358" s="858">
        <v>136553.85</v>
      </c>
      <c r="AS358" s="858">
        <v>3577913.1719999998</v>
      </c>
      <c r="AT358" s="858">
        <v>3158406.2579999999</v>
      </c>
      <c r="AU358" s="876"/>
      <c r="AV358" s="873" t="s">
        <v>5</v>
      </c>
      <c r="AW358" s="583">
        <v>7975.5</v>
      </c>
      <c r="AX358" s="583">
        <v>13649</v>
      </c>
      <c r="AY358" s="583">
        <v>1289.9000000000001</v>
      </c>
      <c r="AZ358" s="583">
        <v>13642</v>
      </c>
      <c r="BA358" s="583">
        <v>5483.9</v>
      </c>
    </row>
    <row r="359" spans="1:53" s="743" customFormat="1" x14ac:dyDescent="0.25">
      <c r="A359" s="1040"/>
      <c r="B359" s="839" t="s">
        <v>79</v>
      </c>
      <c r="C359" s="858">
        <v>164000</v>
      </c>
      <c r="D359" s="858">
        <v>109880</v>
      </c>
      <c r="E359" s="858">
        <v>109880</v>
      </c>
      <c r="F359" s="858">
        <v>328000</v>
      </c>
      <c r="G359" s="858">
        <v>330905</v>
      </c>
      <c r="H359" s="858">
        <v>264264</v>
      </c>
      <c r="I359" s="858">
        <v>242663.6</v>
      </c>
      <c r="J359" s="858">
        <v>328000</v>
      </c>
      <c r="K359" s="858">
        <v>328000</v>
      </c>
      <c r="L359" s="858">
        <v>328000</v>
      </c>
      <c r="M359" s="858">
        <v>328000</v>
      </c>
      <c r="N359" s="858">
        <v>264264.40000000002</v>
      </c>
      <c r="O359" s="858">
        <v>328000</v>
      </c>
      <c r="P359" s="858">
        <v>352965.4</v>
      </c>
      <c r="Q359" s="858">
        <v>328000</v>
      </c>
      <c r="R359" s="858">
        <v>328000</v>
      </c>
      <c r="S359" s="858">
        <v>328000</v>
      </c>
      <c r="T359" s="858">
        <v>110302</v>
      </c>
      <c r="U359" s="858">
        <v>66181</v>
      </c>
      <c r="V359" s="858">
        <v>204393</v>
      </c>
      <c r="W359" s="858">
        <v>418993</v>
      </c>
      <c r="X359" s="858">
        <v>204393</v>
      </c>
      <c r="Y359" s="858">
        <v>418993</v>
      </c>
      <c r="Z359" s="858">
        <v>204393</v>
      </c>
      <c r="AA359" s="858">
        <v>418993</v>
      </c>
      <c r="AB359" s="858">
        <v>525315.80000000005</v>
      </c>
      <c r="AC359" s="858">
        <v>381742.4</v>
      </c>
      <c r="AD359" s="915"/>
      <c r="AE359" s="915"/>
      <c r="AF359" s="915"/>
      <c r="AG359" s="915"/>
      <c r="AH359" s="915"/>
      <c r="AI359" s="915"/>
      <c r="AJ359" s="859">
        <v>7744521.6000000006</v>
      </c>
      <c r="AK359" s="841" t="s">
        <v>79</v>
      </c>
      <c r="AL359" s="858">
        <v>500036.8</v>
      </c>
      <c r="AM359" s="858">
        <v>301033.40000000002</v>
      </c>
      <c r="AN359" s="858">
        <v>1591150</v>
      </c>
      <c r="AO359" s="858">
        <v>2384489.2000000002</v>
      </c>
      <c r="AP359" s="858">
        <v>2685329.1999999997</v>
      </c>
      <c r="AQ359" s="858">
        <v>2310031.4</v>
      </c>
      <c r="AR359" s="858">
        <v>176483</v>
      </c>
      <c r="AS359" s="858">
        <v>4995554</v>
      </c>
      <c r="AT359" s="858">
        <v>4952999</v>
      </c>
      <c r="AU359" s="877"/>
      <c r="AV359" s="874" t="s">
        <v>3</v>
      </c>
      <c r="AW359" s="849">
        <v>0.86767553689157739</v>
      </c>
      <c r="AX359" s="849">
        <v>0.98994030911609621</v>
      </c>
      <c r="AY359" s="849">
        <v>0.14649963656187537</v>
      </c>
      <c r="AZ359" s="849">
        <v>0.98943261022505558</v>
      </c>
      <c r="BA359" s="849">
        <v>0.62283072869343992</v>
      </c>
    </row>
    <row r="360" spans="1:53" s="743" customFormat="1" x14ac:dyDescent="0.25">
      <c r="A360" s="1040"/>
      <c r="B360" s="844" t="s">
        <v>8</v>
      </c>
      <c r="C360" s="861">
        <v>5321</v>
      </c>
      <c r="D360" s="861">
        <v>2948</v>
      </c>
      <c r="E360" s="861">
        <v>2948</v>
      </c>
      <c r="F360" s="861">
        <v>7143</v>
      </c>
      <c r="G360" s="861">
        <v>3360</v>
      </c>
      <c r="H360" s="861">
        <v>13616</v>
      </c>
      <c r="I360" s="861">
        <v>6949</v>
      </c>
      <c r="J360" s="861">
        <v>1379</v>
      </c>
      <c r="K360" s="861">
        <v>5979</v>
      </c>
      <c r="L360" s="861">
        <v>6618</v>
      </c>
      <c r="M360" s="861">
        <v>6669</v>
      </c>
      <c r="N360" s="861">
        <v>10872</v>
      </c>
      <c r="O360" s="861">
        <v>3430</v>
      </c>
      <c r="P360" s="861">
        <v>7807</v>
      </c>
      <c r="Q360" s="861">
        <v>1827</v>
      </c>
      <c r="R360" s="861">
        <v>4598</v>
      </c>
      <c r="S360" s="861">
        <v>10019</v>
      </c>
      <c r="T360" s="598">
        <v>1716</v>
      </c>
      <c r="U360" s="598">
        <v>1103</v>
      </c>
      <c r="V360" s="861">
        <v>1858</v>
      </c>
      <c r="W360" s="861">
        <v>2490</v>
      </c>
      <c r="X360" s="861">
        <v>946</v>
      </c>
      <c r="Y360" s="861">
        <v>1224</v>
      </c>
      <c r="Z360" s="861">
        <v>561</v>
      </c>
      <c r="AA360" s="861">
        <v>1113</v>
      </c>
      <c r="AB360" s="861">
        <v>795</v>
      </c>
      <c r="AC360" s="861">
        <v>0</v>
      </c>
      <c r="AD360" s="916"/>
      <c r="AE360" s="916"/>
      <c r="AF360" s="916"/>
      <c r="AG360" s="916"/>
      <c r="AH360" s="916"/>
      <c r="AI360" s="916"/>
      <c r="AJ360" s="840">
        <v>113289</v>
      </c>
      <c r="AK360" s="846" t="s">
        <v>8</v>
      </c>
      <c r="AL360" s="858">
        <v>5321</v>
      </c>
      <c r="AM360" s="858">
        <v>2948</v>
      </c>
      <c r="AN360" s="858">
        <v>27377</v>
      </c>
      <c r="AO360" s="858">
        <v>24612</v>
      </c>
      <c r="AP360" s="858">
        <v>28355</v>
      </c>
      <c r="AQ360" s="858">
        <v>21857</v>
      </c>
      <c r="AR360" s="858">
        <v>2819</v>
      </c>
      <c r="AS360" s="858">
        <v>49417</v>
      </c>
      <c r="AT360" s="858">
        <v>63872</v>
      </c>
      <c r="AU360" s="877" t="s">
        <v>191</v>
      </c>
      <c r="AV360" s="839" t="s">
        <v>4</v>
      </c>
      <c r="AW360" s="840">
        <v>97433.600000000006</v>
      </c>
      <c r="AX360" s="840">
        <v>243584.4</v>
      </c>
      <c r="AY360" s="840">
        <v>132070.29999999999</v>
      </c>
      <c r="AZ360" s="840">
        <v>292299.3</v>
      </c>
      <c r="BA360" s="840">
        <v>132070.39999999999</v>
      </c>
    </row>
    <row r="361" spans="1:53" s="743" customFormat="1" x14ac:dyDescent="0.25">
      <c r="A361" s="1040"/>
      <c r="B361" s="839" t="s">
        <v>77</v>
      </c>
      <c r="C361" s="858">
        <v>179408.15700000001</v>
      </c>
      <c r="D361" s="858">
        <v>99397.716</v>
      </c>
      <c r="E361" s="858">
        <v>99397.716</v>
      </c>
      <c r="F361" s="858">
        <v>240840.53099999999</v>
      </c>
      <c r="G361" s="858">
        <v>113289.12</v>
      </c>
      <c r="H361" s="858">
        <v>459090.67199999996</v>
      </c>
      <c r="I361" s="858">
        <v>234299.43299999999</v>
      </c>
      <c r="J361" s="858">
        <v>46495.742999999995</v>
      </c>
      <c r="K361" s="858">
        <v>201593.943</v>
      </c>
      <c r="L361" s="858">
        <v>223139.106</v>
      </c>
      <c r="M361" s="858">
        <v>224858.67299999998</v>
      </c>
      <c r="N361" s="858">
        <v>366571.22399999999</v>
      </c>
      <c r="O361" s="858">
        <v>115649.31</v>
      </c>
      <c r="P361" s="858">
        <v>175092.38099999999</v>
      </c>
      <c r="Q361" s="858">
        <v>61600.958999999995</v>
      </c>
      <c r="R361" s="858">
        <v>155030.766</v>
      </c>
      <c r="S361" s="858">
        <v>337810.62299999996</v>
      </c>
      <c r="T361" s="863">
        <v>57858.371999999996</v>
      </c>
      <c r="U361" s="863">
        <v>37189.850999999995</v>
      </c>
      <c r="V361" s="863">
        <v>62646.185999999994</v>
      </c>
      <c r="W361" s="863">
        <v>83955.33</v>
      </c>
      <c r="X361" s="863">
        <v>31896.281999999999</v>
      </c>
      <c r="Y361" s="863">
        <v>41269.608</v>
      </c>
      <c r="Z361" s="863">
        <v>18915.237000000001</v>
      </c>
      <c r="AA361" s="863">
        <v>37527.021000000001</v>
      </c>
      <c r="AB361" s="863">
        <v>26805.014999999999</v>
      </c>
      <c r="AC361" s="863">
        <v>0</v>
      </c>
      <c r="AD361" s="917"/>
      <c r="AE361" s="917"/>
      <c r="AF361" s="917"/>
      <c r="AG361" s="917"/>
      <c r="AH361" s="917"/>
      <c r="AI361" s="917"/>
      <c r="AJ361" s="864">
        <v>3731628.9750000006</v>
      </c>
      <c r="AK361" s="841" t="s">
        <v>77</v>
      </c>
      <c r="AL361" s="858">
        <v>179408.15700000001</v>
      </c>
      <c r="AM361" s="858">
        <v>99397.716</v>
      </c>
      <c r="AN361" s="858">
        <v>923070.30900000001</v>
      </c>
      <c r="AO361" s="858">
        <v>829842.804</v>
      </c>
      <c r="AP361" s="858">
        <v>956045.53499999992</v>
      </c>
      <c r="AQ361" s="858">
        <v>736952.46899999992</v>
      </c>
      <c r="AR361" s="858">
        <v>95048.222999999998</v>
      </c>
      <c r="AS361" s="858">
        <v>1666192.9889999998</v>
      </c>
      <c r="AT361" s="858">
        <v>2153572.2239999999</v>
      </c>
      <c r="AU361" s="907"/>
      <c r="AV361" s="844" t="s">
        <v>5</v>
      </c>
      <c r="AW361" s="583">
        <v>38973.199999999997</v>
      </c>
      <c r="AX361" s="583">
        <v>124350.5</v>
      </c>
      <c r="AY361" s="583">
        <v>3817.1</v>
      </c>
      <c r="AZ361" s="583">
        <v>109009</v>
      </c>
      <c r="BA361" s="583">
        <v>33401</v>
      </c>
    </row>
    <row r="362" spans="1:53" s="743" customFormat="1" x14ac:dyDescent="0.25">
      <c r="A362" s="1040"/>
      <c r="B362" s="848" t="s">
        <v>217</v>
      </c>
      <c r="C362" s="849">
        <v>0.71757981412568039</v>
      </c>
      <c r="D362" s="849">
        <v>0.66037666252316185</v>
      </c>
      <c r="E362" s="866">
        <v>0.66037666252316185</v>
      </c>
      <c r="F362" s="866">
        <v>1.3233083459890944</v>
      </c>
      <c r="G362" s="866">
        <v>0.68342920157788967</v>
      </c>
      <c r="H362" s="866">
        <v>1.1786515500442869</v>
      </c>
      <c r="I362" s="866">
        <v>1.3624000686144246</v>
      </c>
      <c r="J362" s="866">
        <v>0.27996328833439704</v>
      </c>
      <c r="K362" s="866">
        <v>1.6255059136004748</v>
      </c>
      <c r="L362" s="866">
        <v>0.99584018829729115</v>
      </c>
      <c r="M362" s="866">
        <v>1.1648952049198797</v>
      </c>
      <c r="N362" s="866">
        <v>0.83650063358601467</v>
      </c>
      <c r="O362" s="866">
        <v>1.3927141288168903</v>
      </c>
      <c r="P362" s="866">
        <v>0.63409309876782849</v>
      </c>
      <c r="Q362" s="866">
        <v>0.74183344412491503</v>
      </c>
      <c r="R362" s="866">
        <v>0.80906075727670956</v>
      </c>
      <c r="S362" s="866">
        <v>1.3099197631516188</v>
      </c>
      <c r="T362" s="849">
        <v>1.0490901706224727</v>
      </c>
      <c r="U362" s="849">
        <v>1.1238830177845605</v>
      </c>
      <c r="V362" s="849">
        <v>0.61299737270845867</v>
      </c>
      <c r="W362" s="849">
        <v>0.40074812705701529</v>
      </c>
      <c r="X362" s="849">
        <v>0.31210738136824645</v>
      </c>
      <c r="Y362" s="849">
        <v>0.19699426004730389</v>
      </c>
      <c r="Z362" s="849">
        <v>0.18508693546256477</v>
      </c>
      <c r="AA362" s="849">
        <v>0.1791295845037984</v>
      </c>
      <c r="AB362" s="849">
        <v>0.10205295557453249</v>
      </c>
      <c r="AC362" s="849">
        <v>0</v>
      </c>
      <c r="AD362" s="914"/>
      <c r="AE362" s="914"/>
      <c r="AF362" s="914"/>
      <c r="AG362" s="914"/>
      <c r="AH362" s="914"/>
      <c r="AI362" s="914"/>
      <c r="AJ362" s="851">
        <v>0.75018527317490302</v>
      </c>
      <c r="AK362" s="852" t="s">
        <v>217</v>
      </c>
      <c r="AL362" s="849">
        <v>0.71757981412568039</v>
      </c>
      <c r="AM362" s="849">
        <v>0.66037666252316185</v>
      </c>
      <c r="AN362" s="849">
        <v>1.1602555497596079</v>
      </c>
      <c r="AO362" s="849">
        <v>0.69603402187772534</v>
      </c>
      <c r="AP362" s="849">
        <v>0.71205089863842397</v>
      </c>
      <c r="AQ362" s="849">
        <v>0.63804541271603488</v>
      </c>
      <c r="AR362" s="849">
        <v>1.0771374353337149</v>
      </c>
      <c r="AS362" s="849">
        <v>0.66707035455927399</v>
      </c>
      <c r="AT362" s="849">
        <v>0.86960333486843022</v>
      </c>
      <c r="AU362" s="907"/>
      <c r="AV362" s="848" t="s">
        <v>3</v>
      </c>
      <c r="AW362" s="849">
        <v>0.39999753678402516</v>
      </c>
      <c r="AX362" s="849">
        <v>0.51050272513346506</v>
      </c>
      <c r="AY362" s="849">
        <v>2.8902031720984961E-2</v>
      </c>
      <c r="AZ362" s="849">
        <v>0.37293623351133581</v>
      </c>
      <c r="BA362" s="849">
        <v>0.25290299718937781</v>
      </c>
    </row>
    <row r="363" spans="1:53" s="743" customFormat="1" x14ac:dyDescent="0.25">
      <c r="A363" s="907"/>
      <c r="B363" s="848" t="s">
        <v>218</v>
      </c>
      <c r="C363" s="598">
        <v>168937</v>
      </c>
      <c r="D363" s="598">
        <v>98992.5</v>
      </c>
      <c r="E363" s="598">
        <v>98992.5</v>
      </c>
      <c r="F363" s="598">
        <v>222843</v>
      </c>
      <c r="G363" s="598">
        <v>111003</v>
      </c>
      <c r="H363" s="598">
        <v>444018</v>
      </c>
      <c r="I363" s="598">
        <v>159522</v>
      </c>
      <c r="J363" s="598">
        <v>46536.5</v>
      </c>
      <c r="K363" s="598">
        <v>143176</v>
      </c>
      <c r="L363" s="598">
        <v>223522</v>
      </c>
      <c r="M363" s="598">
        <v>220891</v>
      </c>
      <c r="N363" s="598">
        <v>366652</v>
      </c>
      <c r="O363" s="598">
        <v>115693</v>
      </c>
      <c r="P363" s="598">
        <v>146837</v>
      </c>
      <c r="Q363" s="598">
        <v>61652.2</v>
      </c>
      <c r="R363" s="598">
        <v>141268</v>
      </c>
      <c r="S363" s="598">
        <v>337989</v>
      </c>
      <c r="T363" s="598">
        <v>57858.1</v>
      </c>
      <c r="U363" s="598">
        <v>37189.699999999997</v>
      </c>
      <c r="V363" s="598">
        <v>62679.7</v>
      </c>
      <c r="W363" s="598">
        <v>62679.7</v>
      </c>
      <c r="X363" s="598">
        <v>31944.6</v>
      </c>
      <c r="Y363" s="598">
        <v>31910.9</v>
      </c>
      <c r="Z363" s="598">
        <v>18949</v>
      </c>
      <c r="AA363" s="598">
        <v>18949</v>
      </c>
      <c r="AB363" s="598">
        <v>26851.200000000001</v>
      </c>
      <c r="AC363" s="598">
        <v>0</v>
      </c>
      <c r="AD363" s="918"/>
      <c r="AE363" s="918"/>
      <c r="AF363" s="918"/>
      <c r="AG363" s="918"/>
      <c r="AH363" s="918"/>
      <c r="AI363" s="918"/>
      <c r="AJ363" s="867">
        <v>3457536.600000001</v>
      </c>
      <c r="AK363" s="852" t="s">
        <v>218</v>
      </c>
      <c r="AL363" s="861">
        <v>168937</v>
      </c>
      <c r="AM363" s="861">
        <v>98992.5</v>
      </c>
      <c r="AN363" s="861">
        <v>890383</v>
      </c>
      <c r="AO363" s="861">
        <v>672803.29999999993</v>
      </c>
      <c r="AP363" s="861">
        <v>952383.2</v>
      </c>
      <c r="AQ363" s="861">
        <v>578989.80000000005</v>
      </c>
      <c r="AR363" s="861">
        <v>95047.799999999988</v>
      </c>
      <c r="AS363" s="861">
        <v>1350785.6</v>
      </c>
      <c r="AT363" s="861">
        <v>2106751</v>
      </c>
      <c r="AU363" s="907" t="s">
        <v>219</v>
      </c>
      <c r="AV363" s="848" t="s">
        <v>3</v>
      </c>
      <c r="AW363" s="849">
        <v>0.38119624665106289</v>
      </c>
      <c r="AX363" s="849">
        <v>0.47677983409520408</v>
      </c>
      <c r="AY363" s="849">
        <v>2.9589946651719472E-2</v>
      </c>
      <c r="AZ363" s="849">
        <v>0.45412051337057324</v>
      </c>
      <c r="BA363" s="849">
        <v>0.31543211186862841</v>
      </c>
    </row>
    <row r="364" spans="1:53" s="743" customFormat="1" x14ac:dyDescent="0.25">
      <c r="A364" s="907"/>
      <c r="B364" s="848" t="s">
        <v>216</v>
      </c>
      <c r="C364" s="866">
        <f t="shared" ref="C364:AJ364" si="83">C363/C354</f>
        <v>0.67569826860743054</v>
      </c>
      <c r="D364" s="866">
        <f t="shared" si="83"/>
        <v>0.65768449613896662</v>
      </c>
      <c r="E364" s="866">
        <f t="shared" si="83"/>
        <v>0.65768449613896662</v>
      </c>
      <c r="F364" s="866">
        <f t="shared" si="83"/>
        <v>1.2244201610120506</v>
      </c>
      <c r="G364" s="866">
        <f t="shared" si="83"/>
        <v>0.66963792871504779</v>
      </c>
      <c r="H364" s="866">
        <f t="shared" si="83"/>
        <v>1.13995455770786</v>
      </c>
      <c r="I364" s="866">
        <f t="shared" si="83"/>
        <v>0.92758561539289031</v>
      </c>
      <c r="J364" s="866">
        <f t="shared" si="83"/>
        <v>0.28020869711822155</v>
      </c>
      <c r="K364" s="866">
        <f t="shared" si="83"/>
        <v>1.1544664052017752</v>
      </c>
      <c r="L364" s="866">
        <f t="shared" si="83"/>
        <v>0.99754899335568337</v>
      </c>
      <c r="M364" s="866">
        <f t="shared" si="83"/>
        <v>1.1443404129221966</v>
      </c>
      <c r="N364" s="866">
        <f t="shared" si="83"/>
        <v>0.83668496113480917</v>
      </c>
      <c r="O364" s="866">
        <f t="shared" si="83"/>
        <v>1.3932402684046494</v>
      </c>
      <c r="P364" s="866">
        <f t="shared" si="83"/>
        <v>0.53176687536033695</v>
      </c>
      <c r="Q364" s="866">
        <f t="shared" si="83"/>
        <v>0.7424505171076653</v>
      </c>
      <c r="R364" s="866">
        <f t="shared" si="83"/>
        <v>0.73723685954674445</v>
      </c>
      <c r="S364" s="866">
        <f t="shared" si="83"/>
        <v>1.3106114511616545</v>
      </c>
      <c r="T364" s="866">
        <f t="shared" si="83"/>
        <v>1.0490852387082736</v>
      </c>
      <c r="U364" s="866">
        <f t="shared" si="83"/>
        <v>1.1238784545413336</v>
      </c>
      <c r="V364" s="866">
        <f t="shared" si="83"/>
        <v>0.61332530957518117</v>
      </c>
      <c r="W364" s="866">
        <f t="shared" si="83"/>
        <v>0.29919211060805312</v>
      </c>
      <c r="X364" s="866">
        <f t="shared" si="83"/>
        <v>0.3125801764248286</v>
      </c>
      <c r="Y364" s="866">
        <f t="shared" si="83"/>
        <v>0.15232187649913007</v>
      </c>
      <c r="Z364" s="866">
        <f t="shared" si="83"/>
        <v>0.18541730881194562</v>
      </c>
      <c r="AA364" s="866">
        <f t="shared" si="83"/>
        <v>9.0450198452002778E-2</v>
      </c>
      <c r="AB364" s="866">
        <f t="shared" si="83"/>
        <v>0.10222879266148095</v>
      </c>
      <c r="AC364" s="866">
        <f t="shared" si="83"/>
        <v>0</v>
      </c>
      <c r="AD364" s="919"/>
      <c r="AE364" s="919"/>
      <c r="AF364" s="919"/>
      <c r="AG364" s="919"/>
      <c r="AH364" s="919"/>
      <c r="AI364" s="919"/>
      <c r="AJ364" s="869">
        <f t="shared" si="83"/>
        <v>0.69508331513135646</v>
      </c>
      <c r="AK364" s="852" t="s">
        <v>216</v>
      </c>
      <c r="AL364" s="849">
        <f t="shared" ref="AL364:AT364" si="84">AL363/AL354</f>
        <v>0.67569826860743054</v>
      </c>
      <c r="AM364" s="849">
        <f t="shared" si="84"/>
        <v>0.65768449613896662</v>
      </c>
      <c r="AN364" s="849">
        <f t="shared" si="84"/>
        <v>1.1191691543851932</v>
      </c>
      <c r="AO364" s="849">
        <f t="shared" si="84"/>
        <v>0.56431650015441448</v>
      </c>
      <c r="AP364" s="849">
        <f t="shared" si="84"/>
        <v>0.70932323679346287</v>
      </c>
      <c r="AQ364" s="849">
        <f t="shared" si="84"/>
        <v>0.50128305615239699</v>
      </c>
      <c r="AR364" s="849">
        <f t="shared" si="84"/>
        <v>1.0771326416708691</v>
      </c>
      <c r="AS364" s="849">
        <f t="shared" si="84"/>
        <v>0.54079511501627253</v>
      </c>
      <c r="AT364" s="849">
        <f t="shared" si="84"/>
        <v>0.850697123096532</v>
      </c>
      <c r="AU364" s="907"/>
      <c r="AV364" s="848"/>
      <c r="AW364" s="849"/>
      <c r="AX364" s="849"/>
      <c r="AY364" s="849"/>
      <c r="AZ364" s="849"/>
      <c r="BA364" s="849"/>
    </row>
    <row r="365" spans="1:53" s="743" customFormat="1" x14ac:dyDescent="0.25">
      <c r="A365" s="1041">
        <v>41801</v>
      </c>
      <c r="B365" s="1041"/>
      <c r="C365" s="1041"/>
      <c r="D365" s="529"/>
      <c r="E365" s="529"/>
      <c r="F365" s="529"/>
      <c r="G365" s="529"/>
      <c r="H365" s="529"/>
      <c r="I365" s="525"/>
      <c r="J365" s="531"/>
      <c r="K365" s="531"/>
      <c r="L365" s="529"/>
      <c r="M365" s="529"/>
      <c r="N365" s="527"/>
      <c r="R365" s="526"/>
      <c r="S365" s="534"/>
      <c r="T365" s="534"/>
      <c r="U365" s="534"/>
      <c r="V365" s="534"/>
      <c r="W365" s="534"/>
      <c r="X365" s="534"/>
      <c r="Y365" s="534"/>
      <c r="Z365" s="534"/>
      <c r="AA365" s="534"/>
      <c r="AB365" s="534"/>
      <c r="AC365" s="534"/>
      <c r="AD365" s="534"/>
      <c r="AE365" s="534"/>
      <c r="AF365" s="534"/>
      <c r="AG365" s="534"/>
      <c r="AH365" s="534"/>
      <c r="AI365" s="534"/>
      <c r="AJ365" s="534"/>
      <c r="AK365" s="534"/>
      <c r="AL365" s="534"/>
      <c r="AM365" s="534"/>
      <c r="AN365" s="534"/>
      <c r="AO365" s="534"/>
    </row>
    <row r="366" spans="1:53" s="743" customFormat="1" x14ac:dyDescent="0.25">
      <c r="A366" s="1042" t="s">
        <v>1</v>
      </c>
      <c r="B366" s="1042"/>
      <c r="C366" s="897" t="s">
        <v>12</v>
      </c>
      <c r="D366" s="897" t="s">
        <v>12</v>
      </c>
      <c r="E366" s="897" t="s">
        <v>13</v>
      </c>
      <c r="F366" s="897" t="s">
        <v>13</v>
      </c>
      <c r="G366" s="897" t="s">
        <v>13</v>
      </c>
      <c r="H366" s="897" t="s">
        <v>13</v>
      </c>
      <c r="I366" s="897" t="s">
        <v>13</v>
      </c>
      <c r="J366" s="897" t="s">
        <v>13</v>
      </c>
      <c r="K366" s="897" t="s">
        <v>13</v>
      </c>
      <c r="L366" s="897" t="s">
        <v>13</v>
      </c>
      <c r="M366" s="829" t="s">
        <v>2</v>
      </c>
      <c r="N366" s="897" t="s">
        <v>2</v>
      </c>
      <c r="O366" s="897" t="s">
        <v>2</v>
      </c>
      <c r="P366" s="897" t="s">
        <v>2</v>
      </c>
      <c r="Q366" s="897" t="s">
        <v>2</v>
      </c>
      <c r="R366" s="897" t="s">
        <v>2</v>
      </c>
      <c r="S366" s="897" t="s">
        <v>2</v>
      </c>
      <c r="T366" s="830" t="s">
        <v>183</v>
      </c>
      <c r="U366" s="830" t="s">
        <v>183</v>
      </c>
      <c r="V366" s="830" t="s">
        <v>2</v>
      </c>
      <c r="W366" s="830" t="s">
        <v>13</v>
      </c>
      <c r="X366" s="830" t="s">
        <v>13</v>
      </c>
      <c r="Y366" s="830" t="s">
        <v>2</v>
      </c>
      <c r="Z366" s="830" t="s">
        <v>13</v>
      </c>
      <c r="AA366" s="830" t="s">
        <v>2</v>
      </c>
      <c r="AB366" s="888" t="s">
        <v>2</v>
      </c>
      <c r="AC366" s="831" t="s">
        <v>219</v>
      </c>
      <c r="AD366" s="920"/>
      <c r="AE366" s="920"/>
      <c r="AF366" s="920"/>
      <c r="AG366" s="920"/>
      <c r="AH366" s="920"/>
      <c r="AI366" s="920"/>
      <c r="AJ366" s="832"/>
      <c r="AK366" s="833"/>
      <c r="AL366" s="833"/>
      <c r="AM366" s="833"/>
      <c r="AN366" s="833"/>
      <c r="AO366" s="833"/>
      <c r="AP366" s="833"/>
      <c r="AQ366" s="833"/>
      <c r="AR366" s="833"/>
      <c r="AS366" s="833"/>
      <c r="AT366" s="1042" t="s">
        <v>1</v>
      </c>
      <c r="AU366" s="1043"/>
      <c r="AV366" s="897" t="s">
        <v>12</v>
      </c>
      <c r="AW366" s="1044" t="s">
        <v>13</v>
      </c>
      <c r="AX366" s="1045"/>
      <c r="AY366" s="1044" t="s">
        <v>2</v>
      </c>
      <c r="AZ366" s="1045"/>
    </row>
    <row r="367" spans="1:53" s="743" customFormat="1" x14ac:dyDescent="0.25">
      <c r="A367" s="1042" t="s">
        <v>0</v>
      </c>
      <c r="B367" s="1042"/>
      <c r="C367" s="834" t="s">
        <v>99</v>
      </c>
      <c r="D367" s="835" t="s">
        <v>100</v>
      </c>
      <c r="E367" s="835" t="s">
        <v>101</v>
      </c>
      <c r="F367" s="834" t="s">
        <v>102</v>
      </c>
      <c r="G367" s="835" t="s">
        <v>97</v>
      </c>
      <c r="H367" s="834" t="s">
        <v>104</v>
      </c>
      <c r="I367" s="835" t="s">
        <v>103</v>
      </c>
      <c r="J367" s="835" t="s">
        <v>178</v>
      </c>
      <c r="K367" s="835" t="s">
        <v>199</v>
      </c>
      <c r="L367" s="834" t="s">
        <v>206</v>
      </c>
      <c r="M367" s="834" t="s">
        <v>105</v>
      </c>
      <c r="N367" s="834" t="s">
        <v>107</v>
      </c>
      <c r="O367" s="835" t="s">
        <v>98</v>
      </c>
      <c r="P367" s="835" t="s">
        <v>106</v>
      </c>
      <c r="Q367" s="835" t="s">
        <v>179</v>
      </c>
      <c r="R367" s="835" t="s">
        <v>198</v>
      </c>
      <c r="S367" s="834" t="s">
        <v>207</v>
      </c>
      <c r="T367" s="834" t="s">
        <v>182</v>
      </c>
      <c r="U367" s="834" t="s">
        <v>184</v>
      </c>
      <c r="V367" s="835" t="s">
        <v>221</v>
      </c>
      <c r="W367" s="835" t="s">
        <v>222</v>
      </c>
      <c r="X367" s="835" t="s">
        <v>255</v>
      </c>
      <c r="Y367" s="835" t="s">
        <v>256</v>
      </c>
      <c r="Z367" s="835" t="s">
        <v>266</v>
      </c>
      <c r="AA367" s="835" t="s">
        <v>267</v>
      </c>
      <c r="AB367" s="889" t="s">
        <v>268</v>
      </c>
      <c r="AC367" s="836"/>
      <c r="AD367" s="921"/>
      <c r="AE367" s="921"/>
      <c r="AF367" s="921"/>
      <c r="AG367" s="921"/>
      <c r="AH367" s="921"/>
      <c r="AI367" s="921"/>
      <c r="AJ367" s="837"/>
      <c r="AK367" s="838" t="s">
        <v>257</v>
      </c>
      <c r="AL367" s="838" t="s">
        <v>258</v>
      </c>
      <c r="AM367" s="838" t="s">
        <v>259</v>
      </c>
      <c r="AN367" s="838" t="s">
        <v>260</v>
      </c>
      <c r="AO367" s="838" t="s">
        <v>261</v>
      </c>
      <c r="AP367" s="838" t="s">
        <v>262</v>
      </c>
      <c r="AQ367" s="838" t="s">
        <v>263</v>
      </c>
      <c r="AR367" s="838" t="s">
        <v>264</v>
      </c>
      <c r="AS367" s="838" t="s">
        <v>265</v>
      </c>
      <c r="AT367" s="1046" t="s">
        <v>0</v>
      </c>
      <c r="AU367" s="1043"/>
      <c r="AV367" s="834" t="s">
        <v>99</v>
      </c>
      <c r="AW367" s="834" t="s">
        <v>104</v>
      </c>
      <c r="AX367" s="834" t="s">
        <v>206</v>
      </c>
      <c r="AY367" s="834" t="s">
        <v>107</v>
      </c>
      <c r="AZ367" s="834" t="s">
        <v>207</v>
      </c>
    </row>
    <row r="368" spans="1:53" s="743" customFormat="1" ht="30" x14ac:dyDescent="0.25">
      <c r="A368" s="1047" t="s">
        <v>9</v>
      </c>
      <c r="B368" s="839" t="s">
        <v>4</v>
      </c>
      <c r="C368" s="840">
        <v>250018.4</v>
      </c>
      <c r="D368" s="840">
        <v>150516.70000000001</v>
      </c>
      <c r="E368" s="840">
        <v>150516.70000000001</v>
      </c>
      <c r="F368" s="840">
        <v>181998.8</v>
      </c>
      <c r="G368" s="840">
        <v>165765.70000000001</v>
      </c>
      <c r="H368" s="840">
        <v>389505</v>
      </c>
      <c r="I368" s="840">
        <v>171975.5</v>
      </c>
      <c r="J368" s="840">
        <v>166078</v>
      </c>
      <c r="K368" s="840">
        <v>124019.2</v>
      </c>
      <c r="L368" s="840">
        <v>224071.2</v>
      </c>
      <c r="M368" s="840">
        <v>193029.1</v>
      </c>
      <c r="N368" s="840">
        <v>438219.9</v>
      </c>
      <c r="O368" s="840">
        <v>83038.8</v>
      </c>
      <c r="P368" s="840">
        <v>276130.40000000002</v>
      </c>
      <c r="Q368" s="840">
        <v>83038.8</v>
      </c>
      <c r="R368" s="840">
        <v>191618.2</v>
      </c>
      <c r="S368" s="840">
        <v>257886.5</v>
      </c>
      <c r="T368" s="840">
        <v>55151</v>
      </c>
      <c r="U368" s="840">
        <v>33090.5</v>
      </c>
      <c r="V368" s="840">
        <v>102196.5</v>
      </c>
      <c r="W368" s="840">
        <v>209496.5</v>
      </c>
      <c r="X368" s="840">
        <v>102196.5</v>
      </c>
      <c r="Y368" s="840">
        <v>209496.5</v>
      </c>
      <c r="Z368" s="840">
        <v>102196.5</v>
      </c>
      <c r="AA368" s="840">
        <v>209496.5</v>
      </c>
      <c r="AB368" s="840">
        <v>228473.60000000001</v>
      </c>
      <c r="AC368" s="840">
        <v>4749220.9999999991</v>
      </c>
      <c r="AD368" s="901"/>
      <c r="AE368" s="901"/>
      <c r="AF368" s="901"/>
      <c r="AG368" s="901"/>
      <c r="AH368" s="901"/>
      <c r="AI368" s="901"/>
      <c r="AJ368" s="841" t="s">
        <v>4</v>
      </c>
      <c r="AK368" s="842">
        <v>250018.4</v>
      </c>
      <c r="AL368" s="842">
        <v>150516.70000000001</v>
      </c>
      <c r="AM368" s="842">
        <v>795575</v>
      </c>
      <c r="AN368" s="842">
        <v>1192244.6000000001</v>
      </c>
      <c r="AO368" s="842">
        <v>1117609.1000000001</v>
      </c>
      <c r="AP368" s="842">
        <v>1155015.7</v>
      </c>
      <c r="AQ368" s="842">
        <v>88241.5</v>
      </c>
      <c r="AR368" s="842">
        <v>2497777</v>
      </c>
      <c r="AS368" s="870">
        <v>2251444</v>
      </c>
      <c r="AT368" s="875" t="s">
        <v>194</v>
      </c>
      <c r="AU368" s="872" t="s">
        <v>4</v>
      </c>
      <c r="AV368" s="840">
        <v>143393</v>
      </c>
      <c r="AW368" s="840">
        <v>132132</v>
      </c>
      <c r="AX368" s="840">
        <v>83196.100000000006</v>
      </c>
      <c r="AY368" s="840">
        <v>132132.20000000001</v>
      </c>
      <c r="AZ368" s="840">
        <v>83196.100000000006</v>
      </c>
    </row>
    <row r="369" spans="1:52" s="743" customFormat="1" x14ac:dyDescent="0.25">
      <c r="A369" s="1047"/>
      <c r="B369" s="844" t="s">
        <v>5</v>
      </c>
      <c r="C369" s="583">
        <v>102703.9</v>
      </c>
      <c r="D369" s="583">
        <v>83557.8</v>
      </c>
      <c r="E369" s="583">
        <v>84266.9</v>
      </c>
      <c r="F369" s="583">
        <v>147811.4</v>
      </c>
      <c r="G369" s="583">
        <v>114725</v>
      </c>
      <c r="H369" s="583">
        <v>214253.3</v>
      </c>
      <c r="I369" s="583">
        <v>121800.6</v>
      </c>
      <c r="J369" s="583">
        <v>50007</v>
      </c>
      <c r="K369" s="583">
        <v>82666</v>
      </c>
      <c r="L369" s="583">
        <v>71507.7</v>
      </c>
      <c r="M369" s="583">
        <v>147277.29999999999</v>
      </c>
      <c r="N369" s="583">
        <v>211078.5</v>
      </c>
      <c r="O369" s="583">
        <v>57914.9</v>
      </c>
      <c r="P369" s="583">
        <v>225227.2</v>
      </c>
      <c r="Q369" s="583">
        <v>25860.799999999999</v>
      </c>
      <c r="R369" s="583">
        <v>125937</v>
      </c>
      <c r="S369" s="583">
        <v>167687.29999999999</v>
      </c>
      <c r="T369" s="583">
        <v>16593.7</v>
      </c>
      <c r="U369" s="583">
        <v>10226.6</v>
      </c>
      <c r="V369" s="583">
        <v>14431.1</v>
      </c>
      <c r="W369" s="583">
        <v>28862.2</v>
      </c>
      <c r="X369" s="583">
        <v>8037.3</v>
      </c>
      <c r="Y369" s="583">
        <v>16059.2</v>
      </c>
      <c r="Z369" s="583">
        <v>3.1</v>
      </c>
      <c r="AA369" s="583">
        <v>6</v>
      </c>
      <c r="AB369" s="583">
        <v>18050.2</v>
      </c>
      <c r="AC369" s="845">
        <v>2146552.0000000005</v>
      </c>
      <c r="AD369" s="922"/>
      <c r="AE369" s="922"/>
      <c r="AF369" s="922"/>
      <c r="AG369" s="922"/>
      <c r="AH369" s="922"/>
      <c r="AI369" s="922"/>
      <c r="AJ369" s="846" t="s">
        <v>5</v>
      </c>
      <c r="AK369" s="847">
        <v>102703.9</v>
      </c>
      <c r="AL369" s="847">
        <v>83557.8</v>
      </c>
      <c r="AM369" s="847">
        <v>433572.39999999997</v>
      </c>
      <c r="AN369" s="842">
        <v>490368.1</v>
      </c>
      <c r="AO369" s="842">
        <v>544093.29999999993</v>
      </c>
      <c r="AP369" s="842">
        <v>465436.2</v>
      </c>
      <c r="AQ369" s="842">
        <v>26820.300000000003</v>
      </c>
      <c r="AR369" s="842">
        <v>1039362.1000000001</v>
      </c>
      <c r="AS369" s="870">
        <v>1107189.8999999999</v>
      </c>
      <c r="AT369" s="876"/>
      <c r="AU369" s="873" t="s">
        <v>5</v>
      </c>
      <c r="AV369" s="583">
        <v>51964.9</v>
      </c>
      <c r="AW369" s="583">
        <v>58542</v>
      </c>
      <c r="AX369" s="583">
        <v>2519</v>
      </c>
      <c r="AY369" s="583">
        <v>70731</v>
      </c>
      <c r="AZ369" s="583">
        <v>31444.9</v>
      </c>
    </row>
    <row r="370" spans="1:52" s="743" customFormat="1" x14ac:dyDescent="0.25">
      <c r="A370" s="1047"/>
      <c r="B370" s="848" t="s">
        <v>3</v>
      </c>
      <c r="C370" s="849">
        <v>0.41078536619704786</v>
      </c>
      <c r="D370" s="849">
        <v>0.55513972868126926</v>
      </c>
      <c r="E370" s="849">
        <v>0.55985083382774126</v>
      </c>
      <c r="F370" s="850">
        <v>0.81215590432464391</v>
      </c>
      <c r="G370" s="849">
        <v>0.69209130718839895</v>
      </c>
      <c r="H370" s="849">
        <v>0.55006559607707217</v>
      </c>
      <c r="I370" s="849">
        <v>0.70824390683556671</v>
      </c>
      <c r="J370" s="849">
        <v>0.30110550464239694</v>
      </c>
      <c r="K370" s="849">
        <v>0.66655808132934258</v>
      </c>
      <c r="L370" s="849">
        <v>0.31912936602294267</v>
      </c>
      <c r="M370" s="850">
        <v>0.76297977869657985</v>
      </c>
      <c r="N370" s="849">
        <v>0.48167255754473948</v>
      </c>
      <c r="O370" s="849">
        <v>0.69744384552763283</v>
      </c>
      <c r="P370" s="849">
        <v>0.81565521217511727</v>
      </c>
      <c r="Q370" s="849">
        <v>0.31143031932060672</v>
      </c>
      <c r="R370" s="849">
        <v>0.65722880185702603</v>
      </c>
      <c r="S370" s="849">
        <v>0.65023682899259938</v>
      </c>
      <c r="T370" s="849">
        <v>0.30087759061485742</v>
      </c>
      <c r="U370" s="849">
        <v>0.30904942506157357</v>
      </c>
      <c r="V370" s="849">
        <v>0.1412093369146693</v>
      </c>
      <c r="W370" s="849">
        <v>0.13776936607532822</v>
      </c>
      <c r="X370" s="849">
        <v>7.8645550483627133E-2</v>
      </c>
      <c r="Y370" s="849">
        <v>7.6656173253491111E-2</v>
      </c>
      <c r="Z370" s="849">
        <v>3.0333719843634569E-5</v>
      </c>
      <c r="AA370" s="849">
        <v>2.8640096612592574E-5</v>
      </c>
      <c r="AB370" s="849">
        <v>7.9003438471665868E-2</v>
      </c>
      <c r="AC370" s="851">
        <v>0.45197980889918599</v>
      </c>
      <c r="AD370" s="923"/>
      <c r="AE370" s="923"/>
      <c r="AF370" s="923"/>
      <c r="AG370" s="923"/>
      <c r="AH370" s="923"/>
      <c r="AI370" s="923"/>
      <c r="AJ370" s="852" t="s">
        <v>3</v>
      </c>
      <c r="AK370" s="853">
        <v>0.41078536619704786</v>
      </c>
      <c r="AL370" s="853">
        <v>0.55513972868126926</v>
      </c>
      <c r="AM370" s="853">
        <v>0.54497992018351504</v>
      </c>
      <c r="AN370" s="853">
        <v>0.41129823527823062</v>
      </c>
      <c r="AO370" s="853">
        <v>0.48683685556962614</v>
      </c>
      <c r="AP370" s="853">
        <v>0.40296958733980848</v>
      </c>
      <c r="AQ370" s="853">
        <v>0.30394202274440035</v>
      </c>
      <c r="AR370" s="853">
        <v>0.41611484932401893</v>
      </c>
      <c r="AS370" s="871">
        <v>0.49176879371638821</v>
      </c>
      <c r="AT370" s="876"/>
      <c r="AU370" s="874" t="s">
        <v>3</v>
      </c>
      <c r="AV370" s="849">
        <f>AV369/AV368</f>
        <v>0.36239495651810061</v>
      </c>
      <c r="AW370" s="849">
        <f>AW369/AW368</f>
        <v>0.44305694305694304</v>
      </c>
      <c r="AX370" s="849">
        <f>AX369/AX368</f>
        <v>3.0277861582453984E-2</v>
      </c>
      <c r="AY370" s="849">
        <f>AY369/AY368</f>
        <v>0.53530479322981073</v>
      </c>
      <c r="AZ370" s="849">
        <f>AZ369/AZ368</f>
        <v>0.37796122654787906</v>
      </c>
    </row>
    <row r="371" spans="1:52" s="743" customFormat="1" ht="30" x14ac:dyDescent="0.25">
      <c r="A371" s="1040" t="s">
        <v>6</v>
      </c>
      <c r="B371" s="854" t="s">
        <v>7</v>
      </c>
      <c r="C371" s="840">
        <v>5644</v>
      </c>
      <c r="D371" s="840">
        <v>3620</v>
      </c>
      <c r="E371" s="840">
        <v>3591</v>
      </c>
      <c r="F371" s="840">
        <v>9273</v>
      </c>
      <c r="G371" s="840">
        <v>8432</v>
      </c>
      <c r="H371" s="840">
        <v>15703</v>
      </c>
      <c r="I371" s="840">
        <v>8298</v>
      </c>
      <c r="J371" s="840">
        <v>9599</v>
      </c>
      <c r="K371" s="840">
        <v>7072</v>
      </c>
      <c r="L371" s="840">
        <v>9414</v>
      </c>
      <c r="M371" s="840">
        <v>8345</v>
      </c>
      <c r="N371" s="840">
        <v>11924</v>
      </c>
      <c r="O371" s="840">
        <v>4357</v>
      </c>
      <c r="P371" s="840">
        <v>10643</v>
      </c>
      <c r="Q371" s="840">
        <v>4799</v>
      </c>
      <c r="R371" s="840">
        <v>9711</v>
      </c>
      <c r="S371" s="840">
        <v>11664</v>
      </c>
      <c r="T371" s="855">
        <v>2480</v>
      </c>
      <c r="U371" s="855">
        <v>1570</v>
      </c>
      <c r="V371" s="840">
        <v>3999</v>
      </c>
      <c r="W371" s="840">
        <v>7999</v>
      </c>
      <c r="X371" s="840">
        <v>3999</v>
      </c>
      <c r="Y371" s="840">
        <v>7999</v>
      </c>
      <c r="Z371" s="840">
        <v>3999</v>
      </c>
      <c r="AA371" s="840">
        <v>7999</v>
      </c>
      <c r="AB371" s="840">
        <v>11999</v>
      </c>
      <c r="AC371" s="840">
        <v>194132</v>
      </c>
      <c r="AD371" s="901"/>
      <c r="AE371" s="901"/>
      <c r="AF371" s="901"/>
      <c r="AG371" s="901"/>
      <c r="AH371" s="901"/>
      <c r="AI371" s="901"/>
      <c r="AJ371" s="856" t="s">
        <v>7</v>
      </c>
      <c r="AK371" s="842">
        <v>5644</v>
      </c>
      <c r="AL371" s="842">
        <v>3620</v>
      </c>
      <c r="AM371" s="842">
        <v>34390</v>
      </c>
      <c r="AN371" s="842">
        <v>52989</v>
      </c>
      <c r="AO371" s="842">
        <v>43932</v>
      </c>
      <c r="AP371" s="842">
        <v>49507</v>
      </c>
      <c r="AQ371" s="842">
        <v>4050</v>
      </c>
      <c r="AR371" s="842">
        <v>106116</v>
      </c>
      <c r="AS371" s="870">
        <v>88016</v>
      </c>
      <c r="AT371" s="880" t="s">
        <v>190</v>
      </c>
      <c r="AU371" s="879" t="s">
        <v>4</v>
      </c>
      <c r="AV371" s="857">
        <v>9191.7999999999993</v>
      </c>
      <c r="AW371" s="857">
        <v>13787.7</v>
      </c>
      <c r="AX371" s="857">
        <v>8804.7999999999993</v>
      </c>
      <c r="AY371" s="857">
        <v>13787.7</v>
      </c>
      <c r="AZ371" s="857">
        <v>8804.7999999999993</v>
      </c>
    </row>
    <row r="372" spans="1:52" s="743" customFormat="1" x14ac:dyDescent="0.25">
      <c r="A372" s="1040"/>
      <c r="B372" s="839" t="s">
        <v>11</v>
      </c>
      <c r="C372" s="858">
        <v>190298.74799999999</v>
      </c>
      <c r="D372" s="858">
        <v>122055.54</v>
      </c>
      <c r="E372" s="858">
        <v>121077.74699999999</v>
      </c>
      <c r="F372" s="858">
        <v>312657.74099999998</v>
      </c>
      <c r="G372" s="858">
        <v>284301.74400000001</v>
      </c>
      <c r="H372" s="858">
        <v>529458.05099999998</v>
      </c>
      <c r="I372" s="858">
        <v>279783.66599999997</v>
      </c>
      <c r="J372" s="858">
        <v>323649.48300000001</v>
      </c>
      <c r="K372" s="858">
        <v>238446.62399999998</v>
      </c>
      <c r="L372" s="858">
        <v>317411.83799999999</v>
      </c>
      <c r="M372" s="858">
        <v>281368.36499999999</v>
      </c>
      <c r="N372" s="858">
        <v>402041.50799999997</v>
      </c>
      <c r="O372" s="858">
        <v>146904.96899999998</v>
      </c>
      <c r="P372" s="858">
        <v>358850.03099999996</v>
      </c>
      <c r="Q372" s="858">
        <v>161807.883</v>
      </c>
      <c r="R372" s="858">
        <v>327425.78700000001</v>
      </c>
      <c r="S372" s="858">
        <v>393275.08799999999</v>
      </c>
      <c r="T372" s="858">
        <v>83618.16</v>
      </c>
      <c r="U372" s="858">
        <v>52935.689999999995</v>
      </c>
      <c r="V372" s="858">
        <v>134834.283</v>
      </c>
      <c r="W372" s="858">
        <v>269702.283</v>
      </c>
      <c r="X372" s="858">
        <v>134834.283</v>
      </c>
      <c r="Y372" s="858">
        <v>269702.283</v>
      </c>
      <c r="Z372" s="858">
        <v>134834.283</v>
      </c>
      <c r="AA372" s="858">
        <v>269702.283</v>
      </c>
      <c r="AB372" s="858">
        <v>404570.283</v>
      </c>
      <c r="AC372" s="859">
        <v>6545548.6439999985</v>
      </c>
      <c r="AD372" s="924"/>
      <c r="AE372" s="924"/>
      <c r="AF372" s="924"/>
      <c r="AG372" s="924"/>
      <c r="AH372" s="924"/>
      <c r="AI372" s="924"/>
      <c r="AJ372" s="841" t="s">
        <v>11</v>
      </c>
      <c r="AK372" s="860">
        <v>190298.74799999999</v>
      </c>
      <c r="AL372" s="860">
        <v>122055.54</v>
      </c>
      <c r="AM372" s="860">
        <v>1159527.6299999999</v>
      </c>
      <c r="AN372" s="860">
        <v>1786630.1129999999</v>
      </c>
      <c r="AO372" s="860">
        <v>1481255.2439999999</v>
      </c>
      <c r="AP372" s="860">
        <v>1669227.5189999999</v>
      </c>
      <c r="AQ372" s="860">
        <v>136553.85</v>
      </c>
      <c r="AR372" s="860">
        <v>3577913.1719999998</v>
      </c>
      <c r="AS372" s="878">
        <v>2967635.4720000001</v>
      </c>
      <c r="AT372" s="876"/>
      <c r="AU372" s="873" t="s">
        <v>5</v>
      </c>
      <c r="AV372" s="583">
        <v>7975.5</v>
      </c>
      <c r="AW372" s="583">
        <v>13649</v>
      </c>
      <c r="AX372" s="583">
        <v>1289.9000000000001</v>
      </c>
      <c r="AY372" s="583">
        <v>13642</v>
      </c>
      <c r="AZ372" s="583">
        <v>5483.9</v>
      </c>
    </row>
    <row r="373" spans="1:52" s="743" customFormat="1" x14ac:dyDescent="0.25">
      <c r="A373" s="1040"/>
      <c r="B373" s="839" t="s">
        <v>79</v>
      </c>
      <c r="C373" s="858">
        <v>164000</v>
      </c>
      <c r="D373" s="858">
        <v>109880</v>
      </c>
      <c r="E373" s="858">
        <v>109880</v>
      </c>
      <c r="F373" s="858">
        <v>328000</v>
      </c>
      <c r="G373" s="858">
        <v>330905</v>
      </c>
      <c r="H373" s="858">
        <v>264264</v>
      </c>
      <c r="I373" s="858">
        <v>242663.6</v>
      </c>
      <c r="J373" s="858">
        <v>328000</v>
      </c>
      <c r="K373" s="858">
        <v>328000</v>
      </c>
      <c r="L373" s="858">
        <v>328000</v>
      </c>
      <c r="M373" s="858">
        <v>328000</v>
      </c>
      <c r="N373" s="858">
        <v>264264.40000000002</v>
      </c>
      <c r="O373" s="858">
        <v>328000</v>
      </c>
      <c r="P373" s="858">
        <v>352965.4</v>
      </c>
      <c r="Q373" s="858">
        <v>328000</v>
      </c>
      <c r="R373" s="858">
        <v>328000</v>
      </c>
      <c r="S373" s="858">
        <v>328000</v>
      </c>
      <c r="T373" s="858">
        <v>110302</v>
      </c>
      <c r="U373" s="858">
        <v>66181</v>
      </c>
      <c r="V373" s="858">
        <v>204393</v>
      </c>
      <c r="W373" s="858">
        <v>418993</v>
      </c>
      <c r="X373" s="858">
        <v>204393</v>
      </c>
      <c r="Y373" s="858">
        <v>418993</v>
      </c>
      <c r="Z373" s="858">
        <v>204393</v>
      </c>
      <c r="AA373" s="858">
        <v>418993</v>
      </c>
      <c r="AB373" s="858">
        <v>456947.20000000001</v>
      </c>
      <c r="AC373" s="859">
        <v>7294410.6000000006</v>
      </c>
      <c r="AD373" s="924"/>
      <c r="AE373" s="924"/>
      <c r="AF373" s="924"/>
      <c r="AG373" s="924"/>
      <c r="AH373" s="924"/>
      <c r="AI373" s="924"/>
      <c r="AJ373" s="841" t="s">
        <v>79</v>
      </c>
      <c r="AK373" s="860">
        <v>500036.8</v>
      </c>
      <c r="AL373" s="860">
        <v>301033.40000000002</v>
      </c>
      <c r="AM373" s="860">
        <v>1591150</v>
      </c>
      <c r="AN373" s="860">
        <v>2384489.2000000002</v>
      </c>
      <c r="AO373" s="860">
        <v>2235218.2000000002</v>
      </c>
      <c r="AP373" s="860">
        <v>2310031.4</v>
      </c>
      <c r="AQ373" s="860">
        <v>176483</v>
      </c>
      <c r="AR373" s="860">
        <v>4995554</v>
      </c>
      <c r="AS373" s="878">
        <v>4502888</v>
      </c>
      <c r="AT373" s="877"/>
      <c r="AU373" s="874" t="s">
        <v>3</v>
      </c>
      <c r="AV373" s="849">
        <f>AV372/AV371</f>
        <v>0.86767553689157739</v>
      </c>
      <c r="AW373" s="849">
        <f>AW372/AW371</f>
        <v>0.98994030911609621</v>
      </c>
      <c r="AX373" s="849">
        <f>AX372/AX371</f>
        <v>0.14649963656187537</v>
      </c>
      <c r="AY373" s="849">
        <f>AY372/AY371</f>
        <v>0.98943261022505558</v>
      </c>
      <c r="AZ373" s="849">
        <f>AZ372/AZ371</f>
        <v>0.62283072869343992</v>
      </c>
    </row>
    <row r="374" spans="1:52" s="743" customFormat="1" ht="30" x14ac:dyDescent="0.25">
      <c r="A374" s="1040"/>
      <c r="B374" s="844" t="s">
        <v>8</v>
      </c>
      <c r="C374" s="861">
        <v>5321</v>
      </c>
      <c r="D374" s="861">
        <v>2948</v>
      </c>
      <c r="E374" s="861">
        <v>2948</v>
      </c>
      <c r="F374" s="861">
        <v>7524</v>
      </c>
      <c r="G374" s="861">
        <v>3348</v>
      </c>
      <c r="H374" s="861">
        <v>13616</v>
      </c>
      <c r="I374" s="861">
        <v>6949</v>
      </c>
      <c r="J374" s="861">
        <v>1379</v>
      </c>
      <c r="K374" s="861">
        <v>5956</v>
      </c>
      <c r="L374" s="861">
        <v>6588</v>
      </c>
      <c r="M374" s="861">
        <v>7040</v>
      </c>
      <c r="N374" s="861">
        <v>10872</v>
      </c>
      <c r="O374" s="861">
        <v>3430</v>
      </c>
      <c r="P374" s="861">
        <v>8071</v>
      </c>
      <c r="Q374" s="861">
        <v>1827</v>
      </c>
      <c r="R374" s="861">
        <v>4575</v>
      </c>
      <c r="S374" s="861">
        <v>10016</v>
      </c>
      <c r="T374" s="598">
        <v>1716</v>
      </c>
      <c r="U374" s="598">
        <v>1103</v>
      </c>
      <c r="V374" s="861">
        <v>1848</v>
      </c>
      <c r="W374" s="861">
        <v>2480</v>
      </c>
      <c r="X374" s="861">
        <v>682</v>
      </c>
      <c r="Y374" s="861">
        <v>960</v>
      </c>
      <c r="Z374" s="861">
        <v>561</v>
      </c>
      <c r="AA374" s="861">
        <v>1113</v>
      </c>
      <c r="AB374" s="861">
        <v>719</v>
      </c>
      <c r="AC374" s="840">
        <v>113590</v>
      </c>
      <c r="AD374" s="901"/>
      <c r="AE374" s="901"/>
      <c r="AF374" s="901"/>
      <c r="AG374" s="901"/>
      <c r="AH374" s="901"/>
      <c r="AI374" s="901"/>
      <c r="AJ374" s="846" t="s">
        <v>8</v>
      </c>
      <c r="AK374" s="862">
        <v>5321</v>
      </c>
      <c r="AL374" s="862">
        <v>2948</v>
      </c>
      <c r="AM374" s="862">
        <v>27728</v>
      </c>
      <c r="AN374" s="842">
        <v>24303</v>
      </c>
      <c r="AO374" s="842">
        <v>28647</v>
      </c>
      <c r="AP374" s="842">
        <v>21824</v>
      </c>
      <c r="AQ374" s="842">
        <v>2819</v>
      </c>
      <c r="AR374" s="842">
        <v>49075</v>
      </c>
      <c r="AS374" s="842">
        <v>64515</v>
      </c>
      <c r="AT374" s="877" t="s">
        <v>191</v>
      </c>
      <c r="AU374" s="839" t="s">
        <v>4</v>
      </c>
      <c r="AV374" s="840">
        <v>97433.600000000006</v>
      </c>
      <c r="AW374" s="840">
        <v>243584.4</v>
      </c>
      <c r="AX374" s="840">
        <v>132070.29999999999</v>
      </c>
      <c r="AY374" s="840">
        <v>292299.3</v>
      </c>
      <c r="AZ374" s="840">
        <v>132070.39999999999</v>
      </c>
    </row>
    <row r="375" spans="1:52" s="743" customFormat="1" x14ac:dyDescent="0.25">
      <c r="A375" s="1040"/>
      <c r="B375" s="839" t="s">
        <v>77</v>
      </c>
      <c r="C375" s="858">
        <v>179408.15700000001</v>
      </c>
      <c r="D375" s="858">
        <v>99397.716</v>
      </c>
      <c r="E375" s="858">
        <v>99397.716</v>
      </c>
      <c r="F375" s="858">
        <v>253686.70799999998</v>
      </c>
      <c r="G375" s="858">
        <v>112884.51599999999</v>
      </c>
      <c r="H375" s="858">
        <v>459090.67199999996</v>
      </c>
      <c r="I375" s="858">
        <v>234299.43299999999</v>
      </c>
      <c r="J375" s="858">
        <v>46495.742999999995</v>
      </c>
      <c r="K375" s="858">
        <v>200818.45199999999</v>
      </c>
      <c r="L375" s="858">
        <v>222127.59599999999</v>
      </c>
      <c r="M375" s="858">
        <v>237367.67999999999</v>
      </c>
      <c r="N375" s="858">
        <v>366571.22399999999</v>
      </c>
      <c r="O375" s="858">
        <v>115649.31</v>
      </c>
      <c r="P375" s="858">
        <v>183993.66899999999</v>
      </c>
      <c r="Q375" s="858">
        <v>61600.958999999995</v>
      </c>
      <c r="R375" s="858">
        <v>154255.27499999999</v>
      </c>
      <c r="S375" s="858">
        <v>337709.47200000001</v>
      </c>
      <c r="T375" s="863">
        <v>57858.371999999996</v>
      </c>
      <c r="U375" s="863">
        <v>37189.850999999995</v>
      </c>
      <c r="V375" s="863">
        <v>62309.015999999996</v>
      </c>
      <c r="W375" s="863">
        <v>83618.16</v>
      </c>
      <c r="X375" s="863">
        <v>22994.993999999999</v>
      </c>
      <c r="Y375" s="863">
        <v>32368.32</v>
      </c>
      <c r="Z375" s="863">
        <v>18915.237000000001</v>
      </c>
      <c r="AA375" s="863">
        <v>37527.021000000001</v>
      </c>
      <c r="AB375" s="863">
        <v>24242.522999999997</v>
      </c>
      <c r="AC375" s="864">
        <v>3741777.7919999999</v>
      </c>
      <c r="AD375" s="925"/>
      <c r="AE375" s="925"/>
      <c r="AF375" s="925"/>
      <c r="AG375" s="925"/>
      <c r="AH375" s="925"/>
      <c r="AI375" s="925"/>
      <c r="AJ375" s="841" t="s">
        <v>77</v>
      </c>
      <c r="AK375" s="865">
        <v>179408.15700000001</v>
      </c>
      <c r="AL375" s="865">
        <v>99397.716</v>
      </c>
      <c r="AM375" s="865">
        <v>934904.97599999991</v>
      </c>
      <c r="AN375" s="865">
        <v>819424.25099999993</v>
      </c>
      <c r="AO375" s="865">
        <v>965890.89899999998</v>
      </c>
      <c r="AP375" s="865">
        <v>735839.80799999996</v>
      </c>
      <c r="AQ375" s="865">
        <v>95048.222999999998</v>
      </c>
      <c r="AR375" s="865">
        <v>1654661.7749999999</v>
      </c>
      <c r="AS375" s="865">
        <v>2175252.2549999999</v>
      </c>
      <c r="AT375" s="898"/>
      <c r="AU375" s="844" t="s">
        <v>5</v>
      </c>
      <c r="AV375" s="583">
        <v>38973.199999999997</v>
      </c>
      <c r="AW375" s="583">
        <v>124350.5</v>
      </c>
      <c r="AX375" s="583">
        <v>3817.1</v>
      </c>
      <c r="AY375" s="583">
        <v>109009</v>
      </c>
      <c r="AZ375" s="583">
        <v>33401</v>
      </c>
    </row>
    <row r="376" spans="1:52" s="743" customFormat="1" x14ac:dyDescent="0.25">
      <c r="A376" s="1040"/>
      <c r="B376" s="848" t="s">
        <v>217</v>
      </c>
      <c r="C376" s="849">
        <v>0.71757981412568039</v>
      </c>
      <c r="D376" s="849">
        <v>0.66037666252316185</v>
      </c>
      <c r="E376" s="866">
        <v>0.66037666252316185</v>
      </c>
      <c r="F376" s="866">
        <v>1.3938922014870427</v>
      </c>
      <c r="G376" s="866">
        <v>0.68098838300082576</v>
      </c>
      <c r="H376" s="866">
        <v>1.1786515500442869</v>
      </c>
      <c r="I376" s="866">
        <v>1.3624000686144246</v>
      </c>
      <c r="J376" s="866">
        <v>0.27996328833439704</v>
      </c>
      <c r="K376" s="866">
        <v>1.6192529221281866</v>
      </c>
      <c r="L376" s="866">
        <v>0.99132595353619735</v>
      </c>
      <c r="M376" s="866">
        <v>1.2296989417657751</v>
      </c>
      <c r="N376" s="866">
        <v>0.83650063358601467</v>
      </c>
      <c r="O376" s="866">
        <v>1.3927141288168903</v>
      </c>
      <c r="P376" s="866">
        <v>0.66632891199230504</v>
      </c>
      <c r="Q376" s="866">
        <v>0.74183344412491503</v>
      </c>
      <c r="R376" s="866">
        <v>0.8050136938975524</v>
      </c>
      <c r="S376" s="866">
        <v>1.3095275324609859</v>
      </c>
      <c r="T376" s="849">
        <v>1.0490901706224727</v>
      </c>
      <c r="U376" s="849">
        <v>1.1238830177845605</v>
      </c>
      <c r="V376" s="849">
        <v>0.6096981403472721</v>
      </c>
      <c r="W376" s="849">
        <v>0.39913869682787068</v>
      </c>
      <c r="X376" s="849">
        <v>0.22500764703292186</v>
      </c>
      <c r="Y376" s="849">
        <v>0.1545053019978854</v>
      </c>
      <c r="Z376" s="849">
        <v>0.18508693546256477</v>
      </c>
      <c r="AA376" s="849">
        <v>0.1791295845037984</v>
      </c>
      <c r="AB376" s="849">
        <v>0.10610645168632173</v>
      </c>
      <c r="AC376" s="851">
        <v>0.78787190404489504</v>
      </c>
      <c r="AD376" s="923"/>
      <c r="AE376" s="923"/>
      <c r="AF376" s="923"/>
      <c r="AG376" s="923"/>
      <c r="AH376" s="923"/>
      <c r="AI376" s="923"/>
      <c r="AJ376" s="852" t="s">
        <v>217</v>
      </c>
      <c r="AK376" s="853">
        <v>0.71757981412568039</v>
      </c>
      <c r="AL376" s="853">
        <v>0.66037666252316185</v>
      </c>
      <c r="AM376" s="853">
        <v>1.1751311642522702</v>
      </c>
      <c r="AN376" s="853">
        <v>0.6872954182388411</v>
      </c>
      <c r="AO376" s="853">
        <v>0.86424752536463767</v>
      </c>
      <c r="AP376" s="853">
        <v>0.63708208295350444</v>
      </c>
      <c r="AQ376" s="853">
        <v>1.0771374353337149</v>
      </c>
      <c r="AR376" s="853">
        <v>0.66245376388684818</v>
      </c>
      <c r="AS376" s="853">
        <v>0.96615872080318221</v>
      </c>
      <c r="AT376" s="898"/>
      <c r="AU376" s="848" t="s">
        <v>3</v>
      </c>
      <c r="AV376" s="849">
        <f>AV375/AV374</f>
        <v>0.39999753678402516</v>
      </c>
      <c r="AW376" s="849">
        <f>AW375/AW374</f>
        <v>0.51050272513346506</v>
      </c>
      <c r="AX376" s="849">
        <f>AX375/AX374</f>
        <v>2.8902031720984961E-2</v>
      </c>
      <c r="AY376" s="849">
        <f>AY375/AY374</f>
        <v>0.37293623351133581</v>
      </c>
      <c r="AZ376" s="849">
        <f>AZ375/AZ374</f>
        <v>0.25290299718937781</v>
      </c>
    </row>
    <row r="377" spans="1:52" s="743" customFormat="1" x14ac:dyDescent="0.25">
      <c r="A377" s="898"/>
      <c r="B377" s="848" t="s">
        <v>218</v>
      </c>
      <c r="C377" s="598">
        <v>168937</v>
      </c>
      <c r="D377" s="598">
        <v>98992.5</v>
      </c>
      <c r="E377" s="598">
        <v>98992.5</v>
      </c>
      <c r="F377" s="598">
        <v>235689</v>
      </c>
      <c r="G377" s="598">
        <v>110597</v>
      </c>
      <c r="H377" s="598">
        <v>444018</v>
      </c>
      <c r="I377" s="598">
        <v>159522</v>
      </c>
      <c r="J377" s="598">
        <v>46536.5</v>
      </c>
      <c r="K377" s="598">
        <v>142401</v>
      </c>
      <c r="L377" s="598">
        <v>222509</v>
      </c>
      <c r="M377" s="598">
        <v>233403</v>
      </c>
      <c r="N377" s="598">
        <v>366652</v>
      </c>
      <c r="O377" s="598">
        <v>115692</v>
      </c>
      <c r="P377" s="598">
        <v>155739</v>
      </c>
      <c r="Q377" s="598">
        <v>61652.2</v>
      </c>
      <c r="R377" s="598">
        <v>140493</v>
      </c>
      <c r="S377" s="598">
        <v>337888</v>
      </c>
      <c r="T377" s="598">
        <v>57858.1</v>
      </c>
      <c r="U377" s="598">
        <v>37189.699999999997</v>
      </c>
      <c r="V377" s="598">
        <v>62342.5</v>
      </c>
      <c r="W377" s="598">
        <v>62342.5</v>
      </c>
      <c r="X377" s="598">
        <v>23040.2</v>
      </c>
      <c r="Y377" s="598">
        <v>23006.5</v>
      </c>
      <c r="Z377" s="598">
        <v>18949</v>
      </c>
      <c r="AA377" s="598">
        <v>18949</v>
      </c>
      <c r="AB377" s="598">
        <v>24278.2</v>
      </c>
      <c r="AC377" s="867">
        <v>3467669.4000000008</v>
      </c>
      <c r="AD377" s="926"/>
      <c r="AE377" s="926"/>
      <c r="AF377" s="926"/>
      <c r="AG377" s="926"/>
      <c r="AH377" s="926"/>
      <c r="AI377" s="926"/>
      <c r="AJ377" s="852" t="s">
        <v>218</v>
      </c>
      <c r="AK377" s="868">
        <v>168937</v>
      </c>
      <c r="AL377" s="868">
        <v>98992.5</v>
      </c>
      <c r="AM377" s="868">
        <v>902216</v>
      </c>
      <c r="AN377" s="842">
        <v>662380.69999999995</v>
      </c>
      <c r="AO377" s="842">
        <v>962221.2</v>
      </c>
      <c r="AP377" s="842">
        <v>577874.19999999995</v>
      </c>
      <c r="AQ377" s="842">
        <v>95047.799999999988</v>
      </c>
      <c r="AR377" s="842">
        <v>1339247.3999999999</v>
      </c>
      <c r="AS377" s="842">
        <v>2128422</v>
      </c>
      <c r="AT377" s="898" t="s">
        <v>219</v>
      </c>
      <c r="AU377" s="848" t="s">
        <v>3</v>
      </c>
      <c r="AV377" s="849">
        <f>(AV370+AV376)/2</f>
        <v>0.38119624665106289</v>
      </c>
      <c r="AW377" s="849">
        <f t="shared" ref="AW377:AZ377" si="85">(AW370+AW376)/2</f>
        <v>0.47677983409520408</v>
      </c>
      <c r="AX377" s="849">
        <f t="shared" si="85"/>
        <v>2.9589946651719472E-2</v>
      </c>
      <c r="AY377" s="849">
        <f t="shared" si="85"/>
        <v>0.45412051337057324</v>
      </c>
      <c r="AZ377" s="849">
        <f t="shared" si="85"/>
        <v>0.31543211186862841</v>
      </c>
    </row>
    <row r="378" spans="1:52" s="743" customFormat="1" x14ac:dyDescent="0.25">
      <c r="A378" s="898"/>
      <c r="B378" s="848" t="s">
        <v>216</v>
      </c>
      <c r="C378" s="866">
        <v>0.67569826860743054</v>
      </c>
      <c r="D378" s="866">
        <v>0.65768449613896662</v>
      </c>
      <c r="E378" s="866">
        <v>0.65768449613896662</v>
      </c>
      <c r="F378" s="866">
        <v>1.2950030439761142</v>
      </c>
      <c r="G378" s="866">
        <v>0.66718868861290359</v>
      </c>
      <c r="H378" s="866">
        <v>1.13995455770786</v>
      </c>
      <c r="I378" s="866">
        <v>0.92758561539289031</v>
      </c>
      <c r="J378" s="866">
        <v>0.28020869711822155</v>
      </c>
      <c r="K378" s="866">
        <v>1.14821737279389</v>
      </c>
      <c r="L378" s="866">
        <v>0.99302810892252102</v>
      </c>
      <c r="M378" s="866">
        <v>1.2091596552022468</v>
      </c>
      <c r="N378" s="866">
        <v>0.83668496113480917</v>
      </c>
      <c r="O378" s="866">
        <v>1.3932282258414139</v>
      </c>
      <c r="P378" s="866">
        <v>0.56400526707671439</v>
      </c>
      <c r="Q378" s="866">
        <v>0.7424505171076653</v>
      </c>
      <c r="R378" s="866">
        <v>0.73319235855466747</v>
      </c>
      <c r="S378" s="866">
        <v>1.3102198059999264</v>
      </c>
      <c r="T378" s="866">
        <v>1.0490852387082736</v>
      </c>
      <c r="U378" s="866">
        <v>1.1238784545413336</v>
      </c>
      <c r="V378" s="866">
        <v>0.6100257836618671</v>
      </c>
      <c r="W378" s="866">
        <v>0.29758253717842542</v>
      </c>
      <c r="X378" s="866">
        <v>0.22544999094880941</v>
      </c>
      <c r="Y378" s="866">
        <v>0.1098180637862685</v>
      </c>
      <c r="Z378" s="866">
        <v>0.18541730881194562</v>
      </c>
      <c r="AA378" s="866">
        <v>9.0450198452002778E-2</v>
      </c>
      <c r="AB378" s="866">
        <v>0.10626260539510911</v>
      </c>
      <c r="AC378" s="869">
        <v>0.7301554086449128</v>
      </c>
      <c r="AD378" s="927"/>
      <c r="AE378" s="927"/>
      <c r="AF378" s="927"/>
      <c r="AG378" s="927"/>
      <c r="AH378" s="927"/>
      <c r="AI378" s="927"/>
      <c r="AJ378" s="852" t="s">
        <v>216</v>
      </c>
      <c r="AK378" s="853">
        <v>0.67569826860743054</v>
      </c>
      <c r="AL378" s="853">
        <v>0.65768449613896662</v>
      </c>
      <c r="AM378" s="853">
        <v>1.1340426735380071</v>
      </c>
      <c r="AN378" s="853">
        <v>0.55557450207784531</v>
      </c>
      <c r="AO378" s="853">
        <v>0.86096399895097475</v>
      </c>
      <c r="AP378" s="853">
        <v>0.50031718183571006</v>
      </c>
      <c r="AQ378" s="853">
        <v>1.0771326416708691</v>
      </c>
      <c r="AR378" s="853">
        <v>0.5361757274568546</v>
      </c>
      <c r="AS378" s="853">
        <v>0.94535862317694774</v>
      </c>
      <c r="AT378" s="898"/>
      <c r="AU378" s="848"/>
      <c r="AV378" s="849"/>
      <c r="AW378" s="849"/>
      <c r="AX378" s="849"/>
      <c r="AY378" s="849"/>
      <c r="AZ378" s="849"/>
    </row>
    <row r="379" spans="1:52" s="743" customFormat="1" x14ac:dyDescent="0.25">
      <c r="A379" s="1041">
        <v>41794</v>
      </c>
      <c r="B379" s="1041"/>
      <c r="C379" s="1041"/>
      <c r="D379" s="529"/>
      <c r="E379" s="529"/>
      <c r="F379" s="529"/>
      <c r="G379" s="529"/>
      <c r="H379" s="529"/>
      <c r="I379" s="525"/>
      <c r="J379" s="531"/>
      <c r="K379" s="531"/>
      <c r="L379" s="529"/>
      <c r="M379" s="529"/>
      <c r="N379" s="527"/>
      <c r="R379" s="526"/>
      <c r="S379" s="534"/>
      <c r="T379" s="534"/>
      <c r="U379" s="534"/>
      <c r="V379" s="534"/>
      <c r="W379" s="534"/>
      <c r="X379" s="534"/>
      <c r="Y379" s="534"/>
      <c r="Z379" s="534"/>
      <c r="AA379" s="534"/>
      <c r="AB379" s="534"/>
      <c r="AC379" s="534"/>
      <c r="AD379" s="534"/>
      <c r="AE379" s="534"/>
      <c r="AF379" s="534"/>
      <c r="AG379" s="534"/>
      <c r="AH379" s="534"/>
      <c r="AI379" s="534"/>
      <c r="AJ379" s="534"/>
      <c r="AK379" s="534"/>
      <c r="AL379" s="534"/>
      <c r="AM379" s="534"/>
      <c r="AN379" s="534"/>
      <c r="AO379" s="534"/>
    </row>
    <row r="380" spans="1:52" s="743" customFormat="1" x14ac:dyDescent="0.25">
      <c r="A380" s="1042" t="s">
        <v>1</v>
      </c>
      <c r="B380" s="1042"/>
      <c r="C380" s="894" t="s">
        <v>12</v>
      </c>
      <c r="D380" s="894" t="s">
        <v>12</v>
      </c>
      <c r="E380" s="894" t="s">
        <v>13</v>
      </c>
      <c r="F380" s="894" t="s">
        <v>13</v>
      </c>
      <c r="G380" s="894" t="s">
        <v>13</v>
      </c>
      <c r="H380" s="894" t="s">
        <v>13</v>
      </c>
      <c r="I380" s="894" t="s">
        <v>13</v>
      </c>
      <c r="J380" s="894" t="s">
        <v>13</v>
      </c>
      <c r="K380" s="894" t="s">
        <v>13</v>
      </c>
      <c r="L380" s="894" t="s">
        <v>13</v>
      </c>
      <c r="M380" s="829" t="s">
        <v>2</v>
      </c>
      <c r="N380" s="894" t="s">
        <v>2</v>
      </c>
      <c r="O380" s="894" t="s">
        <v>2</v>
      </c>
      <c r="P380" s="894" t="s">
        <v>2</v>
      </c>
      <c r="Q380" s="894" t="s">
        <v>2</v>
      </c>
      <c r="R380" s="894" t="s">
        <v>2</v>
      </c>
      <c r="S380" s="894" t="s">
        <v>2</v>
      </c>
      <c r="T380" s="830" t="s">
        <v>183</v>
      </c>
      <c r="U380" s="830" t="s">
        <v>183</v>
      </c>
      <c r="V380" s="830" t="s">
        <v>2</v>
      </c>
      <c r="W380" s="830" t="s">
        <v>13</v>
      </c>
      <c r="X380" s="830" t="s">
        <v>13</v>
      </c>
      <c r="Y380" s="830" t="s">
        <v>2</v>
      </c>
      <c r="Z380" s="830" t="s">
        <v>13</v>
      </c>
      <c r="AA380" s="830" t="s">
        <v>2</v>
      </c>
      <c r="AB380" s="888" t="s">
        <v>2</v>
      </c>
      <c r="AC380" s="831" t="s">
        <v>219</v>
      </c>
      <c r="AD380" s="920"/>
      <c r="AE380" s="920"/>
      <c r="AF380" s="920"/>
      <c r="AG380" s="920"/>
      <c r="AH380" s="920"/>
      <c r="AI380" s="920"/>
      <c r="AJ380" s="832"/>
      <c r="AK380" s="833"/>
      <c r="AL380" s="833"/>
      <c r="AM380" s="833"/>
      <c r="AN380" s="833"/>
      <c r="AO380" s="833"/>
      <c r="AP380" s="833"/>
      <c r="AQ380" s="833"/>
      <c r="AR380" s="833"/>
      <c r="AS380" s="833"/>
      <c r="AT380" s="1042" t="s">
        <v>1</v>
      </c>
      <c r="AU380" s="1043"/>
      <c r="AV380" s="894" t="s">
        <v>12</v>
      </c>
      <c r="AW380" s="1044" t="s">
        <v>13</v>
      </c>
      <c r="AX380" s="1045"/>
      <c r="AY380" s="1044" t="s">
        <v>2</v>
      </c>
      <c r="AZ380" s="1045"/>
    </row>
    <row r="381" spans="1:52" s="743" customFormat="1" x14ac:dyDescent="0.25">
      <c r="A381" s="1042" t="s">
        <v>0</v>
      </c>
      <c r="B381" s="1042"/>
      <c r="C381" s="834" t="s">
        <v>99</v>
      </c>
      <c r="D381" s="835" t="s">
        <v>100</v>
      </c>
      <c r="E381" s="835" t="s">
        <v>101</v>
      </c>
      <c r="F381" s="834" t="s">
        <v>102</v>
      </c>
      <c r="G381" s="835" t="s">
        <v>97</v>
      </c>
      <c r="H381" s="834" t="s">
        <v>104</v>
      </c>
      <c r="I381" s="835" t="s">
        <v>103</v>
      </c>
      <c r="J381" s="835" t="s">
        <v>178</v>
      </c>
      <c r="K381" s="835" t="s">
        <v>199</v>
      </c>
      <c r="L381" s="834" t="s">
        <v>206</v>
      </c>
      <c r="M381" s="834" t="s">
        <v>105</v>
      </c>
      <c r="N381" s="834" t="s">
        <v>107</v>
      </c>
      <c r="O381" s="835" t="s">
        <v>98</v>
      </c>
      <c r="P381" s="835" t="s">
        <v>106</v>
      </c>
      <c r="Q381" s="835" t="s">
        <v>179</v>
      </c>
      <c r="R381" s="835" t="s">
        <v>198</v>
      </c>
      <c r="S381" s="834" t="s">
        <v>207</v>
      </c>
      <c r="T381" s="834" t="s">
        <v>182</v>
      </c>
      <c r="U381" s="834" t="s">
        <v>184</v>
      </c>
      <c r="V381" s="835" t="s">
        <v>221</v>
      </c>
      <c r="W381" s="835" t="s">
        <v>222</v>
      </c>
      <c r="X381" s="835" t="s">
        <v>255</v>
      </c>
      <c r="Y381" s="835" t="s">
        <v>256</v>
      </c>
      <c r="Z381" s="835" t="s">
        <v>266</v>
      </c>
      <c r="AA381" s="835" t="s">
        <v>267</v>
      </c>
      <c r="AB381" s="889" t="s">
        <v>268</v>
      </c>
      <c r="AC381" s="836"/>
      <c r="AD381" s="921"/>
      <c r="AE381" s="921"/>
      <c r="AF381" s="921"/>
      <c r="AG381" s="921"/>
      <c r="AH381" s="921"/>
      <c r="AI381" s="921"/>
      <c r="AJ381" s="837"/>
      <c r="AK381" s="838" t="s">
        <v>257</v>
      </c>
      <c r="AL381" s="838" t="s">
        <v>258</v>
      </c>
      <c r="AM381" s="838" t="s">
        <v>259</v>
      </c>
      <c r="AN381" s="838" t="s">
        <v>260</v>
      </c>
      <c r="AO381" s="838" t="s">
        <v>261</v>
      </c>
      <c r="AP381" s="838" t="s">
        <v>262</v>
      </c>
      <c r="AQ381" s="838" t="s">
        <v>263</v>
      </c>
      <c r="AR381" s="838" t="s">
        <v>264</v>
      </c>
      <c r="AS381" s="838" t="s">
        <v>265</v>
      </c>
      <c r="AT381" s="1046" t="s">
        <v>0</v>
      </c>
      <c r="AU381" s="1043"/>
      <c r="AV381" s="834" t="s">
        <v>99</v>
      </c>
      <c r="AW381" s="834" t="s">
        <v>104</v>
      </c>
      <c r="AX381" s="834" t="s">
        <v>206</v>
      </c>
      <c r="AY381" s="834" t="s">
        <v>107</v>
      </c>
      <c r="AZ381" s="834" t="s">
        <v>207</v>
      </c>
    </row>
    <row r="382" spans="1:52" s="743" customFormat="1" ht="30" x14ac:dyDescent="0.25">
      <c r="A382" s="1047" t="s">
        <v>9</v>
      </c>
      <c r="B382" s="839" t="s">
        <v>4</v>
      </c>
      <c r="C382" s="840">
        <v>250018.4</v>
      </c>
      <c r="D382" s="840">
        <v>150516.70000000001</v>
      </c>
      <c r="E382" s="840">
        <v>150516.70000000001</v>
      </c>
      <c r="F382" s="840">
        <v>181998.8</v>
      </c>
      <c r="G382" s="840">
        <v>165765.70000000001</v>
      </c>
      <c r="H382" s="840">
        <v>389505</v>
      </c>
      <c r="I382" s="840">
        <v>171975.5</v>
      </c>
      <c r="J382" s="840">
        <v>166078</v>
      </c>
      <c r="K382" s="840">
        <v>124019.2</v>
      </c>
      <c r="L382" s="840">
        <v>224071.2</v>
      </c>
      <c r="M382" s="840">
        <v>193029.1</v>
      </c>
      <c r="N382" s="840">
        <v>438219.9</v>
      </c>
      <c r="O382" s="840">
        <v>83038.8</v>
      </c>
      <c r="P382" s="840">
        <v>276130.40000000002</v>
      </c>
      <c r="Q382" s="840">
        <v>83038.8</v>
      </c>
      <c r="R382" s="840">
        <v>191618.2</v>
      </c>
      <c r="S382" s="840">
        <v>257886.5</v>
      </c>
      <c r="T382" s="840">
        <v>55151</v>
      </c>
      <c r="U382" s="840">
        <v>33090.5</v>
      </c>
      <c r="V382" s="840">
        <v>102196.5</v>
      </c>
      <c r="W382" s="840">
        <v>209496.5</v>
      </c>
      <c r="X382" s="840">
        <v>102196.5</v>
      </c>
      <c r="Y382" s="840">
        <v>209496.5</v>
      </c>
      <c r="Z382" s="840">
        <v>102196.5</v>
      </c>
      <c r="AA382" s="840">
        <v>209496.5</v>
      </c>
      <c r="AB382" s="840">
        <v>228473.60000000001</v>
      </c>
      <c r="AC382" s="840">
        <v>4749220.9999999991</v>
      </c>
      <c r="AD382" s="901"/>
      <c r="AE382" s="901"/>
      <c r="AF382" s="901"/>
      <c r="AG382" s="901"/>
      <c r="AH382" s="901"/>
      <c r="AI382" s="901"/>
      <c r="AJ382" s="841" t="s">
        <v>4</v>
      </c>
      <c r="AK382" s="842">
        <v>250018.4</v>
      </c>
      <c r="AL382" s="842">
        <v>150516.70000000001</v>
      </c>
      <c r="AM382" s="842">
        <v>795575</v>
      </c>
      <c r="AN382" s="842">
        <v>1192244.6000000001</v>
      </c>
      <c r="AO382" s="842">
        <v>1117609.1000000001</v>
      </c>
      <c r="AP382" s="842">
        <v>1155015.7</v>
      </c>
      <c r="AQ382" s="842">
        <v>88241.5</v>
      </c>
      <c r="AR382" s="842">
        <v>2497777</v>
      </c>
      <c r="AS382" s="870">
        <v>2251444</v>
      </c>
      <c r="AT382" s="875" t="s">
        <v>194</v>
      </c>
      <c r="AU382" s="872" t="s">
        <v>4</v>
      </c>
      <c r="AV382" s="840">
        <v>143393</v>
      </c>
      <c r="AW382" s="840">
        <v>132132</v>
      </c>
      <c r="AX382" s="840">
        <v>83196.100000000006</v>
      </c>
      <c r="AY382" s="840">
        <v>132132.20000000001</v>
      </c>
      <c r="AZ382" s="840">
        <v>83196.100000000006</v>
      </c>
    </row>
    <row r="383" spans="1:52" s="743" customFormat="1" x14ac:dyDescent="0.25">
      <c r="A383" s="1047"/>
      <c r="B383" s="844" t="s">
        <v>5</v>
      </c>
      <c r="C383" s="583">
        <v>102137.8</v>
      </c>
      <c r="D383" s="583">
        <v>83523.199999999997</v>
      </c>
      <c r="E383" s="583">
        <v>84201.2</v>
      </c>
      <c r="F383" s="583">
        <v>147615.4</v>
      </c>
      <c r="G383" s="583">
        <v>114392.9</v>
      </c>
      <c r="H383" s="583">
        <v>213832.5</v>
      </c>
      <c r="I383" s="583">
        <v>120902.2</v>
      </c>
      <c r="J383" s="583">
        <v>49331.4</v>
      </c>
      <c r="K383" s="583">
        <v>82549.899999999994</v>
      </c>
      <c r="L383" s="583">
        <v>66906.100000000006</v>
      </c>
      <c r="M383" s="583">
        <v>147021.4</v>
      </c>
      <c r="N383" s="583">
        <v>210702.8</v>
      </c>
      <c r="O383" s="583">
        <v>57757.599999999999</v>
      </c>
      <c r="P383" s="583">
        <v>223471.4</v>
      </c>
      <c r="Q383" s="583">
        <v>25523</v>
      </c>
      <c r="R383" s="583">
        <v>125740.9</v>
      </c>
      <c r="S383" s="583">
        <v>166152.1</v>
      </c>
      <c r="T383" s="583">
        <v>16593.7</v>
      </c>
      <c r="U383" s="583">
        <v>10226.6</v>
      </c>
      <c r="V383" s="583">
        <v>12513.4</v>
      </c>
      <c r="W383" s="583">
        <v>25026.7</v>
      </c>
      <c r="X383" s="583">
        <v>6856.2</v>
      </c>
      <c r="Y383" s="583">
        <v>13696.6</v>
      </c>
      <c r="Z383" s="583">
        <v>3.1</v>
      </c>
      <c r="AA383" s="583">
        <v>6</v>
      </c>
      <c r="AB383" s="583">
        <v>14720.2</v>
      </c>
      <c r="AC383" s="845">
        <v>2121404.3000000003</v>
      </c>
      <c r="AD383" s="922"/>
      <c r="AE383" s="922"/>
      <c r="AF383" s="922"/>
      <c r="AG383" s="922"/>
      <c r="AH383" s="922"/>
      <c r="AI383" s="922"/>
      <c r="AJ383" s="846" t="s">
        <v>5</v>
      </c>
      <c r="AK383" s="847">
        <v>102137.8</v>
      </c>
      <c r="AL383" s="847">
        <v>83523.199999999997</v>
      </c>
      <c r="AM383" s="847">
        <v>428354</v>
      </c>
      <c r="AN383" s="842">
        <v>483263.6</v>
      </c>
      <c r="AO383" s="842">
        <v>538596.49999999988</v>
      </c>
      <c r="AP383" s="842">
        <v>458708.9</v>
      </c>
      <c r="AQ383" s="842">
        <v>26820.300000000003</v>
      </c>
      <c r="AR383" s="842">
        <v>1025495.7</v>
      </c>
      <c r="AS383" s="870">
        <v>1095908.5999999999</v>
      </c>
      <c r="AT383" s="876"/>
      <c r="AU383" s="873" t="s">
        <v>5</v>
      </c>
      <c r="AV383" s="583">
        <v>51964.9</v>
      </c>
      <c r="AW383" s="583">
        <v>58542</v>
      </c>
      <c r="AX383" s="583">
        <v>2519</v>
      </c>
      <c r="AY383" s="583">
        <v>70731</v>
      </c>
      <c r="AZ383" s="583">
        <v>31444.9</v>
      </c>
    </row>
    <row r="384" spans="1:52" s="743" customFormat="1" x14ac:dyDescent="0.25">
      <c r="A384" s="1047"/>
      <c r="B384" s="848" t="s">
        <v>3</v>
      </c>
      <c r="C384" s="849">
        <v>0.40852113284462266</v>
      </c>
      <c r="D384" s="849">
        <v>0.55490985385674807</v>
      </c>
      <c r="E384" s="849">
        <v>0.55941433741239333</v>
      </c>
      <c r="F384" s="850">
        <v>0.8110789741470823</v>
      </c>
      <c r="G384" s="849">
        <v>0.69008787704573371</v>
      </c>
      <c r="H384" s="849">
        <v>0.54898525051026303</v>
      </c>
      <c r="I384" s="849">
        <v>0.70301990690534411</v>
      </c>
      <c r="J384" s="849">
        <v>0.29703753657919774</v>
      </c>
      <c r="K384" s="849">
        <v>0.66562193595830321</v>
      </c>
      <c r="L384" s="849">
        <v>0.29859303649911278</v>
      </c>
      <c r="M384" s="850">
        <v>0.76165407184719813</v>
      </c>
      <c r="N384" s="849">
        <v>0.48081522541536792</v>
      </c>
      <c r="O384" s="849">
        <v>0.69554955033068877</v>
      </c>
      <c r="P384" s="849">
        <v>0.80929662217560971</v>
      </c>
      <c r="Q384" s="849">
        <v>0.30736234145965502</v>
      </c>
      <c r="R384" s="849">
        <v>0.6562054126382566</v>
      </c>
      <c r="S384" s="849">
        <v>0.64428382253433203</v>
      </c>
      <c r="T384" s="849">
        <v>0.30087759061485742</v>
      </c>
      <c r="U384" s="849">
        <v>0.30904942506157357</v>
      </c>
      <c r="V384" s="849">
        <v>0.12244450641656025</v>
      </c>
      <c r="W384" s="849">
        <v>0.11946118431572843</v>
      </c>
      <c r="X384" s="849">
        <v>6.7088403223202364E-2</v>
      </c>
      <c r="Y384" s="849">
        <v>6.5378657877339236E-2</v>
      </c>
      <c r="Z384" s="849">
        <v>3.0333719843634569E-5</v>
      </c>
      <c r="AA384" s="849">
        <v>2.8640096612592574E-5</v>
      </c>
      <c r="AB384" s="849">
        <v>6.4428450376761259E-2</v>
      </c>
      <c r="AC384" s="851">
        <v>0.44668468786775783</v>
      </c>
      <c r="AD384" s="923"/>
      <c r="AE384" s="923"/>
      <c r="AF384" s="923"/>
      <c r="AG384" s="923"/>
      <c r="AH384" s="923"/>
      <c r="AI384" s="923"/>
      <c r="AJ384" s="852" t="s">
        <v>3</v>
      </c>
      <c r="AK384" s="853">
        <v>0.40852113284462266</v>
      </c>
      <c r="AL384" s="853">
        <v>0.55490985385674807</v>
      </c>
      <c r="AM384" s="853">
        <v>0.53842063916035576</v>
      </c>
      <c r="AN384" s="853">
        <v>0.40533930705158988</v>
      </c>
      <c r="AO384" s="853">
        <v>0.48191849905302298</v>
      </c>
      <c r="AP384" s="853">
        <v>0.39714516434711672</v>
      </c>
      <c r="AQ384" s="853">
        <v>0.30394202274440035</v>
      </c>
      <c r="AR384" s="853">
        <v>0.41056335293342838</v>
      </c>
      <c r="AS384" s="871">
        <v>0.48675809835820916</v>
      </c>
      <c r="AT384" s="876"/>
      <c r="AU384" s="874" t="s">
        <v>3</v>
      </c>
      <c r="AV384" s="849">
        <v>0.36239495651810061</v>
      </c>
      <c r="AW384" s="849">
        <v>0.44305694305694304</v>
      </c>
      <c r="AX384" s="849">
        <v>3.0277861582453984E-2</v>
      </c>
      <c r="AY384" s="849">
        <v>0.53530479322981073</v>
      </c>
      <c r="AZ384" s="849">
        <v>0.37796122654787906</v>
      </c>
    </row>
    <row r="385" spans="1:52" s="743" customFormat="1" ht="30" x14ac:dyDescent="0.25">
      <c r="A385" s="1040" t="s">
        <v>6</v>
      </c>
      <c r="B385" s="854" t="s">
        <v>7</v>
      </c>
      <c r="C385" s="840">
        <v>5644</v>
      </c>
      <c r="D385" s="840">
        <v>3620</v>
      </c>
      <c r="E385" s="840">
        <v>3591</v>
      </c>
      <c r="F385" s="840">
        <v>9273</v>
      </c>
      <c r="G385" s="840">
        <v>8432</v>
      </c>
      <c r="H385" s="840">
        <v>15703</v>
      </c>
      <c r="I385" s="840">
        <v>8298</v>
      </c>
      <c r="J385" s="840">
        <v>9599</v>
      </c>
      <c r="K385" s="840">
        <v>7072</v>
      </c>
      <c r="L385" s="840">
        <v>9414</v>
      </c>
      <c r="M385" s="840">
        <v>8345</v>
      </c>
      <c r="N385" s="840">
        <v>11924</v>
      </c>
      <c r="O385" s="840">
        <v>4357</v>
      </c>
      <c r="P385" s="840">
        <v>10643</v>
      </c>
      <c r="Q385" s="840">
        <v>4799</v>
      </c>
      <c r="R385" s="840">
        <v>9711</v>
      </c>
      <c r="S385" s="840">
        <v>11664</v>
      </c>
      <c r="T385" s="855">
        <v>2480</v>
      </c>
      <c r="U385" s="855">
        <v>1570</v>
      </c>
      <c r="V385" s="840">
        <v>3999</v>
      </c>
      <c r="W385" s="840">
        <v>7999</v>
      </c>
      <c r="X385" s="840">
        <v>3999</v>
      </c>
      <c r="Y385" s="840">
        <v>7999</v>
      </c>
      <c r="Z385" s="840">
        <v>3999</v>
      </c>
      <c r="AA385" s="840">
        <v>7999</v>
      </c>
      <c r="AB385" s="840">
        <v>11999</v>
      </c>
      <c r="AC385" s="840">
        <v>194132</v>
      </c>
      <c r="AD385" s="901"/>
      <c r="AE385" s="901"/>
      <c r="AF385" s="901"/>
      <c r="AG385" s="901"/>
      <c r="AH385" s="901"/>
      <c r="AI385" s="901"/>
      <c r="AJ385" s="856" t="s">
        <v>7</v>
      </c>
      <c r="AK385" s="842">
        <v>5644</v>
      </c>
      <c r="AL385" s="842">
        <v>3620</v>
      </c>
      <c r="AM385" s="842">
        <v>34390</v>
      </c>
      <c r="AN385" s="842">
        <v>52989</v>
      </c>
      <c r="AO385" s="842">
        <v>43932</v>
      </c>
      <c r="AP385" s="842">
        <v>49507</v>
      </c>
      <c r="AQ385" s="842">
        <v>4050</v>
      </c>
      <c r="AR385" s="842">
        <v>106116</v>
      </c>
      <c r="AS385" s="870">
        <v>88016</v>
      </c>
      <c r="AT385" s="880" t="s">
        <v>190</v>
      </c>
      <c r="AU385" s="879" t="s">
        <v>4</v>
      </c>
      <c r="AV385" s="857">
        <v>9191.7999999999993</v>
      </c>
      <c r="AW385" s="857">
        <v>13787.7</v>
      </c>
      <c r="AX385" s="857">
        <v>8804.7999999999993</v>
      </c>
      <c r="AY385" s="857">
        <v>13787.7</v>
      </c>
      <c r="AZ385" s="857">
        <v>8804.7999999999993</v>
      </c>
    </row>
    <row r="386" spans="1:52" s="743" customFormat="1" x14ac:dyDescent="0.25">
      <c r="A386" s="1040"/>
      <c r="B386" s="839" t="s">
        <v>11</v>
      </c>
      <c r="C386" s="858">
        <v>190298.74799999999</v>
      </c>
      <c r="D386" s="858">
        <v>122055.54</v>
      </c>
      <c r="E386" s="858">
        <v>121077.74699999999</v>
      </c>
      <c r="F386" s="858">
        <v>312657.74099999998</v>
      </c>
      <c r="G386" s="858">
        <v>284301.74400000001</v>
      </c>
      <c r="H386" s="858">
        <v>529458.05099999998</v>
      </c>
      <c r="I386" s="858">
        <v>279783.66599999997</v>
      </c>
      <c r="J386" s="858">
        <v>323649.48300000001</v>
      </c>
      <c r="K386" s="858">
        <v>238446.62399999998</v>
      </c>
      <c r="L386" s="858">
        <v>317411.83799999999</v>
      </c>
      <c r="M386" s="858">
        <v>281368.36499999999</v>
      </c>
      <c r="N386" s="858">
        <v>402041.50799999997</v>
      </c>
      <c r="O386" s="858">
        <v>146904.96899999998</v>
      </c>
      <c r="P386" s="858">
        <v>358850.03099999996</v>
      </c>
      <c r="Q386" s="858">
        <v>161807.883</v>
      </c>
      <c r="R386" s="858">
        <v>327425.78700000001</v>
      </c>
      <c r="S386" s="858">
        <v>393275.08799999999</v>
      </c>
      <c r="T386" s="858">
        <v>83618.16</v>
      </c>
      <c r="U386" s="858">
        <v>52935.689999999995</v>
      </c>
      <c r="V386" s="858">
        <v>134834.283</v>
      </c>
      <c r="W386" s="858">
        <v>269702.283</v>
      </c>
      <c r="X386" s="858">
        <v>134834.283</v>
      </c>
      <c r="Y386" s="858">
        <v>269702.283</v>
      </c>
      <c r="Z386" s="858">
        <v>134834.283</v>
      </c>
      <c r="AA386" s="858">
        <v>269702.283</v>
      </c>
      <c r="AB386" s="858">
        <v>404570.283</v>
      </c>
      <c r="AC386" s="859">
        <v>6545548.6439999985</v>
      </c>
      <c r="AD386" s="924"/>
      <c r="AE386" s="924"/>
      <c r="AF386" s="924"/>
      <c r="AG386" s="924"/>
      <c r="AH386" s="924"/>
      <c r="AI386" s="924"/>
      <c r="AJ386" s="841" t="s">
        <v>11</v>
      </c>
      <c r="AK386" s="860">
        <v>190298.74799999999</v>
      </c>
      <c r="AL386" s="860">
        <v>122055.54</v>
      </c>
      <c r="AM386" s="860">
        <v>1159527.6299999999</v>
      </c>
      <c r="AN386" s="860">
        <v>1786630.1129999999</v>
      </c>
      <c r="AO386" s="860">
        <v>1481255.2439999999</v>
      </c>
      <c r="AP386" s="860">
        <v>1669227.5189999999</v>
      </c>
      <c r="AQ386" s="860">
        <v>136553.85</v>
      </c>
      <c r="AR386" s="860">
        <v>3577913.1719999998</v>
      </c>
      <c r="AS386" s="878">
        <v>2967635.4720000001</v>
      </c>
      <c r="AT386" s="876"/>
      <c r="AU386" s="873" t="s">
        <v>5</v>
      </c>
      <c r="AV386" s="583">
        <v>7975.5</v>
      </c>
      <c r="AW386" s="583">
        <v>13649</v>
      </c>
      <c r="AX386" s="583">
        <v>1289.9000000000001</v>
      </c>
      <c r="AY386" s="583">
        <v>13642</v>
      </c>
      <c r="AZ386" s="583">
        <v>5483.9</v>
      </c>
    </row>
    <row r="387" spans="1:52" s="743" customFormat="1" x14ac:dyDescent="0.25">
      <c r="A387" s="1040"/>
      <c r="B387" s="839" t="s">
        <v>79</v>
      </c>
      <c r="C387" s="858">
        <v>164000</v>
      </c>
      <c r="D387" s="858">
        <v>109880</v>
      </c>
      <c r="E387" s="858">
        <v>109880</v>
      </c>
      <c r="F387" s="858">
        <v>328000</v>
      </c>
      <c r="G387" s="858">
        <v>330905</v>
      </c>
      <c r="H387" s="858">
        <v>264264</v>
      </c>
      <c r="I387" s="858">
        <v>242663.6</v>
      </c>
      <c r="J387" s="858">
        <v>328000</v>
      </c>
      <c r="K387" s="858">
        <v>328000</v>
      </c>
      <c r="L387" s="858">
        <v>328000</v>
      </c>
      <c r="M387" s="858">
        <v>328000</v>
      </c>
      <c r="N387" s="858">
        <v>264264.40000000002</v>
      </c>
      <c r="O387" s="858">
        <v>328000</v>
      </c>
      <c r="P387" s="858">
        <v>352965.4</v>
      </c>
      <c r="Q387" s="858">
        <v>328000</v>
      </c>
      <c r="R387" s="858">
        <v>328000</v>
      </c>
      <c r="S387" s="858">
        <v>328000</v>
      </c>
      <c r="T387" s="858">
        <v>110302</v>
      </c>
      <c r="U387" s="858">
        <v>66181</v>
      </c>
      <c r="V387" s="858">
        <v>204393</v>
      </c>
      <c r="W387" s="858">
        <v>418993</v>
      </c>
      <c r="X387" s="858">
        <v>204393</v>
      </c>
      <c r="Y387" s="858">
        <v>418993</v>
      </c>
      <c r="Z387" s="858">
        <v>204393</v>
      </c>
      <c r="AA387" s="858">
        <v>418993</v>
      </c>
      <c r="AB387" s="858">
        <v>456947.20000000001</v>
      </c>
      <c r="AC387" s="859">
        <v>7294410.6000000006</v>
      </c>
      <c r="AD387" s="924"/>
      <c r="AE387" s="924"/>
      <c r="AF387" s="924"/>
      <c r="AG387" s="924"/>
      <c r="AH387" s="924"/>
      <c r="AI387" s="924"/>
      <c r="AJ387" s="841" t="s">
        <v>79</v>
      </c>
      <c r="AK387" s="860">
        <v>500036.8</v>
      </c>
      <c r="AL387" s="860">
        <v>301033.40000000002</v>
      </c>
      <c r="AM387" s="860">
        <v>1591150</v>
      </c>
      <c r="AN387" s="860">
        <v>2384489.2000000002</v>
      </c>
      <c r="AO387" s="860">
        <v>2235218.2000000002</v>
      </c>
      <c r="AP387" s="860">
        <v>2310031.4</v>
      </c>
      <c r="AQ387" s="860">
        <v>176483</v>
      </c>
      <c r="AR387" s="860">
        <v>4995554</v>
      </c>
      <c r="AS387" s="878">
        <v>4502888</v>
      </c>
      <c r="AT387" s="877"/>
      <c r="AU387" s="874" t="s">
        <v>3</v>
      </c>
      <c r="AV387" s="849">
        <v>0.86767553689157739</v>
      </c>
      <c r="AW387" s="849">
        <v>0.98994030911609621</v>
      </c>
      <c r="AX387" s="849">
        <v>0.14649963656187537</v>
      </c>
      <c r="AY387" s="849">
        <v>0.98943261022505558</v>
      </c>
      <c r="AZ387" s="849">
        <v>0.62283072869343992</v>
      </c>
    </row>
    <row r="388" spans="1:52" s="743" customFormat="1" ht="30" x14ac:dyDescent="0.25">
      <c r="A388" s="1040"/>
      <c r="B388" s="844" t="s">
        <v>8</v>
      </c>
      <c r="C388" s="861">
        <v>5321</v>
      </c>
      <c r="D388" s="861">
        <v>2948</v>
      </c>
      <c r="E388" s="861">
        <v>2948</v>
      </c>
      <c r="F388" s="861">
        <v>7524</v>
      </c>
      <c r="G388" s="861">
        <v>3348</v>
      </c>
      <c r="H388" s="861">
        <v>13616</v>
      </c>
      <c r="I388" s="861">
        <v>6938</v>
      </c>
      <c r="J388" s="861">
        <v>1379</v>
      </c>
      <c r="K388" s="861">
        <v>5956</v>
      </c>
      <c r="L388" s="861">
        <v>6576</v>
      </c>
      <c r="M388" s="861">
        <v>7040</v>
      </c>
      <c r="N388" s="861">
        <v>10872</v>
      </c>
      <c r="O388" s="861">
        <v>3430</v>
      </c>
      <c r="P388" s="861">
        <v>8060</v>
      </c>
      <c r="Q388" s="861">
        <v>1827</v>
      </c>
      <c r="R388" s="861">
        <v>4575</v>
      </c>
      <c r="S388" s="861">
        <v>9974</v>
      </c>
      <c r="T388" s="598">
        <v>1716</v>
      </c>
      <c r="U388" s="598">
        <v>1103</v>
      </c>
      <c r="V388" s="861">
        <v>1848</v>
      </c>
      <c r="W388" s="861">
        <v>2480</v>
      </c>
      <c r="X388" s="861">
        <v>664</v>
      </c>
      <c r="Y388" s="861">
        <v>942</v>
      </c>
      <c r="Z388" s="861">
        <v>469</v>
      </c>
      <c r="AA388" s="861">
        <v>933</v>
      </c>
      <c r="AB388" s="861">
        <v>585</v>
      </c>
      <c r="AC388" s="840">
        <v>113072</v>
      </c>
      <c r="AD388" s="901"/>
      <c r="AE388" s="901"/>
      <c r="AF388" s="901"/>
      <c r="AG388" s="901"/>
      <c r="AH388" s="901"/>
      <c r="AI388" s="901"/>
      <c r="AJ388" s="846" t="s">
        <v>8</v>
      </c>
      <c r="AK388" s="862">
        <v>5321</v>
      </c>
      <c r="AL388" s="862">
        <v>2948</v>
      </c>
      <c r="AM388" s="862">
        <v>27716</v>
      </c>
      <c r="AN388" s="842">
        <v>24182</v>
      </c>
      <c r="AO388" s="842">
        <v>28471</v>
      </c>
      <c r="AP388" s="842">
        <v>21615</v>
      </c>
      <c r="AQ388" s="842">
        <v>2819</v>
      </c>
      <c r="AR388" s="842">
        <v>48745</v>
      </c>
      <c r="AS388" s="842">
        <v>64327</v>
      </c>
      <c r="AT388" s="877" t="s">
        <v>191</v>
      </c>
      <c r="AU388" s="839" t="s">
        <v>4</v>
      </c>
      <c r="AV388" s="840">
        <v>97433.600000000006</v>
      </c>
      <c r="AW388" s="840">
        <v>243584.4</v>
      </c>
      <c r="AX388" s="840">
        <v>132070.29999999999</v>
      </c>
      <c r="AY388" s="840">
        <v>292299.3</v>
      </c>
      <c r="AZ388" s="840">
        <v>132070.39999999999</v>
      </c>
    </row>
    <row r="389" spans="1:52" s="743" customFormat="1" x14ac:dyDescent="0.25">
      <c r="A389" s="1040"/>
      <c r="B389" s="839" t="s">
        <v>77</v>
      </c>
      <c r="C389" s="858">
        <v>179408.15700000001</v>
      </c>
      <c r="D389" s="858">
        <v>99397.716</v>
      </c>
      <c r="E389" s="858">
        <v>99397.716</v>
      </c>
      <c r="F389" s="858">
        <v>253686.70799999998</v>
      </c>
      <c r="G389" s="858">
        <v>112884.51599999999</v>
      </c>
      <c r="H389" s="858">
        <v>459090.67199999996</v>
      </c>
      <c r="I389" s="858">
        <v>233928.546</v>
      </c>
      <c r="J389" s="858">
        <v>46495.742999999995</v>
      </c>
      <c r="K389" s="858">
        <v>200818.45199999999</v>
      </c>
      <c r="L389" s="858">
        <v>221722.992</v>
      </c>
      <c r="M389" s="858">
        <v>237367.67999999999</v>
      </c>
      <c r="N389" s="858">
        <v>366571.22399999999</v>
      </c>
      <c r="O389" s="858">
        <v>115649.31</v>
      </c>
      <c r="P389" s="858">
        <v>183622.78200000001</v>
      </c>
      <c r="Q389" s="858">
        <v>61600.958999999995</v>
      </c>
      <c r="R389" s="858">
        <v>154255.27499999999</v>
      </c>
      <c r="S389" s="858">
        <v>336293.35800000001</v>
      </c>
      <c r="T389" s="863">
        <v>57858.371999999996</v>
      </c>
      <c r="U389" s="863">
        <v>37189.850999999995</v>
      </c>
      <c r="V389" s="863">
        <v>62309.015999999996</v>
      </c>
      <c r="W389" s="863">
        <v>83618.16</v>
      </c>
      <c r="X389" s="863">
        <v>22388.088</v>
      </c>
      <c r="Y389" s="863">
        <v>31761.413999999997</v>
      </c>
      <c r="Z389" s="863">
        <v>15813.272999999999</v>
      </c>
      <c r="AA389" s="863">
        <v>31457.960999999999</v>
      </c>
      <c r="AB389" s="863">
        <v>19724.445</v>
      </c>
      <c r="AC389" s="864">
        <v>3724312.3859999995</v>
      </c>
      <c r="AD389" s="925"/>
      <c r="AE389" s="925"/>
      <c r="AF389" s="925"/>
      <c r="AG389" s="925"/>
      <c r="AH389" s="925"/>
      <c r="AI389" s="925"/>
      <c r="AJ389" s="841" t="s">
        <v>77</v>
      </c>
      <c r="AK389" s="865">
        <v>179408.15700000001</v>
      </c>
      <c r="AL389" s="865">
        <v>99397.716</v>
      </c>
      <c r="AM389" s="865">
        <v>934500.37199999997</v>
      </c>
      <c r="AN389" s="865">
        <v>815344.49399999995</v>
      </c>
      <c r="AO389" s="865">
        <v>959956.70699999994</v>
      </c>
      <c r="AP389" s="865">
        <v>728792.95499999996</v>
      </c>
      <c r="AQ389" s="865">
        <v>95048.222999999998</v>
      </c>
      <c r="AR389" s="865">
        <v>1643535.165</v>
      </c>
      <c r="AS389" s="865">
        <v>2168913.4589999998</v>
      </c>
      <c r="AT389" s="895"/>
      <c r="AU389" s="844" t="s">
        <v>5</v>
      </c>
      <c r="AV389" s="583">
        <v>38973.199999999997</v>
      </c>
      <c r="AW389" s="583">
        <v>124350.5</v>
      </c>
      <c r="AX389" s="583">
        <v>3817.1</v>
      </c>
      <c r="AY389" s="583">
        <v>109009</v>
      </c>
      <c r="AZ389" s="583">
        <v>33401</v>
      </c>
    </row>
    <row r="390" spans="1:52" s="743" customFormat="1" x14ac:dyDescent="0.25">
      <c r="A390" s="1040"/>
      <c r="B390" s="848" t="s">
        <v>217</v>
      </c>
      <c r="C390" s="849">
        <v>0.71757981412568039</v>
      </c>
      <c r="D390" s="849">
        <v>0.66037666252316185</v>
      </c>
      <c r="E390" s="866">
        <v>0.66037666252316185</v>
      </c>
      <c r="F390" s="866">
        <v>1.3938922014870427</v>
      </c>
      <c r="G390" s="866">
        <v>0.68098838300082576</v>
      </c>
      <c r="H390" s="866">
        <v>1.1786515500442869</v>
      </c>
      <c r="I390" s="866">
        <v>1.3602434416530262</v>
      </c>
      <c r="J390" s="866">
        <v>0.27996328833439704</v>
      </c>
      <c r="K390" s="866">
        <v>1.6192529221281866</v>
      </c>
      <c r="L390" s="866">
        <v>0.98952025963175982</v>
      </c>
      <c r="M390" s="866">
        <v>1.2296989417657751</v>
      </c>
      <c r="N390" s="866">
        <v>0.83650063358601467</v>
      </c>
      <c r="O390" s="866">
        <v>1.3927141288168903</v>
      </c>
      <c r="P390" s="866">
        <v>0.66498575310795183</v>
      </c>
      <c r="Q390" s="866">
        <v>0.74183344412491503</v>
      </c>
      <c r="R390" s="866">
        <v>0.8050136938975524</v>
      </c>
      <c r="S390" s="866">
        <v>1.3040363027921198</v>
      </c>
      <c r="T390" s="849">
        <v>1.0490901706224727</v>
      </c>
      <c r="U390" s="849">
        <v>1.1238830177845605</v>
      </c>
      <c r="V390" s="849">
        <v>0.6096981403472721</v>
      </c>
      <c r="W390" s="849">
        <v>0.39913869682787068</v>
      </c>
      <c r="X390" s="849">
        <v>0.21906902878278611</v>
      </c>
      <c r="Y390" s="849">
        <v>0.15160832758542503</v>
      </c>
      <c r="Z390" s="849">
        <v>0.1547339977396486</v>
      </c>
      <c r="AA390" s="849">
        <v>0.15015984037919489</v>
      </c>
      <c r="AB390" s="849">
        <v>8.6331396712793065E-2</v>
      </c>
      <c r="AC390" s="851">
        <v>0.7841943733509138</v>
      </c>
      <c r="AD390" s="923"/>
      <c r="AE390" s="923"/>
      <c r="AF390" s="923"/>
      <c r="AG390" s="923"/>
      <c r="AH390" s="923"/>
      <c r="AI390" s="923"/>
      <c r="AJ390" s="852" t="s">
        <v>217</v>
      </c>
      <c r="AK390" s="853">
        <v>0.71757981412568039</v>
      </c>
      <c r="AL390" s="853">
        <v>0.66037666252316185</v>
      </c>
      <c r="AM390" s="853">
        <v>1.1746225962354271</v>
      </c>
      <c r="AN390" s="853">
        <v>0.68387350548704506</v>
      </c>
      <c r="AO390" s="853">
        <v>0.8589378048192341</v>
      </c>
      <c r="AP390" s="853">
        <v>0.63098099445747791</v>
      </c>
      <c r="AQ390" s="853">
        <v>1.0771374353337149</v>
      </c>
      <c r="AR390" s="853">
        <v>0.65799915885205129</v>
      </c>
      <c r="AS390" s="853">
        <v>0.9633432850206356</v>
      </c>
      <c r="AT390" s="895"/>
      <c r="AU390" s="848" t="s">
        <v>3</v>
      </c>
      <c r="AV390" s="849">
        <v>0.39999753678402516</v>
      </c>
      <c r="AW390" s="849">
        <v>0.51050272513346506</v>
      </c>
      <c r="AX390" s="849">
        <v>2.8902031720984961E-2</v>
      </c>
      <c r="AY390" s="849">
        <v>0.37293623351133581</v>
      </c>
      <c r="AZ390" s="849">
        <v>0.25290299718937781</v>
      </c>
    </row>
    <row r="391" spans="1:52" s="743" customFormat="1" x14ac:dyDescent="0.25">
      <c r="A391" s="895"/>
      <c r="B391" s="848" t="s">
        <v>218</v>
      </c>
      <c r="C391" s="598">
        <v>168937</v>
      </c>
      <c r="D391" s="598">
        <v>98992.5</v>
      </c>
      <c r="E391" s="598">
        <v>98992.5</v>
      </c>
      <c r="F391" s="598">
        <v>235689</v>
      </c>
      <c r="G391" s="598">
        <v>110597</v>
      </c>
      <c r="H391" s="598">
        <v>444018</v>
      </c>
      <c r="I391" s="598">
        <v>159151</v>
      </c>
      <c r="J391" s="598">
        <v>46535.5</v>
      </c>
      <c r="K391" s="598">
        <v>142401</v>
      </c>
      <c r="L391" s="598">
        <v>222103</v>
      </c>
      <c r="M391" s="598">
        <v>233403</v>
      </c>
      <c r="N391" s="598">
        <v>366652</v>
      </c>
      <c r="O391" s="598">
        <v>115692</v>
      </c>
      <c r="P391" s="598">
        <v>155368</v>
      </c>
      <c r="Q391" s="598">
        <v>61652.2</v>
      </c>
      <c r="R391" s="598">
        <v>140493</v>
      </c>
      <c r="S391" s="598">
        <v>336472</v>
      </c>
      <c r="T391" s="598">
        <v>57858.1</v>
      </c>
      <c r="U391" s="598">
        <v>37189.699999999997</v>
      </c>
      <c r="V391" s="598">
        <v>62342.5</v>
      </c>
      <c r="W391" s="598">
        <v>62342.5</v>
      </c>
      <c r="X391" s="598">
        <v>22433.3</v>
      </c>
      <c r="Y391" s="598">
        <v>22399.599999999999</v>
      </c>
      <c r="Z391" s="598">
        <v>15847</v>
      </c>
      <c r="AA391" s="598">
        <v>15847</v>
      </c>
      <c r="AB391" s="598">
        <v>19760.2</v>
      </c>
      <c r="AC391" s="867">
        <v>3453168.6000000006</v>
      </c>
      <c r="AD391" s="926"/>
      <c r="AE391" s="926"/>
      <c r="AF391" s="926"/>
      <c r="AG391" s="926"/>
      <c r="AH391" s="926"/>
      <c r="AI391" s="926"/>
      <c r="AJ391" s="852" t="s">
        <v>218</v>
      </c>
      <c r="AK391" s="868">
        <v>168937</v>
      </c>
      <c r="AL391" s="868">
        <v>98992.5</v>
      </c>
      <c r="AM391" s="868">
        <v>901810</v>
      </c>
      <c r="AN391" s="842">
        <v>658299.80000000005</v>
      </c>
      <c r="AO391" s="842">
        <v>956287.2</v>
      </c>
      <c r="AP391" s="842">
        <v>573794.29999999993</v>
      </c>
      <c r="AQ391" s="842">
        <v>95047.799999999988</v>
      </c>
      <c r="AR391" s="842">
        <v>1331086.6000000001</v>
      </c>
      <c r="AS391" s="842">
        <v>2122082</v>
      </c>
      <c r="AT391" s="895" t="s">
        <v>219</v>
      </c>
      <c r="AU391" s="848" t="s">
        <v>3</v>
      </c>
      <c r="AV391" s="849">
        <v>0.38119624665106289</v>
      </c>
      <c r="AW391" s="849">
        <v>0.47677983409520408</v>
      </c>
      <c r="AX391" s="849">
        <v>2.9589946651719472E-2</v>
      </c>
      <c r="AY391" s="849">
        <v>0.45412051337057324</v>
      </c>
      <c r="AZ391" s="849">
        <v>0.31543211186862841</v>
      </c>
    </row>
    <row r="392" spans="1:52" s="743" customFormat="1" x14ac:dyDescent="0.25">
      <c r="A392" s="895"/>
      <c r="B392" s="848" t="s">
        <v>216</v>
      </c>
      <c r="C392" s="866">
        <v>0.67569826860743054</v>
      </c>
      <c r="D392" s="866">
        <v>0.65768449613896662</v>
      </c>
      <c r="E392" s="866">
        <v>0.65768449613896662</v>
      </c>
      <c r="F392" s="866">
        <v>1.2950030439761142</v>
      </c>
      <c r="G392" s="866">
        <v>0.66718868861290359</v>
      </c>
      <c r="H392" s="866">
        <v>1.13995455770786</v>
      </c>
      <c r="I392" s="866">
        <v>0.92542833136115321</v>
      </c>
      <c r="J392" s="866">
        <v>0.28020267585110609</v>
      </c>
      <c r="K392" s="866">
        <v>1.14821737279389</v>
      </c>
      <c r="L392" s="866">
        <v>0.99121618485552798</v>
      </c>
      <c r="M392" s="866">
        <v>1.2091596552022468</v>
      </c>
      <c r="N392" s="866">
        <v>0.83668496113480917</v>
      </c>
      <c r="O392" s="866">
        <v>1.3932282258414139</v>
      </c>
      <c r="P392" s="866">
        <v>0.56266169896541629</v>
      </c>
      <c r="Q392" s="866">
        <v>0.7424505171076653</v>
      </c>
      <c r="R392" s="866">
        <v>0.73319235855466747</v>
      </c>
      <c r="S392" s="866">
        <v>1.3047290183859954</v>
      </c>
      <c r="T392" s="866">
        <v>1.0490852387082736</v>
      </c>
      <c r="U392" s="866">
        <v>1.1238784545413336</v>
      </c>
      <c r="V392" s="866">
        <v>0.6100257836618671</v>
      </c>
      <c r="W392" s="866">
        <v>0.29758253717842542</v>
      </c>
      <c r="X392" s="866">
        <v>0.21951143140909912</v>
      </c>
      <c r="Y392" s="866">
        <v>0.10692111801390476</v>
      </c>
      <c r="Z392" s="866">
        <v>0.15506401882647644</v>
      </c>
      <c r="AA392" s="866">
        <v>7.5643268503292421E-2</v>
      </c>
      <c r="AB392" s="866">
        <v>8.6487891817697976E-2</v>
      </c>
      <c r="AC392" s="869">
        <v>0.7271021079035912</v>
      </c>
      <c r="AD392" s="927"/>
      <c r="AE392" s="927"/>
      <c r="AF392" s="927"/>
      <c r="AG392" s="927"/>
      <c r="AH392" s="927"/>
      <c r="AI392" s="927"/>
      <c r="AJ392" s="852" t="s">
        <v>216</v>
      </c>
      <c r="AK392" s="853">
        <v>0.67569826860743054</v>
      </c>
      <c r="AL392" s="853">
        <v>0.65768449613896662</v>
      </c>
      <c r="AM392" s="853">
        <v>1.133532350815448</v>
      </c>
      <c r="AN392" s="853">
        <v>0.5521516306301576</v>
      </c>
      <c r="AO392" s="853">
        <v>0.8556544502008796</v>
      </c>
      <c r="AP392" s="853">
        <v>0.4967848488985907</v>
      </c>
      <c r="AQ392" s="853">
        <v>1.0771326416708691</v>
      </c>
      <c r="AR392" s="853">
        <v>0.53290850224019204</v>
      </c>
      <c r="AS392" s="853">
        <v>0.94254265262649217</v>
      </c>
      <c r="AT392" s="895"/>
      <c r="AU392" s="848"/>
      <c r="AV392" s="849"/>
      <c r="AW392" s="849"/>
      <c r="AX392" s="849"/>
      <c r="AY392" s="849"/>
      <c r="AZ392" s="849"/>
    </row>
    <row r="393" spans="1:52" s="743" customFormat="1" x14ac:dyDescent="0.25">
      <c r="A393" s="1041">
        <v>41787</v>
      </c>
      <c r="B393" s="1041"/>
      <c r="C393" s="1041"/>
      <c r="D393" s="529"/>
      <c r="E393" s="529"/>
      <c r="F393" s="529"/>
      <c r="G393" s="529"/>
      <c r="H393" s="529"/>
      <c r="I393" s="525"/>
      <c r="J393" s="531"/>
      <c r="K393" s="531"/>
      <c r="L393" s="529"/>
      <c r="M393" s="529"/>
      <c r="N393" s="527"/>
      <c r="R393" s="526"/>
      <c r="S393" s="534"/>
      <c r="T393" s="534"/>
      <c r="U393" s="534"/>
      <c r="V393" s="534"/>
      <c r="W393" s="534"/>
      <c r="X393" s="534"/>
      <c r="Y393" s="534"/>
      <c r="Z393" s="534"/>
      <c r="AA393" s="534"/>
      <c r="AB393" s="534"/>
      <c r="AC393" s="534"/>
      <c r="AD393" s="534"/>
      <c r="AE393" s="534"/>
      <c r="AF393" s="534"/>
      <c r="AG393" s="534"/>
      <c r="AH393" s="534"/>
      <c r="AI393" s="534"/>
      <c r="AJ393" s="534"/>
      <c r="AK393" s="534"/>
      <c r="AL393" s="534"/>
      <c r="AM393" s="534"/>
      <c r="AN393" s="534"/>
      <c r="AO393" s="534"/>
    </row>
    <row r="394" spans="1:52" s="743" customFormat="1" x14ac:dyDescent="0.25">
      <c r="A394" s="1042" t="s">
        <v>1</v>
      </c>
      <c r="B394" s="1042"/>
      <c r="C394" s="891" t="s">
        <v>12</v>
      </c>
      <c r="D394" s="891" t="s">
        <v>12</v>
      </c>
      <c r="E394" s="891" t="s">
        <v>13</v>
      </c>
      <c r="F394" s="891" t="s">
        <v>13</v>
      </c>
      <c r="G394" s="891" t="s">
        <v>13</v>
      </c>
      <c r="H394" s="891" t="s">
        <v>13</v>
      </c>
      <c r="I394" s="891" t="s">
        <v>13</v>
      </c>
      <c r="J394" s="891" t="s">
        <v>13</v>
      </c>
      <c r="K394" s="891" t="s">
        <v>13</v>
      </c>
      <c r="L394" s="891" t="s">
        <v>13</v>
      </c>
      <c r="M394" s="829" t="s">
        <v>2</v>
      </c>
      <c r="N394" s="891" t="s">
        <v>2</v>
      </c>
      <c r="O394" s="891" t="s">
        <v>2</v>
      </c>
      <c r="P394" s="891" t="s">
        <v>2</v>
      </c>
      <c r="Q394" s="891" t="s">
        <v>2</v>
      </c>
      <c r="R394" s="891" t="s">
        <v>2</v>
      </c>
      <c r="S394" s="891" t="s">
        <v>2</v>
      </c>
      <c r="T394" s="830" t="s">
        <v>183</v>
      </c>
      <c r="U394" s="830" t="s">
        <v>183</v>
      </c>
      <c r="V394" s="830" t="s">
        <v>2</v>
      </c>
      <c r="W394" s="830" t="s">
        <v>13</v>
      </c>
      <c r="X394" s="830" t="s">
        <v>13</v>
      </c>
      <c r="Y394" s="830" t="s">
        <v>2</v>
      </c>
      <c r="Z394" s="830" t="s">
        <v>13</v>
      </c>
      <c r="AA394" s="830" t="s">
        <v>2</v>
      </c>
      <c r="AB394" s="888" t="s">
        <v>2</v>
      </c>
      <c r="AC394" s="831" t="s">
        <v>219</v>
      </c>
      <c r="AD394" s="920"/>
      <c r="AE394" s="920"/>
      <c r="AF394" s="920"/>
      <c r="AG394" s="920"/>
      <c r="AH394" s="920"/>
      <c r="AI394" s="920"/>
      <c r="AJ394" s="832"/>
      <c r="AK394" s="833"/>
      <c r="AL394" s="833"/>
      <c r="AM394" s="833"/>
      <c r="AN394" s="833"/>
      <c r="AO394" s="833"/>
      <c r="AP394" s="833"/>
      <c r="AQ394" s="833"/>
      <c r="AR394" s="833"/>
      <c r="AS394" s="833"/>
      <c r="AT394" s="1042" t="s">
        <v>1</v>
      </c>
      <c r="AU394" s="1043"/>
      <c r="AV394" s="891" t="s">
        <v>12</v>
      </c>
      <c r="AW394" s="1044" t="s">
        <v>13</v>
      </c>
      <c r="AX394" s="1045"/>
      <c r="AY394" s="1044" t="s">
        <v>2</v>
      </c>
      <c r="AZ394" s="1045"/>
    </row>
    <row r="395" spans="1:52" s="743" customFormat="1" x14ac:dyDescent="0.25">
      <c r="A395" s="1042" t="s">
        <v>0</v>
      </c>
      <c r="B395" s="1042"/>
      <c r="C395" s="834" t="s">
        <v>99</v>
      </c>
      <c r="D395" s="835" t="s">
        <v>100</v>
      </c>
      <c r="E395" s="835" t="s">
        <v>101</v>
      </c>
      <c r="F395" s="834" t="s">
        <v>102</v>
      </c>
      <c r="G395" s="835" t="s">
        <v>97</v>
      </c>
      <c r="H395" s="834" t="s">
        <v>104</v>
      </c>
      <c r="I395" s="835" t="s">
        <v>103</v>
      </c>
      <c r="J395" s="835" t="s">
        <v>178</v>
      </c>
      <c r="K395" s="835" t="s">
        <v>199</v>
      </c>
      <c r="L395" s="834" t="s">
        <v>206</v>
      </c>
      <c r="M395" s="834" t="s">
        <v>105</v>
      </c>
      <c r="N395" s="834" t="s">
        <v>107</v>
      </c>
      <c r="O395" s="835" t="s">
        <v>98</v>
      </c>
      <c r="P395" s="835" t="s">
        <v>106</v>
      </c>
      <c r="Q395" s="835" t="s">
        <v>179</v>
      </c>
      <c r="R395" s="835" t="s">
        <v>198</v>
      </c>
      <c r="S395" s="834" t="s">
        <v>207</v>
      </c>
      <c r="T395" s="834" t="s">
        <v>182</v>
      </c>
      <c r="U395" s="834" t="s">
        <v>184</v>
      </c>
      <c r="V395" s="835" t="s">
        <v>221</v>
      </c>
      <c r="W395" s="835" t="s">
        <v>222</v>
      </c>
      <c r="X395" s="835" t="s">
        <v>255</v>
      </c>
      <c r="Y395" s="835" t="s">
        <v>256</v>
      </c>
      <c r="Z395" s="835" t="s">
        <v>266</v>
      </c>
      <c r="AA395" s="835" t="s">
        <v>267</v>
      </c>
      <c r="AB395" s="889" t="s">
        <v>268</v>
      </c>
      <c r="AC395" s="836"/>
      <c r="AD395" s="921"/>
      <c r="AE395" s="921"/>
      <c r="AF395" s="921"/>
      <c r="AG395" s="921"/>
      <c r="AH395" s="921"/>
      <c r="AI395" s="921"/>
      <c r="AJ395" s="837"/>
      <c r="AK395" s="838" t="s">
        <v>257</v>
      </c>
      <c r="AL395" s="838" t="s">
        <v>258</v>
      </c>
      <c r="AM395" s="838" t="s">
        <v>259</v>
      </c>
      <c r="AN395" s="838" t="s">
        <v>260</v>
      </c>
      <c r="AO395" s="838" t="s">
        <v>261</v>
      </c>
      <c r="AP395" s="838" t="s">
        <v>262</v>
      </c>
      <c r="AQ395" s="838" t="s">
        <v>263</v>
      </c>
      <c r="AR395" s="838" t="s">
        <v>264</v>
      </c>
      <c r="AS395" s="838" t="s">
        <v>265</v>
      </c>
      <c r="AT395" s="1046" t="s">
        <v>0</v>
      </c>
      <c r="AU395" s="1043"/>
      <c r="AV395" s="834" t="s">
        <v>99</v>
      </c>
      <c r="AW395" s="834" t="s">
        <v>104</v>
      </c>
      <c r="AX395" s="834" t="s">
        <v>206</v>
      </c>
      <c r="AY395" s="834" t="s">
        <v>107</v>
      </c>
      <c r="AZ395" s="834" t="s">
        <v>207</v>
      </c>
    </row>
    <row r="396" spans="1:52" s="743" customFormat="1" ht="30" x14ac:dyDescent="0.25">
      <c r="A396" s="1047" t="s">
        <v>9</v>
      </c>
      <c r="B396" s="839" t="s">
        <v>4</v>
      </c>
      <c r="C396" s="840">
        <v>250018.4</v>
      </c>
      <c r="D396" s="840">
        <v>150516.70000000001</v>
      </c>
      <c r="E396" s="840">
        <v>150516.70000000001</v>
      </c>
      <c r="F396" s="840">
        <v>181998.8</v>
      </c>
      <c r="G396" s="840">
        <v>165765.70000000001</v>
      </c>
      <c r="H396" s="840">
        <v>389505</v>
      </c>
      <c r="I396" s="840">
        <v>171975.5</v>
      </c>
      <c r="J396" s="840">
        <v>166078</v>
      </c>
      <c r="K396" s="840">
        <v>124019.2</v>
      </c>
      <c r="L396" s="840">
        <v>224071.2</v>
      </c>
      <c r="M396" s="840">
        <v>193029.1</v>
      </c>
      <c r="N396" s="840">
        <v>438219.9</v>
      </c>
      <c r="O396" s="840">
        <v>83038.8</v>
      </c>
      <c r="P396" s="840">
        <v>276130.40000000002</v>
      </c>
      <c r="Q396" s="840">
        <v>83038.8</v>
      </c>
      <c r="R396" s="840">
        <v>191618.2</v>
      </c>
      <c r="S396" s="840">
        <v>257886.5</v>
      </c>
      <c r="T396" s="840">
        <v>55151</v>
      </c>
      <c r="U396" s="840">
        <v>33090.5</v>
      </c>
      <c r="V396" s="840">
        <v>102196.5</v>
      </c>
      <c r="W396" s="840">
        <v>209496.5</v>
      </c>
      <c r="X396" s="840">
        <v>102196.5</v>
      </c>
      <c r="Y396" s="840">
        <v>209496.5</v>
      </c>
      <c r="Z396" s="840">
        <v>102196.5</v>
      </c>
      <c r="AA396" s="840">
        <v>209496.5</v>
      </c>
      <c r="AB396" s="840">
        <v>228473.60000000001</v>
      </c>
      <c r="AC396" s="840">
        <v>4749220.9999999991</v>
      </c>
      <c r="AD396" s="901"/>
      <c r="AE396" s="901"/>
      <c r="AF396" s="901"/>
      <c r="AG396" s="901"/>
      <c r="AH396" s="901"/>
      <c r="AI396" s="901"/>
      <c r="AJ396" s="841" t="s">
        <v>4</v>
      </c>
      <c r="AK396" s="842">
        <v>250018.4</v>
      </c>
      <c r="AL396" s="842">
        <v>150516.70000000001</v>
      </c>
      <c r="AM396" s="842">
        <v>795575</v>
      </c>
      <c r="AN396" s="842">
        <v>1192244.6000000001</v>
      </c>
      <c r="AO396" s="842">
        <v>1117609.1000000001</v>
      </c>
      <c r="AP396" s="842">
        <v>1155015.7</v>
      </c>
      <c r="AQ396" s="842">
        <v>88241.5</v>
      </c>
      <c r="AR396" s="842">
        <v>2497777</v>
      </c>
      <c r="AS396" s="870">
        <v>2251444</v>
      </c>
      <c r="AT396" s="875" t="s">
        <v>194</v>
      </c>
      <c r="AU396" s="872" t="s">
        <v>4</v>
      </c>
      <c r="AV396" s="840">
        <v>143393</v>
      </c>
      <c r="AW396" s="840">
        <v>132132</v>
      </c>
      <c r="AX396" s="840">
        <v>83196.100000000006</v>
      </c>
      <c r="AY396" s="840">
        <v>132132.20000000001</v>
      </c>
      <c r="AZ396" s="840">
        <v>83196.100000000006</v>
      </c>
    </row>
    <row r="397" spans="1:52" s="743" customFormat="1" x14ac:dyDescent="0.25">
      <c r="A397" s="1047"/>
      <c r="B397" s="844" t="s">
        <v>5</v>
      </c>
      <c r="C397" s="583">
        <v>104295.9</v>
      </c>
      <c r="D397" s="583">
        <v>83437</v>
      </c>
      <c r="E397" s="583">
        <v>84777.9</v>
      </c>
      <c r="F397" s="583">
        <v>147341.29999999999</v>
      </c>
      <c r="G397" s="583">
        <v>113924.1</v>
      </c>
      <c r="H397" s="583">
        <v>213164.1</v>
      </c>
      <c r="I397" s="583">
        <v>123460.9</v>
      </c>
      <c r="J397" s="583">
        <v>49188.7</v>
      </c>
      <c r="K397" s="583">
        <v>82338.3</v>
      </c>
      <c r="L397" s="583">
        <v>58892.5</v>
      </c>
      <c r="M397" s="583">
        <v>153991.5</v>
      </c>
      <c r="N397" s="583">
        <v>210106.8</v>
      </c>
      <c r="O397" s="583">
        <v>57555.6</v>
      </c>
      <c r="P397" s="583">
        <v>228606.9</v>
      </c>
      <c r="Q397" s="583">
        <v>25451.599999999999</v>
      </c>
      <c r="R397" s="583">
        <v>129313.8</v>
      </c>
      <c r="S397" s="583">
        <v>163355.5</v>
      </c>
      <c r="T397" s="583">
        <v>16593.7</v>
      </c>
      <c r="U397" s="583">
        <v>10226.6</v>
      </c>
      <c r="V397" s="583">
        <v>12448.1</v>
      </c>
      <c r="W397" s="583">
        <v>24896.2</v>
      </c>
      <c r="X397" s="583">
        <v>6606.1</v>
      </c>
      <c r="Y397" s="583">
        <v>13193</v>
      </c>
      <c r="Z397" s="583">
        <v>3.1</v>
      </c>
      <c r="AA397" s="583">
        <v>6</v>
      </c>
      <c r="AB397" s="583">
        <v>6025.8</v>
      </c>
      <c r="AC397" s="845">
        <v>2119201</v>
      </c>
      <c r="AD397" s="922"/>
      <c r="AE397" s="922"/>
      <c r="AF397" s="922"/>
      <c r="AG397" s="922"/>
      <c r="AH397" s="922"/>
      <c r="AI397" s="922"/>
      <c r="AJ397" s="846" t="s">
        <v>5</v>
      </c>
      <c r="AK397" s="847">
        <v>104295.9</v>
      </c>
      <c r="AL397" s="847">
        <v>83437</v>
      </c>
      <c r="AM397" s="847">
        <v>419397.9</v>
      </c>
      <c r="AN397" s="842">
        <v>485195.3</v>
      </c>
      <c r="AO397" s="842">
        <v>533479.60000000009</v>
      </c>
      <c r="AP397" s="842">
        <v>466574.99999999994</v>
      </c>
      <c r="AQ397" s="842">
        <v>26820.300000000003</v>
      </c>
      <c r="AR397" s="842">
        <v>1035207.3</v>
      </c>
      <c r="AS397" s="870">
        <v>1083993.7000000002</v>
      </c>
      <c r="AT397" s="876"/>
      <c r="AU397" s="873" t="s">
        <v>5</v>
      </c>
      <c r="AV397" s="583">
        <v>51964.9</v>
      </c>
      <c r="AW397" s="583">
        <v>58542</v>
      </c>
      <c r="AX397" s="583">
        <v>2519</v>
      </c>
      <c r="AY397" s="583">
        <v>70731</v>
      </c>
      <c r="AZ397" s="583">
        <v>31444.9</v>
      </c>
    </row>
    <row r="398" spans="1:52" s="743" customFormat="1" x14ac:dyDescent="0.25">
      <c r="A398" s="1047"/>
      <c r="B398" s="848" t="s">
        <v>3</v>
      </c>
      <c r="C398" s="849">
        <v>0.41715289754674056</v>
      </c>
      <c r="D398" s="849">
        <v>0.55433715992976196</v>
      </c>
      <c r="E398" s="849">
        <v>0.56324580594711404</v>
      </c>
      <c r="F398" s="850">
        <v>0.80957292026101269</v>
      </c>
      <c r="G398" s="849">
        <v>0.68725978896719886</v>
      </c>
      <c r="H398" s="849">
        <v>0.54726922632572117</v>
      </c>
      <c r="I398" s="849">
        <v>0.71789818898622182</v>
      </c>
      <c r="J398" s="849">
        <v>0.29617830176182275</v>
      </c>
      <c r="K398" s="849">
        <v>0.66391574852926005</v>
      </c>
      <c r="L398" s="849">
        <v>0.26282940422508561</v>
      </c>
      <c r="M398" s="850">
        <v>0.79776313519567776</v>
      </c>
      <c r="N398" s="849">
        <v>0.47945517764026685</v>
      </c>
      <c r="O398" s="849">
        <v>0.6931169525571178</v>
      </c>
      <c r="P398" s="849">
        <v>0.82789471930653047</v>
      </c>
      <c r="Q398" s="849">
        <v>0.30650250244464033</v>
      </c>
      <c r="R398" s="849">
        <v>0.67485134501837507</v>
      </c>
      <c r="S398" s="849">
        <v>0.63343951699681833</v>
      </c>
      <c r="T398" s="849">
        <v>0.30087759061485742</v>
      </c>
      <c r="U398" s="849">
        <v>0.30904942506157357</v>
      </c>
      <c r="V398" s="849">
        <v>0.12180554128566047</v>
      </c>
      <c r="W398" s="849">
        <v>0.11883826221440454</v>
      </c>
      <c r="X398" s="849">
        <v>6.464115698678527E-2</v>
      </c>
      <c r="Y398" s="849">
        <v>6.297479910165564E-2</v>
      </c>
      <c r="Z398" s="849">
        <v>3.0333719843634569E-5</v>
      </c>
      <c r="AA398" s="849">
        <v>2.8640096612592574E-5</v>
      </c>
      <c r="AB398" s="849">
        <v>2.63741631418247E-2</v>
      </c>
      <c r="AC398" s="851">
        <v>0.44622075915186943</v>
      </c>
      <c r="AD398" s="923"/>
      <c r="AE398" s="923"/>
      <c r="AF398" s="923"/>
      <c r="AG398" s="923"/>
      <c r="AH398" s="923"/>
      <c r="AI398" s="923"/>
      <c r="AJ398" s="852" t="s">
        <v>3</v>
      </c>
      <c r="AK398" s="853">
        <v>0.41715289754674056</v>
      </c>
      <c r="AL398" s="853">
        <v>0.55433715992976196</v>
      </c>
      <c r="AM398" s="853">
        <v>0.52716324670835557</v>
      </c>
      <c r="AN398" s="853">
        <v>0.40695952827129594</v>
      </c>
      <c r="AO398" s="853">
        <v>0.47734006460756273</v>
      </c>
      <c r="AP398" s="853">
        <v>0.4039555479635471</v>
      </c>
      <c r="AQ398" s="853">
        <v>0.30394202274440035</v>
      </c>
      <c r="AR398" s="853">
        <v>0.4144514502295441</v>
      </c>
      <c r="AS398" s="871">
        <v>0.48146598360874188</v>
      </c>
      <c r="AT398" s="876"/>
      <c r="AU398" s="874" t="s">
        <v>3</v>
      </c>
      <c r="AV398" s="849">
        <v>0.36239495651810061</v>
      </c>
      <c r="AW398" s="849">
        <v>0.44305694305694304</v>
      </c>
      <c r="AX398" s="849">
        <v>3.0277861582453984E-2</v>
      </c>
      <c r="AY398" s="849">
        <v>0.53530479322981073</v>
      </c>
      <c r="AZ398" s="849">
        <v>0.37796122654787906</v>
      </c>
    </row>
    <row r="399" spans="1:52" s="743" customFormat="1" ht="30" x14ac:dyDescent="0.25">
      <c r="A399" s="1040" t="s">
        <v>6</v>
      </c>
      <c r="B399" s="854" t="s">
        <v>7</v>
      </c>
      <c r="C399" s="840">
        <v>5732</v>
      </c>
      <c r="D399" s="840">
        <v>3620</v>
      </c>
      <c r="E399" s="840">
        <v>3617</v>
      </c>
      <c r="F399" s="840">
        <v>9273</v>
      </c>
      <c r="G399" s="840">
        <v>8416</v>
      </c>
      <c r="H399" s="840">
        <v>15703</v>
      </c>
      <c r="I399" s="840">
        <v>8315</v>
      </c>
      <c r="J399" s="840">
        <v>9599</v>
      </c>
      <c r="K399" s="840">
        <v>7072</v>
      </c>
      <c r="L399" s="840">
        <v>9417</v>
      </c>
      <c r="M399" s="840">
        <v>8601</v>
      </c>
      <c r="N399" s="840">
        <v>11924</v>
      </c>
      <c r="O399" s="840">
        <v>4357</v>
      </c>
      <c r="P399" s="840">
        <v>10677</v>
      </c>
      <c r="Q399" s="840">
        <v>4799</v>
      </c>
      <c r="R399" s="840">
        <v>9711</v>
      </c>
      <c r="S399" s="840">
        <v>11666</v>
      </c>
      <c r="T399" s="855">
        <v>2480</v>
      </c>
      <c r="U399" s="855">
        <v>1570</v>
      </c>
      <c r="V399" s="840">
        <v>3999</v>
      </c>
      <c r="W399" s="840">
        <v>7999</v>
      </c>
      <c r="X399" s="840">
        <v>3999</v>
      </c>
      <c r="Y399" s="840">
        <v>7999</v>
      </c>
      <c r="Z399" s="840">
        <v>3999</v>
      </c>
      <c r="AA399" s="840">
        <v>7999</v>
      </c>
      <c r="AB399" s="840">
        <v>11999</v>
      </c>
      <c r="AC399" s="840">
        <v>194542</v>
      </c>
      <c r="AD399" s="901"/>
      <c r="AE399" s="901"/>
      <c r="AF399" s="901"/>
      <c r="AG399" s="901"/>
      <c r="AH399" s="901"/>
      <c r="AI399" s="901"/>
      <c r="AJ399" s="856" t="s">
        <v>7</v>
      </c>
      <c r="AK399" s="842">
        <v>5732</v>
      </c>
      <c r="AL399" s="842">
        <v>3620</v>
      </c>
      <c r="AM399" s="842">
        <v>34393</v>
      </c>
      <c r="AN399" s="842">
        <v>53016</v>
      </c>
      <c r="AO399" s="842">
        <v>44190</v>
      </c>
      <c r="AP399" s="842">
        <v>49541</v>
      </c>
      <c r="AQ399" s="842">
        <v>4050</v>
      </c>
      <c r="AR399" s="842">
        <v>106177</v>
      </c>
      <c r="AS399" s="870">
        <v>88365</v>
      </c>
      <c r="AT399" s="880" t="s">
        <v>190</v>
      </c>
      <c r="AU399" s="879" t="s">
        <v>4</v>
      </c>
      <c r="AV399" s="857">
        <v>9191.7999999999993</v>
      </c>
      <c r="AW399" s="857">
        <v>13787.7</v>
      </c>
      <c r="AX399" s="857">
        <v>8804.7999999999993</v>
      </c>
      <c r="AY399" s="857">
        <v>13787.7</v>
      </c>
      <c r="AZ399" s="857">
        <v>8804.7999999999993</v>
      </c>
    </row>
    <row r="400" spans="1:52" s="743" customFormat="1" x14ac:dyDescent="0.25">
      <c r="A400" s="1040"/>
      <c r="B400" s="839" t="s">
        <v>11</v>
      </c>
      <c r="C400" s="858">
        <v>193265.84399999998</v>
      </c>
      <c r="D400" s="858">
        <v>122055.54</v>
      </c>
      <c r="E400" s="858">
        <v>121954.389</v>
      </c>
      <c r="F400" s="858">
        <v>312657.74099999998</v>
      </c>
      <c r="G400" s="858">
        <v>283762.272</v>
      </c>
      <c r="H400" s="858">
        <v>529458.05099999998</v>
      </c>
      <c r="I400" s="858">
        <v>280356.85499999998</v>
      </c>
      <c r="J400" s="858">
        <v>323649.48300000001</v>
      </c>
      <c r="K400" s="858">
        <v>238446.62399999998</v>
      </c>
      <c r="L400" s="858">
        <v>317512.989</v>
      </c>
      <c r="M400" s="858">
        <v>289999.91700000002</v>
      </c>
      <c r="N400" s="858">
        <v>402041.50799999997</v>
      </c>
      <c r="O400" s="858">
        <v>146904.96899999998</v>
      </c>
      <c r="P400" s="858">
        <v>359996.40899999999</v>
      </c>
      <c r="Q400" s="858">
        <v>161807.883</v>
      </c>
      <c r="R400" s="858">
        <v>327425.78700000001</v>
      </c>
      <c r="S400" s="858">
        <v>393342.522</v>
      </c>
      <c r="T400" s="858">
        <v>83618.16</v>
      </c>
      <c r="U400" s="858">
        <v>52935.689999999995</v>
      </c>
      <c r="V400" s="858">
        <v>134834.283</v>
      </c>
      <c r="W400" s="858">
        <v>269702.283</v>
      </c>
      <c r="X400" s="858">
        <v>134834.283</v>
      </c>
      <c r="Y400" s="858">
        <v>269702.283</v>
      </c>
      <c r="Z400" s="858">
        <v>134834.283</v>
      </c>
      <c r="AA400" s="858">
        <v>269702.283</v>
      </c>
      <c r="AB400" s="858">
        <v>404570.283</v>
      </c>
      <c r="AC400" s="859">
        <v>6559372.6139999991</v>
      </c>
      <c r="AD400" s="924"/>
      <c r="AE400" s="924"/>
      <c r="AF400" s="924"/>
      <c r="AG400" s="924"/>
      <c r="AH400" s="924"/>
      <c r="AI400" s="924"/>
      <c r="AJ400" s="841" t="s">
        <v>11</v>
      </c>
      <c r="AK400" s="860">
        <v>193265.84399999998</v>
      </c>
      <c r="AL400" s="860">
        <v>122055.54</v>
      </c>
      <c r="AM400" s="860">
        <v>1159628.781</v>
      </c>
      <c r="AN400" s="860">
        <v>1787540.4719999998</v>
      </c>
      <c r="AO400" s="860">
        <v>1489954.23</v>
      </c>
      <c r="AP400" s="860">
        <v>1670373.8969999999</v>
      </c>
      <c r="AQ400" s="860">
        <v>136553.85</v>
      </c>
      <c r="AR400" s="860">
        <v>3579969.909</v>
      </c>
      <c r="AS400" s="878">
        <v>2979402.7050000001</v>
      </c>
      <c r="AT400" s="876"/>
      <c r="AU400" s="873" t="s">
        <v>5</v>
      </c>
      <c r="AV400" s="583">
        <v>7975.5</v>
      </c>
      <c r="AW400" s="583">
        <v>13649</v>
      </c>
      <c r="AX400" s="583">
        <v>1289.9000000000001</v>
      </c>
      <c r="AY400" s="583">
        <v>13642</v>
      </c>
      <c r="AZ400" s="583">
        <v>5483.9</v>
      </c>
    </row>
    <row r="401" spans="1:52" s="743" customFormat="1" x14ac:dyDescent="0.25">
      <c r="A401" s="1040"/>
      <c r="B401" s="839" t="s">
        <v>79</v>
      </c>
      <c r="C401" s="858">
        <v>164000</v>
      </c>
      <c r="D401" s="858">
        <v>109880</v>
      </c>
      <c r="E401" s="858">
        <v>109880</v>
      </c>
      <c r="F401" s="858">
        <v>328000</v>
      </c>
      <c r="G401" s="858">
        <v>330905</v>
      </c>
      <c r="H401" s="858">
        <v>264264</v>
      </c>
      <c r="I401" s="858">
        <v>242663.6</v>
      </c>
      <c r="J401" s="858">
        <v>328000</v>
      </c>
      <c r="K401" s="858">
        <v>328000</v>
      </c>
      <c r="L401" s="858">
        <v>328000</v>
      </c>
      <c r="M401" s="858">
        <v>328000</v>
      </c>
      <c r="N401" s="858">
        <v>264264.40000000002</v>
      </c>
      <c r="O401" s="858">
        <v>328000</v>
      </c>
      <c r="P401" s="858">
        <v>352965.4</v>
      </c>
      <c r="Q401" s="858">
        <v>328000</v>
      </c>
      <c r="R401" s="858">
        <v>328000</v>
      </c>
      <c r="S401" s="858">
        <v>328000</v>
      </c>
      <c r="T401" s="858">
        <v>110302</v>
      </c>
      <c r="U401" s="858">
        <v>66181</v>
      </c>
      <c r="V401" s="858">
        <v>204393</v>
      </c>
      <c r="W401" s="858">
        <v>418993</v>
      </c>
      <c r="X401" s="858">
        <v>204393</v>
      </c>
      <c r="Y401" s="858">
        <v>418993</v>
      </c>
      <c r="Z401" s="858">
        <v>204393</v>
      </c>
      <c r="AA401" s="858">
        <v>418993</v>
      </c>
      <c r="AB401" s="858">
        <v>456947.20000000001</v>
      </c>
      <c r="AC401" s="859">
        <v>7294410.6000000006</v>
      </c>
      <c r="AD401" s="924"/>
      <c r="AE401" s="924"/>
      <c r="AF401" s="924"/>
      <c r="AG401" s="924"/>
      <c r="AH401" s="924"/>
      <c r="AI401" s="924"/>
      <c r="AJ401" s="841" t="s">
        <v>79</v>
      </c>
      <c r="AK401" s="860">
        <v>500036.8</v>
      </c>
      <c r="AL401" s="860">
        <v>301033.40000000002</v>
      </c>
      <c r="AM401" s="860">
        <v>1591150</v>
      </c>
      <c r="AN401" s="860">
        <v>2384489.2000000002</v>
      </c>
      <c r="AO401" s="860">
        <v>2235218.2000000002</v>
      </c>
      <c r="AP401" s="860">
        <v>2310031.4</v>
      </c>
      <c r="AQ401" s="860">
        <v>176483</v>
      </c>
      <c r="AR401" s="860">
        <v>4995554</v>
      </c>
      <c r="AS401" s="878">
        <v>4502888</v>
      </c>
      <c r="AT401" s="877"/>
      <c r="AU401" s="874" t="s">
        <v>3</v>
      </c>
      <c r="AV401" s="849">
        <v>0.86767553689157739</v>
      </c>
      <c r="AW401" s="849">
        <v>0.98994030911609621</v>
      </c>
      <c r="AX401" s="849">
        <v>0.14649963656187537</v>
      </c>
      <c r="AY401" s="849">
        <v>0.98943261022505558</v>
      </c>
      <c r="AZ401" s="849">
        <v>0.62283072869343992</v>
      </c>
    </row>
    <row r="402" spans="1:52" s="743" customFormat="1" ht="30" x14ac:dyDescent="0.25">
      <c r="A402" s="1040"/>
      <c r="B402" s="844" t="s">
        <v>8</v>
      </c>
      <c r="C402" s="861">
        <v>5365</v>
      </c>
      <c r="D402" s="861">
        <v>2948</v>
      </c>
      <c r="E402" s="861">
        <v>2948</v>
      </c>
      <c r="F402" s="861">
        <v>7524</v>
      </c>
      <c r="G402" s="861">
        <v>3348</v>
      </c>
      <c r="H402" s="861">
        <v>13616</v>
      </c>
      <c r="I402" s="861">
        <v>7019</v>
      </c>
      <c r="J402" s="861">
        <v>1379</v>
      </c>
      <c r="K402" s="861">
        <v>5940</v>
      </c>
      <c r="L402" s="861">
        <v>5992</v>
      </c>
      <c r="M402" s="861">
        <v>7169</v>
      </c>
      <c r="N402" s="861">
        <v>10872</v>
      </c>
      <c r="O402" s="861">
        <v>3430</v>
      </c>
      <c r="P402" s="861">
        <v>8202</v>
      </c>
      <c r="Q402" s="861">
        <v>1827</v>
      </c>
      <c r="R402" s="861">
        <v>4543</v>
      </c>
      <c r="S402" s="861">
        <v>9821</v>
      </c>
      <c r="T402" s="598">
        <v>1716</v>
      </c>
      <c r="U402" s="598">
        <v>1103</v>
      </c>
      <c r="V402" s="861">
        <v>1848</v>
      </c>
      <c r="W402" s="861">
        <v>2480</v>
      </c>
      <c r="X402" s="861">
        <v>664</v>
      </c>
      <c r="Y402" s="861">
        <v>942</v>
      </c>
      <c r="Z402" s="861">
        <v>469</v>
      </c>
      <c r="AA402" s="861">
        <v>933</v>
      </c>
      <c r="AB402" s="861">
        <v>199</v>
      </c>
      <c r="AC402" s="840">
        <v>112297</v>
      </c>
      <c r="AD402" s="901"/>
      <c r="AE402" s="901"/>
      <c r="AF402" s="901"/>
      <c r="AG402" s="901"/>
      <c r="AH402" s="901"/>
      <c r="AI402" s="901"/>
      <c r="AJ402" s="846" t="s">
        <v>8</v>
      </c>
      <c r="AK402" s="862">
        <v>5365</v>
      </c>
      <c r="AL402" s="862">
        <v>2948</v>
      </c>
      <c r="AM402" s="862">
        <v>27132</v>
      </c>
      <c r="AN402" s="842">
        <v>24247</v>
      </c>
      <c r="AO402" s="842">
        <v>28061</v>
      </c>
      <c r="AP402" s="842">
        <v>21725</v>
      </c>
      <c r="AQ402" s="842">
        <v>2819</v>
      </c>
      <c r="AR402" s="842">
        <v>48920</v>
      </c>
      <c r="AS402" s="842">
        <v>63377</v>
      </c>
      <c r="AT402" s="877" t="s">
        <v>191</v>
      </c>
      <c r="AU402" s="839" t="s">
        <v>4</v>
      </c>
      <c r="AV402" s="840">
        <v>97433.600000000006</v>
      </c>
      <c r="AW402" s="840">
        <v>243584.4</v>
      </c>
      <c r="AX402" s="840">
        <v>132070.29999999999</v>
      </c>
      <c r="AY402" s="840">
        <v>292299.3</v>
      </c>
      <c r="AZ402" s="840">
        <v>132070.39999999999</v>
      </c>
    </row>
    <row r="403" spans="1:52" s="743" customFormat="1" x14ac:dyDescent="0.25">
      <c r="A403" s="1040"/>
      <c r="B403" s="839" t="s">
        <v>77</v>
      </c>
      <c r="C403" s="858">
        <v>180891.70499999999</v>
      </c>
      <c r="D403" s="858">
        <v>99397.716</v>
      </c>
      <c r="E403" s="858">
        <v>99397.716</v>
      </c>
      <c r="F403" s="858">
        <v>253686.70799999998</v>
      </c>
      <c r="G403" s="858">
        <v>112884.51599999999</v>
      </c>
      <c r="H403" s="858">
        <v>459090.67199999996</v>
      </c>
      <c r="I403" s="858">
        <v>236659.62299999999</v>
      </c>
      <c r="J403" s="858">
        <v>46495.742999999995</v>
      </c>
      <c r="K403" s="858">
        <v>200278.97999999998</v>
      </c>
      <c r="L403" s="858">
        <v>202032.264</v>
      </c>
      <c r="M403" s="858">
        <v>241717.17299999998</v>
      </c>
      <c r="N403" s="858">
        <v>366571.22399999999</v>
      </c>
      <c r="O403" s="858">
        <v>115649.31</v>
      </c>
      <c r="P403" s="858">
        <v>188410.59599999996</v>
      </c>
      <c r="Q403" s="858">
        <v>61600.958999999995</v>
      </c>
      <c r="R403" s="858">
        <v>153176.33100000001</v>
      </c>
      <c r="S403" s="858">
        <v>331134.65700000001</v>
      </c>
      <c r="T403" s="863">
        <v>57858.371999999996</v>
      </c>
      <c r="U403" s="863">
        <v>37189.850999999995</v>
      </c>
      <c r="V403" s="863">
        <v>62309.015999999996</v>
      </c>
      <c r="W403" s="863">
        <v>83618.16</v>
      </c>
      <c r="X403" s="863">
        <v>22388.088</v>
      </c>
      <c r="Y403" s="863">
        <v>31761.413999999997</v>
      </c>
      <c r="Z403" s="863">
        <v>15813.272999999999</v>
      </c>
      <c r="AA403" s="863">
        <v>31457.960999999999</v>
      </c>
      <c r="AB403" s="863">
        <v>6709.683</v>
      </c>
      <c r="AC403" s="864">
        <v>3698181.7109999997</v>
      </c>
      <c r="AD403" s="925"/>
      <c r="AE403" s="925"/>
      <c r="AF403" s="925"/>
      <c r="AG403" s="925"/>
      <c r="AH403" s="925"/>
      <c r="AI403" s="925"/>
      <c r="AJ403" s="841" t="s">
        <v>77</v>
      </c>
      <c r="AK403" s="865">
        <v>180891.70499999999</v>
      </c>
      <c r="AL403" s="865">
        <v>99397.716</v>
      </c>
      <c r="AM403" s="865">
        <v>914809.64399999997</v>
      </c>
      <c r="AN403" s="865">
        <v>817536.09899999993</v>
      </c>
      <c r="AO403" s="865">
        <v>946132.73699999996</v>
      </c>
      <c r="AP403" s="865">
        <v>732501.82499999995</v>
      </c>
      <c r="AQ403" s="865">
        <v>95048.222999999998</v>
      </c>
      <c r="AR403" s="865">
        <v>1649435.64</v>
      </c>
      <c r="AS403" s="865">
        <v>2136882.3089999999</v>
      </c>
      <c r="AT403" s="892"/>
      <c r="AU403" s="844" t="s">
        <v>5</v>
      </c>
      <c r="AV403" s="583">
        <v>38973.199999999997</v>
      </c>
      <c r="AW403" s="583">
        <v>124350.5</v>
      </c>
      <c r="AX403" s="583">
        <v>3817.1</v>
      </c>
      <c r="AY403" s="583">
        <v>109009</v>
      </c>
      <c r="AZ403" s="583">
        <v>33401</v>
      </c>
    </row>
    <row r="404" spans="1:52" s="743" customFormat="1" x14ac:dyDescent="0.25">
      <c r="A404" s="1040"/>
      <c r="B404" s="848" t="s">
        <v>217</v>
      </c>
      <c r="C404" s="849">
        <v>0.72351356940129208</v>
      </c>
      <c r="D404" s="849">
        <v>0.66037666252316185</v>
      </c>
      <c r="E404" s="866">
        <v>0.66037666252316185</v>
      </c>
      <c r="F404" s="866">
        <v>1.3938922014870427</v>
      </c>
      <c r="G404" s="866">
        <v>0.68098838300082576</v>
      </c>
      <c r="H404" s="866">
        <v>1.1786515500442869</v>
      </c>
      <c r="I404" s="866">
        <v>1.3761240583687793</v>
      </c>
      <c r="J404" s="866">
        <v>0.27996328833439704</v>
      </c>
      <c r="K404" s="866">
        <v>1.6149030150170296</v>
      </c>
      <c r="L404" s="866">
        <v>0.90164315628246727</v>
      </c>
      <c r="M404" s="866">
        <v>1.2522317774884717</v>
      </c>
      <c r="N404" s="866">
        <v>0.83650063358601467</v>
      </c>
      <c r="O404" s="866">
        <v>1.3927141288168903</v>
      </c>
      <c r="P404" s="866">
        <v>0.68232471325142019</v>
      </c>
      <c r="Q404" s="866">
        <v>0.74183344412491503</v>
      </c>
      <c r="R404" s="866">
        <v>0.7993829970222035</v>
      </c>
      <c r="S404" s="866">
        <v>1.2840325375698225</v>
      </c>
      <c r="T404" s="849">
        <v>1.0490901706224727</v>
      </c>
      <c r="U404" s="849">
        <v>1.1238830177845605</v>
      </c>
      <c r="V404" s="849">
        <v>0.6096981403472721</v>
      </c>
      <c r="W404" s="849">
        <v>0.39913869682787068</v>
      </c>
      <c r="X404" s="849">
        <v>0.21906902878278611</v>
      </c>
      <c r="Y404" s="849">
        <v>0.15160832758542503</v>
      </c>
      <c r="Z404" s="849">
        <v>0.1547339977396486</v>
      </c>
      <c r="AA404" s="849">
        <v>0.15015984037919489</v>
      </c>
      <c r="AB404" s="849">
        <v>2.9367432386061234E-2</v>
      </c>
      <c r="AC404" s="851">
        <v>0.77869227627015047</v>
      </c>
      <c r="AD404" s="923"/>
      <c r="AE404" s="923"/>
      <c r="AF404" s="923"/>
      <c r="AG404" s="923"/>
      <c r="AH404" s="923"/>
      <c r="AI404" s="923"/>
      <c r="AJ404" s="852" t="s">
        <v>217</v>
      </c>
      <c r="AK404" s="853">
        <v>0.72351356940129208</v>
      </c>
      <c r="AL404" s="853">
        <v>0.66037666252316185</v>
      </c>
      <c r="AM404" s="853">
        <v>1.1498722860823931</v>
      </c>
      <c r="AN404" s="853">
        <v>0.68571172308098516</v>
      </c>
      <c r="AO404" s="853">
        <v>0.84656856945778258</v>
      </c>
      <c r="AP404" s="853">
        <v>0.63419209366591289</v>
      </c>
      <c r="AQ404" s="853">
        <v>1.0771374353337149</v>
      </c>
      <c r="AR404" s="853">
        <v>0.66036144940080721</v>
      </c>
      <c r="AS404" s="853">
        <v>0.9491163488854264</v>
      </c>
      <c r="AT404" s="892"/>
      <c r="AU404" s="848" t="s">
        <v>3</v>
      </c>
      <c r="AV404" s="849">
        <v>0.39999753678402516</v>
      </c>
      <c r="AW404" s="849">
        <v>0.51050272513346506</v>
      </c>
      <c r="AX404" s="849">
        <v>2.8902031720984961E-2</v>
      </c>
      <c r="AY404" s="849">
        <v>0.37293623351133581</v>
      </c>
      <c r="AZ404" s="849">
        <v>0.25290299718937781</v>
      </c>
    </row>
    <row r="405" spans="1:52" s="743" customFormat="1" x14ac:dyDescent="0.25">
      <c r="A405" s="892"/>
      <c r="B405" s="848" t="s">
        <v>218</v>
      </c>
      <c r="C405" s="598">
        <v>170421</v>
      </c>
      <c r="D405" s="598">
        <v>98992.5</v>
      </c>
      <c r="E405" s="598">
        <v>98992.5</v>
      </c>
      <c r="F405" s="598">
        <v>235689</v>
      </c>
      <c r="G405" s="598">
        <v>110597</v>
      </c>
      <c r="H405" s="598">
        <v>444018</v>
      </c>
      <c r="I405" s="598">
        <v>160432</v>
      </c>
      <c r="J405" s="598">
        <v>46535.5</v>
      </c>
      <c r="K405" s="598">
        <v>141861</v>
      </c>
      <c r="L405" s="598">
        <v>202411</v>
      </c>
      <c r="M405" s="598">
        <v>237753</v>
      </c>
      <c r="N405" s="598">
        <v>366652</v>
      </c>
      <c r="O405" s="598">
        <v>115692</v>
      </c>
      <c r="P405" s="598">
        <v>156649</v>
      </c>
      <c r="Q405" s="598">
        <v>61651.1</v>
      </c>
      <c r="R405" s="598">
        <v>139953</v>
      </c>
      <c r="S405" s="598">
        <v>331311</v>
      </c>
      <c r="T405" s="598">
        <v>57858.1</v>
      </c>
      <c r="U405" s="598">
        <v>37189.699999999997</v>
      </c>
      <c r="V405" s="598">
        <v>62342.5</v>
      </c>
      <c r="W405" s="598">
        <v>62342.5</v>
      </c>
      <c r="X405" s="598">
        <v>22433.3</v>
      </c>
      <c r="Y405" s="598">
        <v>22399.599999999999</v>
      </c>
      <c r="Z405" s="598">
        <v>15847</v>
      </c>
      <c r="AA405" s="598">
        <v>15847</v>
      </c>
      <c r="AB405" s="598">
        <v>6744.41</v>
      </c>
      <c r="AC405" s="867">
        <v>3422614.7100000004</v>
      </c>
      <c r="AD405" s="926"/>
      <c r="AE405" s="926"/>
      <c r="AF405" s="926"/>
      <c r="AG405" s="926"/>
      <c r="AH405" s="926"/>
      <c r="AI405" s="926"/>
      <c r="AJ405" s="852" t="s">
        <v>218</v>
      </c>
      <c r="AK405" s="868">
        <v>170421</v>
      </c>
      <c r="AL405" s="868">
        <v>98992.5</v>
      </c>
      <c r="AM405" s="868">
        <v>882118</v>
      </c>
      <c r="AN405" s="842">
        <v>659040.80000000005</v>
      </c>
      <c r="AO405" s="842">
        <v>942460.41</v>
      </c>
      <c r="AP405" s="842">
        <v>574534.19999999995</v>
      </c>
      <c r="AQ405" s="842">
        <v>95047.799999999988</v>
      </c>
      <c r="AR405" s="842">
        <v>1332567.5</v>
      </c>
      <c r="AS405" s="842">
        <v>2090047.2100000002</v>
      </c>
      <c r="AT405" s="892" t="s">
        <v>219</v>
      </c>
      <c r="AU405" s="848" t="s">
        <v>3</v>
      </c>
      <c r="AV405" s="849">
        <v>0.38119624665106289</v>
      </c>
      <c r="AW405" s="849">
        <v>0.47677983409520408</v>
      </c>
      <c r="AX405" s="849">
        <v>2.9589946651719472E-2</v>
      </c>
      <c r="AY405" s="849">
        <v>0.45412051337057324</v>
      </c>
      <c r="AZ405" s="849">
        <v>0.31543211186862841</v>
      </c>
    </row>
    <row r="406" spans="1:52" s="743" customFormat="1" x14ac:dyDescent="0.25">
      <c r="A406" s="892"/>
      <c r="B406" s="848" t="s">
        <v>216</v>
      </c>
      <c r="C406" s="866">
        <v>0.68163383174998327</v>
      </c>
      <c r="D406" s="866">
        <v>0.65768449613896662</v>
      </c>
      <c r="E406" s="866">
        <v>0.65768449613896662</v>
      </c>
      <c r="F406" s="866">
        <v>1.2950030439761142</v>
      </c>
      <c r="G406" s="866">
        <v>0.66718868861290359</v>
      </c>
      <c r="H406" s="866">
        <v>1.13995455770786</v>
      </c>
      <c r="I406" s="866">
        <v>0.93287706679149063</v>
      </c>
      <c r="J406" s="866">
        <v>0.28020267585110609</v>
      </c>
      <c r="K406" s="866">
        <v>1.143863208277428</v>
      </c>
      <c r="L406" s="866">
        <v>0.90333340473920787</v>
      </c>
      <c r="M406" s="866">
        <v>1.2316951174719253</v>
      </c>
      <c r="N406" s="866">
        <v>0.83668496113480917</v>
      </c>
      <c r="O406" s="866">
        <v>1.3932282258414139</v>
      </c>
      <c r="P406" s="866">
        <v>0.56730081150065326</v>
      </c>
      <c r="Q406" s="866">
        <v>0.74243727028810624</v>
      </c>
      <c r="R406" s="866">
        <v>0.73037425463760741</v>
      </c>
      <c r="S406" s="866">
        <v>1.2847163383891751</v>
      </c>
      <c r="T406" s="866">
        <v>1.0490852387082736</v>
      </c>
      <c r="U406" s="866">
        <v>1.1238784545413336</v>
      </c>
      <c r="V406" s="866">
        <v>0.6100257836618671</v>
      </c>
      <c r="W406" s="866">
        <v>0.29758253717842542</v>
      </c>
      <c r="X406" s="866">
        <v>0.21951143140909912</v>
      </c>
      <c r="Y406" s="866">
        <v>0.10692111801390476</v>
      </c>
      <c r="Z406" s="866">
        <v>0.15506401882647644</v>
      </c>
      <c r="AA406" s="866">
        <v>7.5643268503292421E-2</v>
      </c>
      <c r="AB406" s="866">
        <v>2.9519428065211909E-2</v>
      </c>
      <c r="AC406" s="869">
        <v>0.72066865492256538</v>
      </c>
      <c r="AD406" s="927"/>
      <c r="AE406" s="927"/>
      <c r="AF406" s="927"/>
      <c r="AG406" s="927"/>
      <c r="AH406" s="927"/>
      <c r="AI406" s="927"/>
      <c r="AJ406" s="852" t="s">
        <v>216</v>
      </c>
      <c r="AK406" s="853">
        <v>0.68163383174998327</v>
      </c>
      <c r="AL406" s="853">
        <v>0.65768449613896662</v>
      </c>
      <c r="AM406" s="853">
        <v>1.1087804418188103</v>
      </c>
      <c r="AN406" s="853">
        <v>0.55277314738938632</v>
      </c>
      <c r="AO406" s="853">
        <v>0.84328269159583613</v>
      </c>
      <c r="AP406" s="853">
        <v>0.49742544625150981</v>
      </c>
      <c r="AQ406" s="853">
        <v>1.0771326416708691</v>
      </c>
      <c r="AR406" s="853">
        <v>0.53350138943548608</v>
      </c>
      <c r="AS406" s="853">
        <v>0.92831409975109314</v>
      </c>
      <c r="AT406" s="892"/>
      <c r="AU406" s="848"/>
      <c r="AV406" s="849"/>
      <c r="AW406" s="849"/>
      <c r="AX406" s="849"/>
      <c r="AY406" s="849"/>
      <c r="AZ406" s="849"/>
    </row>
    <row r="407" spans="1:52" s="743" customFormat="1" x14ac:dyDescent="0.25">
      <c r="A407" s="1041">
        <v>41780</v>
      </c>
      <c r="B407" s="1041"/>
      <c r="C407" s="1041"/>
      <c r="D407" s="529"/>
      <c r="E407" s="529"/>
      <c r="F407" s="529"/>
      <c r="G407" s="529"/>
      <c r="H407" s="529"/>
      <c r="I407" s="525"/>
      <c r="J407" s="531"/>
      <c r="K407" s="531"/>
      <c r="L407" s="529"/>
      <c r="M407" s="529"/>
      <c r="N407" s="527"/>
      <c r="R407" s="526"/>
      <c r="S407" s="534"/>
      <c r="T407" s="534"/>
      <c r="U407" s="534"/>
      <c r="V407" s="534"/>
      <c r="W407" s="534"/>
      <c r="X407" s="534"/>
      <c r="Y407" s="534"/>
      <c r="Z407" s="534"/>
      <c r="AA407" s="534"/>
      <c r="AB407" s="534"/>
      <c r="AC407" s="534"/>
      <c r="AD407" s="534"/>
      <c r="AE407" s="534"/>
      <c r="AF407" s="534"/>
      <c r="AG407" s="534"/>
      <c r="AH407" s="534"/>
      <c r="AI407" s="534"/>
      <c r="AJ407" s="534"/>
      <c r="AK407" s="534"/>
      <c r="AL407" s="534"/>
      <c r="AM407" s="534"/>
      <c r="AN407" s="534"/>
      <c r="AO407" s="534"/>
    </row>
    <row r="408" spans="1:52" s="743" customFormat="1" x14ac:dyDescent="0.25">
      <c r="A408" s="1042" t="s">
        <v>1</v>
      </c>
      <c r="B408" s="1042"/>
      <c r="C408" s="886" t="s">
        <v>12</v>
      </c>
      <c r="D408" s="886" t="s">
        <v>12</v>
      </c>
      <c r="E408" s="886" t="s">
        <v>13</v>
      </c>
      <c r="F408" s="886" t="s">
        <v>13</v>
      </c>
      <c r="G408" s="886" t="s">
        <v>13</v>
      </c>
      <c r="H408" s="886" t="s">
        <v>13</v>
      </c>
      <c r="I408" s="886" t="s">
        <v>13</v>
      </c>
      <c r="J408" s="886" t="s">
        <v>13</v>
      </c>
      <c r="K408" s="886" t="s">
        <v>13</v>
      </c>
      <c r="L408" s="886" t="s">
        <v>13</v>
      </c>
      <c r="M408" s="829" t="s">
        <v>2</v>
      </c>
      <c r="N408" s="886" t="s">
        <v>2</v>
      </c>
      <c r="O408" s="886" t="s">
        <v>2</v>
      </c>
      <c r="P408" s="886" t="s">
        <v>2</v>
      </c>
      <c r="Q408" s="886" t="s">
        <v>2</v>
      </c>
      <c r="R408" s="886" t="s">
        <v>2</v>
      </c>
      <c r="S408" s="886" t="s">
        <v>2</v>
      </c>
      <c r="T408" s="830" t="s">
        <v>183</v>
      </c>
      <c r="U408" s="830" t="s">
        <v>183</v>
      </c>
      <c r="V408" s="830" t="s">
        <v>2</v>
      </c>
      <c r="W408" s="830" t="s">
        <v>13</v>
      </c>
      <c r="X408" s="830" t="s">
        <v>13</v>
      </c>
      <c r="Y408" s="830" t="s">
        <v>2</v>
      </c>
      <c r="Z408" s="830" t="s">
        <v>13</v>
      </c>
      <c r="AA408" s="830" t="s">
        <v>2</v>
      </c>
      <c r="AB408" s="888" t="s">
        <v>2</v>
      </c>
      <c r="AC408" s="831" t="s">
        <v>219</v>
      </c>
      <c r="AD408" s="920"/>
      <c r="AE408" s="920"/>
      <c r="AF408" s="920"/>
      <c r="AG408" s="920"/>
      <c r="AH408" s="920"/>
      <c r="AI408" s="920"/>
      <c r="AJ408" s="832"/>
      <c r="AK408" s="833"/>
      <c r="AL408" s="833"/>
      <c r="AM408" s="833"/>
      <c r="AN408" s="833"/>
      <c r="AO408" s="833"/>
      <c r="AP408" s="833"/>
      <c r="AQ408" s="833"/>
      <c r="AR408" s="833"/>
      <c r="AS408" s="833"/>
      <c r="AT408" s="1042" t="s">
        <v>1</v>
      </c>
      <c r="AU408" s="1043"/>
      <c r="AV408" s="886" t="s">
        <v>12</v>
      </c>
      <c r="AW408" s="1044" t="s">
        <v>13</v>
      </c>
      <c r="AX408" s="1045"/>
      <c r="AY408" s="1044" t="s">
        <v>2</v>
      </c>
      <c r="AZ408" s="1045"/>
    </row>
    <row r="409" spans="1:52" s="743" customFormat="1" x14ac:dyDescent="0.25">
      <c r="A409" s="1042" t="s">
        <v>0</v>
      </c>
      <c r="B409" s="1042"/>
      <c r="C409" s="834" t="s">
        <v>99</v>
      </c>
      <c r="D409" s="835" t="s">
        <v>100</v>
      </c>
      <c r="E409" s="835" t="s">
        <v>101</v>
      </c>
      <c r="F409" s="834" t="s">
        <v>102</v>
      </c>
      <c r="G409" s="835" t="s">
        <v>97</v>
      </c>
      <c r="H409" s="834" t="s">
        <v>104</v>
      </c>
      <c r="I409" s="835" t="s">
        <v>103</v>
      </c>
      <c r="J409" s="835" t="s">
        <v>178</v>
      </c>
      <c r="K409" s="835" t="s">
        <v>199</v>
      </c>
      <c r="L409" s="834" t="s">
        <v>206</v>
      </c>
      <c r="M409" s="834" t="s">
        <v>105</v>
      </c>
      <c r="N409" s="834" t="s">
        <v>107</v>
      </c>
      <c r="O409" s="835" t="s">
        <v>98</v>
      </c>
      <c r="P409" s="835" t="s">
        <v>106</v>
      </c>
      <c r="Q409" s="835" t="s">
        <v>179</v>
      </c>
      <c r="R409" s="835" t="s">
        <v>198</v>
      </c>
      <c r="S409" s="834" t="s">
        <v>207</v>
      </c>
      <c r="T409" s="834" t="s">
        <v>182</v>
      </c>
      <c r="U409" s="834" t="s">
        <v>184</v>
      </c>
      <c r="V409" s="835" t="s">
        <v>221</v>
      </c>
      <c r="W409" s="835" t="s">
        <v>222</v>
      </c>
      <c r="X409" s="835" t="s">
        <v>255</v>
      </c>
      <c r="Y409" s="835" t="s">
        <v>256</v>
      </c>
      <c r="Z409" s="835" t="s">
        <v>266</v>
      </c>
      <c r="AA409" s="835" t="s">
        <v>267</v>
      </c>
      <c r="AB409" s="889" t="s">
        <v>268</v>
      </c>
      <c r="AC409" s="836"/>
      <c r="AD409" s="921"/>
      <c r="AE409" s="921"/>
      <c r="AF409" s="921"/>
      <c r="AG409" s="921"/>
      <c r="AH409" s="921"/>
      <c r="AI409" s="921"/>
      <c r="AJ409" s="837"/>
      <c r="AK409" s="838" t="s">
        <v>257</v>
      </c>
      <c r="AL409" s="838" t="s">
        <v>258</v>
      </c>
      <c r="AM409" s="838" t="s">
        <v>259</v>
      </c>
      <c r="AN409" s="838" t="s">
        <v>260</v>
      </c>
      <c r="AO409" s="838" t="s">
        <v>261</v>
      </c>
      <c r="AP409" s="838" t="s">
        <v>262</v>
      </c>
      <c r="AQ409" s="838" t="s">
        <v>263</v>
      </c>
      <c r="AR409" s="838" t="s">
        <v>264</v>
      </c>
      <c r="AS409" s="838" t="s">
        <v>265</v>
      </c>
      <c r="AT409" s="1046" t="s">
        <v>0</v>
      </c>
      <c r="AU409" s="1043"/>
      <c r="AV409" s="834" t="s">
        <v>99</v>
      </c>
      <c r="AW409" s="834" t="s">
        <v>104</v>
      </c>
      <c r="AX409" s="834" t="s">
        <v>206</v>
      </c>
      <c r="AY409" s="834" t="s">
        <v>107</v>
      </c>
      <c r="AZ409" s="834" t="s">
        <v>207</v>
      </c>
    </row>
    <row r="410" spans="1:52" s="743" customFormat="1" ht="30" x14ac:dyDescent="0.25">
      <c r="A410" s="1047" t="s">
        <v>9</v>
      </c>
      <c r="B410" s="839" t="s">
        <v>4</v>
      </c>
      <c r="C410" s="840">
        <v>250018.4</v>
      </c>
      <c r="D410" s="840">
        <v>150516.70000000001</v>
      </c>
      <c r="E410" s="840">
        <v>150516.70000000001</v>
      </c>
      <c r="F410" s="840">
        <v>181998.8</v>
      </c>
      <c r="G410" s="840">
        <v>165765.70000000001</v>
      </c>
      <c r="H410" s="840">
        <v>389505</v>
      </c>
      <c r="I410" s="840">
        <v>171975.5</v>
      </c>
      <c r="J410" s="840">
        <v>166078</v>
      </c>
      <c r="K410" s="840">
        <v>124019.2</v>
      </c>
      <c r="L410" s="840">
        <v>224071.2</v>
      </c>
      <c r="M410" s="840">
        <v>193029.1</v>
      </c>
      <c r="N410" s="840">
        <v>438219.9</v>
      </c>
      <c r="O410" s="840">
        <v>83038.8</v>
      </c>
      <c r="P410" s="840">
        <v>276130.40000000002</v>
      </c>
      <c r="Q410" s="840">
        <v>83038.8</v>
      </c>
      <c r="R410" s="840">
        <v>191618.2</v>
      </c>
      <c r="S410" s="840">
        <v>257886.5</v>
      </c>
      <c r="T410" s="840">
        <v>55151</v>
      </c>
      <c r="U410" s="840">
        <v>33090.5</v>
      </c>
      <c r="V410" s="840">
        <v>102196.5</v>
      </c>
      <c r="W410" s="840">
        <v>209496.5</v>
      </c>
      <c r="X410" s="840">
        <v>102196.5</v>
      </c>
      <c r="Y410" s="840">
        <v>209496.5</v>
      </c>
      <c r="Z410" s="840">
        <v>102196.5</v>
      </c>
      <c r="AA410" s="840">
        <v>209496.5</v>
      </c>
      <c r="AB410" s="840">
        <v>228473.60000000001</v>
      </c>
      <c r="AC410" s="840">
        <v>4749220.9999999991</v>
      </c>
      <c r="AD410" s="901"/>
      <c r="AE410" s="901"/>
      <c r="AF410" s="901"/>
      <c r="AG410" s="901"/>
      <c r="AH410" s="901"/>
      <c r="AI410" s="901"/>
      <c r="AJ410" s="841" t="s">
        <v>4</v>
      </c>
      <c r="AK410" s="842">
        <v>250018.4</v>
      </c>
      <c r="AL410" s="842">
        <v>150516.70000000001</v>
      </c>
      <c r="AM410" s="842">
        <v>795575</v>
      </c>
      <c r="AN410" s="842">
        <v>1192244.6000000001</v>
      </c>
      <c r="AO410" s="842">
        <v>1117609.1000000001</v>
      </c>
      <c r="AP410" s="842">
        <v>1155015.7</v>
      </c>
      <c r="AQ410" s="842">
        <v>88241.5</v>
      </c>
      <c r="AR410" s="842">
        <v>2497777</v>
      </c>
      <c r="AS410" s="870">
        <v>2251444</v>
      </c>
      <c r="AT410" s="875" t="s">
        <v>194</v>
      </c>
      <c r="AU410" s="872" t="s">
        <v>4</v>
      </c>
      <c r="AV410" s="840">
        <v>143393</v>
      </c>
      <c r="AW410" s="840">
        <v>132132</v>
      </c>
      <c r="AX410" s="840">
        <v>83196.100000000006</v>
      </c>
      <c r="AY410" s="840">
        <v>132132.20000000001</v>
      </c>
      <c r="AZ410" s="840">
        <v>83196.100000000006</v>
      </c>
    </row>
    <row r="411" spans="1:52" s="743" customFormat="1" x14ac:dyDescent="0.25">
      <c r="A411" s="1047"/>
      <c r="B411" s="844" t="s">
        <v>5</v>
      </c>
      <c r="C411" s="583">
        <v>104316.3</v>
      </c>
      <c r="D411" s="583">
        <v>84471.4</v>
      </c>
      <c r="E411" s="583">
        <v>85810</v>
      </c>
      <c r="F411" s="583">
        <v>151442</v>
      </c>
      <c r="G411" s="583">
        <v>113818.4</v>
      </c>
      <c r="H411" s="583">
        <v>212092.79999999999</v>
      </c>
      <c r="I411" s="583">
        <v>125909.4</v>
      </c>
      <c r="J411" s="583">
        <v>49007.9</v>
      </c>
      <c r="K411" s="583">
        <v>82107.899999999994</v>
      </c>
      <c r="L411" s="583">
        <v>58291.7</v>
      </c>
      <c r="M411" s="583">
        <v>159925.70000000001</v>
      </c>
      <c r="N411" s="583">
        <v>209268.2</v>
      </c>
      <c r="O411" s="583">
        <v>57364.9</v>
      </c>
      <c r="P411" s="583">
        <v>233511.3</v>
      </c>
      <c r="Q411" s="583">
        <v>25360.5</v>
      </c>
      <c r="R411" s="583">
        <v>128871.1</v>
      </c>
      <c r="S411" s="583">
        <v>158950.79999999999</v>
      </c>
      <c r="T411" s="583">
        <v>16593.7</v>
      </c>
      <c r="U411" s="583">
        <v>10226.6</v>
      </c>
      <c r="V411" s="583">
        <v>12122.2</v>
      </c>
      <c r="W411" s="583">
        <v>24245.1</v>
      </c>
      <c r="X411" s="583">
        <v>3772.6</v>
      </c>
      <c r="Y411" s="583">
        <v>7535.5</v>
      </c>
      <c r="Z411" s="583">
        <v>3.1</v>
      </c>
      <c r="AA411" s="583">
        <v>6</v>
      </c>
      <c r="AB411" s="583">
        <v>9</v>
      </c>
      <c r="AC411" s="845">
        <v>2115034.1</v>
      </c>
      <c r="AD411" s="922"/>
      <c r="AE411" s="922"/>
      <c r="AF411" s="922"/>
      <c r="AG411" s="922"/>
      <c r="AH411" s="922"/>
      <c r="AI411" s="922"/>
      <c r="AJ411" s="846" t="s">
        <v>5</v>
      </c>
      <c r="AK411" s="847">
        <v>104316.3</v>
      </c>
      <c r="AL411" s="847">
        <v>84471.4</v>
      </c>
      <c r="AM411" s="847">
        <v>421826.5</v>
      </c>
      <c r="AN411" s="842">
        <v>484674.39999999991</v>
      </c>
      <c r="AO411" s="842">
        <v>528153.69999999995</v>
      </c>
      <c r="AP411" s="842">
        <v>464771.50000000006</v>
      </c>
      <c r="AQ411" s="842">
        <v>26820.300000000003</v>
      </c>
      <c r="AR411" s="842">
        <v>1033917.3</v>
      </c>
      <c r="AS411" s="870">
        <v>1081116.8</v>
      </c>
      <c r="AT411" s="876"/>
      <c r="AU411" s="873" t="s">
        <v>5</v>
      </c>
      <c r="AV411" s="583">
        <v>51964.9</v>
      </c>
      <c r="AW411" s="583">
        <v>58542</v>
      </c>
      <c r="AX411" s="583">
        <v>2519</v>
      </c>
      <c r="AY411" s="583">
        <v>70731</v>
      </c>
      <c r="AZ411" s="583">
        <v>31444.9</v>
      </c>
    </row>
    <row r="412" spans="1:52" s="743" customFormat="1" x14ac:dyDescent="0.25">
      <c r="A412" s="1047"/>
      <c r="B412" s="848" t="s">
        <v>3</v>
      </c>
      <c r="C412" s="849">
        <v>0.41723449154142256</v>
      </c>
      <c r="D412" s="849">
        <v>0.56120948705359597</v>
      </c>
      <c r="E412" s="849">
        <v>0.57010285237452052</v>
      </c>
      <c r="F412" s="850">
        <v>0.8321043875014561</v>
      </c>
      <c r="G412" s="849">
        <v>0.68662214197508886</v>
      </c>
      <c r="H412" s="849">
        <v>0.54451881233873756</v>
      </c>
      <c r="I412" s="849">
        <v>0.7321356821175109</v>
      </c>
      <c r="J412" s="849">
        <v>0.2950896566673491</v>
      </c>
      <c r="K412" s="849">
        <v>0.6620579716689029</v>
      </c>
      <c r="L412" s="849">
        <v>0.26014811363530876</v>
      </c>
      <c r="M412" s="850">
        <v>0.82850565018435052</v>
      </c>
      <c r="N412" s="849">
        <v>0.47754152652583781</v>
      </c>
      <c r="O412" s="849">
        <v>0.69082043574810814</v>
      </c>
      <c r="P412" s="849">
        <v>0.84565589301286626</v>
      </c>
      <c r="Q412" s="849">
        <v>0.30540542493388634</v>
      </c>
      <c r="R412" s="849">
        <v>0.67254102167748153</v>
      </c>
      <c r="S412" s="849">
        <v>0.61635952250311665</v>
      </c>
      <c r="T412" s="849">
        <v>0.30087759061485742</v>
      </c>
      <c r="U412" s="849">
        <v>0.30904942506157357</v>
      </c>
      <c r="V412" s="849">
        <v>0.11861658667371193</v>
      </c>
      <c r="W412" s="849">
        <v>0.11573033439699469</v>
      </c>
      <c r="X412" s="849">
        <v>3.6915158542611536E-2</v>
      </c>
      <c r="Y412" s="849">
        <v>3.5969574670698556E-2</v>
      </c>
      <c r="Z412" s="849">
        <v>3.0333719843634569E-5</v>
      </c>
      <c r="AA412" s="849">
        <v>2.8640096612592574E-5</v>
      </c>
      <c r="AB412" s="849">
        <v>3.9391859715958426E-5</v>
      </c>
      <c r="AC412" s="851">
        <v>0.44534337315530281</v>
      </c>
      <c r="AD412" s="923"/>
      <c r="AE412" s="923"/>
      <c r="AF412" s="923"/>
      <c r="AG412" s="923"/>
      <c r="AH412" s="923"/>
      <c r="AI412" s="923"/>
      <c r="AJ412" s="852" t="s">
        <v>3</v>
      </c>
      <c r="AK412" s="853">
        <v>0.41723449154142256</v>
      </c>
      <c r="AL412" s="853">
        <v>0.56120948705359597</v>
      </c>
      <c r="AM412" s="853">
        <v>0.53021588159507271</v>
      </c>
      <c r="AN412" s="853">
        <v>0.4065226212809015</v>
      </c>
      <c r="AO412" s="853">
        <v>0.47257462381077597</v>
      </c>
      <c r="AP412" s="853">
        <v>0.40239409732698878</v>
      </c>
      <c r="AQ412" s="853">
        <v>0.30394202274440035</v>
      </c>
      <c r="AR412" s="853">
        <v>0.41393499099399189</v>
      </c>
      <c r="AS412" s="871">
        <v>0.48018818145154846</v>
      </c>
      <c r="AT412" s="876"/>
      <c r="AU412" s="874" t="s">
        <v>3</v>
      </c>
      <c r="AV412" s="849">
        <v>0.36239495651810061</v>
      </c>
      <c r="AW412" s="849">
        <v>0.44305694305694304</v>
      </c>
      <c r="AX412" s="849">
        <v>3.0277861582453984E-2</v>
      </c>
      <c r="AY412" s="849">
        <v>0.53530479322981073</v>
      </c>
      <c r="AZ412" s="849">
        <v>0.37796122654787906</v>
      </c>
    </row>
    <row r="413" spans="1:52" s="743" customFormat="1" ht="30" x14ac:dyDescent="0.25">
      <c r="A413" s="1040" t="s">
        <v>6</v>
      </c>
      <c r="B413" s="854" t="s">
        <v>7</v>
      </c>
      <c r="C413" s="840">
        <v>5741</v>
      </c>
      <c r="D413" s="840">
        <v>3653</v>
      </c>
      <c r="E413" s="840">
        <v>3650</v>
      </c>
      <c r="F413" s="840">
        <v>9450</v>
      </c>
      <c r="G413" s="840">
        <v>8432</v>
      </c>
      <c r="H413" s="840">
        <v>15703</v>
      </c>
      <c r="I413" s="840">
        <v>8405</v>
      </c>
      <c r="J413" s="840">
        <v>9599</v>
      </c>
      <c r="K413" s="840">
        <v>7072</v>
      </c>
      <c r="L413" s="840">
        <v>9423</v>
      </c>
      <c r="M413" s="840">
        <v>8889</v>
      </c>
      <c r="N413" s="840">
        <v>11924</v>
      </c>
      <c r="O413" s="840">
        <v>4357</v>
      </c>
      <c r="P413" s="840">
        <v>10857</v>
      </c>
      <c r="Q413" s="840">
        <v>4799</v>
      </c>
      <c r="R413" s="840">
        <v>9711</v>
      </c>
      <c r="S413" s="840">
        <v>11666</v>
      </c>
      <c r="T413" s="855">
        <v>2480</v>
      </c>
      <c r="U413" s="855">
        <v>1570</v>
      </c>
      <c r="V413" s="840">
        <v>3999</v>
      </c>
      <c r="W413" s="840">
        <v>7999</v>
      </c>
      <c r="X413" s="840">
        <v>3999</v>
      </c>
      <c r="Y413" s="840">
        <v>7999</v>
      </c>
      <c r="Z413" s="840">
        <v>3999</v>
      </c>
      <c r="AA413" s="840">
        <v>7999</v>
      </c>
      <c r="AB413" s="840">
        <v>11999</v>
      </c>
      <c r="AC413" s="840">
        <v>195374</v>
      </c>
      <c r="AD413" s="901"/>
      <c r="AE413" s="901"/>
      <c r="AF413" s="901"/>
      <c r="AG413" s="901"/>
      <c r="AH413" s="901"/>
      <c r="AI413" s="901"/>
      <c r="AJ413" s="856" t="s">
        <v>7</v>
      </c>
      <c r="AK413" s="842">
        <v>5741</v>
      </c>
      <c r="AL413" s="842">
        <v>3653</v>
      </c>
      <c r="AM413" s="842">
        <v>34576</v>
      </c>
      <c r="AN413" s="842">
        <v>53155</v>
      </c>
      <c r="AO413" s="842">
        <v>44478</v>
      </c>
      <c r="AP413" s="842">
        <v>49721</v>
      </c>
      <c r="AQ413" s="842">
        <v>4050</v>
      </c>
      <c r="AR413" s="842">
        <v>106529</v>
      </c>
      <c r="AS413" s="870">
        <v>88845</v>
      </c>
      <c r="AT413" s="880" t="s">
        <v>190</v>
      </c>
      <c r="AU413" s="879" t="s">
        <v>4</v>
      </c>
      <c r="AV413" s="857">
        <v>9191.7999999999993</v>
      </c>
      <c r="AW413" s="857">
        <v>13787.7</v>
      </c>
      <c r="AX413" s="857">
        <v>8804.7999999999993</v>
      </c>
      <c r="AY413" s="857">
        <v>13787.7</v>
      </c>
      <c r="AZ413" s="857">
        <v>8804.7999999999993</v>
      </c>
    </row>
    <row r="414" spans="1:52" s="743" customFormat="1" x14ac:dyDescent="0.25">
      <c r="A414" s="1040"/>
      <c r="B414" s="839" t="s">
        <v>11</v>
      </c>
      <c r="C414" s="858">
        <v>193569.29699999999</v>
      </c>
      <c r="D414" s="858">
        <v>123168.201</v>
      </c>
      <c r="E414" s="858">
        <v>123067.04999999999</v>
      </c>
      <c r="F414" s="858">
        <v>318625.64999999997</v>
      </c>
      <c r="G414" s="858">
        <v>284301.74400000001</v>
      </c>
      <c r="H414" s="858">
        <v>529458.05099999998</v>
      </c>
      <c r="I414" s="858">
        <v>283391.38500000001</v>
      </c>
      <c r="J414" s="858">
        <v>323649.48300000001</v>
      </c>
      <c r="K414" s="858">
        <v>238446.62399999998</v>
      </c>
      <c r="L414" s="858">
        <v>317715.29099999997</v>
      </c>
      <c r="M414" s="858">
        <v>299710.413</v>
      </c>
      <c r="N414" s="858">
        <v>402041.50799999997</v>
      </c>
      <c r="O414" s="858">
        <v>146904.96899999998</v>
      </c>
      <c r="P414" s="858">
        <v>366065.46899999998</v>
      </c>
      <c r="Q414" s="858">
        <v>161807.883</v>
      </c>
      <c r="R414" s="858">
        <v>327425.78700000001</v>
      </c>
      <c r="S414" s="858">
        <v>393342.522</v>
      </c>
      <c r="T414" s="858">
        <v>83618.16</v>
      </c>
      <c r="U414" s="858">
        <v>52935.689999999995</v>
      </c>
      <c r="V414" s="858">
        <v>134834.283</v>
      </c>
      <c r="W414" s="858">
        <v>269702.283</v>
      </c>
      <c r="X414" s="858">
        <v>134834.283</v>
      </c>
      <c r="Y414" s="858">
        <v>269702.283</v>
      </c>
      <c r="Z414" s="858">
        <v>134834.283</v>
      </c>
      <c r="AA414" s="858">
        <v>269702.283</v>
      </c>
      <c r="AB414" s="858">
        <v>404570.283</v>
      </c>
      <c r="AC414" s="859">
        <v>6587425.1579999989</v>
      </c>
      <c r="AD414" s="924"/>
      <c r="AE414" s="924"/>
      <c r="AF414" s="924"/>
      <c r="AG414" s="924"/>
      <c r="AH414" s="924"/>
      <c r="AI414" s="924"/>
      <c r="AJ414" s="841" t="s">
        <v>11</v>
      </c>
      <c r="AK414" s="860">
        <v>193569.29699999999</v>
      </c>
      <c r="AL414" s="860">
        <v>123168.201</v>
      </c>
      <c r="AM414" s="860">
        <v>1165798.9919999999</v>
      </c>
      <c r="AN414" s="860">
        <v>1792227.135</v>
      </c>
      <c r="AO414" s="860">
        <v>1499664.726</v>
      </c>
      <c r="AP414" s="860">
        <v>1676442.9569999999</v>
      </c>
      <c r="AQ414" s="860">
        <v>136553.85</v>
      </c>
      <c r="AR414" s="860">
        <v>3591838.2930000001</v>
      </c>
      <c r="AS414" s="878">
        <v>2995586.8649999998</v>
      </c>
      <c r="AT414" s="876"/>
      <c r="AU414" s="873" t="s">
        <v>5</v>
      </c>
      <c r="AV414" s="583">
        <v>7975.5</v>
      </c>
      <c r="AW414" s="583">
        <v>13649</v>
      </c>
      <c r="AX414" s="583">
        <v>1289.9000000000001</v>
      </c>
      <c r="AY414" s="583">
        <v>13642</v>
      </c>
      <c r="AZ414" s="583">
        <v>5483.9</v>
      </c>
    </row>
    <row r="415" spans="1:52" s="743" customFormat="1" x14ac:dyDescent="0.25">
      <c r="A415" s="1040"/>
      <c r="B415" s="839" t="s">
        <v>79</v>
      </c>
      <c r="C415" s="858">
        <v>164000</v>
      </c>
      <c r="D415" s="858">
        <v>109880</v>
      </c>
      <c r="E415" s="858">
        <v>109880</v>
      </c>
      <c r="F415" s="858">
        <v>328000</v>
      </c>
      <c r="G415" s="858">
        <v>330905</v>
      </c>
      <c r="H415" s="858">
        <v>264264</v>
      </c>
      <c r="I415" s="858">
        <v>242663.6</v>
      </c>
      <c r="J415" s="858">
        <v>328000</v>
      </c>
      <c r="K415" s="858">
        <v>328000</v>
      </c>
      <c r="L415" s="858">
        <v>328000</v>
      </c>
      <c r="M415" s="858">
        <v>328000</v>
      </c>
      <c r="N415" s="858">
        <v>264264.40000000002</v>
      </c>
      <c r="O415" s="858">
        <v>328000</v>
      </c>
      <c r="P415" s="858">
        <v>352965.4</v>
      </c>
      <c r="Q415" s="858">
        <v>328000</v>
      </c>
      <c r="R415" s="858">
        <v>328000</v>
      </c>
      <c r="S415" s="858">
        <v>328000</v>
      </c>
      <c r="T415" s="858">
        <v>110302</v>
      </c>
      <c r="U415" s="858">
        <v>66181</v>
      </c>
      <c r="V415" s="858">
        <v>204393</v>
      </c>
      <c r="W415" s="858">
        <v>418993</v>
      </c>
      <c r="X415" s="858">
        <v>204393</v>
      </c>
      <c r="Y415" s="858">
        <v>418993</v>
      </c>
      <c r="Z415" s="858">
        <v>204393</v>
      </c>
      <c r="AA415" s="858">
        <v>418993</v>
      </c>
      <c r="AB415" s="858">
        <v>456947.20000000001</v>
      </c>
      <c r="AC415" s="859">
        <v>7294410.6000000006</v>
      </c>
      <c r="AD415" s="924"/>
      <c r="AE415" s="924"/>
      <c r="AF415" s="924"/>
      <c r="AG415" s="924"/>
      <c r="AH415" s="924"/>
      <c r="AI415" s="924"/>
      <c r="AJ415" s="841" t="s">
        <v>79</v>
      </c>
      <c r="AK415" s="860">
        <v>500036.8</v>
      </c>
      <c r="AL415" s="860">
        <v>301033.40000000002</v>
      </c>
      <c r="AM415" s="860">
        <v>1591150</v>
      </c>
      <c r="AN415" s="860">
        <v>2384489.2000000002</v>
      </c>
      <c r="AO415" s="860">
        <v>2235218.2000000002</v>
      </c>
      <c r="AP415" s="860">
        <v>2310031.4</v>
      </c>
      <c r="AQ415" s="860">
        <v>176483</v>
      </c>
      <c r="AR415" s="860">
        <v>4995554</v>
      </c>
      <c r="AS415" s="878">
        <v>4502888</v>
      </c>
      <c r="AT415" s="877"/>
      <c r="AU415" s="874" t="s">
        <v>3</v>
      </c>
      <c r="AV415" s="849">
        <v>0.86767553689157739</v>
      </c>
      <c r="AW415" s="849">
        <v>0.98994030911609621</v>
      </c>
      <c r="AX415" s="849">
        <v>0.14649963656187537</v>
      </c>
      <c r="AY415" s="849">
        <v>0.98943261022505558</v>
      </c>
      <c r="AZ415" s="849">
        <v>0.62283072869343992</v>
      </c>
    </row>
    <row r="416" spans="1:52" s="743" customFormat="1" ht="30" x14ac:dyDescent="0.25">
      <c r="A416" s="1040"/>
      <c r="B416" s="844" t="s">
        <v>8</v>
      </c>
      <c r="C416" s="861">
        <v>5397</v>
      </c>
      <c r="D416" s="861">
        <v>2981</v>
      </c>
      <c r="E416" s="861">
        <v>3007</v>
      </c>
      <c r="F416" s="861">
        <v>7701</v>
      </c>
      <c r="G416" s="861">
        <v>3356</v>
      </c>
      <c r="H416" s="861">
        <v>13615</v>
      </c>
      <c r="I416" s="861">
        <v>7093</v>
      </c>
      <c r="J416" s="861">
        <v>1379</v>
      </c>
      <c r="K416" s="861">
        <v>5848</v>
      </c>
      <c r="L416" s="861">
        <v>5649</v>
      </c>
      <c r="M416" s="861">
        <v>7608</v>
      </c>
      <c r="N416" s="861">
        <v>10872</v>
      </c>
      <c r="O416" s="861">
        <v>3430</v>
      </c>
      <c r="P416" s="861">
        <v>8202</v>
      </c>
      <c r="Q416" s="861">
        <v>1827</v>
      </c>
      <c r="R416" s="861">
        <v>4451</v>
      </c>
      <c r="S416" s="861">
        <v>9656</v>
      </c>
      <c r="T416" s="598">
        <v>1716</v>
      </c>
      <c r="U416" s="598">
        <v>1103</v>
      </c>
      <c r="V416" s="861">
        <v>1848</v>
      </c>
      <c r="W416" s="861">
        <v>2480</v>
      </c>
      <c r="X416" s="861">
        <v>503</v>
      </c>
      <c r="Y416" s="861">
        <v>694</v>
      </c>
      <c r="Z416" s="861">
        <v>469</v>
      </c>
      <c r="AA416" s="861">
        <v>933</v>
      </c>
      <c r="AB416" s="861">
        <v>-1</v>
      </c>
      <c r="AC416" s="840">
        <v>111817</v>
      </c>
      <c r="AD416" s="901"/>
      <c r="AE416" s="901"/>
      <c r="AF416" s="901"/>
      <c r="AG416" s="901"/>
      <c r="AH416" s="901"/>
      <c r="AI416" s="901"/>
      <c r="AJ416" s="846" t="s">
        <v>8</v>
      </c>
      <c r="AK416" s="862">
        <v>5397</v>
      </c>
      <c r="AL416" s="862">
        <v>2981</v>
      </c>
      <c r="AM416" s="862">
        <v>26965</v>
      </c>
      <c r="AN416" s="842">
        <v>24135</v>
      </c>
      <c r="AO416" s="842">
        <v>28135</v>
      </c>
      <c r="AP416" s="842">
        <v>21385</v>
      </c>
      <c r="AQ416" s="842">
        <v>2819</v>
      </c>
      <c r="AR416" s="842">
        <v>48501</v>
      </c>
      <c r="AS416" s="842">
        <v>63316</v>
      </c>
      <c r="AT416" s="877" t="s">
        <v>191</v>
      </c>
      <c r="AU416" s="839" t="s">
        <v>4</v>
      </c>
      <c r="AV416" s="840">
        <v>97433.600000000006</v>
      </c>
      <c r="AW416" s="840">
        <v>243584.4</v>
      </c>
      <c r="AX416" s="840">
        <v>132070.29999999999</v>
      </c>
      <c r="AY416" s="840">
        <v>292299.3</v>
      </c>
      <c r="AZ416" s="840">
        <v>132070.39999999999</v>
      </c>
    </row>
    <row r="417" spans="1:52" s="743" customFormat="1" x14ac:dyDescent="0.25">
      <c r="A417" s="1040"/>
      <c r="B417" s="839" t="s">
        <v>77</v>
      </c>
      <c r="C417" s="858">
        <v>181970.649</v>
      </c>
      <c r="D417" s="858">
        <v>100510.37699999999</v>
      </c>
      <c r="E417" s="858">
        <v>101387.019</v>
      </c>
      <c r="F417" s="858">
        <v>259654.617</v>
      </c>
      <c r="G417" s="858">
        <v>113154.25199999999</v>
      </c>
      <c r="H417" s="858">
        <v>459056.95499999996</v>
      </c>
      <c r="I417" s="858">
        <v>239154.68099999998</v>
      </c>
      <c r="J417" s="858">
        <v>46495.742999999995</v>
      </c>
      <c r="K417" s="858">
        <v>197177.016</v>
      </c>
      <c r="L417" s="858">
        <v>190467.33299999998</v>
      </c>
      <c r="M417" s="858">
        <v>256518.93599999999</v>
      </c>
      <c r="N417" s="858">
        <v>366571.22399999999</v>
      </c>
      <c r="O417" s="858">
        <v>115649.31</v>
      </c>
      <c r="P417" s="858">
        <v>188410.59599999996</v>
      </c>
      <c r="Q417" s="858">
        <v>61600.958999999995</v>
      </c>
      <c r="R417" s="858">
        <v>150074.367</v>
      </c>
      <c r="S417" s="858">
        <v>325571.35200000001</v>
      </c>
      <c r="T417" s="863">
        <v>57858.371999999996</v>
      </c>
      <c r="U417" s="863">
        <v>37189.850999999995</v>
      </c>
      <c r="V417" s="863">
        <v>62309.015999999996</v>
      </c>
      <c r="W417" s="863">
        <v>83618.16</v>
      </c>
      <c r="X417" s="863">
        <v>16959.650999999998</v>
      </c>
      <c r="Y417" s="863">
        <v>23399.597999999998</v>
      </c>
      <c r="Z417" s="863">
        <v>15813.272999999999</v>
      </c>
      <c r="AA417" s="863">
        <v>31457.960999999999</v>
      </c>
      <c r="AB417" s="863">
        <v>-33.716999999999999</v>
      </c>
      <c r="AC417" s="864">
        <v>3681997.550999999</v>
      </c>
      <c r="AD417" s="925"/>
      <c r="AE417" s="925"/>
      <c r="AF417" s="925"/>
      <c r="AG417" s="925"/>
      <c r="AH417" s="925"/>
      <c r="AI417" s="925"/>
      <c r="AJ417" s="841" t="s">
        <v>77</v>
      </c>
      <c r="AK417" s="865">
        <v>181970.649</v>
      </c>
      <c r="AL417" s="865">
        <v>100510.37699999999</v>
      </c>
      <c r="AM417" s="865">
        <v>909178.90499999991</v>
      </c>
      <c r="AN417" s="865">
        <v>813759.79499999993</v>
      </c>
      <c r="AO417" s="865">
        <v>948627.79499999993</v>
      </c>
      <c r="AP417" s="865">
        <v>721038.04499999993</v>
      </c>
      <c r="AQ417" s="865">
        <v>95048.222999999998</v>
      </c>
      <c r="AR417" s="865">
        <v>1635308.2169999999</v>
      </c>
      <c r="AS417" s="865">
        <v>2134825.5719999997</v>
      </c>
      <c r="AT417" s="887"/>
      <c r="AU417" s="844" t="s">
        <v>5</v>
      </c>
      <c r="AV417" s="583">
        <v>38973.199999999997</v>
      </c>
      <c r="AW417" s="583">
        <v>124350.5</v>
      </c>
      <c r="AX417" s="583">
        <v>3817.1</v>
      </c>
      <c r="AY417" s="583">
        <v>109009</v>
      </c>
      <c r="AZ417" s="583">
        <v>33401</v>
      </c>
    </row>
    <row r="418" spans="1:52" s="743" customFormat="1" x14ac:dyDescent="0.25">
      <c r="A418" s="1040"/>
      <c r="B418" s="848" t="s">
        <v>217</v>
      </c>
      <c r="C418" s="849">
        <v>0.72782902778355518</v>
      </c>
      <c r="D418" s="849">
        <v>0.66776893859618225</v>
      </c>
      <c r="E418" s="866">
        <v>0.67359315610825898</v>
      </c>
      <c r="F418" s="866">
        <v>1.4266831264821527</v>
      </c>
      <c r="G418" s="866">
        <v>0.68261559538553507</v>
      </c>
      <c r="H418" s="866">
        <v>1.1785649863288019</v>
      </c>
      <c r="I418" s="866">
        <v>1.3906322761090968</v>
      </c>
      <c r="J418" s="866">
        <v>0.27996328833439704</v>
      </c>
      <c r="K418" s="866">
        <v>1.589891049127877</v>
      </c>
      <c r="L418" s="866">
        <v>0.85003040551396147</v>
      </c>
      <c r="M418" s="866">
        <v>1.3289132882036956</v>
      </c>
      <c r="N418" s="866">
        <v>0.83650063358601467</v>
      </c>
      <c r="O418" s="866">
        <v>1.3927141288168903</v>
      </c>
      <c r="P418" s="866">
        <v>0.68232471325142019</v>
      </c>
      <c r="Q418" s="866">
        <v>0.74183344412491503</v>
      </c>
      <c r="R418" s="866">
        <v>0.78319474350557505</v>
      </c>
      <c r="S418" s="866">
        <v>1.2624598495849919</v>
      </c>
      <c r="T418" s="849">
        <v>1.0490901706224727</v>
      </c>
      <c r="U418" s="849">
        <v>1.1238830177845605</v>
      </c>
      <c r="V418" s="849">
        <v>0.6096981403472721</v>
      </c>
      <c r="W418" s="849">
        <v>0.39913869682787068</v>
      </c>
      <c r="X418" s="849">
        <v>0.16595138776768284</v>
      </c>
      <c r="Y418" s="849">
        <v>0.11169445790263799</v>
      </c>
      <c r="Z418" s="849">
        <v>0.1547339977396486</v>
      </c>
      <c r="AA418" s="849">
        <v>0.15015984037919489</v>
      </c>
      <c r="AB418" s="849">
        <v>-1.4757503711588558E-4</v>
      </c>
      <c r="AC418" s="851">
        <v>0.77528452582012919</v>
      </c>
      <c r="AD418" s="923"/>
      <c r="AE418" s="923"/>
      <c r="AF418" s="923"/>
      <c r="AG418" s="923"/>
      <c r="AH418" s="923"/>
      <c r="AI418" s="923"/>
      <c r="AJ418" s="852" t="s">
        <v>217</v>
      </c>
      <c r="AK418" s="853">
        <v>0.72782902778355518</v>
      </c>
      <c r="AL418" s="853">
        <v>0.66776893859618225</v>
      </c>
      <c r="AM418" s="853">
        <v>1.1427947145146591</v>
      </c>
      <c r="AN418" s="853">
        <v>0.68254433276527304</v>
      </c>
      <c r="AO418" s="853">
        <v>0.84880106559619084</v>
      </c>
      <c r="AP418" s="853">
        <v>0.6242668779307502</v>
      </c>
      <c r="AQ418" s="853">
        <v>1.0771374353337149</v>
      </c>
      <c r="AR418" s="853">
        <v>0.65470545088692866</v>
      </c>
      <c r="AS418" s="853">
        <v>0.94820282982832338</v>
      </c>
      <c r="AT418" s="887"/>
      <c r="AU418" s="848" t="s">
        <v>3</v>
      </c>
      <c r="AV418" s="849">
        <v>0.39999753678402516</v>
      </c>
      <c r="AW418" s="849">
        <v>0.51050272513346506</v>
      </c>
      <c r="AX418" s="849">
        <v>2.8902031720984961E-2</v>
      </c>
      <c r="AY418" s="849">
        <v>0.37293623351133581</v>
      </c>
      <c r="AZ418" s="849">
        <v>0.25290299718937781</v>
      </c>
    </row>
    <row r="419" spans="1:52" s="743" customFormat="1" x14ac:dyDescent="0.25">
      <c r="A419" s="887"/>
      <c r="B419" s="848" t="s">
        <v>218</v>
      </c>
      <c r="C419" s="598">
        <v>171500</v>
      </c>
      <c r="D419" s="598">
        <v>100105</v>
      </c>
      <c r="E419" s="598">
        <v>100982</v>
      </c>
      <c r="F419" s="598">
        <v>241657</v>
      </c>
      <c r="G419" s="598">
        <v>110867</v>
      </c>
      <c r="H419" s="598">
        <v>443985</v>
      </c>
      <c r="I419" s="598">
        <v>164406</v>
      </c>
      <c r="J419" s="598">
        <v>46535.5</v>
      </c>
      <c r="K419" s="598">
        <v>138759</v>
      </c>
      <c r="L419" s="598">
        <v>190845</v>
      </c>
      <c r="M419" s="598">
        <v>252557</v>
      </c>
      <c r="N419" s="598">
        <v>366652</v>
      </c>
      <c r="O419" s="598">
        <v>115692</v>
      </c>
      <c r="P419" s="598">
        <v>158128</v>
      </c>
      <c r="Q419" s="598">
        <v>61651.1</v>
      </c>
      <c r="R419" s="598">
        <v>136851</v>
      </c>
      <c r="S419" s="598">
        <v>325741</v>
      </c>
      <c r="T419" s="598">
        <v>57858.1</v>
      </c>
      <c r="U419" s="598">
        <v>37189.699999999997</v>
      </c>
      <c r="V419" s="598">
        <v>62342.5</v>
      </c>
      <c r="W419" s="598">
        <v>62342.5</v>
      </c>
      <c r="X419" s="598">
        <v>17003.8</v>
      </c>
      <c r="Y419" s="598">
        <v>16970.099999999999</v>
      </c>
      <c r="Z419" s="598">
        <v>15847</v>
      </c>
      <c r="AA419" s="598">
        <v>15847</v>
      </c>
      <c r="AB419" s="598">
        <v>0</v>
      </c>
      <c r="AC419" s="867">
        <v>3412314.3000000003</v>
      </c>
      <c r="AD419" s="926"/>
      <c r="AE419" s="926"/>
      <c r="AF419" s="926"/>
      <c r="AG419" s="926"/>
      <c r="AH419" s="926"/>
      <c r="AI419" s="926"/>
      <c r="AJ419" s="852" t="s">
        <v>218</v>
      </c>
      <c r="AK419" s="868">
        <v>171500</v>
      </c>
      <c r="AL419" s="868">
        <v>100105</v>
      </c>
      <c r="AM419" s="868">
        <v>876487</v>
      </c>
      <c r="AN419" s="842">
        <v>656742.80000000005</v>
      </c>
      <c r="AO419" s="842">
        <v>944950</v>
      </c>
      <c r="AP419" s="842">
        <v>567481.69999999995</v>
      </c>
      <c r="AQ419" s="842">
        <v>95047.799999999988</v>
      </c>
      <c r="AR419" s="842">
        <v>1324329.5</v>
      </c>
      <c r="AS419" s="842">
        <v>2087984.8</v>
      </c>
      <c r="AT419" s="887" t="s">
        <v>219</v>
      </c>
      <c r="AU419" s="848" t="s">
        <v>3</v>
      </c>
      <c r="AV419" s="849">
        <v>0.38119624665106289</v>
      </c>
      <c r="AW419" s="849">
        <v>0.47677983409520408</v>
      </c>
      <c r="AX419" s="849">
        <v>2.9589946651719472E-2</v>
      </c>
      <c r="AY419" s="849">
        <v>0.45412051337057324</v>
      </c>
      <c r="AZ419" s="849">
        <v>0.31543211186862841</v>
      </c>
    </row>
    <row r="420" spans="1:52" s="743" customFormat="1" x14ac:dyDescent="0.25">
      <c r="A420" s="887"/>
      <c r="B420" s="848" t="s">
        <v>216</v>
      </c>
      <c r="C420" s="866">
        <v>0.68594951411576111</v>
      </c>
      <c r="D420" s="866">
        <v>0.66507570256323711</v>
      </c>
      <c r="E420" s="866">
        <v>0.67090229854893169</v>
      </c>
      <c r="F420" s="866">
        <v>1.3277944689745207</v>
      </c>
      <c r="G420" s="866">
        <v>0.66881749360694032</v>
      </c>
      <c r="H420" s="866">
        <v>1.1398698347903107</v>
      </c>
      <c r="I420" s="866">
        <v>0.95598500949263121</v>
      </c>
      <c r="J420" s="866">
        <v>0.28020267585110609</v>
      </c>
      <c r="K420" s="866">
        <v>1.1188509521106409</v>
      </c>
      <c r="L420" s="866">
        <v>0.85171588316570801</v>
      </c>
      <c r="M420" s="866">
        <v>1.3083882171133783</v>
      </c>
      <c r="N420" s="866">
        <v>0.83668496113480917</v>
      </c>
      <c r="O420" s="866">
        <v>1.3932282258414139</v>
      </c>
      <c r="P420" s="866">
        <v>0.57265697655890113</v>
      </c>
      <c r="Q420" s="866">
        <v>0.74243727028810624</v>
      </c>
      <c r="R420" s="866">
        <v>0.71418581324738462</v>
      </c>
      <c r="S420" s="866">
        <v>1.2631176893710994</v>
      </c>
      <c r="T420" s="866">
        <v>1.0490852387082736</v>
      </c>
      <c r="U420" s="866">
        <v>1.1238784545413336</v>
      </c>
      <c r="V420" s="866">
        <v>0.6100257836618671</v>
      </c>
      <c r="W420" s="866">
        <v>0.29758253717842542</v>
      </c>
      <c r="X420" s="866">
        <v>0.16638338886361079</v>
      </c>
      <c r="Y420" s="866">
        <v>8.1004217254226199E-2</v>
      </c>
      <c r="Z420" s="866">
        <v>0.15506401882647644</v>
      </c>
      <c r="AA420" s="866">
        <v>7.5643268503292421E-2</v>
      </c>
      <c r="AB420" s="866">
        <v>0</v>
      </c>
      <c r="AC420" s="869">
        <v>0.7184997918606022</v>
      </c>
      <c r="AD420" s="927"/>
      <c r="AE420" s="927"/>
      <c r="AF420" s="927"/>
      <c r="AG420" s="927"/>
      <c r="AH420" s="927"/>
      <c r="AI420" s="927"/>
      <c r="AJ420" s="852" t="s">
        <v>216</v>
      </c>
      <c r="AK420" s="853">
        <v>0.68594951411576111</v>
      </c>
      <c r="AL420" s="853">
        <v>0.66507570256323711</v>
      </c>
      <c r="AM420" s="853">
        <v>1.101702542186469</v>
      </c>
      <c r="AN420" s="853">
        <v>0.55084569055712229</v>
      </c>
      <c r="AO420" s="853">
        <v>0.84551029514702403</v>
      </c>
      <c r="AP420" s="853">
        <v>0.4913194686444522</v>
      </c>
      <c r="AQ420" s="853">
        <v>1.0771326416708691</v>
      </c>
      <c r="AR420" s="853">
        <v>0.53020325673588953</v>
      </c>
      <c r="AS420" s="853">
        <v>0.92739806097775479</v>
      </c>
      <c r="AT420" s="887"/>
      <c r="AU420" s="848"/>
      <c r="AV420" s="849"/>
      <c r="AW420" s="849"/>
      <c r="AX420" s="849"/>
      <c r="AY420" s="849"/>
      <c r="AZ420" s="849"/>
    </row>
    <row r="421" spans="1:52" s="743" customFormat="1" x14ac:dyDescent="0.25">
      <c r="A421" s="1041">
        <v>41773</v>
      </c>
      <c r="B421" s="1041"/>
      <c r="C421" s="1041"/>
      <c r="D421" s="529"/>
      <c r="E421" s="529"/>
      <c r="F421" s="529"/>
      <c r="G421" s="529"/>
      <c r="H421" s="529"/>
      <c r="I421" s="525"/>
      <c r="J421" s="531"/>
      <c r="K421" s="531"/>
      <c r="L421" s="529"/>
      <c r="M421" s="529"/>
      <c r="N421" s="527"/>
      <c r="R421" s="526"/>
      <c r="S421" s="534"/>
      <c r="T421" s="534"/>
      <c r="U421" s="534"/>
      <c r="V421" s="534"/>
      <c r="W421" s="534"/>
      <c r="X421" s="534"/>
      <c r="Y421" s="534"/>
      <c r="Z421" s="534"/>
      <c r="AA421" s="534"/>
      <c r="AB421" s="534"/>
      <c r="AC421" s="534"/>
      <c r="AD421" s="534"/>
      <c r="AE421" s="534"/>
      <c r="AF421" s="534"/>
      <c r="AG421" s="534"/>
      <c r="AH421" s="534"/>
      <c r="AI421" s="534"/>
      <c r="AJ421" s="534"/>
      <c r="AK421" s="534"/>
      <c r="AL421" s="534"/>
      <c r="AM421" s="534"/>
      <c r="AN421" s="534"/>
      <c r="AO421" s="534"/>
    </row>
    <row r="422" spans="1:52" s="743" customFormat="1" x14ac:dyDescent="0.25">
      <c r="A422" s="1042" t="s">
        <v>1</v>
      </c>
      <c r="B422" s="1042"/>
      <c r="C422" s="885" t="s">
        <v>12</v>
      </c>
      <c r="D422" s="885" t="s">
        <v>12</v>
      </c>
      <c r="E422" s="885" t="s">
        <v>13</v>
      </c>
      <c r="F422" s="885" t="s">
        <v>13</v>
      </c>
      <c r="G422" s="885" t="s">
        <v>13</v>
      </c>
      <c r="H422" s="885" t="s">
        <v>13</v>
      </c>
      <c r="I422" s="885" t="s">
        <v>13</v>
      </c>
      <c r="J422" s="885" t="s">
        <v>13</v>
      </c>
      <c r="K422" s="885" t="s">
        <v>13</v>
      </c>
      <c r="L422" s="885" t="s">
        <v>13</v>
      </c>
      <c r="M422" s="829" t="s">
        <v>2</v>
      </c>
      <c r="N422" s="885" t="s">
        <v>2</v>
      </c>
      <c r="O422" s="885" t="s">
        <v>2</v>
      </c>
      <c r="P422" s="885" t="s">
        <v>2</v>
      </c>
      <c r="Q422" s="885" t="s">
        <v>2</v>
      </c>
      <c r="R422" s="885" t="s">
        <v>2</v>
      </c>
      <c r="S422" s="885" t="s">
        <v>2</v>
      </c>
      <c r="T422" s="830" t="s">
        <v>183</v>
      </c>
      <c r="U422" s="830" t="s">
        <v>183</v>
      </c>
      <c r="V422" s="830" t="s">
        <v>2</v>
      </c>
      <c r="W422" s="830" t="s">
        <v>13</v>
      </c>
      <c r="X422" s="830" t="s">
        <v>13</v>
      </c>
      <c r="Y422" s="830" t="s">
        <v>2</v>
      </c>
      <c r="Z422" s="830" t="s">
        <v>13</v>
      </c>
      <c r="AA422" s="830" t="s">
        <v>2</v>
      </c>
      <c r="AB422" s="831" t="s">
        <v>219</v>
      </c>
      <c r="AC422" s="832"/>
      <c r="AD422" s="928"/>
      <c r="AE422" s="928"/>
      <c r="AF422" s="928"/>
      <c r="AG422" s="928"/>
      <c r="AH422" s="928"/>
      <c r="AI422" s="928"/>
      <c r="AJ422" s="833"/>
      <c r="AK422" s="833"/>
      <c r="AL422" s="833"/>
      <c r="AM422" s="833"/>
      <c r="AN422" s="833"/>
      <c r="AO422" s="833"/>
      <c r="AP422" s="833"/>
      <c r="AQ422" s="833"/>
      <c r="AR422" s="833"/>
      <c r="AS422" s="1042" t="s">
        <v>1</v>
      </c>
      <c r="AT422" s="1043"/>
      <c r="AU422" s="885" t="s">
        <v>12</v>
      </c>
      <c r="AV422" s="1044" t="s">
        <v>13</v>
      </c>
      <c r="AW422" s="1045"/>
      <c r="AX422" s="1044" t="s">
        <v>2</v>
      </c>
      <c r="AY422" s="1045"/>
    </row>
    <row r="423" spans="1:52" s="743" customFormat="1" x14ac:dyDescent="0.25">
      <c r="A423" s="1042" t="s">
        <v>0</v>
      </c>
      <c r="B423" s="1042"/>
      <c r="C423" s="834" t="s">
        <v>99</v>
      </c>
      <c r="D423" s="835" t="s">
        <v>100</v>
      </c>
      <c r="E423" s="835" t="s">
        <v>101</v>
      </c>
      <c r="F423" s="834" t="s">
        <v>102</v>
      </c>
      <c r="G423" s="835" t="s">
        <v>97</v>
      </c>
      <c r="H423" s="834" t="s">
        <v>104</v>
      </c>
      <c r="I423" s="835" t="s">
        <v>103</v>
      </c>
      <c r="J423" s="835" t="s">
        <v>178</v>
      </c>
      <c r="K423" s="835" t="s">
        <v>199</v>
      </c>
      <c r="L423" s="834" t="s">
        <v>206</v>
      </c>
      <c r="M423" s="834" t="s">
        <v>105</v>
      </c>
      <c r="N423" s="834" t="s">
        <v>107</v>
      </c>
      <c r="O423" s="835" t="s">
        <v>98</v>
      </c>
      <c r="P423" s="835" t="s">
        <v>106</v>
      </c>
      <c r="Q423" s="835" t="s">
        <v>179</v>
      </c>
      <c r="R423" s="835" t="s">
        <v>198</v>
      </c>
      <c r="S423" s="834" t="s">
        <v>207</v>
      </c>
      <c r="T423" s="834" t="s">
        <v>182</v>
      </c>
      <c r="U423" s="834" t="s">
        <v>184</v>
      </c>
      <c r="V423" s="835" t="s">
        <v>221</v>
      </c>
      <c r="W423" s="835" t="s">
        <v>222</v>
      </c>
      <c r="X423" s="835" t="s">
        <v>255</v>
      </c>
      <c r="Y423" s="835" t="s">
        <v>256</v>
      </c>
      <c r="Z423" s="835" t="s">
        <v>266</v>
      </c>
      <c r="AA423" s="835" t="s">
        <v>267</v>
      </c>
      <c r="AB423" s="836"/>
      <c r="AC423" s="837"/>
      <c r="AD423" s="823"/>
      <c r="AE423" s="823"/>
      <c r="AF423" s="823"/>
      <c r="AG423" s="823"/>
      <c r="AH423" s="823"/>
      <c r="AI423" s="823"/>
      <c r="AJ423" s="838" t="s">
        <v>257</v>
      </c>
      <c r="AK423" s="838" t="s">
        <v>258</v>
      </c>
      <c r="AL423" s="838" t="s">
        <v>259</v>
      </c>
      <c r="AM423" s="838" t="s">
        <v>260</v>
      </c>
      <c r="AN423" s="838" t="s">
        <v>261</v>
      </c>
      <c r="AO423" s="838" t="s">
        <v>262</v>
      </c>
      <c r="AP423" s="838" t="s">
        <v>263</v>
      </c>
      <c r="AQ423" s="838" t="s">
        <v>264</v>
      </c>
      <c r="AR423" s="838" t="s">
        <v>265</v>
      </c>
      <c r="AS423" s="1046" t="s">
        <v>0</v>
      </c>
      <c r="AT423" s="1043"/>
      <c r="AU423" s="834" t="s">
        <v>99</v>
      </c>
      <c r="AV423" s="834" t="s">
        <v>104</v>
      </c>
      <c r="AW423" s="834" t="s">
        <v>206</v>
      </c>
      <c r="AX423" s="834" t="s">
        <v>107</v>
      </c>
      <c r="AY423" s="834" t="s">
        <v>207</v>
      </c>
    </row>
    <row r="424" spans="1:52" s="743" customFormat="1" ht="30" x14ac:dyDescent="0.25">
      <c r="A424" s="1047" t="s">
        <v>9</v>
      </c>
      <c r="B424" s="839" t="s">
        <v>4</v>
      </c>
      <c r="C424" s="840">
        <v>250018.4</v>
      </c>
      <c r="D424" s="840">
        <v>150516.70000000001</v>
      </c>
      <c r="E424" s="840">
        <v>150516.70000000001</v>
      </c>
      <c r="F424" s="840">
        <v>181998.8</v>
      </c>
      <c r="G424" s="840">
        <v>165765.70000000001</v>
      </c>
      <c r="H424" s="840">
        <v>389505</v>
      </c>
      <c r="I424" s="840">
        <v>171975.5</v>
      </c>
      <c r="J424" s="840">
        <v>166078</v>
      </c>
      <c r="K424" s="840">
        <v>124019.2</v>
      </c>
      <c r="L424" s="840">
        <v>224071.2</v>
      </c>
      <c r="M424" s="840">
        <v>193029.1</v>
      </c>
      <c r="N424" s="840">
        <v>438219.9</v>
      </c>
      <c r="O424" s="840">
        <v>83038.8</v>
      </c>
      <c r="P424" s="840">
        <v>276130.40000000002</v>
      </c>
      <c r="Q424" s="840">
        <v>83038.8</v>
      </c>
      <c r="R424" s="840">
        <v>191618.2</v>
      </c>
      <c r="S424" s="840">
        <v>224071.2</v>
      </c>
      <c r="T424" s="840">
        <v>55151</v>
      </c>
      <c r="U424" s="840">
        <v>33090.5</v>
      </c>
      <c r="V424" s="840">
        <v>102196.5</v>
      </c>
      <c r="W424" s="840">
        <v>209496.5</v>
      </c>
      <c r="X424" s="840">
        <v>102196.5</v>
      </c>
      <c r="Y424" s="840">
        <v>209496.5</v>
      </c>
      <c r="Z424" s="840">
        <v>102196.5</v>
      </c>
      <c r="AA424" s="840">
        <v>209496.5</v>
      </c>
      <c r="AB424" s="840">
        <v>4486932.0999999996</v>
      </c>
      <c r="AC424" s="841" t="s">
        <v>4</v>
      </c>
      <c r="AD424" s="824"/>
      <c r="AE424" s="824"/>
      <c r="AF424" s="824"/>
      <c r="AG424" s="824"/>
      <c r="AH424" s="824"/>
      <c r="AI424" s="824"/>
      <c r="AJ424" s="842">
        <v>250018.4</v>
      </c>
      <c r="AK424" s="842">
        <v>150516.70000000001</v>
      </c>
      <c r="AL424" s="842">
        <v>795575</v>
      </c>
      <c r="AM424" s="842">
        <v>1192244.6000000001</v>
      </c>
      <c r="AN424" s="842">
        <v>855320.2</v>
      </c>
      <c r="AO424" s="842">
        <v>1155015.7</v>
      </c>
      <c r="AP424" s="842">
        <v>88241.5</v>
      </c>
      <c r="AQ424" s="842">
        <v>2497777</v>
      </c>
      <c r="AR424" s="870">
        <v>1989155.1</v>
      </c>
      <c r="AS424" s="875" t="s">
        <v>194</v>
      </c>
      <c r="AT424" s="872" t="s">
        <v>4</v>
      </c>
      <c r="AU424" s="840">
        <v>143393</v>
      </c>
      <c r="AV424" s="840">
        <v>132132</v>
      </c>
      <c r="AW424" s="840">
        <v>83196.100000000006</v>
      </c>
      <c r="AX424" s="840">
        <v>132132.20000000001</v>
      </c>
      <c r="AY424" s="840">
        <v>83196.100000000006</v>
      </c>
    </row>
    <row r="425" spans="1:52" s="743" customFormat="1" x14ac:dyDescent="0.25">
      <c r="A425" s="1047"/>
      <c r="B425" s="844" t="s">
        <v>5</v>
      </c>
      <c r="C425" s="583">
        <v>103983.6</v>
      </c>
      <c r="D425" s="583">
        <v>84443.8</v>
      </c>
      <c r="E425" s="583">
        <v>85783.4</v>
      </c>
      <c r="F425" s="583">
        <v>151357.79999999999</v>
      </c>
      <c r="G425" s="583">
        <v>113030</v>
      </c>
      <c r="H425" s="583">
        <v>210920.2</v>
      </c>
      <c r="I425" s="583">
        <v>125194.6</v>
      </c>
      <c r="J425" s="583">
        <v>48616</v>
      </c>
      <c r="K425" s="583">
        <v>81863.3</v>
      </c>
      <c r="L425" s="583">
        <v>54713.2</v>
      </c>
      <c r="M425" s="583">
        <v>159826.29999999999</v>
      </c>
      <c r="N425" s="583">
        <v>208674.4</v>
      </c>
      <c r="O425" s="583">
        <v>56983.8</v>
      </c>
      <c r="P425" s="583">
        <v>232246.5</v>
      </c>
      <c r="Q425" s="583">
        <v>25163.200000000001</v>
      </c>
      <c r="R425" s="583">
        <v>126010.4</v>
      </c>
      <c r="S425" s="583">
        <v>152696.4</v>
      </c>
      <c r="T425" s="583">
        <v>15990.4</v>
      </c>
      <c r="U425" s="583">
        <v>9456.4</v>
      </c>
      <c r="V425" s="583">
        <v>11256.5</v>
      </c>
      <c r="W425" s="583">
        <v>22512.799999999999</v>
      </c>
      <c r="X425" s="583">
        <v>1302.4000000000001</v>
      </c>
      <c r="Y425" s="583">
        <v>2594</v>
      </c>
      <c r="Z425" s="583">
        <v>3.1</v>
      </c>
      <c r="AA425" s="583">
        <v>6</v>
      </c>
      <c r="AB425" s="845">
        <v>2084628.4999999998</v>
      </c>
      <c r="AC425" s="846" t="s">
        <v>5</v>
      </c>
      <c r="AD425" s="825"/>
      <c r="AE425" s="825"/>
      <c r="AF425" s="825"/>
      <c r="AG425" s="825"/>
      <c r="AH425" s="825"/>
      <c r="AI425" s="825"/>
      <c r="AJ425" s="847">
        <v>103983.6</v>
      </c>
      <c r="AK425" s="847">
        <v>84443.8</v>
      </c>
      <c r="AL425" s="847">
        <v>416991.2</v>
      </c>
      <c r="AM425" s="842">
        <v>478305.6</v>
      </c>
      <c r="AN425" s="842">
        <v>521197.1</v>
      </c>
      <c r="AO425" s="842">
        <v>454260.4</v>
      </c>
      <c r="AP425" s="842">
        <v>25446.799999999999</v>
      </c>
      <c r="AQ425" s="842">
        <v>1017009.8</v>
      </c>
      <c r="AR425" s="870">
        <v>1067618.7</v>
      </c>
      <c r="AS425" s="876"/>
      <c r="AT425" s="873" t="s">
        <v>5</v>
      </c>
      <c r="AU425" s="583">
        <v>51964.9</v>
      </c>
      <c r="AV425" s="583">
        <v>58542</v>
      </c>
      <c r="AW425" s="583">
        <v>2519</v>
      </c>
      <c r="AX425" s="583">
        <v>70731</v>
      </c>
      <c r="AY425" s="583">
        <v>31444.9</v>
      </c>
    </row>
    <row r="426" spans="1:52" s="743" customFormat="1" x14ac:dyDescent="0.25">
      <c r="A426" s="1047"/>
      <c r="B426" s="848" t="s">
        <v>3</v>
      </c>
      <c r="C426" s="849">
        <v>0.41590378948109424</v>
      </c>
      <c r="D426" s="849">
        <v>0.56102611869646357</v>
      </c>
      <c r="E426" s="849">
        <v>0.56992612779844354</v>
      </c>
      <c r="F426" s="850">
        <v>0.8316417470884423</v>
      </c>
      <c r="G426" s="849">
        <v>0.68186603139250157</v>
      </c>
      <c r="H426" s="849">
        <v>0.54150832466848953</v>
      </c>
      <c r="I426" s="849">
        <v>0.7279792761178191</v>
      </c>
      <c r="J426" s="849">
        <v>0.29272992208480353</v>
      </c>
      <c r="K426" s="849">
        <v>0.66008569640829806</v>
      </c>
      <c r="L426" s="849">
        <v>0.24417774350295796</v>
      </c>
      <c r="M426" s="850">
        <v>0.82799070192007307</v>
      </c>
      <c r="N426" s="849">
        <v>0.47618649906131599</v>
      </c>
      <c r="O426" s="849">
        <v>0.68623101489905924</v>
      </c>
      <c r="P426" s="849">
        <v>0.8410754484113302</v>
      </c>
      <c r="Q426" s="849">
        <v>0.30302942720752224</v>
      </c>
      <c r="R426" s="849">
        <v>0.65761185524130794</v>
      </c>
      <c r="S426" s="849">
        <v>0.68146374902263207</v>
      </c>
      <c r="T426" s="849">
        <v>0.28993853239288497</v>
      </c>
      <c r="U426" s="849">
        <v>0.28577386258896059</v>
      </c>
      <c r="V426" s="849">
        <v>0.11014565078060404</v>
      </c>
      <c r="W426" s="849">
        <v>0.10746146116999568</v>
      </c>
      <c r="X426" s="849">
        <v>1.274407636269344E-2</v>
      </c>
      <c r="Y426" s="849">
        <v>1.2382068435510856E-2</v>
      </c>
      <c r="Z426" s="849">
        <v>3.0333719843634569E-5</v>
      </c>
      <c r="AA426" s="849">
        <v>2.8640096612592574E-5</v>
      </c>
      <c r="AB426" s="851">
        <v>0.46459996575388335</v>
      </c>
      <c r="AC426" s="852" t="s">
        <v>3</v>
      </c>
      <c r="AD426" s="826"/>
      <c r="AE426" s="826"/>
      <c r="AF426" s="826"/>
      <c r="AG426" s="826"/>
      <c r="AH426" s="826"/>
      <c r="AI426" s="826"/>
      <c r="AJ426" s="853">
        <v>0.41590378948109424</v>
      </c>
      <c r="AK426" s="853">
        <v>0.56102611869646357</v>
      </c>
      <c r="AL426" s="853">
        <v>0.52413813908179618</v>
      </c>
      <c r="AM426" s="853">
        <v>0.40118076441696604</v>
      </c>
      <c r="AN426" s="853">
        <v>0.60935904471798985</v>
      </c>
      <c r="AO426" s="853">
        <v>0.39329370154881882</v>
      </c>
      <c r="AP426" s="853">
        <v>0.28837678416618029</v>
      </c>
      <c r="AQ426" s="853">
        <v>0.40716597198228666</v>
      </c>
      <c r="AR426" s="871">
        <v>0.53671968565950434</v>
      </c>
      <c r="AS426" s="876"/>
      <c r="AT426" s="874" t="s">
        <v>3</v>
      </c>
      <c r="AU426" s="849">
        <f>AU425/AU424</f>
        <v>0.36239495651810061</v>
      </c>
      <c r="AV426" s="849">
        <f>AV425/AV424</f>
        <v>0.44305694305694304</v>
      </c>
      <c r="AW426" s="849">
        <f>AW425/AW424</f>
        <v>3.0277861582453984E-2</v>
      </c>
      <c r="AX426" s="849">
        <f>AX425/AX424</f>
        <v>0.53530479322981073</v>
      </c>
      <c r="AY426" s="849">
        <f>AY425/AY424</f>
        <v>0.37796122654787906</v>
      </c>
    </row>
    <row r="427" spans="1:52" s="743" customFormat="1" ht="30" x14ac:dyDescent="0.25">
      <c r="A427" s="1040" t="s">
        <v>6</v>
      </c>
      <c r="B427" s="854" t="s">
        <v>7</v>
      </c>
      <c r="C427" s="840">
        <v>5741</v>
      </c>
      <c r="D427" s="840">
        <v>3653</v>
      </c>
      <c r="E427" s="840">
        <v>3650</v>
      </c>
      <c r="F427" s="840">
        <v>9450</v>
      </c>
      <c r="G427" s="840">
        <v>8432</v>
      </c>
      <c r="H427" s="840">
        <v>15703</v>
      </c>
      <c r="I427" s="840">
        <v>8405</v>
      </c>
      <c r="J427" s="840">
        <v>9599</v>
      </c>
      <c r="K427" s="840">
        <v>7072</v>
      </c>
      <c r="L427" s="840">
        <v>9423</v>
      </c>
      <c r="M427" s="840">
        <v>8889</v>
      </c>
      <c r="N427" s="840">
        <v>11924</v>
      </c>
      <c r="O427" s="840">
        <v>4357</v>
      </c>
      <c r="P427" s="840">
        <v>10857</v>
      </c>
      <c r="Q427" s="840">
        <v>4799</v>
      </c>
      <c r="R427" s="840">
        <v>9711</v>
      </c>
      <c r="S427" s="840">
        <v>11666</v>
      </c>
      <c r="T427" s="855">
        <v>2480</v>
      </c>
      <c r="U427" s="855">
        <v>1570</v>
      </c>
      <c r="V427" s="840">
        <v>3999</v>
      </c>
      <c r="W427" s="840">
        <v>7999</v>
      </c>
      <c r="X427" s="840">
        <v>3999</v>
      </c>
      <c r="Y427" s="840">
        <v>7999</v>
      </c>
      <c r="Z427" s="840">
        <v>3999</v>
      </c>
      <c r="AA427" s="840">
        <v>7999</v>
      </c>
      <c r="AB427" s="840">
        <v>183375</v>
      </c>
      <c r="AC427" s="856" t="s">
        <v>7</v>
      </c>
      <c r="AD427" s="827"/>
      <c r="AE427" s="827"/>
      <c r="AF427" s="827"/>
      <c r="AG427" s="827"/>
      <c r="AH427" s="827"/>
      <c r="AI427" s="827"/>
      <c r="AJ427" s="842">
        <v>5741</v>
      </c>
      <c r="AK427" s="842">
        <v>3653</v>
      </c>
      <c r="AL427" s="842">
        <v>34576</v>
      </c>
      <c r="AM427" s="842">
        <v>53155</v>
      </c>
      <c r="AN427" s="842">
        <v>32479</v>
      </c>
      <c r="AO427" s="842">
        <v>49721</v>
      </c>
      <c r="AP427" s="842">
        <v>4050</v>
      </c>
      <c r="AQ427" s="842">
        <v>106529</v>
      </c>
      <c r="AR427" s="870">
        <v>76846</v>
      </c>
      <c r="AS427" s="880" t="s">
        <v>190</v>
      </c>
      <c r="AT427" s="879" t="s">
        <v>4</v>
      </c>
      <c r="AU427" s="857">
        <v>9191.7999999999993</v>
      </c>
      <c r="AV427" s="857">
        <v>13787.7</v>
      </c>
      <c r="AW427" s="857">
        <v>8804.7999999999993</v>
      </c>
      <c r="AX427" s="857">
        <v>13787.7</v>
      </c>
      <c r="AY427" s="857">
        <v>8804.7999999999993</v>
      </c>
    </row>
    <row r="428" spans="1:52" s="743" customFormat="1" x14ac:dyDescent="0.25">
      <c r="A428" s="1040"/>
      <c r="B428" s="839" t="s">
        <v>11</v>
      </c>
      <c r="C428" s="858">
        <v>193569.29699999999</v>
      </c>
      <c r="D428" s="858">
        <v>123168.201</v>
      </c>
      <c r="E428" s="858">
        <v>123067.04999999999</v>
      </c>
      <c r="F428" s="858">
        <v>318625.64999999997</v>
      </c>
      <c r="G428" s="858">
        <v>284301.74400000001</v>
      </c>
      <c r="H428" s="858">
        <v>529458.05099999998</v>
      </c>
      <c r="I428" s="858">
        <v>283391.38500000001</v>
      </c>
      <c r="J428" s="858">
        <v>323649.48300000001</v>
      </c>
      <c r="K428" s="858">
        <v>238446.62399999998</v>
      </c>
      <c r="L428" s="858">
        <v>317715.29099999997</v>
      </c>
      <c r="M428" s="858">
        <v>299710.413</v>
      </c>
      <c r="N428" s="858">
        <v>402041.50799999997</v>
      </c>
      <c r="O428" s="858">
        <v>146904.96899999998</v>
      </c>
      <c r="P428" s="858">
        <v>366065.46899999998</v>
      </c>
      <c r="Q428" s="858">
        <v>161807.883</v>
      </c>
      <c r="R428" s="858">
        <v>327425.78700000001</v>
      </c>
      <c r="S428" s="858">
        <v>393342.522</v>
      </c>
      <c r="T428" s="858">
        <v>83618.16</v>
      </c>
      <c r="U428" s="858">
        <v>52935.689999999995</v>
      </c>
      <c r="V428" s="858">
        <v>134834.283</v>
      </c>
      <c r="W428" s="858">
        <v>269702.283</v>
      </c>
      <c r="X428" s="858">
        <v>134834.283</v>
      </c>
      <c r="Y428" s="858">
        <v>269702.283</v>
      </c>
      <c r="Z428" s="858">
        <v>134834.283</v>
      </c>
      <c r="AA428" s="858">
        <v>269702.283</v>
      </c>
      <c r="AB428" s="859">
        <v>6182854.8749999991</v>
      </c>
      <c r="AC428" s="841" t="s">
        <v>11</v>
      </c>
      <c r="AD428" s="824"/>
      <c r="AE428" s="824"/>
      <c r="AF428" s="824"/>
      <c r="AG428" s="824"/>
      <c r="AH428" s="824"/>
      <c r="AI428" s="824"/>
      <c r="AJ428" s="860">
        <v>193569.29699999999</v>
      </c>
      <c r="AK428" s="860">
        <v>123168.201</v>
      </c>
      <c r="AL428" s="860">
        <v>1165798.9919999999</v>
      </c>
      <c r="AM428" s="860">
        <v>1792227.135</v>
      </c>
      <c r="AN428" s="860">
        <v>1095094.443</v>
      </c>
      <c r="AO428" s="860">
        <v>1676442.9569999999</v>
      </c>
      <c r="AP428" s="860">
        <v>136553.85</v>
      </c>
      <c r="AQ428" s="860">
        <v>3591838.2930000001</v>
      </c>
      <c r="AR428" s="878">
        <v>2591016.5819999999</v>
      </c>
      <c r="AS428" s="876"/>
      <c r="AT428" s="873" t="s">
        <v>5</v>
      </c>
      <c r="AU428" s="583">
        <v>7975.5</v>
      </c>
      <c r="AV428" s="583">
        <v>13649</v>
      </c>
      <c r="AW428" s="583">
        <v>1289.9000000000001</v>
      </c>
      <c r="AX428" s="583">
        <v>13642</v>
      </c>
      <c r="AY428" s="583">
        <v>5483.9</v>
      </c>
    </row>
    <row r="429" spans="1:52" s="743" customFormat="1" x14ac:dyDescent="0.25">
      <c r="A429" s="1040"/>
      <c r="B429" s="839" t="s">
        <v>79</v>
      </c>
      <c r="C429" s="858">
        <v>164000</v>
      </c>
      <c r="D429" s="858">
        <v>109880</v>
      </c>
      <c r="E429" s="858">
        <v>109880</v>
      </c>
      <c r="F429" s="858">
        <v>328000</v>
      </c>
      <c r="G429" s="858">
        <v>330905</v>
      </c>
      <c r="H429" s="858">
        <v>264264</v>
      </c>
      <c r="I429" s="858">
        <v>242663.6</v>
      </c>
      <c r="J429" s="858">
        <v>328000</v>
      </c>
      <c r="K429" s="858">
        <v>328000</v>
      </c>
      <c r="L429" s="858">
        <v>328000</v>
      </c>
      <c r="M429" s="858">
        <v>328000</v>
      </c>
      <c r="N429" s="858">
        <v>264264.40000000002</v>
      </c>
      <c r="O429" s="858">
        <v>328000</v>
      </c>
      <c r="P429" s="858">
        <v>352965.4</v>
      </c>
      <c r="Q429" s="858">
        <v>328000</v>
      </c>
      <c r="R429" s="858">
        <v>328000</v>
      </c>
      <c r="S429" s="858">
        <v>328000</v>
      </c>
      <c r="T429" s="858">
        <v>110302</v>
      </c>
      <c r="U429" s="858">
        <v>66181</v>
      </c>
      <c r="V429" s="858">
        <v>204393</v>
      </c>
      <c r="W429" s="858">
        <v>418993</v>
      </c>
      <c r="X429" s="858">
        <v>204393</v>
      </c>
      <c r="Y429" s="858">
        <v>418993</v>
      </c>
      <c r="Z429" s="858">
        <v>204393</v>
      </c>
      <c r="AA429" s="858">
        <v>418993</v>
      </c>
      <c r="AB429" s="859">
        <v>6837463.4000000004</v>
      </c>
      <c r="AC429" s="841" t="s">
        <v>79</v>
      </c>
      <c r="AD429" s="824"/>
      <c r="AE429" s="824"/>
      <c r="AF429" s="824"/>
      <c r="AG429" s="824"/>
      <c r="AH429" s="824"/>
      <c r="AI429" s="824"/>
      <c r="AJ429" s="860">
        <v>500036.8</v>
      </c>
      <c r="AK429" s="860">
        <v>301033.40000000002</v>
      </c>
      <c r="AL429" s="860">
        <v>1591150</v>
      </c>
      <c r="AM429" s="860">
        <v>2384489.2000000002</v>
      </c>
      <c r="AN429" s="860">
        <v>1710640.4</v>
      </c>
      <c r="AO429" s="860">
        <v>2310031.4</v>
      </c>
      <c r="AP429" s="860">
        <v>176483</v>
      </c>
      <c r="AQ429" s="860">
        <v>4995554</v>
      </c>
      <c r="AR429" s="878">
        <v>3978310.2</v>
      </c>
      <c r="AS429" s="877"/>
      <c r="AT429" s="874" t="s">
        <v>3</v>
      </c>
      <c r="AU429" s="849">
        <f>AU428/AU427</f>
        <v>0.86767553689157739</v>
      </c>
      <c r="AV429" s="849">
        <f>AV428/AV427</f>
        <v>0.98994030911609621</v>
      </c>
      <c r="AW429" s="849">
        <f>AW428/AW427</f>
        <v>0.14649963656187537</v>
      </c>
      <c r="AX429" s="849">
        <f>AX428/AX427</f>
        <v>0.98943261022505558</v>
      </c>
      <c r="AY429" s="849">
        <f>AY428/AY427</f>
        <v>0.62283072869343992</v>
      </c>
    </row>
    <row r="430" spans="1:52" s="743" customFormat="1" ht="30" x14ac:dyDescent="0.25">
      <c r="A430" s="1040"/>
      <c r="B430" s="844" t="s">
        <v>8</v>
      </c>
      <c r="C430" s="861">
        <v>5397</v>
      </c>
      <c r="D430" s="861">
        <v>2972</v>
      </c>
      <c r="E430" s="861">
        <v>2998</v>
      </c>
      <c r="F430" s="861">
        <v>7701</v>
      </c>
      <c r="G430" s="861">
        <v>3356</v>
      </c>
      <c r="H430" s="861">
        <v>13614</v>
      </c>
      <c r="I430" s="861">
        <v>7093</v>
      </c>
      <c r="J430" s="861">
        <v>1379</v>
      </c>
      <c r="K430" s="861">
        <v>5848</v>
      </c>
      <c r="L430" s="861">
        <v>5435</v>
      </c>
      <c r="M430" s="861">
        <v>7623</v>
      </c>
      <c r="N430" s="861">
        <v>10872</v>
      </c>
      <c r="O430" s="861">
        <v>3430</v>
      </c>
      <c r="P430" s="861">
        <v>8276</v>
      </c>
      <c r="Q430" s="861">
        <v>1827</v>
      </c>
      <c r="R430" s="861">
        <v>4451</v>
      </c>
      <c r="S430" s="861">
        <v>9483</v>
      </c>
      <c r="T430" s="598">
        <v>1716</v>
      </c>
      <c r="U430" s="598">
        <v>1103</v>
      </c>
      <c r="V430" s="861">
        <v>1848</v>
      </c>
      <c r="W430" s="861">
        <v>2480</v>
      </c>
      <c r="X430" s="861">
        <v>420</v>
      </c>
      <c r="Y430" s="861">
        <v>611</v>
      </c>
      <c r="Z430" s="861">
        <v>469</v>
      </c>
      <c r="AA430" s="861">
        <v>933</v>
      </c>
      <c r="AB430" s="840">
        <v>111335</v>
      </c>
      <c r="AC430" s="846" t="s">
        <v>8</v>
      </c>
      <c r="AD430" s="825"/>
      <c r="AE430" s="825"/>
      <c r="AF430" s="825"/>
      <c r="AG430" s="825"/>
      <c r="AH430" s="825"/>
      <c r="AI430" s="825"/>
      <c r="AJ430" s="862">
        <v>5397</v>
      </c>
      <c r="AK430" s="862">
        <v>2972</v>
      </c>
      <c r="AL430" s="862">
        <v>26750</v>
      </c>
      <c r="AM430" s="842">
        <v>24043</v>
      </c>
      <c r="AN430" s="842">
        <v>27978</v>
      </c>
      <c r="AO430" s="842">
        <v>21376</v>
      </c>
      <c r="AP430" s="842">
        <v>2819</v>
      </c>
      <c r="AQ430" s="842">
        <v>48391</v>
      </c>
      <c r="AR430" s="842">
        <v>62944</v>
      </c>
      <c r="AS430" s="877" t="s">
        <v>191</v>
      </c>
      <c r="AT430" s="839" t="s">
        <v>4</v>
      </c>
      <c r="AU430" s="840">
        <v>97433.600000000006</v>
      </c>
      <c r="AV430" s="840">
        <v>243584.4</v>
      </c>
      <c r="AW430" s="840">
        <v>132070.29999999999</v>
      </c>
      <c r="AX430" s="840">
        <v>292299.3</v>
      </c>
      <c r="AY430" s="840">
        <v>132070.39999999999</v>
      </c>
    </row>
    <row r="431" spans="1:52" s="743" customFormat="1" x14ac:dyDescent="0.25">
      <c r="A431" s="1040"/>
      <c r="B431" s="839" t="s">
        <v>77</v>
      </c>
      <c r="C431" s="858">
        <v>181970.649</v>
      </c>
      <c r="D431" s="858">
        <v>100206.924</v>
      </c>
      <c r="E431" s="858">
        <v>101083.56599999999</v>
      </c>
      <c r="F431" s="858">
        <v>259654.617</v>
      </c>
      <c r="G431" s="858">
        <v>113154.25199999999</v>
      </c>
      <c r="H431" s="858">
        <v>459023.23799999995</v>
      </c>
      <c r="I431" s="858">
        <v>239154.68099999998</v>
      </c>
      <c r="J431" s="858">
        <v>46495.742999999995</v>
      </c>
      <c r="K431" s="858">
        <v>197177.016</v>
      </c>
      <c r="L431" s="858">
        <v>183251.89499999999</v>
      </c>
      <c r="M431" s="858">
        <v>257024.69099999999</v>
      </c>
      <c r="N431" s="858">
        <v>366571.22399999999</v>
      </c>
      <c r="O431" s="858">
        <v>115649.31</v>
      </c>
      <c r="P431" s="858">
        <v>190905.65399999998</v>
      </c>
      <c r="Q431" s="858">
        <v>61600.958999999995</v>
      </c>
      <c r="R431" s="858">
        <v>150074.367</v>
      </c>
      <c r="S431" s="858">
        <v>319738.31099999999</v>
      </c>
      <c r="T431" s="863">
        <v>57858.371999999996</v>
      </c>
      <c r="U431" s="863">
        <v>37189.850999999995</v>
      </c>
      <c r="V431" s="863">
        <v>62309.015999999996</v>
      </c>
      <c r="W431" s="863">
        <v>83618.16</v>
      </c>
      <c r="X431" s="863">
        <v>14161.14</v>
      </c>
      <c r="Y431" s="863">
        <v>20601.087</v>
      </c>
      <c r="Z431" s="863">
        <v>15813.272999999999</v>
      </c>
      <c r="AA431" s="863">
        <v>31457.960999999999</v>
      </c>
      <c r="AB431" s="864">
        <v>3665745.9569999999</v>
      </c>
      <c r="AC431" s="841" t="s">
        <v>77</v>
      </c>
      <c r="AD431" s="824"/>
      <c r="AE431" s="824"/>
      <c r="AF431" s="824"/>
      <c r="AG431" s="824"/>
      <c r="AH431" s="824"/>
      <c r="AI431" s="824"/>
      <c r="AJ431" s="865">
        <v>181970.649</v>
      </c>
      <c r="AK431" s="865">
        <v>100206.924</v>
      </c>
      <c r="AL431" s="865">
        <v>901929.75</v>
      </c>
      <c r="AM431" s="865">
        <v>810657.83100000001</v>
      </c>
      <c r="AN431" s="865">
        <v>943334.22599999991</v>
      </c>
      <c r="AO431" s="865">
        <v>720734.59199999995</v>
      </c>
      <c r="AP431" s="865">
        <v>95048.222999999998</v>
      </c>
      <c r="AQ431" s="865">
        <v>1631599.3469999998</v>
      </c>
      <c r="AR431" s="865">
        <v>2122282.8479999998</v>
      </c>
      <c r="AS431" s="884"/>
      <c r="AT431" s="844" t="s">
        <v>5</v>
      </c>
      <c r="AU431" s="583">
        <v>38973.199999999997</v>
      </c>
      <c r="AV431" s="583">
        <v>124350.5</v>
      </c>
      <c r="AW431" s="583">
        <v>3817.1</v>
      </c>
      <c r="AX431" s="583">
        <v>109009</v>
      </c>
      <c r="AY431" s="583">
        <v>33401</v>
      </c>
    </row>
    <row r="432" spans="1:52" s="743" customFormat="1" x14ac:dyDescent="0.25">
      <c r="A432" s="1040"/>
      <c r="B432" s="848" t="s">
        <v>217</v>
      </c>
      <c r="C432" s="849">
        <v>0.72782902778355518</v>
      </c>
      <c r="D432" s="849">
        <v>0.66575286330354033</v>
      </c>
      <c r="E432" s="866">
        <v>0.67157708081561707</v>
      </c>
      <c r="F432" s="866">
        <v>1.4266831264821527</v>
      </c>
      <c r="G432" s="866">
        <v>0.68261559538553507</v>
      </c>
      <c r="H432" s="866">
        <v>1.1784784226133167</v>
      </c>
      <c r="I432" s="866">
        <v>1.3906322761090968</v>
      </c>
      <c r="J432" s="866">
        <v>0.27996328833439704</v>
      </c>
      <c r="K432" s="866">
        <v>1.589891049127877</v>
      </c>
      <c r="L432" s="866">
        <v>0.81782886421815915</v>
      </c>
      <c r="M432" s="866">
        <v>1.3315333853807534</v>
      </c>
      <c r="N432" s="866">
        <v>0.83650063358601467</v>
      </c>
      <c r="O432" s="866">
        <v>1.3927141288168903</v>
      </c>
      <c r="P432" s="866">
        <v>0.69136050938252347</v>
      </c>
      <c r="Q432" s="866">
        <v>0.74183344412491503</v>
      </c>
      <c r="R432" s="866">
        <v>0.78319474350557505</v>
      </c>
      <c r="S432" s="866">
        <v>1.4269496079817485</v>
      </c>
      <c r="T432" s="849">
        <v>1.0490901706224727</v>
      </c>
      <c r="U432" s="849">
        <v>1.1238830177845605</v>
      </c>
      <c r="V432" s="849">
        <v>0.6096981403472721</v>
      </c>
      <c r="W432" s="849">
        <v>0.39913869682787068</v>
      </c>
      <c r="X432" s="849">
        <v>0.13856775916983458</v>
      </c>
      <c r="Y432" s="849">
        <v>9.8336187000737485E-2</v>
      </c>
      <c r="Z432" s="849">
        <v>0.1547339977396486</v>
      </c>
      <c r="AA432" s="849">
        <v>0.15015984037919489</v>
      </c>
      <c r="AB432" s="851">
        <v>0.81698271230803787</v>
      </c>
      <c r="AC432" s="852" t="s">
        <v>217</v>
      </c>
      <c r="AD432" s="826"/>
      <c r="AE432" s="826"/>
      <c r="AF432" s="826"/>
      <c r="AG432" s="826"/>
      <c r="AH432" s="826"/>
      <c r="AI432" s="826"/>
      <c r="AJ432" s="853">
        <v>0.72782902778355518</v>
      </c>
      <c r="AK432" s="853">
        <v>0.66575286330354033</v>
      </c>
      <c r="AL432" s="853">
        <v>1.1336828708795526</v>
      </c>
      <c r="AM432" s="853">
        <v>0.67994254786308106</v>
      </c>
      <c r="AN432" s="853">
        <v>1.1029018442449974</v>
      </c>
      <c r="AO432" s="853">
        <v>0.62400415163187828</v>
      </c>
      <c r="AP432" s="853">
        <v>1.0771374353337149</v>
      </c>
      <c r="AQ432" s="853">
        <v>0.65322058254199633</v>
      </c>
      <c r="AR432" s="853">
        <v>1.0669267811243073</v>
      </c>
      <c r="AS432" s="884"/>
      <c r="AT432" s="848" t="s">
        <v>3</v>
      </c>
      <c r="AU432" s="849">
        <f>AU431/AU430</f>
        <v>0.39999753678402516</v>
      </c>
      <c r="AV432" s="849">
        <f>AV431/AV430</f>
        <v>0.51050272513346506</v>
      </c>
      <c r="AW432" s="849">
        <f>AW431/AW430</f>
        <v>2.8902031720984961E-2</v>
      </c>
      <c r="AX432" s="849">
        <f>AX431/AX430</f>
        <v>0.37293623351133581</v>
      </c>
      <c r="AY432" s="849">
        <f>AY431/AY430</f>
        <v>0.25290299718937781</v>
      </c>
    </row>
    <row r="433" spans="1:51" s="743" customFormat="1" x14ac:dyDescent="0.25">
      <c r="A433" s="884"/>
      <c r="B433" s="848" t="s">
        <v>218</v>
      </c>
      <c r="C433" s="598">
        <v>171500</v>
      </c>
      <c r="D433" s="598">
        <v>99801.7</v>
      </c>
      <c r="E433" s="598">
        <v>100678</v>
      </c>
      <c r="F433" s="598">
        <v>241657</v>
      </c>
      <c r="G433" s="598">
        <v>110866</v>
      </c>
      <c r="H433" s="598">
        <v>443950</v>
      </c>
      <c r="I433" s="598">
        <v>164406</v>
      </c>
      <c r="J433" s="598">
        <v>46535.5</v>
      </c>
      <c r="K433" s="598">
        <v>138759</v>
      </c>
      <c r="L433" s="598">
        <v>183630</v>
      </c>
      <c r="M433" s="598">
        <v>253063</v>
      </c>
      <c r="N433" s="598">
        <v>366652</v>
      </c>
      <c r="O433" s="598">
        <v>115691</v>
      </c>
      <c r="P433" s="598">
        <v>160623</v>
      </c>
      <c r="Q433" s="598">
        <v>61651.1</v>
      </c>
      <c r="R433" s="598">
        <v>136851</v>
      </c>
      <c r="S433" s="598">
        <v>319908</v>
      </c>
      <c r="T433" s="598">
        <v>57858.1</v>
      </c>
      <c r="U433" s="598">
        <v>37189.699999999997</v>
      </c>
      <c r="V433" s="598">
        <v>62342.5</v>
      </c>
      <c r="W433" s="598">
        <v>62342.5</v>
      </c>
      <c r="X433" s="598">
        <v>14205.3</v>
      </c>
      <c r="Y433" s="598">
        <v>14171.6</v>
      </c>
      <c r="Z433" s="598">
        <v>15847</v>
      </c>
      <c r="AA433" s="598">
        <v>15847</v>
      </c>
      <c r="AB433" s="867">
        <v>3396026.0000000005</v>
      </c>
      <c r="AC433" s="852" t="s">
        <v>218</v>
      </c>
      <c r="AD433" s="826"/>
      <c r="AE433" s="826"/>
      <c r="AF433" s="826"/>
      <c r="AG433" s="826"/>
      <c r="AH433" s="826"/>
      <c r="AI433" s="826"/>
      <c r="AJ433" s="868">
        <v>171500</v>
      </c>
      <c r="AK433" s="868">
        <v>99801.7</v>
      </c>
      <c r="AL433" s="868">
        <v>869237</v>
      </c>
      <c r="AM433" s="842">
        <v>653639.30000000005</v>
      </c>
      <c r="AN433" s="842">
        <v>939623</v>
      </c>
      <c r="AO433" s="842">
        <v>567177.19999999995</v>
      </c>
      <c r="AP433" s="842">
        <v>95047.799999999988</v>
      </c>
      <c r="AQ433" s="842">
        <v>1320618.2</v>
      </c>
      <c r="AR433" s="842">
        <v>2075407.8</v>
      </c>
      <c r="AS433" s="884" t="s">
        <v>219</v>
      </c>
      <c r="AT433" s="848" t="s">
        <v>3</v>
      </c>
      <c r="AU433" s="849">
        <f>(AU426+AU432)/2</f>
        <v>0.38119624665106289</v>
      </c>
      <c r="AV433" s="849">
        <f t="shared" ref="AV433:AY433" si="86">(AV426+AV432)/2</f>
        <v>0.47677983409520408</v>
      </c>
      <c r="AW433" s="849">
        <f t="shared" si="86"/>
        <v>2.9589946651719472E-2</v>
      </c>
      <c r="AX433" s="849">
        <f t="shared" si="86"/>
        <v>0.45412051337057324</v>
      </c>
      <c r="AY433" s="849">
        <f t="shared" si="86"/>
        <v>0.31543211186862841</v>
      </c>
    </row>
    <row r="434" spans="1:51" s="743" customFormat="1" x14ac:dyDescent="0.25">
      <c r="A434" s="884"/>
      <c r="B434" s="848" t="s">
        <v>216</v>
      </c>
      <c r="C434" s="866">
        <v>0.68594951411576111</v>
      </c>
      <c r="D434" s="866">
        <v>0.66306064376909668</v>
      </c>
      <c r="E434" s="866">
        <v>0.66888258910805243</v>
      </c>
      <c r="F434" s="866">
        <v>1.3277944689745207</v>
      </c>
      <c r="G434" s="866">
        <v>0.66881146099585131</v>
      </c>
      <c r="H434" s="866">
        <v>1.139779977150486</v>
      </c>
      <c r="I434" s="866">
        <v>0.95598500949263121</v>
      </c>
      <c r="J434" s="866">
        <v>0.28020267585110609</v>
      </c>
      <c r="K434" s="866">
        <v>1.1188509521106409</v>
      </c>
      <c r="L434" s="866">
        <v>0.81951629660572167</v>
      </c>
      <c r="M434" s="866">
        <v>1.3110095835291156</v>
      </c>
      <c r="N434" s="866">
        <v>0.83668496113480917</v>
      </c>
      <c r="O434" s="866">
        <v>1.3932161832781784</v>
      </c>
      <c r="P434" s="866">
        <v>0.58169256264431579</v>
      </c>
      <c r="Q434" s="866">
        <v>0.74243727028810624</v>
      </c>
      <c r="R434" s="866">
        <v>0.71418581324738462</v>
      </c>
      <c r="S434" s="866">
        <v>1.4277069074472757</v>
      </c>
      <c r="T434" s="866">
        <v>1.0490852387082736</v>
      </c>
      <c r="U434" s="866">
        <v>1.1238784545413336</v>
      </c>
      <c r="V434" s="866">
        <v>0.6100257836618671</v>
      </c>
      <c r="W434" s="866">
        <v>0.29758253717842542</v>
      </c>
      <c r="X434" s="866">
        <v>0.13899986790154262</v>
      </c>
      <c r="Y434" s="866">
        <v>6.7645998859169484E-2</v>
      </c>
      <c r="Z434" s="866">
        <v>0.15506401882647644</v>
      </c>
      <c r="AA434" s="866">
        <v>7.5643268503292421E-2</v>
      </c>
      <c r="AB434" s="869">
        <v>0.75687037920631794</v>
      </c>
      <c r="AC434" s="852" t="s">
        <v>216</v>
      </c>
      <c r="AD434" s="826"/>
      <c r="AE434" s="826"/>
      <c r="AF434" s="826"/>
      <c r="AG434" s="826"/>
      <c r="AH434" s="826"/>
      <c r="AI434" s="826"/>
      <c r="AJ434" s="853">
        <v>0.68594951411576111</v>
      </c>
      <c r="AK434" s="853">
        <v>0.66306064376909668</v>
      </c>
      <c r="AL434" s="853">
        <v>1.092589636426484</v>
      </c>
      <c r="AM434" s="853">
        <v>0.54824261732869239</v>
      </c>
      <c r="AN434" s="853">
        <v>1.0985628540048511</v>
      </c>
      <c r="AO434" s="853">
        <v>0.49105583586439561</v>
      </c>
      <c r="AP434" s="853">
        <v>1.0771326416708691</v>
      </c>
      <c r="AQ434" s="853">
        <v>0.52871741552588558</v>
      </c>
      <c r="AR434" s="853">
        <v>1.0433614754324587</v>
      </c>
      <c r="AS434" s="884"/>
      <c r="AT434" s="848"/>
      <c r="AU434" s="849"/>
      <c r="AV434" s="849"/>
      <c r="AW434" s="849"/>
      <c r="AX434" s="849"/>
      <c r="AY434" s="849"/>
    </row>
    <row r="435" spans="1:51" s="743" customFormat="1" x14ac:dyDescent="0.25">
      <c r="A435" s="1041">
        <v>41766</v>
      </c>
      <c r="B435" s="1041"/>
      <c r="C435" s="1041"/>
      <c r="D435" s="529"/>
      <c r="E435" s="529"/>
      <c r="F435" s="529"/>
      <c r="G435" s="529"/>
      <c r="H435" s="529"/>
      <c r="I435" s="525"/>
      <c r="J435" s="531"/>
      <c r="K435" s="531"/>
      <c r="L435" s="529"/>
      <c r="M435" s="529"/>
      <c r="N435" s="527"/>
      <c r="R435" s="526"/>
      <c r="S435" s="534"/>
      <c r="T435" s="534"/>
      <c r="U435" s="534"/>
      <c r="V435" s="534"/>
      <c r="W435" s="534"/>
      <c r="X435" s="534"/>
      <c r="Y435" s="534"/>
      <c r="Z435" s="534"/>
      <c r="AA435" s="534"/>
      <c r="AB435" s="534"/>
      <c r="AC435" s="534"/>
      <c r="AD435" s="534"/>
      <c r="AE435" s="534"/>
      <c r="AF435" s="534"/>
      <c r="AG435" s="534"/>
      <c r="AH435" s="534"/>
      <c r="AI435" s="534"/>
      <c r="AJ435" s="534"/>
      <c r="AK435" s="534"/>
      <c r="AL435" s="534"/>
      <c r="AM435" s="534"/>
      <c r="AN435" s="534"/>
      <c r="AO435" s="534"/>
    </row>
    <row r="436" spans="1:51" s="743" customFormat="1" x14ac:dyDescent="0.25">
      <c r="A436" s="1042" t="s">
        <v>1</v>
      </c>
      <c r="B436" s="1042"/>
      <c r="C436" s="882" t="s">
        <v>12</v>
      </c>
      <c r="D436" s="882" t="s">
        <v>12</v>
      </c>
      <c r="E436" s="882" t="s">
        <v>13</v>
      </c>
      <c r="F436" s="882" t="s">
        <v>13</v>
      </c>
      <c r="G436" s="882" t="s">
        <v>13</v>
      </c>
      <c r="H436" s="882" t="s">
        <v>13</v>
      </c>
      <c r="I436" s="882" t="s">
        <v>13</v>
      </c>
      <c r="J436" s="882" t="s">
        <v>13</v>
      </c>
      <c r="K436" s="882" t="s">
        <v>13</v>
      </c>
      <c r="L436" s="882" t="s">
        <v>13</v>
      </c>
      <c r="M436" s="829" t="s">
        <v>2</v>
      </c>
      <c r="N436" s="882" t="s">
        <v>2</v>
      </c>
      <c r="O436" s="882" t="s">
        <v>2</v>
      </c>
      <c r="P436" s="882" t="s">
        <v>2</v>
      </c>
      <c r="Q436" s="882" t="s">
        <v>2</v>
      </c>
      <c r="R436" s="882" t="s">
        <v>2</v>
      </c>
      <c r="S436" s="882" t="s">
        <v>2</v>
      </c>
      <c r="T436" s="830" t="s">
        <v>183</v>
      </c>
      <c r="U436" s="830" t="s">
        <v>183</v>
      </c>
      <c r="V436" s="830" t="s">
        <v>2</v>
      </c>
      <c r="W436" s="830" t="s">
        <v>13</v>
      </c>
      <c r="X436" s="830" t="s">
        <v>13</v>
      </c>
      <c r="Y436" s="830" t="s">
        <v>2</v>
      </c>
      <c r="Z436" s="830" t="s">
        <v>13</v>
      </c>
      <c r="AA436" s="830" t="s">
        <v>2</v>
      </c>
      <c r="AB436" s="831" t="s">
        <v>219</v>
      </c>
      <c r="AC436" s="832"/>
      <c r="AD436" s="928"/>
      <c r="AE436" s="928"/>
      <c r="AF436" s="928"/>
      <c r="AG436" s="928"/>
      <c r="AH436" s="928"/>
      <c r="AI436" s="928"/>
      <c r="AJ436" s="833"/>
      <c r="AK436" s="833"/>
      <c r="AL436" s="833"/>
      <c r="AM436" s="833"/>
      <c r="AN436" s="833"/>
      <c r="AO436" s="833"/>
      <c r="AP436" s="833"/>
      <c r="AQ436" s="833"/>
      <c r="AR436" s="833"/>
      <c r="AS436" s="1042" t="s">
        <v>1</v>
      </c>
      <c r="AT436" s="1043"/>
      <c r="AU436" s="882" t="s">
        <v>12</v>
      </c>
      <c r="AV436" s="1044" t="s">
        <v>13</v>
      </c>
      <c r="AW436" s="1045"/>
      <c r="AX436" s="1044" t="s">
        <v>2</v>
      </c>
      <c r="AY436" s="1045"/>
    </row>
    <row r="437" spans="1:51" s="743" customFormat="1" x14ac:dyDescent="0.25">
      <c r="A437" s="1042" t="s">
        <v>0</v>
      </c>
      <c r="B437" s="1042"/>
      <c r="C437" s="834" t="s">
        <v>99</v>
      </c>
      <c r="D437" s="835" t="s">
        <v>100</v>
      </c>
      <c r="E437" s="835" t="s">
        <v>101</v>
      </c>
      <c r="F437" s="834" t="s">
        <v>102</v>
      </c>
      <c r="G437" s="835" t="s">
        <v>97</v>
      </c>
      <c r="H437" s="834" t="s">
        <v>104</v>
      </c>
      <c r="I437" s="835" t="s">
        <v>103</v>
      </c>
      <c r="J437" s="835" t="s">
        <v>178</v>
      </c>
      <c r="K437" s="835" t="s">
        <v>199</v>
      </c>
      <c r="L437" s="834" t="s">
        <v>206</v>
      </c>
      <c r="M437" s="834" t="s">
        <v>105</v>
      </c>
      <c r="N437" s="834" t="s">
        <v>107</v>
      </c>
      <c r="O437" s="835" t="s">
        <v>98</v>
      </c>
      <c r="P437" s="835" t="s">
        <v>106</v>
      </c>
      <c r="Q437" s="835" t="s">
        <v>179</v>
      </c>
      <c r="R437" s="835" t="s">
        <v>198</v>
      </c>
      <c r="S437" s="834" t="s">
        <v>207</v>
      </c>
      <c r="T437" s="834" t="s">
        <v>182</v>
      </c>
      <c r="U437" s="834" t="s">
        <v>184</v>
      </c>
      <c r="V437" s="835" t="s">
        <v>221</v>
      </c>
      <c r="W437" s="835" t="s">
        <v>222</v>
      </c>
      <c r="X437" s="835" t="s">
        <v>255</v>
      </c>
      <c r="Y437" s="835" t="s">
        <v>256</v>
      </c>
      <c r="Z437" s="835" t="s">
        <v>266</v>
      </c>
      <c r="AA437" s="835" t="s">
        <v>267</v>
      </c>
      <c r="AB437" s="836"/>
      <c r="AC437" s="837"/>
      <c r="AD437" s="823"/>
      <c r="AE437" s="823"/>
      <c r="AF437" s="823"/>
      <c r="AG437" s="823"/>
      <c r="AH437" s="823"/>
      <c r="AI437" s="823"/>
      <c r="AJ437" s="838" t="s">
        <v>257</v>
      </c>
      <c r="AK437" s="838" t="s">
        <v>258</v>
      </c>
      <c r="AL437" s="838" t="s">
        <v>259</v>
      </c>
      <c r="AM437" s="838" t="s">
        <v>260</v>
      </c>
      <c r="AN437" s="838" t="s">
        <v>261</v>
      </c>
      <c r="AO437" s="838" t="s">
        <v>262</v>
      </c>
      <c r="AP437" s="838" t="s">
        <v>263</v>
      </c>
      <c r="AQ437" s="838" t="s">
        <v>264</v>
      </c>
      <c r="AR437" s="838" t="s">
        <v>265</v>
      </c>
      <c r="AS437" s="1046" t="s">
        <v>0</v>
      </c>
      <c r="AT437" s="1043"/>
      <c r="AU437" s="834" t="s">
        <v>99</v>
      </c>
      <c r="AV437" s="834" t="s">
        <v>104</v>
      </c>
      <c r="AW437" s="834" t="s">
        <v>206</v>
      </c>
      <c r="AX437" s="834" t="s">
        <v>107</v>
      </c>
      <c r="AY437" s="834" t="s">
        <v>207</v>
      </c>
    </row>
    <row r="438" spans="1:51" s="743" customFormat="1" ht="30" x14ac:dyDescent="0.25">
      <c r="A438" s="1047" t="s">
        <v>9</v>
      </c>
      <c r="B438" s="839" t="s">
        <v>4</v>
      </c>
      <c r="C438" s="840">
        <v>250018</v>
      </c>
      <c r="D438" s="840">
        <v>150517</v>
      </c>
      <c r="E438" s="840">
        <v>150517</v>
      </c>
      <c r="F438" s="840">
        <v>181999</v>
      </c>
      <c r="G438" s="840">
        <v>165766</v>
      </c>
      <c r="H438" s="840">
        <v>389505</v>
      </c>
      <c r="I438" s="840">
        <v>171976</v>
      </c>
      <c r="J438" s="840">
        <v>166078</v>
      </c>
      <c r="K438" s="840">
        <v>124019</v>
      </c>
      <c r="L438" s="840">
        <v>224071</v>
      </c>
      <c r="M438" s="840">
        <v>193029</v>
      </c>
      <c r="N438" s="840">
        <v>438220</v>
      </c>
      <c r="O438" s="840">
        <v>83039</v>
      </c>
      <c r="P438" s="840">
        <v>276130</v>
      </c>
      <c r="Q438" s="840">
        <v>83039</v>
      </c>
      <c r="R438" s="840">
        <v>191618</v>
      </c>
      <c r="S438" s="840">
        <v>224071</v>
      </c>
      <c r="T438" s="840">
        <v>55151</v>
      </c>
      <c r="U438" s="840">
        <v>33091</v>
      </c>
      <c r="V438" s="840">
        <v>102197</v>
      </c>
      <c r="W438" s="840">
        <v>209497</v>
      </c>
      <c r="X438" s="840">
        <v>102197</v>
      </c>
      <c r="Y438" s="840">
        <v>209497</v>
      </c>
      <c r="Z438" s="840">
        <v>102197</v>
      </c>
      <c r="AA438" s="840">
        <v>209497</v>
      </c>
      <c r="AB438" s="840">
        <v>4486932</v>
      </c>
      <c r="AC438" s="841" t="s">
        <v>4</v>
      </c>
      <c r="AD438" s="824"/>
      <c r="AE438" s="824"/>
      <c r="AF438" s="824"/>
      <c r="AG438" s="824"/>
      <c r="AH438" s="824"/>
      <c r="AI438" s="824"/>
      <c r="AJ438" s="842">
        <v>250018</v>
      </c>
      <c r="AK438" s="842">
        <v>150517</v>
      </c>
      <c r="AL438" s="842">
        <v>795575</v>
      </c>
      <c r="AM438" s="842">
        <v>1192245</v>
      </c>
      <c r="AN438" s="842">
        <v>855320</v>
      </c>
      <c r="AO438" s="842">
        <v>1155016</v>
      </c>
      <c r="AP438" s="842">
        <v>88242</v>
      </c>
      <c r="AQ438" s="842">
        <v>2497777</v>
      </c>
      <c r="AR438" s="870">
        <v>1989155</v>
      </c>
      <c r="AS438" s="875" t="s">
        <v>194</v>
      </c>
      <c r="AT438" s="872" t="s">
        <v>4</v>
      </c>
      <c r="AU438" s="840">
        <v>143393</v>
      </c>
      <c r="AV438" s="840">
        <v>132132</v>
      </c>
      <c r="AW438" s="840">
        <v>83196.100000000006</v>
      </c>
      <c r="AX438" s="840">
        <v>132132.20000000001</v>
      </c>
      <c r="AY438" s="840">
        <v>83196.100000000006</v>
      </c>
    </row>
    <row r="439" spans="1:51" s="743" customFormat="1" x14ac:dyDescent="0.25">
      <c r="A439" s="1047"/>
      <c r="B439" s="844" t="s">
        <v>5</v>
      </c>
      <c r="C439" s="583">
        <v>103894.9</v>
      </c>
      <c r="D439" s="583">
        <v>84092.9</v>
      </c>
      <c r="E439" s="583">
        <v>85434.8</v>
      </c>
      <c r="F439" s="583">
        <v>151140.79999999999</v>
      </c>
      <c r="G439" s="583">
        <v>111222.7</v>
      </c>
      <c r="H439" s="583">
        <v>210411.9</v>
      </c>
      <c r="I439" s="583">
        <v>125012.7</v>
      </c>
      <c r="J439" s="583">
        <v>47643.4</v>
      </c>
      <c r="K439" s="583">
        <v>81610.3</v>
      </c>
      <c r="L439" s="583">
        <v>52178.5</v>
      </c>
      <c r="M439" s="583">
        <v>159628.9</v>
      </c>
      <c r="N439" s="583">
        <v>208170.5</v>
      </c>
      <c r="O439" s="583">
        <v>56098.2</v>
      </c>
      <c r="P439" s="583">
        <v>231903</v>
      </c>
      <c r="Q439" s="583">
        <v>24640.1</v>
      </c>
      <c r="R439" s="583">
        <v>125723.1</v>
      </c>
      <c r="S439" s="583">
        <v>150134.9</v>
      </c>
      <c r="T439" s="583">
        <v>15990.4</v>
      </c>
      <c r="U439" s="583">
        <v>9456.4</v>
      </c>
      <c r="V439" s="583">
        <v>9517.4</v>
      </c>
      <c r="W439" s="583">
        <v>19034.599999999999</v>
      </c>
      <c r="X439" s="583">
        <v>1286.5999999999999</v>
      </c>
      <c r="Y439" s="583">
        <v>2562.4</v>
      </c>
      <c r="Z439" s="583">
        <v>3.1</v>
      </c>
      <c r="AA439" s="583">
        <v>6</v>
      </c>
      <c r="AB439" s="845">
        <v>2066798.5</v>
      </c>
      <c r="AC439" s="846" t="s">
        <v>5</v>
      </c>
      <c r="AD439" s="825"/>
      <c r="AE439" s="825"/>
      <c r="AF439" s="825"/>
      <c r="AG439" s="825"/>
      <c r="AH439" s="825"/>
      <c r="AI439" s="825"/>
      <c r="AJ439" s="847">
        <v>103894.9</v>
      </c>
      <c r="AK439" s="847">
        <v>84092.9</v>
      </c>
      <c r="AL439" s="847">
        <v>413731.2</v>
      </c>
      <c r="AM439" s="842">
        <v>471248</v>
      </c>
      <c r="AN439" s="842">
        <v>517934</v>
      </c>
      <c r="AO439" s="842">
        <v>450450</v>
      </c>
      <c r="AP439" s="842">
        <v>25447</v>
      </c>
      <c r="AQ439" s="842">
        <v>1005791</v>
      </c>
      <c r="AR439" s="870">
        <v>1061007</v>
      </c>
      <c r="AS439" s="876"/>
      <c r="AT439" s="873" t="s">
        <v>5</v>
      </c>
      <c r="AU439" s="583">
        <v>51964.9</v>
      </c>
      <c r="AV439" s="583">
        <v>58542</v>
      </c>
      <c r="AW439" s="583">
        <v>2519</v>
      </c>
      <c r="AX439" s="583">
        <v>70731</v>
      </c>
      <c r="AY439" s="583">
        <v>31444.9</v>
      </c>
    </row>
    <row r="440" spans="1:51" s="743" customFormat="1" x14ac:dyDescent="0.25">
      <c r="A440" s="1047"/>
      <c r="B440" s="848" t="s">
        <v>3</v>
      </c>
      <c r="C440" s="849">
        <v>0.41549999999999998</v>
      </c>
      <c r="D440" s="849">
        <v>0.55869999999999997</v>
      </c>
      <c r="E440" s="849">
        <v>0.56759999999999999</v>
      </c>
      <c r="F440" s="850">
        <v>0.83040000000000003</v>
      </c>
      <c r="G440" s="849">
        <v>0.67100000000000004</v>
      </c>
      <c r="H440" s="849">
        <v>0.54020000000000001</v>
      </c>
      <c r="I440" s="849">
        <v>0.72689999999999999</v>
      </c>
      <c r="J440" s="849">
        <v>0.28689999999999999</v>
      </c>
      <c r="K440" s="849">
        <v>0.65800000000000003</v>
      </c>
      <c r="L440" s="849">
        <v>0.2329</v>
      </c>
      <c r="M440" s="850">
        <v>0.82699999999999996</v>
      </c>
      <c r="N440" s="849">
        <v>0.47499999999999998</v>
      </c>
      <c r="O440" s="849">
        <v>0.67559999999999998</v>
      </c>
      <c r="P440" s="849">
        <v>0.83979999999999999</v>
      </c>
      <c r="Q440" s="849">
        <v>0.29670000000000002</v>
      </c>
      <c r="R440" s="849">
        <v>0.65610000000000002</v>
      </c>
      <c r="S440" s="849">
        <v>0.67</v>
      </c>
      <c r="T440" s="849">
        <v>0.28989999999999999</v>
      </c>
      <c r="U440" s="849">
        <v>0.2858</v>
      </c>
      <c r="V440" s="849">
        <v>9.3100000000000002E-2</v>
      </c>
      <c r="W440" s="849">
        <v>9.0899999999999995E-2</v>
      </c>
      <c r="X440" s="849">
        <v>1.26E-2</v>
      </c>
      <c r="Y440" s="849">
        <v>1.2200000000000001E-2</v>
      </c>
      <c r="Z440" s="849">
        <v>0</v>
      </c>
      <c r="AA440" s="849">
        <v>0</v>
      </c>
      <c r="AB440" s="851">
        <v>0.46060000000000001</v>
      </c>
      <c r="AC440" s="852" t="s">
        <v>3</v>
      </c>
      <c r="AD440" s="826"/>
      <c r="AE440" s="826"/>
      <c r="AF440" s="826"/>
      <c r="AG440" s="826"/>
      <c r="AH440" s="826"/>
      <c r="AI440" s="826"/>
      <c r="AJ440" s="853">
        <v>0.41549999999999998</v>
      </c>
      <c r="AK440" s="853">
        <v>0.55869999999999997</v>
      </c>
      <c r="AL440" s="853">
        <v>0.52</v>
      </c>
      <c r="AM440" s="853">
        <v>0.39529999999999998</v>
      </c>
      <c r="AN440" s="853">
        <v>0.60550000000000004</v>
      </c>
      <c r="AO440" s="853">
        <v>0.39</v>
      </c>
      <c r="AP440" s="853">
        <v>0.28839999999999999</v>
      </c>
      <c r="AQ440" s="853">
        <v>0.4027</v>
      </c>
      <c r="AR440" s="871">
        <v>0.53339999999999999</v>
      </c>
      <c r="AS440" s="876"/>
      <c r="AT440" s="874" t="s">
        <v>3</v>
      </c>
      <c r="AU440" s="849">
        <f>AU439/AU438</f>
        <v>0.36239495651810061</v>
      </c>
      <c r="AV440" s="849">
        <f>AV439/AV438</f>
        <v>0.44305694305694304</v>
      </c>
      <c r="AW440" s="849">
        <f>AW439/AW438</f>
        <v>3.0277861582453984E-2</v>
      </c>
      <c r="AX440" s="849">
        <f>AX439/AX438</f>
        <v>0.53530479322981073</v>
      </c>
      <c r="AY440" s="849">
        <f>AY439/AY438</f>
        <v>0.37796122654787906</v>
      </c>
    </row>
    <row r="441" spans="1:51" s="743" customFormat="1" ht="30" x14ac:dyDescent="0.25">
      <c r="A441" s="1040" t="s">
        <v>6</v>
      </c>
      <c r="B441" s="854" t="s">
        <v>7</v>
      </c>
      <c r="C441" s="840">
        <v>5741</v>
      </c>
      <c r="D441" s="840">
        <v>3653</v>
      </c>
      <c r="E441" s="840">
        <v>3650</v>
      </c>
      <c r="F441" s="840">
        <v>9450</v>
      </c>
      <c r="G441" s="840">
        <v>8432</v>
      </c>
      <c r="H441" s="840">
        <v>15703</v>
      </c>
      <c r="I441" s="840">
        <v>8405</v>
      </c>
      <c r="J441" s="840">
        <v>9599</v>
      </c>
      <c r="K441" s="840">
        <v>7072</v>
      </c>
      <c r="L441" s="840">
        <v>9423</v>
      </c>
      <c r="M441" s="840">
        <v>8889</v>
      </c>
      <c r="N441" s="840">
        <v>11924</v>
      </c>
      <c r="O441" s="840">
        <v>4357</v>
      </c>
      <c r="P441" s="840">
        <v>10857</v>
      </c>
      <c r="Q441" s="840">
        <v>4799</v>
      </c>
      <c r="R441" s="840">
        <v>9711</v>
      </c>
      <c r="S441" s="840">
        <v>11666</v>
      </c>
      <c r="T441" s="855">
        <v>2480</v>
      </c>
      <c r="U441" s="855">
        <v>1570</v>
      </c>
      <c r="V441" s="840">
        <v>3999</v>
      </c>
      <c r="W441" s="840">
        <v>7999</v>
      </c>
      <c r="X441" s="840">
        <v>3999</v>
      </c>
      <c r="Y441" s="840">
        <v>7999</v>
      </c>
      <c r="Z441" s="840">
        <v>3999</v>
      </c>
      <c r="AA441" s="840">
        <v>7999</v>
      </c>
      <c r="AB441" s="840">
        <v>183375</v>
      </c>
      <c r="AC441" s="856" t="s">
        <v>7</v>
      </c>
      <c r="AD441" s="827"/>
      <c r="AE441" s="827"/>
      <c r="AF441" s="827"/>
      <c r="AG441" s="827"/>
      <c r="AH441" s="827"/>
      <c r="AI441" s="827"/>
      <c r="AJ441" s="842">
        <v>5741</v>
      </c>
      <c r="AK441" s="842">
        <v>3653</v>
      </c>
      <c r="AL441" s="842">
        <v>34576</v>
      </c>
      <c r="AM441" s="842">
        <v>53155</v>
      </c>
      <c r="AN441" s="842">
        <v>32479</v>
      </c>
      <c r="AO441" s="842">
        <v>49721</v>
      </c>
      <c r="AP441" s="842">
        <v>4050</v>
      </c>
      <c r="AQ441" s="842">
        <v>106529</v>
      </c>
      <c r="AR441" s="870">
        <v>76846</v>
      </c>
      <c r="AS441" s="880" t="s">
        <v>190</v>
      </c>
      <c r="AT441" s="879" t="s">
        <v>4</v>
      </c>
      <c r="AU441" s="857">
        <v>9191.7999999999993</v>
      </c>
      <c r="AV441" s="857">
        <v>13787.7</v>
      </c>
      <c r="AW441" s="857">
        <v>8804.7999999999993</v>
      </c>
      <c r="AX441" s="857">
        <v>13787.7</v>
      </c>
      <c r="AY441" s="857">
        <v>8804.7999999999993</v>
      </c>
    </row>
    <row r="442" spans="1:51" s="743" customFormat="1" x14ac:dyDescent="0.25">
      <c r="A442" s="1040"/>
      <c r="B442" s="839" t="s">
        <v>11</v>
      </c>
      <c r="C442" s="858">
        <v>193569</v>
      </c>
      <c r="D442" s="858">
        <v>123168</v>
      </c>
      <c r="E442" s="858">
        <v>123067</v>
      </c>
      <c r="F442" s="858">
        <v>318626</v>
      </c>
      <c r="G442" s="858">
        <v>284302</v>
      </c>
      <c r="H442" s="858">
        <v>529458</v>
      </c>
      <c r="I442" s="858">
        <v>283391</v>
      </c>
      <c r="J442" s="858">
        <v>323649</v>
      </c>
      <c r="K442" s="858">
        <v>238447</v>
      </c>
      <c r="L442" s="858">
        <v>317715</v>
      </c>
      <c r="M442" s="858">
        <v>299710</v>
      </c>
      <c r="N442" s="858">
        <v>402042</v>
      </c>
      <c r="O442" s="858">
        <v>146905</v>
      </c>
      <c r="P442" s="858">
        <v>366065</v>
      </c>
      <c r="Q442" s="858">
        <v>161808</v>
      </c>
      <c r="R442" s="858">
        <v>327426</v>
      </c>
      <c r="S442" s="858">
        <v>393343</v>
      </c>
      <c r="T442" s="858">
        <v>83618</v>
      </c>
      <c r="U442" s="858">
        <v>52936</v>
      </c>
      <c r="V442" s="858">
        <v>134834</v>
      </c>
      <c r="W442" s="858">
        <v>269702</v>
      </c>
      <c r="X442" s="858">
        <v>134834</v>
      </c>
      <c r="Y442" s="858">
        <v>269702</v>
      </c>
      <c r="Z442" s="858">
        <v>134834</v>
      </c>
      <c r="AA442" s="858">
        <v>269702</v>
      </c>
      <c r="AB442" s="859">
        <v>6182855</v>
      </c>
      <c r="AC442" s="841" t="s">
        <v>11</v>
      </c>
      <c r="AD442" s="824"/>
      <c r="AE442" s="824"/>
      <c r="AF442" s="824"/>
      <c r="AG442" s="824"/>
      <c r="AH442" s="824"/>
      <c r="AI442" s="824"/>
      <c r="AJ442" s="860">
        <v>193569</v>
      </c>
      <c r="AK442" s="860">
        <v>123168</v>
      </c>
      <c r="AL442" s="860">
        <v>1165799</v>
      </c>
      <c r="AM442" s="860">
        <v>1792227</v>
      </c>
      <c r="AN442" s="860">
        <v>1095094</v>
      </c>
      <c r="AO442" s="860">
        <v>1676443</v>
      </c>
      <c r="AP442" s="860">
        <v>136554</v>
      </c>
      <c r="AQ442" s="860">
        <v>3591838</v>
      </c>
      <c r="AR442" s="878">
        <v>2591017</v>
      </c>
      <c r="AS442" s="876"/>
      <c r="AT442" s="873" t="s">
        <v>5</v>
      </c>
      <c r="AU442" s="583">
        <v>7975.5</v>
      </c>
      <c r="AV442" s="583">
        <v>13649</v>
      </c>
      <c r="AW442" s="583">
        <v>1289.9000000000001</v>
      </c>
      <c r="AX442" s="583">
        <v>13642</v>
      </c>
      <c r="AY442" s="583">
        <v>5483.9</v>
      </c>
    </row>
    <row r="443" spans="1:51" s="743" customFormat="1" x14ac:dyDescent="0.25">
      <c r="A443" s="1040"/>
      <c r="B443" s="839" t="s">
        <v>79</v>
      </c>
      <c r="C443" s="858">
        <v>164000</v>
      </c>
      <c r="D443" s="858">
        <v>109880</v>
      </c>
      <c r="E443" s="858">
        <v>109880</v>
      </c>
      <c r="F443" s="858">
        <v>328000</v>
      </c>
      <c r="G443" s="858">
        <v>330905</v>
      </c>
      <c r="H443" s="858">
        <v>264264</v>
      </c>
      <c r="I443" s="858">
        <v>242664</v>
      </c>
      <c r="J443" s="858">
        <v>328000</v>
      </c>
      <c r="K443" s="858">
        <v>328000</v>
      </c>
      <c r="L443" s="858">
        <v>328000</v>
      </c>
      <c r="M443" s="858">
        <v>328000</v>
      </c>
      <c r="N443" s="858">
        <v>264264</v>
      </c>
      <c r="O443" s="858">
        <v>328000</v>
      </c>
      <c r="P443" s="858">
        <v>352965</v>
      </c>
      <c r="Q443" s="858">
        <v>328000</v>
      </c>
      <c r="R443" s="858">
        <v>328000</v>
      </c>
      <c r="S443" s="858">
        <v>328000</v>
      </c>
      <c r="T443" s="858">
        <v>110302</v>
      </c>
      <c r="U443" s="858">
        <v>66181</v>
      </c>
      <c r="V443" s="858">
        <v>204393</v>
      </c>
      <c r="W443" s="858">
        <v>418993</v>
      </c>
      <c r="X443" s="858">
        <v>204393</v>
      </c>
      <c r="Y443" s="858">
        <v>418993</v>
      </c>
      <c r="Z443" s="858">
        <v>204393</v>
      </c>
      <c r="AA443" s="858">
        <v>418993</v>
      </c>
      <c r="AB443" s="859">
        <v>6837463</v>
      </c>
      <c r="AC443" s="841" t="s">
        <v>79</v>
      </c>
      <c r="AD443" s="824"/>
      <c r="AE443" s="824"/>
      <c r="AF443" s="824"/>
      <c r="AG443" s="824"/>
      <c r="AH443" s="824"/>
      <c r="AI443" s="824"/>
      <c r="AJ443" s="860">
        <v>500037</v>
      </c>
      <c r="AK443" s="860">
        <v>301033</v>
      </c>
      <c r="AL443" s="860">
        <v>1591150</v>
      </c>
      <c r="AM443" s="860">
        <v>2384489</v>
      </c>
      <c r="AN443" s="860">
        <v>1710640</v>
      </c>
      <c r="AO443" s="860">
        <v>2310031</v>
      </c>
      <c r="AP443" s="860">
        <v>176483</v>
      </c>
      <c r="AQ443" s="860">
        <v>4995554</v>
      </c>
      <c r="AR443" s="878">
        <v>3978310</v>
      </c>
      <c r="AS443" s="877"/>
      <c r="AT443" s="874" t="s">
        <v>3</v>
      </c>
      <c r="AU443" s="849">
        <f>AU442/AU441</f>
        <v>0.86767553689157739</v>
      </c>
      <c r="AV443" s="849">
        <f>AV442/AV441</f>
        <v>0.98994030911609621</v>
      </c>
      <c r="AW443" s="849">
        <f>AW442/AW441</f>
        <v>0.14649963656187537</v>
      </c>
      <c r="AX443" s="849">
        <f>AX442/AX441</f>
        <v>0.98943261022505558</v>
      </c>
      <c r="AY443" s="849">
        <f>AY442/AY441</f>
        <v>0.62283072869343992</v>
      </c>
    </row>
    <row r="444" spans="1:51" s="743" customFormat="1" ht="30" x14ac:dyDescent="0.25">
      <c r="A444" s="1040"/>
      <c r="B444" s="844" t="s">
        <v>8</v>
      </c>
      <c r="C444" s="861">
        <v>5397</v>
      </c>
      <c r="D444" s="861">
        <v>2962</v>
      </c>
      <c r="E444" s="861">
        <v>2988</v>
      </c>
      <c r="F444" s="861">
        <v>7698</v>
      </c>
      <c r="G444" s="861">
        <v>3356</v>
      </c>
      <c r="H444" s="861">
        <v>13614</v>
      </c>
      <c r="I444" s="861">
        <v>7093</v>
      </c>
      <c r="J444" s="861">
        <v>1376</v>
      </c>
      <c r="K444" s="861">
        <v>5848</v>
      </c>
      <c r="L444" s="861">
        <v>5301</v>
      </c>
      <c r="M444" s="861">
        <v>7616</v>
      </c>
      <c r="N444" s="861">
        <v>10872</v>
      </c>
      <c r="O444" s="861">
        <v>3430</v>
      </c>
      <c r="P444" s="861">
        <v>8276</v>
      </c>
      <c r="Q444" s="861">
        <v>1824</v>
      </c>
      <c r="R444" s="861">
        <v>4451</v>
      </c>
      <c r="S444" s="861">
        <v>9411</v>
      </c>
      <c r="T444" s="598">
        <v>1716</v>
      </c>
      <c r="U444" s="598">
        <v>1103</v>
      </c>
      <c r="V444" s="861">
        <v>1194</v>
      </c>
      <c r="W444" s="861">
        <v>1194</v>
      </c>
      <c r="X444" s="861">
        <v>418</v>
      </c>
      <c r="Y444" s="861">
        <v>609</v>
      </c>
      <c r="Z444" s="861">
        <v>-1</v>
      </c>
      <c r="AA444" s="861">
        <v>-1</v>
      </c>
      <c r="AB444" s="840">
        <v>107745</v>
      </c>
      <c r="AC444" s="846" t="s">
        <v>8</v>
      </c>
      <c r="AD444" s="825"/>
      <c r="AE444" s="825"/>
      <c r="AF444" s="825"/>
      <c r="AG444" s="825"/>
      <c r="AH444" s="825"/>
      <c r="AI444" s="825"/>
      <c r="AJ444" s="862">
        <v>5397</v>
      </c>
      <c r="AK444" s="862">
        <v>2962</v>
      </c>
      <c r="AL444" s="862">
        <v>26613</v>
      </c>
      <c r="AM444" s="842">
        <v>22272</v>
      </c>
      <c r="AN444" s="842">
        <v>27899</v>
      </c>
      <c r="AO444" s="842">
        <v>19783</v>
      </c>
      <c r="AP444" s="842">
        <v>2819</v>
      </c>
      <c r="AQ444" s="842">
        <v>45017</v>
      </c>
      <c r="AR444" s="842">
        <v>62728</v>
      </c>
      <c r="AS444" s="877" t="s">
        <v>191</v>
      </c>
      <c r="AT444" s="839" t="s">
        <v>4</v>
      </c>
      <c r="AU444" s="840">
        <v>97433.600000000006</v>
      </c>
      <c r="AV444" s="840">
        <v>243584.4</v>
      </c>
      <c r="AW444" s="840">
        <v>132070.29999999999</v>
      </c>
      <c r="AX444" s="840">
        <v>292299.3</v>
      </c>
      <c r="AY444" s="840">
        <v>132070.39999999999</v>
      </c>
    </row>
    <row r="445" spans="1:51" s="743" customFormat="1" x14ac:dyDescent="0.25">
      <c r="A445" s="1040"/>
      <c r="B445" s="839" t="s">
        <v>77</v>
      </c>
      <c r="C445" s="858">
        <v>181971</v>
      </c>
      <c r="D445" s="858">
        <v>99870</v>
      </c>
      <c r="E445" s="858">
        <v>100746</v>
      </c>
      <c r="F445" s="858">
        <v>259553</v>
      </c>
      <c r="G445" s="858">
        <v>113154</v>
      </c>
      <c r="H445" s="858">
        <v>459023</v>
      </c>
      <c r="I445" s="858">
        <v>239155</v>
      </c>
      <c r="J445" s="858">
        <v>46395</v>
      </c>
      <c r="K445" s="858">
        <v>197177</v>
      </c>
      <c r="L445" s="858">
        <v>178734</v>
      </c>
      <c r="M445" s="858">
        <v>256789</v>
      </c>
      <c r="N445" s="858">
        <v>366571</v>
      </c>
      <c r="O445" s="858">
        <v>115649</v>
      </c>
      <c r="P445" s="858">
        <v>190906</v>
      </c>
      <c r="Q445" s="858">
        <v>61500</v>
      </c>
      <c r="R445" s="858">
        <v>150074</v>
      </c>
      <c r="S445" s="858">
        <v>317311</v>
      </c>
      <c r="T445" s="863">
        <v>57858</v>
      </c>
      <c r="U445" s="863">
        <v>37190</v>
      </c>
      <c r="V445" s="863">
        <v>40258</v>
      </c>
      <c r="W445" s="863">
        <v>40258</v>
      </c>
      <c r="X445" s="863">
        <v>14094</v>
      </c>
      <c r="Y445" s="863">
        <v>20534</v>
      </c>
      <c r="Z445" s="863">
        <v>-34</v>
      </c>
      <c r="AA445" s="863">
        <v>-34</v>
      </c>
      <c r="AB445" s="864">
        <v>3544702</v>
      </c>
      <c r="AC445" s="841" t="s">
        <v>77</v>
      </c>
      <c r="AD445" s="824"/>
      <c r="AE445" s="824"/>
      <c r="AF445" s="824"/>
      <c r="AG445" s="824"/>
      <c r="AH445" s="824"/>
      <c r="AI445" s="824"/>
      <c r="AJ445" s="865">
        <v>181971</v>
      </c>
      <c r="AK445" s="865">
        <v>99870</v>
      </c>
      <c r="AL445" s="865">
        <v>897311</v>
      </c>
      <c r="AM445" s="865">
        <v>750945</v>
      </c>
      <c r="AN445" s="865">
        <v>940671</v>
      </c>
      <c r="AO445" s="865">
        <v>667023</v>
      </c>
      <c r="AP445" s="865">
        <v>95048</v>
      </c>
      <c r="AQ445" s="865">
        <v>1517838</v>
      </c>
      <c r="AR445" s="865">
        <v>2115000</v>
      </c>
      <c r="AS445" s="881"/>
      <c r="AT445" s="844" t="s">
        <v>5</v>
      </c>
      <c r="AU445" s="583">
        <v>38973.199999999997</v>
      </c>
      <c r="AV445" s="583">
        <v>124350.5</v>
      </c>
      <c r="AW445" s="583">
        <v>3817.1</v>
      </c>
      <c r="AX445" s="583">
        <v>109009</v>
      </c>
      <c r="AY445" s="583">
        <v>33401</v>
      </c>
    </row>
    <row r="446" spans="1:51" s="743" customFormat="1" x14ac:dyDescent="0.25">
      <c r="A446" s="1040"/>
      <c r="B446" s="848" t="s">
        <v>217</v>
      </c>
      <c r="C446" s="849">
        <v>0.7278</v>
      </c>
      <c r="D446" s="849">
        <v>0.66349999999999998</v>
      </c>
      <c r="E446" s="866">
        <v>0.66930000000000001</v>
      </c>
      <c r="F446" s="866">
        <v>1.4260999999999999</v>
      </c>
      <c r="G446" s="866">
        <v>0.68259999999999998</v>
      </c>
      <c r="H446" s="866">
        <v>1.1785000000000001</v>
      </c>
      <c r="I446" s="866">
        <v>1.3906000000000001</v>
      </c>
      <c r="J446" s="866">
        <v>0.27939999999999998</v>
      </c>
      <c r="K446" s="866">
        <v>1.5899000000000001</v>
      </c>
      <c r="L446" s="866">
        <v>0.79769999999999996</v>
      </c>
      <c r="M446" s="866">
        <v>1.3303</v>
      </c>
      <c r="N446" s="866">
        <v>0.83650000000000002</v>
      </c>
      <c r="O446" s="866">
        <v>1.3927</v>
      </c>
      <c r="P446" s="866">
        <v>0.69140000000000001</v>
      </c>
      <c r="Q446" s="866">
        <v>0.74060000000000004</v>
      </c>
      <c r="R446" s="866">
        <v>0.78320000000000001</v>
      </c>
      <c r="S446" s="866">
        <v>1.4160999999999999</v>
      </c>
      <c r="T446" s="849">
        <v>1.0490999999999999</v>
      </c>
      <c r="U446" s="849">
        <v>1.1238999999999999</v>
      </c>
      <c r="V446" s="849">
        <v>0.39389999999999997</v>
      </c>
      <c r="W446" s="849">
        <v>0.19220000000000001</v>
      </c>
      <c r="X446" s="849">
        <v>0.13789999999999999</v>
      </c>
      <c r="Y446" s="849">
        <v>9.8000000000000004E-2</v>
      </c>
      <c r="Z446" s="849">
        <v>-2.9999999999999997E-4</v>
      </c>
      <c r="AA446" s="849">
        <v>-2.0000000000000001E-4</v>
      </c>
      <c r="AB446" s="851">
        <v>0.79</v>
      </c>
      <c r="AC446" s="852" t="s">
        <v>217</v>
      </c>
      <c r="AD446" s="826"/>
      <c r="AE446" s="826"/>
      <c r="AF446" s="826"/>
      <c r="AG446" s="826"/>
      <c r="AH446" s="826"/>
      <c r="AI446" s="826"/>
      <c r="AJ446" s="853">
        <v>0.7278</v>
      </c>
      <c r="AK446" s="853">
        <v>0.66349999999999998</v>
      </c>
      <c r="AL446" s="853">
        <v>1.1278999999999999</v>
      </c>
      <c r="AM446" s="853">
        <v>0.62990000000000002</v>
      </c>
      <c r="AN446" s="853">
        <v>1.0998000000000001</v>
      </c>
      <c r="AO446" s="853">
        <v>0.57750000000000001</v>
      </c>
      <c r="AP446" s="853">
        <v>1.0770999999999999</v>
      </c>
      <c r="AQ446" s="853">
        <v>0.60770000000000002</v>
      </c>
      <c r="AR446" s="853">
        <v>1.0632999999999999</v>
      </c>
      <c r="AS446" s="881"/>
      <c r="AT446" s="848" t="s">
        <v>3</v>
      </c>
      <c r="AU446" s="849">
        <f>AU445/AU444</f>
        <v>0.39999753678402516</v>
      </c>
      <c r="AV446" s="849">
        <f>AV445/AV444</f>
        <v>0.51050272513346506</v>
      </c>
      <c r="AW446" s="849">
        <f>AW445/AW444</f>
        <v>2.8902031720984961E-2</v>
      </c>
      <c r="AX446" s="849">
        <f>AX445/AX444</f>
        <v>0.37293623351133581</v>
      </c>
      <c r="AY446" s="849">
        <f>AY445/AY444</f>
        <v>0.25290299718937781</v>
      </c>
    </row>
    <row r="447" spans="1:51" s="743" customFormat="1" x14ac:dyDescent="0.25">
      <c r="A447" s="881"/>
      <c r="B447" s="848" t="s">
        <v>218</v>
      </c>
      <c r="C447" s="598">
        <v>171500</v>
      </c>
      <c r="D447" s="598">
        <v>99464.6</v>
      </c>
      <c r="E447" s="598">
        <v>100341</v>
      </c>
      <c r="F447" s="598">
        <v>241555</v>
      </c>
      <c r="G447" s="598">
        <v>110866</v>
      </c>
      <c r="H447" s="598">
        <v>443950</v>
      </c>
      <c r="I447" s="598">
        <v>164406</v>
      </c>
      <c r="J447" s="598">
        <v>46434.3</v>
      </c>
      <c r="K447" s="598">
        <v>138759</v>
      </c>
      <c r="L447" s="598">
        <v>179114</v>
      </c>
      <c r="M447" s="598">
        <v>252827</v>
      </c>
      <c r="N447" s="598">
        <v>366652</v>
      </c>
      <c r="O447" s="598">
        <v>115691</v>
      </c>
      <c r="P447" s="598">
        <v>160623</v>
      </c>
      <c r="Q447" s="598">
        <v>61550</v>
      </c>
      <c r="R447" s="598">
        <v>136851</v>
      </c>
      <c r="S447" s="598">
        <v>317481</v>
      </c>
      <c r="T447" s="598">
        <v>57858.1</v>
      </c>
      <c r="U447" s="598">
        <v>37189.699999999997</v>
      </c>
      <c r="V447" s="598">
        <v>40291.599999999999</v>
      </c>
      <c r="W447" s="598">
        <v>40291.599999999999</v>
      </c>
      <c r="X447" s="598">
        <v>9822.1299999999992</v>
      </c>
      <c r="Y447" s="598">
        <v>9788.41</v>
      </c>
      <c r="Z447" s="598">
        <v>0</v>
      </c>
      <c r="AA447" s="598">
        <v>0</v>
      </c>
      <c r="AB447" s="867">
        <v>3303306.44</v>
      </c>
      <c r="AC447" s="852" t="s">
        <v>218</v>
      </c>
      <c r="AD447" s="826"/>
      <c r="AE447" s="826"/>
      <c r="AF447" s="826"/>
      <c r="AG447" s="826"/>
      <c r="AH447" s="826"/>
      <c r="AI447" s="826"/>
      <c r="AJ447" s="868">
        <v>171500</v>
      </c>
      <c r="AK447" s="868">
        <v>99464.6</v>
      </c>
      <c r="AL447" s="868">
        <v>864619</v>
      </c>
      <c r="AM447" s="842">
        <v>610920</v>
      </c>
      <c r="AN447" s="842">
        <v>936960</v>
      </c>
      <c r="AO447" s="842">
        <v>524795</v>
      </c>
      <c r="AP447" s="842">
        <v>95048</v>
      </c>
      <c r="AQ447" s="842">
        <v>1235180</v>
      </c>
      <c r="AR447" s="842">
        <v>2068127</v>
      </c>
      <c r="AS447" s="881" t="s">
        <v>219</v>
      </c>
      <c r="AT447" s="848" t="s">
        <v>3</v>
      </c>
      <c r="AU447" s="849">
        <f>(AU440+AU446)/2</f>
        <v>0.38119624665106289</v>
      </c>
      <c r="AV447" s="849">
        <f t="shared" ref="AV447:AY447" si="87">(AV440+AV446)/2</f>
        <v>0.47677983409520408</v>
      </c>
      <c r="AW447" s="849">
        <f t="shared" si="87"/>
        <v>2.9589946651719472E-2</v>
      </c>
      <c r="AX447" s="849">
        <f t="shared" si="87"/>
        <v>0.45412051337057324</v>
      </c>
      <c r="AY447" s="849">
        <f t="shared" si="87"/>
        <v>0.31543211186862841</v>
      </c>
    </row>
    <row r="448" spans="1:51" s="743" customFormat="1" x14ac:dyDescent="0.25">
      <c r="A448" s="881"/>
      <c r="B448" s="848" t="s">
        <v>216</v>
      </c>
      <c r="C448" s="866">
        <v>0.68589999999999995</v>
      </c>
      <c r="D448" s="866">
        <v>0.66080000000000005</v>
      </c>
      <c r="E448" s="866">
        <v>0.66659999999999997</v>
      </c>
      <c r="F448" s="866">
        <v>1.3271999999999999</v>
      </c>
      <c r="G448" s="866">
        <v>0.66879999999999995</v>
      </c>
      <c r="H448" s="866">
        <v>1.1397999999999999</v>
      </c>
      <c r="I448" s="866">
        <v>0.95599999999999996</v>
      </c>
      <c r="J448" s="866">
        <v>0.27960000000000002</v>
      </c>
      <c r="K448" s="866">
        <v>1.1189</v>
      </c>
      <c r="L448" s="866">
        <v>0.7994</v>
      </c>
      <c r="M448" s="866">
        <v>1.3098000000000001</v>
      </c>
      <c r="N448" s="866">
        <v>0.8367</v>
      </c>
      <c r="O448" s="866">
        <v>1.3932</v>
      </c>
      <c r="P448" s="866">
        <v>0.58169999999999999</v>
      </c>
      <c r="Q448" s="866">
        <v>0.74119999999999997</v>
      </c>
      <c r="R448" s="866">
        <v>0.71419999999999995</v>
      </c>
      <c r="S448" s="866">
        <v>1.4169</v>
      </c>
      <c r="T448" s="866">
        <v>1.0490999999999999</v>
      </c>
      <c r="U448" s="866">
        <v>1.1238999999999999</v>
      </c>
      <c r="V448" s="866">
        <v>0.39429999999999998</v>
      </c>
      <c r="W448" s="866">
        <v>0.1923</v>
      </c>
      <c r="X448" s="866">
        <v>9.6100000000000005E-2</v>
      </c>
      <c r="Y448" s="866">
        <v>4.6699999999999998E-2</v>
      </c>
      <c r="Z448" s="866">
        <v>0</v>
      </c>
      <c r="AA448" s="866">
        <v>0</v>
      </c>
      <c r="AB448" s="869">
        <v>0.73619999999999997</v>
      </c>
      <c r="AC448" s="852" t="s">
        <v>216</v>
      </c>
      <c r="AD448" s="826"/>
      <c r="AE448" s="826"/>
      <c r="AF448" s="826"/>
      <c r="AG448" s="826"/>
      <c r="AH448" s="826"/>
      <c r="AI448" s="826"/>
      <c r="AJ448" s="853">
        <v>0.68589999999999995</v>
      </c>
      <c r="AK448" s="853">
        <v>0.66080000000000005</v>
      </c>
      <c r="AL448" s="853">
        <v>1.0868</v>
      </c>
      <c r="AM448" s="853">
        <v>0.51239999999999997</v>
      </c>
      <c r="AN448" s="853">
        <v>1.0953999999999999</v>
      </c>
      <c r="AO448" s="853">
        <v>0.45440000000000003</v>
      </c>
      <c r="AP448" s="853">
        <v>1.0770999999999999</v>
      </c>
      <c r="AQ448" s="853">
        <v>0.4945</v>
      </c>
      <c r="AR448" s="853">
        <v>1.0397000000000001</v>
      </c>
      <c r="AS448" s="881"/>
      <c r="AT448" s="848"/>
      <c r="AU448" s="849"/>
      <c r="AV448" s="849"/>
      <c r="AW448" s="849"/>
      <c r="AX448" s="849"/>
      <c r="AY448" s="849"/>
    </row>
    <row r="449" spans="1:49" s="743" customFormat="1" ht="15.75" thickBot="1" x14ac:dyDescent="0.3">
      <c r="A449" s="1048">
        <v>41752</v>
      </c>
      <c r="B449" s="1048"/>
      <c r="C449" s="1048"/>
      <c r="D449" s="529"/>
      <c r="E449" s="529"/>
      <c r="F449" s="529"/>
      <c r="G449" s="529"/>
      <c r="H449" s="529"/>
      <c r="I449" s="525"/>
      <c r="J449" s="531"/>
      <c r="K449" s="531"/>
      <c r="L449" s="529"/>
      <c r="M449" s="529"/>
      <c r="N449" s="527"/>
      <c r="R449" s="526"/>
      <c r="S449" s="534"/>
      <c r="T449" s="534"/>
      <c r="U449" s="534"/>
      <c r="V449" s="534"/>
      <c r="W449" s="534"/>
      <c r="X449" s="534"/>
      <c r="Y449" s="534"/>
      <c r="Z449" s="534"/>
      <c r="AA449" s="534"/>
      <c r="AB449" s="534"/>
      <c r="AC449" s="534"/>
      <c r="AD449" s="534"/>
      <c r="AE449" s="534"/>
      <c r="AF449" s="534"/>
      <c r="AG449" s="534"/>
      <c r="AH449" s="534"/>
      <c r="AI449" s="534"/>
      <c r="AJ449" s="534"/>
      <c r="AK449" s="534"/>
      <c r="AL449" s="534"/>
      <c r="AM449" s="534"/>
      <c r="AN449" s="534"/>
      <c r="AO449" s="534"/>
    </row>
    <row r="450" spans="1:49" s="743" customFormat="1" x14ac:dyDescent="0.25">
      <c r="A450" s="1049" t="s">
        <v>1</v>
      </c>
      <c r="B450" s="1050"/>
      <c r="C450" s="540" t="s">
        <v>12</v>
      </c>
      <c r="D450" s="539" t="s">
        <v>12</v>
      </c>
      <c r="E450" s="540" t="s">
        <v>13</v>
      </c>
      <c r="F450" s="530" t="s">
        <v>13</v>
      </c>
      <c r="G450" s="530" t="s">
        <v>13</v>
      </c>
      <c r="H450" s="530" t="s">
        <v>13</v>
      </c>
      <c r="I450" s="530" t="s">
        <v>13</v>
      </c>
      <c r="J450" s="536" t="s">
        <v>13</v>
      </c>
      <c r="K450" s="536" t="s">
        <v>13</v>
      </c>
      <c r="L450" s="539" t="s">
        <v>13</v>
      </c>
      <c r="M450" s="676" t="s">
        <v>2</v>
      </c>
      <c r="N450" s="530" t="s">
        <v>2</v>
      </c>
      <c r="O450" s="536" t="s">
        <v>2</v>
      </c>
      <c r="P450" s="530" t="s">
        <v>2</v>
      </c>
      <c r="Q450" s="536" t="s">
        <v>2</v>
      </c>
      <c r="R450" s="536" t="s">
        <v>2</v>
      </c>
      <c r="S450" s="539" t="s">
        <v>2</v>
      </c>
      <c r="T450" s="569" t="s">
        <v>183</v>
      </c>
      <c r="U450" s="693" t="s">
        <v>183</v>
      </c>
      <c r="V450" s="693" t="s">
        <v>2</v>
      </c>
      <c r="W450" s="693" t="s">
        <v>13</v>
      </c>
      <c r="X450" s="693" t="s">
        <v>13</v>
      </c>
      <c r="Y450" s="693" t="s">
        <v>2</v>
      </c>
      <c r="Z450" s="789" t="s">
        <v>219</v>
      </c>
      <c r="AA450" s="812"/>
      <c r="AB450" s="803"/>
      <c r="AC450" s="803"/>
      <c r="AD450" s="803"/>
      <c r="AE450" s="803"/>
      <c r="AF450" s="803"/>
      <c r="AG450" s="803"/>
      <c r="AH450" s="803"/>
      <c r="AI450" s="803"/>
      <c r="AJ450" s="803"/>
      <c r="AK450" s="803"/>
      <c r="AL450" s="803"/>
      <c r="AM450" s="803"/>
      <c r="AN450" s="803"/>
      <c r="AO450" s="803"/>
      <c r="AP450" s="803"/>
      <c r="AQ450" s="1070" t="s">
        <v>1</v>
      </c>
      <c r="AR450" s="1051"/>
      <c r="AS450" s="813" t="s">
        <v>12</v>
      </c>
      <c r="AT450" s="1052" t="s">
        <v>13</v>
      </c>
      <c r="AU450" s="1053"/>
      <c r="AV450" s="1052" t="s">
        <v>2</v>
      </c>
      <c r="AW450" s="1053"/>
    </row>
    <row r="451" spans="1:49" s="743" customFormat="1" ht="15.75" thickBot="1" x14ac:dyDescent="0.3">
      <c r="A451" s="1054" t="s">
        <v>0</v>
      </c>
      <c r="B451" s="1055"/>
      <c r="C451" s="617" t="s">
        <v>99</v>
      </c>
      <c r="D451" s="782" t="s">
        <v>100</v>
      </c>
      <c r="E451" s="783" t="s">
        <v>101</v>
      </c>
      <c r="F451" s="619" t="s">
        <v>102</v>
      </c>
      <c r="G451" s="784" t="s">
        <v>97</v>
      </c>
      <c r="H451" s="619" t="s">
        <v>104</v>
      </c>
      <c r="I451" s="784" t="s">
        <v>103</v>
      </c>
      <c r="J451" s="785" t="s">
        <v>178</v>
      </c>
      <c r="K451" s="785" t="s">
        <v>199</v>
      </c>
      <c r="L451" s="517" t="s">
        <v>206</v>
      </c>
      <c r="M451" s="617" t="s">
        <v>105</v>
      </c>
      <c r="N451" s="619" t="s">
        <v>107</v>
      </c>
      <c r="O451" s="786" t="s">
        <v>98</v>
      </c>
      <c r="P451" s="787" t="s">
        <v>106</v>
      </c>
      <c r="Q451" s="786" t="s">
        <v>179</v>
      </c>
      <c r="R451" s="786" t="s">
        <v>198</v>
      </c>
      <c r="S451" s="618" t="s">
        <v>207</v>
      </c>
      <c r="T451" s="621" t="s">
        <v>182</v>
      </c>
      <c r="U451" s="618" t="s">
        <v>184</v>
      </c>
      <c r="V451" s="782" t="s">
        <v>221</v>
      </c>
      <c r="W451" s="788" t="s">
        <v>222</v>
      </c>
      <c r="X451" s="788" t="s">
        <v>255</v>
      </c>
      <c r="Y451" s="788" t="s">
        <v>256</v>
      </c>
      <c r="Z451" s="790"/>
      <c r="AA451" s="823"/>
      <c r="AB451" s="815" t="s">
        <v>257</v>
      </c>
      <c r="AC451" s="815" t="s">
        <v>258</v>
      </c>
      <c r="AD451" s="815"/>
      <c r="AE451" s="815"/>
      <c r="AF451" s="815"/>
      <c r="AG451" s="815"/>
      <c r="AH451" s="815"/>
      <c r="AI451" s="815"/>
      <c r="AJ451" s="815" t="s">
        <v>259</v>
      </c>
      <c r="AK451" s="815" t="s">
        <v>260</v>
      </c>
      <c r="AL451" s="815" t="s">
        <v>261</v>
      </c>
      <c r="AM451" s="815" t="s">
        <v>262</v>
      </c>
      <c r="AN451" s="815" t="s">
        <v>263</v>
      </c>
      <c r="AO451" s="815" t="s">
        <v>264</v>
      </c>
      <c r="AP451" s="815" t="s">
        <v>265</v>
      </c>
      <c r="AQ451" s="1079" t="s">
        <v>0</v>
      </c>
      <c r="AR451" s="1056"/>
      <c r="AS451" s="621" t="s">
        <v>99</v>
      </c>
      <c r="AT451" s="617" t="s">
        <v>104</v>
      </c>
      <c r="AU451" s="618" t="s">
        <v>206</v>
      </c>
      <c r="AV451" s="622" t="s">
        <v>107</v>
      </c>
      <c r="AW451" s="623" t="s">
        <v>207</v>
      </c>
    </row>
    <row r="452" spans="1:49" s="743" customFormat="1" ht="30" x14ac:dyDescent="0.25">
      <c r="A452" s="1057" t="s">
        <v>9</v>
      </c>
      <c r="B452" s="528" t="s">
        <v>4</v>
      </c>
      <c r="C452" s="541">
        <v>250018.4</v>
      </c>
      <c r="D452" s="688">
        <v>150516.70000000001</v>
      </c>
      <c r="E452" s="541">
        <v>150516.70000000001</v>
      </c>
      <c r="F452" s="533">
        <v>181998.8</v>
      </c>
      <c r="G452" s="533">
        <v>165765.70000000001</v>
      </c>
      <c r="H452" s="533">
        <v>389505</v>
      </c>
      <c r="I452" s="533">
        <v>171975.5</v>
      </c>
      <c r="J452" s="537">
        <v>166077.9</v>
      </c>
      <c r="K452" s="537">
        <v>124019.2</v>
      </c>
      <c r="L452" s="688">
        <v>224071.2</v>
      </c>
      <c r="M452" s="541">
        <v>193029.1</v>
      </c>
      <c r="N452" s="533">
        <v>438219.9</v>
      </c>
      <c r="O452" s="533">
        <v>83038.8</v>
      </c>
      <c r="P452" s="533">
        <v>276130.40000000002</v>
      </c>
      <c r="Q452" s="537">
        <v>83038.8</v>
      </c>
      <c r="R452" s="537">
        <v>191618.2</v>
      </c>
      <c r="S452" s="688">
        <v>224071.2</v>
      </c>
      <c r="T452" s="544">
        <v>55151</v>
      </c>
      <c r="U452" s="688">
        <v>33090.5</v>
      </c>
      <c r="V452" s="688">
        <v>102196.5</v>
      </c>
      <c r="W452" s="688">
        <v>209496.5</v>
      </c>
      <c r="X452" s="688">
        <v>102196.5</v>
      </c>
      <c r="Y452" s="688">
        <v>209496.5</v>
      </c>
      <c r="Z452" s="537">
        <v>4175238.9999999995</v>
      </c>
      <c r="AA452" s="824" t="s">
        <v>4</v>
      </c>
      <c r="AB452" s="816">
        <v>250018.4</v>
      </c>
      <c r="AC452" s="816">
        <v>150516.70000000001</v>
      </c>
      <c r="AD452" s="816"/>
      <c r="AE452" s="816"/>
      <c r="AF452" s="816"/>
      <c r="AG452" s="816"/>
      <c r="AH452" s="816"/>
      <c r="AI452" s="816"/>
      <c r="AJ452" s="816">
        <v>795575</v>
      </c>
      <c r="AK452" s="816">
        <v>1090048</v>
      </c>
      <c r="AL452" s="816">
        <v>855320.2</v>
      </c>
      <c r="AM452" s="816">
        <v>945519.2</v>
      </c>
      <c r="AN452" s="816">
        <v>88241.5</v>
      </c>
      <c r="AO452" s="816">
        <v>2186083.9</v>
      </c>
      <c r="AP452" s="816">
        <v>1989155.1</v>
      </c>
      <c r="AQ452" s="799" t="s">
        <v>194</v>
      </c>
      <c r="AR452" s="524" t="s">
        <v>4</v>
      </c>
      <c r="AS452" s="544">
        <v>143393</v>
      </c>
      <c r="AT452" s="541">
        <v>132132</v>
      </c>
      <c r="AU452" s="688">
        <v>83196.100000000006</v>
      </c>
      <c r="AV452" s="552">
        <v>132132.20000000001</v>
      </c>
      <c r="AW452" s="551">
        <v>83196.100000000006</v>
      </c>
    </row>
    <row r="453" spans="1:49" s="743" customFormat="1" x14ac:dyDescent="0.25">
      <c r="A453" s="1058"/>
      <c r="B453" s="624" t="s">
        <v>5</v>
      </c>
      <c r="C453" s="625">
        <v>104855.9</v>
      </c>
      <c r="D453" s="626">
        <v>83914.8</v>
      </c>
      <c r="E453" s="625">
        <v>85256.8</v>
      </c>
      <c r="F453" s="627">
        <v>150784.9</v>
      </c>
      <c r="G453" s="627">
        <v>111474.2</v>
      </c>
      <c r="H453" s="627">
        <v>209128.4</v>
      </c>
      <c r="I453" s="627">
        <v>124817.2</v>
      </c>
      <c r="J453" s="628">
        <v>45734.6</v>
      </c>
      <c r="K453" s="628">
        <v>77761.2</v>
      </c>
      <c r="L453" s="626">
        <v>45040.4</v>
      </c>
      <c r="M453" s="625">
        <v>159248.29999999999</v>
      </c>
      <c r="N453" s="627">
        <v>206954.1</v>
      </c>
      <c r="O453" s="627">
        <v>56101.8</v>
      </c>
      <c r="P453" s="627">
        <v>230105</v>
      </c>
      <c r="Q453" s="628">
        <v>23685.599999999999</v>
      </c>
      <c r="R453" s="628">
        <v>119316.2</v>
      </c>
      <c r="S453" s="626">
        <v>144728.29999999999</v>
      </c>
      <c r="T453" s="629">
        <v>15990.4</v>
      </c>
      <c r="U453" s="626">
        <v>9456.4</v>
      </c>
      <c r="V453" s="626">
        <v>7724.2</v>
      </c>
      <c r="W453" s="695">
        <v>15448.1</v>
      </c>
      <c r="X453" s="695">
        <v>1279.4000000000001</v>
      </c>
      <c r="Y453" s="695">
        <v>2548.1</v>
      </c>
      <c r="Z453" s="791">
        <v>2031354.3</v>
      </c>
      <c r="AA453" s="825" t="s">
        <v>5</v>
      </c>
      <c r="AB453" s="817">
        <v>104855.9</v>
      </c>
      <c r="AC453" s="817">
        <v>83914.8</v>
      </c>
      <c r="AD453" s="817"/>
      <c r="AE453" s="817"/>
      <c r="AF453" s="817"/>
      <c r="AG453" s="817"/>
      <c r="AH453" s="817"/>
      <c r="AI453" s="817"/>
      <c r="AJ453" s="817">
        <v>404953.7</v>
      </c>
      <c r="AK453" s="816">
        <v>461771.5</v>
      </c>
      <c r="AL453" s="816">
        <v>510930.7</v>
      </c>
      <c r="AM453" s="816">
        <v>439480.89999999997</v>
      </c>
      <c r="AN453" s="816">
        <v>25446.799999999999</v>
      </c>
      <c r="AO453" s="816">
        <v>985167.2</v>
      </c>
      <c r="AP453" s="816">
        <v>1046187.1000000001</v>
      </c>
      <c r="AQ453" s="800"/>
      <c r="AR453" s="630" t="s">
        <v>5</v>
      </c>
      <c r="AS453" s="629">
        <v>51964.9</v>
      </c>
      <c r="AT453" s="625">
        <v>58542</v>
      </c>
      <c r="AU453" s="626">
        <v>2519</v>
      </c>
      <c r="AV453" s="631">
        <v>70731</v>
      </c>
      <c r="AW453" s="632">
        <v>31444.9</v>
      </c>
    </row>
    <row r="454" spans="1:49" s="743" customFormat="1" ht="15.75" thickBot="1" x14ac:dyDescent="0.3">
      <c r="A454" s="1059"/>
      <c r="B454" s="504" t="s">
        <v>3</v>
      </c>
      <c r="C454" s="542">
        <v>0.41939273269487365</v>
      </c>
      <c r="D454" s="633">
        <v>0.55751155851809131</v>
      </c>
      <c r="E454" s="633">
        <v>0.56642751269460467</v>
      </c>
      <c r="F454" s="681">
        <v>0.8284939241357635</v>
      </c>
      <c r="G454" s="633">
        <v>0.67248049506019636</v>
      </c>
      <c r="H454" s="633">
        <v>0.53690812698168189</v>
      </c>
      <c r="I454" s="633">
        <v>0.72578477748283909</v>
      </c>
      <c r="J454" s="633">
        <v>0.2753804088322408</v>
      </c>
      <c r="K454" s="633">
        <v>0.62700936629167092</v>
      </c>
      <c r="L454" s="633">
        <v>0.20100932203692398</v>
      </c>
      <c r="M454" s="547">
        <v>0.82499633474952727</v>
      </c>
      <c r="N454" s="498">
        <v>0.472260844384292</v>
      </c>
      <c r="O454" s="506">
        <v>0.67560947412534866</v>
      </c>
      <c r="P454" s="498">
        <v>0.83332005458290714</v>
      </c>
      <c r="Q454" s="506">
        <v>0.28523533577074811</v>
      </c>
      <c r="R454" s="506">
        <v>0.6226767603494866</v>
      </c>
      <c r="S454" s="689">
        <v>0.6459031772043885</v>
      </c>
      <c r="T454" s="545">
        <v>0.28993853239288497</v>
      </c>
      <c r="U454" s="689">
        <v>0.28577386258896059</v>
      </c>
      <c r="V454" s="689">
        <v>7.5581844779420038E-2</v>
      </c>
      <c r="W454" s="689">
        <v>7.3739179413498557E-2</v>
      </c>
      <c r="X454" s="689">
        <v>1.2519019731595506E-2</v>
      </c>
      <c r="Y454" s="689">
        <v>1.2162971696424522E-2</v>
      </c>
      <c r="Z454" s="792">
        <v>0.48652407682530274</v>
      </c>
      <c r="AA454" s="826" t="s">
        <v>3</v>
      </c>
      <c r="AB454" s="818">
        <v>0.41939273269487365</v>
      </c>
      <c r="AC454" s="818">
        <v>0.55751155851809131</v>
      </c>
      <c r="AD454" s="818"/>
      <c r="AE454" s="818"/>
      <c r="AF454" s="818"/>
      <c r="AG454" s="818"/>
      <c r="AH454" s="818"/>
      <c r="AI454" s="818"/>
      <c r="AJ454" s="818">
        <v>0.50900757313892464</v>
      </c>
      <c r="AK454" s="818">
        <v>0.42362492293917331</v>
      </c>
      <c r="AL454" s="818">
        <v>0.59735605449280871</v>
      </c>
      <c r="AM454" s="818">
        <v>0.46480378187983912</v>
      </c>
      <c r="AN454" s="818">
        <v>0.28837678416618029</v>
      </c>
      <c r="AO454" s="818">
        <v>0.45065388386969046</v>
      </c>
      <c r="AP454" s="818">
        <v>0.52594546297571265</v>
      </c>
      <c r="AQ454" s="801"/>
      <c r="AR454" s="634" t="s">
        <v>3</v>
      </c>
      <c r="AS454" s="635">
        <v>0.36239495651810061</v>
      </c>
      <c r="AT454" s="542">
        <v>0.44305694305694304</v>
      </c>
      <c r="AU454" s="689">
        <v>3.0277861582453984E-2</v>
      </c>
      <c r="AV454" s="636">
        <v>0.53530479322981073</v>
      </c>
      <c r="AW454" s="633">
        <v>0.37796122654787906</v>
      </c>
    </row>
    <row r="455" spans="1:49" s="743" customFormat="1" ht="30" x14ac:dyDescent="0.25">
      <c r="A455" s="1060" t="s">
        <v>6</v>
      </c>
      <c r="B455" s="553" t="s">
        <v>7</v>
      </c>
      <c r="C455" s="541">
        <v>5870</v>
      </c>
      <c r="D455" s="541">
        <v>3653</v>
      </c>
      <c r="E455" s="541">
        <v>3650</v>
      </c>
      <c r="F455" s="541">
        <v>9450</v>
      </c>
      <c r="G455" s="541">
        <v>8432</v>
      </c>
      <c r="H455" s="541">
        <v>15703</v>
      </c>
      <c r="I455" s="541">
        <v>8597</v>
      </c>
      <c r="J455" s="541">
        <v>9599</v>
      </c>
      <c r="K455" s="541">
        <v>7072</v>
      </c>
      <c r="L455" s="541">
        <v>9423</v>
      </c>
      <c r="M455" s="541">
        <v>8889</v>
      </c>
      <c r="N455" s="541">
        <v>11924</v>
      </c>
      <c r="O455" s="541">
        <v>4357</v>
      </c>
      <c r="P455" s="541">
        <v>11252</v>
      </c>
      <c r="Q455" s="541">
        <v>4799</v>
      </c>
      <c r="R455" s="541">
        <v>9711</v>
      </c>
      <c r="S455" s="541">
        <v>11685</v>
      </c>
      <c r="T455" s="558">
        <v>2480</v>
      </c>
      <c r="U455" s="692">
        <v>1570</v>
      </c>
      <c r="V455" s="541">
        <v>3999</v>
      </c>
      <c r="W455" s="541">
        <v>7999</v>
      </c>
      <c r="X455" s="541">
        <v>3999</v>
      </c>
      <c r="Y455" s="541">
        <v>7999</v>
      </c>
      <c r="Z455" s="544">
        <v>172112</v>
      </c>
      <c r="AA455" s="827" t="s">
        <v>7</v>
      </c>
      <c r="AB455" s="816">
        <v>5870</v>
      </c>
      <c r="AC455" s="816">
        <v>3653</v>
      </c>
      <c r="AD455" s="816"/>
      <c r="AE455" s="816"/>
      <c r="AF455" s="816"/>
      <c r="AG455" s="816"/>
      <c r="AH455" s="816"/>
      <c r="AI455" s="816"/>
      <c r="AJ455" s="816">
        <v>34576</v>
      </c>
      <c r="AK455" s="816">
        <v>49348</v>
      </c>
      <c r="AL455" s="816">
        <v>32498</v>
      </c>
      <c r="AM455" s="816">
        <v>42117</v>
      </c>
      <c r="AN455" s="816">
        <v>4050</v>
      </c>
      <c r="AO455" s="816">
        <v>95118</v>
      </c>
      <c r="AP455" s="816">
        <v>76994</v>
      </c>
      <c r="AQ455" s="802" t="s">
        <v>190</v>
      </c>
      <c r="AR455" s="553" t="s">
        <v>4</v>
      </c>
      <c r="AS455" s="564">
        <v>9191.7999999999993</v>
      </c>
      <c r="AT455" s="565">
        <v>13787.7</v>
      </c>
      <c r="AU455" s="566">
        <v>8804.7999999999993</v>
      </c>
      <c r="AV455" s="567">
        <v>13787.7</v>
      </c>
      <c r="AW455" s="568">
        <v>8804.7999999999993</v>
      </c>
    </row>
    <row r="456" spans="1:49" s="743" customFormat="1" x14ac:dyDescent="0.25">
      <c r="A456" s="1061"/>
      <c r="B456" s="637" t="s">
        <v>11</v>
      </c>
      <c r="C456" s="644">
        <v>197918.78999999998</v>
      </c>
      <c r="D456" s="644">
        <v>123168.201</v>
      </c>
      <c r="E456" s="644">
        <v>123067.04999999999</v>
      </c>
      <c r="F456" s="644">
        <v>318625.64999999997</v>
      </c>
      <c r="G456" s="644">
        <v>284301.74400000001</v>
      </c>
      <c r="H456" s="644">
        <v>529458.05099999998</v>
      </c>
      <c r="I456" s="644">
        <v>289865.049</v>
      </c>
      <c r="J456" s="644">
        <v>323649.48300000001</v>
      </c>
      <c r="K456" s="644">
        <v>238446.62399999998</v>
      </c>
      <c r="L456" s="644">
        <v>317715.29099999997</v>
      </c>
      <c r="M456" s="644">
        <v>299710.413</v>
      </c>
      <c r="N456" s="641">
        <v>402041.50799999997</v>
      </c>
      <c r="O456" s="641">
        <v>146904.96899999998</v>
      </c>
      <c r="P456" s="642">
        <v>379383.68400000001</v>
      </c>
      <c r="Q456" s="640">
        <v>161807.883</v>
      </c>
      <c r="R456" s="643">
        <v>327425.78700000001</v>
      </c>
      <c r="S456" s="687">
        <v>393983.14499999996</v>
      </c>
      <c r="T456" s="638">
        <v>83618.16</v>
      </c>
      <c r="U456" s="642">
        <v>52935.689999999995</v>
      </c>
      <c r="V456" s="642">
        <v>134834.283</v>
      </c>
      <c r="W456" s="642">
        <v>269702.283</v>
      </c>
      <c r="X456" s="642">
        <v>134834.283</v>
      </c>
      <c r="Y456" s="642">
        <v>269702.283</v>
      </c>
      <c r="Z456" s="793">
        <v>5803100.3039999986</v>
      </c>
      <c r="AA456" s="824" t="s">
        <v>11</v>
      </c>
      <c r="AB456" s="819">
        <v>197918.78999999998</v>
      </c>
      <c r="AC456" s="819">
        <v>123168.201</v>
      </c>
      <c r="AD456" s="819"/>
      <c r="AE456" s="819"/>
      <c r="AF456" s="819"/>
      <c r="AG456" s="819"/>
      <c r="AH456" s="819"/>
      <c r="AI456" s="819"/>
      <c r="AJ456" s="819">
        <v>1165798.9919999999</v>
      </c>
      <c r="AK456" s="819">
        <v>1663866.5159999998</v>
      </c>
      <c r="AL456" s="819">
        <v>1095735.0659999999</v>
      </c>
      <c r="AM456" s="819">
        <v>1420058.889</v>
      </c>
      <c r="AN456" s="819">
        <v>136553.85</v>
      </c>
      <c r="AO456" s="819">
        <v>3207093.6059999997</v>
      </c>
      <c r="AP456" s="819">
        <v>2596006.6979999999</v>
      </c>
      <c r="AQ456" s="800"/>
      <c r="AR456" s="624" t="s">
        <v>5</v>
      </c>
      <c r="AS456" s="629">
        <v>7975.5</v>
      </c>
      <c r="AT456" s="625">
        <v>13649</v>
      </c>
      <c r="AU456" s="626">
        <v>1289.9000000000001</v>
      </c>
      <c r="AV456" s="631">
        <v>13642</v>
      </c>
      <c r="AW456" s="632">
        <v>5483.9</v>
      </c>
    </row>
    <row r="457" spans="1:49" s="743" customFormat="1" ht="15.75" thickBot="1" x14ac:dyDescent="0.3">
      <c r="A457" s="1061"/>
      <c r="B457" s="637" t="s">
        <v>79</v>
      </c>
      <c r="C457" s="638">
        <v>164000</v>
      </c>
      <c r="D457" s="687">
        <v>109880</v>
      </c>
      <c r="E457" s="638">
        <v>109880</v>
      </c>
      <c r="F457" s="641">
        <v>328000</v>
      </c>
      <c r="G457" s="641">
        <v>330905</v>
      </c>
      <c r="H457" s="641">
        <v>264264</v>
      </c>
      <c r="I457" s="641">
        <v>242663.6</v>
      </c>
      <c r="J457" s="643">
        <v>328000</v>
      </c>
      <c r="K457" s="643">
        <v>328000</v>
      </c>
      <c r="L457" s="687">
        <v>328000</v>
      </c>
      <c r="M457" s="638">
        <v>328000</v>
      </c>
      <c r="N457" s="641">
        <v>264264.40000000002</v>
      </c>
      <c r="O457" s="641">
        <v>328000</v>
      </c>
      <c r="P457" s="641">
        <v>352965.4</v>
      </c>
      <c r="Q457" s="643">
        <v>328000</v>
      </c>
      <c r="R457" s="643">
        <v>328000</v>
      </c>
      <c r="S457" s="687">
        <v>328000</v>
      </c>
      <c r="T457" s="644">
        <v>110302</v>
      </c>
      <c r="U457" s="687">
        <v>66181</v>
      </c>
      <c r="V457" s="687">
        <v>204393</v>
      </c>
      <c r="W457" s="687">
        <v>418993</v>
      </c>
      <c r="X457" s="687">
        <v>204393</v>
      </c>
      <c r="Y457" s="687">
        <v>418993</v>
      </c>
      <c r="Z457" s="794">
        <v>6214077.4000000004</v>
      </c>
      <c r="AA457" s="824" t="s">
        <v>79</v>
      </c>
      <c r="AB457" s="819">
        <v>500036.8</v>
      </c>
      <c r="AC457" s="819">
        <v>301033.40000000002</v>
      </c>
      <c r="AD457" s="819"/>
      <c r="AE457" s="819"/>
      <c r="AF457" s="819"/>
      <c r="AG457" s="819"/>
      <c r="AH457" s="819"/>
      <c r="AI457" s="819"/>
      <c r="AJ457" s="819">
        <v>1591150</v>
      </c>
      <c r="AK457" s="819">
        <v>2180096</v>
      </c>
      <c r="AL457" s="819">
        <v>1710640.4</v>
      </c>
      <c r="AM457" s="819">
        <v>1891038.4</v>
      </c>
      <c r="AN457" s="819">
        <v>176483</v>
      </c>
      <c r="AO457" s="819">
        <v>4372167.8</v>
      </c>
      <c r="AP457" s="819">
        <v>3978310.2</v>
      </c>
      <c r="AQ457" s="801"/>
      <c r="AR457" s="645" t="s">
        <v>3</v>
      </c>
      <c r="AS457" s="635">
        <v>0.86767553689157739</v>
      </c>
      <c r="AT457" s="646">
        <v>0.98994030911609621</v>
      </c>
      <c r="AU457" s="647">
        <v>0.14649963656187537</v>
      </c>
      <c r="AV457" s="648">
        <v>0.98943261022505558</v>
      </c>
      <c r="AW457" s="649">
        <v>0.62283072869343992</v>
      </c>
    </row>
    <row r="458" spans="1:49" s="743" customFormat="1" ht="30" x14ac:dyDescent="0.25">
      <c r="A458" s="1061"/>
      <c r="B458" s="624" t="s">
        <v>8</v>
      </c>
      <c r="C458" s="724">
        <v>5521</v>
      </c>
      <c r="D458" s="725">
        <v>2959</v>
      </c>
      <c r="E458" s="724">
        <v>2985</v>
      </c>
      <c r="F458" s="726">
        <v>7698</v>
      </c>
      <c r="G458" s="726">
        <v>3356</v>
      </c>
      <c r="H458" s="726">
        <v>13614</v>
      </c>
      <c r="I458" s="726">
        <v>7125</v>
      </c>
      <c r="J458" s="727">
        <v>1376</v>
      </c>
      <c r="K458" s="727">
        <v>4073</v>
      </c>
      <c r="L458" s="725">
        <v>4985</v>
      </c>
      <c r="M458" s="724">
        <v>7616</v>
      </c>
      <c r="N458" s="726">
        <v>10872</v>
      </c>
      <c r="O458" s="727">
        <v>3430</v>
      </c>
      <c r="P458" s="726">
        <v>8420</v>
      </c>
      <c r="Q458" s="727">
        <v>1824</v>
      </c>
      <c r="R458" s="727">
        <v>4436</v>
      </c>
      <c r="S458" s="725">
        <v>9227</v>
      </c>
      <c r="T458" s="654">
        <v>1716</v>
      </c>
      <c r="U458" s="686">
        <v>1103</v>
      </c>
      <c r="V458" s="725">
        <v>1177</v>
      </c>
      <c r="W458" s="725">
        <v>1177</v>
      </c>
      <c r="X458" s="725">
        <v>232</v>
      </c>
      <c r="Y458" s="725">
        <v>295</v>
      </c>
      <c r="Z458" s="795">
        <v>105217</v>
      </c>
      <c r="AA458" s="825" t="s">
        <v>8</v>
      </c>
      <c r="AB458" s="820">
        <v>5521</v>
      </c>
      <c r="AC458" s="820">
        <v>2959</v>
      </c>
      <c r="AD458" s="820"/>
      <c r="AE458" s="820"/>
      <c r="AF458" s="820"/>
      <c r="AG458" s="820"/>
      <c r="AH458" s="820"/>
      <c r="AI458" s="820"/>
      <c r="AJ458" s="820">
        <v>26297</v>
      </c>
      <c r="AK458" s="816">
        <v>20324</v>
      </c>
      <c r="AL458" s="816">
        <v>27715</v>
      </c>
      <c r="AM458" s="816">
        <v>19582</v>
      </c>
      <c r="AN458" s="816">
        <v>2819</v>
      </c>
      <c r="AO458" s="816">
        <v>42865</v>
      </c>
      <c r="AP458" s="816">
        <v>62352</v>
      </c>
      <c r="AQ458" s="799" t="s">
        <v>191</v>
      </c>
      <c r="AR458" s="528" t="s">
        <v>4</v>
      </c>
      <c r="AS458" s="544">
        <v>97433.600000000006</v>
      </c>
      <c r="AT458" s="541">
        <v>243584.4</v>
      </c>
      <c r="AU458" s="688">
        <v>132070.29999999999</v>
      </c>
      <c r="AV458" s="552">
        <v>292299.3</v>
      </c>
      <c r="AW458" s="551">
        <v>132070.39999999999</v>
      </c>
    </row>
    <row r="459" spans="1:49" s="743" customFormat="1" x14ac:dyDescent="0.25">
      <c r="A459" s="1061"/>
      <c r="B459" s="655" t="s">
        <v>77</v>
      </c>
      <c r="C459" s="660">
        <v>186151.557</v>
      </c>
      <c r="D459" s="660">
        <v>99768.603000000003</v>
      </c>
      <c r="E459" s="660">
        <v>100645.245</v>
      </c>
      <c r="F459" s="660">
        <v>259553.46599999999</v>
      </c>
      <c r="G459" s="660">
        <v>113154.25199999999</v>
      </c>
      <c r="H459" s="660">
        <v>459023.23799999995</v>
      </c>
      <c r="I459" s="660">
        <v>240233.625</v>
      </c>
      <c r="J459" s="660">
        <v>46394.591999999997</v>
      </c>
      <c r="K459" s="660">
        <v>137329.34099999999</v>
      </c>
      <c r="L459" s="660">
        <v>168079.245</v>
      </c>
      <c r="M459" s="660">
        <v>256788.67199999999</v>
      </c>
      <c r="N459" s="657">
        <v>366571.22399999999</v>
      </c>
      <c r="O459" s="657">
        <v>115649.31</v>
      </c>
      <c r="P459" s="657">
        <v>195760.902</v>
      </c>
      <c r="Q459" s="658">
        <v>61499.807999999997</v>
      </c>
      <c r="R459" s="658">
        <v>149568.61199999999</v>
      </c>
      <c r="S459" s="659">
        <v>311106.75899999996</v>
      </c>
      <c r="T459" s="661">
        <v>57858.371999999996</v>
      </c>
      <c r="U459" s="691">
        <v>37189.850999999995</v>
      </c>
      <c r="V459" s="691">
        <v>39684.909</v>
      </c>
      <c r="W459" s="691">
        <v>39684.909</v>
      </c>
      <c r="X459" s="691">
        <v>7822.3440000000001</v>
      </c>
      <c r="Y459" s="691">
        <v>9946.5149999999994</v>
      </c>
      <c r="Z459" s="796">
        <v>3459465.3510000003</v>
      </c>
      <c r="AA459" s="824" t="s">
        <v>77</v>
      </c>
      <c r="AB459" s="821">
        <v>186151.557</v>
      </c>
      <c r="AC459" s="821">
        <v>99768.603000000003</v>
      </c>
      <c r="AD459" s="821"/>
      <c r="AE459" s="821"/>
      <c r="AF459" s="821"/>
      <c r="AG459" s="821"/>
      <c r="AH459" s="821"/>
      <c r="AI459" s="821"/>
      <c r="AJ459" s="821">
        <v>886655.94900000002</v>
      </c>
      <c r="AK459" s="821">
        <v>685264.30799999996</v>
      </c>
      <c r="AL459" s="821">
        <v>934466.65499999991</v>
      </c>
      <c r="AM459" s="821">
        <v>660246.29399999999</v>
      </c>
      <c r="AN459" s="821">
        <v>95048.222999999998</v>
      </c>
      <c r="AO459" s="821">
        <v>1445279.2049999998</v>
      </c>
      <c r="AP459" s="821">
        <v>2102322.3840000001</v>
      </c>
      <c r="AQ459" s="800"/>
      <c r="AR459" s="624" t="s">
        <v>5</v>
      </c>
      <c r="AS459" s="629">
        <v>38973.199999999997</v>
      </c>
      <c r="AT459" s="625">
        <v>124350.5</v>
      </c>
      <c r="AU459" s="626">
        <v>3817.1</v>
      </c>
      <c r="AV459" s="631">
        <v>109009</v>
      </c>
      <c r="AW459" s="632">
        <v>33401</v>
      </c>
    </row>
    <row r="460" spans="1:49" s="743" customFormat="1" ht="15.75" thickBot="1" x14ac:dyDescent="0.3">
      <c r="A460" s="1062"/>
      <c r="B460" s="504" t="s">
        <v>217</v>
      </c>
      <c r="C460" s="542">
        <v>0.74455142901482452</v>
      </c>
      <c r="D460" s="689">
        <v>0.66284075454750202</v>
      </c>
      <c r="E460" s="690">
        <v>0.66866497205957864</v>
      </c>
      <c r="F460" s="690">
        <v>1.426127348092405</v>
      </c>
      <c r="G460" s="690">
        <v>0.68261559538553507</v>
      </c>
      <c r="H460" s="690">
        <v>1.1784784226133167</v>
      </c>
      <c r="I460" s="690">
        <v>1.3969060999968019</v>
      </c>
      <c r="J460" s="690">
        <v>0.27935439935114786</v>
      </c>
      <c r="K460" s="690">
        <v>1.1073232289838992</v>
      </c>
      <c r="L460" s="690">
        <v>0.75011534280175229</v>
      </c>
      <c r="M460" s="690">
        <v>1.3303106733647931</v>
      </c>
      <c r="N460" s="501">
        <v>0.83650063358601467</v>
      </c>
      <c r="O460" s="501">
        <v>1.3927141288168903</v>
      </c>
      <c r="P460" s="663">
        <v>0.70894368023223808</v>
      </c>
      <c r="Q460" s="520">
        <v>0.740615326811081</v>
      </c>
      <c r="R460" s="520">
        <v>0.78055535434525525</v>
      </c>
      <c r="S460" s="515">
        <v>1.3884281380204146</v>
      </c>
      <c r="T460" s="542">
        <v>1.0490901706224727</v>
      </c>
      <c r="U460" s="689">
        <v>1.1238830177845605</v>
      </c>
      <c r="V460" s="689">
        <v>0.38831964891165549</v>
      </c>
      <c r="W460" s="689">
        <v>0.18942993797032409</v>
      </c>
      <c r="X460" s="689">
        <v>7.6542190779527675E-2</v>
      </c>
      <c r="Y460" s="689">
        <v>4.7478191759766863E-2</v>
      </c>
      <c r="Z460" s="792">
        <v>0.82856702358835044</v>
      </c>
      <c r="AA460" s="826" t="s">
        <v>217</v>
      </c>
      <c r="AB460" s="818">
        <v>0.74455142901482452</v>
      </c>
      <c r="AC460" s="818">
        <v>0.66284075454750202</v>
      </c>
      <c r="AD460" s="818"/>
      <c r="AE460" s="818"/>
      <c r="AF460" s="818"/>
      <c r="AG460" s="818"/>
      <c r="AH460" s="818"/>
      <c r="AI460" s="818"/>
      <c r="AJ460" s="818">
        <v>1.1144844282437232</v>
      </c>
      <c r="AK460" s="818">
        <v>0.6286551674788633</v>
      </c>
      <c r="AL460" s="818">
        <v>1.0925342988508864</v>
      </c>
      <c r="AM460" s="818">
        <v>0.69828967407536513</v>
      </c>
      <c r="AN460" s="818">
        <v>1.0771374353337149</v>
      </c>
      <c r="AO460" s="818">
        <v>0.66112705235146729</v>
      </c>
      <c r="AP460" s="818">
        <v>1.0568921367670123</v>
      </c>
      <c r="AQ460" s="801"/>
      <c r="AR460" s="504" t="s">
        <v>3</v>
      </c>
      <c r="AS460" s="545">
        <v>0.39999753678402516</v>
      </c>
      <c r="AT460" s="542">
        <v>0.51050272513346506</v>
      </c>
      <c r="AU460" s="689">
        <v>2.8902031720984961E-2</v>
      </c>
      <c r="AV460" s="636">
        <v>0.37293623351133581</v>
      </c>
      <c r="AW460" s="633">
        <v>0.25290299718937781</v>
      </c>
    </row>
    <row r="461" spans="1:49" s="743" customFormat="1" ht="15.75" thickBot="1" x14ac:dyDescent="0.3">
      <c r="A461" s="612"/>
      <c r="B461" s="504" t="s">
        <v>218</v>
      </c>
      <c r="C461" s="650">
        <v>175680</v>
      </c>
      <c r="D461" s="650">
        <v>99363.4</v>
      </c>
      <c r="E461" s="650">
        <v>100240</v>
      </c>
      <c r="F461" s="650">
        <v>241555</v>
      </c>
      <c r="G461" s="650">
        <v>110866</v>
      </c>
      <c r="H461" s="650">
        <v>443949</v>
      </c>
      <c r="I461" s="650">
        <v>172778</v>
      </c>
      <c r="J461" s="650">
        <v>46434.3</v>
      </c>
      <c r="K461" s="650">
        <v>138254</v>
      </c>
      <c r="L461" s="650">
        <v>168456</v>
      </c>
      <c r="M461" s="650">
        <v>252827</v>
      </c>
      <c r="N461" s="650">
        <v>366652</v>
      </c>
      <c r="O461" s="650">
        <v>115690</v>
      </c>
      <c r="P461" s="650">
        <v>161173</v>
      </c>
      <c r="Q461" s="650">
        <v>61545.8</v>
      </c>
      <c r="R461" s="650">
        <v>136345</v>
      </c>
      <c r="S461" s="650">
        <v>310735</v>
      </c>
      <c r="T461" s="650">
        <v>57858.1</v>
      </c>
      <c r="U461" s="650">
        <v>37189.699999999997</v>
      </c>
      <c r="V461" s="650">
        <v>39718.400000000001</v>
      </c>
      <c r="W461" s="650">
        <v>39718.400000000001</v>
      </c>
      <c r="X461" s="650">
        <v>7866.56</v>
      </c>
      <c r="Y461" s="696">
        <v>7832.84</v>
      </c>
      <c r="Z461" s="797">
        <v>3292727.5</v>
      </c>
      <c r="AA461" s="826" t="s">
        <v>218</v>
      </c>
      <c r="AB461" s="822">
        <v>175680</v>
      </c>
      <c r="AC461" s="822">
        <v>99363.4</v>
      </c>
      <c r="AD461" s="822"/>
      <c r="AE461" s="822"/>
      <c r="AF461" s="822"/>
      <c r="AG461" s="822"/>
      <c r="AH461" s="822"/>
      <c r="AI461" s="822"/>
      <c r="AJ461" s="822">
        <v>853960</v>
      </c>
      <c r="AK461" s="816">
        <v>616157.26000000013</v>
      </c>
      <c r="AL461" s="816">
        <v>930214</v>
      </c>
      <c r="AM461" s="816">
        <v>522305.04000000004</v>
      </c>
      <c r="AN461" s="816">
        <v>95047.799999999988</v>
      </c>
      <c r="AO461" s="816">
        <v>1237825.7000000002</v>
      </c>
      <c r="AP461" s="816">
        <v>2054901.8</v>
      </c>
      <c r="AQ461" s="801" t="s">
        <v>219</v>
      </c>
      <c r="AR461" s="504" t="s">
        <v>3</v>
      </c>
      <c r="AS461" s="545">
        <v>0.38119624665106289</v>
      </c>
      <c r="AT461" s="545">
        <v>0.47677983409520408</v>
      </c>
      <c r="AU461" s="545">
        <v>2.9589946651719472E-2</v>
      </c>
      <c r="AV461" s="545">
        <v>0.45412051337057324</v>
      </c>
      <c r="AW461" s="545">
        <v>0.31543211186862841</v>
      </c>
    </row>
    <row r="462" spans="1:49" s="743" customFormat="1" ht="15.75" thickBot="1" x14ac:dyDescent="0.3">
      <c r="A462" s="612"/>
      <c r="B462" s="504" t="s">
        <v>216</v>
      </c>
      <c r="C462" s="690">
        <v>0.70266828361432598</v>
      </c>
      <c r="D462" s="690">
        <v>0.6601486745324604</v>
      </c>
      <c r="E462" s="690">
        <v>0.66597261300573285</v>
      </c>
      <c r="F462" s="690">
        <v>1.3272340257188511</v>
      </c>
      <c r="G462" s="690">
        <v>0.66881146099585131</v>
      </c>
      <c r="H462" s="690">
        <v>1.1397774097893481</v>
      </c>
      <c r="I462" s="690">
        <v>1.0046663623597547</v>
      </c>
      <c r="J462" s="690">
        <v>0.27959349196973232</v>
      </c>
      <c r="K462" s="690">
        <v>1.1147790019609867</v>
      </c>
      <c r="L462" s="690">
        <v>0.75179675031864868</v>
      </c>
      <c r="M462" s="690">
        <v>1.30978696994391</v>
      </c>
      <c r="N462" s="690">
        <v>0.83668496113480917</v>
      </c>
      <c r="O462" s="690">
        <v>1.3932041407149429</v>
      </c>
      <c r="P462" s="690">
        <v>0.58368437520823491</v>
      </c>
      <c r="Q462" s="690">
        <v>0.74116918837940815</v>
      </c>
      <c r="R462" s="690">
        <v>0.71154514550288017</v>
      </c>
      <c r="S462" s="690">
        <v>1.3867690269878503</v>
      </c>
      <c r="T462" s="690">
        <v>1.0490852387082736</v>
      </c>
      <c r="U462" s="690">
        <v>1.1238784545413336</v>
      </c>
      <c r="V462" s="690">
        <v>0.38864736072174683</v>
      </c>
      <c r="W462" s="690">
        <v>0.18958980221626615</v>
      </c>
      <c r="X462" s="690">
        <v>7.6974847475207081E-2</v>
      </c>
      <c r="Y462" s="690">
        <v>3.7388882391829935E-2</v>
      </c>
      <c r="Z462" s="798">
        <v>0.78863209986302585</v>
      </c>
      <c r="AA462" s="826" t="s">
        <v>216</v>
      </c>
      <c r="AB462" s="818">
        <v>0.70266828361432598</v>
      </c>
      <c r="AC462" s="818">
        <v>0.6601486745324604</v>
      </c>
      <c r="AD462" s="818"/>
      <c r="AE462" s="818"/>
      <c r="AF462" s="818"/>
      <c r="AG462" s="818"/>
      <c r="AH462" s="818"/>
      <c r="AI462" s="818"/>
      <c r="AJ462" s="818">
        <v>1.0733871727995474</v>
      </c>
      <c r="AK462" s="818">
        <v>0.56525699785697525</v>
      </c>
      <c r="AL462" s="818">
        <v>1.087562295383647</v>
      </c>
      <c r="AM462" s="818">
        <v>0.55240024739846638</v>
      </c>
      <c r="AN462" s="818">
        <v>1.0771326416708691</v>
      </c>
      <c r="AO462" s="818">
        <v>0.56622973162192003</v>
      </c>
      <c r="AP462" s="818">
        <v>1.0330525759404081</v>
      </c>
      <c r="AQ462" s="801"/>
      <c r="AR462" s="504"/>
      <c r="AS462" s="545"/>
      <c r="AT462" s="542"/>
      <c r="AU462" s="689"/>
      <c r="AV462" s="636"/>
      <c r="AW462" s="633"/>
    </row>
    <row r="463" spans="1:49" s="743" customFormat="1" ht="15.75" thickBot="1" x14ac:dyDescent="0.3">
      <c r="A463" s="1048">
        <v>41745</v>
      </c>
      <c r="B463" s="1048"/>
      <c r="C463" s="1048"/>
      <c r="D463" s="529"/>
      <c r="E463" s="529"/>
      <c r="F463" s="529"/>
      <c r="G463" s="529"/>
      <c r="H463" s="529"/>
      <c r="I463" s="525"/>
      <c r="J463" s="531"/>
      <c r="K463" s="531"/>
      <c r="L463" s="529"/>
      <c r="M463" s="529"/>
      <c r="N463" s="527"/>
      <c r="R463" s="526"/>
      <c r="S463" s="534"/>
      <c r="T463" s="534"/>
      <c r="U463" s="534"/>
      <c r="V463" s="534"/>
      <c r="W463" s="534"/>
      <c r="X463" s="534"/>
      <c r="Y463" s="534"/>
      <c r="Z463" s="534"/>
      <c r="AA463" s="534" t="s">
        <v>257</v>
      </c>
      <c r="AB463" s="534" t="s">
        <v>258</v>
      </c>
      <c r="AC463" s="534" t="s">
        <v>259</v>
      </c>
      <c r="AD463" s="534"/>
      <c r="AE463" s="534"/>
      <c r="AF463" s="534"/>
      <c r="AG463" s="534"/>
      <c r="AH463" s="534"/>
      <c r="AI463" s="534"/>
      <c r="AJ463" s="534" t="s">
        <v>260</v>
      </c>
      <c r="AK463" s="534" t="s">
        <v>261</v>
      </c>
      <c r="AL463" s="534" t="s">
        <v>262</v>
      </c>
    </row>
    <row r="464" spans="1:49" s="743" customFormat="1" x14ac:dyDescent="0.25">
      <c r="A464" s="1049" t="s">
        <v>1</v>
      </c>
      <c r="B464" s="1050"/>
      <c r="C464" s="540" t="s">
        <v>12</v>
      </c>
      <c r="D464" s="539" t="s">
        <v>12</v>
      </c>
      <c r="E464" s="540" t="s">
        <v>13</v>
      </c>
      <c r="F464" s="530" t="s">
        <v>13</v>
      </c>
      <c r="G464" s="530" t="s">
        <v>13</v>
      </c>
      <c r="H464" s="530" t="s">
        <v>13</v>
      </c>
      <c r="I464" s="530" t="s">
        <v>13</v>
      </c>
      <c r="J464" s="536" t="s">
        <v>13</v>
      </c>
      <c r="K464" s="536" t="s">
        <v>13</v>
      </c>
      <c r="L464" s="539" t="s">
        <v>13</v>
      </c>
      <c r="M464" s="676" t="s">
        <v>2</v>
      </c>
      <c r="N464" s="530" t="s">
        <v>2</v>
      </c>
      <c r="O464" s="536" t="s">
        <v>2</v>
      </c>
      <c r="P464" s="530" t="s">
        <v>2</v>
      </c>
      <c r="Q464" s="536" t="s">
        <v>2</v>
      </c>
      <c r="R464" s="536" t="s">
        <v>2</v>
      </c>
      <c r="S464" s="539" t="s">
        <v>2</v>
      </c>
      <c r="T464" s="569" t="s">
        <v>183</v>
      </c>
      <c r="U464" s="693" t="s">
        <v>183</v>
      </c>
      <c r="V464" s="693" t="s">
        <v>2</v>
      </c>
      <c r="W464" s="693" t="s">
        <v>13</v>
      </c>
      <c r="X464" s="693" t="s">
        <v>13</v>
      </c>
      <c r="Y464" s="693" t="s">
        <v>2</v>
      </c>
      <c r="Z464" s="745" t="s">
        <v>219</v>
      </c>
      <c r="AA464" s="803" t="s">
        <v>257</v>
      </c>
      <c r="AB464" s="803" t="s">
        <v>258</v>
      </c>
      <c r="AC464" s="803" t="s">
        <v>259</v>
      </c>
      <c r="AD464" s="803"/>
      <c r="AE464" s="803"/>
      <c r="AF464" s="803"/>
      <c r="AG464" s="803"/>
      <c r="AH464" s="803"/>
      <c r="AI464" s="803"/>
      <c r="AJ464" s="803" t="s">
        <v>260</v>
      </c>
      <c r="AK464" s="803" t="s">
        <v>261</v>
      </c>
      <c r="AL464" s="803" t="s">
        <v>262</v>
      </c>
      <c r="AM464" s="803" t="s">
        <v>263</v>
      </c>
      <c r="AN464" s="803" t="s">
        <v>264</v>
      </c>
      <c r="AO464" s="803" t="s">
        <v>265</v>
      </c>
      <c r="AP464" s="1049" t="s">
        <v>1</v>
      </c>
      <c r="AQ464" s="1051"/>
      <c r="AR464" s="768" t="s">
        <v>12</v>
      </c>
      <c r="AS464" s="1052" t="s">
        <v>13</v>
      </c>
      <c r="AT464" s="1053"/>
      <c r="AU464" s="1052" t="s">
        <v>2</v>
      </c>
      <c r="AV464" s="1053"/>
    </row>
    <row r="465" spans="1:48" s="743" customFormat="1" ht="15.75" thickBot="1" x14ac:dyDescent="0.3">
      <c r="A465" s="1054" t="s">
        <v>0</v>
      </c>
      <c r="B465" s="1055"/>
      <c r="C465" s="617" t="s">
        <v>99</v>
      </c>
      <c r="D465" s="618" t="s">
        <v>100</v>
      </c>
      <c r="E465" s="617" t="s">
        <v>101</v>
      </c>
      <c r="F465" s="619" t="s">
        <v>102</v>
      </c>
      <c r="G465" s="619" t="s">
        <v>97</v>
      </c>
      <c r="H465" s="619" t="s">
        <v>104</v>
      </c>
      <c r="I465" s="619" t="s">
        <v>103</v>
      </c>
      <c r="J465" s="521" t="s">
        <v>178</v>
      </c>
      <c r="K465" s="521" t="s">
        <v>199</v>
      </c>
      <c r="L465" s="517" t="s">
        <v>206</v>
      </c>
      <c r="M465" s="617" t="s">
        <v>105</v>
      </c>
      <c r="N465" s="619" t="s">
        <v>107</v>
      </c>
      <c r="O465" s="620" t="s">
        <v>98</v>
      </c>
      <c r="P465" s="516" t="s">
        <v>106</v>
      </c>
      <c r="Q465" s="620" t="s">
        <v>179</v>
      </c>
      <c r="R465" s="620" t="s">
        <v>198</v>
      </c>
      <c r="S465" s="618" t="s">
        <v>207</v>
      </c>
      <c r="T465" s="621" t="s">
        <v>182</v>
      </c>
      <c r="U465" s="618" t="s">
        <v>184</v>
      </c>
      <c r="V465" s="618" t="s">
        <v>221</v>
      </c>
      <c r="W465" s="694" t="s">
        <v>222</v>
      </c>
      <c r="X465" s="694" t="s">
        <v>255</v>
      </c>
      <c r="Y465" s="694" t="s">
        <v>256</v>
      </c>
      <c r="Z465" s="746"/>
      <c r="AA465" s="804"/>
      <c r="AB465" s="804"/>
      <c r="AC465" s="804"/>
      <c r="AD465" s="804"/>
      <c r="AE465" s="804"/>
      <c r="AF465" s="804"/>
      <c r="AG465" s="804"/>
      <c r="AH465" s="804"/>
      <c r="AI465" s="804"/>
      <c r="AJ465" s="804"/>
      <c r="AK465" s="804"/>
      <c r="AL465" s="804"/>
      <c r="AM465" s="804"/>
      <c r="AN465" s="804"/>
      <c r="AO465" s="804"/>
      <c r="AP465" s="1054" t="s">
        <v>0</v>
      </c>
      <c r="AQ465" s="1056"/>
      <c r="AR465" s="621" t="s">
        <v>99</v>
      </c>
      <c r="AS465" s="617" t="s">
        <v>104</v>
      </c>
      <c r="AT465" s="618" t="s">
        <v>206</v>
      </c>
      <c r="AU465" s="622" t="s">
        <v>107</v>
      </c>
      <c r="AV465" s="623" t="s">
        <v>207</v>
      </c>
    </row>
    <row r="466" spans="1:48" s="743" customFormat="1" ht="30" x14ac:dyDescent="0.25">
      <c r="A466" s="1057" t="s">
        <v>9</v>
      </c>
      <c r="B466" s="528" t="s">
        <v>4</v>
      </c>
      <c r="C466" s="541">
        <v>250018.4</v>
      </c>
      <c r="D466" s="688">
        <v>150516.70000000001</v>
      </c>
      <c r="E466" s="541">
        <v>150516.70000000001</v>
      </c>
      <c r="F466" s="533">
        <v>181998.8</v>
      </c>
      <c r="G466" s="533">
        <v>165765.70000000001</v>
      </c>
      <c r="H466" s="533">
        <v>389505</v>
      </c>
      <c r="I466" s="533">
        <v>171975.5</v>
      </c>
      <c r="J466" s="537">
        <v>166077.9</v>
      </c>
      <c r="K466" s="537">
        <v>124019.2</v>
      </c>
      <c r="L466" s="688">
        <v>224071.2</v>
      </c>
      <c r="M466" s="541">
        <v>193029.1</v>
      </c>
      <c r="N466" s="533">
        <v>438219.9</v>
      </c>
      <c r="O466" s="533">
        <v>83038.8</v>
      </c>
      <c r="P466" s="533">
        <v>276130.40000000002</v>
      </c>
      <c r="Q466" s="537">
        <v>83038.8</v>
      </c>
      <c r="R466" s="537">
        <v>191618.2</v>
      </c>
      <c r="S466" s="688">
        <v>224071.2</v>
      </c>
      <c r="T466" s="544">
        <v>55151</v>
      </c>
      <c r="U466" s="688">
        <v>33090.5</v>
      </c>
      <c r="V466" s="688">
        <v>102196.5</v>
      </c>
      <c r="W466" s="688">
        <v>209496.5</v>
      </c>
      <c r="X466" s="688">
        <v>102196.5</v>
      </c>
      <c r="Y466" s="688">
        <v>209496.5</v>
      </c>
      <c r="Z466" s="688">
        <v>4175238.9999999995</v>
      </c>
      <c r="AA466" s="805">
        <f>C466</f>
        <v>250018.4</v>
      </c>
      <c r="AB466" s="805">
        <f>D466</f>
        <v>150516.70000000001</v>
      </c>
      <c r="AC466" s="805">
        <f>F466+H466+L466</f>
        <v>795575</v>
      </c>
      <c r="AD466" s="805"/>
      <c r="AE466" s="805"/>
      <c r="AF466" s="805"/>
      <c r="AG466" s="805"/>
      <c r="AH466" s="805"/>
      <c r="AI466" s="805"/>
      <c r="AJ466" s="805">
        <f>E466+G466+I466+J466+K466+W466+X466</f>
        <v>1090048</v>
      </c>
      <c r="AK466" s="805">
        <f>M466+N466+S466</f>
        <v>855320.2</v>
      </c>
      <c r="AL466" s="805">
        <f>O466+P466+Q466+R466+V466+Y466</f>
        <v>945519.2</v>
      </c>
      <c r="AM466" s="805">
        <f>T466+U466</f>
        <v>88241.5</v>
      </c>
      <c r="AN466" s="805">
        <f>AB466+AJ466+AL466</f>
        <v>2186083.9</v>
      </c>
      <c r="AO466" s="805">
        <f>AA466+AC466+AK466+AM466</f>
        <v>1989155.1</v>
      </c>
      <c r="AP466" s="765" t="s">
        <v>194</v>
      </c>
      <c r="AQ466" s="524" t="s">
        <v>4</v>
      </c>
      <c r="AR466" s="544">
        <v>143393</v>
      </c>
      <c r="AS466" s="541">
        <v>132132</v>
      </c>
      <c r="AT466" s="688">
        <v>83196.100000000006</v>
      </c>
      <c r="AU466" s="552">
        <v>132132.20000000001</v>
      </c>
      <c r="AV466" s="551">
        <v>83196.100000000006</v>
      </c>
    </row>
    <row r="467" spans="1:48" s="743" customFormat="1" x14ac:dyDescent="0.25">
      <c r="A467" s="1058"/>
      <c r="B467" s="624" t="s">
        <v>5</v>
      </c>
      <c r="C467" s="625">
        <v>105533.2</v>
      </c>
      <c r="D467" s="626">
        <v>83884.5</v>
      </c>
      <c r="E467" s="625">
        <v>85226.6</v>
      </c>
      <c r="F467" s="627">
        <v>150532.4</v>
      </c>
      <c r="G467" s="627">
        <v>112621.2</v>
      </c>
      <c r="H467" s="627">
        <v>208254.5</v>
      </c>
      <c r="I467" s="627">
        <v>122490.4</v>
      </c>
      <c r="J467" s="628">
        <v>44692.1</v>
      </c>
      <c r="K467" s="628">
        <v>77104.399999999994</v>
      </c>
      <c r="L467" s="626">
        <v>42196.800000000003</v>
      </c>
      <c r="M467" s="625">
        <v>158788.29999999999</v>
      </c>
      <c r="N467" s="627">
        <v>206326</v>
      </c>
      <c r="O467" s="627">
        <v>57879.4</v>
      </c>
      <c r="P467" s="627">
        <v>225789.2</v>
      </c>
      <c r="Q467" s="628">
        <v>23164.400000000001</v>
      </c>
      <c r="R467" s="628">
        <v>118103.6</v>
      </c>
      <c r="S467" s="626">
        <v>142798.70000000001</v>
      </c>
      <c r="T467" s="629">
        <v>15990.4</v>
      </c>
      <c r="U467" s="626">
        <v>9456.4</v>
      </c>
      <c r="V467" s="626">
        <v>7171.7</v>
      </c>
      <c r="W467" s="695">
        <v>14343.3</v>
      </c>
      <c r="X467" s="695">
        <v>3.1</v>
      </c>
      <c r="Y467" s="695">
        <v>6</v>
      </c>
      <c r="Z467" s="747">
        <v>2012356.5999999999</v>
      </c>
      <c r="AA467" s="806">
        <f>C467</f>
        <v>105533.2</v>
      </c>
      <c r="AB467" s="806">
        <f>D467</f>
        <v>83884.5</v>
      </c>
      <c r="AC467" s="806">
        <f>H467+F467+L467</f>
        <v>400983.7</v>
      </c>
      <c r="AD467" s="806"/>
      <c r="AE467" s="806"/>
      <c r="AF467" s="806"/>
      <c r="AG467" s="806"/>
      <c r="AH467" s="806"/>
      <c r="AI467" s="806"/>
      <c r="AJ467" s="805">
        <f>E467+G467+I467+J467+K467+W467+X467</f>
        <v>456481.09999999992</v>
      </c>
      <c r="AK467" s="805">
        <f>M467+N467+S467</f>
        <v>507913</v>
      </c>
      <c r="AL467" s="805">
        <f>O467+P467+Q467+R467+V467+Y467</f>
        <v>432114.3000000001</v>
      </c>
      <c r="AM467" s="805">
        <f>T467+U467</f>
        <v>25446.799999999999</v>
      </c>
      <c r="AN467" s="805">
        <f>AB467+AJ467+AL467</f>
        <v>972479.89999999991</v>
      </c>
      <c r="AO467" s="805">
        <f>AA467+AC467+AK467+AM467</f>
        <v>1039876.7000000001</v>
      </c>
      <c r="AP467" s="766"/>
      <c r="AQ467" s="630" t="s">
        <v>5</v>
      </c>
      <c r="AR467" s="629">
        <v>51964.9</v>
      </c>
      <c r="AS467" s="625">
        <v>58542</v>
      </c>
      <c r="AT467" s="626">
        <v>2519</v>
      </c>
      <c r="AU467" s="631">
        <v>70731</v>
      </c>
      <c r="AV467" s="632">
        <v>31444.9</v>
      </c>
    </row>
    <row r="468" spans="1:48" s="743" customFormat="1" ht="15.75" thickBot="1" x14ac:dyDescent="0.3">
      <c r="A468" s="1059"/>
      <c r="B468" s="504" t="s">
        <v>3</v>
      </c>
      <c r="C468" s="542">
        <v>0.42210173331242823</v>
      </c>
      <c r="D468" s="633">
        <v>0.55731025195210893</v>
      </c>
      <c r="E468" s="633">
        <v>0.56622687050672782</v>
      </c>
      <c r="F468" s="681">
        <v>0.8271065523508947</v>
      </c>
      <c r="G468" s="633">
        <v>0.67939989997930805</v>
      </c>
      <c r="H468" s="633">
        <v>0.53466451008331084</v>
      </c>
      <c r="I468" s="633">
        <v>0.71225494329134087</v>
      </c>
      <c r="J468" s="633">
        <v>0.26910323408472769</v>
      </c>
      <c r="K468" s="633">
        <v>0.62171341211683351</v>
      </c>
      <c r="L468" s="633">
        <v>0.18831871298051692</v>
      </c>
      <c r="M468" s="547">
        <v>0.82261327437158427</v>
      </c>
      <c r="N468" s="498">
        <v>0.47082754571392121</v>
      </c>
      <c r="O468" s="506">
        <v>0.69701633453277267</v>
      </c>
      <c r="P468" s="498">
        <v>0.81769048246770359</v>
      </c>
      <c r="Q468" s="506">
        <v>0.27895875181240576</v>
      </c>
      <c r="R468" s="506">
        <v>0.61634855144239953</v>
      </c>
      <c r="S468" s="689">
        <v>0.63729162873229583</v>
      </c>
      <c r="T468" s="545">
        <v>0.28993853239288497</v>
      </c>
      <c r="U468" s="689">
        <v>0.28577386258896059</v>
      </c>
      <c r="V468" s="689">
        <v>7.0175593097610969E-2</v>
      </c>
      <c r="W468" s="689">
        <v>6.8465582957233179E-2</v>
      </c>
      <c r="X468" s="689">
        <v>3.0333719843634569E-5</v>
      </c>
      <c r="Y468" s="689">
        <v>2.8640096612592574E-5</v>
      </c>
      <c r="Z468" s="748">
        <v>0.48197398999195018</v>
      </c>
      <c r="AA468" s="807">
        <f t="shared" ref="AA468:AO468" si="88">AA467/AA466</f>
        <v>0.42210173331242823</v>
      </c>
      <c r="AB468" s="807">
        <f t="shared" si="88"/>
        <v>0.55731025195210893</v>
      </c>
      <c r="AC468" s="807">
        <f t="shared" si="88"/>
        <v>0.50401747164000876</v>
      </c>
      <c r="AD468" s="807"/>
      <c r="AE468" s="807"/>
      <c r="AF468" s="807"/>
      <c r="AG468" s="807"/>
      <c r="AH468" s="807"/>
      <c r="AI468" s="807"/>
      <c r="AJ468" s="807">
        <f t="shared" si="88"/>
        <v>0.41877155868365423</v>
      </c>
      <c r="AK468" s="807">
        <f t="shared" si="88"/>
        <v>0.593827902111981</v>
      </c>
      <c r="AL468" s="807">
        <f t="shared" si="88"/>
        <v>0.45701271851486475</v>
      </c>
      <c r="AM468" s="807">
        <f t="shared" si="88"/>
        <v>0.28837678416618029</v>
      </c>
      <c r="AN468" s="807">
        <f t="shared" si="88"/>
        <v>0.44485021823727805</v>
      </c>
      <c r="AO468" s="807">
        <f t="shared" si="88"/>
        <v>0.52277306078344521</v>
      </c>
      <c r="AP468" s="767"/>
      <c r="AQ468" s="634" t="s">
        <v>3</v>
      </c>
      <c r="AR468" s="635">
        <f>AR467/AR466</f>
        <v>0.36239495651810061</v>
      </c>
      <c r="AS468" s="542">
        <f>AS467/AS466</f>
        <v>0.44305694305694304</v>
      </c>
      <c r="AT468" s="689">
        <f>AT467/AT466</f>
        <v>3.0277861582453984E-2</v>
      </c>
      <c r="AU468" s="636">
        <f>AU467/AU466</f>
        <v>0.53530479322981073</v>
      </c>
      <c r="AV468" s="633">
        <f>AV467/AV466</f>
        <v>0.37796122654787906</v>
      </c>
    </row>
    <row r="469" spans="1:48" s="743" customFormat="1" ht="30" x14ac:dyDescent="0.25">
      <c r="A469" s="1060" t="s">
        <v>6</v>
      </c>
      <c r="B469" s="553" t="s">
        <v>7</v>
      </c>
      <c r="C469" s="541">
        <v>5870</v>
      </c>
      <c r="D469" s="541">
        <v>3653</v>
      </c>
      <c r="E469" s="541">
        <v>3650</v>
      </c>
      <c r="F469" s="541">
        <v>9450</v>
      </c>
      <c r="G469" s="541">
        <v>8432</v>
      </c>
      <c r="H469" s="541">
        <v>15703</v>
      </c>
      <c r="I469" s="541">
        <v>8597</v>
      </c>
      <c r="J469" s="541">
        <v>9599</v>
      </c>
      <c r="K469" s="541">
        <v>7078</v>
      </c>
      <c r="L469" s="541">
        <v>9423</v>
      </c>
      <c r="M469" s="541">
        <v>8889</v>
      </c>
      <c r="N469" s="541">
        <v>11924</v>
      </c>
      <c r="O469" s="541">
        <v>4357</v>
      </c>
      <c r="P469" s="541">
        <v>11252</v>
      </c>
      <c r="Q469" s="541">
        <v>4799</v>
      </c>
      <c r="R469" s="541">
        <v>9717</v>
      </c>
      <c r="S469" s="541">
        <v>11685</v>
      </c>
      <c r="T469" s="558">
        <v>2480</v>
      </c>
      <c r="U469" s="692">
        <v>1570</v>
      </c>
      <c r="V469" s="541">
        <v>3999</v>
      </c>
      <c r="W469" s="541">
        <v>7999</v>
      </c>
      <c r="X469" s="541">
        <v>3999</v>
      </c>
      <c r="Y469" s="541">
        <v>7999</v>
      </c>
      <c r="Z469" s="541">
        <v>172124</v>
      </c>
      <c r="AA469" s="805">
        <f>C469</f>
        <v>5870</v>
      </c>
      <c r="AB469" s="805">
        <f>D469</f>
        <v>3653</v>
      </c>
      <c r="AC469" s="805">
        <f>F469+H469+L469</f>
        <v>34576</v>
      </c>
      <c r="AD469" s="805"/>
      <c r="AE469" s="805"/>
      <c r="AF469" s="805"/>
      <c r="AG469" s="805"/>
      <c r="AH469" s="805"/>
      <c r="AI469" s="805"/>
      <c r="AJ469" s="805">
        <f>E469+G469+I469+J469+K469+W469+X469</f>
        <v>49354</v>
      </c>
      <c r="AK469" s="805">
        <f>M469+N469+S469</f>
        <v>32498</v>
      </c>
      <c r="AL469" s="805">
        <f>O469+P469+Q469+R469+V469+Y469</f>
        <v>42123</v>
      </c>
      <c r="AM469" s="805">
        <f>T469+U469</f>
        <v>4050</v>
      </c>
      <c r="AN469" s="805">
        <f>AB469+AJ469+AL469</f>
        <v>95130</v>
      </c>
      <c r="AO469" s="805">
        <f>AA469+AC469+AK469+AM469</f>
        <v>76994</v>
      </c>
      <c r="AP469" s="562" t="s">
        <v>190</v>
      </c>
      <c r="AQ469" s="553" t="s">
        <v>4</v>
      </c>
      <c r="AR469" s="564">
        <v>9191.7999999999993</v>
      </c>
      <c r="AS469" s="565">
        <v>13787.7</v>
      </c>
      <c r="AT469" s="566">
        <v>8804.7999999999993</v>
      </c>
      <c r="AU469" s="567">
        <v>13787.7</v>
      </c>
      <c r="AV469" s="568">
        <v>8804.7999999999993</v>
      </c>
    </row>
    <row r="470" spans="1:48" s="743" customFormat="1" x14ac:dyDescent="0.25">
      <c r="A470" s="1061"/>
      <c r="B470" s="637" t="s">
        <v>11</v>
      </c>
      <c r="C470" s="644">
        <v>197918.78999999998</v>
      </c>
      <c r="D470" s="644">
        <v>123168.201</v>
      </c>
      <c r="E470" s="644">
        <v>123067.04999999999</v>
      </c>
      <c r="F470" s="644">
        <v>318625.64999999997</v>
      </c>
      <c r="G470" s="644">
        <v>284301.74400000001</v>
      </c>
      <c r="H470" s="644">
        <v>529458.05099999998</v>
      </c>
      <c r="I470" s="644">
        <v>289865.049</v>
      </c>
      <c r="J470" s="644">
        <v>323649.48300000001</v>
      </c>
      <c r="K470" s="644">
        <v>238648.92599999998</v>
      </c>
      <c r="L470" s="644">
        <v>317715.29099999997</v>
      </c>
      <c r="M470" s="644">
        <v>299710.413</v>
      </c>
      <c r="N470" s="641">
        <v>402041.50799999997</v>
      </c>
      <c r="O470" s="641">
        <v>146904.96899999998</v>
      </c>
      <c r="P470" s="642">
        <v>379383.68400000001</v>
      </c>
      <c r="Q470" s="640">
        <v>161807.883</v>
      </c>
      <c r="R470" s="643">
        <v>327628.08899999998</v>
      </c>
      <c r="S470" s="687">
        <v>393983.14499999996</v>
      </c>
      <c r="T470" s="638">
        <v>83618.16</v>
      </c>
      <c r="U470" s="642">
        <v>52935.689999999995</v>
      </c>
      <c r="V470" s="642">
        <v>134834.283</v>
      </c>
      <c r="W470" s="642">
        <v>269702.283</v>
      </c>
      <c r="X470" s="642">
        <v>134834.283</v>
      </c>
      <c r="Y470" s="642">
        <v>269702.283</v>
      </c>
      <c r="Z470" s="749">
        <v>5803504.9079999989</v>
      </c>
      <c r="AA470" s="808">
        <f t="shared" ref="AA470:AO470" si="89">AA469*33.717</f>
        <v>197918.78999999998</v>
      </c>
      <c r="AB470" s="808">
        <f t="shared" si="89"/>
        <v>123168.201</v>
      </c>
      <c r="AC470" s="808">
        <f t="shared" si="89"/>
        <v>1165798.9919999999</v>
      </c>
      <c r="AD470" s="808"/>
      <c r="AE470" s="808"/>
      <c r="AF470" s="808"/>
      <c r="AG470" s="808"/>
      <c r="AH470" s="808"/>
      <c r="AI470" s="808"/>
      <c r="AJ470" s="808">
        <f t="shared" si="89"/>
        <v>1664068.818</v>
      </c>
      <c r="AK470" s="808">
        <f t="shared" si="89"/>
        <v>1095735.0659999999</v>
      </c>
      <c r="AL470" s="808">
        <f t="shared" si="89"/>
        <v>1420261.1909999999</v>
      </c>
      <c r="AM470" s="808">
        <f t="shared" si="89"/>
        <v>136553.85</v>
      </c>
      <c r="AN470" s="808">
        <f t="shared" si="89"/>
        <v>3207498.21</v>
      </c>
      <c r="AO470" s="808">
        <f t="shared" si="89"/>
        <v>2596006.6979999999</v>
      </c>
      <c r="AP470" s="766"/>
      <c r="AQ470" s="624" t="s">
        <v>5</v>
      </c>
      <c r="AR470" s="629">
        <v>7975.5</v>
      </c>
      <c r="AS470" s="625">
        <v>13649</v>
      </c>
      <c r="AT470" s="626">
        <v>1289.9000000000001</v>
      </c>
      <c r="AU470" s="631">
        <v>13642</v>
      </c>
      <c r="AV470" s="632">
        <v>5483.9</v>
      </c>
    </row>
    <row r="471" spans="1:48" s="743" customFormat="1" ht="15.75" thickBot="1" x14ac:dyDescent="0.3">
      <c r="A471" s="1061"/>
      <c r="B471" s="637" t="s">
        <v>79</v>
      </c>
      <c r="C471" s="638">
        <v>164000</v>
      </c>
      <c r="D471" s="687">
        <v>109880</v>
      </c>
      <c r="E471" s="638">
        <v>109880</v>
      </c>
      <c r="F471" s="641">
        <v>328000</v>
      </c>
      <c r="G471" s="641">
        <v>330905</v>
      </c>
      <c r="H471" s="641">
        <v>264264</v>
      </c>
      <c r="I471" s="641">
        <v>242663.6</v>
      </c>
      <c r="J471" s="643">
        <v>328000</v>
      </c>
      <c r="K471" s="643">
        <v>328000</v>
      </c>
      <c r="L471" s="687">
        <v>328000</v>
      </c>
      <c r="M471" s="638">
        <v>328000</v>
      </c>
      <c r="N471" s="641">
        <v>264264.40000000002</v>
      </c>
      <c r="O471" s="641">
        <v>328000</v>
      </c>
      <c r="P471" s="641">
        <v>352965.4</v>
      </c>
      <c r="Q471" s="643">
        <v>328000</v>
      </c>
      <c r="R471" s="643">
        <v>328000</v>
      </c>
      <c r="S471" s="687">
        <v>328000</v>
      </c>
      <c r="T471" s="644">
        <v>110302</v>
      </c>
      <c r="U471" s="687">
        <v>66181</v>
      </c>
      <c r="V471" s="687">
        <v>204393</v>
      </c>
      <c r="W471" s="687">
        <v>418993</v>
      </c>
      <c r="X471" s="687">
        <v>204393</v>
      </c>
      <c r="Y471" s="687">
        <v>418993</v>
      </c>
      <c r="Z471" s="750">
        <v>6214077.4000000004</v>
      </c>
      <c r="AA471" s="808">
        <f t="shared" ref="AA471:AO471" si="90">2*AA466</f>
        <v>500036.8</v>
      </c>
      <c r="AB471" s="808">
        <f t="shared" si="90"/>
        <v>301033.40000000002</v>
      </c>
      <c r="AC471" s="808">
        <f t="shared" si="90"/>
        <v>1591150</v>
      </c>
      <c r="AD471" s="808"/>
      <c r="AE471" s="808"/>
      <c r="AF471" s="808"/>
      <c r="AG471" s="808"/>
      <c r="AH471" s="808"/>
      <c r="AI471" s="808"/>
      <c r="AJ471" s="808">
        <f t="shared" si="90"/>
        <v>2180096</v>
      </c>
      <c r="AK471" s="808">
        <f t="shared" si="90"/>
        <v>1710640.4</v>
      </c>
      <c r="AL471" s="808">
        <f t="shared" si="90"/>
        <v>1891038.4</v>
      </c>
      <c r="AM471" s="808">
        <f t="shared" si="90"/>
        <v>176483</v>
      </c>
      <c r="AN471" s="808">
        <f t="shared" si="90"/>
        <v>4372167.8</v>
      </c>
      <c r="AO471" s="808">
        <f t="shared" si="90"/>
        <v>3978310.2</v>
      </c>
      <c r="AP471" s="767"/>
      <c r="AQ471" s="645" t="s">
        <v>3</v>
      </c>
      <c r="AR471" s="635">
        <f>AR470/AR469</f>
        <v>0.86767553689157739</v>
      </c>
      <c r="AS471" s="646">
        <f>AS470/AS469</f>
        <v>0.98994030911609621</v>
      </c>
      <c r="AT471" s="647">
        <f>AT470/AT469</f>
        <v>0.14649963656187537</v>
      </c>
      <c r="AU471" s="648">
        <f>AU470/AU469</f>
        <v>0.98943261022505558</v>
      </c>
      <c r="AV471" s="649">
        <f>AV470/AV469</f>
        <v>0.62283072869343992</v>
      </c>
    </row>
    <row r="472" spans="1:48" s="743" customFormat="1" ht="30" x14ac:dyDescent="0.25">
      <c r="A472" s="1061"/>
      <c r="B472" s="624" t="s">
        <v>8</v>
      </c>
      <c r="C472" s="724">
        <v>5520</v>
      </c>
      <c r="D472" s="725">
        <v>2939</v>
      </c>
      <c r="E472" s="724">
        <v>2965</v>
      </c>
      <c r="F472" s="726">
        <v>7698</v>
      </c>
      <c r="G472" s="726">
        <v>3432</v>
      </c>
      <c r="H472" s="726">
        <v>13618</v>
      </c>
      <c r="I472" s="726">
        <v>7124</v>
      </c>
      <c r="J472" s="727">
        <v>1376</v>
      </c>
      <c r="K472" s="727">
        <v>4062</v>
      </c>
      <c r="L472" s="725">
        <v>4951</v>
      </c>
      <c r="M472" s="724">
        <v>7616</v>
      </c>
      <c r="N472" s="726">
        <v>10878</v>
      </c>
      <c r="O472" s="727">
        <v>3460</v>
      </c>
      <c r="P472" s="726">
        <v>8588</v>
      </c>
      <c r="Q472" s="727">
        <v>1824</v>
      </c>
      <c r="R472" s="727">
        <v>4421</v>
      </c>
      <c r="S472" s="725">
        <v>9196</v>
      </c>
      <c r="T472" s="654">
        <v>1716</v>
      </c>
      <c r="U472" s="686">
        <v>1103</v>
      </c>
      <c r="V472" s="725">
        <v>1177</v>
      </c>
      <c r="W472" s="725">
        <v>1177</v>
      </c>
      <c r="X472" s="725">
        <v>-1</v>
      </c>
      <c r="Y472" s="725">
        <v>-1</v>
      </c>
      <c r="Z472" s="751">
        <v>104839</v>
      </c>
      <c r="AA472" s="809">
        <f>C472</f>
        <v>5520</v>
      </c>
      <c r="AB472" s="809">
        <f>D472</f>
        <v>2939</v>
      </c>
      <c r="AC472" s="809">
        <f>F472+H472+L472</f>
        <v>26267</v>
      </c>
      <c r="AD472" s="809"/>
      <c r="AE472" s="809"/>
      <c r="AF472" s="809"/>
      <c r="AG472" s="809"/>
      <c r="AH472" s="809"/>
      <c r="AI472" s="809"/>
      <c r="AJ472" s="805">
        <f>E472+G472+I472+J472+K472+W472+X472</f>
        <v>20135</v>
      </c>
      <c r="AK472" s="805">
        <f>M472+N472+S472</f>
        <v>27690</v>
      </c>
      <c r="AL472" s="805">
        <f>O472+P472+Q472+R472+V472+Y472</f>
        <v>19469</v>
      </c>
      <c r="AM472" s="805">
        <f>T472+U472</f>
        <v>2819</v>
      </c>
      <c r="AN472" s="805">
        <f>AB472+AJ472+AL472</f>
        <v>42543</v>
      </c>
      <c r="AO472" s="805">
        <f>AA472+AC472+AK472+AM472</f>
        <v>62296</v>
      </c>
      <c r="AP472" s="765" t="s">
        <v>191</v>
      </c>
      <c r="AQ472" s="528" t="s">
        <v>4</v>
      </c>
      <c r="AR472" s="544">
        <v>97433.600000000006</v>
      </c>
      <c r="AS472" s="541">
        <v>243584.4</v>
      </c>
      <c r="AT472" s="688">
        <v>132070.29999999999</v>
      </c>
      <c r="AU472" s="552">
        <v>292299.3</v>
      </c>
      <c r="AV472" s="551">
        <v>132070.39999999999</v>
      </c>
    </row>
    <row r="473" spans="1:48" s="743" customFormat="1" x14ac:dyDescent="0.25">
      <c r="A473" s="1061"/>
      <c r="B473" s="655" t="s">
        <v>77</v>
      </c>
      <c r="C473" s="660">
        <v>186117.84</v>
      </c>
      <c r="D473" s="660">
        <v>99094.262999999992</v>
      </c>
      <c r="E473" s="660">
        <v>99970.904999999999</v>
      </c>
      <c r="F473" s="660">
        <v>259553.46599999999</v>
      </c>
      <c r="G473" s="660">
        <v>115716.74399999999</v>
      </c>
      <c r="H473" s="660">
        <v>459158.10599999997</v>
      </c>
      <c r="I473" s="660">
        <v>240199.908</v>
      </c>
      <c r="J473" s="660">
        <v>46394.591999999997</v>
      </c>
      <c r="K473" s="660">
        <v>136958.454</v>
      </c>
      <c r="L473" s="660">
        <v>166932.867</v>
      </c>
      <c r="M473" s="660">
        <v>256788.67199999999</v>
      </c>
      <c r="N473" s="657">
        <v>366773.52600000001</v>
      </c>
      <c r="O473" s="657">
        <v>116660.81999999999</v>
      </c>
      <c r="P473" s="657">
        <v>201425.35799999995</v>
      </c>
      <c r="Q473" s="658">
        <v>61499.807999999997</v>
      </c>
      <c r="R473" s="658">
        <v>149062.85699999999</v>
      </c>
      <c r="S473" s="659">
        <v>310061.53200000001</v>
      </c>
      <c r="T473" s="661">
        <v>57858.371999999996</v>
      </c>
      <c r="U473" s="691">
        <v>37189.850999999995</v>
      </c>
      <c r="V473" s="691">
        <v>39684.909</v>
      </c>
      <c r="W473" s="691">
        <v>39684.909</v>
      </c>
      <c r="X473" s="691">
        <v>-33.716999999999999</v>
      </c>
      <c r="Y473" s="691">
        <v>-33.716999999999999</v>
      </c>
      <c r="Z473" s="752">
        <v>3446720.3249999993</v>
      </c>
      <c r="AA473" s="810">
        <f t="shared" ref="AA473:AO473" si="91">AA472*33.717</f>
        <v>186117.84</v>
      </c>
      <c r="AB473" s="810">
        <f t="shared" si="91"/>
        <v>99094.262999999992</v>
      </c>
      <c r="AC473" s="810">
        <f t="shared" si="91"/>
        <v>885644.43900000001</v>
      </c>
      <c r="AD473" s="810"/>
      <c r="AE473" s="810"/>
      <c r="AF473" s="810"/>
      <c r="AG473" s="810"/>
      <c r="AH473" s="810"/>
      <c r="AI473" s="810"/>
      <c r="AJ473" s="810">
        <f t="shared" si="91"/>
        <v>678891.79499999993</v>
      </c>
      <c r="AK473" s="810">
        <f t="shared" si="91"/>
        <v>933623.73</v>
      </c>
      <c r="AL473" s="810">
        <f t="shared" si="91"/>
        <v>656436.27299999993</v>
      </c>
      <c r="AM473" s="810">
        <f t="shared" si="91"/>
        <v>95048.222999999998</v>
      </c>
      <c r="AN473" s="810">
        <f t="shared" si="91"/>
        <v>1434422.331</v>
      </c>
      <c r="AO473" s="810">
        <f t="shared" si="91"/>
        <v>2100434.2319999998</v>
      </c>
      <c r="AP473" s="766"/>
      <c r="AQ473" s="624" t="s">
        <v>5</v>
      </c>
      <c r="AR473" s="629">
        <v>38973.199999999997</v>
      </c>
      <c r="AS473" s="625">
        <v>124350.5</v>
      </c>
      <c r="AT473" s="626">
        <v>3817.1</v>
      </c>
      <c r="AU473" s="631">
        <v>109009</v>
      </c>
      <c r="AV473" s="632">
        <v>33401</v>
      </c>
    </row>
    <row r="474" spans="1:48" s="743" customFormat="1" ht="15.75" thickBot="1" x14ac:dyDescent="0.3">
      <c r="A474" s="1062"/>
      <c r="B474" s="504" t="s">
        <v>217</v>
      </c>
      <c r="C474" s="542">
        <v>0.74441657094037883</v>
      </c>
      <c r="D474" s="689">
        <v>0.65836058723051982</v>
      </c>
      <c r="E474" s="690">
        <v>0.66418480474259656</v>
      </c>
      <c r="F474" s="690">
        <v>1.426127348092405</v>
      </c>
      <c r="G474" s="690">
        <v>0.698074113040273</v>
      </c>
      <c r="H474" s="690">
        <v>1.1788246774752569</v>
      </c>
      <c r="I474" s="690">
        <v>1.396710043000311</v>
      </c>
      <c r="J474" s="690">
        <v>0.27935439935114786</v>
      </c>
      <c r="K474" s="690">
        <v>1.1043326678449787</v>
      </c>
      <c r="L474" s="690">
        <v>0.74499921007251257</v>
      </c>
      <c r="M474" s="690">
        <v>1.3303106733647931</v>
      </c>
      <c r="N474" s="501">
        <v>0.83696227852728733</v>
      </c>
      <c r="O474" s="501">
        <v>1.4048953019552304</v>
      </c>
      <c r="P474" s="663">
        <v>0.72945737955690471</v>
      </c>
      <c r="Q474" s="520">
        <v>0.740615326811081</v>
      </c>
      <c r="R474" s="520">
        <v>0.77791596518493533</v>
      </c>
      <c r="S474" s="515">
        <v>1.3837634287672846</v>
      </c>
      <c r="T474" s="542">
        <v>1.0490901706224727</v>
      </c>
      <c r="U474" s="689">
        <v>1.1238830177845605</v>
      </c>
      <c r="V474" s="689">
        <v>0.38831964891165549</v>
      </c>
      <c r="W474" s="689">
        <v>0.18942993797032409</v>
      </c>
      <c r="X474" s="689">
        <v>-3.2992323611865374E-4</v>
      </c>
      <c r="Y474" s="689">
        <v>-1.6094302291446395E-4</v>
      </c>
      <c r="Z474" s="748">
        <v>0.82551449749343686</v>
      </c>
      <c r="AA474" s="807">
        <f t="shared" ref="AA474:AO474" si="92">AA473/AA466</f>
        <v>0.74441657094037883</v>
      </c>
      <c r="AB474" s="807">
        <f t="shared" si="92"/>
        <v>0.65836058723051982</v>
      </c>
      <c r="AC474" s="807">
        <f t="shared" si="92"/>
        <v>1.1132130082016152</v>
      </c>
      <c r="AD474" s="807"/>
      <c r="AE474" s="807"/>
      <c r="AF474" s="807"/>
      <c r="AG474" s="807"/>
      <c r="AH474" s="807"/>
      <c r="AI474" s="807"/>
      <c r="AJ474" s="807">
        <f t="shared" si="92"/>
        <v>0.62280908271929303</v>
      </c>
      <c r="AK474" s="807">
        <f t="shared" si="92"/>
        <v>1.0915487907335757</v>
      </c>
      <c r="AL474" s="807">
        <f t="shared" si="92"/>
        <v>0.69426011973104296</v>
      </c>
      <c r="AM474" s="807">
        <f t="shared" si="92"/>
        <v>1.0771374353337149</v>
      </c>
      <c r="AN474" s="807">
        <f t="shared" si="92"/>
        <v>0.65616069493032725</v>
      </c>
      <c r="AO474" s="807">
        <f t="shared" si="92"/>
        <v>1.0559429136521328</v>
      </c>
      <c r="AP474" s="767"/>
      <c r="AQ474" s="504" t="s">
        <v>3</v>
      </c>
      <c r="AR474" s="545">
        <f>AR473/AR472</f>
        <v>0.39999753678402516</v>
      </c>
      <c r="AS474" s="542">
        <f>AS473/AS472</f>
        <v>0.51050272513346506</v>
      </c>
      <c r="AT474" s="689">
        <f>AT473/AT472</f>
        <v>2.8902031720984961E-2</v>
      </c>
      <c r="AU474" s="636">
        <f>AU473/AU472</f>
        <v>0.37293623351133581</v>
      </c>
      <c r="AV474" s="633">
        <f>AV473/AV472</f>
        <v>0.25290299718937781</v>
      </c>
    </row>
    <row r="475" spans="1:48" s="743" customFormat="1" ht="15.75" thickBot="1" x14ac:dyDescent="0.3">
      <c r="A475" s="612"/>
      <c r="B475" s="504" t="s">
        <v>218</v>
      </c>
      <c r="C475" s="650">
        <v>175107</v>
      </c>
      <c r="D475" s="650">
        <v>98689.1</v>
      </c>
      <c r="E475" s="650">
        <v>99565.7</v>
      </c>
      <c r="F475" s="650">
        <v>241555</v>
      </c>
      <c r="G475" s="650">
        <v>113429</v>
      </c>
      <c r="H475" s="650">
        <v>444084</v>
      </c>
      <c r="I475" s="650">
        <v>172745</v>
      </c>
      <c r="J475" s="650">
        <v>46434.3</v>
      </c>
      <c r="K475" s="650">
        <v>137883</v>
      </c>
      <c r="L475" s="650">
        <v>167040</v>
      </c>
      <c r="M475" s="650">
        <v>252827</v>
      </c>
      <c r="N475" s="650">
        <v>366854</v>
      </c>
      <c r="O475" s="650">
        <v>116701</v>
      </c>
      <c r="P475" s="650">
        <v>168995</v>
      </c>
      <c r="Q475" s="650">
        <v>61545.8</v>
      </c>
      <c r="R475" s="650">
        <v>135975</v>
      </c>
      <c r="S475" s="650">
        <v>309682</v>
      </c>
      <c r="T475" s="650">
        <v>57858.1</v>
      </c>
      <c r="U475" s="650">
        <v>37189.699999999997</v>
      </c>
      <c r="V475" s="650">
        <v>39718.400000000001</v>
      </c>
      <c r="W475" s="650">
        <v>39718.400000000001</v>
      </c>
      <c r="X475" s="650">
        <v>0</v>
      </c>
      <c r="Y475" s="696">
        <v>0</v>
      </c>
      <c r="Z475" s="753">
        <v>3283596.5</v>
      </c>
      <c r="AA475" s="811">
        <f>C475</f>
        <v>175107</v>
      </c>
      <c r="AB475" s="811">
        <f>D475</f>
        <v>98689.1</v>
      </c>
      <c r="AC475" s="811">
        <f>F475+H475+L475</f>
        <v>852679</v>
      </c>
      <c r="AD475" s="811"/>
      <c r="AE475" s="811"/>
      <c r="AF475" s="811"/>
      <c r="AG475" s="811"/>
      <c r="AH475" s="811"/>
      <c r="AI475" s="811"/>
      <c r="AJ475" s="805">
        <f>E475+G475+I475+J475+K475+W475+X475</f>
        <v>609775.4</v>
      </c>
      <c r="AK475" s="805">
        <f>M475+N475+S475</f>
        <v>929363</v>
      </c>
      <c r="AL475" s="805">
        <f>O475+P475+Q475+R475+V475+Y475</f>
        <v>522935.2</v>
      </c>
      <c r="AM475" s="805">
        <f>T475+U475</f>
        <v>95047.799999999988</v>
      </c>
      <c r="AN475" s="805">
        <f>AB475+AJ475+AL475</f>
        <v>1231399.7</v>
      </c>
      <c r="AO475" s="805">
        <f>AA475+AC475+AK475+AM475</f>
        <v>2052196.8</v>
      </c>
      <c r="AP475" s="767" t="s">
        <v>219</v>
      </c>
      <c r="AQ475" s="504" t="s">
        <v>3</v>
      </c>
      <c r="AR475" s="545">
        <f>(AR468+AR474)/2</f>
        <v>0.38119624665106289</v>
      </c>
      <c r="AS475" s="545">
        <f t="shared" ref="AS475:AV475" si="93">(AS468+AS474)/2</f>
        <v>0.47677983409520408</v>
      </c>
      <c r="AT475" s="545">
        <f t="shared" si="93"/>
        <v>2.9589946651719472E-2</v>
      </c>
      <c r="AU475" s="545">
        <f t="shared" si="93"/>
        <v>0.45412051337057324</v>
      </c>
      <c r="AV475" s="545">
        <f t="shared" si="93"/>
        <v>0.31543211186862841</v>
      </c>
    </row>
    <row r="476" spans="1:48" s="743" customFormat="1" ht="15.75" thickBot="1" x14ac:dyDescent="0.3">
      <c r="A476" s="612"/>
      <c r="B476" s="504" t="s">
        <v>216</v>
      </c>
      <c r="C476" s="690">
        <v>0.7003764522931113</v>
      </c>
      <c r="D476" s="690">
        <v>0.65566877296672066</v>
      </c>
      <c r="E476" s="690">
        <v>0.661492711439993</v>
      </c>
      <c r="F476" s="690">
        <v>1.3272340257188511</v>
      </c>
      <c r="G476" s="690">
        <v>0.68427304321702254</v>
      </c>
      <c r="H476" s="690">
        <v>1.1401240035429583</v>
      </c>
      <c r="I476" s="690">
        <v>1.0044744745617835</v>
      </c>
      <c r="J476" s="690">
        <v>0.27959349196973232</v>
      </c>
      <c r="K476" s="690">
        <v>1.1117875296728248</v>
      </c>
      <c r="L476" s="690">
        <v>0.74547733041997366</v>
      </c>
      <c r="M476" s="690">
        <v>1.30978696994391</v>
      </c>
      <c r="N476" s="690">
        <v>0.83714591692435691</v>
      </c>
      <c r="O476" s="690">
        <v>1.4053791721460329</v>
      </c>
      <c r="P476" s="690">
        <v>0.61201157134455308</v>
      </c>
      <c r="Q476" s="690">
        <v>0.74116918837940815</v>
      </c>
      <c r="R476" s="690">
        <v>0.70961422244859829</v>
      </c>
      <c r="S476" s="690">
        <v>1.3820696278682847</v>
      </c>
      <c r="T476" s="690">
        <v>1.0490852387082736</v>
      </c>
      <c r="U476" s="690">
        <v>1.1238784545413336</v>
      </c>
      <c r="V476" s="690">
        <v>0.38864736072174683</v>
      </c>
      <c r="W476" s="690">
        <v>0.18958980221626615</v>
      </c>
      <c r="X476" s="690">
        <v>0</v>
      </c>
      <c r="Y476" s="690">
        <v>0</v>
      </c>
      <c r="Z476" s="754">
        <v>0.78644515918729452</v>
      </c>
      <c r="AA476" s="807">
        <f t="shared" ref="AA476:AO476" si="94">AA475/AA466</f>
        <v>0.7003764522931113</v>
      </c>
      <c r="AB476" s="807">
        <f t="shared" si="94"/>
        <v>0.65566877296672066</v>
      </c>
      <c r="AC476" s="807">
        <f t="shared" si="94"/>
        <v>1.071777016623197</v>
      </c>
      <c r="AD476" s="807"/>
      <c r="AE476" s="807"/>
      <c r="AF476" s="807"/>
      <c r="AG476" s="807"/>
      <c r="AH476" s="807"/>
      <c r="AI476" s="807"/>
      <c r="AJ476" s="807">
        <f t="shared" si="94"/>
        <v>0.55940233824565522</v>
      </c>
      <c r="AK476" s="807">
        <f t="shared" si="94"/>
        <v>1.0865673463575396</v>
      </c>
      <c r="AL476" s="807">
        <f t="shared" si="94"/>
        <v>0.55306671720680023</v>
      </c>
      <c r="AM476" s="807">
        <f t="shared" si="94"/>
        <v>1.0771326416708691</v>
      </c>
      <c r="AN476" s="807">
        <f t="shared" si="94"/>
        <v>0.56329022870531187</v>
      </c>
      <c r="AO476" s="807">
        <f t="shared" si="94"/>
        <v>1.0316927020924613</v>
      </c>
      <c r="AP476" s="767"/>
      <c r="AQ476" s="504"/>
      <c r="AR476" s="545"/>
      <c r="AS476" s="542"/>
      <c r="AT476" s="689"/>
      <c r="AU476" s="636"/>
      <c r="AV476" s="633"/>
    </row>
    <row r="477" spans="1:48" s="743" customFormat="1" ht="15.75" thickBot="1" x14ac:dyDescent="0.3">
      <c r="A477" s="1048">
        <v>41739</v>
      </c>
      <c r="B477" s="1048"/>
      <c r="C477" s="1048"/>
      <c r="D477" s="529"/>
      <c r="E477" s="529"/>
      <c r="F477" s="529"/>
      <c r="G477" s="529"/>
      <c r="H477" s="529"/>
      <c r="I477" s="525"/>
      <c r="J477" s="531"/>
      <c r="K477" s="531"/>
      <c r="L477" s="529"/>
      <c r="M477" s="529"/>
      <c r="N477" s="527"/>
      <c r="R477" s="526"/>
      <c r="S477" s="534"/>
      <c r="T477" s="534"/>
      <c r="U477" s="534"/>
      <c r="V477" s="534"/>
      <c r="W477" s="534"/>
      <c r="X477" s="534"/>
      <c r="Y477" s="534"/>
      <c r="Z477" s="534"/>
      <c r="AA477" s="1063"/>
      <c r="AB477" s="1064"/>
    </row>
    <row r="478" spans="1:48" s="743" customFormat="1" x14ac:dyDescent="0.25">
      <c r="A478" s="1049" t="s">
        <v>1</v>
      </c>
      <c r="B478" s="1050"/>
      <c r="C478" s="540" t="s">
        <v>12</v>
      </c>
      <c r="D478" s="539" t="s">
        <v>12</v>
      </c>
      <c r="E478" s="540" t="s">
        <v>13</v>
      </c>
      <c r="F478" s="530" t="s">
        <v>13</v>
      </c>
      <c r="G478" s="530" t="s">
        <v>13</v>
      </c>
      <c r="H478" s="530" t="s">
        <v>13</v>
      </c>
      <c r="I478" s="530" t="s">
        <v>13</v>
      </c>
      <c r="J478" s="536" t="s">
        <v>13</v>
      </c>
      <c r="K478" s="536" t="s">
        <v>13</v>
      </c>
      <c r="L478" s="539" t="s">
        <v>13</v>
      </c>
      <c r="M478" s="676" t="s">
        <v>2</v>
      </c>
      <c r="N478" s="530" t="s">
        <v>2</v>
      </c>
      <c r="O478" s="536" t="s">
        <v>2</v>
      </c>
      <c r="P478" s="530" t="s">
        <v>2</v>
      </c>
      <c r="Q478" s="536" t="s">
        <v>2</v>
      </c>
      <c r="R478" s="536" t="s">
        <v>2</v>
      </c>
      <c r="S478" s="539" t="s">
        <v>2</v>
      </c>
      <c r="T478" s="569" t="s">
        <v>183</v>
      </c>
      <c r="U478" s="693" t="s">
        <v>183</v>
      </c>
      <c r="V478" s="693" t="s">
        <v>2</v>
      </c>
      <c r="W478" s="693" t="s">
        <v>13</v>
      </c>
      <c r="X478" s="745" t="s">
        <v>219</v>
      </c>
      <c r="Y478" s="534"/>
      <c r="Z478" s="534"/>
      <c r="AA478" s="534"/>
      <c r="AB478" s="1049" t="s">
        <v>1</v>
      </c>
      <c r="AC478" s="1051"/>
      <c r="AD478" s="929"/>
      <c r="AE478" s="929"/>
      <c r="AF478" s="929"/>
      <c r="AG478" s="929"/>
      <c r="AH478" s="929"/>
      <c r="AI478" s="929"/>
      <c r="AJ478" s="763" t="s">
        <v>12</v>
      </c>
      <c r="AK478" s="1052" t="s">
        <v>13</v>
      </c>
      <c r="AL478" s="1053"/>
      <c r="AM478" s="1052" t="s">
        <v>2</v>
      </c>
      <c r="AN478" s="1065"/>
      <c r="AO478" s="1065"/>
      <c r="AP478" s="1053"/>
    </row>
    <row r="479" spans="1:48" s="743" customFormat="1" ht="15.75" thickBot="1" x14ac:dyDescent="0.3">
      <c r="A479" s="1054" t="s">
        <v>0</v>
      </c>
      <c r="B479" s="1055"/>
      <c r="C479" s="617" t="s">
        <v>99</v>
      </c>
      <c r="D479" s="618" t="s">
        <v>100</v>
      </c>
      <c r="E479" s="617" t="s">
        <v>101</v>
      </c>
      <c r="F479" s="619" t="s">
        <v>102</v>
      </c>
      <c r="G479" s="619" t="s">
        <v>97</v>
      </c>
      <c r="H479" s="619" t="s">
        <v>104</v>
      </c>
      <c r="I479" s="619" t="s">
        <v>103</v>
      </c>
      <c r="J479" s="521" t="s">
        <v>178</v>
      </c>
      <c r="K479" s="521" t="s">
        <v>199</v>
      </c>
      <c r="L479" s="517" t="s">
        <v>206</v>
      </c>
      <c r="M479" s="617" t="s">
        <v>105</v>
      </c>
      <c r="N479" s="619" t="s">
        <v>107</v>
      </c>
      <c r="O479" s="620" t="s">
        <v>98</v>
      </c>
      <c r="P479" s="516" t="s">
        <v>106</v>
      </c>
      <c r="Q479" s="620" t="s">
        <v>179</v>
      </c>
      <c r="R479" s="620" t="s">
        <v>198</v>
      </c>
      <c r="S479" s="618" t="s">
        <v>207</v>
      </c>
      <c r="T479" s="621" t="s">
        <v>182</v>
      </c>
      <c r="U479" s="618" t="s">
        <v>184</v>
      </c>
      <c r="V479" s="618" t="s">
        <v>221</v>
      </c>
      <c r="W479" s="694" t="s">
        <v>222</v>
      </c>
      <c r="X479" s="746"/>
      <c r="Y479" s="526"/>
      <c r="Z479" s="526"/>
      <c r="AA479" s="526"/>
      <c r="AB479" s="1054" t="s">
        <v>0</v>
      </c>
      <c r="AC479" s="1056"/>
      <c r="AD479" s="943"/>
      <c r="AE479" s="943"/>
      <c r="AF479" s="943"/>
      <c r="AG479" s="943"/>
      <c r="AH479" s="943"/>
      <c r="AI479" s="930"/>
      <c r="AJ479" s="621" t="s">
        <v>99</v>
      </c>
      <c r="AK479" s="617" t="s">
        <v>104</v>
      </c>
      <c r="AL479" s="618" t="s">
        <v>206</v>
      </c>
      <c r="AM479" s="622" t="s">
        <v>107</v>
      </c>
      <c r="AN479" s="770"/>
      <c r="AO479" s="770"/>
      <c r="AP479" s="623" t="s">
        <v>207</v>
      </c>
    </row>
    <row r="480" spans="1:48" s="743" customFormat="1" ht="30" x14ac:dyDescent="0.25">
      <c r="A480" s="1057" t="s">
        <v>9</v>
      </c>
      <c r="B480" s="528" t="s">
        <v>4</v>
      </c>
      <c r="C480" s="541">
        <v>250018.4</v>
      </c>
      <c r="D480" s="688">
        <v>150516.70000000001</v>
      </c>
      <c r="E480" s="541">
        <v>150516.70000000001</v>
      </c>
      <c r="F480" s="533">
        <v>181998.8</v>
      </c>
      <c r="G480" s="533">
        <v>165765.70000000001</v>
      </c>
      <c r="H480" s="533">
        <v>389505</v>
      </c>
      <c r="I480" s="533">
        <v>171975.5</v>
      </c>
      <c r="J480" s="537">
        <v>166077.9</v>
      </c>
      <c r="K480" s="537">
        <v>124019.2</v>
      </c>
      <c r="L480" s="688">
        <v>224071.2</v>
      </c>
      <c r="M480" s="541">
        <v>193029.1</v>
      </c>
      <c r="N480" s="533">
        <v>438219.9</v>
      </c>
      <c r="O480" s="533">
        <v>83038.8</v>
      </c>
      <c r="P480" s="533">
        <v>276130.40000000002</v>
      </c>
      <c r="Q480" s="537">
        <v>83038.8</v>
      </c>
      <c r="R480" s="537">
        <v>191618.2</v>
      </c>
      <c r="S480" s="688">
        <v>224071.2</v>
      </c>
      <c r="T480" s="544">
        <v>55151</v>
      </c>
      <c r="U480" s="688">
        <v>33090.5</v>
      </c>
      <c r="V480" s="688">
        <v>102196.5</v>
      </c>
      <c r="W480" s="688">
        <v>209496.5</v>
      </c>
      <c r="X480" s="688">
        <v>3863545.9999999995</v>
      </c>
      <c r="Y480" s="534"/>
      <c r="Z480" s="534"/>
      <c r="AA480" s="534"/>
      <c r="AB480" s="760" t="s">
        <v>194</v>
      </c>
      <c r="AC480" s="524" t="s">
        <v>4</v>
      </c>
      <c r="AD480" s="931"/>
      <c r="AE480" s="931"/>
      <c r="AF480" s="931"/>
      <c r="AG480" s="931"/>
      <c r="AH480" s="931"/>
      <c r="AI480" s="931"/>
      <c r="AJ480" s="544">
        <v>143393</v>
      </c>
      <c r="AK480" s="541">
        <v>132132</v>
      </c>
      <c r="AL480" s="688">
        <v>83196.100000000006</v>
      </c>
      <c r="AM480" s="552">
        <v>132132.20000000001</v>
      </c>
      <c r="AN480" s="771"/>
      <c r="AO480" s="771"/>
      <c r="AP480" s="551">
        <v>83196.100000000006</v>
      </c>
    </row>
    <row r="481" spans="1:42" s="743" customFormat="1" x14ac:dyDescent="0.25">
      <c r="A481" s="1058"/>
      <c r="B481" s="624" t="s">
        <v>5</v>
      </c>
      <c r="C481" s="625">
        <v>105445.4</v>
      </c>
      <c r="D481" s="626">
        <v>83799.8</v>
      </c>
      <c r="E481" s="625">
        <v>85141.8</v>
      </c>
      <c r="F481" s="627">
        <v>150398.1</v>
      </c>
      <c r="G481" s="627">
        <v>115242.6</v>
      </c>
      <c r="H481" s="627">
        <v>206602.8</v>
      </c>
      <c r="I481" s="627">
        <v>121371.9</v>
      </c>
      <c r="J481" s="628">
        <v>44621.7</v>
      </c>
      <c r="K481" s="628">
        <v>76806.899999999994</v>
      </c>
      <c r="L481" s="626">
        <v>35207.1</v>
      </c>
      <c r="M481" s="625">
        <v>158495.6</v>
      </c>
      <c r="N481" s="627">
        <v>204879.8</v>
      </c>
      <c r="O481" s="627">
        <v>59188.7</v>
      </c>
      <c r="P481" s="627">
        <v>223585.2</v>
      </c>
      <c r="Q481" s="628">
        <v>23119.1</v>
      </c>
      <c r="R481" s="628">
        <v>117999.1</v>
      </c>
      <c r="S481" s="626">
        <v>140029.4</v>
      </c>
      <c r="T481" s="629">
        <v>14096.1</v>
      </c>
      <c r="U481" s="626">
        <v>7319.5</v>
      </c>
      <c r="V481" s="626">
        <v>7140.3</v>
      </c>
      <c r="W481" s="695">
        <v>14280.5</v>
      </c>
      <c r="X481" s="747">
        <v>1994771.4000000001</v>
      </c>
      <c r="Y481" s="534"/>
      <c r="Z481" s="534"/>
      <c r="AA481" s="534"/>
      <c r="AB481" s="761"/>
      <c r="AC481" s="630" t="s">
        <v>5</v>
      </c>
      <c r="AD481" s="932"/>
      <c r="AE481" s="932"/>
      <c r="AF481" s="932"/>
      <c r="AG481" s="932"/>
      <c r="AH481" s="932"/>
      <c r="AI481" s="932"/>
      <c r="AJ481" s="629">
        <v>51964.9</v>
      </c>
      <c r="AK481" s="625">
        <v>58542</v>
      </c>
      <c r="AL481" s="626">
        <v>2519</v>
      </c>
      <c r="AM481" s="631">
        <v>70731</v>
      </c>
      <c r="AN481" s="772"/>
      <c r="AO481" s="772"/>
      <c r="AP481" s="632">
        <v>31444.9</v>
      </c>
    </row>
    <row r="482" spans="1:42" s="743" customFormat="1" ht="15.75" thickBot="1" x14ac:dyDescent="0.3">
      <c r="A482" s="1059"/>
      <c r="B482" s="504" t="s">
        <v>3</v>
      </c>
      <c r="C482" s="542">
        <v>0.42175055915884591</v>
      </c>
      <c r="D482" s="633">
        <v>0.5567475236967061</v>
      </c>
      <c r="E482" s="633">
        <v>0.56566347787321936</v>
      </c>
      <c r="F482" s="681">
        <v>0.82636863539759609</v>
      </c>
      <c r="G482" s="633">
        <v>0.69521378668807843</v>
      </c>
      <c r="H482" s="633">
        <v>0.53042399969191667</v>
      </c>
      <c r="I482" s="633">
        <v>0.70575110989646783</v>
      </c>
      <c r="J482" s="633">
        <v>0.26867933662455989</v>
      </c>
      <c r="K482" s="633">
        <v>0.61931458999896782</v>
      </c>
      <c r="L482" s="633">
        <v>0.15712461039169692</v>
      </c>
      <c r="M482" s="547">
        <v>0.82109692269196721</v>
      </c>
      <c r="N482" s="498">
        <v>0.46752737609588241</v>
      </c>
      <c r="O482" s="506">
        <v>0.71278366257701209</v>
      </c>
      <c r="P482" s="498">
        <v>0.80970874630247158</v>
      </c>
      <c r="Q482" s="506">
        <v>0.27841322369783761</v>
      </c>
      <c r="R482" s="506">
        <v>0.6158031961473388</v>
      </c>
      <c r="S482" s="689">
        <v>0.62493261070588269</v>
      </c>
      <c r="T482" s="545">
        <v>0.25559101376221649</v>
      </c>
      <c r="U482" s="689">
        <v>0.22119641588975689</v>
      </c>
      <c r="V482" s="689">
        <v>6.9868341870807704E-2</v>
      </c>
      <c r="W482" s="689">
        <v>6.8165816612688043E-2</v>
      </c>
      <c r="X482" s="748">
        <v>0.51630584960034132</v>
      </c>
      <c r="Y482" s="534"/>
      <c r="Z482" s="534"/>
      <c r="AA482" s="534"/>
      <c r="AB482" s="762"/>
      <c r="AC482" s="634" t="s">
        <v>3</v>
      </c>
      <c r="AD482" s="944"/>
      <c r="AE482" s="944"/>
      <c r="AF482" s="944"/>
      <c r="AG482" s="944"/>
      <c r="AH482" s="944"/>
      <c r="AI482" s="933"/>
      <c r="AJ482" s="635">
        <f>AJ481/AJ480</f>
        <v>0.36239495651810061</v>
      </c>
      <c r="AK482" s="542">
        <f>AK481/AK480</f>
        <v>0.44305694305694304</v>
      </c>
      <c r="AL482" s="689">
        <f>AL481/AL480</f>
        <v>3.0277861582453984E-2</v>
      </c>
      <c r="AM482" s="636">
        <f>AM481/AM480</f>
        <v>0.53530479322981073</v>
      </c>
      <c r="AN482" s="773"/>
      <c r="AO482" s="773"/>
      <c r="AP482" s="633">
        <f>AP481/AP480</f>
        <v>0.37796122654787906</v>
      </c>
    </row>
    <row r="483" spans="1:42" s="743" customFormat="1" ht="30" x14ac:dyDescent="0.25">
      <c r="A483" s="1060" t="s">
        <v>6</v>
      </c>
      <c r="B483" s="553" t="s">
        <v>7</v>
      </c>
      <c r="C483" s="541">
        <v>5870</v>
      </c>
      <c r="D483" s="541">
        <v>3653</v>
      </c>
      <c r="E483" s="541">
        <v>3650</v>
      </c>
      <c r="F483" s="541">
        <v>9450</v>
      </c>
      <c r="G483" s="541">
        <v>8040</v>
      </c>
      <c r="H483" s="541">
        <v>15703</v>
      </c>
      <c r="I483" s="541">
        <v>8597</v>
      </c>
      <c r="J483" s="541">
        <v>9599</v>
      </c>
      <c r="K483" s="541">
        <v>6118</v>
      </c>
      <c r="L483" s="541">
        <v>9423</v>
      </c>
      <c r="M483" s="541">
        <v>8889</v>
      </c>
      <c r="N483" s="541">
        <v>11924</v>
      </c>
      <c r="O483" s="541">
        <v>4187</v>
      </c>
      <c r="P483" s="541">
        <v>11252</v>
      </c>
      <c r="Q483" s="541">
        <v>4799</v>
      </c>
      <c r="R483" s="541">
        <v>9237</v>
      </c>
      <c r="S483" s="541">
        <v>11685</v>
      </c>
      <c r="T483" s="558">
        <v>2480</v>
      </c>
      <c r="U483" s="692">
        <v>1570</v>
      </c>
      <c r="V483" s="541">
        <v>3999</v>
      </c>
      <c r="W483" s="541">
        <v>7999</v>
      </c>
      <c r="X483" s="541">
        <v>158124</v>
      </c>
      <c r="Y483" s="559" t="s">
        <v>197</v>
      </c>
      <c r="Z483" s="561"/>
      <c r="AA483" s="561"/>
      <c r="AB483" s="562" t="s">
        <v>190</v>
      </c>
      <c r="AC483" s="553" t="s">
        <v>4</v>
      </c>
      <c r="AD483" s="934"/>
      <c r="AE483" s="934"/>
      <c r="AF483" s="934"/>
      <c r="AG483" s="934"/>
      <c r="AH483" s="934"/>
      <c r="AI483" s="934"/>
      <c r="AJ483" s="564">
        <v>9191.7999999999993</v>
      </c>
      <c r="AK483" s="565">
        <v>13787.7</v>
      </c>
      <c r="AL483" s="566">
        <v>8804.7999999999993</v>
      </c>
      <c r="AM483" s="567">
        <v>13787.7</v>
      </c>
      <c r="AN483" s="774"/>
      <c r="AO483" s="774"/>
      <c r="AP483" s="568">
        <v>8804.7999999999993</v>
      </c>
    </row>
    <row r="484" spans="1:42" s="743" customFormat="1" x14ac:dyDescent="0.25">
      <c r="A484" s="1061"/>
      <c r="B484" s="637" t="s">
        <v>11</v>
      </c>
      <c r="C484" s="644">
        <v>197918.78999999998</v>
      </c>
      <c r="D484" s="644">
        <v>123168.201</v>
      </c>
      <c r="E484" s="644">
        <v>123067.04999999999</v>
      </c>
      <c r="F484" s="644">
        <v>318625.64999999997</v>
      </c>
      <c r="G484" s="644">
        <v>271084.68</v>
      </c>
      <c r="H484" s="644">
        <v>529458.05099999998</v>
      </c>
      <c r="I484" s="644">
        <v>289865.049</v>
      </c>
      <c r="J484" s="644">
        <v>323649.48300000001</v>
      </c>
      <c r="K484" s="644">
        <v>206280.606</v>
      </c>
      <c r="L484" s="644">
        <v>317715.29099999997</v>
      </c>
      <c r="M484" s="644">
        <v>299710.413</v>
      </c>
      <c r="N484" s="641">
        <v>402041.50799999997</v>
      </c>
      <c r="O484" s="641">
        <v>141173.079</v>
      </c>
      <c r="P484" s="642">
        <v>379383.68400000001</v>
      </c>
      <c r="Q484" s="640">
        <v>161807.883</v>
      </c>
      <c r="R484" s="643">
        <v>311443.929</v>
      </c>
      <c r="S484" s="687">
        <v>393983.14499999996</v>
      </c>
      <c r="T484" s="638">
        <v>83618.16</v>
      </c>
      <c r="U484" s="642">
        <v>52935.689999999995</v>
      </c>
      <c r="V484" s="642">
        <v>134834.283</v>
      </c>
      <c r="W484" s="642">
        <v>269702.283</v>
      </c>
      <c r="X484" s="749">
        <v>5331466.9079999989</v>
      </c>
      <c r="Y484" s="534"/>
      <c r="Z484" s="534"/>
      <c r="AA484" s="534"/>
      <c r="AB484" s="761"/>
      <c r="AC484" s="624" t="s">
        <v>5</v>
      </c>
      <c r="AD484" s="932"/>
      <c r="AE484" s="932"/>
      <c r="AF484" s="932"/>
      <c r="AG484" s="932"/>
      <c r="AH484" s="932"/>
      <c r="AI484" s="932"/>
      <c r="AJ484" s="629">
        <v>7975.5</v>
      </c>
      <c r="AK484" s="625">
        <v>13649</v>
      </c>
      <c r="AL484" s="626">
        <v>1289.9000000000001</v>
      </c>
      <c r="AM484" s="631">
        <v>13642</v>
      </c>
      <c r="AN484" s="772"/>
      <c r="AO484" s="772"/>
      <c r="AP484" s="632">
        <v>5483.9</v>
      </c>
    </row>
    <row r="485" spans="1:42" s="743" customFormat="1" ht="15.75" thickBot="1" x14ac:dyDescent="0.3">
      <c r="A485" s="1061"/>
      <c r="B485" s="637" t="s">
        <v>79</v>
      </c>
      <c r="C485" s="638">
        <v>164000</v>
      </c>
      <c r="D485" s="687">
        <v>109880</v>
      </c>
      <c r="E485" s="638">
        <v>109880</v>
      </c>
      <c r="F485" s="641">
        <v>328000</v>
      </c>
      <c r="G485" s="641">
        <v>330905</v>
      </c>
      <c r="H485" s="641">
        <v>264264</v>
      </c>
      <c r="I485" s="641">
        <v>242663.6</v>
      </c>
      <c r="J485" s="643">
        <v>328000</v>
      </c>
      <c r="K485" s="643">
        <v>328000</v>
      </c>
      <c r="L485" s="687">
        <v>328000</v>
      </c>
      <c r="M485" s="638">
        <v>328000</v>
      </c>
      <c r="N485" s="641">
        <v>264264.40000000002</v>
      </c>
      <c r="O485" s="641">
        <v>328000</v>
      </c>
      <c r="P485" s="641">
        <v>352965.4</v>
      </c>
      <c r="Q485" s="643">
        <v>328000</v>
      </c>
      <c r="R485" s="643">
        <v>328000</v>
      </c>
      <c r="S485" s="687">
        <v>328000</v>
      </c>
      <c r="T485" s="644">
        <v>110302</v>
      </c>
      <c r="U485" s="687">
        <v>66181</v>
      </c>
      <c r="V485" s="687">
        <v>204393</v>
      </c>
      <c r="W485" s="687">
        <v>418993</v>
      </c>
      <c r="X485" s="750">
        <v>5590691.4000000004</v>
      </c>
      <c r="Y485" s="534"/>
      <c r="Z485" s="534"/>
      <c r="AA485" s="534"/>
      <c r="AB485" s="762"/>
      <c r="AC485" s="645" t="s">
        <v>3</v>
      </c>
      <c r="AD485" s="944"/>
      <c r="AE485" s="944"/>
      <c r="AF485" s="944"/>
      <c r="AG485" s="944"/>
      <c r="AH485" s="944"/>
      <c r="AI485" s="933"/>
      <c r="AJ485" s="635">
        <f>AJ484/AJ483</f>
        <v>0.86767553689157739</v>
      </c>
      <c r="AK485" s="646">
        <f>AK484/AK483</f>
        <v>0.98994030911609621</v>
      </c>
      <c r="AL485" s="647">
        <f>AL484/AL483</f>
        <v>0.14649963656187537</v>
      </c>
      <c r="AM485" s="648">
        <f>AM484/AM483</f>
        <v>0.98943261022505558</v>
      </c>
      <c r="AN485" s="775"/>
      <c r="AO485" s="775"/>
      <c r="AP485" s="649">
        <f>AP484/AP483</f>
        <v>0.62283072869343992</v>
      </c>
    </row>
    <row r="486" spans="1:42" s="743" customFormat="1" ht="30" x14ac:dyDescent="0.25">
      <c r="A486" s="1061"/>
      <c r="B486" s="624" t="s">
        <v>8</v>
      </c>
      <c r="C486" s="724">
        <v>5519</v>
      </c>
      <c r="D486" s="725">
        <v>2939</v>
      </c>
      <c r="E486" s="724">
        <v>2965</v>
      </c>
      <c r="F486" s="726">
        <v>7700</v>
      </c>
      <c r="G486" s="726">
        <v>3502</v>
      </c>
      <c r="H486" s="726">
        <v>13618</v>
      </c>
      <c r="I486" s="726">
        <v>7123</v>
      </c>
      <c r="J486" s="727">
        <v>1376</v>
      </c>
      <c r="K486" s="727">
        <v>3775</v>
      </c>
      <c r="L486" s="725">
        <v>4939</v>
      </c>
      <c r="M486" s="724">
        <v>7616</v>
      </c>
      <c r="N486" s="726">
        <v>10878</v>
      </c>
      <c r="O486" s="727">
        <v>3643</v>
      </c>
      <c r="P486" s="726">
        <v>8587</v>
      </c>
      <c r="Q486" s="727">
        <v>1824</v>
      </c>
      <c r="R486" s="727">
        <v>4134</v>
      </c>
      <c r="S486" s="725">
        <v>9196</v>
      </c>
      <c r="T486" s="654">
        <v>1689</v>
      </c>
      <c r="U486" s="686">
        <v>1087</v>
      </c>
      <c r="V486" s="725">
        <v>1177</v>
      </c>
      <c r="W486" s="725">
        <v>1177</v>
      </c>
      <c r="X486" s="751">
        <v>104464</v>
      </c>
      <c r="Y486" s="534"/>
      <c r="Z486" s="534"/>
      <c r="AA486" s="534"/>
      <c r="AB486" s="760" t="s">
        <v>191</v>
      </c>
      <c r="AC486" s="528" t="s">
        <v>4</v>
      </c>
      <c r="AD486" s="931"/>
      <c r="AE486" s="931"/>
      <c r="AF486" s="931"/>
      <c r="AG486" s="931"/>
      <c r="AH486" s="931"/>
      <c r="AI486" s="931"/>
      <c r="AJ486" s="544">
        <v>97433.600000000006</v>
      </c>
      <c r="AK486" s="541">
        <v>243584.4</v>
      </c>
      <c r="AL486" s="688">
        <v>132070.29999999999</v>
      </c>
      <c r="AM486" s="552">
        <v>292299.3</v>
      </c>
      <c r="AN486" s="771"/>
      <c r="AO486" s="771"/>
      <c r="AP486" s="551">
        <v>132070.39999999999</v>
      </c>
    </row>
    <row r="487" spans="1:42" s="743" customFormat="1" x14ac:dyDescent="0.25">
      <c r="A487" s="1061"/>
      <c r="B487" s="655" t="s">
        <v>77</v>
      </c>
      <c r="C487" s="660">
        <v>186084.12299999999</v>
      </c>
      <c r="D487" s="660">
        <v>99094.262999999992</v>
      </c>
      <c r="E487" s="660">
        <v>99970.904999999999</v>
      </c>
      <c r="F487" s="660">
        <v>259620.9</v>
      </c>
      <c r="G487" s="660">
        <v>118076.93399999999</v>
      </c>
      <c r="H487" s="660">
        <v>459158.10599999997</v>
      </c>
      <c r="I487" s="660">
        <v>240166.19099999999</v>
      </c>
      <c r="J487" s="660">
        <v>46394.591999999997</v>
      </c>
      <c r="K487" s="660">
        <v>127281.67499999999</v>
      </c>
      <c r="L487" s="660">
        <v>166528.26300000001</v>
      </c>
      <c r="M487" s="660">
        <v>256788.67199999999</v>
      </c>
      <c r="N487" s="657">
        <v>366773.52600000001</v>
      </c>
      <c r="O487" s="657">
        <v>122831.031</v>
      </c>
      <c r="P487" s="657">
        <v>201391.641</v>
      </c>
      <c r="Q487" s="658">
        <v>61499.807999999997</v>
      </c>
      <c r="R487" s="658">
        <v>139386.07800000001</v>
      </c>
      <c r="S487" s="659">
        <v>310061.53200000001</v>
      </c>
      <c r="T487" s="661">
        <v>56948.012999999999</v>
      </c>
      <c r="U487" s="691">
        <v>36650.379000000001</v>
      </c>
      <c r="V487" s="691">
        <v>39684.909</v>
      </c>
      <c r="W487" s="691">
        <v>39684.909</v>
      </c>
      <c r="X487" s="752">
        <v>3434076.45</v>
      </c>
      <c r="Y487" s="534"/>
      <c r="Z487" s="534"/>
      <c r="AA487" s="534"/>
      <c r="AB487" s="761"/>
      <c r="AC487" s="624" t="s">
        <v>5</v>
      </c>
      <c r="AD487" s="932"/>
      <c r="AE487" s="932"/>
      <c r="AF487" s="932"/>
      <c r="AG487" s="932"/>
      <c r="AH487" s="932"/>
      <c r="AI487" s="932"/>
      <c r="AJ487" s="629">
        <v>38973.199999999997</v>
      </c>
      <c r="AK487" s="625">
        <v>124350.5</v>
      </c>
      <c r="AL487" s="626">
        <v>3817.1</v>
      </c>
      <c r="AM487" s="631">
        <v>109009</v>
      </c>
      <c r="AN487" s="772"/>
      <c r="AO487" s="772"/>
      <c r="AP487" s="632">
        <v>33401</v>
      </c>
    </row>
    <row r="488" spans="1:42" s="743" customFormat="1" ht="15.75" thickBot="1" x14ac:dyDescent="0.3">
      <c r="A488" s="1062"/>
      <c r="B488" s="504" t="s">
        <v>217</v>
      </c>
      <c r="C488" s="542">
        <v>0.74428171286593303</v>
      </c>
      <c r="D488" s="689">
        <v>0.65836058723051982</v>
      </c>
      <c r="E488" s="690">
        <v>0.66418480474259656</v>
      </c>
      <c r="F488" s="690">
        <v>1.4264978670189035</v>
      </c>
      <c r="G488" s="690">
        <v>0.7123122214064791</v>
      </c>
      <c r="H488" s="690">
        <v>1.1788246774752569</v>
      </c>
      <c r="I488" s="690">
        <v>1.3965139860038203</v>
      </c>
      <c r="J488" s="690">
        <v>0.27935439935114786</v>
      </c>
      <c r="K488" s="690">
        <v>1.0263062090386004</v>
      </c>
      <c r="L488" s="690">
        <v>0.74319351616807516</v>
      </c>
      <c r="M488" s="690">
        <v>1.3303106733647931</v>
      </c>
      <c r="N488" s="501">
        <v>0.83696227852728733</v>
      </c>
      <c r="O488" s="501">
        <v>1.4792004580991054</v>
      </c>
      <c r="P488" s="663">
        <v>0.72933527420378197</v>
      </c>
      <c r="Q488" s="520">
        <v>0.740615326811081</v>
      </c>
      <c r="R488" s="520">
        <v>0.72741565258414909</v>
      </c>
      <c r="S488" s="515">
        <v>1.3837634287672846</v>
      </c>
      <c r="T488" s="542">
        <v>1.0325835070986926</v>
      </c>
      <c r="U488" s="689">
        <v>1.107580090962663</v>
      </c>
      <c r="V488" s="689">
        <v>0.38831964891165549</v>
      </c>
      <c r="W488" s="689">
        <v>0.18942993797032409</v>
      </c>
      <c r="X488" s="748">
        <v>0.88884057547134177</v>
      </c>
      <c r="Y488" s="534"/>
      <c r="Z488" s="534"/>
      <c r="AA488" s="534"/>
      <c r="AB488" s="762"/>
      <c r="AC488" s="504" t="s">
        <v>3</v>
      </c>
      <c r="AD488" s="935"/>
      <c r="AE488" s="935"/>
      <c r="AF488" s="935"/>
      <c r="AG488" s="935"/>
      <c r="AH488" s="935"/>
      <c r="AI488" s="935"/>
      <c r="AJ488" s="545">
        <f>AJ487/AJ486</f>
        <v>0.39999753678402516</v>
      </c>
      <c r="AK488" s="542">
        <f>AK487/AK486</f>
        <v>0.51050272513346506</v>
      </c>
      <c r="AL488" s="689">
        <f>AL487/AL486</f>
        <v>2.8902031720984961E-2</v>
      </c>
      <c r="AM488" s="636">
        <f>AM487/AM486</f>
        <v>0.37293623351133581</v>
      </c>
      <c r="AN488" s="773"/>
      <c r="AO488" s="773"/>
      <c r="AP488" s="633">
        <f>AP487/AP486</f>
        <v>0.25290299718937781</v>
      </c>
    </row>
    <row r="489" spans="1:42" s="743" customFormat="1" ht="15.75" thickBot="1" x14ac:dyDescent="0.3">
      <c r="A489" s="612"/>
      <c r="B489" s="504" t="s">
        <v>218</v>
      </c>
      <c r="C489" s="650">
        <v>172106</v>
      </c>
      <c r="D489" s="650">
        <v>98689.1</v>
      </c>
      <c r="E489" s="650">
        <v>99565.7</v>
      </c>
      <c r="F489" s="650">
        <v>241623</v>
      </c>
      <c r="G489" s="650">
        <v>115789</v>
      </c>
      <c r="H489" s="650">
        <v>444084</v>
      </c>
      <c r="I489" s="650">
        <v>172711</v>
      </c>
      <c r="J489" s="650">
        <v>46434.3</v>
      </c>
      <c r="K489" s="650">
        <v>128206</v>
      </c>
      <c r="L489" s="650">
        <v>166635</v>
      </c>
      <c r="M489" s="650">
        <v>252827</v>
      </c>
      <c r="N489" s="650">
        <v>366854</v>
      </c>
      <c r="O489" s="650">
        <v>122881</v>
      </c>
      <c r="P489" s="650">
        <v>168962</v>
      </c>
      <c r="Q489" s="650">
        <v>61545.8</v>
      </c>
      <c r="R489" s="650">
        <v>126298</v>
      </c>
      <c r="S489" s="650">
        <v>309682</v>
      </c>
      <c r="T489" s="650">
        <v>56947.7</v>
      </c>
      <c r="U489" s="650">
        <v>36650.300000000003</v>
      </c>
      <c r="V489" s="650">
        <v>39718.400000000001</v>
      </c>
      <c r="W489" s="650">
        <v>39718.400000000001</v>
      </c>
      <c r="X489" s="753">
        <v>3267927.6999999997</v>
      </c>
      <c r="Y489" s="534"/>
      <c r="Z489" s="534"/>
      <c r="AA489" s="534"/>
      <c r="AB489" s="762" t="s">
        <v>219</v>
      </c>
      <c r="AC489" s="504" t="s">
        <v>3</v>
      </c>
      <c r="AD489" s="935"/>
      <c r="AE489" s="935"/>
      <c r="AF489" s="935"/>
      <c r="AG489" s="935"/>
      <c r="AH489" s="935"/>
      <c r="AI489" s="935"/>
      <c r="AJ489" s="545">
        <f>(AJ482+AJ488)/2</f>
        <v>0.38119624665106289</v>
      </c>
      <c r="AK489" s="545">
        <f t="shared" ref="AK489:AP489" si="95">(AK482+AK488)/2</f>
        <v>0.47677983409520408</v>
      </c>
      <c r="AL489" s="545">
        <f t="shared" si="95"/>
        <v>2.9589946651719472E-2</v>
      </c>
      <c r="AM489" s="545">
        <f t="shared" si="95"/>
        <v>0.45412051337057324</v>
      </c>
      <c r="AN489" s="545"/>
      <c r="AO489" s="545"/>
      <c r="AP489" s="545">
        <f t="shared" si="95"/>
        <v>0.31543211186862841</v>
      </c>
    </row>
    <row r="490" spans="1:42" s="743" customFormat="1" ht="15.75" thickBot="1" x14ac:dyDescent="0.3">
      <c r="A490" s="612"/>
      <c r="B490" s="504" t="s">
        <v>216</v>
      </c>
      <c r="C490" s="690">
        <v>0.68837333572249082</v>
      </c>
      <c r="D490" s="690">
        <v>0.65566877296672066</v>
      </c>
      <c r="E490" s="690">
        <v>0.661492711439993</v>
      </c>
      <c r="F490" s="690">
        <v>1.3276076545559643</v>
      </c>
      <c r="G490" s="690">
        <v>0.6985100053871216</v>
      </c>
      <c r="H490" s="690">
        <v>1.1401240035429583</v>
      </c>
      <c r="I490" s="690">
        <v>1.0042767719820556</v>
      </c>
      <c r="J490" s="690">
        <v>0.27959349196973232</v>
      </c>
      <c r="K490" s="690">
        <v>1.0337592888843019</v>
      </c>
      <c r="L490" s="690">
        <v>0.74366986922014067</v>
      </c>
      <c r="M490" s="690">
        <v>1.30978696994391</v>
      </c>
      <c r="N490" s="690">
        <v>0.83714591692435691</v>
      </c>
      <c r="O490" s="690">
        <v>1.4798022129414201</v>
      </c>
      <c r="P490" s="690">
        <v>0.61189206259071793</v>
      </c>
      <c r="Q490" s="690">
        <v>0.74116918837940815</v>
      </c>
      <c r="R490" s="690">
        <v>0.6591127565126903</v>
      </c>
      <c r="S490" s="690">
        <v>1.3820696278682847</v>
      </c>
      <c r="T490" s="690">
        <v>1.032577831770956</v>
      </c>
      <c r="U490" s="690">
        <v>1.1075777035705112</v>
      </c>
      <c r="V490" s="690">
        <v>0.38864736072174683</v>
      </c>
      <c r="W490" s="690">
        <v>0.18958980221626615</v>
      </c>
      <c r="X490" s="754">
        <v>0.8458363637963674</v>
      </c>
      <c r="Y490" s="534"/>
      <c r="Z490" s="534"/>
      <c r="AA490" s="534"/>
      <c r="AB490" s="762"/>
      <c r="AC490" s="504"/>
      <c r="AD490" s="935"/>
      <c r="AE490" s="935"/>
      <c r="AF490" s="935"/>
      <c r="AG490" s="935"/>
      <c r="AH490" s="935"/>
      <c r="AI490" s="935"/>
      <c r="AJ490" s="545"/>
      <c r="AK490" s="542"/>
      <c r="AL490" s="689"/>
      <c r="AM490" s="636"/>
      <c r="AN490" s="773"/>
      <c r="AO490" s="773"/>
      <c r="AP490" s="633"/>
    </row>
    <row r="491" spans="1:42" s="743" customFormat="1" ht="15.75" thickBot="1" x14ac:dyDescent="0.3">
      <c r="A491" s="1048">
        <v>41732</v>
      </c>
      <c r="B491" s="1048"/>
      <c r="C491" s="1048"/>
      <c r="D491" s="529"/>
      <c r="E491" s="529"/>
      <c r="F491" s="529"/>
      <c r="G491" s="529"/>
      <c r="H491" s="529"/>
      <c r="I491" s="525"/>
      <c r="J491" s="531"/>
      <c r="K491" s="531"/>
      <c r="L491" s="529"/>
      <c r="M491" s="529"/>
      <c r="N491" s="527"/>
      <c r="R491" s="526"/>
      <c r="S491" s="534"/>
      <c r="T491" s="534"/>
      <c r="U491" s="534"/>
      <c r="V491" s="534"/>
      <c r="W491" s="534"/>
      <c r="X491" s="534"/>
      <c r="Y491" s="534"/>
      <c r="Z491" s="534"/>
      <c r="AA491" s="1063"/>
      <c r="AB491" s="1064"/>
    </row>
    <row r="492" spans="1:42" s="743" customFormat="1" x14ac:dyDescent="0.25">
      <c r="A492" s="1049" t="s">
        <v>1</v>
      </c>
      <c r="B492" s="1050"/>
      <c r="C492" s="540" t="s">
        <v>12</v>
      </c>
      <c r="D492" s="539" t="s">
        <v>12</v>
      </c>
      <c r="E492" s="540" t="s">
        <v>13</v>
      </c>
      <c r="F492" s="530" t="s">
        <v>13</v>
      </c>
      <c r="G492" s="530" t="s">
        <v>13</v>
      </c>
      <c r="H492" s="530" t="s">
        <v>13</v>
      </c>
      <c r="I492" s="530" t="s">
        <v>13</v>
      </c>
      <c r="J492" s="536" t="s">
        <v>13</v>
      </c>
      <c r="K492" s="536" t="s">
        <v>13</v>
      </c>
      <c r="L492" s="539" t="s">
        <v>13</v>
      </c>
      <c r="M492" s="676" t="s">
        <v>2</v>
      </c>
      <c r="N492" s="530" t="s">
        <v>2</v>
      </c>
      <c r="O492" s="536" t="s">
        <v>2</v>
      </c>
      <c r="P492" s="530" t="s">
        <v>2</v>
      </c>
      <c r="Q492" s="536" t="s">
        <v>2</v>
      </c>
      <c r="R492" s="536" t="s">
        <v>2</v>
      </c>
      <c r="S492" s="539" t="s">
        <v>2</v>
      </c>
      <c r="T492" s="569" t="s">
        <v>183</v>
      </c>
      <c r="U492" s="693" t="s">
        <v>183</v>
      </c>
      <c r="V492" s="693" t="s">
        <v>2</v>
      </c>
      <c r="W492" s="693" t="s">
        <v>13</v>
      </c>
      <c r="X492" s="745" t="s">
        <v>219</v>
      </c>
      <c r="Y492" s="534"/>
      <c r="Z492" s="534"/>
      <c r="AA492" s="534"/>
      <c r="AB492" s="1049" t="s">
        <v>1</v>
      </c>
      <c r="AC492" s="1051"/>
      <c r="AD492" s="929"/>
      <c r="AE492" s="929"/>
      <c r="AF492" s="929"/>
      <c r="AG492" s="929"/>
      <c r="AH492" s="929"/>
      <c r="AI492" s="929"/>
      <c r="AJ492" s="758" t="s">
        <v>12</v>
      </c>
      <c r="AK492" s="1052" t="s">
        <v>13</v>
      </c>
      <c r="AL492" s="1053"/>
      <c r="AM492" s="1052" t="s">
        <v>2</v>
      </c>
      <c r="AN492" s="1065"/>
      <c r="AO492" s="1065"/>
      <c r="AP492" s="1053"/>
    </row>
    <row r="493" spans="1:42" s="743" customFormat="1" ht="15.75" thickBot="1" x14ac:dyDescent="0.3">
      <c r="A493" s="1054" t="s">
        <v>0</v>
      </c>
      <c r="B493" s="1055"/>
      <c r="C493" s="617" t="s">
        <v>99</v>
      </c>
      <c r="D493" s="618" t="s">
        <v>100</v>
      </c>
      <c r="E493" s="617" t="s">
        <v>101</v>
      </c>
      <c r="F493" s="619" t="s">
        <v>102</v>
      </c>
      <c r="G493" s="619" t="s">
        <v>97</v>
      </c>
      <c r="H493" s="619" t="s">
        <v>104</v>
      </c>
      <c r="I493" s="619" t="s">
        <v>103</v>
      </c>
      <c r="J493" s="521" t="s">
        <v>178</v>
      </c>
      <c r="K493" s="521" t="s">
        <v>199</v>
      </c>
      <c r="L493" s="517" t="s">
        <v>206</v>
      </c>
      <c r="M493" s="617" t="s">
        <v>105</v>
      </c>
      <c r="N493" s="619" t="s">
        <v>107</v>
      </c>
      <c r="O493" s="620" t="s">
        <v>98</v>
      </c>
      <c r="P493" s="516" t="s">
        <v>106</v>
      </c>
      <c r="Q493" s="620" t="s">
        <v>179</v>
      </c>
      <c r="R493" s="620" t="s">
        <v>198</v>
      </c>
      <c r="S493" s="618" t="s">
        <v>207</v>
      </c>
      <c r="T493" s="621" t="s">
        <v>182</v>
      </c>
      <c r="U493" s="618" t="s">
        <v>184</v>
      </c>
      <c r="V493" s="618" t="s">
        <v>221</v>
      </c>
      <c r="W493" s="694" t="s">
        <v>222</v>
      </c>
      <c r="X493" s="746"/>
      <c r="Y493" s="526"/>
      <c r="Z493" s="526"/>
      <c r="AA493" s="526"/>
      <c r="AB493" s="1054" t="s">
        <v>0</v>
      </c>
      <c r="AC493" s="1056"/>
      <c r="AD493" s="943"/>
      <c r="AE493" s="943"/>
      <c r="AF493" s="943"/>
      <c r="AG493" s="943"/>
      <c r="AH493" s="943"/>
      <c r="AI493" s="930"/>
      <c r="AJ493" s="621" t="s">
        <v>99</v>
      </c>
      <c r="AK493" s="617" t="s">
        <v>104</v>
      </c>
      <c r="AL493" s="618" t="s">
        <v>206</v>
      </c>
      <c r="AM493" s="622" t="s">
        <v>107</v>
      </c>
      <c r="AN493" s="770"/>
      <c r="AO493" s="770"/>
      <c r="AP493" s="623" t="s">
        <v>207</v>
      </c>
    </row>
    <row r="494" spans="1:42" s="743" customFormat="1" ht="30" x14ac:dyDescent="0.25">
      <c r="A494" s="1057" t="s">
        <v>9</v>
      </c>
      <c r="B494" s="528" t="s">
        <v>4</v>
      </c>
      <c r="C494" s="541">
        <v>250018.4</v>
      </c>
      <c r="D494" s="688">
        <v>150516.70000000001</v>
      </c>
      <c r="E494" s="541">
        <v>150516.70000000001</v>
      </c>
      <c r="F494" s="533">
        <v>181998.8</v>
      </c>
      <c r="G494" s="533">
        <v>165765.70000000001</v>
      </c>
      <c r="H494" s="533">
        <v>389505</v>
      </c>
      <c r="I494" s="533">
        <v>171975.5</v>
      </c>
      <c r="J494" s="537">
        <v>166077.9</v>
      </c>
      <c r="K494" s="537">
        <v>124019.2</v>
      </c>
      <c r="L494" s="688">
        <v>224071.2</v>
      </c>
      <c r="M494" s="541">
        <v>193029.1</v>
      </c>
      <c r="N494" s="533">
        <v>438219.9</v>
      </c>
      <c r="O494" s="533">
        <v>83038.8</v>
      </c>
      <c r="P494" s="533">
        <v>276130.40000000002</v>
      </c>
      <c r="Q494" s="537">
        <v>83038.8</v>
      </c>
      <c r="R494" s="537">
        <v>191618.2</v>
      </c>
      <c r="S494" s="688">
        <v>224071.2</v>
      </c>
      <c r="T494" s="544">
        <v>55151</v>
      </c>
      <c r="U494" s="688">
        <v>33090.5</v>
      </c>
      <c r="V494" s="688">
        <v>102196.5</v>
      </c>
      <c r="W494" s="688">
        <v>209496.5</v>
      </c>
      <c r="X494" s="688">
        <v>3863545.9999999995</v>
      </c>
      <c r="Y494" s="534"/>
      <c r="Z494" s="534"/>
      <c r="AA494" s="534"/>
      <c r="AB494" s="755" t="s">
        <v>194</v>
      </c>
      <c r="AC494" s="524" t="s">
        <v>4</v>
      </c>
      <c r="AD494" s="931"/>
      <c r="AE494" s="931"/>
      <c r="AF494" s="931"/>
      <c r="AG494" s="931"/>
      <c r="AH494" s="931"/>
      <c r="AI494" s="931"/>
      <c r="AJ494" s="544">
        <v>143393</v>
      </c>
      <c r="AK494" s="541">
        <v>132132</v>
      </c>
      <c r="AL494" s="688">
        <v>83196.100000000006</v>
      </c>
      <c r="AM494" s="552">
        <v>132132.20000000001</v>
      </c>
      <c r="AN494" s="771"/>
      <c r="AO494" s="771"/>
      <c r="AP494" s="551">
        <v>83196.100000000006</v>
      </c>
    </row>
    <row r="495" spans="1:42" s="743" customFormat="1" x14ac:dyDescent="0.25">
      <c r="A495" s="1058"/>
      <c r="B495" s="624" t="s">
        <v>5</v>
      </c>
      <c r="C495" s="625">
        <v>104554.5</v>
      </c>
      <c r="D495" s="626">
        <v>83342.5</v>
      </c>
      <c r="E495" s="625">
        <v>84690.3</v>
      </c>
      <c r="F495" s="627">
        <v>150208</v>
      </c>
      <c r="G495" s="627">
        <v>114998.7</v>
      </c>
      <c r="H495" s="627">
        <v>206118.3</v>
      </c>
      <c r="I495" s="627">
        <v>120881.8</v>
      </c>
      <c r="J495" s="628">
        <v>43282.1</v>
      </c>
      <c r="K495" s="628">
        <v>76101.7</v>
      </c>
      <c r="L495" s="626">
        <v>31987.3</v>
      </c>
      <c r="M495" s="625">
        <v>158372.70000000001</v>
      </c>
      <c r="N495" s="627">
        <v>203738.6</v>
      </c>
      <c r="O495" s="627">
        <v>59573.2</v>
      </c>
      <c r="P495" s="627">
        <v>222884.7</v>
      </c>
      <c r="Q495" s="628">
        <v>22448.799999999999</v>
      </c>
      <c r="R495" s="628">
        <v>115813</v>
      </c>
      <c r="S495" s="626">
        <v>125273.7</v>
      </c>
      <c r="T495" s="629">
        <v>14096.1</v>
      </c>
      <c r="U495" s="626">
        <v>7319.5</v>
      </c>
      <c r="V495" s="626">
        <v>7136</v>
      </c>
      <c r="W495" s="695">
        <v>14271.9</v>
      </c>
      <c r="X495" s="747">
        <v>1967093.4000000001</v>
      </c>
      <c r="Y495" s="534"/>
      <c r="Z495" s="534"/>
      <c r="AA495" s="534"/>
      <c r="AB495" s="756"/>
      <c r="AC495" s="630" t="s">
        <v>5</v>
      </c>
      <c r="AD495" s="932"/>
      <c r="AE495" s="932"/>
      <c r="AF495" s="932"/>
      <c r="AG495" s="932"/>
      <c r="AH495" s="932"/>
      <c r="AI495" s="932"/>
      <c r="AJ495" s="629">
        <v>51964.9</v>
      </c>
      <c r="AK495" s="625">
        <v>58542</v>
      </c>
      <c r="AL495" s="626">
        <v>2519</v>
      </c>
      <c r="AM495" s="631">
        <v>70731</v>
      </c>
      <c r="AN495" s="772"/>
      <c r="AO495" s="772"/>
      <c r="AP495" s="632">
        <v>31444.9</v>
      </c>
    </row>
    <row r="496" spans="1:42" s="743" customFormat="1" ht="15.75" thickBot="1" x14ac:dyDescent="0.3">
      <c r="A496" s="1059"/>
      <c r="B496" s="504" t="s">
        <v>3</v>
      </c>
      <c r="C496" s="542">
        <v>0.41818722142050346</v>
      </c>
      <c r="D496" s="633">
        <v>0.55370932262001493</v>
      </c>
      <c r="E496" s="633">
        <v>0.56266381072665028</v>
      </c>
      <c r="F496" s="681">
        <v>0.82532412301619573</v>
      </c>
      <c r="G496" s="633">
        <v>0.69374243284346515</v>
      </c>
      <c r="H496" s="633">
        <v>0.52918011322062619</v>
      </c>
      <c r="I496" s="633">
        <v>0.70290128535750729</v>
      </c>
      <c r="J496" s="633">
        <v>0.26061324233988992</v>
      </c>
      <c r="K496" s="633">
        <v>0.61362837367117351</v>
      </c>
      <c r="L496" s="633">
        <v>0.14275507070966728</v>
      </c>
      <c r="M496" s="547">
        <v>0.82046023112577326</v>
      </c>
      <c r="N496" s="498">
        <v>0.46492320408087356</v>
      </c>
      <c r="O496" s="506">
        <v>0.7174140281410617</v>
      </c>
      <c r="P496" s="498">
        <v>0.8071719013915164</v>
      </c>
      <c r="Q496" s="506">
        <v>0.27034109356108227</v>
      </c>
      <c r="R496" s="506">
        <v>0.60439457212310732</v>
      </c>
      <c r="S496" s="689">
        <v>0.55907988175187173</v>
      </c>
      <c r="T496" s="545">
        <v>0.25559101376221649</v>
      </c>
      <c r="U496" s="689">
        <v>0.22119641588975689</v>
      </c>
      <c r="V496" s="689">
        <v>6.9826266065863313E-2</v>
      </c>
      <c r="W496" s="689">
        <v>6.8124765807543328E-2</v>
      </c>
      <c r="X496" s="748">
        <v>0.50914196440264992</v>
      </c>
      <c r="Y496" s="534"/>
      <c r="Z496" s="534"/>
      <c r="AA496" s="534"/>
      <c r="AB496" s="757"/>
      <c r="AC496" s="634" t="s">
        <v>3</v>
      </c>
      <c r="AD496" s="944"/>
      <c r="AE496" s="944"/>
      <c r="AF496" s="944"/>
      <c r="AG496" s="944"/>
      <c r="AH496" s="944"/>
      <c r="AI496" s="933"/>
      <c r="AJ496" s="635">
        <f>AJ495/AJ494</f>
        <v>0.36239495651810061</v>
      </c>
      <c r="AK496" s="542">
        <f>AK495/AK494</f>
        <v>0.44305694305694304</v>
      </c>
      <c r="AL496" s="689">
        <f>AL495/AL494</f>
        <v>3.0277861582453984E-2</v>
      </c>
      <c r="AM496" s="636">
        <f>AM495/AM494</f>
        <v>0.53530479322981073</v>
      </c>
      <c r="AN496" s="773"/>
      <c r="AO496" s="773"/>
      <c r="AP496" s="633">
        <f>AP495/AP494</f>
        <v>0.37796122654787906</v>
      </c>
    </row>
    <row r="497" spans="1:42" s="743" customFormat="1" ht="30" x14ac:dyDescent="0.25">
      <c r="A497" s="1060" t="s">
        <v>6</v>
      </c>
      <c r="B497" s="553" t="s">
        <v>7</v>
      </c>
      <c r="C497" s="541">
        <v>5862</v>
      </c>
      <c r="D497" s="541">
        <v>3653</v>
      </c>
      <c r="E497" s="541">
        <v>3650</v>
      </c>
      <c r="F497" s="541">
        <v>9450</v>
      </c>
      <c r="G497" s="541">
        <v>8081</v>
      </c>
      <c r="H497" s="541">
        <v>15703</v>
      </c>
      <c r="I497" s="541">
        <v>8597</v>
      </c>
      <c r="J497" s="541">
        <v>9599</v>
      </c>
      <c r="K497" s="541">
        <v>6153</v>
      </c>
      <c r="L497" s="541">
        <v>9423</v>
      </c>
      <c r="M497" s="541">
        <v>8889</v>
      </c>
      <c r="N497" s="541">
        <v>11924</v>
      </c>
      <c r="O497" s="541">
        <v>4233</v>
      </c>
      <c r="P497" s="541">
        <v>11252</v>
      </c>
      <c r="Q497" s="541">
        <v>4799</v>
      </c>
      <c r="R497" s="541">
        <v>9272</v>
      </c>
      <c r="S497" s="541">
        <v>11685</v>
      </c>
      <c r="T497" s="558">
        <v>2480</v>
      </c>
      <c r="U497" s="692">
        <v>1570</v>
      </c>
      <c r="V497" s="541">
        <v>3999</v>
      </c>
      <c r="W497" s="541">
        <v>7999</v>
      </c>
      <c r="X497" s="541">
        <v>158273</v>
      </c>
      <c r="Y497" s="559" t="s">
        <v>197</v>
      </c>
      <c r="Z497" s="561"/>
      <c r="AA497" s="561"/>
      <c r="AB497" s="562" t="s">
        <v>190</v>
      </c>
      <c r="AC497" s="553" t="s">
        <v>4</v>
      </c>
      <c r="AD497" s="934"/>
      <c r="AE497" s="934"/>
      <c r="AF497" s="934"/>
      <c r="AG497" s="934"/>
      <c r="AH497" s="934"/>
      <c r="AI497" s="934"/>
      <c r="AJ497" s="564">
        <v>9191.7999999999993</v>
      </c>
      <c r="AK497" s="565">
        <v>13787.7</v>
      </c>
      <c r="AL497" s="566">
        <v>8804.7999999999993</v>
      </c>
      <c r="AM497" s="567">
        <v>13787.7</v>
      </c>
      <c r="AN497" s="774"/>
      <c r="AO497" s="774"/>
      <c r="AP497" s="568">
        <v>8804.7999999999993</v>
      </c>
    </row>
    <row r="498" spans="1:42" s="743" customFormat="1" x14ac:dyDescent="0.25">
      <c r="A498" s="1061"/>
      <c r="B498" s="637" t="s">
        <v>11</v>
      </c>
      <c r="C498" s="644">
        <v>197649.054</v>
      </c>
      <c r="D498" s="644">
        <v>123168.201</v>
      </c>
      <c r="E498" s="644">
        <v>123067.04999999999</v>
      </c>
      <c r="F498" s="644">
        <v>318625.64999999997</v>
      </c>
      <c r="G498" s="644">
        <v>272467.07699999999</v>
      </c>
      <c r="H498" s="644">
        <v>529458.05099999998</v>
      </c>
      <c r="I498" s="644">
        <v>289865.049</v>
      </c>
      <c r="J498" s="644">
        <v>323649.48300000001</v>
      </c>
      <c r="K498" s="644">
        <v>207460.701</v>
      </c>
      <c r="L498" s="644">
        <v>317715.29099999997</v>
      </c>
      <c r="M498" s="644">
        <v>299710.413</v>
      </c>
      <c r="N498" s="641">
        <v>402041.50799999997</v>
      </c>
      <c r="O498" s="641">
        <v>142724.06099999999</v>
      </c>
      <c r="P498" s="642">
        <v>379383.68400000001</v>
      </c>
      <c r="Q498" s="640">
        <v>161807.883</v>
      </c>
      <c r="R498" s="643">
        <v>312624.02399999998</v>
      </c>
      <c r="S498" s="687">
        <v>393983.14499999996</v>
      </c>
      <c r="T498" s="638">
        <v>83618.16</v>
      </c>
      <c r="U498" s="642">
        <v>52935.689999999995</v>
      </c>
      <c r="V498" s="642">
        <v>134834.283</v>
      </c>
      <c r="W498" s="642">
        <v>269702.283</v>
      </c>
      <c r="X498" s="749">
        <v>5336490.7409999995</v>
      </c>
      <c r="Y498" s="534"/>
      <c r="Z498" s="534"/>
      <c r="AA498" s="534"/>
      <c r="AB498" s="756"/>
      <c r="AC498" s="624" t="s">
        <v>5</v>
      </c>
      <c r="AD498" s="932"/>
      <c r="AE498" s="932"/>
      <c r="AF498" s="932"/>
      <c r="AG498" s="932"/>
      <c r="AH498" s="932"/>
      <c r="AI498" s="932"/>
      <c r="AJ498" s="629">
        <v>7975.5</v>
      </c>
      <c r="AK498" s="625">
        <v>13649</v>
      </c>
      <c r="AL498" s="626">
        <v>1289.9000000000001</v>
      </c>
      <c r="AM498" s="631">
        <v>13642</v>
      </c>
      <c r="AN498" s="772"/>
      <c r="AO498" s="772"/>
      <c r="AP498" s="632">
        <v>5483.9</v>
      </c>
    </row>
    <row r="499" spans="1:42" s="743" customFormat="1" ht="15.75" thickBot="1" x14ac:dyDescent="0.3">
      <c r="A499" s="1061"/>
      <c r="B499" s="637" t="s">
        <v>79</v>
      </c>
      <c r="C499" s="638">
        <v>164000</v>
      </c>
      <c r="D499" s="687">
        <v>109880</v>
      </c>
      <c r="E499" s="638">
        <v>109880</v>
      </c>
      <c r="F499" s="641">
        <v>328000</v>
      </c>
      <c r="G499" s="641">
        <v>330905</v>
      </c>
      <c r="H499" s="641">
        <v>264264</v>
      </c>
      <c r="I499" s="641">
        <v>242663.6</v>
      </c>
      <c r="J499" s="643">
        <v>328000</v>
      </c>
      <c r="K499" s="643">
        <v>328000</v>
      </c>
      <c r="L499" s="687">
        <v>328000</v>
      </c>
      <c r="M499" s="638">
        <v>328000</v>
      </c>
      <c r="N499" s="641">
        <v>264264.40000000002</v>
      </c>
      <c r="O499" s="641">
        <v>328000</v>
      </c>
      <c r="P499" s="641">
        <v>352965.4</v>
      </c>
      <c r="Q499" s="643">
        <v>328000</v>
      </c>
      <c r="R499" s="643">
        <v>328000</v>
      </c>
      <c r="S499" s="687">
        <v>328000</v>
      </c>
      <c r="T499" s="644">
        <v>110302</v>
      </c>
      <c r="U499" s="687">
        <v>66181</v>
      </c>
      <c r="V499" s="687">
        <v>204393</v>
      </c>
      <c r="W499" s="687">
        <v>418993</v>
      </c>
      <c r="X499" s="750">
        <v>5590691.4000000004</v>
      </c>
      <c r="Y499" s="534"/>
      <c r="Z499" s="534"/>
      <c r="AA499" s="534"/>
      <c r="AB499" s="757"/>
      <c r="AC499" s="645" t="s">
        <v>3</v>
      </c>
      <c r="AD499" s="944"/>
      <c r="AE499" s="944"/>
      <c r="AF499" s="944"/>
      <c r="AG499" s="944"/>
      <c r="AH499" s="944"/>
      <c r="AI499" s="933"/>
      <c r="AJ499" s="635">
        <f>AJ498/AJ497</f>
        <v>0.86767553689157739</v>
      </c>
      <c r="AK499" s="646">
        <f>AK498/AK497</f>
        <v>0.98994030911609621</v>
      </c>
      <c r="AL499" s="647">
        <f>AL498/AL497</f>
        <v>0.14649963656187537</v>
      </c>
      <c r="AM499" s="648">
        <f>AM498/AM497</f>
        <v>0.98943261022505558</v>
      </c>
      <c r="AN499" s="775"/>
      <c r="AO499" s="775"/>
      <c r="AP499" s="649">
        <f>AP498/AP497</f>
        <v>0.62283072869343992</v>
      </c>
    </row>
    <row r="500" spans="1:42" s="743" customFormat="1" ht="30" x14ac:dyDescent="0.25">
      <c r="A500" s="1061"/>
      <c r="B500" s="624" t="s">
        <v>8</v>
      </c>
      <c r="C500" s="724">
        <v>5511</v>
      </c>
      <c r="D500" s="725">
        <v>2939</v>
      </c>
      <c r="E500" s="724">
        <v>2965</v>
      </c>
      <c r="F500" s="726">
        <v>7700</v>
      </c>
      <c r="G500" s="726">
        <v>3502</v>
      </c>
      <c r="H500" s="726">
        <v>13618</v>
      </c>
      <c r="I500" s="726">
        <v>7111</v>
      </c>
      <c r="J500" s="727">
        <v>1370</v>
      </c>
      <c r="K500" s="727">
        <v>3764</v>
      </c>
      <c r="L500" s="725">
        <v>4874</v>
      </c>
      <c r="M500" s="724">
        <v>7616</v>
      </c>
      <c r="N500" s="726">
        <v>10878</v>
      </c>
      <c r="O500" s="727">
        <v>3643</v>
      </c>
      <c r="P500" s="726">
        <v>8575</v>
      </c>
      <c r="Q500" s="727">
        <v>1818</v>
      </c>
      <c r="R500" s="727">
        <v>4098</v>
      </c>
      <c r="S500" s="725">
        <v>8674</v>
      </c>
      <c r="T500" s="654">
        <v>1689</v>
      </c>
      <c r="U500" s="686">
        <v>1087</v>
      </c>
      <c r="V500" s="725">
        <v>1162</v>
      </c>
      <c r="W500" s="725">
        <v>1162</v>
      </c>
      <c r="X500" s="751">
        <v>103756</v>
      </c>
      <c r="Y500" s="534"/>
      <c r="Z500" s="534"/>
      <c r="AA500" s="534"/>
      <c r="AB500" s="755" t="s">
        <v>191</v>
      </c>
      <c r="AC500" s="528" t="s">
        <v>4</v>
      </c>
      <c r="AD500" s="931"/>
      <c r="AE500" s="931"/>
      <c r="AF500" s="931"/>
      <c r="AG500" s="931"/>
      <c r="AH500" s="931"/>
      <c r="AI500" s="931"/>
      <c r="AJ500" s="544">
        <v>97433.600000000006</v>
      </c>
      <c r="AK500" s="541">
        <v>243584.4</v>
      </c>
      <c r="AL500" s="688">
        <v>132070.29999999999</v>
      </c>
      <c r="AM500" s="552">
        <v>292299.3</v>
      </c>
      <c r="AN500" s="771"/>
      <c r="AO500" s="771"/>
      <c r="AP500" s="551">
        <v>132070.39999999999</v>
      </c>
    </row>
    <row r="501" spans="1:42" s="743" customFormat="1" x14ac:dyDescent="0.25">
      <c r="A501" s="1061"/>
      <c r="B501" s="655" t="s">
        <v>77</v>
      </c>
      <c r="C501" s="660">
        <v>185814.38699999999</v>
      </c>
      <c r="D501" s="660">
        <v>99094.262999999992</v>
      </c>
      <c r="E501" s="660">
        <v>99970.904999999999</v>
      </c>
      <c r="F501" s="660">
        <v>259620.9</v>
      </c>
      <c r="G501" s="660">
        <v>118076.93399999999</v>
      </c>
      <c r="H501" s="660">
        <v>459158.10599999997</v>
      </c>
      <c r="I501" s="660">
        <v>239761.587</v>
      </c>
      <c r="J501" s="660">
        <v>46192.29</v>
      </c>
      <c r="K501" s="660">
        <v>126910.788</v>
      </c>
      <c r="L501" s="660">
        <v>164336.658</v>
      </c>
      <c r="M501" s="660">
        <v>256788.67199999999</v>
      </c>
      <c r="N501" s="657">
        <v>366773.52600000001</v>
      </c>
      <c r="O501" s="657">
        <v>122831.031</v>
      </c>
      <c r="P501" s="657">
        <v>200987.03699999995</v>
      </c>
      <c r="Q501" s="658">
        <v>61297.506000000001</v>
      </c>
      <c r="R501" s="658">
        <v>138172.266</v>
      </c>
      <c r="S501" s="659">
        <v>292461.25799999997</v>
      </c>
      <c r="T501" s="661">
        <v>56948.012999999999</v>
      </c>
      <c r="U501" s="691">
        <v>36650.379000000001</v>
      </c>
      <c r="V501" s="691">
        <v>39179.153999999995</v>
      </c>
      <c r="W501" s="691">
        <v>39179.153999999995</v>
      </c>
      <c r="X501" s="752">
        <v>3410204.8139999998</v>
      </c>
      <c r="Y501" s="534"/>
      <c r="Z501" s="534"/>
      <c r="AA501" s="534"/>
      <c r="AB501" s="756"/>
      <c r="AC501" s="624" t="s">
        <v>5</v>
      </c>
      <c r="AD501" s="932"/>
      <c r="AE501" s="932"/>
      <c r="AF501" s="932"/>
      <c r="AG501" s="932"/>
      <c r="AH501" s="932"/>
      <c r="AI501" s="932"/>
      <c r="AJ501" s="629">
        <v>38973.199999999997</v>
      </c>
      <c r="AK501" s="625">
        <v>124350.5</v>
      </c>
      <c r="AL501" s="626">
        <v>3817.1</v>
      </c>
      <c r="AM501" s="631">
        <v>109009</v>
      </c>
      <c r="AN501" s="772"/>
      <c r="AO501" s="772"/>
      <c r="AP501" s="632">
        <v>33401</v>
      </c>
    </row>
    <row r="502" spans="1:42" s="743" customFormat="1" ht="15.75" thickBot="1" x14ac:dyDescent="0.3">
      <c r="A502" s="1062"/>
      <c r="B502" s="504" t="s">
        <v>217</v>
      </c>
      <c r="C502" s="542">
        <v>0.74320284827036731</v>
      </c>
      <c r="D502" s="689">
        <v>0.65836058723051982</v>
      </c>
      <c r="E502" s="690">
        <v>0.66418480474259656</v>
      </c>
      <c r="F502" s="690">
        <v>1.4264978670189035</v>
      </c>
      <c r="G502" s="690">
        <v>0.7123122214064791</v>
      </c>
      <c r="H502" s="690">
        <v>1.1788246774752569</v>
      </c>
      <c r="I502" s="690">
        <v>1.3941613020459309</v>
      </c>
      <c r="J502" s="690">
        <v>0.27813628423769809</v>
      </c>
      <c r="K502" s="690">
        <v>1.0233156478996801</v>
      </c>
      <c r="L502" s="690">
        <v>0.73341267418570522</v>
      </c>
      <c r="M502" s="690">
        <v>1.3303106733647931</v>
      </c>
      <c r="N502" s="501">
        <v>0.83696227852728733</v>
      </c>
      <c r="O502" s="501">
        <v>1.4792004580991054</v>
      </c>
      <c r="P502" s="663">
        <v>0.72787000996630558</v>
      </c>
      <c r="Q502" s="520">
        <v>0.73817909218341304</v>
      </c>
      <c r="R502" s="520">
        <v>0.7210811185993814</v>
      </c>
      <c r="S502" s="515">
        <v>1.3052157439242524</v>
      </c>
      <c r="T502" s="542">
        <v>1.0325835070986926</v>
      </c>
      <c r="U502" s="689">
        <v>1.107580090962663</v>
      </c>
      <c r="V502" s="689">
        <v>0.38337080036987564</v>
      </c>
      <c r="W502" s="689">
        <v>0.18701579262660711</v>
      </c>
      <c r="X502" s="748">
        <v>0.88266188988043626</v>
      </c>
      <c r="Y502" s="534"/>
      <c r="Z502" s="534"/>
      <c r="AA502" s="534"/>
      <c r="AB502" s="757"/>
      <c r="AC502" s="504" t="s">
        <v>3</v>
      </c>
      <c r="AD502" s="935"/>
      <c r="AE502" s="935"/>
      <c r="AF502" s="935"/>
      <c r="AG502" s="935"/>
      <c r="AH502" s="935"/>
      <c r="AI502" s="935"/>
      <c r="AJ502" s="545">
        <f>AJ501/AJ500</f>
        <v>0.39999753678402516</v>
      </c>
      <c r="AK502" s="542">
        <f>AK501/AK500</f>
        <v>0.51050272513346506</v>
      </c>
      <c r="AL502" s="689">
        <f>AL501/AL500</f>
        <v>2.8902031720984961E-2</v>
      </c>
      <c r="AM502" s="636">
        <f>AM501/AM500</f>
        <v>0.37293623351133581</v>
      </c>
      <c r="AN502" s="773"/>
      <c r="AO502" s="773"/>
      <c r="AP502" s="633">
        <f>AP501/AP500</f>
        <v>0.25290299718937781</v>
      </c>
    </row>
    <row r="503" spans="1:42" s="743" customFormat="1" ht="15.75" thickBot="1" x14ac:dyDescent="0.3">
      <c r="A503" s="612"/>
      <c r="B503" s="504" t="s">
        <v>218</v>
      </c>
      <c r="C503" s="650">
        <v>172106</v>
      </c>
      <c r="D503" s="650">
        <v>98689.1</v>
      </c>
      <c r="E503" s="650">
        <v>99565.7</v>
      </c>
      <c r="F503" s="650">
        <v>241623</v>
      </c>
      <c r="G503" s="650">
        <v>115789</v>
      </c>
      <c r="H503" s="650">
        <v>444084</v>
      </c>
      <c r="I503" s="650">
        <v>172296</v>
      </c>
      <c r="J503" s="650">
        <v>46232</v>
      </c>
      <c r="K503" s="650">
        <v>126991</v>
      </c>
      <c r="L503" s="650">
        <v>164441</v>
      </c>
      <c r="M503" s="650">
        <v>252825</v>
      </c>
      <c r="N503" s="650">
        <v>366847</v>
      </c>
      <c r="O503" s="650">
        <v>122881</v>
      </c>
      <c r="P503" s="650">
        <v>168553</v>
      </c>
      <c r="Q503" s="650">
        <v>61343.5</v>
      </c>
      <c r="R503" s="650">
        <v>125083</v>
      </c>
      <c r="S503" s="650">
        <v>292622</v>
      </c>
      <c r="T503" s="650">
        <v>56947.7</v>
      </c>
      <c r="U503" s="650">
        <v>36650.300000000003</v>
      </c>
      <c r="V503" s="650">
        <v>39212.6</v>
      </c>
      <c r="W503" s="650">
        <v>39212.6</v>
      </c>
      <c r="X503" s="753">
        <v>3243994.5</v>
      </c>
      <c r="Y503" s="534"/>
      <c r="Z503" s="534"/>
      <c r="AA503" s="534"/>
      <c r="AB503" s="757" t="s">
        <v>219</v>
      </c>
      <c r="AC503" s="504" t="s">
        <v>3</v>
      </c>
      <c r="AD503" s="935"/>
      <c r="AE503" s="935"/>
      <c r="AF503" s="935"/>
      <c r="AG503" s="935"/>
      <c r="AH503" s="935"/>
      <c r="AI503" s="935"/>
      <c r="AJ503" s="545">
        <f>(AJ496+AJ502)/2</f>
        <v>0.38119624665106289</v>
      </c>
      <c r="AK503" s="545">
        <f t="shared" ref="AK503:AP503" si="96">(AK496+AK502)/2</f>
        <v>0.47677983409520408</v>
      </c>
      <c r="AL503" s="545">
        <f t="shared" si="96"/>
        <v>2.9589946651719472E-2</v>
      </c>
      <c r="AM503" s="545">
        <f t="shared" si="96"/>
        <v>0.45412051337057324</v>
      </c>
      <c r="AN503" s="545"/>
      <c r="AO503" s="545"/>
      <c r="AP503" s="545">
        <f t="shared" si="96"/>
        <v>0.31543211186862841</v>
      </c>
    </row>
    <row r="504" spans="1:42" s="743" customFormat="1" ht="15.75" thickBot="1" x14ac:dyDescent="0.3">
      <c r="A504" s="612"/>
      <c r="B504" s="504" t="s">
        <v>216</v>
      </c>
      <c r="C504" s="690">
        <v>0.68837333572249082</v>
      </c>
      <c r="D504" s="690">
        <v>0.65566877296672066</v>
      </c>
      <c r="E504" s="690">
        <v>0.661492711439993</v>
      </c>
      <c r="F504" s="690">
        <v>1.3276076545559643</v>
      </c>
      <c r="G504" s="690">
        <v>0.6985100053871216</v>
      </c>
      <c r="H504" s="690">
        <v>1.1401240035429583</v>
      </c>
      <c r="I504" s="690">
        <v>1.0018636375530234</v>
      </c>
      <c r="J504" s="690">
        <v>0.27837538889882402</v>
      </c>
      <c r="K504" s="690">
        <v>1.0239624187222625</v>
      </c>
      <c r="L504" s="690">
        <v>0.73387833867092245</v>
      </c>
      <c r="M504" s="690">
        <v>1.3097766088118319</v>
      </c>
      <c r="N504" s="690">
        <v>0.83712994320887746</v>
      </c>
      <c r="O504" s="690">
        <v>1.4798022129414201</v>
      </c>
      <c r="P504" s="690">
        <v>0.61041087833863994</v>
      </c>
      <c r="Q504" s="690">
        <v>0.73873297783686664</v>
      </c>
      <c r="R504" s="690">
        <v>0.65277202269930512</v>
      </c>
      <c r="S504" s="690">
        <v>1.3059331141172983</v>
      </c>
      <c r="T504" s="690">
        <v>1.032577831770956</v>
      </c>
      <c r="U504" s="690">
        <v>1.1075777035705112</v>
      </c>
      <c r="V504" s="690">
        <v>0.38369807185177573</v>
      </c>
      <c r="W504" s="690">
        <v>0.18717544207182457</v>
      </c>
      <c r="X504" s="754">
        <v>0.83964174362101562</v>
      </c>
      <c r="Y504" s="534"/>
      <c r="Z504" s="534"/>
      <c r="AA504" s="534"/>
      <c r="AB504" s="757"/>
      <c r="AC504" s="504"/>
      <c r="AD504" s="935"/>
      <c r="AE504" s="935"/>
      <c r="AF504" s="935"/>
      <c r="AG504" s="935"/>
      <c r="AH504" s="935"/>
      <c r="AI504" s="935"/>
      <c r="AJ504" s="545"/>
      <c r="AK504" s="542"/>
      <c r="AL504" s="689"/>
      <c r="AM504" s="636"/>
      <c r="AN504" s="773"/>
      <c r="AO504" s="773"/>
      <c r="AP504" s="633"/>
    </row>
    <row r="505" spans="1:42" s="743" customFormat="1" ht="15.75" thickBot="1" x14ac:dyDescent="0.3">
      <c r="A505" s="1048">
        <v>41725</v>
      </c>
      <c r="B505" s="1048"/>
      <c r="C505" s="1048"/>
      <c r="D505" s="529"/>
      <c r="E505" s="529"/>
      <c r="F505" s="529"/>
      <c r="G505" s="529"/>
      <c r="H505" s="529"/>
      <c r="I505" s="525"/>
      <c r="J505" s="531"/>
      <c r="K505" s="531"/>
      <c r="L505" s="529"/>
      <c r="M505" s="529"/>
      <c r="N505" s="527"/>
      <c r="R505" s="526"/>
      <c r="S505" s="534"/>
      <c r="T505" s="534"/>
      <c r="U505" s="534"/>
      <c r="V505" s="534"/>
      <c r="W505" s="534"/>
      <c r="X505" s="534"/>
      <c r="Y505" s="534"/>
      <c r="Z505" s="534"/>
      <c r="AA505" s="1063"/>
      <c r="AB505" s="1064"/>
    </row>
    <row r="506" spans="1:42" s="743" customFormat="1" x14ac:dyDescent="0.25">
      <c r="A506" s="1049" t="s">
        <v>1</v>
      </c>
      <c r="B506" s="1050"/>
      <c r="C506" s="540" t="s">
        <v>12</v>
      </c>
      <c r="D506" s="539" t="s">
        <v>12</v>
      </c>
      <c r="E506" s="540" t="s">
        <v>13</v>
      </c>
      <c r="F506" s="530" t="s">
        <v>13</v>
      </c>
      <c r="G506" s="530" t="s">
        <v>13</v>
      </c>
      <c r="H506" s="530" t="s">
        <v>13</v>
      </c>
      <c r="I506" s="530" t="s">
        <v>13</v>
      </c>
      <c r="J506" s="536" t="s">
        <v>13</v>
      </c>
      <c r="K506" s="536" t="s">
        <v>13</v>
      </c>
      <c r="L506" s="539" t="s">
        <v>13</v>
      </c>
      <c r="M506" s="676" t="s">
        <v>2</v>
      </c>
      <c r="N506" s="530" t="s">
        <v>2</v>
      </c>
      <c r="O506" s="536" t="s">
        <v>2</v>
      </c>
      <c r="P506" s="530" t="s">
        <v>2</v>
      </c>
      <c r="Q506" s="536" t="s">
        <v>2</v>
      </c>
      <c r="R506" s="536" t="s">
        <v>2</v>
      </c>
      <c r="S506" s="539" t="s">
        <v>2</v>
      </c>
      <c r="T506" s="569" t="s">
        <v>183</v>
      </c>
      <c r="U506" s="693" t="s">
        <v>183</v>
      </c>
      <c r="V506" s="693" t="s">
        <v>2</v>
      </c>
      <c r="W506" s="693" t="s">
        <v>13</v>
      </c>
      <c r="X506" s="745" t="s">
        <v>219</v>
      </c>
      <c r="Y506" s="534"/>
      <c r="Z506" s="534"/>
      <c r="AA506" s="534"/>
      <c r="AB506" s="1049" t="s">
        <v>1</v>
      </c>
      <c r="AC506" s="1051"/>
      <c r="AD506" s="929"/>
      <c r="AE506" s="929"/>
      <c r="AF506" s="929"/>
      <c r="AG506" s="929"/>
      <c r="AH506" s="929"/>
      <c r="AI506" s="929"/>
      <c r="AJ506" s="741" t="s">
        <v>12</v>
      </c>
      <c r="AK506" s="1052" t="s">
        <v>13</v>
      </c>
      <c r="AL506" s="1053"/>
      <c r="AM506" s="1052" t="s">
        <v>2</v>
      </c>
      <c r="AN506" s="1065"/>
      <c r="AO506" s="1065"/>
      <c r="AP506" s="1053"/>
    </row>
    <row r="507" spans="1:42" s="743" customFormat="1" ht="15.75" thickBot="1" x14ac:dyDescent="0.3">
      <c r="A507" s="1054" t="s">
        <v>0</v>
      </c>
      <c r="B507" s="1055"/>
      <c r="C507" s="617" t="s">
        <v>99</v>
      </c>
      <c r="D507" s="618" t="s">
        <v>100</v>
      </c>
      <c r="E507" s="617" t="s">
        <v>101</v>
      </c>
      <c r="F507" s="619" t="s">
        <v>102</v>
      </c>
      <c r="G507" s="619" t="s">
        <v>97</v>
      </c>
      <c r="H507" s="619" t="s">
        <v>104</v>
      </c>
      <c r="I507" s="619" t="s">
        <v>103</v>
      </c>
      <c r="J507" s="521" t="s">
        <v>178</v>
      </c>
      <c r="K507" s="521" t="s">
        <v>199</v>
      </c>
      <c r="L507" s="517" t="s">
        <v>206</v>
      </c>
      <c r="M507" s="617" t="s">
        <v>105</v>
      </c>
      <c r="N507" s="619" t="s">
        <v>107</v>
      </c>
      <c r="O507" s="620" t="s">
        <v>98</v>
      </c>
      <c r="P507" s="516" t="s">
        <v>106</v>
      </c>
      <c r="Q507" s="620" t="s">
        <v>179</v>
      </c>
      <c r="R507" s="620" t="s">
        <v>198</v>
      </c>
      <c r="S507" s="618" t="s">
        <v>207</v>
      </c>
      <c r="T507" s="621" t="s">
        <v>182</v>
      </c>
      <c r="U507" s="618" t="s">
        <v>184</v>
      </c>
      <c r="V507" s="618" t="s">
        <v>221</v>
      </c>
      <c r="W507" s="694" t="s">
        <v>222</v>
      </c>
      <c r="X507" s="746"/>
      <c r="Y507" s="526"/>
      <c r="Z507" s="526"/>
      <c r="AA507" s="526"/>
      <c r="AB507" s="1054" t="s">
        <v>0</v>
      </c>
      <c r="AC507" s="1056"/>
      <c r="AD507" s="943"/>
      <c r="AE507" s="943"/>
      <c r="AF507" s="943"/>
      <c r="AG507" s="943"/>
      <c r="AH507" s="943"/>
      <c r="AI507" s="930"/>
      <c r="AJ507" s="621" t="s">
        <v>99</v>
      </c>
      <c r="AK507" s="617" t="s">
        <v>104</v>
      </c>
      <c r="AL507" s="618" t="s">
        <v>206</v>
      </c>
      <c r="AM507" s="622" t="s">
        <v>107</v>
      </c>
      <c r="AN507" s="770"/>
      <c r="AO507" s="770"/>
      <c r="AP507" s="623" t="s">
        <v>207</v>
      </c>
    </row>
    <row r="508" spans="1:42" s="743" customFormat="1" ht="30" x14ac:dyDescent="0.25">
      <c r="A508" s="1057" t="s">
        <v>9</v>
      </c>
      <c r="B508" s="528" t="s">
        <v>4</v>
      </c>
      <c r="C508" s="541">
        <v>250018.4</v>
      </c>
      <c r="D508" s="688">
        <v>150516.70000000001</v>
      </c>
      <c r="E508" s="541">
        <v>150516.70000000001</v>
      </c>
      <c r="F508" s="533">
        <v>181998.8</v>
      </c>
      <c r="G508" s="533">
        <v>165765.70000000001</v>
      </c>
      <c r="H508" s="533">
        <v>389505</v>
      </c>
      <c r="I508" s="533">
        <v>171975.5</v>
      </c>
      <c r="J508" s="537">
        <v>166077.9</v>
      </c>
      <c r="K508" s="537">
        <v>124019.2</v>
      </c>
      <c r="L508" s="688">
        <v>224071.2</v>
      </c>
      <c r="M508" s="541">
        <v>193029.1</v>
      </c>
      <c r="N508" s="533">
        <v>438219.9</v>
      </c>
      <c r="O508" s="533">
        <v>83038.8</v>
      </c>
      <c r="P508" s="533">
        <v>276130.40000000002</v>
      </c>
      <c r="Q508" s="537">
        <v>83038.8</v>
      </c>
      <c r="R508" s="537">
        <v>191618.2</v>
      </c>
      <c r="S508" s="688">
        <v>224071.2</v>
      </c>
      <c r="T508" s="544">
        <v>55151</v>
      </c>
      <c r="U508" s="688">
        <v>33090.5</v>
      </c>
      <c r="V508" s="688">
        <v>102196.5</v>
      </c>
      <c r="W508" s="688">
        <v>209496.5</v>
      </c>
      <c r="X508" s="688">
        <v>3863545.9999999995</v>
      </c>
      <c r="Y508" s="534"/>
      <c r="Z508" s="534"/>
      <c r="AA508" s="534"/>
      <c r="AB508" s="738" t="s">
        <v>194</v>
      </c>
      <c r="AC508" s="524" t="s">
        <v>4</v>
      </c>
      <c r="AD508" s="931"/>
      <c r="AE508" s="931"/>
      <c r="AF508" s="931"/>
      <c r="AG508" s="931"/>
      <c r="AH508" s="931"/>
      <c r="AI508" s="931"/>
      <c r="AJ508" s="544">
        <v>143393</v>
      </c>
      <c r="AK508" s="541">
        <v>132132</v>
      </c>
      <c r="AL508" s="688">
        <v>83196.100000000006</v>
      </c>
      <c r="AM508" s="552">
        <v>132132.20000000001</v>
      </c>
      <c r="AN508" s="771"/>
      <c r="AO508" s="771"/>
      <c r="AP508" s="551">
        <v>83196.100000000006</v>
      </c>
    </row>
    <row r="509" spans="1:42" s="743" customFormat="1" x14ac:dyDescent="0.25">
      <c r="A509" s="1058"/>
      <c r="B509" s="624" t="s">
        <v>5</v>
      </c>
      <c r="C509" s="625">
        <v>104030.39999999999</v>
      </c>
      <c r="D509" s="626">
        <v>83245.100000000006</v>
      </c>
      <c r="E509" s="625">
        <v>84587.1</v>
      </c>
      <c r="F509" s="627">
        <v>149960.4</v>
      </c>
      <c r="G509" s="627">
        <v>114560.6</v>
      </c>
      <c r="H509" s="627">
        <v>205570</v>
      </c>
      <c r="I509" s="627">
        <v>119982.39999999999</v>
      </c>
      <c r="J509" s="628">
        <v>43116.3</v>
      </c>
      <c r="K509" s="628">
        <v>75573</v>
      </c>
      <c r="L509" s="626">
        <v>31573.9</v>
      </c>
      <c r="M509" s="625">
        <v>158238.5</v>
      </c>
      <c r="N509" s="627">
        <v>203452.9</v>
      </c>
      <c r="O509" s="627">
        <v>59359</v>
      </c>
      <c r="P509" s="627">
        <v>221100.9</v>
      </c>
      <c r="Q509" s="628">
        <v>22316.2</v>
      </c>
      <c r="R509" s="628">
        <v>115526.3</v>
      </c>
      <c r="S509" s="626">
        <v>120033.2</v>
      </c>
      <c r="T509" s="629">
        <v>14096.1</v>
      </c>
      <c r="U509" s="626">
        <v>7319.5</v>
      </c>
      <c r="V509" s="626">
        <v>6278.7</v>
      </c>
      <c r="W509" s="695">
        <v>12557.3</v>
      </c>
      <c r="X509" s="747">
        <v>1952477.8</v>
      </c>
      <c r="Y509" s="534"/>
      <c r="Z509" s="534"/>
      <c r="AA509" s="534"/>
      <c r="AB509" s="739"/>
      <c r="AC509" s="630" t="s">
        <v>5</v>
      </c>
      <c r="AD509" s="932"/>
      <c r="AE509" s="932"/>
      <c r="AF509" s="932"/>
      <c r="AG509" s="932"/>
      <c r="AH509" s="932"/>
      <c r="AI509" s="932"/>
      <c r="AJ509" s="629">
        <v>51964.9</v>
      </c>
      <c r="AK509" s="625">
        <v>58542</v>
      </c>
      <c r="AL509" s="626">
        <v>2519</v>
      </c>
      <c r="AM509" s="631">
        <v>70731</v>
      </c>
      <c r="AN509" s="772"/>
      <c r="AO509" s="772"/>
      <c r="AP509" s="632">
        <v>31444.9</v>
      </c>
    </row>
    <row r="510" spans="1:42" s="743" customFormat="1" ht="15.75" thickBot="1" x14ac:dyDescent="0.3">
      <c r="A510" s="1059"/>
      <c r="B510" s="504" t="s">
        <v>3</v>
      </c>
      <c r="C510" s="542">
        <v>0.41609097570418818</v>
      </c>
      <c r="D510" s="633">
        <v>0.55306221834520686</v>
      </c>
      <c r="E510" s="633">
        <v>0.56197817252172022</v>
      </c>
      <c r="F510" s="681">
        <v>0.82396367448576591</v>
      </c>
      <c r="G510" s="633">
        <v>0.69109954592536327</v>
      </c>
      <c r="H510" s="633">
        <v>0.52777242910874056</v>
      </c>
      <c r="I510" s="633">
        <v>0.69767147064552792</v>
      </c>
      <c r="J510" s="633">
        <v>0.25961491565102884</v>
      </c>
      <c r="K510" s="633">
        <v>0.60936532407885236</v>
      </c>
      <c r="L510" s="633">
        <v>0.14091012142568968</v>
      </c>
      <c r="M510" s="547">
        <v>0.81976499916333856</v>
      </c>
      <c r="N510" s="498">
        <v>0.46427124829337962</v>
      </c>
      <c r="O510" s="506">
        <v>0.7148345110960177</v>
      </c>
      <c r="P510" s="498">
        <v>0.80071191002511843</v>
      </c>
      <c r="Q510" s="506">
        <v>0.26874424967605504</v>
      </c>
      <c r="R510" s="506">
        <v>0.60289836769158667</v>
      </c>
      <c r="S510" s="689">
        <v>0.5356922263994659</v>
      </c>
      <c r="T510" s="545">
        <v>0.25559101376221649</v>
      </c>
      <c r="U510" s="689">
        <v>0.22119641588975689</v>
      </c>
      <c r="V510" s="689">
        <v>6.1437524768460761E-2</v>
      </c>
      <c r="W510" s="689">
        <v>5.9940380865551451E-2</v>
      </c>
      <c r="X510" s="748">
        <v>0.50535901474966272</v>
      </c>
      <c r="Y510" s="534"/>
      <c r="Z510" s="534"/>
      <c r="AA510" s="534"/>
      <c r="AB510" s="740"/>
      <c r="AC510" s="634" t="s">
        <v>3</v>
      </c>
      <c r="AD510" s="944"/>
      <c r="AE510" s="944"/>
      <c r="AF510" s="944"/>
      <c r="AG510" s="944"/>
      <c r="AH510" s="944"/>
      <c r="AI510" s="933"/>
      <c r="AJ510" s="635">
        <f>AJ509/AJ508</f>
        <v>0.36239495651810061</v>
      </c>
      <c r="AK510" s="542">
        <f>AK509/AK508</f>
        <v>0.44305694305694304</v>
      </c>
      <c r="AL510" s="689">
        <f>AL509/AL508</f>
        <v>3.0277861582453984E-2</v>
      </c>
      <c r="AM510" s="636">
        <f>AM509/AM508</f>
        <v>0.53530479322981073</v>
      </c>
      <c r="AN510" s="773"/>
      <c r="AO510" s="773"/>
      <c r="AP510" s="633">
        <f>AP509/AP508</f>
        <v>0.37796122654787906</v>
      </c>
    </row>
    <row r="511" spans="1:42" s="743" customFormat="1" ht="30" x14ac:dyDescent="0.25">
      <c r="A511" s="1060" t="s">
        <v>6</v>
      </c>
      <c r="B511" s="553" t="s">
        <v>7</v>
      </c>
      <c r="C511" s="541">
        <v>5862</v>
      </c>
      <c r="D511" s="541">
        <v>3653</v>
      </c>
      <c r="E511" s="541">
        <v>3650</v>
      </c>
      <c r="F511" s="541">
        <v>9450</v>
      </c>
      <c r="G511" s="541">
        <v>8081</v>
      </c>
      <c r="H511" s="541">
        <v>15703</v>
      </c>
      <c r="I511" s="541">
        <v>8597</v>
      </c>
      <c r="J511" s="541">
        <v>9599</v>
      </c>
      <c r="K511" s="541">
        <v>6153</v>
      </c>
      <c r="L511" s="541">
        <v>9423</v>
      </c>
      <c r="M511" s="541">
        <v>8889</v>
      </c>
      <c r="N511" s="541">
        <v>11924</v>
      </c>
      <c r="O511" s="541">
        <v>4233</v>
      </c>
      <c r="P511" s="541">
        <v>11252</v>
      </c>
      <c r="Q511" s="541">
        <v>4799</v>
      </c>
      <c r="R511" s="541">
        <v>9272</v>
      </c>
      <c r="S511" s="541">
        <v>11205</v>
      </c>
      <c r="T511" s="558">
        <v>2480</v>
      </c>
      <c r="U511" s="692">
        <v>1570</v>
      </c>
      <c r="V511" s="541">
        <v>3999</v>
      </c>
      <c r="W511" s="541">
        <v>7999</v>
      </c>
      <c r="X511" s="541">
        <v>157793</v>
      </c>
      <c r="Y511" s="559" t="s">
        <v>197</v>
      </c>
      <c r="Z511" s="561"/>
      <c r="AA511" s="561"/>
      <c r="AB511" s="562" t="s">
        <v>190</v>
      </c>
      <c r="AC511" s="553" t="s">
        <v>4</v>
      </c>
      <c r="AD511" s="934"/>
      <c r="AE511" s="934"/>
      <c r="AF511" s="934"/>
      <c r="AG511" s="934"/>
      <c r="AH511" s="934"/>
      <c r="AI511" s="934"/>
      <c r="AJ511" s="564">
        <v>9191.7999999999993</v>
      </c>
      <c r="AK511" s="565">
        <v>13787.7</v>
      </c>
      <c r="AL511" s="566">
        <v>8804.7999999999993</v>
      </c>
      <c r="AM511" s="567">
        <v>13787.7</v>
      </c>
      <c r="AN511" s="774"/>
      <c r="AO511" s="774"/>
      <c r="AP511" s="568">
        <v>8804.7999999999993</v>
      </c>
    </row>
    <row r="512" spans="1:42" s="743" customFormat="1" x14ac:dyDescent="0.25">
      <c r="A512" s="1061"/>
      <c r="B512" s="637" t="s">
        <v>11</v>
      </c>
      <c r="C512" s="644">
        <v>197649.054</v>
      </c>
      <c r="D512" s="644">
        <v>123168.201</v>
      </c>
      <c r="E512" s="644">
        <v>123067.04999999999</v>
      </c>
      <c r="F512" s="644">
        <v>318625.64999999997</v>
      </c>
      <c r="G512" s="644">
        <v>272467.07699999999</v>
      </c>
      <c r="H512" s="644">
        <v>529458.05099999998</v>
      </c>
      <c r="I512" s="644">
        <v>289865.049</v>
      </c>
      <c r="J512" s="644">
        <v>323649.48300000001</v>
      </c>
      <c r="K512" s="644">
        <v>207460.701</v>
      </c>
      <c r="L512" s="644">
        <v>317715.29099999997</v>
      </c>
      <c r="M512" s="644">
        <v>299710.413</v>
      </c>
      <c r="N512" s="641">
        <v>402041.50799999997</v>
      </c>
      <c r="O512" s="641">
        <v>142724.06099999999</v>
      </c>
      <c r="P512" s="642">
        <v>379383.68400000001</v>
      </c>
      <c r="Q512" s="640">
        <v>161807.883</v>
      </c>
      <c r="R512" s="643">
        <v>312624.02399999998</v>
      </c>
      <c r="S512" s="687">
        <v>377798.98499999999</v>
      </c>
      <c r="T512" s="638">
        <v>83618.16</v>
      </c>
      <c r="U512" s="642">
        <v>52935.689999999995</v>
      </c>
      <c r="V512" s="642">
        <v>134834.283</v>
      </c>
      <c r="W512" s="642">
        <v>269702.283</v>
      </c>
      <c r="X512" s="749">
        <v>5320306.5810000002</v>
      </c>
      <c r="Y512" s="534"/>
      <c r="Z512" s="534"/>
      <c r="AA512" s="534"/>
      <c r="AB512" s="739"/>
      <c r="AC512" s="624" t="s">
        <v>5</v>
      </c>
      <c r="AD512" s="932"/>
      <c r="AE512" s="932"/>
      <c r="AF512" s="932"/>
      <c r="AG512" s="932"/>
      <c r="AH512" s="932"/>
      <c r="AI512" s="932"/>
      <c r="AJ512" s="629">
        <v>7975.5</v>
      </c>
      <c r="AK512" s="625">
        <v>13649</v>
      </c>
      <c r="AL512" s="626">
        <v>1289.9000000000001</v>
      </c>
      <c r="AM512" s="631">
        <v>13642</v>
      </c>
      <c r="AN512" s="772"/>
      <c r="AO512" s="772"/>
      <c r="AP512" s="632">
        <v>5483.9</v>
      </c>
    </row>
    <row r="513" spans="1:42" s="743" customFormat="1" ht="15.75" thickBot="1" x14ac:dyDescent="0.3">
      <c r="A513" s="1061"/>
      <c r="B513" s="637" t="s">
        <v>79</v>
      </c>
      <c r="C513" s="638">
        <v>164000</v>
      </c>
      <c r="D513" s="687">
        <v>109880</v>
      </c>
      <c r="E513" s="638">
        <v>109880</v>
      </c>
      <c r="F513" s="641">
        <v>328000</v>
      </c>
      <c r="G513" s="641">
        <v>330905</v>
      </c>
      <c r="H513" s="641">
        <v>264264</v>
      </c>
      <c r="I513" s="641">
        <v>242663.6</v>
      </c>
      <c r="J513" s="643">
        <v>328000</v>
      </c>
      <c r="K513" s="643">
        <v>328000</v>
      </c>
      <c r="L513" s="687">
        <v>328000</v>
      </c>
      <c r="M513" s="638">
        <v>328000</v>
      </c>
      <c r="N513" s="641">
        <v>264264.40000000002</v>
      </c>
      <c r="O513" s="641">
        <v>328000</v>
      </c>
      <c r="P513" s="641">
        <v>352965.4</v>
      </c>
      <c r="Q513" s="643">
        <v>328000</v>
      </c>
      <c r="R513" s="643">
        <v>328000</v>
      </c>
      <c r="S513" s="687">
        <v>328000</v>
      </c>
      <c r="T513" s="644">
        <v>110302</v>
      </c>
      <c r="U513" s="687">
        <v>66181</v>
      </c>
      <c r="V513" s="687">
        <v>204393</v>
      </c>
      <c r="W513" s="687">
        <v>418993</v>
      </c>
      <c r="X513" s="750">
        <v>5590691.4000000004</v>
      </c>
      <c r="Y513" s="534"/>
      <c r="Z513" s="534"/>
      <c r="AA513" s="534"/>
      <c r="AB513" s="740"/>
      <c r="AC513" s="645" t="s">
        <v>3</v>
      </c>
      <c r="AD513" s="944"/>
      <c r="AE513" s="944"/>
      <c r="AF513" s="944"/>
      <c r="AG513" s="944"/>
      <c r="AH513" s="944"/>
      <c r="AI513" s="933"/>
      <c r="AJ513" s="635">
        <f>AJ512/AJ511</f>
        <v>0.86767553689157739</v>
      </c>
      <c r="AK513" s="646">
        <f>AK512/AK511</f>
        <v>0.98994030911609621</v>
      </c>
      <c r="AL513" s="647">
        <f>AL512/AL511</f>
        <v>0.14649963656187537</v>
      </c>
      <c r="AM513" s="648">
        <f>AM512/AM511</f>
        <v>0.98943261022505558</v>
      </c>
      <c r="AN513" s="775"/>
      <c r="AO513" s="775"/>
      <c r="AP513" s="649">
        <f>AP512/AP511</f>
        <v>0.62283072869343992</v>
      </c>
    </row>
    <row r="514" spans="1:42" s="743" customFormat="1" ht="30" x14ac:dyDescent="0.25">
      <c r="A514" s="1061"/>
      <c r="B514" s="624" t="s">
        <v>8</v>
      </c>
      <c r="C514" s="724">
        <v>5511</v>
      </c>
      <c r="D514" s="725">
        <v>2939</v>
      </c>
      <c r="E514" s="724">
        <v>2965</v>
      </c>
      <c r="F514" s="726">
        <v>7700</v>
      </c>
      <c r="G514" s="726">
        <v>3502</v>
      </c>
      <c r="H514" s="726">
        <v>13618</v>
      </c>
      <c r="I514" s="726">
        <v>7111</v>
      </c>
      <c r="J514" s="727">
        <v>1370</v>
      </c>
      <c r="K514" s="727">
        <v>3764</v>
      </c>
      <c r="L514" s="725">
        <v>4874</v>
      </c>
      <c r="M514" s="724">
        <v>7616</v>
      </c>
      <c r="N514" s="726">
        <v>10878</v>
      </c>
      <c r="O514" s="727">
        <v>3643</v>
      </c>
      <c r="P514" s="726">
        <v>8575</v>
      </c>
      <c r="Q514" s="727">
        <v>1818</v>
      </c>
      <c r="R514" s="727">
        <v>4098</v>
      </c>
      <c r="S514" s="725">
        <v>8674</v>
      </c>
      <c r="T514" s="654">
        <v>1689</v>
      </c>
      <c r="U514" s="686">
        <v>1087</v>
      </c>
      <c r="V514" s="725">
        <v>1162</v>
      </c>
      <c r="W514" s="725">
        <v>1162</v>
      </c>
      <c r="X514" s="751">
        <v>103756</v>
      </c>
      <c r="Y514" s="534"/>
      <c r="Z514" s="534"/>
      <c r="AA514" s="534"/>
      <c r="AB514" s="738" t="s">
        <v>191</v>
      </c>
      <c r="AC514" s="528" t="s">
        <v>4</v>
      </c>
      <c r="AD514" s="931"/>
      <c r="AE514" s="931"/>
      <c r="AF514" s="931"/>
      <c r="AG514" s="931"/>
      <c r="AH514" s="931"/>
      <c r="AI514" s="931"/>
      <c r="AJ514" s="544">
        <v>97433.600000000006</v>
      </c>
      <c r="AK514" s="541">
        <v>243584.4</v>
      </c>
      <c r="AL514" s="688">
        <v>132070.29999999999</v>
      </c>
      <c r="AM514" s="552">
        <v>292299.3</v>
      </c>
      <c r="AN514" s="771"/>
      <c r="AO514" s="771"/>
      <c r="AP514" s="551">
        <v>132070.39999999999</v>
      </c>
    </row>
    <row r="515" spans="1:42" s="743" customFormat="1" x14ac:dyDescent="0.25">
      <c r="A515" s="1061"/>
      <c r="B515" s="655" t="s">
        <v>77</v>
      </c>
      <c r="C515" s="660">
        <v>185814.38699999999</v>
      </c>
      <c r="D515" s="660">
        <v>99094.262999999992</v>
      </c>
      <c r="E515" s="660">
        <v>99970.904999999999</v>
      </c>
      <c r="F515" s="660">
        <v>259620.9</v>
      </c>
      <c r="G515" s="660">
        <v>118076.93399999999</v>
      </c>
      <c r="H515" s="660">
        <v>459158.10599999997</v>
      </c>
      <c r="I515" s="660">
        <v>239761.587</v>
      </c>
      <c r="J515" s="660">
        <v>46192.29</v>
      </c>
      <c r="K515" s="660">
        <v>126910.788</v>
      </c>
      <c r="L515" s="660">
        <v>164336.658</v>
      </c>
      <c r="M515" s="660">
        <v>256788.67199999999</v>
      </c>
      <c r="N515" s="657">
        <v>366773.52600000001</v>
      </c>
      <c r="O515" s="657">
        <v>122831.031</v>
      </c>
      <c r="P515" s="657">
        <v>200987.03699999995</v>
      </c>
      <c r="Q515" s="658">
        <v>61297.506000000001</v>
      </c>
      <c r="R515" s="658">
        <v>138172.266</v>
      </c>
      <c r="S515" s="659">
        <v>292461.25799999997</v>
      </c>
      <c r="T515" s="661">
        <v>56948.012999999999</v>
      </c>
      <c r="U515" s="691">
        <v>36650.379000000001</v>
      </c>
      <c r="V515" s="691">
        <v>39179.153999999995</v>
      </c>
      <c r="W515" s="691">
        <v>39179.153999999995</v>
      </c>
      <c r="X515" s="752">
        <v>3410204.8139999998</v>
      </c>
      <c r="Y515" s="534"/>
      <c r="Z515" s="534"/>
      <c r="AA515" s="534"/>
      <c r="AB515" s="739"/>
      <c r="AC515" s="624" t="s">
        <v>5</v>
      </c>
      <c r="AD515" s="932"/>
      <c r="AE515" s="932"/>
      <c r="AF515" s="932"/>
      <c r="AG515" s="932"/>
      <c r="AH515" s="932"/>
      <c r="AI515" s="932"/>
      <c r="AJ515" s="629">
        <v>38973.199999999997</v>
      </c>
      <c r="AK515" s="625">
        <v>124350.5</v>
      </c>
      <c r="AL515" s="626">
        <v>3817.1</v>
      </c>
      <c r="AM515" s="631">
        <v>109009</v>
      </c>
      <c r="AN515" s="772"/>
      <c r="AO515" s="772"/>
      <c r="AP515" s="632">
        <v>33401</v>
      </c>
    </row>
    <row r="516" spans="1:42" s="743" customFormat="1" ht="15.75" thickBot="1" x14ac:dyDescent="0.3">
      <c r="A516" s="1062"/>
      <c r="B516" s="504" t="s">
        <v>217</v>
      </c>
      <c r="C516" s="542">
        <v>0.74320284827036731</v>
      </c>
      <c r="D516" s="689">
        <v>0.65836058723051982</v>
      </c>
      <c r="E516" s="690">
        <v>0.66418480474259656</v>
      </c>
      <c r="F516" s="690">
        <v>1.4264978670189035</v>
      </c>
      <c r="G516" s="690">
        <v>0.7123122214064791</v>
      </c>
      <c r="H516" s="690">
        <v>1.1788246774752569</v>
      </c>
      <c r="I516" s="690">
        <v>1.3941613020459309</v>
      </c>
      <c r="J516" s="690">
        <v>0.27813628423769809</v>
      </c>
      <c r="K516" s="690">
        <v>1.0233156478996801</v>
      </c>
      <c r="L516" s="690">
        <v>0.73341267418570522</v>
      </c>
      <c r="M516" s="690">
        <v>1.3303106733647931</v>
      </c>
      <c r="N516" s="501">
        <v>0.83696227852728733</v>
      </c>
      <c r="O516" s="501">
        <v>1.4792004580991054</v>
      </c>
      <c r="P516" s="663">
        <v>0.72787000996630558</v>
      </c>
      <c r="Q516" s="520">
        <v>0.73817909218341304</v>
      </c>
      <c r="R516" s="520">
        <v>0.7210811185993814</v>
      </c>
      <c r="S516" s="515">
        <v>1.3052157439242524</v>
      </c>
      <c r="T516" s="542">
        <v>1.0325835070986926</v>
      </c>
      <c r="U516" s="689">
        <v>1.107580090962663</v>
      </c>
      <c r="V516" s="689">
        <v>0.38337080036987564</v>
      </c>
      <c r="W516" s="689">
        <v>0.18701579262660711</v>
      </c>
      <c r="X516" s="748">
        <v>0.88266188988043626</v>
      </c>
      <c r="Y516" s="534"/>
      <c r="Z516" s="534"/>
      <c r="AA516" s="534"/>
      <c r="AB516" s="740"/>
      <c r="AC516" s="504" t="s">
        <v>3</v>
      </c>
      <c r="AD516" s="935"/>
      <c r="AE516" s="935"/>
      <c r="AF516" s="935"/>
      <c r="AG516" s="935"/>
      <c r="AH516" s="935"/>
      <c r="AI516" s="935"/>
      <c r="AJ516" s="545">
        <f>AJ515/AJ514</f>
        <v>0.39999753678402516</v>
      </c>
      <c r="AK516" s="542">
        <f>AK515/AK514</f>
        <v>0.51050272513346506</v>
      </c>
      <c r="AL516" s="689">
        <f>AL515/AL514</f>
        <v>2.8902031720984961E-2</v>
      </c>
      <c r="AM516" s="636">
        <f>AM515/AM514</f>
        <v>0.37293623351133581</v>
      </c>
      <c r="AN516" s="773"/>
      <c r="AO516" s="773"/>
      <c r="AP516" s="633">
        <f>AP515/AP514</f>
        <v>0.25290299718937781</v>
      </c>
    </row>
    <row r="517" spans="1:42" s="743" customFormat="1" ht="15.75" thickBot="1" x14ac:dyDescent="0.3">
      <c r="A517" s="612"/>
      <c r="B517" s="504" t="s">
        <v>218</v>
      </c>
      <c r="C517" s="650">
        <v>172106</v>
      </c>
      <c r="D517" s="650">
        <v>98689.1</v>
      </c>
      <c r="E517" s="650">
        <v>99565.7</v>
      </c>
      <c r="F517" s="650">
        <v>241623</v>
      </c>
      <c r="G517" s="650">
        <v>115789</v>
      </c>
      <c r="H517" s="650">
        <v>444084</v>
      </c>
      <c r="I517" s="650">
        <v>172296</v>
      </c>
      <c r="J517" s="650">
        <v>46232</v>
      </c>
      <c r="K517" s="650">
        <v>126991</v>
      </c>
      <c r="L517" s="650">
        <v>164441</v>
      </c>
      <c r="M517" s="650">
        <v>252825</v>
      </c>
      <c r="N517" s="650">
        <v>366847</v>
      </c>
      <c r="O517" s="650">
        <v>122881</v>
      </c>
      <c r="P517" s="650">
        <v>168553</v>
      </c>
      <c r="Q517" s="650">
        <v>61343.5</v>
      </c>
      <c r="R517" s="650">
        <v>125083</v>
      </c>
      <c r="S517" s="650">
        <v>292622</v>
      </c>
      <c r="T517" s="650">
        <v>56947.7</v>
      </c>
      <c r="U517" s="650">
        <v>36650.300000000003</v>
      </c>
      <c r="V517" s="650">
        <v>39212.6</v>
      </c>
      <c r="W517" s="650">
        <v>39212.6</v>
      </c>
      <c r="X517" s="753">
        <v>3243994.5</v>
      </c>
      <c r="Y517" s="534"/>
      <c r="Z517" s="534"/>
      <c r="AA517" s="534"/>
      <c r="AB517" s="740" t="s">
        <v>219</v>
      </c>
      <c r="AC517" s="504" t="s">
        <v>3</v>
      </c>
      <c r="AD517" s="935"/>
      <c r="AE517" s="935"/>
      <c r="AF517" s="935"/>
      <c r="AG517" s="935"/>
      <c r="AH517" s="935"/>
      <c r="AI517" s="935"/>
      <c r="AJ517" s="545">
        <f>(AJ510+AJ516)/2</f>
        <v>0.38119624665106289</v>
      </c>
      <c r="AK517" s="545">
        <f t="shared" ref="AK517:AP517" si="97">(AK510+AK516)/2</f>
        <v>0.47677983409520408</v>
      </c>
      <c r="AL517" s="545">
        <f t="shared" si="97"/>
        <v>2.9589946651719472E-2</v>
      </c>
      <c r="AM517" s="545">
        <f t="shared" si="97"/>
        <v>0.45412051337057324</v>
      </c>
      <c r="AN517" s="545"/>
      <c r="AO517" s="545"/>
      <c r="AP517" s="545">
        <f t="shared" si="97"/>
        <v>0.31543211186862841</v>
      </c>
    </row>
    <row r="518" spans="1:42" s="743" customFormat="1" ht="15.75" thickBot="1" x14ac:dyDescent="0.3">
      <c r="A518" s="612"/>
      <c r="B518" s="504" t="s">
        <v>216</v>
      </c>
      <c r="C518" s="690">
        <v>0.68837333572249082</v>
      </c>
      <c r="D518" s="690">
        <v>0.65566877296672066</v>
      </c>
      <c r="E518" s="690">
        <v>0.661492711439993</v>
      </c>
      <c r="F518" s="690">
        <v>1.3276076545559643</v>
      </c>
      <c r="G518" s="690">
        <v>0.6985100053871216</v>
      </c>
      <c r="H518" s="690">
        <v>1.1401240035429583</v>
      </c>
      <c r="I518" s="690">
        <v>1.0018636375530234</v>
      </c>
      <c r="J518" s="690">
        <v>0.27837538889882402</v>
      </c>
      <c r="K518" s="690">
        <v>1.0239624187222625</v>
      </c>
      <c r="L518" s="690">
        <v>0.73387833867092245</v>
      </c>
      <c r="M518" s="690">
        <v>1.3097766088118319</v>
      </c>
      <c r="N518" s="690">
        <v>0.83712994320887746</v>
      </c>
      <c r="O518" s="690">
        <v>1.4798022129414201</v>
      </c>
      <c r="P518" s="690">
        <v>0.61041087833863994</v>
      </c>
      <c r="Q518" s="690">
        <v>0.73873297783686664</v>
      </c>
      <c r="R518" s="690">
        <v>0.65277202269930512</v>
      </c>
      <c r="S518" s="690">
        <v>1.3059331141172983</v>
      </c>
      <c r="T518" s="690">
        <v>1.032577831770956</v>
      </c>
      <c r="U518" s="690">
        <v>1.1075777035705112</v>
      </c>
      <c r="V518" s="690">
        <v>0.38369807185177573</v>
      </c>
      <c r="W518" s="690">
        <v>0.18717544207182457</v>
      </c>
      <c r="X518" s="754">
        <v>0.83964174362101562</v>
      </c>
      <c r="Y518" s="534"/>
      <c r="Z518" s="534"/>
      <c r="AA518" s="534"/>
      <c r="AB518" s="740"/>
      <c r="AC518" s="504"/>
      <c r="AD518" s="935"/>
      <c r="AE518" s="935"/>
      <c r="AF518" s="935"/>
      <c r="AG518" s="935"/>
      <c r="AH518" s="935"/>
      <c r="AI518" s="935"/>
      <c r="AJ518" s="545"/>
      <c r="AK518" s="542"/>
      <c r="AL518" s="689"/>
      <c r="AM518" s="636"/>
      <c r="AN518" s="773"/>
      <c r="AO518" s="773"/>
      <c r="AP518" s="633"/>
    </row>
    <row r="519" spans="1:42" s="591" customFormat="1" ht="15.75" thickBot="1" x14ac:dyDescent="0.3">
      <c r="A519" s="1048">
        <v>41709</v>
      </c>
      <c r="B519" s="1048"/>
      <c r="C519" s="1048"/>
      <c r="D519" s="529"/>
      <c r="E519" s="529"/>
      <c r="F519" s="529"/>
      <c r="G519" s="529"/>
      <c r="H519" s="529"/>
      <c r="I519" s="525"/>
      <c r="J519" s="531"/>
      <c r="K519" s="531"/>
      <c r="L519" s="529"/>
      <c r="M519" s="529"/>
      <c r="N519" s="527"/>
      <c r="R519" s="526"/>
      <c r="S519" s="534"/>
      <c r="T519" s="534"/>
      <c r="U519" s="534"/>
      <c r="V519" s="534"/>
      <c r="W519" s="534"/>
      <c r="X519" s="534"/>
      <c r="Y519" s="534"/>
      <c r="Z519" s="534"/>
      <c r="AA519" s="1063"/>
      <c r="AB519" s="1064"/>
      <c r="AD519" s="743"/>
      <c r="AE519" s="743"/>
      <c r="AF519" s="743"/>
      <c r="AG519" s="743"/>
      <c r="AH519" s="743"/>
      <c r="AI519" s="743"/>
      <c r="AN519" s="743"/>
      <c r="AO519" s="743"/>
    </row>
    <row r="520" spans="1:42" s="591" customFormat="1" x14ac:dyDescent="0.25">
      <c r="A520" s="1049" t="s">
        <v>1</v>
      </c>
      <c r="B520" s="1050"/>
      <c r="C520" s="540" t="s">
        <v>12</v>
      </c>
      <c r="D520" s="539" t="s">
        <v>12</v>
      </c>
      <c r="E520" s="540" t="s">
        <v>13</v>
      </c>
      <c r="F520" s="530" t="s">
        <v>13</v>
      </c>
      <c r="G520" s="530" t="s">
        <v>13</v>
      </c>
      <c r="H520" s="530" t="s">
        <v>13</v>
      </c>
      <c r="I520" s="530" t="s">
        <v>13</v>
      </c>
      <c r="J520" s="536" t="s">
        <v>13</v>
      </c>
      <c r="K520" s="536" t="s">
        <v>13</v>
      </c>
      <c r="L520" s="539" t="s">
        <v>13</v>
      </c>
      <c r="M520" s="676" t="s">
        <v>2</v>
      </c>
      <c r="N520" s="530" t="s">
        <v>2</v>
      </c>
      <c r="O520" s="536" t="s">
        <v>2</v>
      </c>
      <c r="P520" s="530" t="s">
        <v>2</v>
      </c>
      <c r="Q520" s="536" t="s">
        <v>2</v>
      </c>
      <c r="R520" s="536" t="s">
        <v>2</v>
      </c>
      <c r="S520" s="539" t="s">
        <v>2</v>
      </c>
      <c r="T520" s="569" t="s">
        <v>183</v>
      </c>
      <c r="U520" s="693" t="s">
        <v>183</v>
      </c>
      <c r="V520" s="693" t="s">
        <v>2</v>
      </c>
      <c r="W520" s="693" t="s">
        <v>13</v>
      </c>
      <c r="X520" s="534"/>
      <c r="Y520" s="534"/>
      <c r="Z520" s="534"/>
      <c r="AA520" s="534"/>
      <c r="AB520" s="1049" t="s">
        <v>1</v>
      </c>
      <c r="AC520" s="1051"/>
      <c r="AD520" s="929"/>
      <c r="AE520" s="929"/>
      <c r="AF520" s="929"/>
      <c r="AG520" s="929"/>
      <c r="AH520" s="929"/>
      <c r="AI520" s="929"/>
      <c r="AJ520" s="736" t="s">
        <v>12</v>
      </c>
      <c r="AK520" s="1052" t="s">
        <v>13</v>
      </c>
      <c r="AL520" s="1053"/>
      <c r="AM520" s="1052" t="s">
        <v>2</v>
      </c>
      <c r="AN520" s="1065"/>
      <c r="AO520" s="1065"/>
      <c r="AP520" s="1053"/>
    </row>
    <row r="521" spans="1:42" s="591" customFormat="1" ht="15.75" thickBot="1" x14ac:dyDescent="0.3">
      <c r="A521" s="1054" t="s">
        <v>0</v>
      </c>
      <c r="B521" s="1055"/>
      <c r="C521" s="617" t="s">
        <v>99</v>
      </c>
      <c r="D521" s="618" t="s">
        <v>100</v>
      </c>
      <c r="E521" s="617" t="s">
        <v>101</v>
      </c>
      <c r="F521" s="619" t="s">
        <v>102</v>
      </c>
      <c r="G521" s="619" t="s">
        <v>97</v>
      </c>
      <c r="H521" s="619" t="s">
        <v>104</v>
      </c>
      <c r="I521" s="619" t="s">
        <v>103</v>
      </c>
      <c r="J521" s="521" t="s">
        <v>178</v>
      </c>
      <c r="K521" s="521" t="s">
        <v>199</v>
      </c>
      <c r="L521" s="517" t="s">
        <v>206</v>
      </c>
      <c r="M521" s="617" t="s">
        <v>105</v>
      </c>
      <c r="N521" s="619" t="s">
        <v>107</v>
      </c>
      <c r="O521" s="620" t="s">
        <v>98</v>
      </c>
      <c r="P521" s="516" t="s">
        <v>106</v>
      </c>
      <c r="Q521" s="620" t="s">
        <v>179</v>
      </c>
      <c r="R521" s="620" t="s">
        <v>198</v>
      </c>
      <c r="S521" s="618" t="s">
        <v>207</v>
      </c>
      <c r="T521" s="621" t="s">
        <v>182</v>
      </c>
      <c r="U521" s="618" t="s">
        <v>184</v>
      </c>
      <c r="V521" s="618" t="s">
        <v>221</v>
      </c>
      <c r="W521" s="694" t="s">
        <v>222</v>
      </c>
      <c r="X521" s="526"/>
      <c r="Y521" s="526"/>
      <c r="Z521" s="526"/>
      <c r="AA521" s="526"/>
      <c r="AB521" s="1054" t="s">
        <v>0</v>
      </c>
      <c r="AC521" s="1056"/>
      <c r="AD521" s="943"/>
      <c r="AE521" s="943"/>
      <c r="AF521" s="943"/>
      <c r="AG521" s="943"/>
      <c r="AH521" s="943"/>
      <c r="AI521" s="930"/>
      <c r="AJ521" s="621" t="s">
        <v>99</v>
      </c>
      <c r="AK521" s="617" t="s">
        <v>104</v>
      </c>
      <c r="AL521" s="618" t="s">
        <v>206</v>
      </c>
      <c r="AM521" s="622" t="s">
        <v>107</v>
      </c>
      <c r="AN521" s="770"/>
      <c r="AO521" s="770"/>
      <c r="AP521" s="623" t="s">
        <v>207</v>
      </c>
    </row>
    <row r="522" spans="1:42" s="591" customFormat="1" ht="30" x14ac:dyDescent="0.25">
      <c r="A522" s="1057" t="s">
        <v>9</v>
      </c>
      <c r="B522" s="528" t="s">
        <v>4</v>
      </c>
      <c r="C522" s="541">
        <v>250018.4</v>
      </c>
      <c r="D522" s="688">
        <v>150516.70000000001</v>
      </c>
      <c r="E522" s="541">
        <v>150516.70000000001</v>
      </c>
      <c r="F522" s="533">
        <v>181998.8</v>
      </c>
      <c r="G522" s="533">
        <v>165765.70000000001</v>
      </c>
      <c r="H522" s="533">
        <v>389505</v>
      </c>
      <c r="I522" s="533">
        <v>171975.5</v>
      </c>
      <c r="J522" s="537">
        <v>166077.9</v>
      </c>
      <c r="K522" s="537">
        <v>124019.2</v>
      </c>
      <c r="L522" s="688">
        <v>224071.2</v>
      </c>
      <c r="M522" s="541">
        <v>193029.1</v>
      </c>
      <c r="N522" s="533">
        <v>438219.9</v>
      </c>
      <c r="O522" s="533">
        <v>83038.8</v>
      </c>
      <c r="P522" s="533">
        <v>276130.40000000002</v>
      </c>
      <c r="Q522" s="537">
        <v>83038.8</v>
      </c>
      <c r="R522" s="537">
        <v>191618.2</v>
      </c>
      <c r="S522" s="688">
        <v>224071.2</v>
      </c>
      <c r="T522" s="544">
        <v>55151</v>
      </c>
      <c r="U522" s="688">
        <v>33090.5</v>
      </c>
      <c r="V522" s="688">
        <v>102196.5</v>
      </c>
      <c r="W522" s="688">
        <v>209496.5</v>
      </c>
      <c r="X522" s="534"/>
      <c r="Y522" s="534"/>
      <c r="Z522" s="534"/>
      <c r="AA522" s="534"/>
      <c r="AB522" s="733" t="s">
        <v>194</v>
      </c>
      <c r="AC522" s="524" t="s">
        <v>4</v>
      </c>
      <c r="AD522" s="931"/>
      <c r="AE522" s="931"/>
      <c r="AF522" s="931"/>
      <c r="AG522" s="931"/>
      <c r="AH522" s="931"/>
      <c r="AI522" s="931"/>
      <c r="AJ522" s="544">
        <v>143393</v>
      </c>
      <c r="AK522" s="541">
        <v>132132</v>
      </c>
      <c r="AL522" s="688">
        <v>83196.100000000006</v>
      </c>
      <c r="AM522" s="552">
        <v>132132.20000000001</v>
      </c>
      <c r="AN522" s="771"/>
      <c r="AO522" s="771"/>
      <c r="AP522" s="551">
        <v>83196.100000000006</v>
      </c>
    </row>
    <row r="523" spans="1:42" s="591" customFormat="1" x14ac:dyDescent="0.25">
      <c r="A523" s="1058"/>
      <c r="B523" s="624" t="s">
        <v>5</v>
      </c>
      <c r="C523" s="625">
        <v>101294.7</v>
      </c>
      <c r="D523" s="626">
        <v>83109.899999999994</v>
      </c>
      <c r="E523" s="625">
        <v>84452.1</v>
      </c>
      <c r="F523" s="627">
        <v>147064.5</v>
      </c>
      <c r="G523" s="627">
        <v>114561.1</v>
      </c>
      <c r="H523" s="627">
        <v>203106.1</v>
      </c>
      <c r="I523" s="627">
        <v>118454.8</v>
      </c>
      <c r="J523" s="628">
        <v>40823.699999999997</v>
      </c>
      <c r="K523" s="628">
        <v>65413.4</v>
      </c>
      <c r="L523" s="626">
        <v>25780.6</v>
      </c>
      <c r="M523" s="625">
        <v>156405.1</v>
      </c>
      <c r="N523" s="627">
        <v>201986.9</v>
      </c>
      <c r="O523" s="627">
        <v>59151</v>
      </c>
      <c r="P523" s="627">
        <v>218368.2</v>
      </c>
      <c r="Q523" s="628">
        <v>21165.5</v>
      </c>
      <c r="R523" s="628">
        <v>107476.6</v>
      </c>
      <c r="S523" s="626">
        <v>115637.1</v>
      </c>
      <c r="T523" s="629">
        <v>14096.1</v>
      </c>
      <c r="U523" s="626">
        <v>7319.5</v>
      </c>
      <c r="V523" s="626">
        <v>3210.9</v>
      </c>
      <c r="W523" s="695">
        <v>6421.6</v>
      </c>
      <c r="X523" s="534"/>
      <c r="Y523" s="534"/>
      <c r="Z523" s="534"/>
      <c r="AA523" s="534"/>
      <c r="AB523" s="734"/>
      <c r="AC523" s="630" t="s">
        <v>5</v>
      </c>
      <c r="AD523" s="932"/>
      <c r="AE523" s="932"/>
      <c r="AF523" s="932"/>
      <c r="AG523" s="932"/>
      <c r="AH523" s="932"/>
      <c r="AI523" s="932"/>
      <c r="AJ523" s="629">
        <v>51964.9</v>
      </c>
      <c r="AK523" s="625">
        <v>58542</v>
      </c>
      <c r="AL523" s="626">
        <v>2519</v>
      </c>
      <c r="AM523" s="631">
        <v>70731</v>
      </c>
      <c r="AN523" s="772"/>
      <c r="AO523" s="772"/>
      <c r="AP523" s="632">
        <v>31444.9</v>
      </c>
    </row>
    <row r="524" spans="1:42" s="591" customFormat="1" ht="15.75" thickBot="1" x14ac:dyDescent="0.3">
      <c r="A524" s="1059"/>
      <c r="B524" s="504" t="s">
        <v>3</v>
      </c>
      <c r="C524" s="542">
        <v>0.4051489810349958</v>
      </c>
      <c r="D524" s="633">
        <v>0.55216397914649995</v>
      </c>
      <c r="E524" s="633">
        <v>0.56108126207922437</v>
      </c>
      <c r="F524" s="681">
        <v>0.80805203111229307</v>
      </c>
      <c r="G524" s="633">
        <v>0.69110256223090782</v>
      </c>
      <c r="H524" s="633">
        <v>0.52144670800118098</v>
      </c>
      <c r="I524" s="633">
        <v>0.6887888100339874</v>
      </c>
      <c r="J524" s="633">
        <v>0.245810550350167</v>
      </c>
      <c r="K524" s="633">
        <v>0.52744575033543195</v>
      </c>
      <c r="L524" s="633">
        <v>0.11505539310719091</v>
      </c>
      <c r="M524" s="547">
        <v>0.81026694938742394</v>
      </c>
      <c r="N524" s="498">
        <v>0.46092589588012772</v>
      </c>
      <c r="O524" s="506">
        <v>0.71232965794303382</v>
      </c>
      <c r="P524" s="498">
        <v>0.79081549876435187</v>
      </c>
      <c r="Q524" s="506">
        <v>0.25488687216096573</v>
      </c>
      <c r="R524" s="506">
        <v>0.56088931009684884</v>
      </c>
      <c r="S524" s="689">
        <v>0.51607301607703271</v>
      </c>
      <c r="T524" s="545">
        <v>0.25559101376221649</v>
      </c>
      <c r="U524" s="689">
        <v>0.22119641588975689</v>
      </c>
      <c r="V524" s="689">
        <v>3.14188842083633E-2</v>
      </c>
      <c r="W524" s="689">
        <v>3.0652540734570747E-2</v>
      </c>
      <c r="X524" s="534"/>
      <c r="Y524" s="534"/>
      <c r="Z524" s="534"/>
      <c r="AA524" s="534"/>
      <c r="AB524" s="735"/>
      <c r="AC524" s="634" t="s">
        <v>3</v>
      </c>
      <c r="AD524" s="944"/>
      <c r="AE524" s="944"/>
      <c r="AF524" s="944"/>
      <c r="AG524" s="944"/>
      <c r="AH524" s="944"/>
      <c r="AI524" s="933"/>
      <c r="AJ524" s="635">
        <f>AJ523/AJ522</f>
        <v>0.36239495651810061</v>
      </c>
      <c r="AK524" s="542">
        <f>AK523/AK522</f>
        <v>0.44305694305694304</v>
      </c>
      <c r="AL524" s="689">
        <f>AL523/AL522</f>
        <v>3.0277861582453984E-2</v>
      </c>
      <c r="AM524" s="636">
        <f>AM523/AM522</f>
        <v>0.53530479322981073</v>
      </c>
      <c r="AN524" s="773"/>
      <c r="AO524" s="773"/>
      <c r="AP524" s="633">
        <f>AP523/AP522</f>
        <v>0.37796122654787906</v>
      </c>
    </row>
    <row r="525" spans="1:42" s="591" customFormat="1" ht="30" x14ac:dyDescent="0.25">
      <c r="A525" s="1060" t="s">
        <v>6</v>
      </c>
      <c r="B525" s="553" t="s">
        <v>7</v>
      </c>
      <c r="C525" s="541">
        <v>5862</v>
      </c>
      <c r="D525" s="541">
        <v>3653</v>
      </c>
      <c r="E525" s="541">
        <v>3650</v>
      </c>
      <c r="F525" s="541">
        <v>9457</v>
      </c>
      <c r="G525" s="541">
        <v>8135</v>
      </c>
      <c r="H525" s="541">
        <v>15703</v>
      </c>
      <c r="I525" s="541">
        <v>8597</v>
      </c>
      <c r="J525" s="541">
        <v>9599</v>
      </c>
      <c r="K525" s="541">
        <v>6153</v>
      </c>
      <c r="L525" s="541">
        <v>9423</v>
      </c>
      <c r="M525" s="541">
        <v>8901</v>
      </c>
      <c r="N525" s="541">
        <v>11924</v>
      </c>
      <c r="O525" s="541">
        <v>4265</v>
      </c>
      <c r="P525" s="541">
        <v>11252</v>
      </c>
      <c r="Q525" s="541">
        <v>4799</v>
      </c>
      <c r="R525" s="541">
        <v>9272</v>
      </c>
      <c r="S525" s="541">
        <v>11205</v>
      </c>
      <c r="T525" s="558">
        <v>2480</v>
      </c>
      <c r="U525" s="692">
        <v>1570</v>
      </c>
      <c r="V525" s="541">
        <v>3999</v>
      </c>
      <c r="W525" s="541">
        <v>7999</v>
      </c>
      <c r="X525" s="559" t="s">
        <v>197</v>
      </c>
      <c r="Y525" s="561"/>
      <c r="Z525" s="561"/>
      <c r="AA525" s="561"/>
      <c r="AB525" s="562" t="s">
        <v>190</v>
      </c>
      <c r="AC525" s="553" t="s">
        <v>4</v>
      </c>
      <c r="AD525" s="934"/>
      <c r="AE525" s="934"/>
      <c r="AF525" s="934"/>
      <c r="AG525" s="934"/>
      <c r="AH525" s="934"/>
      <c r="AI525" s="934"/>
      <c r="AJ525" s="564">
        <v>9191.7999999999993</v>
      </c>
      <c r="AK525" s="565">
        <v>13787.7</v>
      </c>
      <c r="AL525" s="566">
        <v>8804.7999999999993</v>
      </c>
      <c r="AM525" s="567">
        <v>13787.7</v>
      </c>
      <c r="AN525" s="774"/>
      <c r="AO525" s="774"/>
      <c r="AP525" s="568">
        <v>8804.7999999999993</v>
      </c>
    </row>
    <row r="526" spans="1:42" s="591" customFormat="1" x14ac:dyDescent="0.25">
      <c r="A526" s="1061"/>
      <c r="B526" s="637" t="s">
        <v>11</v>
      </c>
      <c r="C526" s="644">
        <v>197649.054</v>
      </c>
      <c r="D526" s="644">
        <v>123168.201</v>
      </c>
      <c r="E526" s="644">
        <v>123067.04999999999</v>
      </c>
      <c r="F526" s="644">
        <v>318861.66899999999</v>
      </c>
      <c r="G526" s="644">
        <v>274287.79499999998</v>
      </c>
      <c r="H526" s="644">
        <v>529458.05099999998</v>
      </c>
      <c r="I526" s="644">
        <v>289865.049</v>
      </c>
      <c r="J526" s="644">
        <v>323649.48300000001</v>
      </c>
      <c r="K526" s="644">
        <v>207460.701</v>
      </c>
      <c r="L526" s="644">
        <v>317715.29099999997</v>
      </c>
      <c r="M526" s="644">
        <v>300115.01699999999</v>
      </c>
      <c r="N526" s="641">
        <v>402041.50799999997</v>
      </c>
      <c r="O526" s="641">
        <v>143803.005</v>
      </c>
      <c r="P526" s="642">
        <v>379383.68400000001</v>
      </c>
      <c r="Q526" s="640">
        <v>161807.883</v>
      </c>
      <c r="R526" s="643">
        <v>312624.02399999998</v>
      </c>
      <c r="S526" s="687">
        <v>377798.98499999999</v>
      </c>
      <c r="T526" s="638">
        <v>83618.16</v>
      </c>
      <c r="U526" s="642">
        <v>52935.689999999995</v>
      </c>
      <c r="V526" s="642">
        <v>134834.283</v>
      </c>
      <c r="W526" s="642">
        <v>269702.283</v>
      </c>
      <c r="X526" s="534"/>
      <c r="Y526" s="534"/>
      <c r="Z526" s="534"/>
      <c r="AA526" s="534"/>
      <c r="AB526" s="734"/>
      <c r="AC526" s="624" t="s">
        <v>5</v>
      </c>
      <c r="AD526" s="932"/>
      <c r="AE526" s="932"/>
      <c r="AF526" s="932"/>
      <c r="AG526" s="932"/>
      <c r="AH526" s="932"/>
      <c r="AI526" s="932"/>
      <c r="AJ526" s="629">
        <v>7975.5</v>
      </c>
      <c r="AK526" s="625">
        <v>13649</v>
      </c>
      <c r="AL526" s="626">
        <v>1289.9000000000001</v>
      </c>
      <c r="AM526" s="631">
        <v>13642</v>
      </c>
      <c r="AN526" s="772"/>
      <c r="AO526" s="772"/>
      <c r="AP526" s="632">
        <v>5483.9</v>
      </c>
    </row>
    <row r="527" spans="1:42" s="591" customFormat="1" ht="15.75" thickBot="1" x14ac:dyDescent="0.3">
      <c r="A527" s="1061"/>
      <c r="B527" s="637" t="s">
        <v>79</v>
      </c>
      <c r="C527" s="638">
        <v>164000</v>
      </c>
      <c r="D527" s="687">
        <v>109880</v>
      </c>
      <c r="E527" s="638">
        <v>109880</v>
      </c>
      <c r="F527" s="641">
        <v>328000</v>
      </c>
      <c r="G527" s="641">
        <v>330905</v>
      </c>
      <c r="H527" s="641">
        <v>264264</v>
      </c>
      <c r="I527" s="641">
        <v>242663.6</v>
      </c>
      <c r="J527" s="643">
        <v>328000</v>
      </c>
      <c r="K527" s="643">
        <v>328000</v>
      </c>
      <c r="L527" s="687">
        <v>328000</v>
      </c>
      <c r="M527" s="638">
        <v>328000</v>
      </c>
      <c r="N527" s="641">
        <v>264264.40000000002</v>
      </c>
      <c r="O527" s="641">
        <v>328000</v>
      </c>
      <c r="P527" s="641">
        <v>352965.4</v>
      </c>
      <c r="Q527" s="643">
        <v>328000</v>
      </c>
      <c r="R527" s="643">
        <v>328000</v>
      </c>
      <c r="S527" s="687">
        <v>328000</v>
      </c>
      <c r="T527" s="644">
        <v>110302</v>
      </c>
      <c r="U527" s="687">
        <v>66181</v>
      </c>
      <c r="V527" s="687">
        <v>204393</v>
      </c>
      <c r="W527" s="687">
        <v>418993</v>
      </c>
      <c r="X527" s="534"/>
      <c r="Y527" s="534"/>
      <c r="Z527" s="534"/>
      <c r="AA527" s="534"/>
      <c r="AB527" s="735"/>
      <c r="AC527" s="645" t="s">
        <v>3</v>
      </c>
      <c r="AD527" s="944"/>
      <c r="AE527" s="944"/>
      <c r="AF527" s="944"/>
      <c r="AG527" s="944"/>
      <c r="AH527" s="944"/>
      <c r="AI527" s="933"/>
      <c r="AJ527" s="635">
        <f>AJ526/AJ525</f>
        <v>0.86767553689157739</v>
      </c>
      <c r="AK527" s="646">
        <f>AK526/AK525</f>
        <v>0.98994030911609621</v>
      </c>
      <c r="AL527" s="647">
        <f>AL526/AL525</f>
        <v>0.14649963656187537</v>
      </c>
      <c r="AM527" s="648">
        <f>AM526/AM525</f>
        <v>0.98943261022505558</v>
      </c>
      <c r="AN527" s="775"/>
      <c r="AO527" s="775"/>
      <c r="AP527" s="649">
        <f>AP526/AP525</f>
        <v>0.62283072869343992</v>
      </c>
    </row>
    <row r="528" spans="1:42" s="591" customFormat="1" ht="30" x14ac:dyDescent="0.25">
      <c r="A528" s="1061"/>
      <c r="B528" s="624" t="s">
        <v>8</v>
      </c>
      <c r="C528" s="724">
        <v>5541</v>
      </c>
      <c r="D528" s="725">
        <v>2939</v>
      </c>
      <c r="E528" s="724">
        <v>2965</v>
      </c>
      <c r="F528" s="726">
        <v>7748</v>
      </c>
      <c r="G528" s="726">
        <v>3530</v>
      </c>
      <c r="H528" s="726">
        <v>13618</v>
      </c>
      <c r="I528" s="726">
        <v>7097</v>
      </c>
      <c r="J528" s="727">
        <v>1315</v>
      </c>
      <c r="K528" s="727">
        <v>3737</v>
      </c>
      <c r="L528" s="725">
        <v>4818</v>
      </c>
      <c r="M528" s="724">
        <v>7616</v>
      </c>
      <c r="N528" s="726">
        <v>10872</v>
      </c>
      <c r="O528" s="727">
        <v>3677</v>
      </c>
      <c r="P528" s="726">
        <v>8561</v>
      </c>
      <c r="Q528" s="727">
        <v>1763</v>
      </c>
      <c r="R528" s="727">
        <v>4096</v>
      </c>
      <c r="S528" s="725">
        <v>8584</v>
      </c>
      <c r="T528" s="654">
        <v>1689</v>
      </c>
      <c r="U528" s="686">
        <v>1087</v>
      </c>
      <c r="V528" s="725">
        <v>753</v>
      </c>
      <c r="W528" s="725">
        <v>753</v>
      </c>
      <c r="X528" s="526"/>
      <c r="Y528" s="534"/>
      <c r="Z528" s="534"/>
      <c r="AA528" s="534"/>
      <c r="AB528" s="733" t="s">
        <v>191</v>
      </c>
      <c r="AC528" s="528" t="s">
        <v>4</v>
      </c>
      <c r="AD528" s="931"/>
      <c r="AE528" s="931"/>
      <c r="AF528" s="931"/>
      <c r="AG528" s="931"/>
      <c r="AH528" s="931"/>
      <c r="AI528" s="931"/>
      <c r="AJ528" s="544">
        <v>97433.600000000006</v>
      </c>
      <c r="AK528" s="541">
        <v>243584.4</v>
      </c>
      <c r="AL528" s="688">
        <v>132070.29999999999</v>
      </c>
      <c r="AM528" s="552">
        <v>292299.3</v>
      </c>
      <c r="AN528" s="771"/>
      <c r="AO528" s="771"/>
      <c r="AP528" s="551">
        <v>132070.39999999999</v>
      </c>
    </row>
    <row r="529" spans="1:42" s="591" customFormat="1" x14ac:dyDescent="0.25">
      <c r="A529" s="1061"/>
      <c r="B529" s="655" t="s">
        <v>77</v>
      </c>
      <c r="C529" s="660">
        <v>186825.897</v>
      </c>
      <c r="D529" s="660">
        <v>99094.262999999992</v>
      </c>
      <c r="E529" s="660">
        <v>99970.904999999999</v>
      </c>
      <c r="F529" s="660">
        <v>261239.31599999999</v>
      </c>
      <c r="G529" s="660">
        <v>119021.01</v>
      </c>
      <c r="H529" s="660">
        <v>459158.10599999997</v>
      </c>
      <c r="I529" s="660">
        <v>239289.549</v>
      </c>
      <c r="J529" s="660">
        <v>44337.854999999996</v>
      </c>
      <c r="K529" s="660">
        <v>126000.42899999999</v>
      </c>
      <c r="L529" s="660">
        <v>162448.50599999999</v>
      </c>
      <c r="M529" s="660">
        <v>256788.67199999999</v>
      </c>
      <c r="N529" s="657">
        <v>366571.22399999999</v>
      </c>
      <c r="O529" s="657">
        <v>123977.409</v>
      </c>
      <c r="P529" s="657">
        <v>200514.99899999995</v>
      </c>
      <c r="Q529" s="658">
        <v>59443.070999999996</v>
      </c>
      <c r="R529" s="658">
        <v>138104.83199999999</v>
      </c>
      <c r="S529" s="659">
        <v>289426.728</v>
      </c>
      <c r="T529" s="661">
        <v>56948.012999999999</v>
      </c>
      <c r="U529" s="691">
        <v>36650.379000000001</v>
      </c>
      <c r="V529" s="691">
        <v>25388.900999999998</v>
      </c>
      <c r="W529" s="691">
        <v>25388.900999999998</v>
      </c>
      <c r="X529" s="532">
        <f>344240-H529</f>
        <v>-114918.10599999997</v>
      </c>
      <c r="Y529" s="534"/>
      <c r="Z529" s="534"/>
      <c r="AA529" s="534"/>
      <c r="AB529" s="734"/>
      <c r="AC529" s="624" t="s">
        <v>5</v>
      </c>
      <c r="AD529" s="932"/>
      <c r="AE529" s="932"/>
      <c r="AF529" s="932"/>
      <c r="AG529" s="932"/>
      <c r="AH529" s="932"/>
      <c r="AI529" s="932"/>
      <c r="AJ529" s="629">
        <v>38973.199999999997</v>
      </c>
      <c r="AK529" s="625">
        <v>124350.5</v>
      </c>
      <c r="AL529" s="626">
        <v>3817.1</v>
      </c>
      <c r="AM529" s="631">
        <v>109009</v>
      </c>
      <c r="AN529" s="772"/>
      <c r="AO529" s="772"/>
      <c r="AP529" s="632">
        <v>33401</v>
      </c>
    </row>
    <row r="530" spans="1:42" s="591" customFormat="1" ht="15.75" thickBot="1" x14ac:dyDescent="0.3">
      <c r="A530" s="1062"/>
      <c r="B530" s="504" t="s">
        <v>217</v>
      </c>
      <c r="C530" s="542">
        <v>0.74724859050373893</v>
      </c>
      <c r="D530" s="689">
        <v>0.65836058723051982</v>
      </c>
      <c r="E530" s="690">
        <v>0.66418480474259656</v>
      </c>
      <c r="F530" s="690">
        <v>1.4353903212548655</v>
      </c>
      <c r="G530" s="690">
        <v>0.71800746475296151</v>
      </c>
      <c r="H530" s="690">
        <v>1.1788246774752569</v>
      </c>
      <c r="I530" s="690">
        <v>1.3914165040950601</v>
      </c>
      <c r="J530" s="690">
        <v>0.26697022903107515</v>
      </c>
      <c r="K530" s="690">
        <v>1.0159751796496026</v>
      </c>
      <c r="L530" s="690">
        <v>0.72498610263166341</v>
      </c>
      <c r="M530" s="690">
        <v>1.3303106733647931</v>
      </c>
      <c r="N530" s="501">
        <v>0.83650063358601467</v>
      </c>
      <c r="O530" s="501">
        <v>1.4930057876558909</v>
      </c>
      <c r="P530" s="663">
        <v>0.72616053502258326</v>
      </c>
      <c r="Q530" s="520">
        <v>0.71584694142978933</v>
      </c>
      <c r="R530" s="520">
        <v>0.72072920004467211</v>
      </c>
      <c r="S530" s="515">
        <v>1.2916730396409712</v>
      </c>
      <c r="T530" s="542">
        <v>1.0325835070986926</v>
      </c>
      <c r="U530" s="689">
        <v>1.107580090962663</v>
      </c>
      <c r="V530" s="689">
        <v>0.24843219679734627</v>
      </c>
      <c r="W530" s="689">
        <v>0.12119009625459136</v>
      </c>
      <c r="X530" s="534"/>
      <c r="Y530" s="534"/>
      <c r="Z530" s="534"/>
      <c r="AA530" s="534"/>
      <c r="AB530" s="735"/>
      <c r="AC530" s="504" t="s">
        <v>3</v>
      </c>
      <c r="AD530" s="935"/>
      <c r="AE530" s="935"/>
      <c r="AF530" s="935"/>
      <c r="AG530" s="935"/>
      <c r="AH530" s="935"/>
      <c r="AI530" s="935"/>
      <c r="AJ530" s="545">
        <f>AJ529/AJ528</f>
        <v>0.39999753678402516</v>
      </c>
      <c r="AK530" s="542">
        <f>AK529/AK528</f>
        <v>0.51050272513346506</v>
      </c>
      <c r="AL530" s="689">
        <f>AL529/AL528</f>
        <v>2.8902031720984961E-2</v>
      </c>
      <c r="AM530" s="636">
        <f>AM529/AM528</f>
        <v>0.37293623351133581</v>
      </c>
      <c r="AN530" s="773"/>
      <c r="AO530" s="773"/>
      <c r="AP530" s="633">
        <f>AP529/AP528</f>
        <v>0.25290299718937781</v>
      </c>
    </row>
    <row r="531" spans="1:42" s="591" customFormat="1" ht="15.75" thickBot="1" x14ac:dyDescent="0.3">
      <c r="A531" s="612"/>
      <c r="B531" s="504" t="s">
        <v>218</v>
      </c>
      <c r="C531" s="650">
        <v>173118</v>
      </c>
      <c r="D531" s="650">
        <v>98689.1</v>
      </c>
      <c r="E531" s="650">
        <v>99565.7</v>
      </c>
      <c r="F531" s="650">
        <v>243240</v>
      </c>
      <c r="G531" s="650">
        <v>116733</v>
      </c>
      <c r="H531" s="650">
        <v>444084</v>
      </c>
      <c r="I531" s="650">
        <v>171824</v>
      </c>
      <c r="J531" s="650">
        <v>44377.599999999999</v>
      </c>
      <c r="K531" s="650">
        <v>126081</v>
      </c>
      <c r="L531" s="650">
        <v>162553</v>
      </c>
      <c r="M531" s="650">
        <v>252825</v>
      </c>
      <c r="N531" s="650">
        <v>366642</v>
      </c>
      <c r="O531" s="650">
        <v>124027</v>
      </c>
      <c r="P531" s="650">
        <v>168081</v>
      </c>
      <c r="Q531" s="650">
        <v>59489.1</v>
      </c>
      <c r="R531" s="650">
        <v>125016</v>
      </c>
      <c r="S531" s="650">
        <v>289585</v>
      </c>
      <c r="T531" s="650">
        <v>56947.7</v>
      </c>
      <c r="U531" s="650">
        <v>36650.300000000003</v>
      </c>
      <c r="V531" s="650">
        <v>25422.5</v>
      </c>
      <c r="W531" s="650">
        <v>25422.5</v>
      </c>
      <c r="X531" s="534"/>
      <c r="Y531" s="534"/>
      <c r="Z531" s="534"/>
      <c r="AA531" s="534"/>
      <c r="AB531" s="735" t="s">
        <v>219</v>
      </c>
      <c r="AC531" s="504" t="s">
        <v>3</v>
      </c>
      <c r="AD531" s="935"/>
      <c r="AE531" s="935"/>
      <c r="AF531" s="935"/>
      <c r="AG531" s="935"/>
      <c r="AH531" s="935"/>
      <c r="AI531" s="935"/>
      <c r="AJ531" s="545">
        <f>(AJ524+AJ530)/2</f>
        <v>0.38119624665106289</v>
      </c>
      <c r="AK531" s="545">
        <f t="shared" ref="AK531:AP531" si="98">(AK524+AK530)/2</f>
        <v>0.47677983409520408</v>
      </c>
      <c r="AL531" s="545">
        <f t="shared" si="98"/>
        <v>2.9589946651719472E-2</v>
      </c>
      <c r="AM531" s="545">
        <f t="shared" si="98"/>
        <v>0.45412051337057324</v>
      </c>
      <c r="AN531" s="545"/>
      <c r="AO531" s="545"/>
      <c r="AP531" s="545">
        <f t="shared" si="98"/>
        <v>0.31543211186862841</v>
      </c>
    </row>
    <row r="532" spans="1:42" s="591" customFormat="1" ht="15.75" thickBot="1" x14ac:dyDescent="0.3">
      <c r="A532" s="612"/>
      <c r="B532" s="504" t="s">
        <v>216</v>
      </c>
      <c r="C532" s="690">
        <v>0.69242103781161712</v>
      </c>
      <c r="D532" s="690">
        <v>0.65566877296672066</v>
      </c>
      <c r="E532" s="690">
        <v>0.661492711439993</v>
      </c>
      <c r="F532" s="690">
        <v>1.3364923285208474</v>
      </c>
      <c r="G532" s="690">
        <v>0.70420479025516125</v>
      </c>
      <c r="H532" s="690">
        <v>1.1401240035429583</v>
      </c>
      <c r="I532" s="690">
        <v>0.99911906056385935</v>
      </c>
      <c r="J532" s="690">
        <v>0.26720954443667699</v>
      </c>
      <c r="K532" s="690">
        <v>1.0166248451852617</v>
      </c>
      <c r="L532" s="690">
        <v>0.72545244547268906</v>
      </c>
      <c r="M532" s="690">
        <v>1.3097766088118319</v>
      </c>
      <c r="N532" s="690">
        <v>0.83666214154126728</v>
      </c>
      <c r="O532" s="690">
        <v>1.4936029904093027</v>
      </c>
      <c r="P532" s="690">
        <v>0.60870154101105844</v>
      </c>
      <c r="Q532" s="690">
        <v>0.71640124857295617</v>
      </c>
      <c r="R532" s="690">
        <v>0.65242236906515139</v>
      </c>
      <c r="S532" s="690">
        <v>1.2923793865521316</v>
      </c>
      <c r="T532" s="690">
        <v>1.032577831770956</v>
      </c>
      <c r="U532" s="690">
        <v>1.1075777035705112</v>
      </c>
      <c r="V532" s="690">
        <v>0.24876096539509671</v>
      </c>
      <c r="W532" s="690">
        <v>0.12135047602227245</v>
      </c>
      <c r="X532" s="534"/>
      <c r="Y532" s="534"/>
      <c r="Z532" s="534"/>
      <c r="AA532" s="534"/>
      <c r="AB532" s="735"/>
      <c r="AC532" s="504"/>
      <c r="AD532" s="935"/>
      <c r="AE532" s="935"/>
      <c r="AF532" s="935"/>
      <c r="AG532" s="935"/>
      <c r="AH532" s="935"/>
      <c r="AI532" s="935"/>
      <c r="AJ532" s="545"/>
      <c r="AK532" s="542"/>
      <c r="AL532" s="689"/>
      <c r="AM532" s="636"/>
      <c r="AN532" s="773"/>
      <c r="AO532" s="773"/>
      <c r="AP532" s="633"/>
    </row>
    <row r="533" spans="1:42" s="591" customFormat="1" ht="15.75" thickBot="1" x14ac:dyDescent="0.3">
      <c r="A533" s="1048">
        <v>41704</v>
      </c>
      <c r="B533" s="1048"/>
      <c r="C533" s="1048"/>
      <c r="D533" s="529"/>
      <c r="E533" s="529"/>
      <c r="F533" s="529"/>
      <c r="G533" s="529"/>
      <c r="H533" s="529"/>
      <c r="I533" s="525"/>
      <c r="J533" s="531"/>
      <c r="K533" s="531"/>
      <c r="L533" s="529"/>
      <c r="M533" s="529"/>
      <c r="N533" s="527"/>
      <c r="R533" s="526"/>
      <c r="S533" s="534"/>
      <c r="T533" s="534"/>
      <c r="U533" s="534"/>
      <c r="V533" s="534"/>
      <c r="W533" s="534"/>
      <c r="X533" s="534"/>
      <c r="Y533" s="534"/>
      <c r="Z533" s="534"/>
      <c r="AA533" s="1063"/>
      <c r="AB533" s="1064"/>
      <c r="AD533" s="743"/>
      <c r="AE533" s="743"/>
      <c r="AF533" s="743"/>
      <c r="AG533" s="743"/>
      <c r="AH533" s="743"/>
      <c r="AI533" s="743"/>
      <c r="AN533" s="743"/>
      <c r="AO533" s="743"/>
    </row>
    <row r="534" spans="1:42" s="591" customFormat="1" x14ac:dyDescent="0.25">
      <c r="A534" s="1049" t="s">
        <v>1</v>
      </c>
      <c r="B534" s="1050"/>
      <c r="C534" s="540" t="s">
        <v>12</v>
      </c>
      <c r="D534" s="539" t="s">
        <v>12</v>
      </c>
      <c r="E534" s="540" t="s">
        <v>13</v>
      </c>
      <c r="F534" s="530" t="s">
        <v>13</v>
      </c>
      <c r="G534" s="530" t="s">
        <v>13</v>
      </c>
      <c r="H534" s="530" t="s">
        <v>13</v>
      </c>
      <c r="I534" s="530" t="s">
        <v>13</v>
      </c>
      <c r="J534" s="536" t="s">
        <v>13</v>
      </c>
      <c r="K534" s="536" t="s">
        <v>13</v>
      </c>
      <c r="L534" s="539" t="s">
        <v>13</v>
      </c>
      <c r="M534" s="676" t="s">
        <v>2</v>
      </c>
      <c r="N534" s="530" t="s">
        <v>2</v>
      </c>
      <c r="O534" s="536" t="s">
        <v>2</v>
      </c>
      <c r="P534" s="530" t="s">
        <v>2</v>
      </c>
      <c r="Q534" s="536" t="s">
        <v>2</v>
      </c>
      <c r="R534" s="536" t="s">
        <v>2</v>
      </c>
      <c r="S534" s="539" t="s">
        <v>2</v>
      </c>
      <c r="T534" s="569" t="s">
        <v>183</v>
      </c>
      <c r="U534" s="693" t="s">
        <v>183</v>
      </c>
      <c r="V534" s="693" t="s">
        <v>2</v>
      </c>
      <c r="W534" s="693" t="s">
        <v>13</v>
      </c>
      <c r="X534" s="534"/>
      <c r="Y534" s="534"/>
      <c r="Z534" s="534"/>
      <c r="AA534" s="534"/>
      <c r="AB534" s="1049" t="s">
        <v>1</v>
      </c>
      <c r="AC534" s="1051"/>
      <c r="AD534" s="929"/>
      <c r="AE534" s="929"/>
      <c r="AF534" s="929"/>
      <c r="AG534" s="929"/>
      <c r="AH534" s="929"/>
      <c r="AI534" s="929"/>
      <c r="AJ534" s="731" t="s">
        <v>12</v>
      </c>
      <c r="AK534" s="1052" t="s">
        <v>13</v>
      </c>
      <c r="AL534" s="1053"/>
      <c r="AM534" s="1052" t="s">
        <v>2</v>
      </c>
      <c r="AN534" s="1065"/>
      <c r="AO534" s="1065"/>
      <c r="AP534" s="1053"/>
    </row>
    <row r="535" spans="1:42" s="591" customFormat="1" ht="15.75" thickBot="1" x14ac:dyDescent="0.3">
      <c r="A535" s="1054" t="s">
        <v>0</v>
      </c>
      <c r="B535" s="1055"/>
      <c r="C535" s="617" t="s">
        <v>99</v>
      </c>
      <c r="D535" s="618" t="s">
        <v>100</v>
      </c>
      <c r="E535" s="617" t="s">
        <v>101</v>
      </c>
      <c r="F535" s="619" t="s">
        <v>102</v>
      </c>
      <c r="G535" s="619" t="s">
        <v>97</v>
      </c>
      <c r="H535" s="619" t="s">
        <v>104</v>
      </c>
      <c r="I535" s="619" t="s">
        <v>103</v>
      </c>
      <c r="J535" s="521" t="s">
        <v>178</v>
      </c>
      <c r="K535" s="521" t="s">
        <v>199</v>
      </c>
      <c r="L535" s="517" t="s">
        <v>206</v>
      </c>
      <c r="M535" s="617" t="s">
        <v>105</v>
      </c>
      <c r="N535" s="619" t="s">
        <v>107</v>
      </c>
      <c r="O535" s="620" t="s">
        <v>98</v>
      </c>
      <c r="P535" s="516" t="s">
        <v>106</v>
      </c>
      <c r="Q535" s="620" t="s">
        <v>179</v>
      </c>
      <c r="R535" s="620" t="s">
        <v>198</v>
      </c>
      <c r="S535" s="618" t="s">
        <v>207</v>
      </c>
      <c r="T535" s="621" t="s">
        <v>182</v>
      </c>
      <c r="U535" s="618" t="s">
        <v>184</v>
      </c>
      <c r="V535" s="618" t="s">
        <v>221</v>
      </c>
      <c r="W535" s="694" t="s">
        <v>222</v>
      </c>
      <c r="X535" s="526"/>
      <c r="Y535" s="526"/>
      <c r="Z535" s="526"/>
      <c r="AA535" s="526"/>
      <c r="AB535" s="1054" t="s">
        <v>0</v>
      </c>
      <c r="AC535" s="1056"/>
      <c r="AD535" s="943"/>
      <c r="AE535" s="943"/>
      <c r="AF535" s="943"/>
      <c r="AG535" s="943"/>
      <c r="AH535" s="943"/>
      <c r="AI535" s="930"/>
      <c r="AJ535" s="621" t="s">
        <v>99</v>
      </c>
      <c r="AK535" s="617" t="s">
        <v>104</v>
      </c>
      <c r="AL535" s="618" t="s">
        <v>206</v>
      </c>
      <c r="AM535" s="622" t="s">
        <v>107</v>
      </c>
      <c r="AN535" s="770"/>
      <c r="AO535" s="770"/>
      <c r="AP535" s="623" t="s">
        <v>207</v>
      </c>
    </row>
    <row r="536" spans="1:42" s="591" customFormat="1" ht="30" x14ac:dyDescent="0.25">
      <c r="A536" s="1057" t="s">
        <v>9</v>
      </c>
      <c r="B536" s="528" t="s">
        <v>4</v>
      </c>
      <c r="C536" s="541">
        <v>250018.4</v>
      </c>
      <c r="D536" s="688">
        <v>150516.70000000001</v>
      </c>
      <c r="E536" s="541">
        <v>150516.70000000001</v>
      </c>
      <c r="F536" s="533">
        <v>181998.8</v>
      </c>
      <c r="G536" s="533">
        <v>165765.70000000001</v>
      </c>
      <c r="H536" s="533">
        <v>389505</v>
      </c>
      <c r="I536" s="533">
        <v>171975.5</v>
      </c>
      <c r="J536" s="537">
        <v>166077.9</v>
      </c>
      <c r="K536" s="537">
        <v>124019.2</v>
      </c>
      <c r="L536" s="688">
        <v>224071.2</v>
      </c>
      <c r="M536" s="541">
        <v>193029.1</v>
      </c>
      <c r="N536" s="533">
        <v>438219.9</v>
      </c>
      <c r="O536" s="533">
        <v>83038.8</v>
      </c>
      <c r="P536" s="533">
        <v>276130.40000000002</v>
      </c>
      <c r="Q536" s="537">
        <v>83038.8</v>
      </c>
      <c r="R536" s="537">
        <v>191618.2</v>
      </c>
      <c r="S536" s="688">
        <v>224071.2</v>
      </c>
      <c r="T536" s="544">
        <v>55151</v>
      </c>
      <c r="U536" s="688">
        <v>33090.5</v>
      </c>
      <c r="V536" s="688">
        <v>102196.5</v>
      </c>
      <c r="W536" s="688">
        <v>209496.5</v>
      </c>
      <c r="X536" s="534"/>
      <c r="Y536" s="534"/>
      <c r="Z536" s="534"/>
      <c r="AA536" s="534"/>
      <c r="AB536" s="728" t="s">
        <v>194</v>
      </c>
      <c r="AC536" s="524" t="s">
        <v>4</v>
      </c>
      <c r="AD536" s="931"/>
      <c r="AE536" s="931"/>
      <c r="AF536" s="931"/>
      <c r="AG536" s="931"/>
      <c r="AH536" s="931"/>
      <c r="AI536" s="931"/>
      <c r="AJ536" s="544">
        <v>143393</v>
      </c>
      <c r="AK536" s="541">
        <v>132132</v>
      </c>
      <c r="AL536" s="688">
        <v>83196.100000000006</v>
      </c>
      <c r="AM536" s="552">
        <v>132132.20000000001</v>
      </c>
      <c r="AN536" s="771"/>
      <c r="AO536" s="771"/>
      <c r="AP536" s="551">
        <v>83196.100000000006</v>
      </c>
    </row>
    <row r="537" spans="1:42" s="591" customFormat="1" x14ac:dyDescent="0.25">
      <c r="A537" s="1058"/>
      <c r="B537" s="624" t="s">
        <v>5</v>
      </c>
      <c r="C537" s="625">
        <v>100720.3</v>
      </c>
      <c r="D537" s="626">
        <v>82751</v>
      </c>
      <c r="E537" s="625">
        <v>84093</v>
      </c>
      <c r="F537" s="627">
        <v>156841.70000000001</v>
      </c>
      <c r="G537" s="627">
        <v>114258</v>
      </c>
      <c r="H537" s="627">
        <v>202555.7</v>
      </c>
      <c r="I537" s="627">
        <v>118282.6</v>
      </c>
      <c r="J537" s="628">
        <v>38819.199999999997</v>
      </c>
      <c r="K537" s="628">
        <v>65227</v>
      </c>
      <c r="L537" s="626">
        <v>24265.8</v>
      </c>
      <c r="M537" s="625">
        <v>168770.5</v>
      </c>
      <c r="N537" s="627">
        <v>200418</v>
      </c>
      <c r="O537" s="627">
        <v>58983.9</v>
      </c>
      <c r="P537" s="627">
        <v>218019.9</v>
      </c>
      <c r="Q537" s="628">
        <v>20157.900000000001</v>
      </c>
      <c r="R537" s="628">
        <v>107103</v>
      </c>
      <c r="S537" s="626">
        <v>112067.8</v>
      </c>
      <c r="T537" s="629">
        <v>14096.1</v>
      </c>
      <c r="U537" s="626">
        <v>7319.5</v>
      </c>
      <c r="V537" s="626">
        <v>3199.7</v>
      </c>
      <c r="W537" s="695">
        <v>6399.3</v>
      </c>
      <c r="X537" s="534"/>
      <c r="Y537" s="534"/>
      <c r="Z537" s="534"/>
      <c r="AA537" s="534"/>
      <c r="AB537" s="729"/>
      <c r="AC537" s="630" t="s">
        <v>5</v>
      </c>
      <c r="AD537" s="932"/>
      <c r="AE537" s="932"/>
      <c r="AF537" s="932"/>
      <c r="AG537" s="932"/>
      <c r="AH537" s="932"/>
      <c r="AI537" s="932"/>
      <c r="AJ537" s="629">
        <v>51964.9</v>
      </c>
      <c r="AK537" s="625">
        <v>58542</v>
      </c>
      <c r="AL537" s="626">
        <v>2519</v>
      </c>
      <c r="AM537" s="631">
        <v>70731</v>
      </c>
      <c r="AN537" s="772"/>
      <c r="AO537" s="772"/>
      <c r="AP537" s="632">
        <v>31444.9</v>
      </c>
    </row>
    <row r="538" spans="1:42" s="591" customFormat="1" ht="15.75" thickBot="1" x14ac:dyDescent="0.3">
      <c r="A538" s="1059"/>
      <c r="B538" s="504" t="s">
        <v>3</v>
      </c>
      <c r="C538" s="542">
        <v>0.40285155012591073</v>
      </c>
      <c r="D538" s="633">
        <v>0.54977952612567238</v>
      </c>
      <c r="E538" s="633">
        <v>0.55869548030218574</v>
      </c>
      <c r="F538" s="681">
        <v>0.86177326443910629</v>
      </c>
      <c r="G538" s="633">
        <v>0.6892740778098243</v>
      </c>
      <c r="H538" s="633">
        <v>0.52003363243090595</v>
      </c>
      <c r="I538" s="633">
        <v>0.6877875046154831</v>
      </c>
      <c r="J538" s="633">
        <v>0.23374091314979295</v>
      </c>
      <c r="K538" s="633">
        <v>0.52594275725049022</v>
      </c>
      <c r="L538" s="633">
        <v>0.10829504193309983</v>
      </c>
      <c r="M538" s="547">
        <v>0.87432672068615558</v>
      </c>
      <c r="N538" s="498">
        <v>0.45734572984932903</v>
      </c>
      <c r="O538" s="506">
        <v>0.71031734562638182</v>
      </c>
      <c r="P538" s="498">
        <v>0.78955413818978271</v>
      </c>
      <c r="Q538" s="506">
        <v>0.24275278544487638</v>
      </c>
      <c r="R538" s="506">
        <v>0.55893959968311979</v>
      </c>
      <c r="S538" s="689">
        <v>0.50014370432255462</v>
      </c>
      <c r="T538" s="545">
        <v>0.25559101376221649</v>
      </c>
      <c r="U538" s="689">
        <v>0.22119641588975689</v>
      </c>
      <c r="V538" s="689">
        <v>3.1309291414089523E-2</v>
      </c>
      <c r="W538" s="689">
        <v>3.0546095042160611E-2</v>
      </c>
      <c r="X538" s="534"/>
      <c r="Y538" s="534"/>
      <c r="Z538" s="534"/>
      <c r="AA538" s="534"/>
      <c r="AB538" s="730"/>
      <c r="AC538" s="634" t="s">
        <v>3</v>
      </c>
      <c r="AD538" s="944"/>
      <c r="AE538" s="944"/>
      <c r="AF538" s="944"/>
      <c r="AG538" s="944"/>
      <c r="AH538" s="944"/>
      <c r="AI538" s="933"/>
      <c r="AJ538" s="635">
        <f>AJ537/AJ536</f>
        <v>0.36239495651810061</v>
      </c>
      <c r="AK538" s="542">
        <f>AK537/AK536</f>
        <v>0.44305694305694304</v>
      </c>
      <c r="AL538" s="689">
        <f>AL537/AL536</f>
        <v>3.0277861582453984E-2</v>
      </c>
      <c r="AM538" s="636">
        <f>AM537/AM536</f>
        <v>0.53530479322981073</v>
      </c>
      <c r="AN538" s="773"/>
      <c r="AO538" s="773"/>
      <c r="AP538" s="633">
        <f>AP537/AP536</f>
        <v>0.37796122654787906</v>
      </c>
    </row>
    <row r="539" spans="1:42" s="591" customFormat="1" ht="30" x14ac:dyDescent="0.25">
      <c r="A539" s="1060" t="s">
        <v>6</v>
      </c>
      <c r="B539" s="553" t="s">
        <v>7</v>
      </c>
      <c r="C539" s="541">
        <v>5870</v>
      </c>
      <c r="D539" s="541">
        <v>3653</v>
      </c>
      <c r="E539" s="541">
        <v>3650</v>
      </c>
      <c r="F539" s="541">
        <v>9457</v>
      </c>
      <c r="G539" s="541">
        <v>8135</v>
      </c>
      <c r="H539" s="541">
        <v>15703</v>
      </c>
      <c r="I539" s="541">
        <v>8597</v>
      </c>
      <c r="J539" s="541">
        <v>9599</v>
      </c>
      <c r="K539" s="541">
        <v>6153</v>
      </c>
      <c r="L539" s="541">
        <v>9423</v>
      </c>
      <c r="M539" s="541">
        <v>8901</v>
      </c>
      <c r="N539" s="541">
        <v>11924</v>
      </c>
      <c r="O539" s="541">
        <v>4265</v>
      </c>
      <c r="P539" s="541">
        <v>11252</v>
      </c>
      <c r="Q539" s="541">
        <v>4799</v>
      </c>
      <c r="R539" s="541">
        <v>9272</v>
      </c>
      <c r="S539" s="541">
        <v>11205</v>
      </c>
      <c r="T539" s="558">
        <v>2480</v>
      </c>
      <c r="U539" s="692">
        <v>1570</v>
      </c>
      <c r="V539" s="541">
        <v>3999</v>
      </c>
      <c r="W539" s="541">
        <v>7999</v>
      </c>
      <c r="X539" s="559" t="s">
        <v>197</v>
      </c>
      <c r="Y539" s="561"/>
      <c r="Z539" s="561"/>
      <c r="AA539" s="561"/>
      <c r="AB539" s="562" t="s">
        <v>190</v>
      </c>
      <c r="AC539" s="553" t="s">
        <v>4</v>
      </c>
      <c r="AD539" s="934"/>
      <c r="AE539" s="934"/>
      <c r="AF539" s="934"/>
      <c r="AG539" s="934"/>
      <c r="AH539" s="934"/>
      <c r="AI539" s="934"/>
      <c r="AJ539" s="564">
        <v>9191.7999999999993</v>
      </c>
      <c r="AK539" s="565">
        <v>13787.7</v>
      </c>
      <c r="AL539" s="566">
        <v>8804.7999999999993</v>
      </c>
      <c r="AM539" s="567">
        <v>13787.7</v>
      </c>
      <c r="AN539" s="774"/>
      <c r="AO539" s="774"/>
      <c r="AP539" s="568">
        <v>8804.7999999999993</v>
      </c>
    </row>
    <row r="540" spans="1:42" s="591" customFormat="1" x14ac:dyDescent="0.25">
      <c r="A540" s="1061"/>
      <c r="B540" s="637" t="s">
        <v>11</v>
      </c>
      <c r="C540" s="644">
        <v>197918.78999999998</v>
      </c>
      <c r="D540" s="644">
        <v>123168.201</v>
      </c>
      <c r="E540" s="644">
        <v>123067.04999999999</v>
      </c>
      <c r="F540" s="644">
        <v>318861.66899999999</v>
      </c>
      <c r="G540" s="644">
        <v>274287.79499999998</v>
      </c>
      <c r="H540" s="644">
        <v>529458.05099999998</v>
      </c>
      <c r="I540" s="644">
        <v>289865.049</v>
      </c>
      <c r="J540" s="644">
        <v>323649.48300000001</v>
      </c>
      <c r="K540" s="644">
        <v>207460.701</v>
      </c>
      <c r="L540" s="644">
        <v>317715.29099999997</v>
      </c>
      <c r="M540" s="644">
        <v>300115.01699999999</v>
      </c>
      <c r="N540" s="641">
        <v>402041.50799999997</v>
      </c>
      <c r="O540" s="641">
        <v>143803.005</v>
      </c>
      <c r="P540" s="642">
        <v>379383.68400000001</v>
      </c>
      <c r="Q540" s="640">
        <v>161807.883</v>
      </c>
      <c r="R540" s="643">
        <v>312624.02399999998</v>
      </c>
      <c r="S540" s="687">
        <v>377798.98499999999</v>
      </c>
      <c r="T540" s="638">
        <v>83618.16</v>
      </c>
      <c r="U540" s="642">
        <v>52935.689999999995</v>
      </c>
      <c r="V540" s="642">
        <v>134834.283</v>
      </c>
      <c r="W540" s="642">
        <v>269702.283</v>
      </c>
      <c r="X540" s="534"/>
      <c r="Y540" s="534"/>
      <c r="Z540" s="534"/>
      <c r="AA540" s="534"/>
      <c r="AB540" s="729"/>
      <c r="AC540" s="624" t="s">
        <v>5</v>
      </c>
      <c r="AD540" s="932"/>
      <c r="AE540" s="932"/>
      <c r="AF540" s="932"/>
      <c r="AG540" s="932"/>
      <c r="AH540" s="932"/>
      <c r="AI540" s="932"/>
      <c r="AJ540" s="629">
        <v>7975.5</v>
      </c>
      <c r="AK540" s="625">
        <v>13649</v>
      </c>
      <c r="AL540" s="626">
        <v>1289.9000000000001</v>
      </c>
      <c r="AM540" s="631">
        <v>13642</v>
      </c>
      <c r="AN540" s="772"/>
      <c r="AO540" s="772"/>
      <c r="AP540" s="632">
        <v>5483.9</v>
      </c>
    </row>
    <row r="541" spans="1:42" s="591" customFormat="1" ht="15.75" thickBot="1" x14ac:dyDescent="0.3">
      <c r="A541" s="1061"/>
      <c r="B541" s="637" t="s">
        <v>79</v>
      </c>
      <c r="C541" s="638">
        <v>164000</v>
      </c>
      <c r="D541" s="687">
        <v>109880</v>
      </c>
      <c r="E541" s="638">
        <v>109880</v>
      </c>
      <c r="F541" s="641">
        <v>328000</v>
      </c>
      <c r="G541" s="641">
        <v>330905</v>
      </c>
      <c r="H541" s="641">
        <v>264264</v>
      </c>
      <c r="I541" s="641">
        <v>242663.6</v>
      </c>
      <c r="J541" s="643">
        <v>328000</v>
      </c>
      <c r="K541" s="643">
        <v>328000</v>
      </c>
      <c r="L541" s="687">
        <v>328000</v>
      </c>
      <c r="M541" s="638">
        <v>328000</v>
      </c>
      <c r="N541" s="641">
        <v>264264.40000000002</v>
      </c>
      <c r="O541" s="641">
        <v>328000</v>
      </c>
      <c r="P541" s="641">
        <v>352965.4</v>
      </c>
      <c r="Q541" s="643">
        <v>328000</v>
      </c>
      <c r="R541" s="643">
        <v>328000</v>
      </c>
      <c r="S541" s="687">
        <v>328000</v>
      </c>
      <c r="T541" s="644">
        <v>110302</v>
      </c>
      <c r="U541" s="687">
        <v>66181</v>
      </c>
      <c r="V541" s="687">
        <v>204393</v>
      </c>
      <c r="W541" s="687">
        <v>418993</v>
      </c>
      <c r="X541" s="534"/>
      <c r="Y541" s="534"/>
      <c r="Z541" s="534"/>
      <c r="AA541" s="534"/>
      <c r="AB541" s="730"/>
      <c r="AC541" s="645" t="s">
        <v>3</v>
      </c>
      <c r="AD541" s="944"/>
      <c r="AE541" s="944"/>
      <c r="AF541" s="944"/>
      <c r="AG541" s="944"/>
      <c r="AH541" s="944"/>
      <c r="AI541" s="933"/>
      <c r="AJ541" s="635">
        <f>AJ540/AJ539</f>
        <v>0.86767553689157739</v>
      </c>
      <c r="AK541" s="646">
        <f>AK540/AK539</f>
        <v>0.98994030911609621</v>
      </c>
      <c r="AL541" s="647">
        <f>AL540/AL539</f>
        <v>0.14649963656187537</v>
      </c>
      <c r="AM541" s="648">
        <f>AM540/AM539</f>
        <v>0.98943261022505558</v>
      </c>
      <c r="AN541" s="775"/>
      <c r="AO541" s="775"/>
      <c r="AP541" s="649">
        <f>AP540/AP539</f>
        <v>0.62283072869343992</v>
      </c>
    </row>
    <row r="542" spans="1:42" s="591" customFormat="1" ht="30" x14ac:dyDescent="0.25">
      <c r="A542" s="1061"/>
      <c r="B542" s="624" t="s">
        <v>8</v>
      </c>
      <c r="C542" s="724">
        <v>5615</v>
      </c>
      <c r="D542" s="725">
        <v>2939</v>
      </c>
      <c r="E542" s="724">
        <v>2965</v>
      </c>
      <c r="F542" s="726">
        <v>8096</v>
      </c>
      <c r="G542" s="726">
        <v>3588</v>
      </c>
      <c r="H542" s="726">
        <v>13618</v>
      </c>
      <c r="I542" s="726">
        <v>7097</v>
      </c>
      <c r="J542" s="727">
        <v>1289</v>
      </c>
      <c r="K542" s="727">
        <v>3722</v>
      </c>
      <c r="L542" s="725">
        <v>4730</v>
      </c>
      <c r="M542" s="724">
        <v>8078</v>
      </c>
      <c r="N542" s="726">
        <v>10872</v>
      </c>
      <c r="O542" s="727">
        <v>3715</v>
      </c>
      <c r="P542" s="726">
        <v>8561</v>
      </c>
      <c r="Q542" s="727">
        <v>1737</v>
      </c>
      <c r="R542" s="727">
        <v>4081</v>
      </c>
      <c r="S542" s="725">
        <v>7726</v>
      </c>
      <c r="T542" s="654">
        <v>1689</v>
      </c>
      <c r="U542" s="686">
        <v>1087</v>
      </c>
      <c r="V542" s="725">
        <v>650</v>
      </c>
      <c r="W542" s="725">
        <v>650</v>
      </c>
      <c r="X542" s="526"/>
      <c r="Y542" s="534"/>
      <c r="Z542" s="534"/>
      <c r="AA542" s="534"/>
      <c r="AB542" s="728" t="s">
        <v>191</v>
      </c>
      <c r="AC542" s="528" t="s">
        <v>4</v>
      </c>
      <c r="AD542" s="931"/>
      <c r="AE542" s="931"/>
      <c r="AF542" s="931"/>
      <c r="AG542" s="931"/>
      <c r="AH542" s="931"/>
      <c r="AI542" s="931"/>
      <c r="AJ542" s="544">
        <v>97433.600000000006</v>
      </c>
      <c r="AK542" s="541">
        <v>243584.4</v>
      </c>
      <c r="AL542" s="688">
        <v>132070.29999999999</v>
      </c>
      <c r="AM542" s="552">
        <v>292299.3</v>
      </c>
      <c r="AN542" s="771"/>
      <c r="AO542" s="771"/>
      <c r="AP542" s="551">
        <v>132070.39999999999</v>
      </c>
    </row>
    <row r="543" spans="1:42" s="591" customFormat="1" x14ac:dyDescent="0.25">
      <c r="A543" s="1061"/>
      <c r="B543" s="655" t="s">
        <v>77</v>
      </c>
      <c r="C543" s="660">
        <v>189320.95499999999</v>
      </c>
      <c r="D543" s="660">
        <v>99094.262999999992</v>
      </c>
      <c r="E543" s="660">
        <v>99970.904999999999</v>
      </c>
      <c r="F543" s="660">
        <v>272972.83199999999</v>
      </c>
      <c r="G543" s="660">
        <v>120976.59599999999</v>
      </c>
      <c r="H543" s="660">
        <v>459158.10599999997</v>
      </c>
      <c r="I543" s="660">
        <v>239289.549</v>
      </c>
      <c r="J543" s="660">
        <v>43461.212999999996</v>
      </c>
      <c r="K543" s="660">
        <v>125494.674</v>
      </c>
      <c r="L543" s="660">
        <v>159481.41</v>
      </c>
      <c r="M543" s="660">
        <v>272365.92599999998</v>
      </c>
      <c r="N543" s="657">
        <v>366571.22399999999</v>
      </c>
      <c r="O543" s="657">
        <v>125258.655</v>
      </c>
      <c r="P543" s="657">
        <v>200514.99899999995</v>
      </c>
      <c r="Q543" s="658">
        <v>58566.428999999996</v>
      </c>
      <c r="R543" s="658">
        <v>137599.07699999999</v>
      </c>
      <c r="S543" s="659">
        <v>260497.54199999999</v>
      </c>
      <c r="T543" s="661">
        <v>56948.012999999999</v>
      </c>
      <c r="U543" s="691">
        <v>36650.379000000001</v>
      </c>
      <c r="V543" s="691">
        <v>21916.05</v>
      </c>
      <c r="W543" s="691">
        <v>21916.05</v>
      </c>
      <c r="X543" s="532">
        <f>344240-H543</f>
        <v>-114918.10599999997</v>
      </c>
      <c r="Y543" s="534"/>
      <c r="Z543" s="534"/>
      <c r="AA543" s="534"/>
      <c r="AB543" s="729"/>
      <c r="AC543" s="624" t="s">
        <v>5</v>
      </c>
      <c r="AD543" s="932"/>
      <c r="AE543" s="932"/>
      <c r="AF543" s="932"/>
      <c r="AG543" s="932"/>
      <c r="AH543" s="932"/>
      <c r="AI543" s="932"/>
      <c r="AJ543" s="629">
        <v>38973.199999999997</v>
      </c>
      <c r="AK543" s="625">
        <v>124350.5</v>
      </c>
      <c r="AL543" s="626">
        <v>3817.1</v>
      </c>
      <c r="AM543" s="631">
        <v>109009</v>
      </c>
      <c r="AN543" s="772"/>
      <c r="AO543" s="772"/>
      <c r="AP543" s="632">
        <v>33401</v>
      </c>
    </row>
    <row r="544" spans="1:42" s="591" customFormat="1" ht="15.75" thickBot="1" x14ac:dyDescent="0.3">
      <c r="A544" s="1062"/>
      <c r="B544" s="504" t="s">
        <v>217</v>
      </c>
      <c r="C544" s="542">
        <v>0.75722808801272223</v>
      </c>
      <c r="D544" s="689">
        <v>0.65836058723051982</v>
      </c>
      <c r="E544" s="690">
        <v>0.66418480474259656</v>
      </c>
      <c r="F544" s="690">
        <v>1.4998606144655899</v>
      </c>
      <c r="G544" s="690">
        <v>0.72980475454210358</v>
      </c>
      <c r="H544" s="690">
        <v>1.1788246774752569</v>
      </c>
      <c r="I544" s="690">
        <v>1.3914165040950601</v>
      </c>
      <c r="J544" s="690">
        <v>0.26169173020612613</v>
      </c>
      <c r="K544" s="690">
        <v>1.011897141732893</v>
      </c>
      <c r="L544" s="690">
        <v>0.71174434733245506</v>
      </c>
      <c r="M544" s="690">
        <v>1.4110096664181719</v>
      </c>
      <c r="N544" s="501">
        <v>0.83650063358601467</v>
      </c>
      <c r="O544" s="501">
        <v>1.5084352736311217</v>
      </c>
      <c r="P544" s="663">
        <v>0.72616053502258326</v>
      </c>
      <c r="Q544" s="520">
        <v>0.7052899247098946</v>
      </c>
      <c r="R544" s="520">
        <v>0.7180898108843522</v>
      </c>
      <c r="S544" s="515">
        <v>1.1625659254736886</v>
      </c>
      <c r="T544" s="542">
        <v>1.0325835070986926</v>
      </c>
      <c r="U544" s="689">
        <v>1.107580090962663</v>
      </c>
      <c r="V544" s="689">
        <v>0.21445010347712495</v>
      </c>
      <c r="W544" s="689">
        <v>0.10461296489440157</v>
      </c>
      <c r="X544" s="534"/>
      <c r="Y544" s="534"/>
      <c r="Z544" s="534"/>
      <c r="AA544" s="534"/>
      <c r="AB544" s="730"/>
      <c r="AC544" s="504" t="s">
        <v>3</v>
      </c>
      <c r="AD544" s="935"/>
      <c r="AE544" s="935"/>
      <c r="AF544" s="935"/>
      <c r="AG544" s="935"/>
      <c r="AH544" s="935"/>
      <c r="AI544" s="935"/>
      <c r="AJ544" s="545">
        <f>AJ543/AJ542</f>
        <v>0.39999753678402516</v>
      </c>
      <c r="AK544" s="542">
        <f>AK543/AK542</f>
        <v>0.51050272513346506</v>
      </c>
      <c r="AL544" s="689">
        <f>AL543/AL542</f>
        <v>2.8902031720984961E-2</v>
      </c>
      <c r="AM544" s="636">
        <f>AM543/AM542</f>
        <v>0.37293623351133581</v>
      </c>
      <c r="AN544" s="773"/>
      <c r="AO544" s="773"/>
      <c r="AP544" s="633">
        <f>AP543/AP542</f>
        <v>0.25290299718937781</v>
      </c>
    </row>
    <row r="545" spans="1:42" s="591" customFormat="1" ht="15.75" thickBot="1" x14ac:dyDescent="0.3">
      <c r="A545" s="612"/>
      <c r="B545" s="504" t="s">
        <v>218</v>
      </c>
      <c r="C545" s="650">
        <v>171297</v>
      </c>
      <c r="D545" s="650">
        <v>98689.1</v>
      </c>
      <c r="E545" s="650">
        <v>99565.7</v>
      </c>
      <c r="F545" s="650">
        <v>254974</v>
      </c>
      <c r="G545" s="650">
        <v>118688</v>
      </c>
      <c r="H545" s="650">
        <v>444084</v>
      </c>
      <c r="I545" s="650">
        <v>171824</v>
      </c>
      <c r="J545" s="650">
        <v>43497.8</v>
      </c>
      <c r="K545" s="650">
        <v>125575</v>
      </c>
      <c r="L545" s="650">
        <v>159585</v>
      </c>
      <c r="M545" s="650">
        <v>268409</v>
      </c>
      <c r="N545" s="650">
        <v>366641</v>
      </c>
      <c r="O545" s="650">
        <v>125308</v>
      </c>
      <c r="P545" s="650">
        <v>168081</v>
      </c>
      <c r="Q545" s="650">
        <v>58609.3</v>
      </c>
      <c r="R545" s="650">
        <v>124510</v>
      </c>
      <c r="S545" s="650">
        <v>260656</v>
      </c>
      <c r="T545" s="650">
        <v>56947.7</v>
      </c>
      <c r="U545" s="650">
        <v>36650.300000000003</v>
      </c>
      <c r="V545" s="650">
        <v>21949.599999999999</v>
      </c>
      <c r="W545" s="650">
        <v>21949.599999999999</v>
      </c>
      <c r="X545" s="534"/>
      <c r="Y545" s="534"/>
      <c r="Z545" s="534"/>
      <c r="AA545" s="534"/>
      <c r="AB545" s="730" t="s">
        <v>219</v>
      </c>
      <c r="AC545" s="504" t="s">
        <v>3</v>
      </c>
      <c r="AD545" s="935"/>
      <c r="AE545" s="935"/>
      <c r="AF545" s="935"/>
      <c r="AG545" s="935"/>
      <c r="AH545" s="935"/>
      <c r="AI545" s="935"/>
      <c r="AJ545" s="545">
        <f>(AJ538+AJ544)/2</f>
        <v>0.38119624665106289</v>
      </c>
      <c r="AK545" s="545">
        <f t="shared" ref="AK545:AP545" si="99">(AK538+AK544)/2</f>
        <v>0.47677983409520408</v>
      </c>
      <c r="AL545" s="545">
        <f t="shared" si="99"/>
        <v>2.9589946651719472E-2</v>
      </c>
      <c r="AM545" s="545">
        <f t="shared" si="99"/>
        <v>0.45412051337057324</v>
      </c>
      <c r="AN545" s="545"/>
      <c r="AO545" s="545"/>
      <c r="AP545" s="545">
        <f t="shared" si="99"/>
        <v>0.31543211186862841</v>
      </c>
    </row>
    <row r="546" spans="1:42" s="591" customFormat="1" ht="15.75" thickBot="1" x14ac:dyDescent="0.3">
      <c r="A546" s="612"/>
      <c r="B546" s="504" t="s">
        <v>216</v>
      </c>
      <c r="C546" s="690">
        <v>0.68513757387456287</v>
      </c>
      <c r="D546" s="690">
        <v>0.65566877296672066</v>
      </c>
      <c r="E546" s="690">
        <v>0.661492711439993</v>
      </c>
      <c r="F546" s="690">
        <v>1.4009652810897655</v>
      </c>
      <c r="G546" s="690">
        <v>0.71599854493420523</v>
      </c>
      <c r="H546" s="690">
        <v>1.1401240035429583</v>
      </c>
      <c r="I546" s="690">
        <v>0.99911906056385935</v>
      </c>
      <c r="J546" s="690">
        <v>0.26191203043872785</v>
      </c>
      <c r="K546" s="690">
        <v>1.0125448317679844</v>
      </c>
      <c r="L546" s="690">
        <v>0.71220665574156783</v>
      </c>
      <c r="M546" s="690">
        <v>1.39051054996371</v>
      </c>
      <c r="N546" s="690">
        <v>0.83665985958191302</v>
      </c>
      <c r="O546" s="690">
        <v>1.5090295139139775</v>
      </c>
      <c r="P546" s="690">
        <v>0.60870154101105844</v>
      </c>
      <c r="Q546" s="690">
        <v>0.70580620143836381</v>
      </c>
      <c r="R546" s="690">
        <v>0.64978170132064694</v>
      </c>
      <c r="S546" s="690">
        <v>1.1632731024781409</v>
      </c>
      <c r="T546" s="690">
        <v>1.032577831770956</v>
      </c>
      <c r="U546" s="690">
        <v>1.1075777035705112</v>
      </c>
      <c r="V546" s="690">
        <v>0.21477839260640041</v>
      </c>
      <c r="W546" s="690">
        <v>0.10477311076796032</v>
      </c>
      <c r="X546" s="534"/>
      <c r="Y546" s="534"/>
      <c r="Z546" s="534"/>
      <c r="AA546" s="534"/>
      <c r="AB546" s="730"/>
      <c r="AC546" s="504"/>
      <c r="AD546" s="935"/>
      <c r="AE546" s="935"/>
      <c r="AF546" s="935"/>
      <c r="AG546" s="935"/>
      <c r="AH546" s="935"/>
      <c r="AI546" s="935"/>
      <c r="AJ546" s="545"/>
      <c r="AK546" s="542"/>
      <c r="AL546" s="689"/>
      <c r="AM546" s="636"/>
      <c r="AN546" s="773"/>
      <c r="AO546" s="773"/>
      <c r="AP546" s="633"/>
    </row>
    <row r="547" spans="1:42" s="591" customFormat="1" ht="15.75" thickBot="1" x14ac:dyDescent="0.3">
      <c r="A547" s="1048">
        <v>41703</v>
      </c>
      <c r="B547" s="1048"/>
      <c r="C547" s="1048"/>
      <c r="D547" s="529"/>
      <c r="E547" s="529"/>
      <c r="F547" s="529"/>
      <c r="G547" s="529"/>
      <c r="H547" s="529"/>
      <c r="I547" s="525"/>
      <c r="J547" s="531"/>
      <c r="K547" s="531"/>
      <c r="L547" s="529"/>
      <c r="M547" s="529"/>
      <c r="N547" s="527"/>
      <c r="R547" s="526"/>
      <c r="S547" s="534"/>
      <c r="T547" s="534"/>
      <c r="U547" s="534"/>
      <c r="V547" s="534"/>
      <c r="W547" s="534"/>
      <c r="X547" s="534"/>
      <c r="Y547" s="534"/>
      <c r="Z547" s="534"/>
      <c r="AA547" s="1063"/>
      <c r="AB547" s="1064"/>
      <c r="AD547" s="743"/>
      <c r="AE547" s="743"/>
      <c r="AF547" s="743"/>
      <c r="AG547" s="743"/>
      <c r="AH547" s="743"/>
      <c r="AI547" s="743"/>
      <c r="AN547" s="743"/>
      <c r="AO547" s="743"/>
    </row>
    <row r="548" spans="1:42" s="591" customFormat="1" x14ac:dyDescent="0.25">
      <c r="A548" s="1049" t="s">
        <v>1</v>
      </c>
      <c r="B548" s="1050"/>
      <c r="C548" s="540" t="s">
        <v>12</v>
      </c>
      <c r="D548" s="539" t="s">
        <v>12</v>
      </c>
      <c r="E548" s="540" t="s">
        <v>13</v>
      </c>
      <c r="F548" s="530" t="s">
        <v>13</v>
      </c>
      <c r="G548" s="530" t="s">
        <v>13</v>
      </c>
      <c r="H548" s="530" t="s">
        <v>13</v>
      </c>
      <c r="I548" s="530" t="s">
        <v>13</v>
      </c>
      <c r="J548" s="536" t="s">
        <v>13</v>
      </c>
      <c r="K548" s="536" t="s">
        <v>13</v>
      </c>
      <c r="L548" s="539" t="s">
        <v>13</v>
      </c>
      <c r="M548" s="676" t="s">
        <v>2</v>
      </c>
      <c r="N548" s="530" t="s">
        <v>2</v>
      </c>
      <c r="O548" s="536" t="s">
        <v>2</v>
      </c>
      <c r="P548" s="530" t="s">
        <v>2</v>
      </c>
      <c r="Q548" s="536" t="s">
        <v>2</v>
      </c>
      <c r="R548" s="536" t="s">
        <v>2</v>
      </c>
      <c r="S548" s="539" t="s">
        <v>2</v>
      </c>
      <c r="T548" s="569" t="s">
        <v>183</v>
      </c>
      <c r="U548" s="693" t="s">
        <v>183</v>
      </c>
      <c r="V548" s="693" t="s">
        <v>2</v>
      </c>
      <c r="W548" s="693" t="s">
        <v>13</v>
      </c>
      <c r="X548" s="534"/>
      <c r="Y548" s="534"/>
      <c r="Z548" s="534"/>
      <c r="AA548" s="534"/>
      <c r="AB548" s="1049" t="s">
        <v>1</v>
      </c>
      <c r="AC548" s="1051"/>
      <c r="AD548" s="929"/>
      <c r="AE548" s="929"/>
      <c r="AF548" s="929"/>
      <c r="AG548" s="929"/>
      <c r="AH548" s="929"/>
      <c r="AI548" s="929"/>
      <c r="AJ548" s="722" t="s">
        <v>12</v>
      </c>
      <c r="AK548" s="1052" t="s">
        <v>13</v>
      </c>
      <c r="AL548" s="1053"/>
      <c r="AM548" s="1052" t="s">
        <v>2</v>
      </c>
      <c r="AN548" s="1065"/>
      <c r="AO548" s="1065"/>
      <c r="AP548" s="1053"/>
    </row>
    <row r="549" spans="1:42" s="591" customFormat="1" ht="15.75" thickBot="1" x14ac:dyDescent="0.3">
      <c r="A549" s="1054" t="s">
        <v>0</v>
      </c>
      <c r="B549" s="1055"/>
      <c r="C549" s="617" t="s">
        <v>99</v>
      </c>
      <c r="D549" s="618" t="s">
        <v>100</v>
      </c>
      <c r="E549" s="617" t="s">
        <v>101</v>
      </c>
      <c r="F549" s="619" t="s">
        <v>102</v>
      </c>
      <c r="G549" s="619" t="s">
        <v>97</v>
      </c>
      <c r="H549" s="619" t="s">
        <v>104</v>
      </c>
      <c r="I549" s="619" t="s">
        <v>103</v>
      </c>
      <c r="J549" s="521" t="s">
        <v>178</v>
      </c>
      <c r="K549" s="521" t="s">
        <v>199</v>
      </c>
      <c r="L549" s="517" t="s">
        <v>206</v>
      </c>
      <c r="M549" s="617" t="s">
        <v>105</v>
      </c>
      <c r="N549" s="619" t="s">
        <v>107</v>
      </c>
      <c r="O549" s="620" t="s">
        <v>98</v>
      </c>
      <c r="P549" s="516" t="s">
        <v>106</v>
      </c>
      <c r="Q549" s="620" t="s">
        <v>179</v>
      </c>
      <c r="R549" s="620" t="s">
        <v>198</v>
      </c>
      <c r="S549" s="618" t="s">
        <v>207</v>
      </c>
      <c r="T549" s="621" t="s">
        <v>182</v>
      </c>
      <c r="U549" s="618" t="s">
        <v>184</v>
      </c>
      <c r="V549" s="618" t="s">
        <v>221</v>
      </c>
      <c r="W549" s="694" t="s">
        <v>222</v>
      </c>
      <c r="X549" s="526"/>
      <c r="Y549" s="526"/>
      <c r="Z549" s="526"/>
      <c r="AA549" s="526"/>
      <c r="AB549" s="1054" t="s">
        <v>0</v>
      </c>
      <c r="AC549" s="1056"/>
      <c r="AD549" s="943"/>
      <c r="AE549" s="943"/>
      <c r="AF549" s="943"/>
      <c r="AG549" s="943"/>
      <c r="AH549" s="943"/>
      <c r="AI549" s="930"/>
      <c r="AJ549" s="621" t="s">
        <v>99</v>
      </c>
      <c r="AK549" s="617" t="s">
        <v>104</v>
      </c>
      <c r="AL549" s="618" t="s">
        <v>206</v>
      </c>
      <c r="AM549" s="622" t="s">
        <v>107</v>
      </c>
      <c r="AN549" s="770"/>
      <c r="AO549" s="770"/>
      <c r="AP549" s="623" t="s">
        <v>207</v>
      </c>
    </row>
    <row r="550" spans="1:42" s="591" customFormat="1" ht="30" x14ac:dyDescent="0.25">
      <c r="A550" s="1057" t="s">
        <v>9</v>
      </c>
      <c r="B550" s="528" t="s">
        <v>4</v>
      </c>
      <c r="C550" s="541">
        <v>250018.4</v>
      </c>
      <c r="D550" s="688">
        <v>150516.70000000001</v>
      </c>
      <c r="E550" s="541">
        <v>150516.70000000001</v>
      </c>
      <c r="F550" s="533">
        <v>181998.8</v>
      </c>
      <c r="G550" s="533">
        <v>165765.70000000001</v>
      </c>
      <c r="H550" s="533">
        <v>389505</v>
      </c>
      <c r="I550" s="533">
        <v>171975.5</v>
      </c>
      <c r="J550" s="537">
        <v>166077.9</v>
      </c>
      <c r="K550" s="537">
        <v>124019.2</v>
      </c>
      <c r="L550" s="688">
        <v>224071.2</v>
      </c>
      <c r="M550" s="541">
        <v>193029.1</v>
      </c>
      <c r="N550" s="533">
        <v>438219.9</v>
      </c>
      <c r="O550" s="533">
        <v>83038.8</v>
      </c>
      <c r="P550" s="533">
        <v>276130.40000000002</v>
      </c>
      <c r="Q550" s="537">
        <v>83038.8</v>
      </c>
      <c r="R550" s="537">
        <v>191618.2</v>
      </c>
      <c r="S550" s="688">
        <v>224071.2</v>
      </c>
      <c r="T550" s="544">
        <v>55151</v>
      </c>
      <c r="U550" s="688">
        <v>33090.5</v>
      </c>
      <c r="V550" s="688">
        <v>102196.5</v>
      </c>
      <c r="W550" s="688">
        <v>209496.5</v>
      </c>
      <c r="X550" s="534"/>
      <c r="Y550" s="534"/>
      <c r="Z550" s="534"/>
      <c r="AA550" s="534"/>
      <c r="AB550" s="719" t="s">
        <v>194</v>
      </c>
      <c r="AC550" s="524" t="s">
        <v>4</v>
      </c>
      <c r="AD550" s="931"/>
      <c r="AE550" s="931"/>
      <c r="AF550" s="931"/>
      <c r="AG550" s="931"/>
      <c r="AH550" s="931"/>
      <c r="AI550" s="931"/>
      <c r="AJ550" s="544">
        <v>143393</v>
      </c>
      <c r="AK550" s="541">
        <v>132132</v>
      </c>
      <c r="AL550" s="688">
        <v>83196.100000000006</v>
      </c>
      <c r="AM550" s="552">
        <v>132132.20000000001</v>
      </c>
      <c r="AN550" s="771"/>
      <c r="AO550" s="771"/>
      <c r="AP550" s="551">
        <v>83196.100000000006</v>
      </c>
    </row>
    <row r="551" spans="1:42" s="591" customFormat="1" x14ac:dyDescent="0.25">
      <c r="A551" s="1058"/>
      <c r="B551" s="624" t="s">
        <v>5</v>
      </c>
      <c r="C551" s="625">
        <v>100685.8</v>
      </c>
      <c r="D551" s="626">
        <v>82749.8</v>
      </c>
      <c r="E551" s="625">
        <v>84091.9</v>
      </c>
      <c r="F551" s="627">
        <v>156807.79999999999</v>
      </c>
      <c r="G551" s="627">
        <v>114026.7</v>
      </c>
      <c r="H551" s="627">
        <v>202358.5</v>
      </c>
      <c r="I551" s="627">
        <v>118100.8</v>
      </c>
      <c r="J551" s="628">
        <v>38779.4</v>
      </c>
      <c r="K551" s="628">
        <v>65218.400000000001</v>
      </c>
      <c r="L551" s="626">
        <v>23481.1</v>
      </c>
      <c r="M551" s="625">
        <v>168659.20000000001</v>
      </c>
      <c r="N551" s="627">
        <v>200243.20000000001</v>
      </c>
      <c r="O551" s="627">
        <v>58869.2</v>
      </c>
      <c r="P551" s="627">
        <v>217671.1</v>
      </c>
      <c r="Q551" s="628">
        <v>20138.2</v>
      </c>
      <c r="R551" s="628">
        <v>107094.39999999999</v>
      </c>
      <c r="S551" s="626">
        <v>108541.3</v>
      </c>
      <c r="T551" s="629">
        <v>14096.1</v>
      </c>
      <c r="U551" s="626">
        <v>7319.5</v>
      </c>
      <c r="V551" s="626">
        <v>3198.7</v>
      </c>
      <c r="W551" s="695">
        <v>6397.3</v>
      </c>
      <c r="X551" s="534"/>
      <c r="Y551" s="534"/>
      <c r="Z551" s="534"/>
      <c r="AA551" s="534"/>
      <c r="AB551" s="720"/>
      <c r="AC551" s="630" t="s">
        <v>5</v>
      </c>
      <c r="AD551" s="932"/>
      <c r="AE551" s="932"/>
      <c r="AF551" s="932"/>
      <c r="AG551" s="932"/>
      <c r="AH551" s="932"/>
      <c r="AI551" s="932"/>
      <c r="AJ551" s="629">
        <v>51964.9</v>
      </c>
      <c r="AK551" s="625">
        <v>58542</v>
      </c>
      <c r="AL551" s="626">
        <v>2519</v>
      </c>
      <c r="AM551" s="631">
        <v>70731</v>
      </c>
      <c r="AN551" s="772"/>
      <c r="AO551" s="772"/>
      <c r="AP551" s="632">
        <v>31444.9</v>
      </c>
    </row>
    <row r="552" spans="1:42" s="591" customFormat="1" ht="15.75" thickBot="1" x14ac:dyDescent="0.3">
      <c r="A552" s="1059"/>
      <c r="B552" s="504" t="s">
        <v>3</v>
      </c>
      <c r="C552" s="542">
        <v>0.40271356028196326</v>
      </c>
      <c r="D552" s="633">
        <v>0.54977155358840579</v>
      </c>
      <c r="E552" s="633">
        <v>0.55868817214302458</v>
      </c>
      <c r="F552" s="681">
        <v>0.86158699947472184</v>
      </c>
      <c r="G552" s="633">
        <v>0.68787873486493278</v>
      </c>
      <c r="H552" s="633">
        <v>0.51952734881452101</v>
      </c>
      <c r="I552" s="633">
        <v>0.68673037729211428</v>
      </c>
      <c r="J552" s="633">
        <v>0.2335012665743004</v>
      </c>
      <c r="K552" s="633">
        <v>0.52587341314893177</v>
      </c>
      <c r="L552" s="633">
        <v>0.10479303007258406</v>
      </c>
      <c r="M552" s="547">
        <v>0.87375012368601424</v>
      </c>
      <c r="N552" s="498">
        <v>0.45694684335421554</v>
      </c>
      <c r="O552" s="506">
        <v>0.70893606362327</v>
      </c>
      <c r="P552" s="498">
        <v>0.78829096687651912</v>
      </c>
      <c r="Q552" s="506">
        <v>0.24251554694913702</v>
      </c>
      <c r="R552" s="506">
        <v>0.55889471876888519</v>
      </c>
      <c r="S552" s="689">
        <v>0.48440540328252807</v>
      </c>
      <c r="T552" s="545">
        <v>0.25559101376221649</v>
      </c>
      <c r="U552" s="689">
        <v>0.22119641588975689</v>
      </c>
      <c r="V552" s="689">
        <v>3.1299506343172218E-2</v>
      </c>
      <c r="W552" s="689">
        <v>3.0536548343289744E-2</v>
      </c>
      <c r="X552" s="534"/>
      <c r="Y552" s="534"/>
      <c r="Z552" s="534"/>
      <c r="AA552" s="534"/>
      <c r="AB552" s="721"/>
      <c r="AC552" s="634" t="s">
        <v>3</v>
      </c>
      <c r="AD552" s="944"/>
      <c r="AE552" s="944"/>
      <c r="AF552" s="944"/>
      <c r="AG552" s="944"/>
      <c r="AH552" s="944"/>
      <c r="AI552" s="933"/>
      <c r="AJ552" s="635">
        <f>AJ551/AJ550</f>
        <v>0.36239495651810061</v>
      </c>
      <c r="AK552" s="542">
        <f>AK551/AK550</f>
        <v>0.44305694305694304</v>
      </c>
      <c r="AL552" s="689">
        <f>AL551/AL550</f>
        <v>3.0277861582453984E-2</v>
      </c>
      <c r="AM552" s="636">
        <f>AM551/AM550</f>
        <v>0.53530479322981073</v>
      </c>
      <c r="AN552" s="773"/>
      <c r="AO552" s="773"/>
      <c r="AP552" s="633">
        <f>AP551/AP550</f>
        <v>0.37796122654787906</v>
      </c>
    </row>
    <row r="553" spans="1:42" s="591" customFormat="1" ht="30" x14ac:dyDescent="0.25">
      <c r="A553" s="1060" t="s">
        <v>6</v>
      </c>
      <c r="B553" s="553" t="s">
        <v>7</v>
      </c>
      <c r="C553" s="541">
        <v>5870</v>
      </c>
      <c r="D553" s="541">
        <v>3653</v>
      </c>
      <c r="E553" s="541">
        <v>3650</v>
      </c>
      <c r="F553" s="541">
        <v>9457</v>
      </c>
      <c r="G553" s="541">
        <v>8135</v>
      </c>
      <c r="H553" s="541">
        <v>15703</v>
      </c>
      <c r="I553" s="541">
        <v>8597</v>
      </c>
      <c r="J553" s="541">
        <v>9599</v>
      </c>
      <c r="K553" s="541">
        <v>6153</v>
      </c>
      <c r="L553" s="541">
        <v>8399</v>
      </c>
      <c r="M553" s="541">
        <v>8901</v>
      </c>
      <c r="N553" s="541">
        <v>11924</v>
      </c>
      <c r="O553" s="541">
        <v>4265</v>
      </c>
      <c r="P553" s="541">
        <v>11252</v>
      </c>
      <c r="Q553" s="541">
        <v>4799</v>
      </c>
      <c r="R553" s="541">
        <v>9272</v>
      </c>
      <c r="S553" s="541">
        <v>11205</v>
      </c>
      <c r="T553" s="558">
        <v>2480</v>
      </c>
      <c r="U553" s="692">
        <v>1570</v>
      </c>
      <c r="V553" s="541">
        <v>3999</v>
      </c>
      <c r="W553" s="541">
        <v>7999</v>
      </c>
      <c r="X553" s="559" t="s">
        <v>197</v>
      </c>
      <c r="Y553" s="561"/>
      <c r="Z553" s="561"/>
      <c r="AA553" s="561"/>
      <c r="AB553" s="562" t="s">
        <v>190</v>
      </c>
      <c r="AC553" s="553" t="s">
        <v>4</v>
      </c>
      <c r="AD553" s="934"/>
      <c r="AE553" s="934"/>
      <c r="AF553" s="934"/>
      <c r="AG553" s="934"/>
      <c r="AH553" s="934"/>
      <c r="AI553" s="934"/>
      <c r="AJ553" s="564">
        <v>9191.7999999999993</v>
      </c>
      <c r="AK553" s="565">
        <v>13787.7</v>
      </c>
      <c r="AL553" s="566">
        <v>8804.7999999999993</v>
      </c>
      <c r="AM553" s="567">
        <v>13787.7</v>
      </c>
      <c r="AN553" s="774"/>
      <c r="AO553" s="774"/>
      <c r="AP553" s="568">
        <v>8804.7999999999993</v>
      </c>
    </row>
    <row r="554" spans="1:42" s="591" customFormat="1" x14ac:dyDescent="0.25">
      <c r="A554" s="1061"/>
      <c r="B554" s="637" t="s">
        <v>11</v>
      </c>
      <c r="C554" s="644">
        <v>197918.78999999998</v>
      </c>
      <c r="D554" s="644">
        <v>123168.201</v>
      </c>
      <c r="E554" s="644">
        <v>123067.04999999999</v>
      </c>
      <c r="F554" s="644">
        <v>318861.66899999999</v>
      </c>
      <c r="G554" s="644">
        <v>274287.79499999998</v>
      </c>
      <c r="H554" s="644">
        <v>529458.05099999998</v>
      </c>
      <c r="I554" s="644">
        <v>289865.049</v>
      </c>
      <c r="J554" s="644">
        <v>323649.48300000001</v>
      </c>
      <c r="K554" s="644">
        <v>207460.701</v>
      </c>
      <c r="L554" s="644">
        <v>283189.08299999998</v>
      </c>
      <c r="M554" s="644">
        <v>300115.01699999999</v>
      </c>
      <c r="N554" s="641">
        <v>402041.50799999997</v>
      </c>
      <c r="O554" s="641">
        <v>143803.005</v>
      </c>
      <c r="P554" s="642">
        <v>379383.68400000001</v>
      </c>
      <c r="Q554" s="640">
        <v>161807.883</v>
      </c>
      <c r="R554" s="643">
        <v>312624.02399999998</v>
      </c>
      <c r="S554" s="687">
        <v>377798.98499999999</v>
      </c>
      <c r="T554" s="638">
        <v>83618.16</v>
      </c>
      <c r="U554" s="642">
        <v>52935.689999999995</v>
      </c>
      <c r="V554" s="642">
        <v>134834.283</v>
      </c>
      <c r="W554" s="642">
        <v>269702.283</v>
      </c>
      <c r="X554" s="534"/>
      <c r="Y554" s="534"/>
      <c r="Z554" s="534"/>
      <c r="AA554" s="534"/>
      <c r="AB554" s="720"/>
      <c r="AC554" s="624" t="s">
        <v>5</v>
      </c>
      <c r="AD554" s="932"/>
      <c r="AE554" s="932"/>
      <c r="AF554" s="932"/>
      <c r="AG554" s="932"/>
      <c r="AH554" s="932"/>
      <c r="AI554" s="932"/>
      <c r="AJ554" s="629">
        <v>7975.5</v>
      </c>
      <c r="AK554" s="625">
        <v>13649</v>
      </c>
      <c r="AL554" s="626">
        <v>1289.9000000000001</v>
      </c>
      <c r="AM554" s="631">
        <v>13642</v>
      </c>
      <c r="AN554" s="772"/>
      <c r="AO554" s="772"/>
      <c r="AP554" s="632">
        <v>5483.9</v>
      </c>
    </row>
    <row r="555" spans="1:42" s="591" customFormat="1" ht="15.75" thickBot="1" x14ac:dyDescent="0.3">
      <c r="A555" s="1061"/>
      <c r="B555" s="637" t="s">
        <v>79</v>
      </c>
      <c r="C555" s="638">
        <v>164000</v>
      </c>
      <c r="D555" s="687">
        <v>109880</v>
      </c>
      <c r="E555" s="638">
        <v>109880</v>
      </c>
      <c r="F555" s="641">
        <v>328000</v>
      </c>
      <c r="G555" s="641">
        <v>330905</v>
      </c>
      <c r="H555" s="641">
        <v>264264</v>
      </c>
      <c r="I555" s="641">
        <v>242663.6</v>
      </c>
      <c r="J555" s="643">
        <v>328000</v>
      </c>
      <c r="K555" s="643">
        <v>328000</v>
      </c>
      <c r="L555" s="687">
        <v>328000</v>
      </c>
      <c r="M555" s="638">
        <v>328000</v>
      </c>
      <c r="N555" s="641">
        <v>264264.40000000002</v>
      </c>
      <c r="O555" s="641">
        <v>328000</v>
      </c>
      <c r="P555" s="641">
        <v>352965.4</v>
      </c>
      <c r="Q555" s="643">
        <v>328000</v>
      </c>
      <c r="R555" s="643">
        <v>328000</v>
      </c>
      <c r="S555" s="687">
        <v>328000</v>
      </c>
      <c r="T555" s="644">
        <v>110302</v>
      </c>
      <c r="U555" s="687">
        <v>66181</v>
      </c>
      <c r="V555" s="687">
        <v>204393</v>
      </c>
      <c r="W555" s="687">
        <v>418993</v>
      </c>
      <c r="X555" s="534"/>
      <c r="Y555" s="534"/>
      <c r="Z555" s="534"/>
      <c r="AA555" s="534"/>
      <c r="AB555" s="721"/>
      <c r="AC555" s="645" t="s">
        <v>3</v>
      </c>
      <c r="AD555" s="944"/>
      <c r="AE555" s="944"/>
      <c r="AF555" s="944"/>
      <c r="AG555" s="944"/>
      <c r="AH555" s="944"/>
      <c r="AI555" s="933"/>
      <c r="AJ555" s="635">
        <f>AJ554/AJ553</f>
        <v>0.86767553689157739</v>
      </c>
      <c r="AK555" s="646">
        <f>AK554/AK553</f>
        <v>0.98994030911609621</v>
      </c>
      <c r="AL555" s="647">
        <f>AL554/AL553</f>
        <v>0.14649963656187537</v>
      </c>
      <c r="AM555" s="648">
        <f>AM554/AM553</f>
        <v>0.98943261022505558</v>
      </c>
      <c r="AN555" s="775"/>
      <c r="AO555" s="775"/>
      <c r="AP555" s="649">
        <f>AP554/AP553</f>
        <v>0.62283072869343992</v>
      </c>
    </row>
    <row r="556" spans="1:42" s="591" customFormat="1" ht="30" x14ac:dyDescent="0.25">
      <c r="A556" s="1061"/>
      <c r="B556" s="624" t="s">
        <v>8</v>
      </c>
      <c r="C556" s="724">
        <v>5615</v>
      </c>
      <c r="D556" s="725">
        <v>2939</v>
      </c>
      <c r="E556" s="724">
        <v>2965</v>
      </c>
      <c r="F556" s="726">
        <v>8096</v>
      </c>
      <c r="G556" s="726">
        <v>3588</v>
      </c>
      <c r="H556" s="726">
        <v>13618</v>
      </c>
      <c r="I556" s="726">
        <v>7082</v>
      </c>
      <c r="J556" s="727">
        <v>1289</v>
      </c>
      <c r="K556" s="727">
        <v>3719</v>
      </c>
      <c r="L556" s="725">
        <v>4071</v>
      </c>
      <c r="M556" s="724">
        <v>8078</v>
      </c>
      <c r="N556" s="726">
        <v>10872</v>
      </c>
      <c r="O556" s="727">
        <v>3715</v>
      </c>
      <c r="P556" s="726">
        <v>8546</v>
      </c>
      <c r="Q556" s="727">
        <v>1737</v>
      </c>
      <c r="R556" s="727">
        <v>4078</v>
      </c>
      <c r="S556" s="725">
        <v>7721</v>
      </c>
      <c r="T556" s="654">
        <v>1689</v>
      </c>
      <c r="U556" s="686">
        <v>1087</v>
      </c>
      <c r="V556" s="725">
        <v>640</v>
      </c>
      <c r="W556" s="725">
        <v>640</v>
      </c>
      <c r="X556" s="526"/>
      <c r="Y556" s="534"/>
      <c r="Z556" s="534"/>
      <c r="AA556" s="534"/>
      <c r="AB556" s="719" t="s">
        <v>191</v>
      </c>
      <c r="AC556" s="528" t="s">
        <v>4</v>
      </c>
      <c r="AD556" s="931"/>
      <c r="AE556" s="931"/>
      <c r="AF556" s="931"/>
      <c r="AG556" s="931"/>
      <c r="AH556" s="931"/>
      <c r="AI556" s="931"/>
      <c r="AJ556" s="544">
        <v>97433.600000000006</v>
      </c>
      <c r="AK556" s="541">
        <v>243584.4</v>
      </c>
      <c r="AL556" s="688">
        <v>132070.29999999999</v>
      </c>
      <c r="AM556" s="552">
        <v>292299.3</v>
      </c>
      <c r="AN556" s="771"/>
      <c r="AO556" s="771"/>
      <c r="AP556" s="551">
        <v>132070.39999999999</v>
      </c>
    </row>
    <row r="557" spans="1:42" s="591" customFormat="1" x14ac:dyDescent="0.25">
      <c r="A557" s="1061"/>
      <c r="B557" s="655" t="s">
        <v>77</v>
      </c>
      <c r="C557" s="660">
        <v>189320.95499999999</v>
      </c>
      <c r="D557" s="660">
        <v>99094.262999999992</v>
      </c>
      <c r="E557" s="660">
        <v>99970.904999999999</v>
      </c>
      <c r="F557" s="660">
        <v>272972.83199999999</v>
      </c>
      <c r="G557" s="660">
        <v>120976.59599999999</v>
      </c>
      <c r="H557" s="660">
        <v>459158.10599999997</v>
      </c>
      <c r="I557" s="660">
        <v>238783.79399999999</v>
      </c>
      <c r="J557" s="660">
        <v>43461.212999999996</v>
      </c>
      <c r="K557" s="660">
        <v>125393.523</v>
      </c>
      <c r="L557" s="660">
        <v>137261.90700000001</v>
      </c>
      <c r="M557" s="660">
        <v>272365.92599999998</v>
      </c>
      <c r="N557" s="657">
        <v>366571.22399999999</v>
      </c>
      <c r="O557" s="657">
        <v>125258.655</v>
      </c>
      <c r="P557" s="657">
        <v>200009.24400000001</v>
      </c>
      <c r="Q557" s="658">
        <v>58566.428999999996</v>
      </c>
      <c r="R557" s="658">
        <v>137497.92600000001</v>
      </c>
      <c r="S557" s="659">
        <v>260328.95699999999</v>
      </c>
      <c r="T557" s="661">
        <v>56948.012999999999</v>
      </c>
      <c r="U557" s="691">
        <v>36650.379000000001</v>
      </c>
      <c r="V557" s="691">
        <v>21578.879999999997</v>
      </c>
      <c r="W557" s="691">
        <v>21578.879999999997</v>
      </c>
      <c r="X557" s="532">
        <f>344240-H557</f>
        <v>-114918.10599999997</v>
      </c>
      <c r="Y557" s="534"/>
      <c r="Z557" s="534"/>
      <c r="AA557" s="534"/>
      <c r="AB557" s="720"/>
      <c r="AC557" s="624" t="s">
        <v>5</v>
      </c>
      <c r="AD557" s="932"/>
      <c r="AE557" s="932"/>
      <c r="AF557" s="932"/>
      <c r="AG557" s="932"/>
      <c r="AH557" s="932"/>
      <c r="AI557" s="932"/>
      <c r="AJ557" s="629">
        <v>38973.199999999997</v>
      </c>
      <c r="AK557" s="625">
        <v>124350.5</v>
      </c>
      <c r="AL557" s="626">
        <v>3817.1</v>
      </c>
      <c r="AM557" s="631">
        <v>109009</v>
      </c>
      <c r="AN557" s="772"/>
      <c r="AO557" s="772"/>
      <c r="AP557" s="632">
        <v>33401</v>
      </c>
    </row>
    <row r="558" spans="1:42" s="591" customFormat="1" ht="15.75" thickBot="1" x14ac:dyDescent="0.3">
      <c r="A558" s="1062"/>
      <c r="B558" s="504" t="s">
        <v>217</v>
      </c>
      <c r="C558" s="542">
        <v>0.75722808801272223</v>
      </c>
      <c r="D558" s="689">
        <v>0.65836058723051982</v>
      </c>
      <c r="E558" s="690">
        <v>0.66418480474259656</v>
      </c>
      <c r="F558" s="690">
        <v>1.4998606144655899</v>
      </c>
      <c r="G558" s="690">
        <v>0.72980475454210358</v>
      </c>
      <c r="H558" s="690">
        <v>1.1788246774752569</v>
      </c>
      <c r="I558" s="690">
        <v>1.3884756491476984</v>
      </c>
      <c r="J558" s="690">
        <v>0.26169173020612613</v>
      </c>
      <c r="K558" s="690">
        <v>1.0110815341495512</v>
      </c>
      <c r="L558" s="690">
        <v>0.612581657080428</v>
      </c>
      <c r="M558" s="690">
        <v>1.4110096664181719</v>
      </c>
      <c r="N558" s="501">
        <v>0.83650063358601467</v>
      </c>
      <c r="O558" s="501">
        <v>1.5084352736311217</v>
      </c>
      <c r="P558" s="663">
        <v>0.72432895472573822</v>
      </c>
      <c r="Q558" s="520">
        <v>0.7052899247098946</v>
      </c>
      <c r="R558" s="520">
        <v>0.71756193305228833</v>
      </c>
      <c r="S558" s="515">
        <v>1.1618135530135063</v>
      </c>
      <c r="T558" s="542">
        <v>1.0325835070986926</v>
      </c>
      <c r="U558" s="689">
        <v>1.107580090962663</v>
      </c>
      <c r="V558" s="689">
        <v>0.21115087111593839</v>
      </c>
      <c r="W558" s="689">
        <v>0.10300353466525693</v>
      </c>
      <c r="X558" s="534"/>
      <c r="Y558" s="534"/>
      <c r="Z558" s="534"/>
      <c r="AA558" s="534"/>
      <c r="AB558" s="721"/>
      <c r="AC558" s="504" t="s">
        <v>3</v>
      </c>
      <c r="AD558" s="935"/>
      <c r="AE558" s="935"/>
      <c r="AF558" s="935"/>
      <c r="AG558" s="935"/>
      <c r="AH558" s="935"/>
      <c r="AI558" s="935"/>
      <c r="AJ558" s="545">
        <f>AJ557/AJ556</f>
        <v>0.39999753678402516</v>
      </c>
      <c r="AK558" s="542">
        <f>AK557/AK556</f>
        <v>0.51050272513346506</v>
      </c>
      <c r="AL558" s="689">
        <f>AL557/AL556</f>
        <v>2.8902031720984961E-2</v>
      </c>
      <c r="AM558" s="636">
        <f>AM557/AM556</f>
        <v>0.37293623351133581</v>
      </c>
      <c r="AN558" s="773"/>
      <c r="AO558" s="773"/>
      <c r="AP558" s="633">
        <f>AP557/AP556</f>
        <v>0.25290299718937781</v>
      </c>
    </row>
    <row r="559" spans="1:42" s="591" customFormat="1" ht="15.75" thickBot="1" x14ac:dyDescent="0.3">
      <c r="A559" s="612"/>
      <c r="B559" s="504" t="s">
        <v>218</v>
      </c>
      <c r="C559" s="650">
        <v>171297</v>
      </c>
      <c r="D559" s="650">
        <v>98689.1</v>
      </c>
      <c r="E559" s="650">
        <v>99565.7</v>
      </c>
      <c r="F559" s="650">
        <v>254974</v>
      </c>
      <c r="G559" s="650">
        <v>118688</v>
      </c>
      <c r="H559" s="650">
        <v>444084</v>
      </c>
      <c r="I559" s="650">
        <v>171318</v>
      </c>
      <c r="J559" s="650">
        <v>43497.8</v>
      </c>
      <c r="K559" s="650">
        <v>125474</v>
      </c>
      <c r="L559" s="650">
        <v>137359</v>
      </c>
      <c r="M559" s="650">
        <v>268409</v>
      </c>
      <c r="N559" s="650">
        <v>366641</v>
      </c>
      <c r="O559" s="650">
        <v>125308</v>
      </c>
      <c r="P559" s="650">
        <v>167575</v>
      </c>
      <c r="Q559" s="650">
        <v>58609.3</v>
      </c>
      <c r="R559" s="650">
        <v>124409</v>
      </c>
      <c r="S559" s="650">
        <v>260487</v>
      </c>
      <c r="T559" s="650">
        <v>56947.7</v>
      </c>
      <c r="U559" s="650">
        <v>36650.300000000003</v>
      </c>
      <c r="V559" s="650">
        <v>21612.5</v>
      </c>
      <c r="W559" s="650">
        <v>21612.5</v>
      </c>
      <c r="X559" s="534"/>
      <c r="Y559" s="534"/>
      <c r="Z559" s="534"/>
      <c r="AA559" s="534"/>
      <c r="AB559" s="721" t="s">
        <v>219</v>
      </c>
      <c r="AC559" s="504" t="s">
        <v>3</v>
      </c>
      <c r="AD559" s="935"/>
      <c r="AE559" s="935"/>
      <c r="AF559" s="935"/>
      <c r="AG559" s="935"/>
      <c r="AH559" s="935"/>
      <c r="AI559" s="935"/>
      <c r="AJ559" s="545">
        <f>(AJ552+AJ558)/2</f>
        <v>0.38119624665106289</v>
      </c>
      <c r="AK559" s="545">
        <f t="shared" ref="AK559:AP559" si="100">(AK552+AK558)/2</f>
        <v>0.47677983409520408</v>
      </c>
      <c r="AL559" s="545">
        <f t="shared" si="100"/>
        <v>2.9589946651719472E-2</v>
      </c>
      <c r="AM559" s="545">
        <f t="shared" si="100"/>
        <v>0.45412051337057324</v>
      </c>
      <c r="AN559" s="545"/>
      <c r="AO559" s="545"/>
      <c r="AP559" s="545">
        <f t="shared" si="100"/>
        <v>0.31543211186862841</v>
      </c>
    </row>
    <row r="560" spans="1:42" s="591" customFormat="1" ht="15.75" thickBot="1" x14ac:dyDescent="0.3">
      <c r="A560" s="612"/>
      <c r="B560" s="504" t="s">
        <v>216</v>
      </c>
      <c r="C560" s="690">
        <v>0.68513757387456287</v>
      </c>
      <c r="D560" s="690">
        <v>0.65566877296672066</v>
      </c>
      <c r="E560" s="690">
        <v>0.661492711439993</v>
      </c>
      <c r="F560" s="690">
        <v>1.4009652810897655</v>
      </c>
      <c r="G560" s="690">
        <v>0.71599854493420523</v>
      </c>
      <c r="H560" s="690">
        <v>1.1401240035429583</v>
      </c>
      <c r="I560" s="690">
        <v>0.99617678099496731</v>
      </c>
      <c r="J560" s="690">
        <v>0.26191203043872785</v>
      </c>
      <c r="K560" s="690">
        <v>1.0117304417380535</v>
      </c>
      <c r="L560" s="690">
        <v>0.61301497024160179</v>
      </c>
      <c r="M560" s="690">
        <v>1.39051054996371</v>
      </c>
      <c r="N560" s="690">
        <v>0.83665985958191302</v>
      </c>
      <c r="O560" s="690">
        <v>1.5090295139139775</v>
      </c>
      <c r="P560" s="690">
        <v>0.60686907345225294</v>
      </c>
      <c r="Q560" s="690">
        <v>0.70580620143836381</v>
      </c>
      <c r="R560" s="690">
        <v>0.6492546115139376</v>
      </c>
      <c r="S560" s="690">
        <v>1.1625188779280871</v>
      </c>
      <c r="T560" s="690">
        <v>1.032577831770956</v>
      </c>
      <c r="U560" s="690">
        <v>1.1075777035705112</v>
      </c>
      <c r="V560" s="690">
        <v>0.2114798452001781</v>
      </c>
      <c r="W560" s="690">
        <v>0.10316401467327617</v>
      </c>
      <c r="X560" s="534"/>
      <c r="Y560" s="534"/>
      <c r="Z560" s="534"/>
      <c r="AA560" s="534"/>
      <c r="AB560" s="721"/>
      <c r="AC560" s="504"/>
      <c r="AD560" s="935"/>
      <c r="AE560" s="935"/>
      <c r="AF560" s="935"/>
      <c r="AG560" s="935"/>
      <c r="AH560" s="935"/>
      <c r="AI560" s="935"/>
      <c r="AJ560" s="545"/>
      <c r="AK560" s="542"/>
      <c r="AL560" s="689"/>
      <c r="AM560" s="636"/>
      <c r="AN560" s="773"/>
      <c r="AO560" s="773"/>
      <c r="AP560" s="633"/>
    </row>
    <row r="561" spans="1:42" s="591" customFormat="1" ht="15.75" thickBot="1" x14ac:dyDescent="0.3">
      <c r="A561" s="1048">
        <v>41702</v>
      </c>
      <c r="B561" s="1048"/>
      <c r="C561" s="1048"/>
      <c r="D561" s="529"/>
      <c r="E561" s="529"/>
      <c r="F561" s="529"/>
      <c r="G561" s="529"/>
      <c r="H561" s="529"/>
      <c r="I561" s="525"/>
      <c r="J561" s="531"/>
      <c r="K561" s="531"/>
      <c r="L561" s="529"/>
      <c r="M561" s="529"/>
      <c r="N561" s="527"/>
      <c r="R561" s="526"/>
      <c r="S561" s="534"/>
      <c r="T561" s="534"/>
      <c r="U561" s="534"/>
      <c r="V561" s="534"/>
      <c r="W561" s="534"/>
      <c r="X561" s="534"/>
      <c r="Y561" s="534"/>
      <c r="Z561" s="534"/>
      <c r="AA561" s="1063"/>
      <c r="AB561" s="1064"/>
      <c r="AD561" s="743"/>
      <c r="AE561" s="743"/>
      <c r="AF561" s="743"/>
      <c r="AG561" s="743"/>
      <c r="AH561" s="743"/>
      <c r="AI561" s="743"/>
      <c r="AN561" s="743"/>
      <c r="AO561" s="743"/>
    </row>
    <row r="562" spans="1:42" s="591" customFormat="1" x14ac:dyDescent="0.25">
      <c r="A562" s="1049" t="s">
        <v>1</v>
      </c>
      <c r="B562" s="1050"/>
      <c r="C562" s="540" t="s">
        <v>12</v>
      </c>
      <c r="D562" s="539" t="s">
        <v>12</v>
      </c>
      <c r="E562" s="540" t="s">
        <v>13</v>
      </c>
      <c r="F562" s="530" t="s">
        <v>13</v>
      </c>
      <c r="G562" s="530" t="s">
        <v>13</v>
      </c>
      <c r="H562" s="530" t="s">
        <v>13</v>
      </c>
      <c r="I562" s="530" t="s">
        <v>13</v>
      </c>
      <c r="J562" s="536" t="s">
        <v>13</v>
      </c>
      <c r="K562" s="536" t="s">
        <v>13</v>
      </c>
      <c r="L562" s="539" t="s">
        <v>13</v>
      </c>
      <c r="M562" s="676" t="s">
        <v>2</v>
      </c>
      <c r="N562" s="530" t="s">
        <v>2</v>
      </c>
      <c r="O562" s="536" t="s">
        <v>2</v>
      </c>
      <c r="P562" s="530" t="s">
        <v>2</v>
      </c>
      <c r="Q562" s="536" t="s">
        <v>2</v>
      </c>
      <c r="R562" s="536" t="s">
        <v>2</v>
      </c>
      <c r="S562" s="539" t="s">
        <v>2</v>
      </c>
      <c r="T562" s="569" t="s">
        <v>183</v>
      </c>
      <c r="U562" s="693" t="s">
        <v>183</v>
      </c>
      <c r="V562" s="693" t="s">
        <v>2</v>
      </c>
      <c r="W562" s="693" t="s">
        <v>13</v>
      </c>
      <c r="X562" s="534"/>
      <c r="Y562" s="534"/>
      <c r="Z562" s="534"/>
      <c r="AA562" s="534"/>
      <c r="AB562" s="1049" t="s">
        <v>1</v>
      </c>
      <c r="AC562" s="1051"/>
      <c r="AD562" s="929"/>
      <c r="AE562" s="929"/>
      <c r="AF562" s="929"/>
      <c r="AG562" s="929"/>
      <c r="AH562" s="929"/>
      <c r="AI562" s="929"/>
      <c r="AJ562" s="685" t="s">
        <v>12</v>
      </c>
      <c r="AK562" s="1052" t="s">
        <v>13</v>
      </c>
      <c r="AL562" s="1053"/>
      <c r="AM562" s="1052" t="s">
        <v>2</v>
      </c>
      <c r="AN562" s="1065"/>
      <c r="AO562" s="1065"/>
      <c r="AP562" s="1053"/>
    </row>
    <row r="563" spans="1:42" s="591" customFormat="1" ht="15.75" thickBot="1" x14ac:dyDescent="0.3">
      <c r="A563" s="1054" t="s">
        <v>0</v>
      </c>
      <c r="B563" s="1055"/>
      <c r="C563" s="617" t="s">
        <v>99</v>
      </c>
      <c r="D563" s="618" t="s">
        <v>100</v>
      </c>
      <c r="E563" s="617" t="s">
        <v>101</v>
      </c>
      <c r="F563" s="619" t="s">
        <v>102</v>
      </c>
      <c r="G563" s="619" t="s">
        <v>97</v>
      </c>
      <c r="H563" s="619" t="s">
        <v>104</v>
      </c>
      <c r="I563" s="619" t="s">
        <v>103</v>
      </c>
      <c r="J563" s="521" t="s">
        <v>178</v>
      </c>
      <c r="K563" s="521" t="s">
        <v>199</v>
      </c>
      <c r="L563" s="517" t="s">
        <v>206</v>
      </c>
      <c r="M563" s="617" t="s">
        <v>105</v>
      </c>
      <c r="N563" s="619" t="s">
        <v>107</v>
      </c>
      <c r="O563" s="620" t="s">
        <v>98</v>
      </c>
      <c r="P563" s="516" t="s">
        <v>106</v>
      </c>
      <c r="Q563" s="620" t="s">
        <v>179</v>
      </c>
      <c r="R563" s="620" t="s">
        <v>198</v>
      </c>
      <c r="S563" s="618" t="s">
        <v>207</v>
      </c>
      <c r="T563" s="621" t="s">
        <v>182</v>
      </c>
      <c r="U563" s="618" t="s">
        <v>184</v>
      </c>
      <c r="V563" s="618" t="s">
        <v>221</v>
      </c>
      <c r="W563" s="694" t="s">
        <v>222</v>
      </c>
      <c r="X563" s="526"/>
      <c r="Y563" s="526"/>
      <c r="Z563" s="526"/>
      <c r="AA563" s="526"/>
      <c r="AB563" s="1054" t="s">
        <v>0</v>
      </c>
      <c r="AC563" s="1056"/>
      <c r="AD563" s="943"/>
      <c r="AE563" s="943"/>
      <c r="AF563" s="943"/>
      <c r="AG563" s="943"/>
      <c r="AH563" s="943"/>
      <c r="AI563" s="930"/>
      <c r="AJ563" s="621" t="s">
        <v>99</v>
      </c>
      <c r="AK563" s="617" t="s">
        <v>104</v>
      </c>
      <c r="AL563" s="618" t="s">
        <v>206</v>
      </c>
      <c r="AM563" s="622" t="s">
        <v>107</v>
      </c>
      <c r="AN563" s="770"/>
      <c r="AO563" s="770"/>
      <c r="AP563" s="623" t="s">
        <v>207</v>
      </c>
    </row>
    <row r="564" spans="1:42" s="591" customFormat="1" ht="30" x14ac:dyDescent="0.25">
      <c r="A564" s="1057" t="s">
        <v>9</v>
      </c>
      <c r="B564" s="528" t="s">
        <v>4</v>
      </c>
      <c r="C564" s="541">
        <v>250018.4</v>
      </c>
      <c r="D564" s="688">
        <v>150516.70000000001</v>
      </c>
      <c r="E564" s="541">
        <v>150516.70000000001</v>
      </c>
      <c r="F564" s="533">
        <v>181998.8</v>
      </c>
      <c r="G564" s="533">
        <v>165453.5</v>
      </c>
      <c r="H564" s="533">
        <v>389505</v>
      </c>
      <c r="I564" s="533">
        <v>170968.6</v>
      </c>
      <c r="J564" s="537">
        <v>165453.5</v>
      </c>
      <c r="K564" s="537">
        <v>121382.6</v>
      </c>
      <c r="L564" s="688">
        <v>224071.2</v>
      </c>
      <c r="M564" s="541">
        <v>193029.1</v>
      </c>
      <c r="N564" s="533">
        <v>438219.9</v>
      </c>
      <c r="O564" s="533">
        <v>82726.600000000006</v>
      </c>
      <c r="P564" s="533">
        <v>275755</v>
      </c>
      <c r="Q564" s="537">
        <v>82726.600000000006</v>
      </c>
      <c r="R564" s="537">
        <v>188981.6</v>
      </c>
      <c r="S564" s="688">
        <v>224071.2</v>
      </c>
      <c r="T564" s="544">
        <v>55151</v>
      </c>
      <c r="U564" s="688">
        <v>33090.5</v>
      </c>
      <c r="V564" s="688">
        <v>100325</v>
      </c>
      <c r="W564" s="688">
        <v>207625</v>
      </c>
      <c r="X564" s="534"/>
      <c r="Y564" s="534"/>
      <c r="Z564" s="534"/>
      <c r="AA564" s="534"/>
      <c r="AB564" s="682" t="s">
        <v>194</v>
      </c>
      <c r="AC564" s="524" t="s">
        <v>4</v>
      </c>
      <c r="AD564" s="931"/>
      <c r="AE564" s="931"/>
      <c r="AF564" s="931"/>
      <c r="AG564" s="931"/>
      <c r="AH564" s="931"/>
      <c r="AI564" s="931"/>
      <c r="AJ564" s="544">
        <v>143393</v>
      </c>
      <c r="AK564" s="541">
        <v>132132</v>
      </c>
      <c r="AL564" s="688">
        <v>83196.100000000006</v>
      </c>
      <c r="AM564" s="552">
        <v>132132.20000000001</v>
      </c>
      <c r="AN564" s="771"/>
      <c r="AO564" s="771"/>
      <c r="AP564" s="551">
        <v>83196.100000000006</v>
      </c>
    </row>
    <row r="565" spans="1:42" s="591" customFormat="1" x14ac:dyDescent="0.25">
      <c r="A565" s="1058"/>
      <c r="B565" s="624" t="s">
        <v>5</v>
      </c>
      <c r="C565" s="625">
        <v>100688.7</v>
      </c>
      <c r="D565" s="626">
        <v>82749.8</v>
      </c>
      <c r="E565" s="625">
        <v>84091.9</v>
      </c>
      <c r="F565" s="627">
        <v>156807.79999999999</v>
      </c>
      <c r="G565" s="627">
        <v>114026.7</v>
      </c>
      <c r="H565" s="627">
        <v>202363.7</v>
      </c>
      <c r="I565" s="627">
        <v>118100.8</v>
      </c>
      <c r="J565" s="628">
        <v>38779.4</v>
      </c>
      <c r="K565" s="628">
        <v>65218.400000000001</v>
      </c>
      <c r="L565" s="626">
        <v>23499.1</v>
      </c>
      <c r="M565" s="625">
        <v>168659.20000000001</v>
      </c>
      <c r="N565" s="627">
        <v>200247</v>
      </c>
      <c r="O565" s="627">
        <v>58869.2</v>
      </c>
      <c r="P565" s="627">
        <v>217671.1</v>
      </c>
      <c r="Q565" s="628">
        <v>20138.2</v>
      </c>
      <c r="R565" s="628">
        <v>107094.39999999999</v>
      </c>
      <c r="S565" s="626">
        <v>108573.6</v>
      </c>
      <c r="T565" s="629">
        <v>14096.1</v>
      </c>
      <c r="U565" s="626">
        <v>7319.5</v>
      </c>
      <c r="V565" s="626">
        <v>3198.7</v>
      </c>
      <c r="W565" s="695">
        <v>6397.3</v>
      </c>
      <c r="X565" s="534"/>
      <c r="Y565" s="534"/>
      <c r="Z565" s="534"/>
      <c r="AA565" s="534"/>
      <c r="AB565" s="683"/>
      <c r="AC565" s="630" t="s">
        <v>5</v>
      </c>
      <c r="AD565" s="932"/>
      <c r="AE565" s="932"/>
      <c r="AF565" s="932"/>
      <c r="AG565" s="932"/>
      <c r="AH565" s="932"/>
      <c r="AI565" s="932"/>
      <c r="AJ565" s="629">
        <v>51964.9</v>
      </c>
      <c r="AK565" s="625">
        <v>58542</v>
      </c>
      <c r="AL565" s="626">
        <v>2519</v>
      </c>
      <c r="AM565" s="631">
        <v>70731</v>
      </c>
      <c r="AN565" s="772"/>
      <c r="AO565" s="772"/>
      <c r="AP565" s="632">
        <v>31444.9</v>
      </c>
    </row>
    <row r="566" spans="1:42" s="591" customFormat="1" ht="15.75" thickBot="1" x14ac:dyDescent="0.3">
      <c r="A566" s="1059"/>
      <c r="B566" s="504" t="s">
        <v>3</v>
      </c>
      <c r="C566" s="542">
        <f t="shared" ref="C566:L566" si="101">C565/C564</f>
        <v>0.40272515942826609</v>
      </c>
      <c r="D566" s="633">
        <f t="shared" si="101"/>
        <v>0.54977155358840579</v>
      </c>
      <c r="E566" s="633">
        <f t="shared" si="101"/>
        <v>0.55868817214302458</v>
      </c>
      <c r="F566" s="681">
        <f t="shared" si="101"/>
        <v>0.86158699947472184</v>
      </c>
      <c r="G566" s="633">
        <f t="shared" si="101"/>
        <v>0.68917671732541164</v>
      </c>
      <c r="H566" s="633">
        <f t="shared" si="101"/>
        <v>0.51954069909243783</v>
      </c>
      <c r="I566" s="633">
        <f t="shared" si="101"/>
        <v>0.69077479724347046</v>
      </c>
      <c r="J566" s="633">
        <f t="shared" si="101"/>
        <v>0.23438246999912363</v>
      </c>
      <c r="K566" s="633">
        <f t="shared" si="101"/>
        <v>0.53729611987220571</v>
      </c>
      <c r="L566" s="633">
        <f t="shared" si="101"/>
        <v>0.10487336168146552</v>
      </c>
      <c r="M566" s="547">
        <f>M565/M564</f>
        <v>0.87375012368601424</v>
      </c>
      <c r="N566" s="498">
        <f>N565/N564</f>
        <v>0.45695551479976149</v>
      </c>
      <c r="O566" s="506">
        <f>O565/O564</f>
        <v>0.71161150101660153</v>
      </c>
      <c r="P566" s="498">
        <f>P565/P564</f>
        <v>0.78936410944497837</v>
      </c>
      <c r="Q566" s="506">
        <f>Q565/Q564</f>
        <v>0.24343077075571823</v>
      </c>
      <c r="R566" s="506">
        <f t="shared" ref="R566:S566" si="102">R565/R564</f>
        <v>0.56669220707201118</v>
      </c>
      <c r="S566" s="689">
        <f t="shared" si="102"/>
        <v>0.48454955389179866</v>
      </c>
      <c r="T566" s="545">
        <f>T565/T564</f>
        <v>0.25559101376221649</v>
      </c>
      <c r="U566" s="689">
        <f>U565/U564</f>
        <v>0.22119641588975689</v>
      </c>
      <c r="V566" s="689">
        <f>V565/V564</f>
        <v>3.1883379018190876E-2</v>
      </c>
      <c r="W566" s="689">
        <f>W565/W564</f>
        <v>3.0811800120409391E-2</v>
      </c>
      <c r="X566" s="534"/>
      <c r="Y566" s="534"/>
      <c r="Z566" s="534"/>
      <c r="AA566" s="534"/>
      <c r="AB566" s="684"/>
      <c r="AC566" s="634" t="s">
        <v>3</v>
      </c>
      <c r="AD566" s="944"/>
      <c r="AE566" s="944"/>
      <c r="AF566" s="944"/>
      <c r="AG566" s="944"/>
      <c r="AH566" s="944"/>
      <c r="AI566" s="933"/>
      <c r="AJ566" s="635">
        <f>AJ565/AJ564</f>
        <v>0.36239495651810061</v>
      </c>
      <c r="AK566" s="542">
        <f>AK565/AK564</f>
        <v>0.44305694305694304</v>
      </c>
      <c r="AL566" s="689">
        <f>AL565/AL564</f>
        <v>3.0277861582453984E-2</v>
      </c>
      <c r="AM566" s="636">
        <f>AM565/AM564</f>
        <v>0.53530479322981073</v>
      </c>
      <c r="AN566" s="773"/>
      <c r="AO566" s="773"/>
      <c r="AP566" s="633">
        <f>AP565/AP564</f>
        <v>0.37796122654787906</v>
      </c>
    </row>
    <row r="567" spans="1:42" s="591" customFormat="1" ht="30" x14ac:dyDescent="0.25">
      <c r="A567" s="1060" t="s">
        <v>6</v>
      </c>
      <c r="B567" s="553" t="s">
        <v>7</v>
      </c>
      <c r="C567" s="554">
        <v>5870</v>
      </c>
      <c r="D567" s="692">
        <v>3333</v>
      </c>
      <c r="E567" s="554">
        <v>3330</v>
      </c>
      <c r="F567" s="556">
        <v>9457</v>
      </c>
      <c r="G567" s="556">
        <v>8135</v>
      </c>
      <c r="H567" s="556">
        <v>15703</v>
      </c>
      <c r="I567" s="556">
        <v>8197</v>
      </c>
      <c r="J567" s="557">
        <v>9599</v>
      </c>
      <c r="K567" s="557">
        <v>6153</v>
      </c>
      <c r="L567" s="692">
        <v>9423</v>
      </c>
      <c r="M567" s="554">
        <v>9092</v>
      </c>
      <c r="N567" s="556">
        <v>11924</v>
      </c>
      <c r="O567" s="556">
        <v>4265</v>
      </c>
      <c r="P567" s="556">
        <v>10852</v>
      </c>
      <c r="Q567" s="557">
        <v>4799</v>
      </c>
      <c r="R567" s="557">
        <v>9272</v>
      </c>
      <c r="S567" s="692">
        <v>11205</v>
      </c>
      <c r="T567" s="558">
        <v>2480</v>
      </c>
      <c r="U567" s="692">
        <v>1570</v>
      </c>
      <c r="V567" s="692">
        <v>3999</v>
      </c>
      <c r="W567" s="692">
        <v>7999</v>
      </c>
      <c r="X567" s="559" t="s">
        <v>197</v>
      </c>
      <c r="Y567" s="561"/>
      <c r="Z567" s="561"/>
      <c r="AA567" s="561"/>
      <c r="AB567" s="562" t="s">
        <v>190</v>
      </c>
      <c r="AC567" s="553" t="s">
        <v>4</v>
      </c>
      <c r="AD567" s="934"/>
      <c r="AE567" s="934"/>
      <c r="AF567" s="934"/>
      <c r="AG567" s="934"/>
      <c r="AH567" s="934"/>
      <c r="AI567" s="934"/>
      <c r="AJ567" s="564">
        <v>9191.7999999999993</v>
      </c>
      <c r="AK567" s="565">
        <v>13787.7</v>
      </c>
      <c r="AL567" s="566">
        <v>8804.7999999999993</v>
      </c>
      <c r="AM567" s="567">
        <v>13787.7</v>
      </c>
      <c r="AN567" s="774"/>
      <c r="AO567" s="774"/>
      <c r="AP567" s="568">
        <v>8804.7999999999993</v>
      </c>
    </row>
    <row r="568" spans="1:42" s="591" customFormat="1" x14ac:dyDescent="0.25">
      <c r="A568" s="1061"/>
      <c r="B568" s="637" t="s">
        <v>11</v>
      </c>
      <c r="C568" s="644">
        <f t="shared" ref="C568:S568" si="103">C567*33.717</f>
        <v>197918.78999999998</v>
      </c>
      <c r="D568" s="644">
        <f t="shared" si="103"/>
        <v>112378.761</v>
      </c>
      <c r="E568" s="644">
        <f t="shared" si="103"/>
        <v>112277.61</v>
      </c>
      <c r="F568" s="644">
        <f t="shared" si="103"/>
        <v>318861.66899999999</v>
      </c>
      <c r="G568" s="644">
        <f t="shared" si="103"/>
        <v>274287.79499999998</v>
      </c>
      <c r="H568" s="644">
        <f t="shared" si="103"/>
        <v>529458.05099999998</v>
      </c>
      <c r="I568" s="644">
        <f t="shared" si="103"/>
        <v>276378.24900000001</v>
      </c>
      <c r="J568" s="644">
        <f t="shared" si="103"/>
        <v>323649.48300000001</v>
      </c>
      <c r="K568" s="644">
        <f t="shared" si="103"/>
        <v>207460.701</v>
      </c>
      <c r="L568" s="644">
        <f t="shared" si="103"/>
        <v>317715.29099999997</v>
      </c>
      <c r="M568" s="644">
        <f t="shared" si="103"/>
        <v>306554.96399999998</v>
      </c>
      <c r="N568" s="641">
        <f t="shared" si="103"/>
        <v>402041.50799999997</v>
      </c>
      <c r="O568" s="641">
        <f t="shared" si="103"/>
        <v>143803.005</v>
      </c>
      <c r="P568" s="642">
        <f t="shared" si="103"/>
        <v>365896.88399999996</v>
      </c>
      <c r="Q568" s="640">
        <f t="shared" si="103"/>
        <v>161807.883</v>
      </c>
      <c r="R568" s="643">
        <f t="shared" si="103"/>
        <v>312624.02399999998</v>
      </c>
      <c r="S568" s="687">
        <f t="shared" si="103"/>
        <v>377798.98499999999</v>
      </c>
      <c r="T568" s="638">
        <f>T567*33.717</f>
        <v>83618.16</v>
      </c>
      <c r="U568" s="642">
        <f>U567*33.717</f>
        <v>52935.689999999995</v>
      </c>
      <c r="V568" s="642">
        <f>V567*33.717</f>
        <v>134834.283</v>
      </c>
      <c r="W568" s="642">
        <f>W567*33.717</f>
        <v>269702.283</v>
      </c>
      <c r="X568" s="534"/>
      <c r="Y568" s="534"/>
      <c r="Z568" s="534"/>
      <c r="AA568" s="534"/>
      <c r="AB568" s="683"/>
      <c r="AC568" s="624" t="s">
        <v>5</v>
      </c>
      <c r="AD568" s="932"/>
      <c r="AE568" s="932"/>
      <c r="AF568" s="932"/>
      <c r="AG568" s="932"/>
      <c r="AH568" s="932"/>
      <c r="AI568" s="932"/>
      <c r="AJ568" s="629">
        <v>7975.5</v>
      </c>
      <c r="AK568" s="625">
        <v>13649</v>
      </c>
      <c r="AL568" s="626">
        <v>1289.9000000000001</v>
      </c>
      <c r="AM568" s="631">
        <v>13642</v>
      </c>
      <c r="AN568" s="772"/>
      <c r="AO568" s="772"/>
      <c r="AP568" s="632">
        <v>5483.9</v>
      </c>
    </row>
    <row r="569" spans="1:42" s="591" customFormat="1" ht="15.75" thickBot="1" x14ac:dyDescent="0.3">
      <c r="A569" s="1061"/>
      <c r="B569" s="637" t="s">
        <v>79</v>
      </c>
      <c r="C569" s="638">
        <v>164000</v>
      </c>
      <c r="D569" s="687">
        <v>109880</v>
      </c>
      <c r="E569" s="638">
        <v>109880</v>
      </c>
      <c r="F569" s="641">
        <v>328000</v>
      </c>
      <c r="G569" s="641">
        <v>330905</v>
      </c>
      <c r="H569" s="641">
        <v>264264</v>
      </c>
      <c r="I569" s="641">
        <v>242663.6</v>
      </c>
      <c r="J569" s="643">
        <v>328000</v>
      </c>
      <c r="K569" s="643">
        <v>328000</v>
      </c>
      <c r="L569" s="687">
        <v>328000</v>
      </c>
      <c r="M569" s="638">
        <v>328000</v>
      </c>
      <c r="N569" s="641">
        <v>264264.40000000002</v>
      </c>
      <c r="O569" s="641">
        <v>328000</v>
      </c>
      <c r="P569" s="641">
        <v>352965.4</v>
      </c>
      <c r="Q569" s="643">
        <v>328000</v>
      </c>
      <c r="R569" s="643">
        <v>328000</v>
      </c>
      <c r="S569" s="687">
        <v>328000</v>
      </c>
      <c r="T569" s="644">
        <f>2*T564</f>
        <v>110302</v>
      </c>
      <c r="U569" s="687">
        <f>2*U564</f>
        <v>66181</v>
      </c>
      <c r="V569" s="687">
        <f>2*V564</f>
        <v>200650</v>
      </c>
      <c r="W569" s="687">
        <f>2*W564</f>
        <v>415250</v>
      </c>
      <c r="X569" s="534"/>
      <c r="Y569" s="534"/>
      <c r="Z569" s="534"/>
      <c r="AA569" s="534"/>
      <c r="AB569" s="684"/>
      <c r="AC569" s="645" t="s">
        <v>3</v>
      </c>
      <c r="AD569" s="944"/>
      <c r="AE569" s="944"/>
      <c r="AF569" s="944"/>
      <c r="AG569" s="944"/>
      <c r="AH569" s="944"/>
      <c r="AI569" s="933"/>
      <c r="AJ569" s="635">
        <f>AJ568/AJ567</f>
        <v>0.86767553689157739</v>
      </c>
      <c r="AK569" s="646">
        <f>AK568/AK567</f>
        <v>0.98994030911609621</v>
      </c>
      <c r="AL569" s="647">
        <f>AL568/AL567</f>
        <v>0.14649963656187537</v>
      </c>
      <c r="AM569" s="648">
        <f>AM568/AM567</f>
        <v>0.98943261022505558</v>
      </c>
      <c r="AN569" s="775"/>
      <c r="AO569" s="775"/>
      <c r="AP569" s="649">
        <f>AP568/AP567</f>
        <v>0.62283072869343992</v>
      </c>
    </row>
    <row r="570" spans="1:42" s="591" customFormat="1" ht="30" x14ac:dyDescent="0.25">
      <c r="A570" s="1061"/>
      <c r="B570" s="624" t="s">
        <v>8</v>
      </c>
      <c r="C570" s="650">
        <f>SUM(C567-255)</f>
        <v>5615</v>
      </c>
      <c r="D570" s="686">
        <f>SUM(D567-714)</f>
        <v>2619</v>
      </c>
      <c r="E570" s="650">
        <f>SUM(E567-685)</f>
        <v>2645</v>
      </c>
      <c r="F570" s="652">
        <f>SUM(F567-1361)</f>
        <v>8096</v>
      </c>
      <c r="G570" s="652">
        <f>SUM(G567-4547)</f>
        <v>3588</v>
      </c>
      <c r="H570" s="652">
        <f>SUM(H567-2085)</f>
        <v>13618</v>
      </c>
      <c r="I570" s="652">
        <f>SUM(I567-(3515-2000))</f>
        <v>6682</v>
      </c>
      <c r="J570" s="653">
        <f>SUM(J567-8310)</f>
        <v>1289</v>
      </c>
      <c r="K570" s="653">
        <f>SUM(K567-2434)</f>
        <v>3719</v>
      </c>
      <c r="L570" s="686">
        <f>SUM(L567-5297)</f>
        <v>4126</v>
      </c>
      <c r="M570" s="650">
        <f>SUM(M567-823)</f>
        <v>8269</v>
      </c>
      <c r="N570" s="652">
        <f>SUM(N567-1052)</f>
        <v>10872</v>
      </c>
      <c r="O570" s="653">
        <f>SUM(O567-550)</f>
        <v>3715</v>
      </c>
      <c r="P570" s="652">
        <f>SUM(P567-(5320-2614))</f>
        <v>8146</v>
      </c>
      <c r="Q570" s="653">
        <f>SUM(Q567-3062)</f>
        <v>1737</v>
      </c>
      <c r="R570" s="653">
        <f>SUM(R567-5194)</f>
        <v>4078</v>
      </c>
      <c r="S570" s="686">
        <f>SUM(S567-3484)</f>
        <v>7721</v>
      </c>
      <c r="T570" s="654">
        <f>SUM(T567-791)</f>
        <v>1689</v>
      </c>
      <c r="U570" s="686">
        <f>SUM(U567-483)</f>
        <v>1087</v>
      </c>
      <c r="V570" s="686">
        <f>SUM(V567-3359)</f>
        <v>640</v>
      </c>
      <c r="W570" s="686">
        <f>SUM(W567-7359)</f>
        <v>640</v>
      </c>
      <c r="X570" s="526"/>
      <c r="Y570" s="534"/>
      <c r="Z570" s="534"/>
      <c r="AA570" s="534"/>
      <c r="AB570" s="682" t="s">
        <v>191</v>
      </c>
      <c r="AC570" s="528" t="s">
        <v>4</v>
      </c>
      <c r="AD570" s="931"/>
      <c r="AE570" s="931"/>
      <c r="AF570" s="931"/>
      <c r="AG570" s="931"/>
      <c r="AH570" s="931"/>
      <c r="AI570" s="931"/>
      <c r="AJ570" s="544">
        <v>97433.600000000006</v>
      </c>
      <c r="AK570" s="541">
        <v>243584.4</v>
      </c>
      <c r="AL570" s="688">
        <v>132070.29999999999</v>
      </c>
      <c r="AM570" s="552">
        <v>292299.3</v>
      </c>
      <c r="AN570" s="771"/>
      <c r="AO570" s="771"/>
      <c r="AP570" s="551">
        <v>132070.39999999999</v>
      </c>
    </row>
    <row r="571" spans="1:42" s="591" customFormat="1" x14ac:dyDescent="0.25">
      <c r="A571" s="1061"/>
      <c r="B571" s="655" t="s">
        <v>77</v>
      </c>
      <c r="C571" s="660">
        <f t="shared" ref="C571:N571" si="104">C570*33.717</f>
        <v>189320.95499999999</v>
      </c>
      <c r="D571" s="660">
        <f t="shared" si="104"/>
        <v>88304.823000000004</v>
      </c>
      <c r="E571" s="660">
        <f t="shared" si="104"/>
        <v>89181.464999999997</v>
      </c>
      <c r="F571" s="660">
        <f t="shared" si="104"/>
        <v>272972.83199999999</v>
      </c>
      <c r="G571" s="660">
        <f t="shared" si="104"/>
        <v>120976.59599999999</v>
      </c>
      <c r="H571" s="660">
        <f t="shared" si="104"/>
        <v>459158.10599999997</v>
      </c>
      <c r="I571" s="660">
        <f t="shared" si="104"/>
        <v>225296.99400000001</v>
      </c>
      <c r="J571" s="660">
        <f t="shared" si="104"/>
        <v>43461.212999999996</v>
      </c>
      <c r="K571" s="660">
        <f t="shared" si="104"/>
        <v>125393.523</v>
      </c>
      <c r="L571" s="660">
        <f t="shared" si="104"/>
        <v>139116.342</v>
      </c>
      <c r="M571" s="660">
        <f t="shared" si="104"/>
        <v>278805.87299999996</v>
      </c>
      <c r="N571" s="657">
        <f t="shared" si="104"/>
        <v>366571.22399999999</v>
      </c>
      <c r="O571" s="657">
        <f>(O570*33.717)</f>
        <v>125258.655</v>
      </c>
      <c r="P571" s="657">
        <f>P570*33.717-(2614*33.717)</f>
        <v>186522.44399999996</v>
      </c>
      <c r="Q571" s="658">
        <f t="shared" ref="Q571:W571" si="105">Q570*33.717</f>
        <v>58566.428999999996</v>
      </c>
      <c r="R571" s="658">
        <f t="shared" si="105"/>
        <v>137497.92600000001</v>
      </c>
      <c r="S571" s="659">
        <f t="shared" si="105"/>
        <v>260328.95699999999</v>
      </c>
      <c r="T571" s="661">
        <f t="shared" si="105"/>
        <v>56948.012999999999</v>
      </c>
      <c r="U571" s="691">
        <f t="shared" si="105"/>
        <v>36650.379000000001</v>
      </c>
      <c r="V571" s="691">
        <f t="shared" si="105"/>
        <v>21578.879999999997</v>
      </c>
      <c r="W571" s="691">
        <f t="shared" si="105"/>
        <v>21578.879999999997</v>
      </c>
      <c r="X571" s="532">
        <f>344240-H571</f>
        <v>-114918.10599999997</v>
      </c>
      <c r="Y571" s="534"/>
      <c r="Z571" s="534"/>
      <c r="AA571" s="534"/>
      <c r="AB571" s="683"/>
      <c r="AC571" s="624" t="s">
        <v>5</v>
      </c>
      <c r="AD571" s="932"/>
      <c r="AE571" s="932"/>
      <c r="AF571" s="932"/>
      <c r="AG571" s="932"/>
      <c r="AH571" s="932"/>
      <c r="AI571" s="932"/>
      <c r="AJ571" s="629">
        <v>38973.199999999997</v>
      </c>
      <c r="AK571" s="625">
        <v>124350.5</v>
      </c>
      <c r="AL571" s="626">
        <v>3817.1</v>
      </c>
      <c r="AM571" s="631">
        <v>109009</v>
      </c>
      <c r="AN571" s="772"/>
      <c r="AO571" s="772"/>
      <c r="AP571" s="632">
        <v>33401</v>
      </c>
    </row>
    <row r="572" spans="1:42" s="591" customFormat="1" ht="15.75" thickBot="1" x14ac:dyDescent="0.3">
      <c r="A572" s="1062"/>
      <c r="B572" s="504" t="s">
        <v>217</v>
      </c>
      <c r="C572" s="542">
        <f t="shared" ref="C572:W572" si="106">C571/C564</f>
        <v>0.75722808801272223</v>
      </c>
      <c r="D572" s="689">
        <f t="shared" si="106"/>
        <v>0.58667791015880633</v>
      </c>
      <c r="E572" s="690">
        <f t="shared" si="106"/>
        <v>0.59250212767088295</v>
      </c>
      <c r="F572" s="690">
        <f t="shared" si="106"/>
        <v>1.4998606144655899</v>
      </c>
      <c r="G572" s="690">
        <f t="shared" si="106"/>
        <v>0.73118184867651626</v>
      </c>
      <c r="H572" s="690">
        <f t="shared" si="106"/>
        <v>1.1788246774752569</v>
      </c>
      <c r="I572" s="690">
        <f t="shared" si="106"/>
        <v>1.3177682568612015</v>
      </c>
      <c r="J572" s="690">
        <f t="shared" si="106"/>
        <v>0.26267932077592798</v>
      </c>
      <c r="K572" s="690">
        <f t="shared" si="106"/>
        <v>1.033043640521788</v>
      </c>
      <c r="L572" s="690">
        <f t="shared" si="106"/>
        <v>0.62085775414243327</v>
      </c>
      <c r="M572" s="690">
        <f t="shared" si="106"/>
        <v>1.4443722371393741</v>
      </c>
      <c r="N572" s="501">
        <f t="shared" si="106"/>
        <v>0.83650063358601467</v>
      </c>
      <c r="O572" s="501">
        <f t="shared" si="106"/>
        <v>1.514127922578711</v>
      </c>
      <c r="P572" s="663">
        <f t="shared" si="106"/>
        <v>0.67640638973001377</v>
      </c>
      <c r="Q572" s="520">
        <f t="shared" si="106"/>
        <v>0.70795160202401641</v>
      </c>
      <c r="R572" s="520">
        <f t="shared" si="106"/>
        <v>0.72757308648037688</v>
      </c>
      <c r="S572" s="515">
        <f t="shared" si="106"/>
        <v>1.1618135530135063</v>
      </c>
      <c r="T572" s="542">
        <f t="shared" si="106"/>
        <v>1.0325835070986926</v>
      </c>
      <c r="U572" s="689">
        <f t="shared" si="106"/>
        <v>1.107580090962663</v>
      </c>
      <c r="V572" s="689">
        <f t="shared" si="106"/>
        <v>0.21508975828557186</v>
      </c>
      <c r="W572" s="689">
        <f t="shared" si="106"/>
        <v>0.10393199277543647</v>
      </c>
      <c r="X572" s="534"/>
      <c r="Y572" s="534"/>
      <c r="Z572" s="534"/>
      <c r="AA572" s="534"/>
      <c r="AB572" s="684"/>
      <c r="AC572" s="504" t="s">
        <v>3</v>
      </c>
      <c r="AD572" s="935"/>
      <c r="AE572" s="935"/>
      <c r="AF572" s="935"/>
      <c r="AG572" s="935"/>
      <c r="AH572" s="935"/>
      <c r="AI572" s="935"/>
      <c r="AJ572" s="545">
        <f>AJ571/AJ570</f>
        <v>0.39999753678402516</v>
      </c>
      <c r="AK572" s="542">
        <f>AK571/AK570</f>
        <v>0.51050272513346506</v>
      </c>
      <c r="AL572" s="689">
        <f>AL571/AL570</f>
        <v>2.8902031720984961E-2</v>
      </c>
      <c r="AM572" s="636">
        <f>AM571/AM570</f>
        <v>0.37293623351133581</v>
      </c>
      <c r="AN572" s="773"/>
      <c r="AO572" s="773"/>
      <c r="AP572" s="633">
        <f>AP571/AP570</f>
        <v>0.25290299718937781</v>
      </c>
    </row>
    <row r="573" spans="1:42" s="591" customFormat="1" ht="15.75" thickBot="1" x14ac:dyDescent="0.3">
      <c r="A573" s="612"/>
      <c r="B573" s="504" t="s">
        <v>218</v>
      </c>
      <c r="C573" s="650">
        <v>171297</v>
      </c>
      <c r="D573" s="650">
        <v>98689.1</v>
      </c>
      <c r="E573" s="650">
        <v>99565.7</v>
      </c>
      <c r="F573" s="650">
        <v>254974</v>
      </c>
      <c r="G573" s="650">
        <v>118688</v>
      </c>
      <c r="H573" s="650">
        <v>444084</v>
      </c>
      <c r="I573" s="650">
        <v>171318</v>
      </c>
      <c r="J573" s="650">
        <v>43497.8</v>
      </c>
      <c r="K573" s="650">
        <v>125474</v>
      </c>
      <c r="L573" s="650">
        <v>137359</v>
      </c>
      <c r="M573" s="650">
        <v>268409</v>
      </c>
      <c r="N573" s="650">
        <v>366641</v>
      </c>
      <c r="O573" s="650">
        <v>125308</v>
      </c>
      <c r="P573" s="650">
        <v>167575</v>
      </c>
      <c r="Q573" s="650">
        <v>58609.3</v>
      </c>
      <c r="R573" s="650">
        <v>124409</v>
      </c>
      <c r="S573" s="650">
        <v>260487</v>
      </c>
      <c r="T573" s="650">
        <v>56947.7</v>
      </c>
      <c r="U573" s="650">
        <v>36650.300000000003</v>
      </c>
      <c r="V573" s="650">
        <v>21612.5</v>
      </c>
      <c r="W573" s="696">
        <v>21612.5</v>
      </c>
      <c r="X573" s="534"/>
      <c r="Y573" s="534"/>
      <c r="Z573" s="534"/>
      <c r="AA573" s="534"/>
      <c r="AB573" s="684" t="s">
        <v>219</v>
      </c>
      <c r="AC573" s="504" t="s">
        <v>3</v>
      </c>
      <c r="AD573" s="935"/>
      <c r="AE573" s="935"/>
      <c r="AF573" s="935"/>
      <c r="AG573" s="935"/>
      <c r="AH573" s="935"/>
      <c r="AI573" s="935"/>
      <c r="AJ573" s="545">
        <f>(AJ566+AJ572)/2</f>
        <v>0.38119624665106289</v>
      </c>
      <c r="AK573" s="545">
        <f t="shared" ref="AK573:AP573" si="107">(AK566+AK572)/2</f>
        <v>0.47677983409520408</v>
      </c>
      <c r="AL573" s="545">
        <f t="shared" si="107"/>
        <v>2.9589946651719472E-2</v>
      </c>
      <c r="AM573" s="545">
        <f t="shared" si="107"/>
        <v>0.45412051337057324</v>
      </c>
      <c r="AN573" s="545"/>
      <c r="AO573" s="545"/>
      <c r="AP573" s="545">
        <f t="shared" si="107"/>
        <v>0.31543211186862841</v>
      </c>
    </row>
    <row r="574" spans="1:42" s="591" customFormat="1" ht="15.75" thickBot="1" x14ac:dyDescent="0.3">
      <c r="A574" s="612"/>
      <c r="B574" s="504" t="s">
        <v>216</v>
      </c>
      <c r="C574" s="690">
        <f t="shared" ref="C574:W574" si="108">C573/C564</f>
        <v>0.68513757387456287</v>
      </c>
      <c r="D574" s="690">
        <f t="shared" si="108"/>
        <v>0.65566877296672066</v>
      </c>
      <c r="E574" s="690">
        <f t="shared" si="108"/>
        <v>0.661492711439993</v>
      </c>
      <c r="F574" s="690">
        <f t="shared" si="108"/>
        <v>1.4009652810897655</v>
      </c>
      <c r="G574" s="690">
        <f t="shared" si="108"/>
        <v>0.71734958764849344</v>
      </c>
      <c r="H574" s="690">
        <f t="shared" si="108"/>
        <v>1.1401240035429583</v>
      </c>
      <c r="I574" s="690">
        <f t="shared" si="108"/>
        <v>1.0020436501205485</v>
      </c>
      <c r="J574" s="690">
        <f t="shared" si="108"/>
        <v>0.26290045239296844</v>
      </c>
      <c r="K574" s="690">
        <f t="shared" si="108"/>
        <v>1.0337066432915425</v>
      </c>
      <c r="L574" s="690">
        <f t="shared" si="108"/>
        <v>0.61301497024160179</v>
      </c>
      <c r="M574" s="690">
        <f t="shared" si="108"/>
        <v>1.39051054996371</v>
      </c>
      <c r="N574" s="690">
        <f t="shared" si="108"/>
        <v>0.83665985958191302</v>
      </c>
      <c r="O574" s="690">
        <f t="shared" si="108"/>
        <v>1.514724405451209</v>
      </c>
      <c r="P574" s="690">
        <f t="shared" si="108"/>
        <v>0.60769523671374948</v>
      </c>
      <c r="Q574" s="690">
        <f t="shared" si="108"/>
        <v>0.70846982711727546</v>
      </c>
      <c r="R574" s="690">
        <f t="shared" si="108"/>
        <v>0.65831276695720642</v>
      </c>
      <c r="S574" s="690">
        <f t="shared" si="108"/>
        <v>1.1625188779280871</v>
      </c>
      <c r="T574" s="690">
        <f t="shared" si="108"/>
        <v>1.032577831770956</v>
      </c>
      <c r="U574" s="690">
        <f t="shared" si="108"/>
        <v>1.1075777035705112</v>
      </c>
      <c r="V574" s="690">
        <f t="shared" si="108"/>
        <v>0.21542486917518067</v>
      </c>
      <c r="W574" s="690">
        <f t="shared" si="108"/>
        <v>0.1040939193257074</v>
      </c>
      <c r="X574" s="534"/>
      <c r="Y574" s="534"/>
      <c r="Z574" s="534"/>
      <c r="AA574" s="534"/>
      <c r="AB574" s="684"/>
      <c r="AC574" s="504"/>
      <c r="AD574" s="935"/>
      <c r="AE574" s="935"/>
      <c r="AF574" s="935"/>
      <c r="AG574" s="935"/>
      <c r="AH574" s="935"/>
      <c r="AI574" s="935"/>
      <c r="AJ574" s="545"/>
      <c r="AK574" s="542"/>
      <c r="AL574" s="689"/>
      <c r="AM574" s="636"/>
      <c r="AN574" s="773"/>
      <c r="AO574" s="773"/>
      <c r="AP574" s="633"/>
    </row>
    <row r="575" spans="1:42" s="591" customFormat="1" ht="15.75" thickBot="1" x14ac:dyDescent="0.3">
      <c r="A575" s="1048">
        <v>41695</v>
      </c>
      <c r="B575" s="1048"/>
      <c r="C575" s="1048"/>
      <c r="D575" s="529"/>
      <c r="E575" s="529"/>
      <c r="F575" s="529"/>
      <c r="G575" s="529"/>
      <c r="H575" s="529"/>
      <c r="I575" s="525"/>
      <c r="J575" s="531"/>
      <c r="K575" s="531"/>
      <c r="L575" s="529"/>
      <c r="M575" s="529"/>
      <c r="N575" s="527"/>
      <c r="R575" s="526"/>
      <c r="S575" s="534"/>
      <c r="T575" s="534"/>
      <c r="U575" s="534"/>
      <c r="V575" s="534"/>
      <c r="W575" s="534"/>
      <c r="X575" s="534"/>
      <c r="Y575" s="534"/>
      <c r="Z575" s="534"/>
      <c r="AA575" s="1063"/>
      <c r="AB575" s="1064"/>
      <c r="AD575" s="743"/>
      <c r="AE575" s="743"/>
      <c r="AF575" s="743"/>
      <c r="AG575" s="743"/>
      <c r="AH575" s="743"/>
      <c r="AI575" s="743"/>
      <c r="AN575" s="743"/>
      <c r="AO575" s="743"/>
    </row>
    <row r="576" spans="1:42" s="591" customFormat="1" x14ac:dyDescent="0.25">
      <c r="A576" s="1049" t="s">
        <v>1</v>
      </c>
      <c r="B576" s="1050"/>
      <c r="C576" s="540" t="s">
        <v>12</v>
      </c>
      <c r="D576" s="539" t="s">
        <v>12</v>
      </c>
      <c r="E576" s="540" t="s">
        <v>13</v>
      </c>
      <c r="F576" s="530" t="s">
        <v>13</v>
      </c>
      <c r="G576" s="530" t="s">
        <v>13</v>
      </c>
      <c r="H576" s="530" t="s">
        <v>13</v>
      </c>
      <c r="I576" s="530" t="s">
        <v>13</v>
      </c>
      <c r="J576" s="536" t="s">
        <v>13</v>
      </c>
      <c r="K576" s="536" t="s">
        <v>13</v>
      </c>
      <c r="L576" s="539" t="s">
        <v>13</v>
      </c>
      <c r="M576" s="676" t="s">
        <v>2</v>
      </c>
      <c r="N576" s="530" t="s">
        <v>2</v>
      </c>
      <c r="O576" s="536" t="s">
        <v>2</v>
      </c>
      <c r="P576" s="530" t="s">
        <v>2</v>
      </c>
      <c r="Q576" s="536" t="s">
        <v>2</v>
      </c>
      <c r="R576" s="536" t="s">
        <v>2</v>
      </c>
      <c r="S576" s="539" t="s">
        <v>2</v>
      </c>
      <c r="T576" s="569" t="s">
        <v>183</v>
      </c>
      <c r="U576" s="570" t="s">
        <v>183</v>
      </c>
      <c r="V576" s="570" t="s">
        <v>2</v>
      </c>
      <c r="W576" s="693" t="s">
        <v>13</v>
      </c>
      <c r="X576" s="534"/>
      <c r="Y576" s="534"/>
      <c r="Z576" s="534"/>
      <c r="AA576" s="534"/>
      <c r="AB576" s="1049" t="s">
        <v>1</v>
      </c>
      <c r="AC576" s="1051"/>
      <c r="AD576" s="929"/>
      <c r="AE576" s="929"/>
      <c r="AF576" s="929"/>
      <c r="AG576" s="929"/>
      <c r="AH576" s="929"/>
      <c r="AI576" s="929"/>
      <c r="AJ576" s="677" t="s">
        <v>12</v>
      </c>
      <c r="AK576" s="1052" t="s">
        <v>13</v>
      </c>
      <c r="AL576" s="1053"/>
      <c r="AM576" s="1052" t="s">
        <v>2</v>
      </c>
      <c r="AN576" s="1065"/>
      <c r="AO576" s="1065"/>
      <c r="AP576" s="1053"/>
    </row>
    <row r="577" spans="1:42" s="591" customFormat="1" ht="15.75" thickBot="1" x14ac:dyDescent="0.3">
      <c r="A577" s="1054" t="s">
        <v>0</v>
      </c>
      <c r="B577" s="1055"/>
      <c r="C577" s="617" t="s">
        <v>99</v>
      </c>
      <c r="D577" s="618" t="s">
        <v>100</v>
      </c>
      <c r="E577" s="617" t="s">
        <v>101</v>
      </c>
      <c r="F577" s="619" t="s">
        <v>102</v>
      </c>
      <c r="G577" s="619" t="s">
        <v>97</v>
      </c>
      <c r="H577" s="619" t="s">
        <v>104</v>
      </c>
      <c r="I577" s="619" t="s">
        <v>103</v>
      </c>
      <c r="J577" s="521" t="s">
        <v>178</v>
      </c>
      <c r="K577" s="521" t="s">
        <v>199</v>
      </c>
      <c r="L577" s="517" t="s">
        <v>206</v>
      </c>
      <c r="M577" s="617" t="s">
        <v>105</v>
      </c>
      <c r="N577" s="619" t="s">
        <v>107</v>
      </c>
      <c r="O577" s="620" t="s">
        <v>98</v>
      </c>
      <c r="P577" s="516" t="s">
        <v>106</v>
      </c>
      <c r="Q577" s="620" t="s">
        <v>179</v>
      </c>
      <c r="R577" s="620" t="s">
        <v>198</v>
      </c>
      <c r="S577" s="618" t="s">
        <v>207</v>
      </c>
      <c r="T577" s="621" t="s">
        <v>182</v>
      </c>
      <c r="U577" s="618" t="s">
        <v>184</v>
      </c>
      <c r="V577" s="618" t="s">
        <v>221</v>
      </c>
      <c r="W577" s="694" t="s">
        <v>222</v>
      </c>
      <c r="X577" s="526"/>
      <c r="Y577" s="526"/>
      <c r="Z577" s="526"/>
      <c r="AA577" s="526"/>
      <c r="AB577" s="1054" t="s">
        <v>0</v>
      </c>
      <c r="AC577" s="1056"/>
      <c r="AD577" s="943"/>
      <c r="AE577" s="943"/>
      <c r="AF577" s="943"/>
      <c r="AG577" s="943"/>
      <c r="AH577" s="943"/>
      <c r="AI577" s="930"/>
      <c r="AJ577" s="621" t="s">
        <v>99</v>
      </c>
      <c r="AK577" s="617" t="s">
        <v>104</v>
      </c>
      <c r="AL577" s="618" t="s">
        <v>206</v>
      </c>
      <c r="AM577" s="622" t="s">
        <v>107</v>
      </c>
      <c r="AN577" s="770"/>
      <c r="AO577" s="770"/>
      <c r="AP577" s="623" t="s">
        <v>207</v>
      </c>
    </row>
    <row r="578" spans="1:42" s="591" customFormat="1" ht="30" x14ac:dyDescent="0.25">
      <c r="A578" s="1057" t="s">
        <v>9</v>
      </c>
      <c r="B578" s="528" t="s">
        <v>4</v>
      </c>
      <c r="C578" s="541">
        <v>143393</v>
      </c>
      <c r="D578" s="538">
        <v>150516.70000000001</v>
      </c>
      <c r="E578" s="541">
        <v>150516.70000000001</v>
      </c>
      <c r="F578" s="533">
        <v>181998.8</v>
      </c>
      <c r="G578" s="533">
        <v>165453.5</v>
      </c>
      <c r="H578" s="533">
        <v>132132.9</v>
      </c>
      <c r="I578" s="533">
        <v>170968.6</v>
      </c>
      <c r="J578" s="537">
        <v>165453.5</v>
      </c>
      <c r="K578" s="537">
        <v>121382.6</v>
      </c>
      <c r="L578" s="538">
        <v>83196.100000000006</v>
      </c>
      <c r="M578" s="541">
        <v>193029.1</v>
      </c>
      <c r="N578" s="533">
        <v>132132.9</v>
      </c>
      <c r="O578" s="533">
        <v>82726.600000000006</v>
      </c>
      <c r="P578" s="533">
        <v>275755</v>
      </c>
      <c r="Q578" s="537">
        <v>82726.600000000006</v>
      </c>
      <c r="R578" s="537">
        <v>188981.6</v>
      </c>
      <c r="S578" s="538">
        <v>83196.100000000006</v>
      </c>
      <c r="T578" s="544">
        <v>55151</v>
      </c>
      <c r="U578" s="538">
        <v>33090.5</v>
      </c>
      <c r="V578" s="538">
        <v>100325</v>
      </c>
      <c r="W578" s="688">
        <v>207625</v>
      </c>
      <c r="X578" s="534"/>
      <c r="Y578" s="534"/>
      <c r="Z578" s="534"/>
      <c r="AA578" s="534"/>
      <c r="AB578" s="678" t="s">
        <v>194</v>
      </c>
      <c r="AC578" s="524" t="s">
        <v>4</v>
      </c>
      <c r="AD578" s="931"/>
      <c r="AE578" s="931"/>
      <c r="AF578" s="931"/>
      <c r="AG578" s="931"/>
      <c r="AH578" s="931"/>
      <c r="AI578" s="931"/>
      <c r="AJ578" s="544">
        <v>143393</v>
      </c>
      <c r="AK578" s="541">
        <v>132132</v>
      </c>
      <c r="AL578" s="538">
        <v>83196.100000000006</v>
      </c>
      <c r="AM578" s="552">
        <v>132132.20000000001</v>
      </c>
      <c r="AN578" s="771"/>
      <c r="AO578" s="771"/>
      <c r="AP578" s="551">
        <v>83196.100000000006</v>
      </c>
    </row>
    <row r="579" spans="1:42" s="591" customFormat="1" x14ac:dyDescent="0.25">
      <c r="A579" s="1058"/>
      <c r="B579" s="624" t="s">
        <v>5</v>
      </c>
      <c r="C579" s="625">
        <v>52977.7</v>
      </c>
      <c r="D579" s="626">
        <v>82739.8</v>
      </c>
      <c r="E579" s="625">
        <v>84081.8</v>
      </c>
      <c r="F579" s="627">
        <v>156685.79999999999</v>
      </c>
      <c r="G579" s="627">
        <v>114056.6</v>
      </c>
      <c r="H579" s="627">
        <v>66781</v>
      </c>
      <c r="I579" s="627">
        <v>117323.6</v>
      </c>
      <c r="J579" s="628">
        <v>37155.5</v>
      </c>
      <c r="K579" s="628">
        <v>63759.4</v>
      </c>
      <c r="L579" s="626">
        <v>8223.7999999999993</v>
      </c>
      <c r="M579" s="625">
        <v>171660.2</v>
      </c>
      <c r="N579" s="627">
        <v>67516.899999999994</v>
      </c>
      <c r="O579" s="627">
        <v>58972.7</v>
      </c>
      <c r="P579" s="627">
        <v>215093.5</v>
      </c>
      <c r="Q579" s="628">
        <v>19277.900000000001</v>
      </c>
      <c r="R579" s="628">
        <v>104389.5</v>
      </c>
      <c r="S579" s="626">
        <v>58509.5</v>
      </c>
      <c r="T579" s="629">
        <v>14096.1</v>
      </c>
      <c r="U579" s="626">
        <v>7319.5</v>
      </c>
      <c r="V579" s="626">
        <v>14.2</v>
      </c>
      <c r="W579" s="695">
        <v>283.8</v>
      </c>
      <c r="X579" s="534"/>
      <c r="Y579" s="534"/>
      <c r="Z579" s="534"/>
      <c r="AA579" s="534"/>
      <c r="AB579" s="679"/>
      <c r="AC579" s="630" t="s">
        <v>5</v>
      </c>
      <c r="AD579" s="932"/>
      <c r="AE579" s="932"/>
      <c r="AF579" s="932"/>
      <c r="AG579" s="932"/>
      <c r="AH579" s="932"/>
      <c r="AI579" s="932"/>
      <c r="AJ579" s="629">
        <v>51964.9</v>
      </c>
      <c r="AK579" s="625">
        <v>58542</v>
      </c>
      <c r="AL579" s="626">
        <v>2519</v>
      </c>
      <c r="AM579" s="631">
        <v>70731</v>
      </c>
      <c r="AN579" s="772"/>
      <c r="AO579" s="772"/>
      <c r="AP579" s="632">
        <v>31444.9</v>
      </c>
    </row>
    <row r="580" spans="1:42" s="591" customFormat="1" ht="15.75" thickBot="1" x14ac:dyDescent="0.3">
      <c r="A580" s="1059"/>
      <c r="B580" s="504" t="s">
        <v>3</v>
      </c>
      <c r="C580" s="542">
        <f t="shared" ref="C580:L580" si="109">C579/C578</f>
        <v>0.36945806280641313</v>
      </c>
      <c r="D580" s="633">
        <f t="shared" si="109"/>
        <v>0.54970511577785053</v>
      </c>
      <c r="E580" s="633">
        <f t="shared" si="109"/>
        <v>0.55862106995436389</v>
      </c>
      <c r="F580" s="681">
        <f t="shared" si="109"/>
        <v>0.86091666538460687</v>
      </c>
      <c r="G580" s="633">
        <f t="shared" si="109"/>
        <v>0.6893574327530092</v>
      </c>
      <c r="H580" s="633">
        <f t="shared" si="109"/>
        <v>0.50540781289141468</v>
      </c>
      <c r="I580" s="633">
        <f t="shared" si="109"/>
        <v>0.68622893326610857</v>
      </c>
      <c r="J580" s="633">
        <f t="shared" si="109"/>
        <v>0.22456762776248312</v>
      </c>
      <c r="K580" s="633">
        <f t="shared" si="109"/>
        <v>0.5252762751827692</v>
      </c>
      <c r="L580" s="633">
        <f t="shared" si="109"/>
        <v>9.8848383517977395E-2</v>
      </c>
      <c r="M580" s="547">
        <f>M579/M578</f>
        <v>0.88929700236907283</v>
      </c>
      <c r="N580" s="498">
        <f>N579/N578</f>
        <v>0.51097720552564874</v>
      </c>
      <c r="O580" s="506">
        <f>O579/O578</f>
        <v>0.71286261009155449</v>
      </c>
      <c r="P580" s="498">
        <f>P579/P578</f>
        <v>0.78001668147449732</v>
      </c>
      <c r="Q580" s="506">
        <f>Q579/Q578</f>
        <v>0.2330314554206265</v>
      </c>
      <c r="R580" s="506">
        <f t="shared" ref="R580:S580" si="110">R579/R578</f>
        <v>0.55237917342217446</v>
      </c>
      <c r="S580" s="514">
        <f t="shared" si="110"/>
        <v>0.70327214857427212</v>
      </c>
      <c r="T580" s="545">
        <f>T579/T578</f>
        <v>0.25559101376221649</v>
      </c>
      <c r="U580" s="514">
        <f>U579/U578</f>
        <v>0.22119641588975689</v>
      </c>
      <c r="V580" s="514">
        <f>V579/V578</f>
        <v>1.4153999501619735E-4</v>
      </c>
      <c r="W580" s="689">
        <f>W579/W578</f>
        <v>1.3668874172185431E-3</v>
      </c>
      <c r="X580" s="534"/>
      <c r="Y580" s="534"/>
      <c r="Z580" s="534"/>
      <c r="AA580" s="534"/>
      <c r="AB580" s="680"/>
      <c r="AC580" s="634" t="s">
        <v>3</v>
      </c>
      <c r="AD580" s="944"/>
      <c r="AE580" s="944"/>
      <c r="AF580" s="944"/>
      <c r="AG580" s="944"/>
      <c r="AH580" s="944"/>
      <c r="AI580" s="933"/>
      <c r="AJ580" s="635">
        <f>AJ579/AJ578</f>
        <v>0.36239495651810061</v>
      </c>
      <c r="AK580" s="542">
        <f>AK579/AK578</f>
        <v>0.44305694305694304</v>
      </c>
      <c r="AL580" s="514">
        <f>AL579/AL578</f>
        <v>3.0277861582453984E-2</v>
      </c>
      <c r="AM580" s="636">
        <f>AM579/AM578</f>
        <v>0.53530479322981073</v>
      </c>
      <c r="AN580" s="773"/>
      <c r="AO580" s="773"/>
      <c r="AP580" s="633">
        <f>AP579/AP578</f>
        <v>0.37796122654787906</v>
      </c>
    </row>
    <row r="581" spans="1:42" s="591" customFormat="1" ht="30" x14ac:dyDescent="0.25">
      <c r="A581" s="1060" t="s">
        <v>6</v>
      </c>
      <c r="B581" s="553" t="s">
        <v>7</v>
      </c>
      <c r="C581" s="554">
        <v>5870</v>
      </c>
      <c r="D581" s="555">
        <v>3333</v>
      </c>
      <c r="E581" s="554">
        <v>3330</v>
      </c>
      <c r="F581" s="556">
        <v>9457</v>
      </c>
      <c r="G581" s="556">
        <v>8135</v>
      </c>
      <c r="H581" s="556">
        <v>15703</v>
      </c>
      <c r="I581" s="556">
        <v>8197</v>
      </c>
      <c r="J581" s="557">
        <v>9599</v>
      </c>
      <c r="K581" s="557">
        <v>6153</v>
      </c>
      <c r="L581" s="555">
        <v>8399</v>
      </c>
      <c r="M581" s="554">
        <v>9092</v>
      </c>
      <c r="N581" s="556">
        <v>11924</v>
      </c>
      <c r="O581" s="556">
        <v>4265</v>
      </c>
      <c r="P581" s="556">
        <v>10852</v>
      </c>
      <c r="Q581" s="557">
        <v>4799</v>
      </c>
      <c r="R581" s="557">
        <v>9272</v>
      </c>
      <c r="S581" s="555">
        <v>11205</v>
      </c>
      <c r="T581" s="558">
        <v>2480</v>
      </c>
      <c r="U581" s="555">
        <v>1570</v>
      </c>
      <c r="V581" s="555">
        <v>3999</v>
      </c>
      <c r="W581" s="692">
        <v>7999</v>
      </c>
      <c r="X581" s="559" t="s">
        <v>197</v>
      </c>
      <c r="Y581" s="561"/>
      <c r="Z581" s="561"/>
      <c r="AA581" s="561"/>
      <c r="AB581" s="562" t="s">
        <v>190</v>
      </c>
      <c r="AC581" s="553" t="s">
        <v>4</v>
      </c>
      <c r="AD581" s="934"/>
      <c r="AE581" s="934"/>
      <c r="AF581" s="934"/>
      <c r="AG581" s="934"/>
      <c r="AH581" s="934"/>
      <c r="AI581" s="934"/>
      <c r="AJ581" s="564">
        <v>9191.7999999999993</v>
      </c>
      <c r="AK581" s="565">
        <v>13787.7</v>
      </c>
      <c r="AL581" s="566">
        <v>8804.7999999999993</v>
      </c>
      <c r="AM581" s="567">
        <v>13787.7</v>
      </c>
      <c r="AN581" s="774"/>
      <c r="AO581" s="774"/>
      <c r="AP581" s="568">
        <v>8804.7999999999993</v>
      </c>
    </row>
    <row r="582" spans="1:42" s="591" customFormat="1" x14ac:dyDescent="0.25">
      <c r="A582" s="1061"/>
      <c r="B582" s="637" t="s">
        <v>11</v>
      </c>
      <c r="C582" s="644">
        <f t="shared" ref="C582:Q582" si="111">C581*33.717</f>
        <v>197918.78999999998</v>
      </c>
      <c r="D582" s="644">
        <f t="shared" si="111"/>
        <v>112378.761</v>
      </c>
      <c r="E582" s="644">
        <f t="shared" si="111"/>
        <v>112277.61</v>
      </c>
      <c r="F582" s="644">
        <f t="shared" si="111"/>
        <v>318861.66899999999</v>
      </c>
      <c r="G582" s="644">
        <f t="shared" si="111"/>
        <v>274287.79499999998</v>
      </c>
      <c r="H582" s="644">
        <f t="shared" si="111"/>
        <v>529458.05099999998</v>
      </c>
      <c r="I582" s="644">
        <f t="shared" si="111"/>
        <v>276378.24900000001</v>
      </c>
      <c r="J582" s="644">
        <f t="shared" si="111"/>
        <v>323649.48300000001</v>
      </c>
      <c r="K582" s="644">
        <f t="shared" si="111"/>
        <v>207460.701</v>
      </c>
      <c r="L582" s="644">
        <f t="shared" si="111"/>
        <v>283189.08299999998</v>
      </c>
      <c r="M582" s="644">
        <f t="shared" si="111"/>
        <v>306554.96399999998</v>
      </c>
      <c r="N582" s="641">
        <f t="shared" si="111"/>
        <v>402041.50799999997</v>
      </c>
      <c r="O582" s="641">
        <f t="shared" si="111"/>
        <v>143803.005</v>
      </c>
      <c r="P582" s="642">
        <f t="shared" si="111"/>
        <v>365896.88399999996</v>
      </c>
      <c r="Q582" s="640">
        <f t="shared" si="111"/>
        <v>161807.883</v>
      </c>
      <c r="R582" s="643">
        <f t="shared" ref="R582:S582" si="112">R581*33.717</f>
        <v>312624.02399999998</v>
      </c>
      <c r="S582" s="639">
        <f t="shared" si="112"/>
        <v>377798.98499999999</v>
      </c>
      <c r="T582" s="638">
        <f>T581*33.717</f>
        <v>83618.16</v>
      </c>
      <c r="U582" s="642">
        <f>U581*33.717</f>
        <v>52935.689999999995</v>
      </c>
      <c r="V582" s="642">
        <f>V581*33.717</f>
        <v>134834.283</v>
      </c>
      <c r="W582" s="642">
        <f>W581*33.717</f>
        <v>269702.283</v>
      </c>
      <c r="X582" s="534"/>
      <c r="Y582" s="534"/>
      <c r="Z582" s="534"/>
      <c r="AA582" s="534"/>
      <c r="AB582" s="679"/>
      <c r="AC582" s="624" t="s">
        <v>5</v>
      </c>
      <c r="AD582" s="932"/>
      <c r="AE582" s="932"/>
      <c r="AF582" s="932"/>
      <c r="AG582" s="932"/>
      <c r="AH582" s="932"/>
      <c r="AI582" s="932"/>
      <c r="AJ582" s="629">
        <v>7975.5</v>
      </c>
      <c r="AK582" s="625">
        <v>13649</v>
      </c>
      <c r="AL582" s="626">
        <v>1289.9000000000001</v>
      </c>
      <c r="AM582" s="631">
        <v>13642</v>
      </c>
      <c r="AN582" s="772"/>
      <c r="AO582" s="772"/>
      <c r="AP582" s="632">
        <v>5483.9</v>
      </c>
    </row>
    <row r="583" spans="1:42" s="591" customFormat="1" ht="15.75" thickBot="1" x14ac:dyDescent="0.3">
      <c r="A583" s="1061"/>
      <c r="B583" s="637" t="s">
        <v>79</v>
      </c>
      <c r="C583" s="638">
        <v>164000</v>
      </c>
      <c r="D583" s="639">
        <v>109880</v>
      </c>
      <c r="E583" s="638">
        <v>109880</v>
      </c>
      <c r="F583" s="641">
        <v>328000</v>
      </c>
      <c r="G583" s="641">
        <v>330905</v>
      </c>
      <c r="H583" s="641">
        <v>264264</v>
      </c>
      <c r="I583" s="641">
        <v>242663.6</v>
      </c>
      <c r="J583" s="643">
        <v>328000</v>
      </c>
      <c r="K583" s="643">
        <v>328000</v>
      </c>
      <c r="L583" s="639">
        <v>328000</v>
      </c>
      <c r="M583" s="638">
        <v>328000</v>
      </c>
      <c r="N583" s="641">
        <v>264264.40000000002</v>
      </c>
      <c r="O583" s="641">
        <v>328000</v>
      </c>
      <c r="P583" s="641">
        <v>352965.4</v>
      </c>
      <c r="Q583" s="643">
        <v>328000</v>
      </c>
      <c r="R583" s="643">
        <v>328000</v>
      </c>
      <c r="S583" s="639">
        <v>328000</v>
      </c>
      <c r="T583" s="644">
        <f>2*T578</f>
        <v>110302</v>
      </c>
      <c r="U583" s="639">
        <f>2*U578</f>
        <v>66181</v>
      </c>
      <c r="V583" s="639">
        <f>2*V578</f>
        <v>200650</v>
      </c>
      <c r="W583" s="687">
        <f>2*W578</f>
        <v>415250</v>
      </c>
      <c r="X583" s="534"/>
      <c r="Y583" s="534"/>
      <c r="Z583" s="534"/>
      <c r="AA583" s="534"/>
      <c r="AB583" s="680"/>
      <c r="AC583" s="645" t="s">
        <v>3</v>
      </c>
      <c r="AD583" s="944"/>
      <c r="AE583" s="944"/>
      <c r="AF583" s="944"/>
      <c r="AG583" s="944"/>
      <c r="AH583" s="944"/>
      <c r="AI583" s="933"/>
      <c r="AJ583" s="635">
        <f>AJ582/AJ581</f>
        <v>0.86767553689157739</v>
      </c>
      <c r="AK583" s="646">
        <f>AK582/AK581</f>
        <v>0.98994030911609621</v>
      </c>
      <c r="AL583" s="647">
        <f>AL582/AL581</f>
        <v>0.14649963656187537</v>
      </c>
      <c r="AM583" s="648">
        <f>AM582/AM581</f>
        <v>0.98943261022505558</v>
      </c>
      <c r="AN583" s="775"/>
      <c r="AO583" s="775"/>
      <c r="AP583" s="649">
        <f>AP582/AP581</f>
        <v>0.62283072869343992</v>
      </c>
    </row>
    <row r="584" spans="1:42" s="591" customFormat="1" ht="30" x14ac:dyDescent="0.25">
      <c r="A584" s="1061"/>
      <c r="B584" s="624" t="s">
        <v>8</v>
      </c>
      <c r="C584" s="650">
        <f>SUM(C581-255)</f>
        <v>5615</v>
      </c>
      <c r="D584" s="651">
        <f>SUM(D581-714)</f>
        <v>2619</v>
      </c>
      <c r="E584" s="650">
        <f>SUM(E581-685)</f>
        <v>2645</v>
      </c>
      <c r="F584" s="652">
        <f>SUM(F581-1361)</f>
        <v>8096</v>
      </c>
      <c r="G584" s="652">
        <f>SUM(G581-4533)</f>
        <v>3602</v>
      </c>
      <c r="H584" s="652">
        <f>SUM(H581-2085)</f>
        <v>13618</v>
      </c>
      <c r="I584" s="652">
        <f>SUM(I581-(3531-2000))</f>
        <v>6666</v>
      </c>
      <c r="J584" s="653">
        <f>SUM(J581-8318)</f>
        <v>1281</v>
      </c>
      <c r="K584" s="653">
        <f>SUM(K581-2499)</f>
        <v>3654</v>
      </c>
      <c r="L584" s="651">
        <f>SUM(L581-4552)</f>
        <v>3847</v>
      </c>
      <c r="M584" s="650">
        <f>SUM(M581-1007)</f>
        <v>8085</v>
      </c>
      <c r="N584" s="652">
        <f>SUM(N581-1052)</f>
        <v>10872</v>
      </c>
      <c r="O584" s="653">
        <f>SUM(O581-550)</f>
        <v>3715</v>
      </c>
      <c r="P584" s="652">
        <f>SUM(P581-(5334-2614))</f>
        <v>8132</v>
      </c>
      <c r="Q584" s="653">
        <f>SUM(Q581-3070)</f>
        <v>1729</v>
      </c>
      <c r="R584" s="653">
        <f>SUM(R581-5259)</f>
        <v>4013</v>
      </c>
      <c r="S584" s="651">
        <f>SUM(S581-3634)</f>
        <v>7571</v>
      </c>
      <c r="T584" s="654">
        <f>SUM(T581-791)</f>
        <v>1689</v>
      </c>
      <c r="U584" s="651">
        <f>SUM(U581-483)</f>
        <v>1087</v>
      </c>
      <c r="V584" s="651">
        <f>SUM(V581-3919)</f>
        <v>80</v>
      </c>
      <c r="W584" s="686">
        <f>SUM(W581-7359)</f>
        <v>640</v>
      </c>
      <c r="X584" s="526"/>
      <c r="Y584" s="534"/>
      <c r="Z584" s="534"/>
      <c r="AA584" s="534"/>
      <c r="AB584" s="678" t="s">
        <v>191</v>
      </c>
      <c r="AC584" s="528" t="s">
        <v>4</v>
      </c>
      <c r="AD584" s="931"/>
      <c r="AE584" s="931"/>
      <c r="AF584" s="931"/>
      <c r="AG584" s="931"/>
      <c r="AH584" s="931"/>
      <c r="AI584" s="931"/>
      <c r="AJ584" s="544">
        <v>97433.600000000006</v>
      </c>
      <c r="AK584" s="541">
        <v>243584.4</v>
      </c>
      <c r="AL584" s="538">
        <v>132070.29999999999</v>
      </c>
      <c r="AM584" s="552">
        <v>292299.3</v>
      </c>
      <c r="AN584" s="771"/>
      <c r="AO584" s="771"/>
      <c r="AP584" s="551">
        <v>132070.39999999999</v>
      </c>
    </row>
    <row r="585" spans="1:42" s="591" customFormat="1" x14ac:dyDescent="0.25">
      <c r="A585" s="1061"/>
      <c r="B585" s="655" t="s">
        <v>77</v>
      </c>
      <c r="C585" s="660">
        <f t="shared" ref="C585:N585" si="113">C584*33.717</f>
        <v>189320.95499999999</v>
      </c>
      <c r="D585" s="660">
        <f t="shared" si="113"/>
        <v>88304.823000000004</v>
      </c>
      <c r="E585" s="660">
        <f t="shared" si="113"/>
        <v>89181.464999999997</v>
      </c>
      <c r="F585" s="660">
        <f t="shared" si="113"/>
        <v>272972.83199999999</v>
      </c>
      <c r="G585" s="660">
        <f t="shared" si="113"/>
        <v>121448.63399999999</v>
      </c>
      <c r="H585" s="660">
        <f t="shared" si="113"/>
        <v>459158.10599999997</v>
      </c>
      <c r="I585" s="660">
        <f t="shared" si="113"/>
        <v>224757.522</v>
      </c>
      <c r="J585" s="660">
        <f t="shared" si="113"/>
        <v>43191.476999999999</v>
      </c>
      <c r="K585" s="660">
        <f t="shared" si="113"/>
        <v>123201.91799999999</v>
      </c>
      <c r="L585" s="660">
        <f t="shared" si="113"/>
        <v>129709.299</v>
      </c>
      <c r="M585" s="660">
        <f t="shared" si="113"/>
        <v>272601.94500000001</v>
      </c>
      <c r="N585" s="657">
        <f t="shared" si="113"/>
        <v>366571.22399999999</v>
      </c>
      <c r="O585" s="657">
        <f>(O584*33.717)</f>
        <v>125258.655</v>
      </c>
      <c r="P585" s="657">
        <f>P584*33.717-(2614*33.717)</f>
        <v>186050.40599999996</v>
      </c>
      <c r="Q585" s="658">
        <f t="shared" ref="Q585:W585" si="114">Q584*33.717</f>
        <v>58296.692999999999</v>
      </c>
      <c r="R585" s="658">
        <f t="shared" si="114"/>
        <v>135306.321</v>
      </c>
      <c r="S585" s="659">
        <f t="shared" si="114"/>
        <v>255271.40699999998</v>
      </c>
      <c r="T585" s="661">
        <f t="shared" si="114"/>
        <v>56948.012999999999</v>
      </c>
      <c r="U585" s="662">
        <f t="shared" si="114"/>
        <v>36650.379000000001</v>
      </c>
      <c r="V585" s="662">
        <f t="shared" si="114"/>
        <v>2697.3599999999997</v>
      </c>
      <c r="W585" s="691">
        <f t="shared" si="114"/>
        <v>21578.879999999997</v>
      </c>
      <c r="X585" s="532">
        <f>344240-H585</f>
        <v>-114918.10599999997</v>
      </c>
      <c r="Y585" s="534"/>
      <c r="Z585" s="534"/>
      <c r="AA585" s="534"/>
      <c r="AB585" s="679"/>
      <c r="AC585" s="624" t="s">
        <v>5</v>
      </c>
      <c r="AD585" s="932"/>
      <c r="AE585" s="932"/>
      <c r="AF585" s="932"/>
      <c r="AG585" s="932"/>
      <c r="AH585" s="932"/>
      <c r="AI585" s="932"/>
      <c r="AJ585" s="629">
        <v>38973.199999999997</v>
      </c>
      <c r="AK585" s="625">
        <v>124350.5</v>
      </c>
      <c r="AL585" s="626">
        <v>3817.1</v>
      </c>
      <c r="AM585" s="631">
        <v>109009</v>
      </c>
      <c r="AN585" s="772"/>
      <c r="AO585" s="772"/>
      <c r="AP585" s="632">
        <v>33401</v>
      </c>
    </row>
    <row r="586" spans="1:42" s="591" customFormat="1" ht="15.75" thickBot="1" x14ac:dyDescent="0.3">
      <c r="A586" s="1062"/>
      <c r="B586" s="504" t="s">
        <v>217</v>
      </c>
      <c r="C586" s="542">
        <f t="shared" ref="C586:L586" si="115">C585/C578</f>
        <v>1.3202942612261406</v>
      </c>
      <c r="D586" s="514">
        <f t="shared" si="115"/>
        <v>0.58667791015880633</v>
      </c>
      <c r="E586" s="543">
        <f t="shared" si="115"/>
        <v>0.59250212767088295</v>
      </c>
      <c r="F586" s="543">
        <f t="shared" si="115"/>
        <v>1.4998606144655899</v>
      </c>
      <c r="G586" s="543">
        <f t="shared" si="115"/>
        <v>0.73403484362675908</v>
      </c>
      <c r="H586" s="543">
        <f t="shared" si="115"/>
        <v>3.4749718351750398</v>
      </c>
      <c r="I586" s="543">
        <f t="shared" si="115"/>
        <v>1.314612870433518</v>
      </c>
      <c r="J586" s="543">
        <f t="shared" si="115"/>
        <v>0.26104903794721779</v>
      </c>
      <c r="K586" s="543">
        <f t="shared" si="115"/>
        <v>1.0149882932150076</v>
      </c>
      <c r="L586" s="543">
        <f t="shared" si="115"/>
        <v>1.5590790794280018</v>
      </c>
      <c r="M586" s="543">
        <f t="shared" ref="M586:W586" si="116">M585/M578</f>
        <v>1.4122323784341324</v>
      </c>
      <c r="N586" s="501">
        <f t="shared" si="116"/>
        <v>2.7742615503027634</v>
      </c>
      <c r="O586" s="501">
        <f t="shared" si="116"/>
        <v>1.514127922578711</v>
      </c>
      <c r="P586" s="663">
        <f t="shared" si="116"/>
        <v>0.674694587586807</v>
      </c>
      <c r="Q586" s="520">
        <f t="shared" si="116"/>
        <v>0.7046910304545333</v>
      </c>
      <c r="R586" s="520">
        <f t="shared" si="116"/>
        <v>0.71597616381700646</v>
      </c>
      <c r="S586" s="515">
        <f t="shared" si="116"/>
        <v>3.0683097765400058</v>
      </c>
      <c r="T586" s="542">
        <f t="shared" si="116"/>
        <v>1.0325835070986926</v>
      </c>
      <c r="U586" s="514">
        <f t="shared" si="116"/>
        <v>1.107580090962663</v>
      </c>
      <c r="V586" s="514">
        <f t="shared" si="116"/>
        <v>2.6886219785696483E-2</v>
      </c>
      <c r="W586" s="689">
        <f t="shared" si="116"/>
        <v>0.10393199277543647</v>
      </c>
      <c r="X586" s="534"/>
      <c r="Y586" s="534"/>
      <c r="Z586" s="534"/>
      <c r="AA586" s="534"/>
      <c r="AB586" s="680"/>
      <c r="AC586" s="504" t="s">
        <v>3</v>
      </c>
      <c r="AD586" s="935"/>
      <c r="AE586" s="935"/>
      <c r="AF586" s="935"/>
      <c r="AG586" s="935"/>
      <c r="AH586" s="935"/>
      <c r="AI586" s="935"/>
      <c r="AJ586" s="545">
        <f>AJ585/AJ584</f>
        <v>0.39999753678402516</v>
      </c>
      <c r="AK586" s="542">
        <f>AK585/AK584</f>
        <v>0.51050272513346506</v>
      </c>
      <c r="AL586" s="514">
        <f>AL585/AL584</f>
        <v>2.8902031720984961E-2</v>
      </c>
      <c r="AM586" s="636">
        <f>AM585/AM584</f>
        <v>0.37293623351133581</v>
      </c>
      <c r="AN586" s="773"/>
      <c r="AO586" s="773"/>
      <c r="AP586" s="633">
        <f>AP585/AP584</f>
        <v>0.25290299718937781</v>
      </c>
    </row>
    <row r="587" spans="1:42" s="591" customFormat="1" ht="15.75" thickBot="1" x14ac:dyDescent="0.3">
      <c r="A587" s="612"/>
      <c r="B587" s="504" t="s">
        <v>218</v>
      </c>
      <c r="C587" s="650">
        <v>169949</v>
      </c>
      <c r="D587" s="650">
        <v>96362.6</v>
      </c>
      <c r="E587" s="650">
        <v>97374.1</v>
      </c>
      <c r="F587" s="650">
        <v>262762</v>
      </c>
      <c r="G587" s="650">
        <v>119700</v>
      </c>
      <c r="H587" s="650">
        <v>445574</v>
      </c>
      <c r="I587" s="650">
        <v>169530</v>
      </c>
      <c r="J587" s="650">
        <v>40733</v>
      </c>
      <c r="K587" s="650">
        <v>120180</v>
      </c>
      <c r="L587" s="650">
        <v>95846.3</v>
      </c>
      <c r="M587" s="650">
        <v>277512</v>
      </c>
      <c r="N587" s="650">
        <v>369005</v>
      </c>
      <c r="O587" s="650">
        <v>126591</v>
      </c>
      <c r="P587" s="650">
        <v>165752</v>
      </c>
      <c r="Q587" s="650">
        <v>55844.5</v>
      </c>
      <c r="R587" s="650">
        <v>119115</v>
      </c>
      <c r="S587" s="650">
        <v>218748</v>
      </c>
      <c r="T587" s="650">
        <v>56947.7</v>
      </c>
      <c r="U587" s="650">
        <v>36650.300000000003</v>
      </c>
      <c r="V587" s="650">
        <v>21612.5</v>
      </c>
      <c r="W587" s="696">
        <v>21612.5</v>
      </c>
      <c r="X587" s="534"/>
      <c r="Y587" s="534"/>
      <c r="Z587" s="534"/>
      <c r="AA587" s="534"/>
      <c r="AB587" s="680" t="s">
        <v>219</v>
      </c>
      <c r="AC587" s="504" t="s">
        <v>3</v>
      </c>
      <c r="AD587" s="935"/>
      <c r="AE587" s="935"/>
      <c r="AF587" s="935"/>
      <c r="AG587" s="935"/>
      <c r="AH587" s="935"/>
      <c r="AI587" s="935"/>
      <c r="AJ587" s="545">
        <f>(AJ580+AJ586)/2</f>
        <v>0.38119624665106289</v>
      </c>
      <c r="AK587" s="545">
        <f t="shared" ref="AK587:AP587" si="117">(AK580+AK586)/2</f>
        <v>0.47677983409520408</v>
      </c>
      <c r="AL587" s="545">
        <f t="shared" si="117"/>
        <v>2.9589946651719472E-2</v>
      </c>
      <c r="AM587" s="545">
        <f t="shared" si="117"/>
        <v>0.45412051337057324</v>
      </c>
      <c r="AN587" s="545"/>
      <c r="AO587" s="545"/>
      <c r="AP587" s="545">
        <f t="shared" si="117"/>
        <v>0.31543211186862841</v>
      </c>
    </row>
    <row r="588" spans="1:42" s="591" customFormat="1" ht="15.75" thickBot="1" x14ac:dyDescent="0.3">
      <c r="A588" s="612"/>
      <c r="B588" s="504" t="s">
        <v>216</v>
      </c>
      <c r="C588" s="543">
        <f t="shared" ref="C588:D588" si="118">C587/C578</f>
        <v>1.1851973248345455</v>
      </c>
      <c r="D588" s="543">
        <f t="shared" si="118"/>
        <v>0.64021201634104385</v>
      </c>
      <c r="E588" s="543">
        <f t="shared" ref="E588:L588" si="119">E587/E578</f>
        <v>0.64693220087870651</v>
      </c>
      <c r="F588" s="543">
        <f t="shared" si="119"/>
        <v>1.4437567720226727</v>
      </c>
      <c r="G588" s="543">
        <f t="shared" si="119"/>
        <v>0.72346610981333126</v>
      </c>
      <c r="H588" s="543">
        <f t="shared" si="119"/>
        <v>3.372165448574882</v>
      </c>
      <c r="I588" s="543">
        <f t="shared" si="119"/>
        <v>0.9915855894006268</v>
      </c>
      <c r="J588" s="543">
        <f t="shared" si="119"/>
        <v>0.24619001713472366</v>
      </c>
      <c r="K588" s="543">
        <f t="shared" si="119"/>
        <v>0.99009248442527997</v>
      </c>
      <c r="L588" s="543">
        <f t="shared" si="119"/>
        <v>1.1520528005519488</v>
      </c>
      <c r="M588" s="543">
        <f t="shared" ref="M588:W588" si="120">M587/M578</f>
        <v>1.4376692426167867</v>
      </c>
      <c r="N588" s="543">
        <f t="shared" si="120"/>
        <v>2.7926807025350993</v>
      </c>
      <c r="O588" s="543">
        <f t="shared" si="120"/>
        <v>1.5302333227764708</v>
      </c>
      <c r="P588" s="543">
        <f t="shared" si="120"/>
        <v>0.60108429584232381</v>
      </c>
      <c r="Q588" s="543">
        <f t="shared" si="120"/>
        <v>0.67504889600201134</v>
      </c>
      <c r="R588" s="543">
        <f t="shared" si="120"/>
        <v>0.63029945772498486</v>
      </c>
      <c r="S588" s="543">
        <f t="shared" si="120"/>
        <v>2.6293059410236777</v>
      </c>
      <c r="T588" s="543">
        <f t="shared" si="120"/>
        <v>1.032577831770956</v>
      </c>
      <c r="U588" s="543">
        <f t="shared" si="120"/>
        <v>1.1075777035705112</v>
      </c>
      <c r="V588" s="543">
        <f t="shared" si="120"/>
        <v>0.21542486917518067</v>
      </c>
      <c r="W588" s="690">
        <f t="shared" si="120"/>
        <v>0.1040939193257074</v>
      </c>
      <c r="X588" s="534"/>
      <c r="Y588" s="534"/>
      <c r="Z588" s="534"/>
      <c r="AA588" s="534"/>
      <c r="AB588" s="680"/>
      <c r="AC588" s="504"/>
      <c r="AD588" s="935"/>
      <c r="AE588" s="935"/>
      <c r="AF588" s="935"/>
      <c r="AG588" s="935"/>
      <c r="AH588" s="935"/>
      <c r="AI588" s="935"/>
      <c r="AJ588" s="545"/>
      <c r="AK588" s="542"/>
      <c r="AL588" s="514"/>
      <c r="AM588" s="636"/>
      <c r="AN588" s="773"/>
      <c r="AO588" s="773"/>
      <c r="AP588" s="633"/>
    </row>
    <row r="589" spans="1:42" s="591" customFormat="1" ht="15.75" thickBot="1" x14ac:dyDescent="0.3">
      <c r="A589" s="1048">
        <v>41690</v>
      </c>
      <c r="B589" s="1048"/>
      <c r="C589" s="1048"/>
      <c r="D589" s="529"/>
      <c r="E589" s="529"/>
      <c r="F589" s="529"/>
      <c r="G589" s="529"/>
      <c r="H589" s="529"/>
      <c r="I589" s="525"/>
      <c r="J589" s="531"/>
      <c r="K589" s="531"/>
      <c r="L589" s="529"/>
      <c r="M589" s="529"/>
      <c r="N589" s="527"/>
      <c r="R589" s="526"/>
      <c r="S589" s="534"/>
      <c r="T589" s="534"/>
      <c r="U589" s="534"/>
      <c r="V589" s="534"/>
      <c r="W589" s="534"/>
      <c r="X589" s="534"/>
      <c r="Y589" s="534"/>
      <c r="Z589" s="534"/>
      <c r="AA589" s="1063"/>
      <c r="AB589" s="1064"/>
      <c r="AD589" s="743"/>
      <c r="AE589" s="743"/>
      <c r="AF589" s="743"/>
      <c r="AG589" s="743"/>
      <c r="AH589" s="743"/>
      <c r="AI589" s="743"/>
      <c r="AN589" s="743"/>
      <c r="AO589" s="743"/>
    </row>
    <row r="590" spans="1:42" s="591" customFormat="1" x14ac:dyDescent="0.25">
      <c r="A590" s="1049" t="s">
        <v>1</v>
      </c>
      <c r="B590" s="1050"/>
      <c r="C590" s="540" t="s">
        <v>12</v>
      </c>
      <c r="D590" s="539" t="s">
        <v>12</v>
      </c>
      <c r="E590" s="540" t="s">
        <v>13</v>
      </c>
      <c r="F590" s="530" t="s">
        <v>13</v>
      </c>
      <c r="G590" s="530" t="s">
        <v>13</v>
      </c>
      <c r="H590" s="530" t="s">
        <v>13</v>
      </c>
      <c r="I590" s="530" t="s">
        <v>13</v>
      </c>
      <c r="J590" s="536" t="s">
        <v>13</v>
      </c>
      <c r="K590" s="536" t="s">
        <v>13</v>
      </c>
      <c r="L590" s="539" t="s">
        <v>13</v>
      </c>
      <c r="M590" s="676" t="s">
        <v>2</v>
      </c>
      <c r="N590" s="530" t="s">
        <v>2</v>
      </c>
      <c r="O590" s="536" t="s">
        <v>2</v>
      </c>
      <c r="P590" s="530" t="s">
        <v>2</v>
      </c>
      <c r="Q590" s="536" t="s">
        <v>2</v>
      </c>
      <c r="R590" s="536" t="s">
        <v>2</v>
      </c>
      <c r="S590" s="539" t="s">
        <v>2</v>
      </c>
      <c r="T590" s="569" t="s">
        <v>183</v>
      </c>
      <c r="U590" s="570" t="s">
        <v>183</v>
      </c>
      <c r="V590" s="570" t="s">
        <v>2</v>
      </c>
      <c r="W590" s="534"/>
      <c r="X590" s="534"/>
      <c r="Y590" s="534"/>
      <c r="Z590" s="534"/>
      <c r="AA590" s="1049" t="s">
        <v>1</v>
      </c>
      <c r="AB590" s="1051"/>
      <c r="AC590" s="672" t="s">
        <v>12</v>
      </c>
      <c r="AD590" s="912"/>
      <c r="AE590" s="912"/>
      <c r="AF590" s="912"/>
      <c r="AG590" s="912"/>
      <c r="AH590" s="912"/>
      <c r="AI590" s="912"/>
      <c r="AJ590" s="1052" t="s">
        <v>13</v>
      </c>
      <c r="AK590" s="1053"/>
      <c r="AL590" s="1052" t="s">
        <v>2</v>
      </c>
      <c r="AM590" s="1053"/>
      <c r="AN590" s="776"/>
      <c r="AO590" s="776"/>
    </row>
    <row r="591" spans="1:42" s="591" customFormat="1" ht="15.75" thickBot="1" x14ac:dyDescent="0.3">
      <c r="A591" s="1054" t="s">
        <v>0</v>
      </c>
      <c r="B591" s="1055"/>
      <c r="C591" s="617" t="s">
        <v>99</v>
      </c>
      <c r="D591" s="618" t="s">
        <v>100</v>
      </c>
      <c r="E591" s="617" t="s">
        <v>101</v>
      </c>
      <c r="F591" s="619" t="s">
        <v>102</v>
      </c>
      <c r="G591" s="619" t="s">
        <v>97</v>
      </c>
      <c r="H591" s="619" t="s">
        <v>104</v>
      </c>
      <c r="I591" s="619" t="s">
        <v>103</v>
      </c>
      <c r="J591" s="521" t="s">
        <v>178</v>
      </c>
      <c r="K591" s="521" t="s">
        <v>199</v>
      </c>
      <c r="L591" s="517" t="s">
        <v>206</v>
      </c>
      <c r="M591" s="617" t="s">
        <v>105</v>
      </c>
      <c r="N591" s="619" t="s">
        <v>107</v>
      </c>
      <c r="O591" s="620" t="s">
        <v>98</v>
      </c>
      <c r="P591" s="516" t="s">
        <v>106</v>
      </c>
      <c r="Q591" s="620" t="s">
        <v>179</v>
      </c>
      <c r="R591" s="620" t="s">
        <v>198</v>
      </c>
      <c r="S591" s="618" t="s">
        <v>207</v>
      </c>
      <c r="T591" s="621" t="s">
        <v>182</v>
      </c>
      <c r="U591" s="618" t="s">
        <v>184</v>
      </c>
      <c r="V591" s="618" t="s">
        <v>221</v>
      </c>
      <c r="W591" s="526"/>
      <c r="X591" s="526"/>
      <c r="Y591" s="526"/>
      <c r="Z591" s="526"/>
      <c r="AA591" s="1054" t="s">
        <v>0</v>
      </c>
      <c r="AB591" s="1056"/>
      <c r="AC591" s="621" t="s">
        <v>99</v>
      </c>
      <c r="AD591" s="621"/>
      <c r="AE591" s="621"/>
      <c r="AF591" s="621"/>
      <c r="AG591" s="621"/>
      <c r="AH591" s="621"/>
      <c r="AI591" s="621"/>
      <c r="AJ591" s="617" t="s">
        <v>104</v>
      </c>
      <c r="AK591" s="618" t="s">
        <v>206</v>
      </c>
      <c r="AL591" s="622" t="s">
        <v>107</v>
      </c>
      <c r="AM591" s="623" t="s">
        <v>207</v>
      </c>
      <c r="AN591" s="777"/>
      <c r="AO591" s="777"/>
    </row>
    <row r="592" spans="1:42" s="591" customFormat="1" x14ac:dyDescent="0.25">
      <c r="A592" s="1057" t="s">
        <v>9</v>
      </c>
      <c r="B592" s="528" t="s">
        <v>4</v>
      </c>
      <c r="C592" s="541">
        <v>143393</v>
      </c>
      <c r="D592" s="538">
        <v>150516.70000000001</v>
      </c>
      <c r="E592" s="541">
        <v>150516.70000000001</v>
      </c>
      <c r="F592" s="533">
        <v>181998.8</v>
      </c>
      <c r="G592" s="533">
        <v>165453.5</v>
      </c>
      <c r="H592" s="533">
        <v>132132.9</v>
      </c>
      <c r="I592" s="533">
        <v>170968.6</v>
      </c>
      <c r="J592" s="537">
        <v>165453.5</v>
      </c>
      <c r="K592" s="537">
        <v>121382.6</v>
      </c>
      <c r="L592" s="538">
        <v>83196.100000000006</v>
      </c>
      <c r="M592" s="541">
        <v>193029.1</v>
      </c>
      <c r="N592" s="533">
        <v>132132.9</v>
      </c>
      <c r="O592" s="533">
        <v>82726.600000000006</v>
      </c>
      <c r="P592" s="533">
        <v>275755</v>
      </c>
      <c r="Q592" s="537">
        <v>82726.600000000006</v>
      </c>
      <c r="R592" s="537">
        <v>188981.6</v>
      </c>
      <c r="S592" s="538">
        <v>83196.100000000006</v>
      </c>
      <c r="T592" s="544">
        <v>55151</v>
      </c>
      <c r="U592" s="538">
        <v>33090.5</v>
      </c>
      <c r="V592" s="538">
        <v>100325</v>
      </c>
      <c r="W592" s="534"/>
      <c r="X592" s="534"/>
      <c r="Y592" s="534"/>
      <c r="Z592" s="534"/>
      <c r="AA592" s="673" t="s">
        <v>194</v>
      </c>
      <c r="AB592" s="524" t="s">
        <v>4</v>
      </c>
      <c r="AC592" s="544">
        <v>143393</v>
      </c>
      <c r="AD592" s="544"/>
      <c r="AE592" s="544"/>
      <c r="AF592" s="544"/>
      <c r="AG592" s="544"/>
      <c r="AH592" s="544"/>
      <c r="AI592" s="544"/>
      <c r="AJ592" s="541">
        <v>132132</v>
      </c>
      <c r="AK592" s="538">
        <v>83196.100000000006</v>
      </c>
      <c r="AL592" s="552">
        <v>132132.20000000001</v>
      </c>
      <c r="AM592" s="551">
        <v>83196.100000000006</v>
      </c>
      <c r="AN592" s="778"/>
      <c r="AO592" s="778"/>
    </row>
    <row r="593" spans="1:41" s="591" customFormat="1" x14ac:dyDescent="0.25">
      <c r="A593" s="1058"/>
      <c r="B593" s="624" t="s">
        <v>5</v>
      </c>
      <c r="C593" s="625">
        <v>52925.3</v>
      </c>
      <c r="D593" s="626">
        <v>82716.600000000006</v>
      </c>
      <c r="E593" s="625">
        <v>84058.6</v>
      </c>
      <c r="F593" s="627">
        <v>156493</v>
      </c>
      <c r="G593" s="627">
        <v>112616.7</v>
      </c>
      <c r="H593" s="627">
        <v>66853.2</v>
      </c>
      <c r="I593" s="627">
        <v>116632.3</v>
      </c>
      <c r="J593" s="628">
        <v>36174</v>
      </c>
      <c r="K593" s="628">
        <v>61089.7</v>
      </c>
      <c r="L593" s="626">
        <v>4462.6000000000004</v>
      </c>
      <c r="M593" s="625">
        <v>172481.5</v>
      </c>
      <c r="N593" s="627">
        <v>66536.100000000006</v>
      </c>
      <c r="O593" s="627">
        <v>58664.1</v>
      </c>
      <c r="P593" s="627">
        <v>214644.6</v>
      </c>
      <c r="Q593" s="628">
        <v>19066.900000000001</v>
      </c>
      <c r="R593" s="628">
        <v>100661.8</v>
      </c>
      <c r="S593" s="626">
        <v>50659.9</v>
      </c>
      <c r="T593" s="629">
        <v>14096.1</v>
      </c>
      <c r="U593" s="626">
        <v>7319.5</v>
      </c>
      <c r="V593" s="626">
        <v>3.1</v>
      </c>
      <c r="W593" s="534"/>
      <c r="X593" s="534"/>
      <c r="Y593" s="534"/>
      <c r="Z593" s="534"/>
      <c r="AA593" s="674"/>
      <c r="AB593" s="630" t="s">
        <v>5</v>
      </c>
      <c r="AC593" s="629">
        <v>51964.9</v>
      </c>
      <c r="AD593" s="936"/>
      <c r="AE593" s="936"/>
      <c r="AF593" s="936"/>
      <c r="AG593" s="936"/>
      <c r="AH593" s="936"/>
      <c r="AI593" s="936"/>
      <c r="AJ593" s="625">
        <v>58542</v>
      </c>
      <c r="AK593" s="626">
        <v>2519</v>
      </c>
      <c r="AL593" s="631">
        <v>70731</v>
      </c>
      <c r="AM593" s="632">
        <v>31444.9</v>
      </c>
      <c r="AN593" s="779"/>
      <c r="AO593" s="779"/>
    </row>
    <row r="594" spans="1:41" s="591" customFormat="1" ht="15.75" thickBot="1" x14ac:dyDescent="0.3">
      <c r="A594" s="1059"/>
      <c r="B594" s="504" t="s">
        <v>3</v>
      </c>
      <c r="C594" s="542">
        <f t="shared" ref="C594:D594" si="121">C593/C592</f>
        <v>0.36909263353162292</v>
      </c>
      <c r="D594" s="633">
        <f t="shared" si="121"/>
        <v>0.54955098005736236</v>
      </c>
      <c r="E594" s="542">
        <v>0.55846693423387572</v>
      </c>
      <c r="F594" s="519">
        <v>0.85985731774055663</v>
      </c>
      <c r="G594" s="498">
        <v>0.68065468545543006</v>
      </c>
      <c r="H594" s="498">
        <v>0.50595423244324467</v>
      </c>
      <c r="I594" s="498">
        <v>0.68218550072937367</v>
      </c>
      <c r="J594" s="506">
        <v>0.21863544742178315</v>
      </c>
      <c r="K594" s="506">
        <v>0.5032821837726329</v>
      </c>
      <c r="L594" s="514">
        <v>5.3639533583905975E-2</v>
      </c>
      <c r="M594" s="547">
        <f>M593/M592</f>
        <v>0.89355180125690892</v>
      </c>
      <c r="N594" s="498">
        <f>N593/N592</f>
        <v>0.50355437593513808</v>
      </c>
      <c r="O594" s="506">
        <f>O593/O592</f>
        <v>0.70913225008642922</v>
      </c>
      <c r="P594" s="498">
        <f>P593/P592</f>
        <v>0.77838878714801185</v>
      </c>
      <c r="Q594" s="506">
        <f>Q593/Q592</f>
        <v>0.23048088522917659</v>
      </c>
      <c r="R594" s="506">
        <f t="shared" ref="R594:S594" si="122">R593/R592</f>
        <v>0.53265397266188874</v>
      </c>
      <c r="S594" s="514">
        <f t="shared" si="122"/>
        <v>0.60892157204484343</v>
      </c>
      <c r="T594" s="545">
        <f>T593/T592</f>
        <v>0.25559101376221649</v>
      </c>
      <c r="U594" s="514">
        <f>U593/U592</f>
        <v>0.22119641588975689</v>
      </c>
      <c r="V594" s="514">
        <f>V593/V592</f>
        <v>3.089957637677548E-5</v>
      </c>
      <c r="W594" s="534"/>
      <c r="X594" s="534"/>
      <c r="Y594" s="534"/>
      <c r="Z594" s="534"/>
      <c r="AA594" s="675"/>
      <c r="AB594" s="634" t="s">
        <v>3</v>
      </c>
      <c r="AC594" s="635">
        <f>AC593/AC592</f>
        <v>0.36239495651810061</v>
      </c>
      <c r="AD594" s="635"/>
      <c r="AE594" s="635"/>
      <c r="AF594" s="635"/>
      <c r="AG594" s="635"/>
      <c r="AH594" s="635"/>
      <c r="AI594" s="635"/>
      <c r="AJ594" s="542">
        <f>AJ593/AJ592</f>
        <v>0.44305694305694304</v>
      </c>
      <c r="AK594" s="514">
        <f>AK593/AK592</f>
        <v>3.0277861582453984E-2</v>
      </c>
      <c r="AL594" s="636">
        <f>AL593/AL592</f>
        <v>0.53530479322981073</v>
      </c>
      <c r="AM594" s="633">
        <f>AM593/AM592</f>
        <v>0.37796122654787906</v>
      </c>
      <c r="AN594" s="780"/>
      <c r="AO594" s="780"/>
    </row>
    <row r="595" spans="1:41" s="591" customFormat="1" x14ac:dyDescent="0.25">
      <c r="A595" s="1060" t="s">
        <v>6</v>
      </c>
      <c r="B595" s="553" t="s">
        <v>7</v>
      </c>
      <c r="C595" s="554">
        <v>5870</v>
      </c>
      <c r="D595" s="555">
        <v>3333</v>
      </c>
      <c r="E595" s="554">
        <v>3330</v>
      </c>
      <c r="F595" s="556">
        <v>9457</v>
      </c>
      <c r="G595" s="556">
        <v>8135</v>
      </c>
      <c r="H595" s="556">
        <v>15703</v>
      </c>
      <c r="I595" s="556">
        <v>8197</v>
      </c>
      <c r="J595" s="557">
        <v>9599</v>
      </c>
      <c r="K595" s="557">
        <v>6153</v>
      </c>
      <c r="L595" s="555">
        <v>8399</v>
      </c>
      <c r="M595" s="554">
        <v>9092</v>
      </c>
      <c r="N595" s="556">
        <v>11924</v>
      </c>
      <c r="O595" s="556">
        <v>4265</v>
      </c>
      <c r="P595" s="556">
        <v>10852</v>
      </c>
      <c r="Q595" s="557">
        <v>4799</v>
      </c>
      <c r="R595" s="557">
        <v>9272</v>
      </c>
      <c r="S595" s="555">
        <v>11205</v>
      </c>
      <c r="T595" s="558">
        <v>2480</v>
      </c>
      <c r="U595" s="555">
        <v>1570</v>
      </c>
      <c r="V595" s="555">
        <v>3999</v>
      </c>
      <c r="W595" s="559" t="s">
        <v>197</v>
      </c>
      <c r="X595" s="561"/>
      <c r="Y595" s="561"/>
      <c r="Z595" s="561"/>
      <c r="AA595" s="562" t="s">
        <v>190</v>
      </c>
      <c r="AB595" s="553" t="s">
        <v>4</v>
      </c>
      <c r="AC595" s="564">
        <v>9191.7999999999993</v>
      </c>
      <c r="AD595" s="564"/>
      <c r="AE595" s="564"/>
      <c r="AF595" s="564"/>
      <c r="AG595" s="564"/>
      <c r="AH595" s="564"/>
      <c r="AI595" s="564"/>
      <c r="AJ595" s="565">
        <v>13787.7</v>
      </c>
      <c r="AK595" s="566">
        <v>8804.7999999999993</v>
      </c>
      <c r="AL595" s="567">
        <v>13787.7</v>
      </c>
      <c r="AM595" s="568">
        <v>8804.7999999999993</v>
      </c>
      <c r="AN595" s="781"/>
      <c r="AO595" s="781"/>
    </row>
    <row r="596" spans="1:41" s="591" customFormat="1" x14ac:dyDescent="0.25">
      <c r="A596" s="1061"/>
      <c r="B596" s="637" t="s">
        <v>11</v>
      </c>
      <c r="C596" s="638">
        <v>197918.78999999998</v>
      </c>
      <c r="D596" s="639">
        <v>112378.761</v>
      </c>
      <c r="E596" s="638">
        <v>112277.61</v>
      </c>
      <c r="F596" s="640">
        <v>318861.66899999999</v>
      </c>
      <c r="G596" s="641">
        <v>274287.79499999998</v>
      </c>
      <c r="H596" s="642">
        <v>529458.05099999998</v>
      </c>
      <c r="I596" s="642">
        <v>276378.24900000001</v>
      </c>
      <c r="J596" s="640">
        <v>323649.48300000001</v>
      </c>
      <c r="K596" s="643">
        <v>207460.701</v>
      </c>
      <c r="L596" s="639">
        <v>283189.08299999998</v>
      </c>
      <c r="M596" s="644">
        <f>M595*33.717</f>
        <v>306554.96399999998</v>
      </c>
      <c r="N596" s="641">
        <f>N595*33.717</f>
        <v>402041.50799999997</v>
      </c>
      <c r="O596" s="641">
        <f>O595*33.717</f>
        <v>143803.005</v>
      </c>
      <c r="P596" s="642">
        <f>P595*33.717</f>
        <v>365896.88399999996</v>
      </c>
      <c r="Q596" s="640">
        <f>Q595*33.717</f>
        <v>161807.883</v>
      </c>
      <c r="R596" s="643">
        <f t="shared" ref="R596:S596" si="123">R595*33.717</f>
        <v>312624.02399999998</v>
      </c>
      <c r="S596" s="639">
        <f t="shared" si="123"/>
        <v>377798.98499999999</v>
      </c>
      <c r="T596" s="638">
        <f>T595*33.717</f>
        <v>83618.16</v>
      </c>
      <c r="U596" s="642">
        <f>U595*33.717</f>
        <v>52935.689999999995</v>
      </c>
      <c r="V596" s="642">
        <f>V595*33.717</f>
        <v>134834.283</v>
      </c>
      <c r="W596" s="534"/>
      <c r="X596" s="534"/>
      <c r="Y596" s="534"/>
      <c r="Z596" s="534"/>
      <c r="AA596" s="674"/>
      <c r="AB596" s="624" t="s">
        <v>5</v>
      </c>
      <c r="AC596" s="629">
        <v>7975.5</v>
      </c>
      <c r="AD596" s="936"/>
      <c r="AE596" s="936"/>
      <c r="AF596" s="936"/>
      <c r="AG596" s="936"/>
      <c r="AH596" s="936"/>
      <c r="AI596" s="936"/>
      <c r="AJ596" s="625">
        <v>13649</v>
      </c>
      <c r="AK596" s="626">
        <v>1289.9000000000001</v>
      </c>
      <c r="AL596" s="631">
        <v>13642</v>
      </c>
      <c r="AM596" s="632">
        <v>5483.9</v>
      </c>
      <c r="AN596" s="779"/>
      <c r="AO596" s="779"/>
    </row>
    <row r="597" spans="1:41" s="591" customFormat="1" ht="15.75" thickBot="1" x14ac:dyDescent="0.3">
      <c r="A597" s="1061"/>
      <c r="B597" s="637" t="s">
        <v>79</v>
      </c>
      <c r="C597" s="638">
        <v>164000</v>
      </c>
      <c r="D597" s="639">
        <v>109880</v>
      </c>
      <c r="E597" s="638">
        <v>109880</v>
      </c>
      <c r="F597" s="641">
        <v>328000</v>
      </c>
      <c r="G597" s="641">
        <v>330905</v>
      </c>
      <c r="H597" s="641">
        <v>264264</v>
      </c>
      <c r="I597" s="641">
        <v>242663.6</v>
      </c>
      <c r="J597" s="643">
        <v>328000</v>
      </c>
      <c r="K597" s="643">
        <v>328000</v>
      </c>
      <c r="L597" s="639">
        <v>328000</v>
      </c>
      <c r="M597" s="638">
        <v>328000</v>
      </c>
      <c r="N597" s="641">
        <v>264264.40000000002</v>
      </c>
      <c r="O597" s="641">
        <v>328000</v>
      </c>
      <c r="P597" s="641">
        <v>352965.4</v>
      </c>
      <c r="Q597" s="643">
        <v>328000</v>
      </c>
      <c r="R597" s="643">
        <v>328000</v>
      </c>
      <c r="S597" s="639">
        <v>328000</v>
      </c>
      <c r="T597" s="644">
        <f>2*T592</f>
        <v>110302</v>
      </c>
      <c r="U597" s="639">
        <f>2*U592</f>
        <v>66181</v>
      </c>
      <c r="V597" s="639">
        <f>2*V592</f>
        <v>200650</v>
      </c>
      <c r="W597" s="534"/>
      <c r="X597" s="534"/>
      <c r="Y597" s="534"/>
      <c r="Z597" s="534"/>
      <c r="AA597" s="675"/>
      <c r="AB597" s="645" t="s">
        <v>3</v>
      </c>
      <c r="AC597" s="635">
        <f>AC596/AC595</f>
        <v>0.86767553689157739</v>
      </c>
      <c r="AD597" s="635"/>
      <c r="AE597" s="635"/>
      <c r="AF597" s="635"/>
      <c r="AG597" s="635"/>
      <c r="AH597" s="635"/>
      <c r="AI597" s="635"/>
      <c r="AJ597" s="646">
        <f>AJ596/AJ595</f>
        <v>0.98994030911609621</v>
      </c>
      <c r="AK597" s="647">
        <f>AK596/AK595</f>
        <v>0.14649963656187537</v>
      </c>
      <c r="AL597" s="648">
        <f>AL596/AL595</f>
        <v>0.98943261022505558</v>
      </c>
      <c r="AM597" s="649">
        <f>AM596/AM595</f>
        <v>0.62283072869343992</v>
      </c>
      <c r="AN597" s="780"/>
      <c r="AO597" s="780"/>
    </row>
    <row r="598" spans="1:41" s="591" customFormat="1" x14ac:dyDescent="0.25">
      <c r="A598" s="1061"/>
      <c r="B598" s="624" t="s">
        <v>8</v>
      </c>
      <c r="C598" s="650">
        <v>5576</v>
      </c>
      <c r="D598" s="651">
        <v>2550</v>
      </c>
      <c r="E598" s="650">
        <v>2580</v>
      </c>
      <c r="F598" s="652">
        <v>8293</v>
      </c>
      <c r="G598" s="652">
        <v>3618</v>
      </c>
      <c r="H598" s="652">
        <v>13662</v>
      </c>
      <c r="I598" s="652">
        <v>6637</v>
      </c>
      <c r="J598" s="653">
        <v>1242</v>
      </c>
      <c r="K598" s="653">
        <v>3608</v>
      </c>
      <c r="L598" s="651">
        <v>2994</v>
      </c>
      <c r="M598" s="650">
        <f>SUM(M595-815)</f>
        <v>8277</v>
      </c>
      <c r="N598" s="652">
        <f>SUM(N595-1052)</f>
        <v>10872</v>
      </c>
      <c r="O598" s="653">
        <f>SUM(O595-543)</f>
        <v>3722</v>
      </c>
      <c r="P598" s="652">
        <f>SUM(P595-(5334-2614))</f>
        <v>8132</v>
      </c>
      <c r="Q598" s="653">
        <f>SUM(Q595-3098)</f>
        <v>1701</v>
      </c>
      <c r="R598" s="653">
        <f>SUM(R595-5259)</f>
        <v>4013</v>
      </c>
      <c r="S598" s="651">
        <f>SUM(S595-4367)</f>
        <v>6838</v>
      </c>
      <c r="T598" s="654">
        <f>SUM(T595-791)</f>
        <v>1689</v>
      </c>
      <c r="U598" s="651">
        <f>SUM(U595-483)</f>
        <v>1087</v>
      </c>
      <c r="V598" s="651">
        <f>SUM(V595-3933)</f>
        <v>66</v>
      </c>
      <c r="W598" s="526"/>
      <c r="X598" s="534"/>
      <c r="Y598" s="534"/>
      <c r="Z598" s="534"/>
      <c r="AA598" s="673" t="s">
        <v>191</v>
      </c>
      <c r="AB598" s="528" t="s">
        <v>4</v>
      </c>
      <c r="AC598" s="544">
        <v>97433.600000000006</v>
      </c>
      <c r="AD598" s="544"/>
      <c r="AE598" s="544"/>
      <c r="AF598" s="544"/>
      <c r="AG598" s="544"/>
      <c r="AH598" s="544"/>
      <c r="AI598" s="544"/>
      <c r="AJ598" s="541">
        <v>243584.4</v>
      </c>
      <c r="AK598" s="538">
        <v>132070.29999999999</v>
      </c>
      <c r="AL598" s="552">
        <v>292299.3</v>
      </c>
      <c r="AM598" s="551">
        <v>132070.39999999999</v>
      </c>
      <c r="AN598" s="778"/>
      <c r="AO598" s="778"/>
    </row>
    <row r="599" spans="1:41" s="591" customFormat="1" x14ac:dyDescent="0.25">
      <c r="A599" s="1061"/>
      <c r="B599" s="655" t="s">
        <v>77</v>
      </c>
      <c r="C599" s="660">
        <f t="shared" ref="C599:N599" si="124">C598*33.717</f>
        <v>188005.992</v>
      </c>
      <c r="D599" s="660">
        <f t="shared" si="124"/>
        <v>85978.349999999991</v>
      </c>
      <c r="E599" s="660">
        <f t="shared" si="124"/>
        <v>86989.86</v>
      </c>
      <c r="F599" s="660">
        <f t="shared" si="124"/>
        <v>279615.08100000001</v>
      </c>
      <c r="G599" s="660">
        <f t="shared" si="124"/>
        <v>121988.106</v>
      </c>
      <c r="H599" s="660">
        <f t="shared" si="124"/>
        <v>460641.65399999998</v>
      </c>
      <c r="I599" s="660">
        <f t="shared" si="124"/>
        <v>223779.72899999999</v>
      </c>
      <c r="J599" s="660">
        <f t="shared" si="124"/>
        <v>41876.513999999996</v>
      </c>
      <c r="K599" s="660">
        <f t="shared" si="124"/>
        <v>121650.936</v>
      </c>
      <c r="L599" s="660">
        <f t="shared" si="124"/>
        <v>100948.69799999999</v>
      </c>
      <c r="M599" s="660">
        <f t="shared" si="124"/>
        <v>279075.609</v>
      </c>
      <c r="N599" s="657">
        <f t="shared" si="124"/>
        <v>366571.22399999999</v>
      </c>
      <c r="O599" s="657">
        <f>(O598*33.717)</f>
        <v>125494.674</v>
      </c>
      <c r="P599" s="657">
        <f>P598*33.717-(2614*33.717)</f>
        <v>186050.40599999996</v>
      </c>
      <c r="Q599" s="658">
        <f t="shared" ref="Q599:V599" si="125">Q598*33.717</f>
        <v>57352.616999999998</v>
      </c>
      <c r="R599" s="658">
        <f t="shared" si="125"/>
        <v>135306.321</v>
      </c>
      <c r="S599" s="659">
        <f t="shared" si="125"/>
        <v>230556.84599999999</v>
      </c>
      <c r="T599" s="661">
        <f t="shared" si="125"/>
        <v>56948.012999999999</v>
      </c>
      <c r="U599" s="662">
        <f t="shared" si="125"/>
        <v>36650.379000000001</v>
      </c>
      <c r="V599" s="662">
        <f t="shared" si="125"/>
        <v>2225.3220000000001</v>
      </c>
      <c r="W599" s="532">
        <f>344240-H599</f>
        <v>-116401.65399999998</v>
      </c>
      <c r="X599" s="534"/>
      <c r="Y599" s="534"/>
      <c r="Z599" s="534"/>
      <c r="AA599" s="674"/>
      <c r="AB599" s="624" t="s">
        <v>5</v>
      </c>
      <c r="AC599" s="629">
        <v>38973.199999999997</v>
      </c>
      <c r="AD599" s="936"/>
      <c r="AE599" s="936"/>
      <c r="AF599" s="936"/>
      <c r="AG599" s="936"/>
      <c r="AH599" s="936"/>
      <c r="AI599" s="936"/>
      <c r="AJ599" s="625">
        <v>124350.5</v>
      </c>
      <c r="AK599" s="626">
        <v>3817.1</v>
      </c>
      <c r="AL599" s="631">
        <v>109009</v>
      </c>
      <c r="AM599" s="632">
        <v>33401</v>
      </c>
      <c r="AN599" s="779"/>
      <c r="AO599" s="779"/>
    </row>
    <row r="600" spans="1:41" s="591" customFormat="1" ht="15.75" thickBot="1" x14ac:dyDescent="0.3">
      <c r="A600" s="1062"/>
      <c r="B600" s="504" t="s">
        <v>217</v>
      </c>
      <c r="C600" s="542">
        <f t="shared" ref="C600:E600" si="126">C599/C592</f>
        <v>1.311123918182896</v>
      </c>
      <c r="D600" s="514">
        <f t="shared" si="126"/>
        <v>0.57122133291521793</v>
      </c>
      <c r="E600" s="543">
        <f t="shared" si="126"/>
        <v>0.57794158389069117</v>
      </c>
      <c r="F600" s="501">
        <v>1.5363567287256841</v>
      </c>
      <c r="G600" s="501">
        <v>0.73729540928417958</v>
      </c>
      <c r="H600" s="501">
        <v>3.4861995309268168</v>
      </c>
      <c r="I600" s="501">
        <v>0.91447042907294085</v>
      </c>
      <c r="J600" s="520">
        <v>0.25310140915725565</v>
      </c>
      <c r="K600" s="520">
        <v>1.0022106628132863</v>
      </c>
      <c r="L600" s="515">
        <v>1.2133825744235605</v>
      </c>
      <c r="M600" s="543">
        <f t="shared" ref="M600:V600" si="127">M599/M592</f>
        <v>1.4457696223004717</v>
      </c>
      <c r="N600" s="501">
        <f t="shared" si="127"/>
        <v>2.7742615503027634</v>
      </c>
      <c r="O600" s="501">
        <f t="shared" si="127"/>
        <v>1.5169809227020086</v>
      </c>
      <c r="P600" s="663">
        <f t="shared" si="127"/>
        <v>0.674694587586807</v>
      </c>
      <c r="Q600" s="520">
        <f t="shared" si="127"/>
        <v>0.6932790299613425</v>
      </c>
      <c r="R600" s="520">
        <f t="shared" si="127"/>
        <v>0.71597616381700646</v>
      </c>
      <c r="S600" s="515">
        <f t="shared" si="127"/>
        <v>2.7712458396487332</v>
      </c>
      <c r="T600" s="542">
        <f t="shared" si="127"/>
        <v>1.0325835070986926</v>
      </c>
      <c r="U600" s="514">
        <f t="shared" si="127"/>
        <v>1.107580090962663</v>
      </c>
      <c r="V600" s="514">
        <f t="shared" si="127"/>
        <v>2.2181131323199602E-2</v>
      </c>
      <c r="W600" s="534"/>
      <c r="X600" s="534"/>
      <c r="Y600" s="534"/>
      <c r="Z600" s="534"/>
      <c r="AA600" s="675"/>
      <c r="AB600" s="504" t="s">
        <v>3</v>
      </c>
      <c r="AC600" s="545">
        <f>AC599/AC598</f>
        <v>0.39999753678402516</v>
      </c>
      <c r="AD600" s="545"/>
      <c r="AE600" s="545"/>
      <c r="AF600" s="545"/>
      <c r="AG600" s="545"/>
      <c r="AH600" s="545"/>
      <c r="AI600" s="545"/>
      <c r="AJ600" s="542">
        <f>AJ599/AJ598</f>
        <v>0.51050272513346506</v>
      </c>
      <c r="AK600" s="514">
        <f>AK599/AK598</f>
        <v>2.8902031720984961E-2</v>
      </c>
      <c r="AL600" s="636">
        <f>AL599/AL598</f>
        <v>0.37293623351133581</v>
      </c>
      <c r="AM600" s="633">
        <f>AM599/AM598</f>
        <v>0.25290299718937781</v>
      </c>
      <c r="AN600" s="780"/>
      <c r="AO600" s="780"/>
    </row>
    <row r="601" spans="1:41" s="591" customFormat="1" ht="15.75" thickBot="1" x14ac:dyDescent="0.3">
      <c r="A601" s="612"/>
      <c r="B601" s="504" t="s">
        <v>218</v>
      </c>
      <c r="C601" s="650">
        <v>169949</v>
      </c>
      <c r="D601" s="650">
        <v>96362.6</v>
      </c>
      <c r="E601" s="650">
        <v>97374.1</v>
      </c>
      <c r="F601" s="650">
        <v>262762</v>
      </c>
      <c r="G601" s="650">
        <v>119700</v>
      </c>
      <c r="H601" s="650">
        <v>445574</v>
      </c>
      <c r="I601" s="650">
        <v>169530</v>
      </c>
      <c r="J601" s="650">
        <v>40733</v>
      </c>
      <c r="K601" s="650">
        <v>120180</v>
      </c>
      <c r="L601" s="650">
        <v>95846.3</v>
      </c>
      <c r="M601" s="650">
        <v>277512</v>
      </c>
      <c r="N601" s="650">
        <v>369005</v>
      </c>
      <c r="O601" s="650">
        <v>126591</v>
      </c>
      <c r="P601" s="650">
        <v>165752</v>
      </c>
      <c r="Q601" s="650">
        <v>55844.5</v>
      </c>
      <c r="R601" s="650">
        <v>119115</v>
      </c>
      <c r="S601" s="650">
        <v>218748</v>
      </c>
      <c r="T601" s="650">
        <v>56947.7</v>
      </c>
      <c r="U601" s="650">
        <v>36650.300000000003</v>
      </c>
      <c r="V601" s="650">
        <v>0</v>
      </c>
      <c r="W601" s="534"/>
      <c r="X601" s="534"/>
      <c r="Y601" s="534"/>
      <c r="Z601" s="534"/>
      <c r="AA601" s="675" t="s">
        <v>219</v>
      </c>
      <c r="AB601" s="504" t="s">
        <v>3</v>
      </c>
      <c r="AC601" s="545">
        <f>(AC594+AC600)/2</f>
        <v>0.38119624665106289</v>
      </c>
      <c r="AD601" s="545"/>
      <c r="AE601" s="545"/>
      <c r="AF601" s="545"/>
      <c r="AG601" s="545"/>
      <c r="AH601" s="545"/>
      <c r="AI601" s="545"/>
      <c r="AJ601" s="545">
        <f t="shared" ref="AJ601:AM601" si="128">(AJ594+AJ600)/2</f>
        <v>0.47677983409520408</v>
      </c>
      <c r="AK601" s="545">
        <f t="shared" si="128"/>
        <v>2.9589946651719472E-2</v>
      </c>
      <c r="AL601" s="545">
        <f t="shared" si="128"/>
        <v>0.45412051337057324</v>
      </c>
      <c r="AM601" s="545">
        <f t="shared" si="128"/>
        <v>0.31543211186862841</v>
      </c>
      <c r="AN601" s="780"/>
      <c r="AO601" s="780"/>
    </row>
    <row r="602" spans="1:41" s="591" customFormat="1" ht="15.75" thickBot="1" x14ac:dyDescent="0.3">
      <c r="A602" s="612"/>
      <c r="B602" s="504" t="s">
        <v>216</v>
      </c>
      <c r="C602" s="543">
        <f t="shared" ref="C602:D602" si="129">C601/C592</f>
        <v>1.1851973248345455</v>
      </c>
      <c r="D602" s="543">
        <f t="shared" si="129"/>
        <v>0.64021201634104385</v>
      </c>
      <c r="E602" s="543">
        <f>E601/E592</f>
        <v>0.64693220087870651</v>
      </c>
      <c r="F602" s="543">
        <v>1.4437567720226727</v>
      </c>
      <c r="G602" s="543">
        <v>0.72346610981333126</v>
      </c>
      <c r="H602" s="543">
        <v>3.372165448574882</v>
      </c>
      <c r="I602" s="543">
        <v>0.9915855894006268</v>
      </c>
      <c r="J602" s="543">
        <v>0.24619001713472366</v>
      </c>
      <c r="K602" s="543">
        <v>0.99009248442527997</v>
      </c>
      <c r="L602" s="543">
        <v>1.1520528005519488</v>
      </c>
      <c r="M602" s="543">
        <f t="shared" ref="M602:V602" si="130">M601/M592</f>
        <v>1.4376692426167867</v>
      </c>
      <c r="N602" s="543">
        <f t="shared" si="130"/>
        <v>2.7926807025350993</v>
      </c>
      <c r="O602" s="543">
        <f t="shared" si="130"/>
        <v>1.5302333227764708</v>
      </c>
      <c r="P602" s="543">
        <f t="shared" si="130"/>
        <v>0.60108429584232381</v>
      </c>
      <c r="Q602" s="543">
        <f t="shared" si="130"/>
        <v>0.67504889600201134</v>
      </c>
      <c r="R602" s="543">
        <f t="shared" si="130"/>
        <v>0.63029945772498486</v>
      </c>
      <c r="S602" s="543">
        <f t="shared" si="130"/>
        <v>2.6293059410236777</v>
      </c>
      <c r="T602" s="543">
        <f t="shared" si="130"/>
        <v>1.032577831770956</v>
      </c>
      <c r="U602" s="543">
        <f t="shared" si="130"/>
        <v>1.1075777035705112</v>
      </c>
      <c r="V602" s="543">
        <f t="shared" si="130"/>
        <v>0</v>
      </c>
      <c r="W602" s="534"/>
      <c r="X602" s="534"/>
      <c r="Y602" s="534"/>
      <c r="Z602" s="534"/>
      <c r="AA602" s="675"/>
      <c r="AB602" s="504"/>
      <c r="AC602" s="545"/>
      <c r="AD602" s="545"/>
      <c r="AE602" s="545"/>
      <c r="AF602" s="545"/>
      <c r="AG602" s="545"/>
      <c r="AH602" s="545"/>
      <c r="AI602" s="545"/>
      <c r="AJ602" s="542"/>
      <c r="AK602" s="514"/>
      <c r="AL602" s="636"/>
      <c r="AM602" s="633"/>
      <c r="AN602" s="780"/>
      <c r="AO602" s="780"/>
    </row>
    <row r="603" spans="1:41" s="591" customFormat="1" ht="15.75" thickBot="1" x14ac:dyDescent="0.3">
      <c r="A603" s="1048">
        <v>41684</v>
      </c>
      <c r="B603" s="1048"/>
      <c r="C603" s="1048"/>
      <c r="D603" s="529"/>
      <c r="E603" s="529"/>
      <c r="F603" s="529"/>
      <c r="G603" s="529"/>
      <c r="H603" s="529"/>
      <c r="I603" s="525"/>
      <c r="J603" s="531"/>
      <c r="K603" s="531"/>
      <c r="L603" s="529"/>
      <c r="M603" s="529"/>
      <c r="N603" s="527"/>
      <c r="R603" s="526"/>
      <c r="S603" s="534"/>
      <c r="T603" s="534"/>
      <c r="U603" s="534"/>
      <c r="V603" s="534"/>
      <c r="W603" s="534"/>
      <c r="X603" s="534"/>
      <c r="Y603" s="534"/>
      <c r="Z603" s="534"/>
      <c r="AA603" s="1063"/>
      <c r="AB603" s="1064"/>
      <c r="AD603" s="743"/>
      <c r="AE603" s="743"/>
      <c r="AF603" s="743"/>
      <c r="AG603" s="743"/>
      <c r="AH603" s="743"/>
      <c r="AI603" s="743"/>
      <c r="AN603" s="743"/>
      <c r="AO603" s="743"/>
    </row>
    <row r="604" spans="1:41" s="591" customFormat="1" x14ac:dyDescent="0.25">
      <c r="A604" s="1049" t="s">
        <v>1</v>
      </c>
      <c r="B604" s="1050"/>
      <c r="C604" s="540" t="s">
        <v>12</v>
      </c>
      <c r="D604" s="539" t="s">
        <v>12</v>
      </c>
      <c r="E604" s="540" t="s">
        <v>13</v>
      </c>
      <c r="F604" s="530" t="s">
        <v>13</v>
      </c>
      <c r="G604" s="530" t="s">
        <v>13</v>
      </c>
      <c r="H604" s="530" t="s">
        <v>13</v>
      </c>
      <c r="I604" s="530" t="s">
        <v>13</v>
      </c>
      <c r="J604" s="536" t="s">
        <v>13</v>
      </c>
      <c r="K604" s="536" t="s">
        <v>13</v>
      </c>
      <c r="L604" s="539" t="s">
        <v>13</v>
      </c>
      <c r="M604" s="676" t="s">
        <v>2</v>
      </c>
      <c r="N604" s="530" t="s">
        <v>2</v>
      </c>
      <c r="O604" s="536" t="s">
        <v>2</v>
      </c>
      <c r="P604" s="530" t="s">
        <v>2</v>
      </c>
      <c r="Q604" s="536" t="s">
        <v>2</v>
      </c>
      <c r="R604" s="536" t="s">
        <v>2</v>
      </c>
      <c r="S604" s="539" t="s">
        <v>2</v>
      </c>
      <c r="T604" s="569" t="s">
        <v>183</v>
      </c>
      <c r="U604" s="570" t="s">
        <v>183</v>
      </c>
      <c r="V604" s="570" t="s">
        <v>2</v>
      </c>
      <c r="W604" s="534"/>
      <c r="X604" s="534"/>
      <c r="Y604" s="534"/>
      <c r="Z604" s="534"/>
      <c r="AA604" s="1049" t="s">
        <v>1</v>
      </c>
      <c r="AB604" s="1051"/>
      <c r="AC604" s="671" t="s">
        <v>12</v>
      </c>
      <c r="AD604" s="912"/>
      <c r="AE604" s="912"/>
      <c r="AF604" s="912"/>
      <c r="AG604" s="912"/>
      <c r="AH604" s="912"/>
      <c r="AI604" s="912"/>
      <c r="AJ604" s="1052" t="s">
        <v>13</v>
      </c>
      <c r="AK604" s="1053"/>
      <c r="AL604" s="1052" t="s">
        <v>2</v>
      </c>
      <c r="AM604" s="1053"/>
      <c r="AN604" s="776"/>
      <c r="AO604" s="776"/>
    </row>
    <row r="605" spans="1:41" s="591" customFormat="1" ht="15.75" thickBot="1" x14ac:dyDescent="0.3">
      <c r="A605" s="1054" t="s">
        <v>0</v>
      </c>
      <c r="B605" s="1055"/>
      <c r="C605" s="617" t="s">
        <v>99</v>
      </c>
      <c r="D605" s="618" t="s">
        <v>100</v>
      </c>
      <c r="E605" s="617" t="s">
        <v>101</v>
      </c>
      <c r="F605" s="619" t="s">
        <v>102</v>
      </c>
      <c r="G605" s="619" t="s">
        <v>97</v>
      </c>
      <c r="H605" s="619" t="s">
        <v>104</v>
      </c>
      <c r="I605" s="619" t="s">
        <v>103</v>
      </c>
      <c r="J605" s="521" t="s">
        <v>178</v>
      </c>
      <c r="K605" s="521" t="s">
        <v>199</v>
      </c>
      <c r="L605" s="517" t="s">
        <v>206</v>
      </c>
      <c r="M605" s="617" t="s">
        <v>105</v>
      </c>
      <c r="N605" s="619" t="s">
        <v>107</v>
      </c>
      <c r="O605" s="620" t="s">
        <v>98</v>
      </c>
      <c r="P605" s="516" t="s">
        <v>106</v>
      </c>
      <c r="Q605" s="620" t="s">
        <v>179</v>
      </c>
      <c r="R605" s="620" t="s">
        <v>198</v>
      </c>
      <c r="S605" s="618" t="s">
        <v>207</v>
      </c>
      <c r="T605" s="621" t="s">
        <v>182</v>
      </c>
      <c r="U605" s="618" t="s">
        <v>184</v>
      </c>
      <c r="V605" s="618" t="s">
        <v>220</v>
      </c>
      <c r="W605" s="526"/>
      <c r="X605" s="526"/>
      <c r="Y605" s="526"/>
      <c r="Z605" s="526"/>
      <c r="AA605" s="1054" t="s">
        <v>0</v>
      </c>
      <c r="AB605" s="1056"/>
      <c r="AC605" s="621" t="s">
        <v>99</v>
      </c>
      <c r="AD605" s="621"/>
      <c r="AE605" s="621"/>
      <c r="AF605" s="621"/>
      <c r="AG605" s="621"/>
      <c r="AH605" s="621"/>
      <c r="AI605" s="621"/>
      <c r="AJ605" s="617" t="s">
        <v>104</v>
      </c>
      <c r="AK605" s="618" t="s">
        <v>206</v>
      </c>
      <c r="AL605" s="622" t="s">
        <v>107</v>
      </c>
      <c r="AM605" s="623" t="s">
        <v>207</v>
      </c>
      <c r="AN605" s="777"/>
      <c r="AO605" s="777"/>
    </row>
    <row r="606" spans="1:41" s="591" customFormat="1" x14ac:dyDescent="0.25">
      <c r="A606" s="1057" t="s">
        <v>9</v>
      </c>
      <c r="B606" s="528" t="s">
        <v>4</v>
      </c>
      <c r="C606" s="541">
        <v>143393</v>
      </c>
      <c r="D606" s="538">
        <v>150516.70000000001</v>
      </c>
      <c r="E606" s="541">
        <v>150516.70000000001</v>
      </c>
      <c r="F606" s="533">
        <v>181998.8</v>
      </c>
      <c r="G606" s="533">
        <v>165453.5</v>
      </c>
      <c r="H606" s="533">
        <v>132132.9</v>
      </c>
      <c r="I606" s="533">
        <v>170968.6</v>
      </c>
      <c r="J606" s="537">
        <v>165453.5</v>
      </c>
      <c r="K606" s="537">
        <v>121382.6</v>
      </c>
      <c r="L606" s="538">
        <v>83196.100000000006</v>
      </c>
      <c r="M606" s="541">
        <v>193029.1</v>
      </c>
      <c r="N606" s="533">
        <v>132132.9</v>
      </c>
      <c r="O606" s="533">
        <v>82726.600000000006</v>
      </c>
      <c r="P606" s="533">
        <v>275755</v>
      </c>
      <c r="Q606" s="537">
        <v>82726.600000000006</v>
      </c>
      <c r="R606" s="537">
        <v>188981.6</v>
      </c>
      <c r="S606" s="538">
        <v>83196.100000000006</v>
      </c>
      <c r="T606" s="544">
        <v>55151</v>
      </c>
      <c r="U606" s="538">
        <v>33090.5</v>
      </c>
      <c r="V606" s="538">
        <v>100325</v>
      </c>
      <c r="W606" s="534"/>
      <c r="X606" s="534"/>
      <c r="Y606" s="534"/>
      <c r="Z606" s="534"/>
      <c r="AA606" s="668" t="s">
        <v>194</v>
      </c>
      <c r="AB606" s="524" t="s">
        <v>4</v>
      </c>
      <c r="AC606" s="544">
        <v>143393</v>
      </c>
      <c r="AD606" s="544"/>
      <c r="AE606" s="544"/>
      <c r="AF606" s="544"/>
      <c r="AG606" s="544"/>
      <c r="AH606" s="544"/>
      <c r="AI606" s="544"/>
      <c r="AJ606" s="541">
        <v>132132</v>
      </c>
      <c r="AK606" s="538">
        <v>83196.100000000006</v>
      </c>
      <c r="AL606" s="552">
        <v>132132.20000000001</v>
      </c>
      <c r="AM606" s="551">
        <v>83196.100000000006</v>
      </c>
      <c r="AN606" s="778"/>
      <c r="AO606" s="778"/>
    </row>
    <row r="607" spans="1:41" s="591" customFormat="1" x14ac:dyDescent="0.25">
      <c r="A607" s="1058"/>
      <c r="B607" s="624" t="s">
        <v>5</v>
      </c>
      <c r="C607" s="625">
        <v>52925.3</v>
      </c>
      <c r="D607" s="626">
        <v>82716.600000000006</v>
      </c>
      <c r="E607" s="625">
        <v>84058.6</v>
      </c>
      <c r="F607" s="627">
        <v>156493</v>
      </c>
      <c r="G607" s="627">
        <v>112616.7</v>
      </c>
      <c r="H607" s="627">
        <v>66853.2</v>
      </c>
      <c r="I607" s="627">
        <v>116632.3</v>
      </c>
      <c r="J607" s="628">
        <v>36174</v>
      </c>
      <c r="K607" s="628">
        <v>61089.7</v>
      </c>
      <c r="L607" s="626">
        <v>4462.6000000000004</v>
      </c>
      <c r="M607" s="625">
        <v>171431.6</v>
      </c>
      <c r="N607" s="627">
        <v>67590.8</v>
      </c>
      <c r="O607" s="627">
        <v>58253.2</v>
      </c>
      <c r="P607" s="627">
        <v>213699.9</v>
      </c>
      <c r="Q607" s="628">
        <v>18785</v>
      </c>
      <c r="R607" s="628">
        <v>100159.5</v>
      </c>
      <c r="S607" s="626">
        <v>46375</v>
      </c>
      <c r="T607" s="629">
        <v>14096.1</v>
      </c>
      <c r="U607" s="626">
        <v>7319.5</v>
      </c>
      <c r="V607" s="626">
        <v>3.1</v>
      </c>
      <c r="W607" s="534"/>
      <c r="X607" s="534"/>
      <c r="Y607" s="534"/>
      <c r="Z607" s="534"/>
      <c r="AA607" s="669"/>
      <c r="AB607" s="630" t="s">
        <v>5</v>
      </c>
      <c r="AC607" s="629">
        <v>51964.9</v>
      </c>
      <c r="AD607" s="936"/>
      <c r="AE607" s="936"/>
      <c r="AF607" s="936"/>
      <c r="AG607" s="936"/>
      <c r="AH607" s="936"/>
      <c r="AI607" s="936"/>
      <c r="AJ607" s="625">
        <v>58542</v>
      </c>
      <c r="AK607" s="626">
        <v>2519</v>
      </c>
      <c r="AL607" s="631">
        <v>70731</v>
      </c>
      <c r="AM607" s="632">
        <v>31444.9</v>
      </c>
      <c r="AN607" s="779"/>
      <c r="AO607" s="779"/>
    </row>
    <row r="608" spans="1:41" s="591" customFormat="1" ht="15.75" thickBot="1" x14ac:dyDescent="0.3">
      <c r="A608" s="1059"/>
      <c r="B608" s="504" t="s">
        <v>3</v>
      </c>
      <c r="C608" s="542">
        <f t="shared" ref="C608:L608" si="131">C607/C606</f>
        <v>0.36909263353162292</v>
      </c>
      <c r="D608" s="633">
        <f t="shared" si="131"/>
        <v>0.54955098005736236</v>
      </c>
      <c r="E608" s="542">
        <f t="shared" si="131"/>
        <v>0.55846693423387572</v>
      </c>
      <c r="F608" s="519">
        <f t="shared" si="131"/>
        <v>0.85985731774055663</v>
      </c>
      <c r="G608" s="498">
        <f t="shared" si="131"/>
        <v>0.68065468545543006</v>
      </c>
      <c r="H608" s="498">
        <f t="shared" si="131"/>
        <v>0.50595423244324467</v>
      </c>
      <c r="I608" s="498">
        <f t="shared" si="131"/>
        <v>0.68218550072937367</v>
      </c>
      <c r="J608" s="506">
        <f t="shared" si="131"/>
        <v>0.21863544742178315</v>
      </c>
      <c r="K608" s="506">
        <f t="shared" si="131"/>
        <v>0.5032821837726329</v>
      </c>
      <c r="L608" s="514">
        <f t="shared" si="131"/>
        <v>5.3639533583905975E-2</v>
      </c>
      <c r="M608" s="547">
        <f>M607/M606</f>
        <v>0.888112724972556</v>
      </c>
      <c r="N608" s="498">
        <f>N607/N606</f>
        <v>0.51153649091180176</v>
      </c>
      <c r="O608" s="506">
        <f>O607/O606</f>
        <v>0.70416528661881417</v>
      </c>
      <c r="P608" s="498">
        <f>P607/P606</f>
        <v>0.77496291998331845</v>
      </c>
      <c r="Q608" s="506">
        <f>Q607/Q606</f>
        <v>0.22707327510135794</v>
      </c>
      <c r="R608" s="506">
        <f t="shared" ref="R608:S608" si="132">R607/R606</f>
        <v>0.52999604194270766</v>
      </c>
      <c r="S608" s="514">
        <f t="shared" si="132"/>
        <v>0.55741795588975918</v>
      </c>
      <c r="T608" s="545">
        <f>T607/T606</f>
        <v>0.25559101376221649</v>
      </c>
      <c r="U608" s="514">
        <f>U607/U606</f>
        <v>0.22119641588975689</v>
      </c>
      <c r="V608" s="514">
        <f>V607/V606</f>
        <v>3.089957637677548E-5</v>
      </c>
      <c r="W608" s="534"/>
      <c r="X608" s="534"/>
      <c r="Y608" s="534"/>
      <c r="Z608" s="534"/>
      <c r="AA608" s="670"/>
      <c r="AB608" s="634" t="s">
        <v>3</v>
      </c>
      <c r="AC608" s="635">
        <f>AC607/AC606</f>
        <v>0.36239495651810061</v>
      </c>
      <c r="AD608" s="635"/>
      <c r="AE608" s="635"/>
      <c r="AF608" s="635"/>
      <c r="AG608" s="635"/>
      <c r="AH608" s="635"/>
      <c r="AI608" s="635"/>
      <c r="AJ608" s="542">
        <f>AJ607/AJ606</f>
        <v>0.44305694305694304</v>
      </c>
      <c r="AK608" s="514">
        <f>AK607/AK606</f>
        <v>3.0277861582453984E-2</v>
      </c>
      <c r="AL608" s="636">
        <f>AL607/AL606</f>
        <v>0.53530479322981073</v>
      </c>
      <c r="AM608" s="633">
        <f>AM607/AM606</f>
        <v>0.37796122654787906</v>
      </c>
      <c r="AN608" s="780"/>
      <c r="AO608" s="780"/>
    </row>
    <row r="609" spans="1:41" s="591" customFormat="1" x14ac:dyDescent="0.25">
      <c r="A609" s="1060" t="s">
        <v>6</v>
      </c>
      <c r="B609" s="553" t="s">
        <v>7</v>
      </c>
      <c r="C609" s="554">
        <v>5870</v>
      </c>
      <c r="D609" s="555">
        <v>3333</v>
      </c>
      <c r="E609" s="554">
        <v>3330</v>
      </c>
      <c r="F609" s="556">
        <v>9457</v>
      </c>
      <c r="G609" s="556">
        <v>8135</v>
      </c>
      <c r="H609" s="556">
        <v>15703</v>
      </c>
      <c r="I609" s="556">
        <v>8197</v>
      </c>
      <c r="J609" s="557">
        <v>9599</v>
      </c>
      <c r="K609" s="557">
        <v>6153</v>
      </c>
      <c r="L609" s="555">
        <v>8399</v>
      </c>
      <c r="M609" s="554">
        <v>9092</v>
      </c>
      <c r="N609" s="556">
        <v>11924</v>
      </c>
      <c r="O609" s="556">
        <v>4265</v>
      </c>
      <c r="P609" s="556">
        <v>10852</v>
      </c>
      <c r="Q609" s="557">
        <v>4799</v>
      </c>
      <c r="R609" s="557">
        <v>9272</v>
      </c>
      <c r="S609" s="555">
        <v>11205</v>
      </c>
      <c r="T609" s="558">
        <v>2480</v>
      </c>
      <c r="U609" s="555">
        <v>1570</v>
      </c>
      <c r="V609" s="555">
        <v>3999</v>
      </c>
      <c r="W609" s="559" t="s">
        <v>197</v>
      </c>
      <c r="X609" s="561"/>
      <c r="Y609" s="561"/>
      <c r="Z609" s="561"/>
      <c r="AA609" s="562" t="s">
        <v>190</v>
      </c>
      <c r="AB609" s="553" t="s">
        <v>4</v>
      </c>
      <c r="AC609" s="564">
        <v>9191.7999999999993</v>
      </c>
      <c r="AD609" s="564"/>
      <c r="AE609" s="564"/>
      <c r="AF609" s="564"/>
      <c r="AG609" s="564"/>
      <c r="AH609" s="564"/>
      <c r="AI609" s="564"/>
      <c r="AJ609" s="565">
        <v>13787.7</v>
      </c>
      <c r="AK609" s="566">
        <v>8804.7999999999993</v>
      </c>
      <c r="AL609" s="567">
        <v>13787.7</v>
      </c>
      <c r="AM609" s="568">
        <v>8804.7999999999993</v>
      </c>
      <c r="AN609" s="781"/>
      <c r="AO609" s="781"/>
    </row>
    <row r="610" spans="1:41" s="591" customFormat="1" x14ac:dyDescent="0.25">
      <c r="A610" s="1061"/>
      <c r="B610" s="637" t="s">
        <v>11</v>
      </c>
      <c r="C610" s="638">
        <f t="shared" ref="C610:L610" si="133">C609*33.717</f>
        <v>197918.78999999998</v>
      </c>
      <c r="D610" s="639">
        <f t="shared" si="133"/>
        <v>112378.761</v>
      </c>
      <c r="E610" s="638">
        <f t="shared" si="133"/>
        <v>112277.61</v>
      </c>
      <c r="F610" s="640">
        <f t="shared" si="133"/>
        <v>318861.66899999999</v>
      </c>
      <c r="G610" s="641">
        <f t="shared" si="133"/>
        <v>274287.79499999998</v>
      </c>
      <c r="H610" s="642">
        <f t="shared" si="133"/>
        <v>529458.05099999998</v>
      </c>
      <c r="I610" s="642">
        <f t="shared" si="133"/>
        <v>276378.24900000001</v>
      </c>
      <c r="J610" s="640">
        <f t="shared" si="133"/>
        <v>323649.48300000001</v>
      </c>
      <c r="K610" s="643">
        <f t="shared" si="133"/>
        <v>207460.701</v>
      </c>
      <c r="L610" s="639">
        <f t="shared" si="133"/>
        <v>283189.08299999998</v>
      </c>
      <c r="M610" s="644">
        <f>M609*33.717</f>
        <v>306554.96399999998</v>
      </c>
      <c r="N610" s="641">
        <f>N609*33.717</f>
        <v>402041.50799999997</v>
      </c>
      <c r="O610" s="641">
        <f>O609*33.717</f>
        <v>143803.005</v>
      </c>
      <c r="P610" s="642">
        <f>P609*33.717</f>
        <v>365896.88399999996</v>
      </c>
      <c r="Q610" s="640">
        <f>Q609*33.717</f>
        <v>161807.883</v>
      </c>
      <c r="R610" s="643">
        <f t="shared" ref="R610:S610" si="134">R609*33.717</f>
        <v>312624.02399999998</v>
      </c>
      <c r="S610" s="639">
        <f t="shared" si="134"/>
        <v>377798.98499999999</v>
      </c>
      <c r="T610" s="638">
        <f>T609*33.717</f>
        <v>83618.16</v>
      </c>
      <c r="U610" s="642">
        <f>U609*33.717</f>
        <v>52935.689999999995</v>
      </c>
      <c r="V610" s="642">
        <f>V609*33.717</f>
        <v>134834.283</v>
      </c>
      <c r="W610" s="534"/>
      <c r="X610" s="534"/>
      <c r="Y610" s="534"/>
      <c r="Z610" s="534"/>
      <c r="AA610" s="669"/>
      <c r="AB610" s="624" t="s">
        <v>5</v>
      </c>
      <c r="AC610" s="629">
        <v>7975.5</v>
      </c>
      <c r="AD610" s="936"/>
      <c r="AE610" s="936"/>
      <c r="AF610" s="936"/>
      <c r="AG610" s="936"/>
      <c r="AH610" s="936"/>
      <c r="AI610" s="936"/>
      <c r="AJ610" s="625">
        <v>13649</v>
      </c>
      <c r="AK610" s="626">
        <v>1289.9000000000001</v>
      </c>
      <c r="AL610" s="631">
        <v>13642</v>
      </c>
      <c r="AM610" s="632">
        <v>5483.9</v>
      </c>
      <c r="AN610" s="779"/>
      <c r="AO610" s="779"/>
    </row>
    <row r="611" spans="1:41" s="591" customFormat="1" ht="15.75" thickBot="1" x14ac:dyDescent="0.3">
      <c r="A611" s="1061"/>
      <c r="B611" s="637" t="s">
        <v>79</v>
      </c>
      <c r="C611" s="638">
        <v>164000</v>
      </c>
      <c r="D611" s="639">
        <v>109880</v>
      </c>
      <c r="E611" s="638">
        <v>109880</v>
      </c>
      <c r="F611" s="641">
        <v>328000</v>
      </c>
      <c r="G611" s="641">
        <v>330905</v>
      </c>
      <c r="H611" s="641">
        <v>264264</v>
      </c>
      <c r="I611" s="641">
        <v>242663.6</v>
      </c>
      <c r="J611" s="643">
        <v>328000</v>
      </c>
      <c r="K611" s="643">
        <v>328000</v>
      </c>
      <c r="L611" s="639">
        <v>328000</v>
      </c>
      <c r="M611" s="638">
        <v>328000</v>
      </c>
      <c r="N611" s="641">
        <v>264264.40000000002</v>
      </c>
      <c r="O611" s="641">
        <v>328000</v>
      </c>
      <c r="P611" s="641">
        <v>352965.4</v>
      </c>
      <c r="Q611" s="643">
        <v>328000</v>
      </c>
      <c r="R611" s="643">
        <v>328000</v>
      </c>
      <c r="S611" s="639">
        <v>328000</v>
      </c>
      <c r="T611" s="644">
        <f>2*T606</f>
        <v>110302</v>
      </c>
      <c r="U611" s="639">
        <f>2*U606</f>
        <v>66181</v>
      </c>
      <c r="V611" s="639">
        <f>2*V606</f>
        <v>200650</v>
      </c>
      <c r="W611" s="534"/>
      <c r="X611" s="534"/>
      <c r="Y611" s="534"/>
      <c r="Z611" s="534"/>
      <c r="AA611" s="670"/>
      <c r="AB611" s="645" t="s">
        <v>3</v>
      </c>
      <c r="AC611" s="635">
        <f>AC610/AC609</f>
        <v>0.86767553689157739</v>
      </c>
      <c r="AD611" s="635"/>
      <c r="AE611" s="635"/>
      <c r="AF611" s="635"/>
      <c r="AG611" s="635"/>
      <c r="AH611" s="635"/>
      <c r="AI611" s="635"/>
      <c r="AJ611" s="646">
        <f>AJ610/AJ609</f>
        <v>0.98994030911609621</v>
      </c>
      <c r="AK611" s="647">
        <f>AK610/AK609</f>
        <v>0.14649963656187537</v>
      </c>
      <c r="AL611" s="648">
        <f>AL610/AL609</f>
        <v>0.98943261022505558</v>
      </c>
      <c r="AM611" s="649">
        <f>AM610/AM609</f>
        <v>0.62283072869343992</v>
      </c>
      <c r="AN611" s="780"/>
      <c r="AO611" s="780"/>
    </row>
    <row r="612" spans="1:41" s="591" customFormat="1" x14ac:dyDescent="0.25">
      <c r="A612" s="1061"/>
      <c r="B612" s="624" t="s">
        <v>8</v>
      </c>
      <c r="C612" s="650">
        <f>SUM(C609-294)</f>
        <v>5576</v>
      </c>
      <c r="D612" s="651">
        <f>SUM(D609-783)</f>
        <v>2550</v>
      </c>
      <c r="E612" s="650">
        <f>SUM(E609-750)</f>
        <v>2580</v>
      </c>
      <c r="F612" s="652">
        <f>SUM(F609-1164)</f>
        <v>8293</v>
      </c>
      <c r="G612" s="652">
        <f>SUM(G609-4517)</f>
        <v>3618</v>
      </c>
      <c r="H612" s="652">
        <f>SUM(H609-2041)</f>
        <v>13662</v>
      </c>
      <c r="I612" s="652">
        <f>SUM(I609-(3560-2000))</f>
        <v>6637</v>
      </c>
      <c r="J612" s="653">
        <f>SUM(J609-8357)</f>
        <v>1242</v>
      </c>
      <c r="K612" s="653">
        <f>SUM(K609-2545)</f>
        <v>3608</v>
      </c>
      <c r="L612" s="651">
        <f>SUM(L609-5405)</f>
        <v>2994</v>
      </c>
      <c r="M612" s="650">
        <f>SUM(M609-802)</f>
        <v>8290</v>
      </c>
      <c r="N612" s="652">
        <f>SUM(N609-1052)</f>
        <v>10872</v>
      </c>
      <c r="O612" s="653">
        <f>SUM(O609-543)</f>
        <v>3722</v>
      </c>
      <c r="P612" s="652">
        <f>SUM(P609-(5365-2614))</f>
        <v>8101</v>
      </c>
      <c r="Q612" s="653">
        <f>SUM(Q609-3109)</f>
        <v>1690</v>
      </c>
      <c r="R612" s="653">
        <f>SUM(R609-5305)</f>
        <v>3967</v>
      </c>
      <c r="S612" s="651">
        <f>SUM(S609-4508)</f>
        <v>6697</v>
      </c>
      <c r="T612" s="654">
        <f>SUM(T609-791)</f>
        <v>1689</v>
      </c>
      <c r="U612" s="651">
        <f>SUM(U609-483)</f>
        <v>1087</v>
      </c>
      <c r="V612" s="651">
        <f>SUM(V609-4000)</f>
        <v>-1</v>
      </c>
      <c r="W612" s="526"/>
      <c r="X612" s="534"/>
      <c r="Y612" s="534"/>
      <c r="Z612" s="534"/>
      <c r="AA612" s="668" t="s">
        <v>191</v>
      </c>
      <c r="AB612" s="528" t="s">
        <v>4</v>
      </c>
      <c r="AC612" s="544">
        <v>97433.600000000006</v>
      </c>
      <c r="AD612" s="544"/>
      <c r="AE612" s="544"/>
      <c r="AF612" s="544"/>
      <c r="AG612" s="544"/>
      <c r="AH612" s="544"/>
      <c r="AI612" s="544"/>
      <c r="AJ612" s="541">
        <v>243584.4</v>
      </c>
      <c r="AK612" s="538">
        <v>132070.29999999999</v>
      </c>
      <c r="AL612" s="552">
        <v>292299.3</v>
      </c>
      <c r="AM612" s="551">
        <v>132070.39999999999</v>
      </c>
      <c r="AN612" s="778"/>
      <c r="AO612" s="778"/>
    </row>
    <row r="613" spans="1:41" s="591" customFormat="1" x14ac:dyDescent="0.25">
      <c r="A613" s="1061"/>
      <c r="B613" s="655" t="s">
        <v>77</v>
      </c>
      <c r="C613" s="638">
        <f t="shared" ref="C613:H613" si="135">(C612*33.717)</f>
        <v>188005.992</v>
      </c>
      <c r="D613" s="656">
        <f t="shared" si="135"/>
        <v>85978.349999999991</v>
      </c>
      <c r="E613" s="638">
        <f t="shared" si="135"/>
        <v>86989.86</v>
      </c>
      <c r="F613" s="656">
        <f t="shared" si="135"/>
        <v>279615.08100000001</v>
      </c>
      <c r="G613" s="657">
        <f t="shared" si="135"/>
        <v>121988.106</v>
      </c>
      <c r="H613" s="657">
        <f t="shared" si="135"/>
        <v>460641.65399999998</v>
      </c>
      <c r="I613" s="657">
        <f>(I612*33.717)-(2000*33.717)</f>
        <v>156345.72899999999</v>
      </c>
      <c r="J613" s="658">
        <f>J612*33.717</f>
        <v>41876.513999999996</v>
      </c>
      <c r="K613" s="658">
        <f>K612*33.717</f>
        <v>121650.936</v>
      </c>
      <c r="L613" s="659">
        <f>L612*33.717</f>
        <v>100948.69799999999</v>
      </c>
      <c r="M613" s="660">
        <f>M612*33.717</f>
        <v>279513.93</v>
      </c>
      <c r="N613" s="657">
        <f>N612*33.717</f>
        <v>366571.22399999999</v>
      </c>
      <c r="O613" s="657">
        <f>(O612*33.717)</f>
        <v>125494.674</v>
      </c>
      <c r="P613" s="657">
        <f>P612*33.717-(2614*33.717)</f>
        <v>185005.179</v>
      </c>
      <c r="Q613" s="658">
        <f t="shared" ref="Q613:V613" si="136">Q612*33.717</f>
        <v>56981.729999999996</v>
      </c>
      <c r="R613" s="658">
        <f t="shared" si="136"/>
        <v>133755.33900000001</v>
      </c>
      <c r="S613" s="659">
        <f t="shared" si="136"/>
        <v>225802.74899999998</v>
      </c>
      <c r="T613" s="661">
        <f t="shared" si="136"/>
        <v>56948.012999999999</v>
      </c>
      <c r="U613" s="662">
        <f t="shared" si="136"/>
        <v>36650.379000000001</v>
      </c>
      <c r="V613" s="662">
        <f t="shared" si="136"/>
        <v>-33.716999999999999</v>
      </c>
      <c r="W613" s="532">
        <f>344240-H613</f>
        <v>-116401.65399999998</v>
      </c>
      <c r="X613" s="534"/>
      <c r="Y613" s="534"/>
      <c r="Z613" s="534"/>
      <c r="AA613" s="669"/>
      <c r="AB613" s="624" t="s">
        <v>5</v>
      </c>
      <c r="AC613" s="629">
        <v>38973.199999999997</v>
      </c>
      <c r="AD613" s="936"/>
      <c r="AE613" s="936"/>
      <c r="AF613" s="936"/>
      <c r="AG613" s="936"/>
      <c r="AH613" s="936"/>
      <c r="AI613" s="936"/>
      <c r="AJ613" s="625">
        <v>124350.5</v>
      </c>
      <c r="AK613" s="626">
        <v>3817.1</v>
      </c>
      <c r="AL613" s="631">
        <v>109009</v>
      </c>
      <c r="AM613" s="632">
        <v>33401</v>
      </c>
      <c r="AN613" s="779"/>
      <c r="AO613" s="779"/>
    </row>
    <row r="614" spans="1:41" s="591" customFormat="1" ht="15.75" thickBot="1" x14ac:dyDescent="0.3">
      <c r="A614" s="1062"/>
      <c r="B614" s="504" t="s">
        <v>217</v>
      </c>
      <c r="C614" s="542">
        <f t="shared" ref="C614:V614" si="137">C613/C606</f>
        <v>1.311123918182896</v>
      </c>
      <c r="D614" s="514">
        <f t="shared" si="137"/>
        <v>0.57122133291521793</v>
      </c>
      <c r="E614" s="543">
        <f t="shared" si="137"/>
        <v>0.57794158389069117</v>
      </c>
      <c r="F614" s="501">
        <f t="shared" si="137"/>
        <v>1.5363567287256841</v>
      </c>
      <c r="G614" s="501">
        <f t="shared" si="137"/>
        <v>0.73729540928417958</v>
      </c>
      <c r="H614" s="501">
        <f t="shared" si="137"/>
        <v>3.4861995309268168</v>
      </c>
      <c r="I614" s="501">
        <f t="shared" si="137"/>
        <v>0.91447042907294085</v>
      </c>
      <c r="J614" s="520">
        <f t="shared" si="137"/>
        <v>0.25310140915725565</v>
      </c>
      <c r="K614" s="520">
        <f t="shared" si="137"/>
        <v>1.0022106628132863</v>
      </c>
      <c r="L614" s="515">
        <f t="shared" si="137"/>
        <v>1.2133825744235605</v>
      </c>
      <c r="M614" s="543">
        <f t="shared" si="137"/>
        <v>1.4480403731872551</v>
      </c>
      <c r="N614" s="501">
        <f t="shared" si="137"/>
        <v>2.7742615503027634</v>
      </c>
      <c r="O614" s="501">
        <f t="shared" si="137"/>
        <v>1.5169809227020086</v>
      </c>
      <c r="P614" s="663">
        <f t="shared" si="137"/>
        <v>0.67090416855542057</v>
      </c>
      <c r="Q614" s="520">
        <f t="shared" si="137"/>
        <v>0.68879574405330324</v>
      </c>
      <c r="R614" s="520">
        <f t="shared" si="137"/>
        <v>0.70776911085523675</v>
      </c>
      <c r="S614" s="515">
        <f t="shared" si="137"/>
        <v>2.7141025721157597</v>
      </c>
      <c r="T614" s="542">
        <f t="shared" si="137"/>
        <v>1.0325835070986926</v>
      </c>
      <c r="U614" s="514">
        <f t="shared" si="137"/>
        <v>1.107580090962663</v>
      </c>
      <c r="V614" s="514">
        <f t="shared" si="137"/>
        <v>-3.3607774732120606E-4</v>
      </c>
      <c r="W614" s="534"/>
      <c r="X614" s="534"/>
      <c r="Y614" s="534"/>
      <c r="Z614" s="534"/>
      <c r="AA614" s="670"/>
      <c r="AB614" s="504" t="s">
        <v>3</v>
      </c>
      <c r="AC614" s="545">
        <f>AC613/AC612</f>
        <v>0.39999753678402516</v>
      </c>
      <c r="AD614" s="545"/>
      <c r="AE614" s="545"/>
      <c r="AF614" s="545"/>
      <c r="AG614" s="545"/>
      <c r="AH614" s="545"/>
      <c r="AI614" s="545"/>
      <c r="AJ614" s="542">
        <f>AJ613/AJ612</f>
        <v>0.51050272513346506</v>
      </c>
      <c r="AK614" s="514">
        <f>AK613/AK612</f>
        <v>2.8902031720984961E-2</v>
      </c>
      <c r="AL614" s="636">
        <f>AL613/AL612</f>
        <v>0.37293623351133581</v>
      </c>
      <c r="AM614" s="633">
        <f>AM613/AM612</f>
        <v>0.25290299718937781</v>
      </c>
      <c r="AN614" s="780"/>
      <c r="AO614" s="780"/>
    </row>
    <row r="615" spans="1:41" s="591" customFormat="1" ht="15.75" thickBot="1" x14ac:dyDescent="0.3">
      <c r="A615" s="612"/>
      <c r="B615" s="504" t="s">
        <v>218</v>
      </c>
      <c r="C615" s="650">
        <v>169949</v>
      </c>
      <c r="D615" s="650">
        <v>96362.6</v>
      </c>
      <c r="E615" s="650">
        <v>97374.1</v>
      </c>
      <c r="F615" s="650">
        <v>262762</v>
      </c>
      <c r="G615" s="650">
        <v>119700</v>
      </c>
      <c r="H615" s="650">
        <v>445574</v>
      </c>
      <c r="I615" s="650">
        <v>169530</v>
      </c>
      <c r="J615" s="650">
        <v>40733</v>
      </c>
      <c r="K615" s="650">
        <v>120180</v>
      </c>
      <c r="L615" s="650">
        <v>95846.3</v>
      </c>
      <c r="M615" s="650">
        <v>277512</v>
      </c>
      <c r="N615" s="650">
        <v>369005</v>
      </c>
      <c r="O615" s="650">
        <v>126591</v>
      </c>
      <c r="P615" s="650">
        <v>165752</v>
      </c>
      <c r="Q615" s="650">
        <v>55844.5</v>
      </c>
      <c r="R615" s="650">
        <v>119115</v>
      </c>
      <c r="S615" s="650">
        <v>218748</v>
      </c>
      <c r="T615" s="650">
        <v>56947.7</v>
      </c>
      <c r="U615" s="650">
        <v>36650.300000000003</v>
      </c>
      <c r="V615" s="650">
        <v>0</v>
      </c>
      <c r="W615" s="534"/>
      <c r="X615" s="534"/>
      <c r="Y615" s="534"/>
      <c r="Z615" s="534"/>
      <c r="AA615" s="670" t="s">
        <v>219</v>
      </c>
      <c r="AB615" s="504" t="s">
        <v>3</v>
      </c>
      <c r="AC615" s="545">
        <f>(AC608+AC614)/2</f>
        <v>0.38119624665106289</v>
      </c>
      <c r="AD615" s="545"/>
      <c r="AE615" s="545"/>
      <c r="AF615" s="545"/>
      <c r="AG615" s="545"/>
      <c r="AH615" s="545"/>
      <c r="AI615" s="545"/>
      <c r="AJ615" s="545">
        <f t="shared" ref="AJ615:AM615" si="138">(AJ608+AJ614)/2</f>
        <v>0.47677983409520408</v>
      </c>
      <c r="AK615" s="545">
        <f t="shared" si="138"/>
        <v>2.9589946651719472E-2</v>
      </c>
      <c r="AL615" s="545">
        <f t="shared" si="138"/>
        <v>0.45412051337057324</v>
      </c>
      <c r="AM615" s="545">
        <f t="shared" si="138"/>
        <v>0.31543211186862841</v>
      </c>
      <c r="AN615" s="780"/>
      <c r="AO615" s="780"/>
    </row>
    <row r="616" spans="1:41" s="591" customFormat="1" ht="15.75" thickBot="1" x14ac:dyDescent="0.3">
      <c r="A616" s="612"/>
      <c r="B616" s="504" t="s">
        <v>216</v>
      </c>
      <c r="C616" s="543">
        <f t="shared" ref="C616:D616" si="139">C615/C606</f>
        <v>1.1851973248345455</v>
      </c>
      <c r="D616" s="543">
        <f t="shared" si="139"/>
        <v>0.64021201634104385</v>
      </c>
      <c r="E616" s="543">
        <f>E615/E606</f>
        <v>0.64693220087870651</v>
      </c>
      <c r="F616" s="543">
        <f t="shared" ref="F616:V616" si="140">F615/F606</f>
        <v>1.4437567720226727</v>
      </c>
      <c r="G616" s="543">
        <f t="shared" si="140"/>
        <v>0.72346610981333126</v>
      </c>
      <c r="H616" s="543">
        <f t="shared" si="140"/>
        <v>3.372165448574882</v>
      </c>
      <c r="I616" s="543">
        <f t="shared" si="140"/>
        <v>0.9915855894006268</v>
      </c>
      <c r="J616" s="543">
        <f t="shared" si="140"/>
        <v>0.24619001713472366</v>
      </c>
      <c r="K616" s="543">
        <f t="shared" si="140"/>
        <v>0.99009248442527997</v>
      </c>
      <c r="L616" s="543">
        <f t="shared" si="140"/>
        <v>1.1520528005519488</v>
      </c>
      <c r="M616" s="543">
        <f t="shared" si="140"/>
        <v>1.4376692426167867</v>
      </c>
      <c r="N616" s="543">
        <f t="shared" si="140"/>
        <v>2.7926807025350993</v>
      </c>
      <c r="O616" s="543">
        <f t="shared" si="140"/>
        <v>1.5302333227764708</v>
      </c>
      <c r="P616" s="543">
        <f t="shared" si="140"/>
        <v>0.60108429584232381</v>
      </c>
      <c r="Q616" s="543">
        <f t="shared" si="140"/>
        <v>0.67504889600201134</v>
      </c>
      <c r="R616" s="543">
        <f t="shared" si="140"/>
        <v>0.63029945772498486</v>
      </c>
      <c r="S616" s="543">
        <f t="shared" si="140"/>
        <v>2.6293059410236777</v>
      </c>
      <c r="T616" s="543">
        <f t="shared" si="140"/>
        <v>1.032577831770956</v>
      </c>
      <c r="U616" s="543">
        <f t="shared" si="140"/>
        <v>1.1075777035705112</v>
      </c>
      <c r="V616" s="543">
        <f t="shared" si="140"/>
        <v>0</v>
      </c>
      <c r="W616" s="534"/>
      <c r="X616" s="534"/>
      <c r="Y616" s="534"/>
      <c r="Z616" s="534"/>
      <c r="AA616" s="670"/>
      <c r="AB616" s="504"/>
      <c r="AC616" s="545"/>
      <c r="AD616" s="545"/>
      <c r="AE616" s="545"/>
      <c r="AF616" s="545"/>
      <c r="AG616" s="545"/>
      <c r="AH616" s="545"/>
      <c r="AI616" s="545"/>
      <c r="AJ616" s="542"/>
      <c r="AK616" s="514"/>
      <c r="AL616" s="636"/>
      <c r="AM616" s="633"/>
      <c r="AN616" s="780"/>
      <c r="AO616" s="780"/>
    </row>
    <row r="617" spans="1:41" s="591" customFormat="1" ht="15.75" thickBot="1" x14ac:dyDescent="0.3">
      <c r="A617" s="1048">
        <v>41676</v>
      </c>
      <c r="B617" s="1048"/>
      <c r="C617" s="1048"/>
      <c r="D617" s="529"/>
      <c r="E617" s="529"/>
      <c r="F617" s="529"/>
      <c r="G617" s="529"/>
      <c r="H617" s="529"/>
      <c r="I617" s="525"/>
      <c r="J617" s="531"/>
      <c r="K617" s="531"/>
      <c r="L617" s="529"/>
      <c r="M617" s="529"/>
      <c r="N617" s="527"/>
      <c r="R617" s="526"/>
      <c r="S617" s="534"/>
      <c r="T617" s="534"/>
      <c r="U617" s="534"/>
      <c r="V617" s="534"/>
      <c r="W617" s="534"/>
      <c r="X617" s="534"/>
      <c r="Y617" s="534"/>
      <c r="Z617" s="534"/>
      <c r="AA617" s="1063"/>
      <c r="AB617" s="1064"/>
      <c r="AD617" s="743"/>
      <c r="AE617" s="743"/>
      <c r="AF617" s="743"/>
      <c r="AG617" s="743"/>
      <c r="AH617" s="743"/>
      <c r="AI617" s="743"/>
      <c r="AN617" s="743"/>
      <c r="AO617" s="743"/>
    </row>
    <row r="618" spans="1:41" s="591" customFormat="1" x14ac:dyDescent="0.25">
      <c r="A618" s="1049" t="s">
        <v>1</v>
      </c>
      <c r="B618" s="1050"/>
      <c r="C618" s="540" t="s">
        <v>12</v>
      </c>
      <c r="D618" s="539" t="s">
        <v>12</v>
      </c>
      <c r="E618" s="540" t="s">
        <v>13</v>
      </c>
      <c r="F618" s="530" t="s">
        <v>13</v>
      </c>
      <c r="G618" s="530" t="s">
        <v>13</v>
      </c>
      <c r="H618" s="530" t="s">
        <v>13</v>
      </c>
      <c r="I618" s="530" t="s">
        <v>13</v>
      </c>
      <c r="J618" s="536" t="s">
        <v>13</v>
      </c>
      <c r="K618" s="536" t="s">
        <v>13</v>
      </c>
      <c r="L618" s="539" t="s">
        <v>13</v>
      </c>
      <c r="M618" s="569" t="s">
        <v>2</v>
      </c>
      <c r="N618" s="530" t="s">
        <v>2</v>
      </c>
      <c r="O618" s="536" t="s">
        <v>2</v>
      </c>
      <c r="P618" s="530" t="s">
        <v>2</v>
      </c>
      <c r="Q618" s="536" t="s">
        <v>2</v>
      </c>
      <c r="R618" s="536" t="s">
        <v>2</v>
      </c>
      <c r="S618" s="539" t="s">
        <v>2</v>
      </c>
      <c r="T618" s="569" t="s">
        <v>183</v>
      </c>
      <c r="U618" s="570" t="s">
        <v>183</v>
      </c>
      <c r="V618" s="570" t="s">
        <v>2</v>
      </c>
      <c r="W618" s="534"/>
      <c r="X618" s="534"/>
      <c r="Y618" s="534"/>
      <c r="Z618" s="534"/>
      <c r="AA618" s="1049" t="s">
        <v>1</v>
      </c>
      <c r="AB618" s="1051"/>
      <c r="AC618" s="667" t="s">
        <v>12</v>
      </c>
      <c r="AD618" s="912"/>
      <c r="AE618" s="912"/>
      <c r="AF618" s="912"/>
      <c r="AG618" s="912"/>
      <c r="AH618" s="912"/>
      <c r="AI618" s="912"/>
      <c r="AJ618" s="1052" t="s">
        <v>13</v>
      </c>
      <c r="AK618" s="1053"/>
      <c r="AL618" s="1052" t="s">
        <v>2</v>
      </c>
      <c r="AM618" s="1053"/>
      <c r="AN618" s="776"/>
      <c r="AO618" s="776"/>
    </row>
    <row r="619" spans="1:41" s="591" customFormat="1" ht="15.75" thickBot="1" x14ac:dyDescent="0.3">
      <c r="A619" s="1054" t="s">
        <v>0</v>
      </c>
      <c r="B619" s="1055"/>
      <c r="C619" s="617" t="s">
        <v>99</v>
      </c>
      <c r="D619" s="618" t="s">
        <v>100</v>
      </c>
      <c r="E619" s="617" t="s">
        <v>101</v>
      </c>
      <c r="F619" s="619" t="s">
        <v>102</v>
      </c>
      <c r="G619" s="619" t="s">
        <v>97</v>
      </c>
      <c r="H619" s="619" t="s">
        <v>104</v>
      </c>
      <c r="I619" s="619" t="s">
        <v>103</v>
      </c>
      <c r="J619" s="521" t="s">
        <v>178</v>
      </c>
      <c r="K619" s="521" t="s">
        <v>199</v>
      </c>
      <c r="L619" s="517" t="s">
        <v>206</v>
      </c>
      <c r="M619" s="617" t="s">
        <v>105</v>
      </c>
      <c r="N619" s="619" t="s">
        <v>107</v>
      </c>
      <c r="O619" s="620" t="s">
        <v>98</v>
      </c>
      <c r="P619" s="516" t="s">
        <v>106</v>
      </c>
      <c r="Q619" s="620" t="s">
        <v>179</v>
      </c>
      <c r="R619" s="620" t="s">
        <v>198</v>
      </c>
      <c r="S619" s="618" t="s">
        <v>207</v>
      </c>
      <c r="T619" s="621" t="s">
        <v>182</v>
      </c>
      <c r="U619" s="618" t="s">
        <v>184</v>
      </c>
      <c r="V619" s="618" t="s">
        <v>220</v>
      </c>
      <c r="W619" s="526"/>
      <c r="X619" s="526"/>
      <c r="Y619" s="526"/>
      <c r="Z619" s="526"/>
      <c r="AA619" s="1054" t="s">
        <v>0</v>
      </c>
      <c r="AB619" s="1056"/>
      <c r="AC619" s="621" t="s">
        <v>99</v>
      </c>
      <c r="AD619" s="621"/>
      <c r="AE619" s="621"/>
      <c r="AF619" s="621"/>
      <c r="AG619" s="621"/>
      <c r="AH619" s="621"/>
      <c r="AI619" s="621"/>
      <c r="AJ619" s="617" t="s">
        <v>104</v>
      </c>
      <c r="AK619" s="618" t="s">
        <v>206</v>
      </c>
      <c r="AL619" s="622" t="s">
        <v>107</v>
      </c>
      <c r="AM619" s="623" t="s">
        <v>207</v>
      </c>
      <c r="AN619" s="777"/>
      <c r="AO619" s="777"/>
    </row>
    <row r="620" spans="1:41" s="591" customFormat="1" x14ac:dyDescent="0.25">
      <c r="A620" s="1057" t="s">
        <v>9</v>
      </c>
      <c r="B620" s="528" t="s">
        <v>4</v>
      </c>
      <c r="C620" s="541">
        <v>143393</v>
      </c>
      <c r="D620" s="538">
        <v>150516.70000000001</v>
      </c>
      <c r="E620" s="541">
        <v>150516.70000000001</v>
      </c>
      <c r="F620" s="533">
        <v>181998.8</v>
      </c>
      <c r="G620" s="533">
        <v>165453.5</v>
      </c>
      <c r="H620" s="533">
        <v>132132.9</v>
      </c>
      <c r="I620" s="533">
        <v>170968.6</v>
      </c>
      <c r="J620" s="537">
        <v>165453.5</v>
      </c>
      <c r="K620" s="537">
        <v>121382.6</v>
      </c>
      <c r="L620" s="538">
        <v>83196.100000000006</v>
      </c>
      <c r="M620" s="541">
        <v>193029.1</v>
      </c>
      <c r="N620" s="533">
        <v>132132.9</v>
      </c>
      <c r="O620" s="533">
        <v>82726.600000000006</v>
      </c>
      <c r="P620" s="533">
        <v>275755</v>
      </c>
      <c r="Q620" s="537">
        <v>82726.600000000006</v>
      </c>
      <c r="R620" s="537">
        <v>188981.6</v>
      </c>
      <c r="S620" s="538">
        <v>83196.100000000006</v>
      </c>
      <c r="T620" s="544">
        <v>55151</v>
      </c>
      <c r="U620" s="538">
        <v>33090.5</v>
      </c>
      <c r="V620" s="538">
        <v>100325</v>
      </c>
      <c r="W620" s="534"/>
      <c r="X620" s="534"/>
      <c r="Y620" s="534"/>
      <c r="Z620" s="534"/>
      <c r="AA620" s="664" t="s">
        <v>194</v>
      </c>
      <c r="AB620" s="524" t="s">
        <v>4</v>
      </c>
      <c r="AC620" s="544">
        <v>143393</v>
      </c>
      <c r="AD620" s="544"/>
      <c r="AE620" s="544"/>
      <c r="AF620" s="544"/>
      <c r="AG620" s="544"/>
      <c r="AH620" s="544"/>
      <c r="AI620" s="544"/>
      <c r="AJ620" s="541">
        <v>132132</v>
      </c>
      <c r="AK620" s="538">
        <v>83196.100000000006</v>
      </c>
      <c r="AL620" s="552">
        <v>132132.20000000001</v>
      </c>
      <c r="AM620" s="551">
        <v>83196.100000000006</v>
      </c>
      <c r="AN620" s="778"/>
      <c r="AO620" s="778"/>
    </row>
    <row r="621" spans="1:41" s="591" customFormat="1" x14ac:dyDescent="0.25">
      <c r="A621" s="1058"/>
      <c r="B621" s="624" t="s">
        <v>5</v>
      </c>
      <c r="C621" s="625">
        <v>52307.1</v>
      </c>
      <c r="D621" s="626">
        <v>82679.3</v>
      </c>
      <c r="E621" s="625">
        <v>84021.3</v>
      </c>
      <c r="F621" s="627">
        <v>157307.4</v>
      </c>
      <c r="G621" s="627">
        <v>112200.4</v>
      </c>
      <c r="H621" s="627">
        <v>66974.899999999994</v>
      </c>
      <c r="I621" s="627">
        <v>115010.2</v>
      </c>
      <c r="J621" s="628">
        <v>33365.800000000003</v>
      </c>
      <c r="K621" s="628">
        <v>60710.6</v>
      </c>
      <c r="L621" s="626">
        <v>3305.8</v>
      </c>
      <c r="M621" s="625">
        <v>170130.5</v>
      </c>
      <c r="N621" s="627">
        <v>71222.5</v>
      </c>
      <c r="O621" s="627">
        <v>58051.4</v>
      </c>
      <c r="P621" s="627">
        <v>210477.1</v>
      </c>
      <c r="Q621" s="628">
        <v>17284.900000000001</v>
      </c>
      <c r="R621" s="628">
        <v>96367.5</v>
      </c>
      <c r="S621" s="626">
        <v>39045.599999999999</v>
      </c>
      <c r="T621" s="629">
        <v>14096.1</v>
      </c>
      <c r="U621" s="626">
        <v>7319.5</v>
      </c>
      <c r="V621" s="626">
        <v>3.1</v>
      </c>
      <c r="W621" s="534"/>
      <c r="X621" s="534"/>
      <c r="Y621" s="534"/>
      <c r="Z621" s="534"/>
      <c r="AA621" s="665"/>
      <c r="AB621" s="630" t="s">
        <v>5</v>
      </c>
      <c r="AC621" s="629">
        <v>51964.9</v>
      </c>
      <c r="AD621" s="936"/>
      <c r="AE621" s="936"/>
      <c r="AF621" s="936"/>
      <c r="AG621" s="936"/>
      <c r="AH621" s="936"/>
      <c r="AI621" s="936"/>
      <c r="AJ621" s="625">
        <v>58542</v>
      </c>
      <c r="AK621" s="626">
        <v>2519</v>
      </c>
      <c r="AL621" s="631">
        <v>70731</v>
      </c>
      <c r="AM621" s="632">
        <v>31444.9</v>
      </c>
      <c r="AN621" s="779"/>
      <c r="AO621" s="779"/>
    </row>
    <row r="622" spans="1:41" s="591" customFormat="1" ht="15.75" thickBot="1" x14ac:dyDescent="0.3">
      <c r="A622" s="1059"/>
      <c r="B622" s="504" t="s">
        <v>3</v>
      </c>
      <c r="C622" s="542">
        <f t="shared" ref="C622:L622" si="141">C621/C620</f>
        <v>0.36478140495003242</v>
      </c>
      <c r="D622" s="633">
        <f t="shared" si="141"/>
        <v>0.54930316702399129</v>
      </c>
      <c r="E622" s="542">
        <f t="shared" si="141"/>
        <v>0.55821912120050465</v>
      </c>
      <c r="F622" s="519">
        <f t="shared" si="141"/>
        <v>0.86433207251915944</v>
      </c>
      <c r="G622" s="498">
        <f t="shared" si="141"/>
        <v>0.67813857065580352</v>
      </c>
      <c r="H622" s="498">
        <f t="shared" si="141"/>
        <v>0.50687527481800521</v>
      </c>
      <c r="I622" s="498">
        <f t="shared" si="141"/>
        <v>0.67269779362994131</v>
      </c>
      <c r="J622" s="506">
        <f t="shared" si="141"/>
        <v>0.20166270281378154</v>
      </c>
      <c r="K622" s="506">
        <f t="shared" si="141"/>
        <v>0.50015900137251956</v>
      </c>
      <c r="L622" s="514">
        <f t="shared" si="141"/>
        <v>3.9735035656719486E-2</v>
      </c>
      <c r="M622" s="547">
        <f>M621/M620</f>
        <v>0.88137229049920451</v>
      </c>
      <c r="N622" s="498">
        <f>N621/N620</f>
        <v>0.53902169709436487</v>
      </c>
      <c r="O622" s="506">
        <f>O621/O620</f>
        <v>0.70172592612291573</v>
      </c>
      <c r="P622" s="498">
        <f>P621/P620</f>
        <v>0.76327573389421777</v>
      </c>
      <c r="Q622" s="506">
        <f>Q621/Q620</f>
        <v>0.20894005072129157</v>
      </c>
      <c r="R622" s="506">
        <f t="shared" ref="R622:S622" si="142">R621/R620</f>
        <v>0.50993059641785232</v>
      </c>
      <c r="S622" s="514">
        <f t="shared" si="142"/>
        <v>0.46932007630165351</v>
      </c>
      <c r="T622" s="545">
        <f>T621/T620</f>
        <v>0.25559101376221649</v>
      </c>
      <c r="U622" s="514">
        <f>U621/U620</f>
        <v>0.22119641588975689</v>
      </c>
      <c r="V622" s="514">
        <f>V621/V620</f>
        <v>3.089957637677548E-5</v>
      </c>
      <c r="W622" s="534"/>
      <c r="X622" s="534"/>
      <c r="Y622" s="534"/>
      <c r="Z622" s="534"/>
      <c r="AA622" s="666"/>
      <c r="AB622" s="634" t="s">
        <v>3</v>
      </c>
      <c r="AC622" s="635">
        <f>AC621/AC620</f>
        <v>0.36239495651810061</v>
      </c>
      <c r="AD622" s="635"/>
      <c r="AE622" s="635"/>
      <c r="AF622" s="635"/>
      <c r="AG622" s="635"/>
      <c r="AH622" s="635"/>
      <c r="AI622" s="635"/>
      <c r="AJ622" s="542">
        <f>AJ621/AJ620</f>
        <v>0.44305694305694304</v>
      </c>
      <c r="AK622" s="514">
        <f>AK621/AK620</f>
        <v>3.0277861582453984E-2</v>
      </c>
      <c r="AL622" s="636">
        <f>AL621/AL620</f>
        <v>0.53530479322981073</v>
      </c>
      <c r="AM622" s="633">
        <f>AM621/AM620</f>
        <v>0.37796122654787906</v>
      </c>
      <c r="AN622" s="780"/>
      <c r="AO622" s="780"/>
    </row>
    <row r="623" spans="1:41" s="591" customFormat="1" x14ac:dyDescent="0.25">
      <c r="A623" s="1060" t="s">
        <v>6</v>
      </c>
      <c r="B623" s="553" t="s">
        <v>7</v>
      </c>
      <c r="C623" s="554">
        <v>5870</v>
      </c>
      <c r="D623" s="555">
        <v>3333</v>
      </c>
      <c r="E623" s="554">
        <v>3330</v>
      </c>
      <c r="F623" s="556">
        <v>9457</v>
      </c>
      <c r="G623" s="556">
        <v>8135</v>
      </c>
      <c r="H623" s="556">
        <v>15703</v>
      </c>
      <c r="I623" s="556">
        <v>8197</v>
      </c>
      <c r="J623" s="557">
        <v>9599</v>
      </c>
      <c r="K623" s="557">
        <v>6153</v>
      </c>
      <c r="L623" s="555">
        <v>8399</v>
      </c>
      <c r="M623" s="554">
        <v>9092</v>
      </c>
      <c r="N623" s="556">
        <v>11924</v>
      </c>
      <c r="O623" s="556">
        <v>4265</v>
      </c>
      <c r="P623" s="556">
        <v>10852</v>
      </c>
      <c r="Q623" s="557">
        <v>4799</v>
      </c>
      <c r="R623" s="557">
        <v>9272</v>
      </c>
      <c r="S623" s="555">
        <v>11205</v>
      </c>
      <c r="T623" s="558">
        <v>2480</v>
      </c>
      <c r="U623" s="555">
        <v>1570</v>
      </c>
      <c r="V623" s="555">
        <v>3999</v>
      </c>
      <c r="W623" s="559" t="s">
        <v>197</v>
      </c>
      <c r="X623" s="561"/>
      <c r="Y623" s="561"/>
      <c r="Z623" s="561"/>
      <c r="AA623" s="562" t="s">
        <v>190</v>
      </c>
      <c r="AB623" s="553" t="s">
        <v>4</v>
      </c>
      <c r="AC623" s="564">
        <v>9191.7999999999993</v>
      </c>
      <c r="AD623" s="564"/>
      <c r="AE623" s="564"/>
      <c r="AF623" s="564"/>
      <c r="AG623" s="564"/>
      <c r="AH623" s="564"/>
      <c r="AI623" s="564"/>
      <c r="AJ623" s="565">
        <v>13787.7</v>
      </c>
      <c r="AK623" s="566">
        <v>8804.7999999999993</v>
      </c>
      <c r="AL623" s="567">
        <v>13787.7</v>
      </c>
      <c r="AM623" s="568">
        <v>8804.7999999999993</v>
      </c>
      <c r="AN623" s="781"/>
      <c r="AO623" s="781"/>
    </row>
    <row r="624" spans="1:41" s="591" customFormat="1" x14ac:dyDescent="0.25">
      <c r="A624" s="1061"/>
      <c r="B624" s="637" t="s">
        <v>11</v>
      </c>
      <c r="C624" s="638">
        <f t="shared" ref="C624:L624" si="143">C623*33.717</f>
        <v>197918.78999999998</v>
      </c>
      <c r="D624" s="639">
        <f t="shared" si="143"/>
        <v>112378.761</v>
      </c>
      <c r="E624" s="638">
        <f t="shared" si="143"/>
        <v>112277.61</v>
      </c>
      <c r="F624" s="640">
        <f t="shared" si="143"/>
        <v>318861.66899999999</v>
      </c>
      <c r="G624" s="641">
        <f t="shared" si="143"/>
        <v>274287.79499999998</v>
      </c>
      <c r="H624" s="642">
        <f t="shared" si="143"/>
        <v>529458.05099999998</v>
      </c>
      <c r="I624" s="642">
        <f t="shared" si="143"/>
        <v>276378.24900000001</v>
      </c>
      <c r="J624" s="640">
        <f t="shared" si="143"/>
        <v>323649.48300000001</v>
      </c>
      <c r="K624" s="643">
        <f t="shared" si="143"/>
        <v>207460.701</v>
      </c>
      <c r="L624" s="639">
        <f t="shared" si="143"/>
        <v>283189.08299999998</v>
      </c>
      <c r="M624" s="644">
        <f>M623*33.717</f>
        <v>306554.96399999998</v>
      </c>
      <c r="N624" s="641">
        <f>N623*33.717</f>
        <v>402041.50799999997</v>
      </c>
      <c r="O624" s="641">
        <f>O623*33.717</f>
        <v>143803.005</v>
      </c>
      <c r="P624" s="642">
        <f>P623*33.717</f>
        <v>365896.88399999996</v>
      </c>
      <c r="Q624" s="640">
        <f>Q623*33.717</f>
        <v>161807.883</v>
      </c>
      <c r="R624" s="643">
        <f t="shared" ref="R624:S624" si="144">R623*33.717</f>
        <v>312624.02399999998</v>
      </c>
      <c r="S624" s="639">
        <f t="shared" si="144"/>
        <v>377798.98499999999</v>
      </c>
      <c r="T624" s="638">
        <f>T623*33.717</f>
        <v>83618.16</v>
      </c>
      <c r="U624" s="642">
        <f>U623*33.717</f>
        <v>52935.689999999995</v>
      </c>
      <c r="V624" s="642">
        <f>V623*33.717</f>
        <v>134834.283</v>
      </c>
      <c r="W624" s="534"/>
      <c r="X624" s="534"/>
      <c r="Y624" s="534"/>
      <c r="Z624" s="534"/>
      <c r="AA624" s="665"/>
      <c r="AB624" s="624" t="s">
        <v>5</v>
      </c>
      <c r="AC624" s="629">
        <v>7975.5</v>
      </c>
      <c r="AD624" s="936"/>
      <c r="AE624" s="936"/>
      <c r="AF624" s="936"/>
      <c r="AG624" s="936"/>
      <c r="AH624" s="936"/>
      <c r="AI624" s="936"/>
      <c r="AJ624" s="625">
        <v>13649</v>
      </c>
      <c r="AK624" s="626">
        <v>1289.9000000000001</v>
      </c>
      <c r="AL624" s="631">
        <v>13642</v>
      </c>
      <c r="AM624" s="632">
        <v>5483.9</v>
      </c>
      <c r="AN624" s="779"/>
      <c r="AO624" s="779"/>
    </row>
    <row r="625" spans="1:41" s="591" customFormat="1" ht="15.75" thickBot="1" x14ac:dyDescent="0.3">
      <c r="A625" s="1061"/>
      <c r="B625" s="637" t="s">
        <v>79</v>
      </c>
      <c r="C625" s="638">
        <v>164000</v>
      </c>
      <c r="D625" s="639">
        <v>109880</v>
      </c>
      <c r="E625" s="638">
        <v>109880</v>
      </c>
      <c r="F625" s="641">
        <v>328000</v>
      </c>
      <c r="G625" s="641">
        <v>330905</v>
      </c>
      <c r="H625" s="641">
        <v>264264</v>
      </c>
      <c r="I625" s="641">
        <v>242663.6</v>
      </c>
      <c r="J625" s="643">
        <v>328000</v>
      </c>
      <c r="K625" s="643">
        <v>328000</v>
      </c>
      <c r="L625" s="639">
        <v>328000</v>
      </c>
      <c r="M625" s="638">
        <v>328000</v>
      </c>
      <c r="N625" s="641">
        <v>264264.40000000002</v>
      </c>
      <c r="O625" s="641">
        <v>328000</v>
      </c>
      <c r="P625" s="641">
        <v>352965.4</v>
      </c>
      <c r="Q625" s="643">
        <v>328000</v>
      </c>
      <c r="R625" s="643">
        <v>328000</v>
      </c>
      <c r="S625" s="639">
        <v>328000</v>
      </c>
      <c r="T625" s="644">
        <f>2*T620</f>
        <v>110302</v>
      </c>
      <c r="U625" s="639">
        <f>2*U620</f>
        <v>66181</v>
      </c>
      <c r="V625" s="639">
        <f>2*V620</f>
        <v>200650</v>
      </c>
      <c r="W625" s="534"/>
      <c r="X625" s="534"/>
      <c r="Y625" s="534"/>
      <c r="Z625" s="534"/>
      <c r="AA625" s="666"/>
      <c r="AB625" s="645" t="s">
        <v>3</v>
      </c>
      <c r="AC625" s="635">
        <f>AC624/AC623</f>
        <v>0.86767553689157739</v>
      </c>
      <c r="AD625" s="635"/>
      <c r="AE625" s="635"/>
      <c r="AF625" s="635"/>
      <c r="AG625" s="635"/>
      <c r="AH625" s="635"/>
      <c r="AI625" s="635"/>
      <c r="AJ625" s="646">
        <f>AJ624/AJ623</f>
        <v>0.98994030911609621</v>
      </c>
      <c r="AK625" s="647">
        <f>AK624/AK623</f>
        <v>0.14649963656187537</v>
      </c>
      <c r="AL625" s="648">
        <f>AL624/AL623</f>
        <v>0.98943261022505558</v>
      </c>
      <c r="AM625" s="649">
        <f>AM624/AM623</f>
        <v>0.62283072869343992</v>
      </c>
      <c r="AN625" s="780"/>
      <c r="AO625" s="780"/>
    </row>
    <row r="626" spans="1:41" s="591" customFormat="1" x14ac:dyDescent="0.25">
      <c r="A626" s="1061"/>
      <c r="B626" s="624" t="s">
        <v>8</v>
      </c>
      <c r="C626" s="650">
        <f>SUM(C623-294)</f>
        <v>5576</v>
      </c>
      <c r="D626" s="651">
        <f>SUM(D623-463)</f>
        <v>2870</v>
      </c>
      <c r="E626" s="650">
        <f>SUM(E623-430)</f>
        <v>2900</v>
      </c>
      <c r="F626" s="652">
        <f>SUM(F623-1164)</f>
        <v>8293</v>
      </c>
      <c r="G626" s="652">
        <f>SUM(G623-4517)</f>
        <v>3618</v>
      </c>
      <c r="H626" s="652">
        <f>SUM(H623-2041)</f>
        <v>13662</v>
      </c>
      <c r="I626" s="652">
        <f>SUM(I623-(3569-2000))</f>
        <v>6628</v>
      </c>
      <c r="J626" s="653">
        <f>SUM(J623-8357)</f>
        <v>1242</v>
      </c>
      <c r="K626" s="653">
        <f>SUM(K623-2575)</f>
        <v>3578</v>
      </c>
      <c r="L626" s="651">
        <f>SUM(L623-5466)</f>
        <v>2933</v>
      </c>
      <c r="M626" s="650">
        <f>SUM(M623-802)</f>
        <v>8290</v>
      </c>
      <c r="N626" s="652">
        <f>SUM(N623-1052)</f>
        <v>10872</v>
      </c>
      <c r="O626" s="653">
        <f>SUM(O623-543)</f>
        <v>3722</v>
      </c>
      <c r="P626" s="652">
        <f>SUM(P623-(5374-2614))</f>
        <v>8092</v>
      </c>
      <c r="Q626" s="653">
        <f>SUM(Q623-3109)</f>
        <v>1690</v>
      </c>
      <c r="R626" s="653">
        <f>SUM(R623-5335)</f>
        <v>3937</v>
      </c>
      <c r="S626" s="651">
        <f>SUM(S623-4613)</f>
        <v>6592</v>
      </c>
      <c r="T626" s="654">
        <f>SUM(T623-791)</f>
        <v>1689</v>
      </c>
      <c r="U626" s="651">
        <f>SUM(U623-483)</f>
        <v>1087</v>
      </c>
      <c r="V626" s="651">
        <f>SUM(V623-4000)</f>
        <v>-1</v>
      </c>
      <c r="W626" s="526"/>
      <c r="X626" s="534"/>
      <c r="Y626" s="534"/>
      <c r="Z626" s="534"/>
      <c r="AA626" s="664" t="s">
        <v>191</v>
      </c>
      <c r="AB626" s="528" t="s">
        <v>4</v>
      </c>
      <c r="AC626" s="544">
        <v>97433.600000000006</v>
      </c>
      <c r="AD626" s="544"/>
      <c r="AE626" s="544"/>
      <c r="AF626" s="544"/>
      <c r="AG626" s="544"/>
      <c r="AH626" s="544"/>
      <c r="AI626" s="544"/>
      <c r="AJ626" s="541">
        <v>243584.4</v>
      </c>
      <c r="AK626" s="538">
        <v>132070.29999999999</v>
      </c>
      <c r="AL626" s="552">
        <v>292299.3</v>
      </c>
      <c r="AM626" s="551">
        <v>132070.39999999999</v>
      </c>
      <c r="AN626" s="778"/>
      <c r="AO626" s="778"/>
    </row>
    <row r="627" spans="1:41" s="591" customFormat="1" x14ac:dyDescent="0.25">
      <c r="A627" s="1061"/>
      <c r="B627" s="655" t="s">
        <v>77</v>
      </c>
      <c r="C627" s="638">
        <f t="shared" ref="C627:H627" si="145">(C626*33.717)</f>
        <v>188005.992</v>
      </c>
      <c r="D627" s="656">
        <f t="shared" si="145"/>
        <v>96767.79</v>
      </c>
      <c r="E627" s="638">
        <f t="shared" si="145"/>
        <v>97779.3</v>
      </c>
      <c r="F627" s="656">
        <f t="shared" si="145"/>
        <v>279615.08100000001</v>
      </c>
      <c r="G627" s="657">
        <f t="shared" si="145"/>
        <v>121988.106</v>
      </c>
      <c r="H627" s="657">
        <f t="shared" si="145"/>
        <v>460641.65399999998</v>
      </c>
      <c r="I627" s="657">
        <f>(I626*33.717)-(2000*33.717)</f>
        <v>156042.27599999998</v>
      </c>
      <c r="J627" s="658">
        <f>J626*33.717</f>
        <v>41876.513999999996</v>
      </c>
      <c r="K627" s="658">
        <f>K626*33.717</f>
        <v>120639.42599999999</v>
      </c>
      <c r="L627" s="659">
        <f>L626*33.717</f>
        <v>98891.960999999996</v>
      </c>
      <c r="M627" s="660">
        <f>M626*33.717</f>
        <v>279513.93</v>
      </c>
      <c r="N627" s="657">
        <f>N626*33.717</f>
        <v>366571.22399999999</v>
      </c>
      <c r="O627" s="657">
        <f>(O626*33.717)</f>
        <v>125494.674</v>
      </c>
      <c r="P627" s="657">
        <f>P626*33.717-(2614*33.717)</f>
        <v>184701.72599999997</v>
      </c>
      <c r="Q627" s="658">
        <f t="shared" ref="Q627:V627" si="146">Q626*33.717</f>
        <v>56981.729999999996</v>
      </c>
      <c r="R627" s="658">
        <f t="shared" si="146"/>
        <v>132743.829</v>
      </c>
      <c r="S627" s="659">
        <f t="shared" si="146"/>
        <v>222262.46399999998</v>
      </c>
      <c r="T627" s="661">
        <f t="shared" si="146"/>
        <v>56948.012999999999</v>
      </c>
      <c r="U627" s="662">
        <f t="shared" si="146"/>
        <v>36650.379000000001</v>
      </c>
      <c r="V627" s="662">
        <f t="shared" si="146"/>
        <v>-33.716999999999999</v>
      </c>
      <c r="W627" s="532">
        <f>344240-H627</f>
        <v>-116401.65399999998</v>
      </c>
      <c r="X627" s="534"/>
      <c r="Y627" s="534"/>
      <c r="Z627" s="534"/>
      <c r="AA627" s="665"/>
      <c r="AB627" s="624" t="s">
        <v>5</v>
      </c>
      <c r="AC627" s="629">
        <v>38973.199999999997</v>
      </c>
      <c r="AD627" s="936"/>
      <c r="AE627" s="936"/>
      <c r="AF627" s="936"/>
      <c r="AG627" s="936"/>
      <c r="AH627" s="936"/>
      <c r="AI627" s="936"/>
      <c r="AJ627" s="625">
        <v>124350.5</v>
      </c>
      <c r="AK627" s="626">
        <v>3817.1</v>
      </c>
      <c r="AL627" s="631">
        <v>109009</v>
      </c>
      <c r="AM627" s="632">
        <v>33401</v>
      </c>
      <c r="AN627" s="779"/>
      <c r="AO627" s="779"/>
    </row>
    <row r="628" spans="1:41" s="591" customFormat="1" ht="15.75" thickBot="1" x14ac:dyDescent="0.3">
      <c r="A628" s="1062"/>
      <c r="B628" s="504" t="s">
        <v>217</v>
      </c>
      <c r="C628" s="542">
        <f t="shared" ref="C628:V628" si="147">C627/C620</f>
        <v>1.311123918182896</v>
      </c>
      <c r="D628" s="514">
        <f t="shared" si="147"/>
        <v>0.64290400998693154</v>
      </c>
      <c r="E628" s="543">
        <f t="shared" si="147"/>
        <v>0.64962426096240478</v>
      </c>
      <c r="F628" s="501">
        <f t="shared" si="147"/>
        <v>1.5363567287256841</v>
      </c>
      <c r="G628" s="501">
        <f t="shared" si="147"/>
        <v>0.73729540928417958</v>
      </c>
      <c r="H628" s="501">
        <f t="shared" si="147"/>
        <v>3.4861995309268168</v>
      </c>
      <c r="I628" s="501">
        <f t="shared" si="147"/>
        <v>0.91269552420736899</v>
      </c>
      <c r="J628" s="520">
        <f t="shared" si="147"/>
        <v>0.25310140915725565</v>
      </c>
      <c r="K628" s="520">
        <f t="shared" si="147"/>
        <v>0.9938774255947721</v>
      </c>
      <c r="L628" s="515">
        <f t="shared" si="147"/>
        <v>1.1886610189660332</v>
      </c>
      <c r="M628" s="543">
        <f t="shared" si="147"/>
        <v>1.4480403731872551</v>
      </c>
      <c r="N628" s="501">
        <f t="shared" si="147"/>
        <v>2.7742615503027634</v>
      </c>
      <c r="O628" s="501">
        <f t="shared" si="147"/>
        <v>1.5169809227020086</v>
      </c>
      <c r="P628" s="663">
        <f t="shared" si="147"/>
        <v>0.66980372432050173</v>
      </c>
      <c r="Q628" s="520">
        <f t="shared" si="147"/>
        <v>0.68879574405330324</v>
      </c>
      <c r="R628" s="520">
        <f t="shared" si="147"/>
        <v>0.70241668501060417</v>
      </c>
      <c r="S628" s="515">
        <f t="shared" si="147"/>
        <v>2.671549075016737</v>
      </c>
      <c r="T628" s="542">
        <f t="shared" si="147"/>
        <v>1.0325835070986926</v>
      </c>
      <c r="U628" s="514">
        <f t="shared" si="147"/>
        <v>1.107580090962663</v>
      </c>
      <c r="V628" s="514">
        <f t="shared" si="147"/>
        <v>-3.3607774732120606E-4</v>
      </c>
      <c r="W628" s="534"/>
      <c r="X628" s="534"/>
      <c r="Y628" s="534"/>
      <c r="Z628" s="534"/>
      <c r="AA628" s="666"/>
      <c r="AB628" s="504" t="s">
        <v>3</v>
      </c>
      <c r="AC628" s="545">
        <f>AC627/AC626</f>
        <v>0.39999753678402516</v>
      </c>
      <c r="AD628" s="545"/>
      <c r="AE628" s="545"/>
      <c r="AF628" s="545"/>
      <c r="AG628" s="545"/>
      <c r="AH628" s="545"/>
      <c r="AI628" s="545"/>
      <c r="AJ628" s="542">
        <f>AJ627/AJ626</f>
        <v>0.51050272513346506</v>
      </c>
      <c r="AK628" s="514">
        <f>AK627/AK626</f>
        <v>2.8902031720984961E-2</v>
      </c>
      <c r="AL628" s="636">
        <f>AL627/AL626</f>
        <v>0.37293623351133581</v>
      </c>
      <c r="AM628" s="633">
        <f>AM627/AM626</f>
        <v>0.25290299718937781</v>
      </c>
      <c r="AN628" s="780"/>
      <c r="AO628" s="780"/>
    </row>
    <row r="629" spans="1:41" s="591" customFormat="1" ht="15.75" thickBot="1" x14ac:dyDescent="0.3">
      <c r="A629" s="612"/>
      <c r="B629" s="504" t="s">
        <v>218</v>
      </c>
      <c r="C629" s="650">
        <v>169949</v>
      </c>
      <c r="D629" s="650">
        <v>96362.6</v>
      </c>
      <c r="E629" s="650">
        <v>97374.1</v>
      </c>
      <c r="F629" s="650">
        <v>262762</v>
      </c>
      <c r="G629" s="650">
        <v>119700</v>
      </c>
      <c r="H629" s="650">
        <v>445574</v>
      </c>
      <c r="I629" s="650">
        <v>169530</v>
      </c>
      <c r="J629" s="650">
        <v>40733</v>
      </c>
      <c r="K629" s="650">
        <v>120180</v>
      </c>
      <c r="L629" s="650">
        <v>95846.3</v>
      </c>
      <c r="M629" s="650">
        <v>277512</v>
      </c>
      <c r="N629" s="650">
        <v>369005</v>
      </c>
      <c r="O629" s="650">
        <v>126591</v>
      </c>
      <c r="P629" s="650">
        <v>165752</v>
      </c>
      <c r="Q629" s="650">
        <v>55844.5</v>
      </c>
      <c r="R629" s="650">
        <v>119115</v>
      </c>
      <c r="S629" s="650">
        <v>218748</v>
      </c>
      <c r="T629" s="650">
        <v>56947.7</v>
      </c>
      <c r="U629" s="650">
        <v>36650.300000000003</v>
      </c>
      <c r="V629" s="650">
        <v>0</v>
      </c>
      <c r="W629" s="534"/>
      <c r="X629" s="534"/>
      <c r="Y629" s="534"/>
      <c r="Z629" s="534"/>
      <c r="AA629" s="666" t="s">
        <v>219</v>
      </c>
      <c r="AB629" s="504" t="s">
        <v>3</v>
      </c>
      <c r="AC629" s="545">
        <f>(AC622+AC628)/2</f>
        <v>0.38119624665106289</v>
      </c>
      <c r="AD629" s="545"/>
      <c r="AE629" s="545"/>
      <c r="AF629" s="545"/>
      <c r="AG629" s="545"/>
      <c r="AH629" s="545"/>
      <c r="AI629" s="545"/>
      <c r="AJ629" s="545">
        <f t="shared" ref="AJ629:AM629" si="148">(AJ622+AJ628)/2</f>
        <v>0.47677983409520408</v>
      </c>
      <c r="AK629" s="545">
        <f t="shared" si="148"/>
        <v>2.9589946651719472E-2</v>
      </c>
      <c r="AL629" s="545">
        <f t="shared" si="148"/>
        <v>0.45412051337057324</v>
      </c>
      <c r="AM629" s="545">
        <f t="shared" si="148"/>
        <v>0.31543211186862841</v>
      </c>
      <c r="AN629" s="780"/>
      <c r="AO629" s="780"/>
    </row>
    <row r="630" spans="1:41" s="591" customFormat="1" ht="15.75" thickBot="1" x14ac:dyDescent="0.3">
      <c r="A630" s="612"/>
      <c r="B630" s="504" t="s">
        <v>216</v>
      </c>
      <c r="C630" s="543">
        <f t="shared" ref="C630:D630" si="149">C629/C620</f>
        <v>1.1851973248345455</v>
      </c>
      <c r="D630" s="543">
        <f t="shared" si="149"/>
        <v>0.64021201634104385</v>
      </c>
      <c r="E630" s="543">
        <f>E629/E620</f>
        <v>0.64693220087870651</v>
      </c>
      <c r="F630" s="543">
        <f t="shared" ref="F630:V630" si="150">F629/F620</f>
        <v>1.4437567720226727</v>
      </c>
      <c r="G630" s="543">
        <f t="shared" si="150"/>
        <v>0.72346610981333126</v>
      </c>
      <c r="H630" s="543">
        <f t="shared" si="150"/>
        <v>3.372165448574882</v>
      </c>
      <c r="I630" s="543">
        <f t="shared" si="150"/>
        <v>0.9915855894006268</v>
      </c>
      <c r="J630" s="543">
        <f t="shared" si="150"/>
        <v>0.24619001713472366</v>
      </c>
      <c r="K630" s="543">
        <f t="shared" si="150"/>
        <v>0.99009248442527997</v>
      </c>
      <c r="L630" s="543">
        <f t="shared" si="150"/>
        <v>1.1520528005519488</v>
      </c>
      <c r="M630" s="543">
        <f t="shared" si="150"/>
        <v>1.4376692426167867</v>
      </c>
      <c r="N630" s="543">
        <f t="shared" si="150"/>
        <v>2.7926807025350993</v>
      </c>
      <c r="O630" s="543">
        <f t="shared" si="150"/>
        <v>1.5302333227764708</v>
      </c>
      <c r="P630" s="543">
        <f t="shared" si="150"/>
        <v>0.60108429584232381</v>
      </c>
      <c r="Q630" s="543">
        <f t="shared" si="150"/>
        <v>0.67504889600201134</v>
      </c>
      <c r="R630" s="543">
        <f t="shared" si="150"/>
        <v>0.63029945772498486</v>
      </c>
      <c r="S630" s="543">
        <f t="shared" si="150"/>
        <v>2.6293059410236777</v>
      </c>
      <c r="T630" s="543">
        <f t="shared" si="150"/>
        <v>1.032577831770956</v>
      </c>
      <c r="U630" s="543">
        <f t="shared" si="150"/>
        <v>1.1075777035705112</v>
      </c>
      <c r="V630" s="543">
        <f t="shared" si="150"/>
        <v>0</v>
      </c>
      <c r="W630" s="534"/>
      <c r="X630" s="534"/>
      <c r="Y630" s="534"/>
      <c r="Z630" s="534"/>
      <c r="AA630" s="666"/>
      <c r="AB630" s="504"/>
      <c r="AC630" s="545"/>
      <c r="AD630" s="545"/>
      <c r="AE630" s="545"/>
      <c r="AF630" s="545"/>
      <c r="AG630" s="545"/>
      <c r="AH630" s="545"/>
      <c r="AI630" s="545"/>
      <c r="AJ630" s="542"/>
      <c r="AK630" s="514"/>
      <c r="AL630" s="636"/>
      <c r="AM630" s="633"/>
      <c r="AN630" s="780"/>
      <c r="AO630" s="780"/>
    </row>
    <row r="631" spans="1:41" s="591" customFormat="1" ht="15.75" thickBot="1" x14ac:dyDescent="0.3">
      <c r="A631" s="1048">
        <v>41662</v>
      </c>
      <c r="B631" s="1048"/>
      <c r="C631" s="1048"/>
      <c r="D631" s="529"/>
      <c r="E631" s="529"/>
      <c r="F631" s="529"/>
      <c r="G631" s="529"/>
      <c r="H631" s="529"/>
      <c r="I631" s="525"/>
      <c r="J631" s="531"/>
      <c r="K631" s="531"/>
      <c r="L631" s="529"/>
      <c r="M631" s="529"/>
      <c r="N631" s="527"/>
      <c r="R631" s="526"/>
      <c r="S631" s="534"/>
      <c r="T631" s="534"/>
      <c r="U631" s="534"/>
      <c r="V631" s="534"/>
      <c r="W631" s="534"/>
      <c r="X631" s="534"/>
      <c r="Y631" s="534"/>
      <c r="Z631" s="534"/>
      <c r="AA631" s="1063"/>
      <c r="AB631" s="1064"/>
      <c r="AD631" s="743"/>
      <c r="AE631" s="743"/>
      <c r="AF631" s="743"/>
      <c r="AG631" s="743"/>
      <c r="AH631" s="743"/>
      <c r="AI631" s="743"/>
      <c r="AN631" s="743"/>
      <c r="AO631" s="743"/>
    </row>
    <row r="632" spans="1:41" s="591" customFormat="1" x14ac:dyDescent="0.25">
      <c r="A632" s="1049" t="s">
        <v>1</v>
      </c>
      <c r="B632" s="1050"/>
      <c r="C632" s="540" t="s">
        <v>12</v>
      </c>
      <c r="D632" s="539" t="s">
        <v>12</v>
      </c>
      <c r="E632" s="540" t="s">
        <v>13</v>
      </c>
      <c r="F632" s="530" t="s">
        <v>13</v>
      </c>
      <c r="G632" s="530" t="s">
        <v>13</v>
      </c>
      <c r="H632" s="530" t="s">
        <v>13</v>
      </c>
      <c r="I632" s="530" t="s">
        <v>13</v>
      </c>
      <c r="J632" s="536" t="s">
        <v>13</v>
      </c>
      <c r="K632" s="536" t="s">
        <v>13</v>
      </c>
      <c r="L632" s="539" t="s">
        <v>13</v>
      </c>
      <c r="M632" s="569" t="s">
        <v>2</v>
      </c>
      <c r="N632" s="530" t="s">
        <v>2</v>
      </c>
      <c r="O632" s="536" t="s">
        <v>2</v>
      </c>
      <c r="P632" s="530" t="s">
        <v>2</v>
      </c>
      <c r="Q632" s="536" t="s">
        <v>2</v>
      </c>
      <c r="R632" s="536" t="s">
        <v>2</v>
      </c>
      <c r="S632" s="539" t="s">
        <v>2</v>
      </c>
      <c r="T632" s="569" t="s">
        <v>183</v>
      </c>
      <c r="U632" s="570" t="s">
        <v>183</v>
      </c>
      <c r="V632" s="570" t="s">
        <v>2</v>
      </c>
      <c r="W632" s="534"/>
      <c r="X632" s="534"/>
      <c r="Y632" s="534"/>
      <c r="Z632" s="534"/>
      <c r="AA632" s="1049" t="s">
        <v>1</v>
      </c>
      <c r="AB632" s="1051"/>
      <c r="AC632" s="616" t="s">
        <v>12</v>
      </c>
      <c r="AD632" s="912"/>
      <c r="AE632" s="912"/>
      <c r="AF632" s="912"/>
      <c r="AG632" s="912"/>
      <c r="AH632" s="912"/>
      <c r="AI632" s="912"/>
      <c r="AJ632" s="1052" t="s">
        <v>13</v>
      </c>
      <c r="AK632" s="1053"/>
      <c r="AL632" s="1052" t="s">
        <v>2</v>
      </c>
      <c r="AM632" s="1053"/>
      <c r="AN632" s="776"/>
      <c r="AO632" s="776"/>
    </row>
    <row r="633" spans="1:41" s="591" customFormat="1" ht="15.75" thickBot="1" x14ac:dyDescent="0.3">
      <c r="A633" s="1054" t="s">
        <v>0</v>
      </c>
      <c r="B633" s="1055"/>
      <c r="C633" s="617" t="s">
        <v>99</v>
      </c>
      <c r="D633" s="618" t="s">
        <v>100</v>
      </c>
      <c r="E633" s="617" t="s">
        <v>101</v>
      </c>
      <c r="F633" s="619" t="s">
        <v>102</v>
      </c>
      <c r="G633" s="619" t="s">
        <v>97</v>
      </c>
      <c r="H633" s="619" t="s">
        <v>104</v>
      </c>
      <c r="I633" s="619" t="s">
        <v>103</v>
      </c>
      <c r="J633" s="521" t="s">
        <v>178</v>
      </c>
      <c r="K633" s="521" t="s">
        <v>199</v>
      </c>
      <c r="L633" s="517" t="s">
        <v>206</v>
      </c>
      <c r="M633" s="617" t="s">
        <v>105</v>
      </c>
      <c r="N633" s="619" t="s">
        <v>107</v>
      </c>
      <c r="O633" s="620" t="s">
        <v>98</v>
      </c>
      <c r="P633" s="516" t="s">
        <v>106</v>
      </c>
      <c r="Q633" s="620" t="s">
        <v>179</v>
      </c>
      <c r="R633" s="620" t="s">
        <v>198</v>
      </c>
      <c r="S633" s="618" t="s">
        <v>207</v>
      </c>
      <c r="T633" s="621" t="s">
        <v>182</v>
      </c>
      <c r="U633" s="618" t="s">
        <v>184</v>
      </c>
      <c r="V633" s="618" t="s">
        <v>220</v>
      </c>
      <c r="W633" s="526"/>
      <c r="X633" s="526"/>
      <c r="Y633" s="526"/>
      <c r="Z633" s="526"/>
      <c r="AA633" s="1054" t="s">
        <v>0</v>
      </c>
      <c r="AB633" s="1056"/>
      <c r="AC633" s="621" t="s">
        <v>99</v>
      </c>
      <c r="AD633" s="621"/>
      <c r="AE633" s="621"/>
      <c r="AF633" s="621"/>
      <c r="AG633" s="621"/>
      <c r="AH633" s="621"/>
      <c r="AI633" s="621"/>
      <c r="AJ633" s="617" t="s">
        <v>104</v>
      </c>
      <c r="AK633" s="618" t="s">
        <v>206</v>
      </c>
      <c r="AL633" s="622" t="s">
        <v>107</v>
      </c>
      <c r="AM633" s="623" t="s">
        <v>207</v>
      </c>
      <c r="AN633" s="777"/>
      <c r="AO633" s="777"/>
    </row>
    <row r="634" spans="1:41" s="591" customFormat="1" x14ac:dyDescent="0.25">
      <c r="A634" s="1057" t="s">
        <v>9</v>
      </c>
      <c r="B634" s="528" t="s">
        <v>4</v>
      </c>
      <c r="C634" s="541">
        <v>143393</v>
      </c>
      <c r="D634" s="538">
        <v>150516.70000000001</v>
      </c>
      <c r="E634" s="541">
        <v>150516.70000000001</v>
      </c>
      <c r="F634" s="533">
        <v>181998.8</v>
      </c>
      <c r="G634" s="533">
        <v>165453.5</v>
      </c>
      <c r="H634" s="533">
        <v>132132.9</v>
      </c>
      <c r="I634" s="533">
        <v>170968.6</v>
      </c>
      <c r="J634" s="537">
        <v>165453.5</v>
      </c>
      <c r="K634" s="537">
        <v>121382.6</v>
      </c>
      <c r="L634" s="538">
        <v>83196.100000000006</v>
      </c>
      <c r="M634" s="541">
        <v>193029.1</v>
      </c>
      <c r="N634" s="533">
        <v>132132.9</v>
      </c>
      <c r="O634" s="533">
        <v>82726.600000000006</v>
      </c>
      <c r="P634" s="533">
        <v>275755</v>
      </c>
      <c r="Q634" s="537">
        <v>82726.600000000006</v>
      </c>
      <c r="R634" s="537">
        <v>188981.6</v>
      </c>
      <c r="S634" s="538">
        <v>83196.100000000006</v>
      </c>
      <c r="T634" s="544">
        <v>55151</v>
      </c>
      <c r="U634" s="538">
        <v>33090.5</v>
      </c>
      <c r="V634" s="538">
        <v>100325</v>
      </c>
      <c r="W634" s="534"/>
      <c r="X634" s="534"/>
      <c r="Y634" s="534"/>
      <c r="Z634" s="534"/>
      <c r="AA634" s="613" t="s">
        <v>194</v>
      </c>
      <c r="AB634" s="524" t="s">
        <v>4</v>
      </c>
      <c r="AC634" s="544">
        <v>143393</v>
      </c>
      <c r="AD634" s="544"/>
      <c r="AE634" s="544"/>
      <c r="AF634" s="544"/>
      <c r="AG634" s="544"/>
      <c r="AH634" s="544"/>
      <c r="AI634" s="544"/>
      <c r="AJ634" s="541">
        <v>132132</v>
      </c>
      <c r="AK634" s="538">
        <v>83196.100000000006</v>
      </c>
      <c r="AL634" s="552">
        <v>132132.20000000001</v>
      </c>
      <c r="AM634" s="551">
        <v>83196.100000000006</v>
      </c>
      <c r="AN634" s="778"/>
      <c r="AO634" s="778"/>
    </row>
    <row r="635" spans="1:41" s="591" customFormat="1" x14ac:dyDescent="0.25">
      <c r="A635" s="1058"/>
      <c r="B635" s="624" t="s">
        <v>5</v>
      </c>
      <c r="C635" s="625">
        <v>52669.3</v>
      </c>
      <c r="D635" s="626">
        <v>82312.3</v>
      </c>
      <c r="E635" s="625">
        <v>83654.100000000006</v>
      </c>
      <c r="F635" s="627">
        <v>156939.5</v>
      </c>
      <c r="G635" s="627">
        <v>111398.3</v>
      </c>
      <c r="H635" s="627">
        <v>63816.2</v>
      </c>
      <c r="I635" s="627">
        <v>112922.9</v>
      </c>
      <c r="J635" s="628">
        <v>31973.8</v>
      </c>
      <c r="K635" s="628">
        <v>59106.9</v>
      </c>
      <c r="L635" s="626">
        <v>2804.8</v>
      </c>
      <c r="M635" s="625">
        <v>169931</v>
      </c>
      <c r="N635" s="627">
        <v>72628.800000000003</v>
      </c>
      <c r="O635" s="627">
        <v>57511.7</v>
      </c>
      <c r="P635" s="627">
        <v>208378</v>
      </c>
      <c r="Q635" s="628">
        <v>16588.099999999999</v>
      </c>
      <c r="R635" s="628">
        <v>94220.800000000003</v>
      </c>
      <c r="S635" s="626">
        <v>33748.400000000001</v>
      </c>
      <c r="T635" s="629">
        <v>14096.1</v>
      </c>
      <c r="U635" s="626">
        <v>7319.5</v>
      </c>
      <c r="V635" s="626">
        <v>3.1</v>
      </c>
      <c r="W635" s="534"/>
      <c r="X635" s="534"/>
      <c r="Y635" s="534"/>
      <c r="Z635" s="534"/>
      <c r="AA635" s="614"/>
      <c r="AB635" s="630" t="s">
        <v>5</v>
      </c>
      <c r="AC635" s="629">
        <v>51964.9</v>
      </c>
      <c r="AD635" s="936"/>
      <c r="AE635" s="936"/>
      <c r="AF635" s="936"/>
      <c r="AG635" s="936"/>
      <c r="AH635" s="936"/>
      <c r="AI635" s="936"/>
      <c r="AJ635" s="625">
        <v>58542</v>
      </c>
      <c r="AK635" s="626">
        <v>2519</v>
      </c>
      <c r="AL635" s="631">
        <v>70731</v>
      </c>
      <c r="AM635" s="632">
        <v>31444.9</v>
      </c>
      <c r="AN635" s="779"/>
      <c r="AO635" s="779"/>
    </row>
    <row r="636" spans="1:41" s="591" customFormat="1" ht="15.75" thickBot="1" x14ac:dyDescent="0.3">
      <c r="A636" s="1059"/>
      <c r="B636" s="504" t="s">
        <v>3</v>
      </c>
      <c r="C636" s="542">
        <f t="shared" ref="C636:L636" si="151">C635/C634</f>
        <v>0.36730733020440332</v>
      </c>
      <c r="D636" s="633">
        <f t="shared" si="151"/>
        <v>0.54686489937661398</v>
      </c>
      <c r="E636" s="542">
        <f t="shared" si="151"/>
        <v>0.55577952479691617</v>
      </c>
      <c r="F636" s="519">
        <f t="shared" si="151"/>
        <v>0.86231063061954261</v>
      </c>
      <c r="G636" s="498">
        <f t="shared" si="151"/>
        <v>0.6732906828806885</v>
      </c>
      <c r="H636" s="498">
        <f t="shared" si="151"/>
        <v>0.48296979783233396</v>
      </c>
      <c r="I636" s="498">
        <f t="shared" si="151"/>
        <v>0.66048911905460994</v>
      </c>
      <c r="J636" s="506">
        <f t="shared" si="151"/>
        <v>0.19324946284001246</v>
      </c>
      <c r="K636" s="506">
        <f t="shared" si="151"/>
        <v>0.48694705830984014</v>
      </c>
      <c r="L636" s="514">
        <f t="shared" si="151"/>
        <v>3.3713118763980525E-2</v>
      </c>
      <c r="M636" s="547">
        <f>M635/M634</f>
        <v>0.88033876757442264</v>
      </c>
      <c r="N636" s="498">
        <f>N635/N634</f>
        <v>0.54966476933451103</v>
      </c>
      <c r="O636" s="506">
        <f>O635/O634</f>
        <v>0.69520202691758148</v>
      </c>
      <c r="P636" s="498">
        <f>P635/P634</f>
        <v>0.75566354191220464</v>
      </c>
      <c r="Q636" s="506">
        <f>Q635/Q634</f>
        <v>0.20051712508431385</v>
      </c>
      <c r="R636" s="506">
        <f t="shared" ref="R636:S636" si="152">R635/R634</f>
        <v>0.49857128948003404</v>
      </c>
      <c r="S636" s="514">
        <f t="shared" si="152"/>
        <v>0.40564882248086148</v>
      </c>
      <c r="T636" s="545">
        <f>T635/T634</f>
        <v>0.25559101376221649</v>
      </c>
      <c r="U636" s="514">
        <f>U635/U634</f>
        <v>0.22119641588975689</v>
      </c>
      <c r="V636" s="514">
        <f>V635/V634</f>
        <v>3.089957637677548E-5</v>
      </c>
      <c r="W636" s="534"/>
      <c r="X636" s="534"/>
      <c r="Y636" s="534"/>
      <c r="Z636" s="534"/>
      <c r="AA636" s="615"/>
      <c r="AB636" s="634" t="s">
        <v>3</v>
      </c>
      <c r="AC636" s="635">
        <f>AC635/AC634</f>
        <v>0.36239495651810061</v>
      </c>
      <c r="AD636" s="635"/>
      <c r="AE636" s="635"/>
      <c r="AF636" s="635"/>
      <c r="AG636" s="635"/>
      <c r="AH636" s="635"/>
      <c r="AI636" s="635"/>
      <c r="AJ636" s="542">
        <f>AJ635/AJ634</f>
        <v>0.44305694305694304</v>
      </c>
      <c r="AK636" s="514">
        <f>AK635/AK634</f>
        <v>3.0277861582453984E-2</v>
      </c>
      <c r="AL636" s="636">
        <f>AL635/AL634</f>
        <v>0.53530479322981073</v>
      </c>
      <c r="AM636" s="633">
        <f>AM635/AM634</f>
        <v>0.37796122654787906</v>
      </c>
      <c r="AN636" s="780"/>
      <c r="AO636" s="780"/>
    </row>
    <row r="637" spans="1:41" s="591" customFormat="1" x14ac:dyDescent="0.25">
      <c r="A637" s="1060" t="s">
        <v>6</v>
      </c>
      <c r="B637" s="553" t="s">
        <v>7</v>
      </c>
      <c r="C637" s="554">
        <v>5870</v>
      </c>
      <c r="D637" s="555">
        <v>3333</v>
      </c>
      <c r="E637" s="554">
        <v>3330</v>
      </c>
      <c r="F637" s="556">
        <v>9457</v>
      </c>
      <c r="G637" s="556">
        <v>8135</v>
      </c>
      <c r="H637" s="556">
        <v>15703</v>
      </c>
      <c r="I637" s="556">
        <v>8197</v>
      </c>
      <c r="J637" s="557">
        <v>9599</v>
      </c>
      <c r="K637" s="557">
        <v>6153</v>
      </c>
      <c r="L637" s="555">
        <v>8399</v>
      </c>
      <c r="M637" s="554">
        <v>9092</v>
      </c>
      <c r="N637" s="556">
        <v>11924</v>
      </c>
      <c r="O637" s="556">
        <v>4265</v>
      </c>
      <c r="P637" s="556">
        <v>10852</v>
      </c>
      <c r="Q637" s="557">
        <v>4799</v>
      </c>
      <c r="R637" s="557">
        <v>9272</v>
      </c>
      <c r="S637" s="555">
        <v>11205</v>
      </c>
      <c r="T637" s="558">
        <v>2480</v>
      </c>
      <c r="U637" s="555">
        <v>1570</v>
      </c>
      <c r="V637" s="555">
        <v>3999</v>
      </c>
      <c r="W637" s="559" t="s">
        <v>197</v>
      </c>
      <c r="X637" s="561"/>
      <c r="Y637" s="561"/>
      <c r="Z637" s="561"/>
      <c r="AA637" s="562" t="s">
        <v>190</v>
      </c>
      <c r="AB637" s="553" t="s">
        <v>4</v>
      </c>
      <c r="AC637" s="564">
        <v>9191.7999999999993</v>
      </c>
      <c r="AD637" s="564"/>
      <c r="AE637" s="564"/>
      <c r="AF637" s="564"/>
      <c r="AG637" s="564"/>
      <c r="AH637" s="564"/>
      <c r="AI637" s="564"/>
      <c r="AJ637" s="565">
        <v>13787.7</v>
      </c>
      <c r="AK637" s="566">
        <v>8804.7999999999993</v>
      </c>
      <c r="AL637" s="567">
        <v>13787.7</v>
      </c>
      <c r="AM637" s="568">
        <v>8804.7999999999993</v>
      </c>
      <c r="AN637" s="781"/>
      <c r="AO637" s="781"/>
    </row>
    <row r="638" spans="1:41" s="591" customFormat="1" x14ac:dyDescent="0.25">
      <c r="A638" s="1061"/>
      <c r="B638" s="637" t="s">
        <v>11</v>
      </c>
      <c r="C638" s="638">
        <f t="shared" ref="C638:L638" si="153">C637*33.717</f>
        <v>197918.78999999998</v>
      </c>
      <c r="D638" s="639">
        <f t="shared" si="153"/>
        <v>112378.761</v>
      </c>
      <c r="E638" s="638">
        <f t="shared" si="153"/>
        <v>112277.61</v>
      </c>
      <c r="F638" s="640">
        <f t="shared" si="153"/>
        <v>318861.66899999999</v>
      </c>
      <c r="G638" s="641">
        <f t="shared" si="153"/>
        <v>274287.79499999998</v>
      </c>
      <c r="H638" s="642">
        <f t="shared" si="153"/>
        <v>529458.05099999998</v>
      </c>
      <c r="I638" s="642">
        <f t="shared" si="153"/>
        <v>276378.24900000001</v>
      </c>
      <c r="J638" s="640">
        <f t="shared" si="153"/>
        <v>323649.48300000001</v>
      </c>
      <c r="K638" s="643">
        <f t="shared" si="153"/>
        <v>207460.701</v>
      </c>
      <c r="L638" s="639">
        <f t="shared" si="153"/>
        <v>283189.08299999998</v>
      </c>
      <c r="M638" s="644">
        <f>M637*33.717</f>
        <v>306554.96399999998</v>
      </c>
      <c r="N638" s="641">
        <f>N637*33.717</f>
        <v>402041.50799999997</v>
      </c>
      <c r="O638" s="641">
        <f>O637*33.717</f>
        <v>143803.005</v>
      </c>
      <c r="P638" s="642">
        <f>P637*33.717</f>
        <v>365896.88399999996</v>
      </c>
      <c r="Q638" s="640">
        <f>Q637*33.717</f>
        <v>161807.883</v>
      </c>
      <c r="R638" s="643">
        <f t="shared" ref="R638:S638" si="154">R637*33.717</f>
        <v>312624.02399999998</v>
      </c>
      <c r="S638" s="639">
        <f t="shared" si="154"/>
        <v>377798.98499999999</v>
      </c>
      <c r="T638" s="638">
        <f>T637*33.717</f>
        <v>83618.16</v>
      </c>
      <c r="U638" s="642">
        <f>U637*33.717</f>
        <v>52935.689999999995</v>
      </c>
      <c r="V638" s="642">
        <f>V637*33.717</f>
        <v>134834.283</v>
      </c>
      <c r="W638" s="534"/>
      <c r="X638" s="534"/>
      <c r="Y638" s="534"/>
      <c r="Z638" s="534"/>
      <c r="AA638" s="614"/>
      <c r="AB638" s="624" t="s">
        <v>5</v>
      </c>
      <c r="AC638" s="629">
        <v>7975.5</v>
      </c>
      <c r="AD638" s="936"/>
      <c r="AE638" s="936"/>
      <c r="AF638" s="936"/>
      <c r="AG638" s="936"/>
      <c r="AH638" s="936"/>
      <c r="AI638" s="936"/>
      <c r="AJ638" s="625">
        <v>13649</v>
      </c>
      <c r="AK638" s="626">
        <v>1289.9000000000001</v>
      </c>
      <c r="AL638" s="631">
        <v>13642</v>
      </c>
      <c r="AM638" s="632">
        <v>5483.9</v>
      </c>
      <c r="AN638" s="779"/>
      <c r="AO638" s="779"/>
    </row>
    <row r="639" spans="1:41" s="591" customFormat="1" ht="15.75" thickBot="1" x14ac:dyDescent="0.3">
      <c r="A639" s="1061"/>
      <c r="B639" s="637" t="s">
        <v>79</v>
      </c>
      <c r="C639" s="638">
        <v>164000</v>
      </c>
      <c r="D639" s="639">
        <v>109880</v>
      </c>
      <c r="E639" s="638">
        <v>109880</v>
      </c>
      <c r="F639" s="641">
        <v>328000</v>
      </c>
      <c r="G639" s="641">
        <v>330905</v>
      </c>
      <c r="H639" s="641">
        <v>264264</v>
      </c>
      <c r="I639" s="641">
        <v>242663.6</v>
      </c>
      <c r="J639" s="643">
        <v>328000</v>
      </c>
      <c r="K639" s="643">
        <v>328000</v>
      </c>
      <c r="L639" s="639">
        <v>328000</v>
      </c>
      <c r="M639" s="638">
        <v>328000</v>
      </c>
      <c r="N639" s="641">
        <v>264264.40000000002</v>
      </c>
      <c r="O639" s="641">
        <v>328000</v>
      </c>
      <c r="P639" s="641">
        <v>352965.4</v>
      </c>
      <c r="Q639" s="643">
        <v>328000</v>
      </c>
      <c r="R639" s="643">
        <v>328000</v>
      </c>
      <c r="S639" s="639">
        <v>328000</v>
      </c>
      <c r="T639" s="644">
        <f>2*T634</f>
        <v>110302</v>
      </c>
      <c r="U639" s="639">
        <f>2*U634</f>
        <v>66181</v>
      </c>
      <c r="V639" s="639">
        <f>2*V634</f>
        <v>200650</v>
      </c>
      <c r="W639" s="534"/>
      <c r="X639" s="534"/>
      <c r="Y639" s="534"/>
      <c r="Z639" s="534"/>
      <c r="AA639" s="615"/>
      <c r="AB639" s="645" t="s">
        <v>3</v>
      </c>
      <c r="AC639" s="635">
        <f>AC638/AC637</f>
        <v>0.86767553689157739</v>
      </c>
      <c r="AD639" s="635"/>
      <c r="AE639" s="635"/>
      <c r="AF639" s="635"/>
      <c r="AG639" s="635"/>
      <c r="AH639" s="635"/>
      <c r="AI639" s="635"/>
      <c r="AJ639" s="646">
        <f>AJ638/AJ637</f>
        <v>0.98994030911609621</v>
      </c>
      <c r="AK639" s="647">
        <f>AK638/AK637</f>
        <v>0.14649963656187537</v>
      </c>
      <c r="AL639" s="648">
        <f>AL638/AL637</f>
        <v>0.98943261022505558</v>
      </c>
      <c r="AM639" s="649">
        <f>AM638/AM637</f>
        <v>0.62283072869343992</v>
      </c>
      <c r="AN639" s="780"/>
      <c r="AO639" s="780"/>
    </row>
    <row r="640" spans="1:41" s="591" customFormat="1" x14ac:dyDescent="0.25">
      <c r="A640" s="1061"/>
      <c r="B640" s="624" t="s">
        <v>8</v>
      </c>
      <c r="C640" s="650">
        <f>SUM(C637-295)</f>
        <v>5575</v>
      </c>
      <c r="D640" s="651">
        <f>SUM(D637-463)</f>
        <v>2870</v>
      </c>
      <c r="E640" s="650">
        <f>SUM(E637-430)</f>
        <v>2900</v>
      </c>
      <c r="F640" s="652">
        <f>SUM(F637-1130)</f>
        <v>8327</v>
      </c>
      <c r="G640" s="652">
        <f>SUM(G637-4517)</f>
        <v>3618</v>
      </c>
      <c r="H640" s="652">
        <f>SUM(H637-2041)</f>
        <v>13662</v>
      </c>
      <c r="I640" s="652">
        <f>SUM(I637-(3169-2000))</f>
        <v>7028</v>
      </c>
      <c r="J640" s="653">
        <f>SUM(J637-8392)</f>
        <v>1207</v>
      </c>
      <c r="K640" s="653">
        <f>SUM(K637-2591)</f>
        <v>3562</v>
      </c>
      <c r="L640" s="651">
        <f>SUM(L637-5559)</f>
        <v>2840</v>
      </c>
      <c r="M640" s="650">
        <f>SUM(M637-744)</f>
        <v>8348</v>
      </c>
      <c r="N640" s="652">
        <f>SUM(N637-986)</f>
        <v>10938</v>
      </c>
      <c r="O640" s="653">
        <f>SUM(O637-512)</f>
        <v>3753</v>
      </c>
      <c r="P640" s="652">
        <f>SUM(P637-(4974-2614))</f>
        <v>8492</v>
      </c>
      <c r="Q640" s="653">
        <f>SUM(Q637-3144)</f>
        <v>1655</v>
      </c>
      <c r="R640" s="653">
        <f>SUM(R637-5351)</f>
        <v>3921</v>
      </c>
      <c r="S640" s="651">
        <f>SUM(S637-4722)</f>
        <v>6483</v>
      </c>
      <c r="T640" s="654">
        <f>SUM(T637-791)</f>
        <v>1689</v>
      </c>
      <c r="U640" s="651">
        <f>SUM(U637-483)</f>
        <v>1087</v>
      </c>
      <c r="V640" s="651">
        <f>SUM(V637-4000)</f>
        <v>-1</v>
      </c>
      <c r="W640" s="526"/>
      <c r="X640" s="534"/>
      <c r="Y640" s="534"/>
      <c r="Z640" s="534"/>
      <c r="AA640" s="613" t="s">
        <v>191</v>
      </c>
      <c r="AB640" s="528" t="s">
        <v>4</v>
      </c>
      <c r="AC640" s="544">
        <v>97433.600000000006</v>
      </c>
      <c r="AD640" s="544"/>
      <c r="AE640" s="544"/>
      <c r="AF640" s="544"/>
      <c r="AG640" s="544"/>
      <c r="AH640" s="544"/>
      <c r="AI640" s="544"/>
      <c r="AJ640" s="541">
        <v>243584.4</v>
      </c>
      <c r="AK640" s="538">
        <v>132070.29999999999</v>
      </c>
      <c r="AL640" s="552">
        <v>292299.3</v>
      </c>
      <c r="AM640" s="551">
        <v>132070.39999999999</v>
      </c>
      <c r="AN640" s="778"/>
      <c r="AO640" s="778"/>
    </row>
    <row r="641" spans="1:41" s="591" customFormat="1" x14ac:dyDescent="0.25">
      <c r="A641" s="1061"/>
      <c r="B641" s="655" t="s">
        <v>77</v>
      </c>
      <c r="C641" s="638">
        <f t="shared" ref="C641:H641" si="155">(C640*33.717)</f>
        <v>187972.27499999999</v>
      </c>
      <c r="D641" s="656">
        <f t="shared" si="155"/>
        <v>96767.79</v>
      </c>
      <c r="E641" s="638">
        <f t="shared" si="155"/>
        <v>97779.3</v>
      </c>
      <c r="F641" s="656">
        <f t="shared" si="155"/>
        <v>280761.45899999997</v>
      </c>
      <c r="G641" s="657">
        <f t="shared" si="155"/>
        <v>121988.106</v>
      </c>
      <c r="H641" s="657">
        <f t="shared" si="155"/>
        <v>460641.65399999998</v>
      </c>
      <c r="I641" s="657">
        <f>(I640*33.717)-(2000*33.717)</f>
        <v>169529.076</v>
      </c>
      <c r="J641" s="658">
        <f>J640*33.717</f>
        <v>40696.419000000002</v>
      </c>
      <c r="K641" s="658">
        <f>K640*33.717</f>
        <v>120099.954</v>
      </c>
      <c r="L641" s="659">
        <f>L640*33.717</f>
        <v>95756.28</v>
      </c>
      <c r="M641" s="660">
        <f>M640*33.717</f>
        <v>281469.516</v>
      </c>
      <c r="N641" s="657">
        <f>N640*33.717</f>
        <v>368796.54599999997</v>
      </c>
      <c r="O641" s="657">
        <f>(O640*33.717)</f>
        <v>126539.901</v>
      </c>
      <c r="P641" s="657">
        <f>P640*33.717-(2614*33.717)</f>
        <v>198188.52599999995</v>
      </c>
      <c r="Q641" s="658">
        <f t="shared" ref="Q641:U641" si="156">Q640*33.717</f>
        <v>55801.634999999995</v>
      </c>
      <c r="R641" s="658">
        <f t="shared" si="156"/>
        <v>132204.35699999999</v>
      </c>
      <c r="S641" s="659">
        <f t="shared" si="156"/>
        <v>218587.31099999999</v>
      </c>
      <c r="T641" s="661">
        <f t="shared" si="156"/>
        <v>56948.012999999999</v>
      </c>
      <c r="U641" s="662">
        <f t="shared" si="156"/>
        <v>36650.379000000001</v>
      </c>
      <c r="V641" s="662">
        <f t="shared" ref="V641" si="157">V640*33.717</f>
        <v>-33.716999999999999</v>
      </c>
      <c r="W641" s="532">
        <f>344240-H641</f>
        <v>-116401.65399999998</v>
      </c>
      <c r="X641" s="534"/>
      <c r="Y641" s="534"/>
      <c r="Z641" s="534"/>
      <c r="AA641" s="614"/>
      <c r="AB641" s="624" t="s">
        <v>5</v>
      </c>
      <c r="AC641" s="629">
        <v>38973.199999999997</v>
      </c>
      <c r="AD641" s="936"/>
      <c r="AE641" s="936"/>
      <c r="AF641" s="936"/>
      <c r="AG641" s="936"/>
      <c r="AH641" s="936"/>
      <c r="AI641" s="936"/>
      <c r="AJ641" s="625">
        <v>124350.5</v>
      </c>
      <c r="AK641" s="626">
        <v>3817.1</v>
      </c>
      <c r="AL641" s="631">
        <v>109009</v>
      </c>
      <c r="AM641" s="632">
        <v>33401</v>
      </c>
      <c r="AN641" s="779"/>
      <c r="AO641" s="779"/>
    </row>
    <row r="642" spans="1:41" s="591" customFormat="1" ht="15.75" thickBot="1" x14ac:dyDescent="0.3">
      <c r="A642" s="1062"/>
      <c r="B642" s="504" t="s">
        <v>217</v>
      </c>
      <c r="C642" s="542">
        <f t="shared" ref="C642:U642" si="158">C641/C634</f>
        <v>1.3108887811817871</v>
      </c>
      <c r="D642" s="514">
        <f t="shared" si="158"/>
        <v>0.64290400998693154</v>
      </c>
      <c r="E642" s="543">
        <f t="shared" si="158"/>
        <v>0.64962426096240478</v>
      </c>
      <c r="F642" s="501">
        <f t="shared" si="158"/>
        <v>1.542655550476157</v>
      </c>
      <c r="G642" s="501">
        <f t="shared" si="158"/>
        <v>0.73729540928417958</v>
      </c>
      <c r="H642" s="501">
        <f t="shared" si="158"/>
        <v>3.4861995309268168</v>
      </c>
      <c r="I642" s="501">
        <f t="shared" si="158"/>
        <v>0.99158018489944932</v>
      </c>
      <c r="J642" s="520">
        <f t="shared" si="158"/>
        <v>0.24596892178164864</v>
      </c>
      <c r="K642" s="520">
        <f t="shared" si="158"/>
        <v>0.98943303241156466</v>
      </c>
      <c r="L642" s="515">
        <f t="shared" si="158"/>
        <v>1.1509707786783274</v>
      </c>
      <c r="M642" s="543">
        <f t="shared" si="158"/>
        <v>1.4581714156052119</v>
      </c>
      <c r="N642" s="501">
        <f t="shared" si="158"/>
        <v>2.7911030939304289</v>
      </c>
      <c r="O642" s="501">
        <f t="shared" si="158"/>
        <v>1.5296156375337557</v>
      </c>
      <c r="P642" s="663">
        <f t="shared" si="158"/>
        <v>0.71871235698355407</v>
      </c>
      <c r="Q642" s="520">
        <f t="shared" si="158"/>
        <v>0.67453074343681463</v>
      </c>
      <c r="R642" s="520">
        <f t="shared" si="158"/>
        <v>0.69956205789346682</v>
      </c>
      <c r="S642" s="515">
        <f t="shared" si="158"/>
        <v>2.6273744923139422</v>
      </c>
      <c r="T642" s="542">
        <f t="shared" si="158"/>
        <v>1.0325835070986926</v>
      </c>
      <c r="U642" s="514">
        <f t="shared" si="158"/>
        <v>1.107580090962663</v>
      </c>
      <c r="V642" s="514">
        <f t="shared" ref="V642" si="159">V641/V634</f>
        <v>-3.3607774732120606E-4</v>
      </c>
      <c r="W642" s="534"/>
      <c r="X642" s="534"/>
      <c r="Y642" s="534"/>
      <c r="Z642" s="534"/>
      <c r="AA642" s="615"/>
      <c r="AB642" s="504" t="s">
        <v>3</v>
      </c>
      <c r="AC642" s="545">
        <f>AC641/AC640</f>
        <v>0.39999753678402516</v>
      </c>
      <c r="AD642" s="545"/>
      <c r="AE642" s="545"/>
      <c r="AF642" s="545"/>
      <c r="AG642" s="545"/>
      <c r="AH642" s="545"/>
      <c r="AI642" s="545"/>
      <c r="AJ642" s="542">
        <f>AJ641/AJ640</f>
        <v>0.51050272513346506</v>
      </c>
      <c r="AK642" s="514">
        <f>AK641/AK640</f>
        <v>2.8902031720984961E-2</v>
      </c>
      <c r="AL642" s="636">
        <f>AL641/AL640</f>
        <v>0.37293623351133581</v>
      </c>
      <c r="AM642" s="633">
        <f>AM641/AM640</f>
        <v>0.25290299718937781</v>
      </c>
      <c r="AN642" s="780"/>
      <c r="AO642" s="780"/>
    </row>
    <row r="643" spans="1:41" s="591" customFormat="1" ht="15.75" thickBot="1" x14ac:dyDescent="0.3">
      <c r="A643" s="612"/>
      <c r="B643" s="504" t="s">
        <v>218</v>
      </c>
      <c r="C643" s="650">
        <v>169949</v>
      </c>
      <c r="D643" s="650">
        <v>96362.6</v>
      </c>
      <c r="E643" s="650">
        <v>97374.1</v>
      </c>
      <c r="F643" s="650">
        <v>262762</v>
      </c>
      <c r="G643" s="650">
        <v>119700</v>
      </c>
      <c r="H643" s="650">
        <v>445574</v>
      </c>
      <c r="I643" s="650">
        <v>169530</v>
      </c>
      <c r="J643" s="650">
        <v>40733</v>
      </c>
      <c r="K643" s="650">
        <v>120180</v>
      </c>
      <c r="L643" s="650">
        <v>95846.3</v>
      </c>
      <c r="M643" s="650">
        <v>277512</v>
      </c>
      <c r="N643" s="650">
        <v>369005</v>
      </c>
      <c r="O643" s="650">
        <v>126591</v>
      </c>
      <c r="P643" s="650">
        <v>165752</v>
      </c>
      <c r="Q643" s="650">
        <v>55844.5</v>
      </c>
      <c r="R643" s="650">
        <v>119115</v>
      </c>
      <c r="S643" s="650">
        <v>218748</v>
      </c>
      <c r="T643" s="650">
        <v>56947.7</v>
      </c>
      <c r="U643" s="650">
        <v>36650.300000000003</v>
      </c>
      <c r="V643" s="650">
        <v>0</v>
      </c>
      <c r="W643" s="534"/>
      <c r="X643" s="534"/>
      <c r="Y643" s="534"/>
      <c r="Z643" s="534"/>
      <c r="AA643" s="615" t="s">
        <v>219</v>
      </c>
      <c r="AB643" s="504" t="s">
        <v>3</v>
      </c>
      <c r="AC643" s="545">
        <f>(AC636+AC642)/2</f>
        <v>0.38119624665106289</v>
      </c>
      <c r="AD643" s="545"/>
      <c r="AE643" s="545"/>
      <c r="AF643" s="545"/>
      <c r="AG643" s="545"/>
      <c r="AH643" s="545"/>
      <c r="AI643" s="545"/>
      <c r="AJ643" s="545">
        <f t="shared" ref="AJ643:AM643" si="160">(AJ636+AJ642)/2</f>
        <v>0.47677983409520408</v>
      </c>
      <c r="AK643" s="545">
        <f t="shared" si="160"/>
        <v>2.9589946651719472E-2</v>
      </c>
      <c r="AL643" s="545">
        <f t="shared" si="160"/>
        <v>0.45412051337057324</v>
      </c>
      <c r="AM643" s="545">
        <f t="shared" si="160"/>
        <v>0.31543211186862841</v>
      </c>
      <c r="AN643" s="780"/>
      <c r="AO643" s="780"/>
    </row>
    <row r="644" spans="1:41" s="591" customFormat="1" ht="15.75" thickBot="1" x14ac:dyDescent="0.3">
      <c r="A644" s="612"/>
      <c r="B644" s="504" t="s">
        <v>216</v>
      </c>
      <c r="C644" s="543">
        <f t="shared" ref="C644:D644" si="161">C643/C634</f>
        <v>1.1851973248345455</v>
      </c>
      <c r="D644" s="543">
        <f t="shared" si="161"/>
        <v>0.64021201634104385</v>
      </c>
      <c r="E644" s="543">
        <f>E643/E634</f>
        <v>0.64693220087870651</v>
      </c>
      <c r="F644" s="543">
        <f t="shared" ref="F644:U644" si="162">F643/F634</f>
        <v>1.4437567720226727</v>
      </c>
      <c r="G644" s="543">
        <f t="shared" si="162"/>
        <v>0.72346610981333126</v>
      </c>
      <c r="H644" s="543">
        <f t="shared" si="162"/>
        <v>3.372165448574882</v>
      </c>
      <c r="I644" s="543">
        <f t="shared" si="162"/>
        <v>0.9915855894006268</v>
      </c>
      <c r="J644" s="543">
        <f t="shared" si="162"/>
        <v>0.24619001713472366</v>
      </c>
      <c r="K644" s="543">
        <f t="shared" si="162"/>
        <v>0.99009248442527997</v>
      </c>
      <c r="L644" s="543">
        <f t="shared" si="162"/>
        <v>1.1520528005519488</v>
      </c>
      <c r="M644" s="543">
        <f t="shared" si="162"/>
        <v>1.4376692426167867</v>
      </c>
      <c r="N644" s="543">
        <f t="shared" si="162"/>
        <v>2.7926807025350993</v>
      </c>
      <c r="O644" s="543">
        <f t="shared" si="162"/>
        <v>1.5302333227764708</v>
      </c>
      <c r="P644" s="543">
        <f t="shared" si="162"/>
        <v>0.60108429584232381</v>
      </c>
      <c r="Q644" s="543">
        <f t="shared" si="162"/>
        <v>0.67504889600201134</v>
      </c>
      <c r="R644" s="543">
        <f t="shared" si="162"/>
        <v>0.63029945772498486</v>
      </c>
      <c r="S644" s="543">
        <f t="shared" si="162"/>
        <v>2.6293059410236777</v>
      </c>
      <c r="T644" s="543">
        <f t="shared" si="162"/>
        <v>1.032577831770956</v>
      </c>
      <c r="U644" s="543">
        <f t="shared" si="162"/>
        <v>1.1075777035705112</v>
      </c>
      <c r="V644" s="543">
        <f t="shared" ref="V644" si="163">V643/V634</f>
        <v>0</v>
      </c>
      <c r="W644" s="534"/>
      <c r="X644" s="534"/>
      <c r="Y644" s="534"/>
      <c r="Z644" s="534"/>
      <c r="AA644" s="615"/>
      <c r="AB644" s="504"/>
      <c r="AC644" s="545"/>
      <c r="AD644" s="545"/>
      <c r="AE644" s="545"/>
      <c r="AF644" s="545"/>
      <c r="AG644" s="545"/>
      <c r="AH644" s="545"/>
      <c r="AI644" s="545"/>
      <c r="AJ644" s="542"/>
      <c r="AK644" s="514"/>
      <c r="AL644" s="636"/>
      <c r="AM644" s="633"/>
      <c r="AN644" s="780"/>
      <c r="AO644" s="780"/>
    </row>
    <row r="645" spans="1:41" s="591" customFormat="1" ht="15.75" thickBot="1" x14ac:dyDescent="0.3">
      <c r="A645" s="1048">
        <v>41655</v>
      </c>
      <c r="B645" s="1048"/>
      <c r="C645" s="1048"/>
      <c r="D645" s="529"/>
      <c r="E645" s="529"/>
      <c r="F645" s="529"/>
      <c r="G645" s="529"/>
      <c r="H645" s="529"/>
      <c r="I645" s="525"/>
      <c r="J645" s="531"/>
      <c r="K645" s="531"/>
      <c r="L645" s="529"/>
      <c r="M645" s="529"/>
      <c r="N645" s="527"/>
      <c r="R645" s="526"/>
      <c r="S645" s="534"/>
      <c r="T645" s="534"/>
      <c r="U645" s="534"/>
      <c r="V645" s="534"/>
      <c r="W645" s="534"/>
      <c r="X645" s="534"/>
      <c r="Y645" s="534"/>
      <c r="Z645" s="534"/>
      <c r="AA645" s="1063"/>
      <c r="AB645" s="1064"/>
      <c r="AD645" s="743"/>
      <c r="AE645" s="743"/>
      <c r="AF645" s="743"/>
      <c r="AG645" s="743"/>
      <c r="AH645" s="743"/>
      <c r="AI645" s="743"/>
      <c r="AN645" s="743"/>
      <c r="AO645" s="743"/>
    </row>
    <row r="646" spans="1:41" s="591" customFormat="1" x14ac:dyDescent="0.25">
      <c r="A646" s="1049" t="s">
        <v>1</v>
      </c>
      <c r="B646" s="1050"/>
      <c r="C646" s="540" t="s">
        <v>12</v>
      </c>
      <c r="D646" s="539" t="s">
        <v>12</v>
      </c>
      <c r="E646" s="540" t="s">
        <v>13</v>
      </c>
      <c r="F646" s="530" t="s">
        <v>13</v>
      </c>
      <c r="G646" s="530" t="s">
        <v>13</v>
      </c>
      <c r="H646" s="530" t="s">
        <v>13</v>
      </c>
      <c r="I646" s="530" t="s">
        <v>13</v>
      </c>
      <c r="J646" s="536" t="s">
        <v>13</v>
      </c>
      <c r="K646" s="536" t="s">
        <v>13</v>
      </c>
      <c r="L646" s="539" t="s">
        <v>13</v>
      </c>
      <c r="M646" s="569" t="s">
        <v>2</v>
      </c>
      <c r="N646" s="530" t="s">
        <v>2</v>
      </c>
      <c r="O646" s="536" t="s">
        <v>2</v>
      </c>
      <c r="P646" s="530" t="s">
        <v>2</v>
      </c>
      <c r="Q646" s="536" t="s">
        <v>2</v>
      </c>
      <c r="R646" s="536" t="s">
        <v>2</v>
      </c>
      <c r="S646" s="539" t="s">
        <v>2</v>
      </c>
      <c r="T646" s="569" t="s">
        <v>183</v>
      </c>
      <c r="U646" s="570" t="s">
        <v>183</v>
      </c>
      <c r="V646" s="526"/>
      <c r="W646" s="534"/>
      <c r="X646" s="534"/>
      <c r="Y646" s="534"/>
      <c r="Z646" s="534"/>
      <c r="AA646" s="1049" t="s">
        <v>1</v>
      </c>
      <c r="AB646" s="1051"/>
      <c r="AC646" s="611" t="s">
        <v>12</v>
      </c>
      <c r="AD646" s="912"/>
      <c r="AE646" s="912"/>
      <c r="AF646" s="912"/>
      <c r="AG646" s="912"/>
      <c r="AH646" s="912"/>
      <c r="AI646" s="912"/>
      <c r="AJ646" s="1052" t="s">
        <v>13</v>
      </c>
      <c r="AK646" s="1053"/>
      <c r="AL646" s="1052" t="s">
        <v>2</v>
      </c>
      <c r="AM646" s="1053"/>
      <c r="AN646" s="776"/>
      <c r="AO646" s="776"/>
    </row>
    <row r="647" spans="1:41" s="591" customFormat="1" ht="15.75" thickBot="1" x14ac:dyDescent="0.3">
      <c r="A647" s="1054" t="s">
        <v>0</v>
      </c>
      <c r="B647" s="1066"/>
      <c r="C647" s="298" t="s">
        <v>99</v>
      </c>
      <c r="D647" s="291" t="s">
        <v>100</v>
      </c>
      <c r="E647" s="298" t="s">
        <v>101</v>
      </c>
      <c r="F647" s="503" t="s">
        <v>102</v>
      </c>
      <c r="G647" s="503" t="s">
        <v>97</v>
      </c>
      <c r="H647" s="503" t="s">
        <v>104</v>
      </c>
      <c r="I647" s="503" t="s">
        <v>103</v>
      </c>
      <c r="J647" s="521" t="s">
        <v>178</v>
      </c>
      <c r="K647" s="521" t="s">
        <v>199</v>
      </c>
      <c r="L647" s="517" t="s">
        <v>206</v>
      </c>
      <c r="M647" s="298" t="s">
        <v>105</v>
      </c>
      <c r="N647" s="503" t="s">
        <v>107</v>
      </c>
      <c r="O647" s="505" t="s">
        <v>98</v>
      </c>
      <c r="P647" s="516" t="s">
        <v>106</v>
      </c>
      <c r="Q647" s="505" t="s">
        <v>179</v>
      </c>
      <c r="R647" s="505" t="s">
        <v>198</v>
      </c>
      <c r="S647" s="291" t="s">
        <v>207</v>
      </c>
      <c r="T647" s="317" t="s">
        <v>182</v>
      </c>
      <c r="U647" s="291" t="s">
        <v>184</v>
      </c>
      <c r="V647" s="526"/>
      <c r="W647" s="526"/>
      <c r="X647" s="526"/>
      <c r="Y647" s="526"/>
      <c r="Z647" s="526"/>
      <c r="AA647" s="1054" t="s">
        <v>0</v>
      </c>
      <c r="AB647" s="1067"/>
      <c r="AC647" s="317" t="s">
        <v>99</v>
      </c>
      <c r="AD647" s="621"/>
      <c r="AE647" s="621"/>
      <c r="AF647" s="621"/>
      <c r="AG647" s="621"/>
      <c r="AH647" s="621"/>
      <c r="AI647" s="621"/>
      <c r="AJ647" s="298" t="s">
        <v>104</v>
      </c>
      <c r="AK647" s="291" t="s">
        <v>206</v>
      </c>
      <c r="AL647" s="396" t="s">
        <v>107</v>
      </c>
      <c r="AM647" s="392" t="s">
        <v>207</v>
      </c>
      <c r="AN647" s="777"/>
      <c r="AO647" s="777"/>
    </row>
    <row r="648" spans="1:41" s="591" customFormat="1" x14ac:dyDescent="0.25">
      <c r="A648" s="1057" t="s">
        <v>9</v>
      </c>
      <c r="B648" s="528" t="s">
        <v>4</v>
      </c>
      <c r="C648" s="541">
        <v>143393</v>
      </c>
      <c r="D648" s="538">
        <v>150516.70000000001</v>
      </c>
      <c r="E648" s="541">
        <v>150516.70000000001</v>
      </c>
      <c r="F648" s="533">
        <v>181998.8</v>
      </c>
      <c r="G648" s="533">
        <v>165453.5</v>
      </c>
      <c r="H648" s="533">
        <v>132132.9</v>
      </c>
      <c r="I648" s="533">
        <v>170968.6</v>
      </c>
      <c r="J648" s="537">
        <v>165453.5</v>
      </c>
      <c r="K648" s="537">
        <v>121382.6</v>
      </c>
      <c r="L648" s="538">
        <v>80345.899999999994</v>
      </c>
      <c r="M648" s="541">
        <v>193029.1</v>
      </c>
      <c r="N648" s="533">
        <v>132132.9</v>
      </c>
      <c r="O648" s="533">
        <v>82726.600000000006</v>
      </c>
      <c r="P648" s="533">
        <v>275755</v>
      </c>
      <c r="Q648" s="537">
        <v>82726.600000000006</v>
      </c>
      <c r="R648" s="537">
        <v>188981.6</v>
      </c>
      <c r="S648" s="538">
        <v>83196.100000000006</v>
      </c>
      <c r="T648" s="544">
        <v>55151</v>
      </c>
      <c r="U648" s="538">
        <v>33090.5</v>
      </c>
      <c r="V648" s="534"/>
      <c r="W648" s="534"/>
      <c r="X648" s="534"/>
      <c r="Y648" s="534"/>
      <c r="Z648" s="534"/>
      <c r="AA648" s="608" t="s">
        <v>194</v>
      </c>
      <c r="AB648" s="524" t="s">
        <v>4</v>
      </c>
      <c r="AC648" s="544">
        <v>143393</v>
      </c>
      <c r="AD648" s="544"/>
      <c r="AE648" s="544"/>
      <c r="AF648" s="544"/>
      <c r="AG648" s="544"/>
      <c r="AH648" s="544"/>
      <c r="AI648" s="544"/>
      <c r="AJ648" s="541">
        <v>132132</v>
      </c>
      <c r="AK648" s="538">
        <v>83196.100000000006</v>
      </c>
      <c r="AL648" s="552">
        <v>132132.20000000001</v>
      </c>
      <c r="AM648" s="551">
        <v>83196.100000000006</v>
      </c>
      <c r="AN648" s="778"/>
      <c r="AO648" s="778"/>
    </row>
    <row r="649" spans="1:41" s="591" customFormat="1" x14ac:dyDescent="0.25">
      <c r="A649" s="1058"/>
      <c r="B649" s="497" t="s">
        <v>5</v>
      </c>
      <c r="C649" s="572">
        <v>51938.5</v>
      </c>
      <c r="D649" s="571">
        <v>82196.800000000003</v>
      </c>
      <c r="E649" s="572">
        <v>83605.100000000006</v>
      </c>
      <c r="F649" s="576">
        <v>155950.39999999999</v>
      </c>
      <c r="G649" s="576">
        <v>110561.7</v>
      </c>
      <c r="H649" s="576">
        <v>61427.199999999997</v>
      </c>
      <c r="I649" s="576">
        <v>112263.5</v>
      </c>
      <c r="J649" s="577">
        <v>31472.3</v>
      </c>
      <c r="K649" s="577">
        <v>58882.5</v>
      </c>
      <c r="L649" s="571">
        <v>2849</v>
      </c>
      <c r="M649" s="572">
        <v>169718.9</v>
      </c>
      <c r="N649" s="576">
        <v>71048.899999999994</v>
      </c>
      <c r="O649" s="576">
        <v>56994.3</v>
      </c>
      <c r="P649" s="576">
        <v>207017.4</v>
      </c>
      <c r="Q649" s="577">
        <v>16337.4</v>
      </c>
      <c r="R649" s="577">
        <v>93840.2</v>
      </c>
      <c r="S649" s="571">
        <v>29545.599999999999</v>
      </c>
      <c r="T649" s="580">
        <v>13979.7</v>
      </c>
      <c r="U649" s="571">
        <v>7275.7</v>
      </c>
      <c r="V649" s="534"/>
      <c r="W649" s="534"/>
      <c r="X649" s="534"/>
      <c r="Y649" s="534"/>
      <c r="Z649" s="534"/>
      <c r="AA649" s="609"/>
      <c r="AB649" s="496" t="s">
        <v>5</v>
      </c>
      <c r="AC649" s="319">
        <v>51964.9</v>
      </c>
      <c r="AD649" s="936"/>
      <c r="AE649" s="936"/>
      <c r="AF649" s="936"/>
      <c r="AG649" s="936"/>
      <c r="AH649" s="936"/>
      <c r="AI649" s="936"/>
      <c r="AJ649" s="300">
        <v>58542</v>
      </c>
      <c r="AK649" s="513">
        <v>2519</v>
      </c>
      <c r="AL649" s="398">
        <v>70731</v>
      </c>
      <c r="AM649" s="394">
        <v>31444.9</v>
      </c>
      <c r="AN649" s="779"/>
      <c r="AO649" s="779"/>
    </row>
    <row r="650" spans="1:41" s="591" customFormat="1" ht="15.75" thickBot="1" x14ac:dyDescent="0.3">
      <c r="A650" s="1059"/>
      <c r="B650" s="504" t="s">
        <v>3</v>
      </c>
      <c r="C650" s="542">
        <f t="shared" ref="C650:L650" si="164">C649/C648</f>
        <v>0.36221084711248108</v>
      </c>
      <c r="D650" s="343">
        <f t="shared" si="164"/>
        <v>0.54609754266470101</v>
      </c>
      <c r="E650" s="542">
        <f t="shared" si="164"/>
        <v>0.55545397952519548</v>
      </c>
      <c r="F650" s="519">
        <f t="shared" si="164"/>
        <v>0.85687597940206206</v>
      </c>
      <c r="G650" s="498">
        <f t="shared" si="164"/>
        <v>0.66823427730449947</v>
      </c>
      <c r="H650" s="498">
        <f t="shared" si="164"/>
        <v>0.46488951653978683</v>
      </c>
      <c r="I650" s="498">
        <f t="shared" si="164"/>
        <v>0.65663227048709527</v>
      </c>
      <c r="J650" s="506">
        <f t="shared" si="164"/>
        <v>0.19021839973164664</v>
      </c>
      <c r="K650" s="506">
        <f t="shared" si="164"/>
        <v>0.48509835841380888</v>
      </c>
      <c r="L650" s="514">
        <f t="shared" si="164"/>
        <v>3.5459183355964652E-2</v>
      </c>
      <c r="M650" s="547">
        <f>M649/M648</f>
        <v>0.87923996951754935</v>
      </c>
      <c r="N650" s="498">
        <f>N649/N648</f>
        <v>0.53770786836586493</v>
      </c>
      <c r="O650" s="506">
        <f>O649/O648</f>
        <v>0.6889476903438555</v>
      </c>
      <c r="P650" s="498">
        <f>P649/P648</f>
        <v>0.75072945186850648</v>
      </c>
      <c r="Q650" s="506">
        <f>Q649/Q648</f>
        <v>0.19748666088053901</v>
      </c>
      <c r="R650" s="506">
        <f t="shared" ref="R650:S650" si="165">R649/R648</f>
        <v>0.49655733679892644</v>
      </c>
      <c r="S650" s="514">
        <f t="shared" si="165"/>
        <v>0.35513203142935784</v>
      </c>
      <c r="T650" s="545">
        <f>T649/T648</f>
        <v>0.25348044459755942</v>
      </c>
      <c r="U650" s="514">
        <f>U649/U648</f>
        <v>0.21987277315241535</v>
      </c>
      <c r="V650" s="534"/>
      <c r="W650" s="534"/>
      <c r="X650" s="534"/>
      <c r="Y650" s="534"/>
      <c r="Z650" s="534"/>
      <c r="AA650" s="610"/>
      <c r="AB650" s="347" t="s">
        <v>3</v>
      </c>
      <c r="AC650" s="395">
        <f>AC649/AC648</f>
        <v>0.36239495651810061</v>
      </c>
      <c r="AD650" s="635"/>
      <c r="AE650" s="635"/>
      <c r="AF650" s="635"/>
      <c r="AG650" s="635"/>
      <c r="AH650" s="635"/>
      <c r="AI650" s="635"/>
      <c r="AJ650" s="542">
        <f>AJ649/AJ648</f>
        <v>0.44305694305694304</v>
      </c>
      <c r="AK650" s="514">
        <f>AK649/AK648</f>
        <v>3.0277861582453984E-2</v>
      </c>
      <c r="AL650" s="522">
        <f>AL649/AL648</f>
        <v>0.53530479322981073</v>
      </c>
      <c r="AM650" s="343">
        <f>AM649/AM648</f>
        <v>0.37796122654787906</v>
      </c>
      <c r="AN650" s="780"/>
      <c r="AO650" s="780"/>
    </row>
    <row r="651" spans="1:41" s="591" customFormat="1" x14ac:dyDescent="0.25">
      <c r="A651" s="1060" t="s">
        <v>6</v>
      </c>
      <c r="B651" s="553" t="s">
        <v>7</v>
      </c>
      <c r="C651" s="554">
        <v>5870</v>
      </c>
      <c r="D651" s="555">
        <v>3333</v>
      </c>
      <c r="E651" s="554">
        <v>3330</v>
      </c>
      <c r="F651" s="556">
        <v>9457</v>
      </c>
      <c r="G651" s="556">
        <v>7929</v>
      </c>
      <c r="H651" s="556">
        <v>15703</v>
      </c>
      <c r="I651" s="556">
        <v>8197</v>
      </c>
      <c r="J651" s="557">
        <v>9599</v>
      </c>
      <c r="K651" s="557">
        <v>6153</v>
      </c>
      <c r="L651" s="555">
        <v>6399</v>
      </c>
      <c r="M651" s="554">
        <v>9092</v>
      </c>
      <c r="N651" s="556">
        <v>11924</v>
      </c>
      <c r="O651" s="556">
        <v>4059</v>
      </c>
      <c r="P651" s="556">
        <v>10852</v>
      </c>
      <c r="Q651" s="557">
        <v>4799</v>
      </c>
      <c r="R651" s="557">
        <v>9272</v>
      </c>
      <c r="S651" s="555">
        <v>9605</v>
      </c>
      <c r="T651" s="558">
        <v>2480</v>
      </c>
      <c r="U651" s="555">
        <v>1570</v>
      </c>
      <c r="V651" s="559" t="s">
        <v>197</v>
      </c>
      <c r="W651" s="560"/>
      <c r="X651" s="561"/>
      <c r="Y651" s="561"/>
      <c r="Z651" s="561"/>
      <c r="AA651" s="562" t="s">
        <v>190</v>
      </c>
      <c r="AB651" s="553" t="s">
        <v>4</v>
      </c>
      <c r="AC651" s="564">
        <v>9191.7999999999993</v>
      </c>
      <c r="AD651" s="564"/>
      <c r="AE651" s="564"/>
      <c r="AF651" s="564"/>
      <c r="AG651" s="564"/>
      <c r="AH651" s="564"/>
      <c r="AI651" s="564"/>
      <c r="AJ651" s="565">
        <v>13787.7</v>
      </c>
      <c r="AK651" s="566">
        <v>8804.7999999999993</v>
      </c>
      <c r="AL651" s="567">
        <v>13787.7</v>
      </c>
      <c r="AM651" s="568">
        <v>8804.7999999999993</v>
      </c>
      <c r="AN651" s="781"/>
      <c r="AO651" s="781"/>
    </row>
    <row r="652" spans="1:41" s="591" customFormat="1" x14ac:dyDescent="0.25">
      <c r="A652" s="1061"/>
      <c r="B652" s="494" t="s">
        <v>11</v>
      </c>
      <c r="C652" s="302">
        <f t="shared" ref="C652:L652" si="166">C651*33.717</f>
        <v>197918.78999999998</v>
      </c>
      <c r="D652" s="512">
        <f t="shared" si="166"/>
        <v>112378.761</v>
      </c>
      <c r="E652" s="302">
        <f t="shared" si="166"/>
        <v>112277.61</v>
      </c>
      <c r="F652" s="355">
        <f t="shared" si="166"/>
        <v>318861.66899999999</v>
      </c>
      <c r="G652" s="499">
        <f t="shared" si="166"/>
        <v>267342.09299999999</v>
      </c>
      <c r="H652" s="354">
        <f t="shared" si="166"/>
        <v>529458.05099999998</v>
      </c>
      <c r="I652" s="354">
        <f t="shared" si="166"/>
        <v>276378.24900000001</v>
      </c>
      <c r="J652" s="355">
        <f t="shared" si="166"/>
        <v>323649.48300000001</v>
      </c>
      <c r="K652" s="507">
        <f t="shared" si="166"/>
        <v>207460.701</v>
      </c>
      <c r="L652" s="512">
        <f t="shared" si="166"/>
        <v>215755.08299999998</v>
      </c>
      <c r="M652" s="322">
        <f>M651*33.717</f>
        <v>306554.96399999998</v>
      </c>
      <c r="N652" s="499">
        <f>N651*33.717</f>
        <v>402041.50799999997</v>
      </c>
      <c r="O652" s="499">
        <f>O651*33.717</f>
        <v>136857.30299999999</v>
      </c>
      <c r="P652" s="354">
        <f>P651*33.717</f>
        <v>365896.88399999996</v>
      </c>
      <c r="Q652" s="355">
        <f>Q651*33.717</f>
        <v>161807.883</v>
      </c>
      <c r="R652" s="507">
        <f t="shared" ref="R652:S652" si="167">R651*33.717</f>
        <v>312624.02399999998</v>
      </c>
      <c r="S652" s="512">
        <f t="shared" si="167"/>
        <v>323851.78499999997</v>
      </c>
      <c r="T652" s="302">
        <f>T651*33.717</f>
        <v>83618.16</v>
      </c>
      <c r="U652" s="354">
        <f>U651*33.717</f>
        <v>52935.689999999995</v>
      </c>
      <c r="V652" s="534"/>
      <c r="W652" s="534"/>
      <c r="X652" s="534"/>
      <c r="Y652" s="534"/>
      <c r="Z652" s="534"/>
      <c r="AA652" s="609"/>
      <c r="AB652" s="497" t="s">
        <v>5</v>
      </c>
      <c r="AC652" s="319">
        <v>7975.5</v>
      </c>
      <c r="AD652" s="936"/>
      <c r="AE652" s="936"/>
      <c r="AF652" s="936"/>
      <c r="AG652" s="936"/>
      <c r="AH652" s="936"/>
      <c r="AI652" s="936"/>
      <c r="AJ652" s="300">
        <v>13649</v>
      </c>
      <c r="AK652" s="513">
        <v>1289.9000000000001</v>
      </c>
      <c r="AL652" s="398">
        <v>13642</v>
      </c>
      <c r="AM652" s="394">
        <v>5483.9</v>
      </c>
      <c r="AN652" s="779"/>
      <c r="AO652" s="779"/>
    </row>
    <row r="653" spans="1:41" s="591" customFormat="1" ht="15.75" thickBot="1" x14ac:dyDescent="0.3">
      <c r="A653" s="1061"/>
      <c r="B653" s="494" t="s">
        <v>79</v>
      </c>
      <c r="C653" s="302">
        <v>164000</v>
      </c>
      <c r="D653" s="512">
        <v>109880</v>
      </c>
      <c r="E653" s="302">
        <v>109880</v>
      </c>
      <c r="F653" s="499">
        <v>328000</v>
      </c>
      <c r="G653" s="499">
        <v>330905</v>
      </c>
      <c r="H653" s="499">
        <v>264264</v>
      </c>
      <c r="I653" s="499">
        <v>242663.6</v>
      </c>
      <c r="J653" s="507">
        <v>328000</v>
      </c>
      <c r="K653" s="507">
        <v>328000</v>
      </c>
      <c r="L653" s="512">
        <v>328000</v>
      </c>
      <c r="M653" s="302">
        <v>328000</v>
      </c>
      <c r="N653" s="499">
        <v>264264.40000000002</v>
      </c>
      <c r="O653" s="499">
        <v>328000</v>
      </c>
      <c r="P653" s="499">
        <v>352965.4</v>
      </c>
      <c r="Q653" s="507">
        <v>328000</v>
      </c>
      <c r="R653" s="507">
        <v>328000</v>
      </c>
      <c r="S653" s="512">
        <v>328000</v>
      </c>
      <c r="T653" s="322">
        <f>2*T648</f>
        <v>110302</v>
      </c>
      <c r="U653" s="512">
        <f>2*U648</f>
        <v>66181</v>
      </c>
      <c r="V653" s="534"/>
      <c r="W653" s="534"/>
      <c r="X653" s="534"/>
      <c r="Y653" s="534"/>
      <c r="Z653" s="534"/>
      <c r="AA653" s="610"/>
      <c r="AB653" s="344" t="s">
        <v>3</v>
      </c>
      <c r="AC653" s="395">
        <f>AC652/AC651</f>
        <v>0.86767553689157739</v>
      </c>
      <c r="AD653" s="635"/>
      <c r="AE653" s="635"/>
      <c r="AF653" s="635"/>
      <c r="AG653" s="635"/>
      <c r="AH653" s="635"/>
      <c r="AI653" s="635"/>
      <c r="AJ653" s="301">
        <f>AJ652/AJ651</f>
        <v>0.98994030911609621</v>
      </c>
      <c r="AK653" s="401">
        <f>AK652/AK651</f>
        <v>0.14649963656187537</v>
      </c>
      <c r="AL653" s="400">
        <f>AL652/AL651</f>
        <v>0.98943261022505558</v>
      </c>
      <c r="AM653" s="348">
        <f>AM652/AM651</f>
        <v>0.62283072869343992</v>
      </c>
      <c r="AN653" s="780"/>
      <c r="AO653" s="780"/>
    </row>
    <row r="654" spans="1:41" s="591" customFormat="1" x14ac:dyDescent="0.25">
      <c r="A654" s="1061"/>
      <c r="B654" s="497" t="s">
        <v>8</v>
      </c>
      <c r="C654" s="303">
        <f>SUM(C651-295)</f>
        <v>5575</v>
      </c>
      <c r="D654" s="511">
        <f>SUM(D651-463)</f>
        <v>2870</v>
      </c>
      <c r="E654" s="303">
        <f>SUM(E651-430)</f>
        <v>2900</v>
      </c>
      <c r="F654" s="502">
        <f>SUM(F651-1130)</f>
        <v>8327</v>
      </c>
      <c r="G654" s="502">
        <f>SUM(G651-4311)</f>
        <v>3618</v>
      </c>
      <c r="H654" s="502">
        <f>SUM(H651-2041)</f>
        <v>13662</v>
      </c>
      <c r="I654" s="502">
        <f>SUM(I651-(3284-2000))</f>
        <v>6913</v>
      </c>
      <c r="J654" s="508">
        <f>SUM(J651-8561)</f>
        <v>1038</v>
      </c>
      <c r="K654" s="508">
        <f>SUM(K651-2875)</f>
        <v>3278</v>
      </c>
      <c r="L654" s="511">
        <f>SUM(L651-4063)</f>
        <v>2336</v>
      </c>
      <c r="M654" s="303">
        <f>SUM(M651-744)</f>
        <v>8348</v>
      </c>
      <c r="N654" s="502">
        <f>SUM(N651-986)</f>
        <v>10938</v>
      </c>
      <c r="O654" s="508">
        <f>SUM(O651-294)</f>
        <v>3765</v>
      </c>
      <c r="P654" s="502">
        <f>SUM(P651-(5089-2614))</f>
        <v>8377</v>
      </c>
      <c r="Q654" s="508">
        <f>SUM(Q651-3313)</f>
        <v>1486</v>
      </c>
      <c r="R654" s="508">
        <f>SUM(R651-5635)</f>
        <v>3637</v>
      </c>
      <c r="S654" s="511">
        <f>SUM(S651-3677)</f>
        <v>5928</v>
      </c>
      <c r="T654" s="323">
        <f>SUM(T651-791)</f>
        <v>1689</v>
      </c>
      <c r="U654" s="511">
        <f>SUM(U651-483)</f>
        <v>1087</v>
      </c>
      <c r="V654" s="526" t="s">
        <v>176</v>
      </c>
      <c r="W654" s="534"/>
      <c r="X654" s="534"/>
      <c r="Y654" s="534"/>
      <c r="Z654" s="534"/>
      <c r="AA654" s="608" t="s">
        <v>191</v>
      </c>
      <c r="AB654" s="528" t="s">
        <v>4</v>
      </c>
      <c r="AC654" s="544">
        <v>97433.600000000006</v>
      </c>
      <c r="AD654" s="544"/>
      <c r="AE654" s="544"/>
      <c r="AF654" s="544"/>
      <c r="AG654" s="544"/>
      <c r="AH654" s="544"/>
      <c r="AI654" s="544"/>
      <c r="AJ654" s="541">
        <v>243584.4</v>
      </c>
      <c r="AK654" s="538">
        <v>132070.29999999999</v>
      </c>
      <c r="AL654" s="552">
        <v>292299.3</v>
      </c>
      <c r="AM654" s="551">
        <v>132070.39999999999</v>
      </c>
      <c r="AN654" s="778"/>
      <c r="AO654" s="778"/>
    </row>
    <row r="655" spans="1:41" s="591" customFormat="1" x14ac:dyDescent="0.25">
      <c r="A655" s="1061"/>
      <c r="B655" s="495" t="s">
        <v>77</v>
      </c>
      <c r="C655" s="302">
        <f t="shared" ref="C655:H655" si="168">(C654*33.717)</f>
        <v>187972.27499999999</v>
      </c>
      <c r="D655" s="338">
        <f t="shared" si="168"/>
        <v>96767.79</v>
      </c>
      <c r="E655" s="302">
        <f t="shared" si="168"/>
        <v>97779.3</v>
      </c>
      <c r="F655" s="338">
        <f t="shared" si="168"/>
        <v>280761.45899999997</v>
      </c>
      <c r="G655" s="500">
        <f t="shared" si="168"/>
        <v>121988.106</v>
      </c>
      <c r="H655" s="500">
        <f t="shared" si="168"/>
        <v>460641.65399999998</v>
      </c>
      <c r="I655" s="500">
        <f>(I654*33.717)-(2000*33.717)</f>
        <v>165651.62099999998</v>
      </c>
      <c r="J655" s="509">
        <f>J654*33.717</f>
        <v>34998.245999999999</v>
      </c>
      <c r="K655" s="509">
        <f>K654*33.717</f>
        <v>110524.326</v>
      </c>
      <c r="L655" s="261">
        <f>L654*33.717</f>
        <v>78762.911999999997</v>
      </c>
      <c r="M655" s="304">
        <f>M654*33.717</f>
        <v>281469.516</v>
      </c>
      <c r="N655" s="500">
        <f>N654*33.717</f>
        <v>368796.54599999997</v>
      </c>
      <c r="O655" s="500">
        <f>(O654*33.717)</f>
        <v>126944.50499999999</v>
      </c>
      <c r="P655" s="500">
        <f>P654*33.717-(2614*33.717)</f>
        <v>194311.071</v>
      </c>
      <c r="Q655" s="509">
        <f t="shared" ref="Q655:U655" si="169">Q654*33.717</f>
        <v>50103.462</v>
      </c>
      <c r="R655" s="509">
        <f t="shared" si="169"/>
        <v>122628.72899999999</v>
      </c>
      <c r="S655" s="261">
        <f t="shared" si="169"/>
        <v>199874.37599999999</v>
      </c>
      <c r="T655" s="324">
        <f t="shared" si="169"/>
        <v>56948.012999999999</v>
      </c>
      <c r="U655" s="518">
        <f t="shared" si="169"/>
        <v>36650.379000000001</v>
      </c>
      <c r="V655" s="532">
        <f>344240-H655</f>
        <v>-116401.65399999998</v>
      </c>
      <c r="W655" s="534" t="s">
        <v>177</v>
      </c>
      <c r="X655" s="534"/>
      <c r="Y655" s="534"/>
      <c r="Z655" s="534"/>
      <c r="AA655" s="609"/>
      <c r="AB655" s="497" t="s">
        <v>5</v>
      </c>
      <c r="AC655" s="319">
        <v>38973.199999999997</v>
      </c>
      <c r="AD655" s="936"/>
      <c r="AE655" s="936"/>
      <c r="AF655" s="936"/>
      <c r="AG655" s="936"/>
      <c r="AH655" s="936"/>
      <c r="AI655" s="936"/>
      <c r="AJ655" s="300">
        <v>124350.5</v>
      </c>
      <c r="AK655" s="513">
        <v>3817.1</v>
      </c>
      <c r="AL655" s="398">
        <v>109009</v>
      </c>
      <c r="AM655" s="394">
        <v>33401</v>
      </c>
      <c r="AN655" s="779"/>
      <c r="AO655" s="779"/>
    </row>
    <row r="656" spans="1:41" s="591" customFormat="1" ht="15.75" thickBot="1" x14ac:dyDescent="0.3">
      <c r="A656" s="1062"/>
      <c r="B656" s="504" t="s">
        <v>217</v>
      </c>
      <c r="C656" s="542">
        <f t="shared" ref="C656" si="170">C655/C648</f>
        <v>1.3108887811817871</v>
      </c>
      <c r="D656" s="514">
        <f t="shared" ref="D656" si="171">D655/D648</f>
        <v>0.64290400998693154</v>
      </c>
      <c r="E656" s="543">
        <f t="shared" ref="E656" si="172">E655/E648</f>
        <v>0.64962426096240478</v>
      </c>
      <c r="F656" s="501">
        <f t="shared" ref="F656" si="173">F655/F648</f>
        <v>1.542655550476157</v>
      </c>
      <c r="G656" s="501">
        <f t="shared" ref="G656" si="174">G655/G648</f>
        <v>0.73729540928417958</v>
      </c>
      <c r="H656" s="501">
        <f t="shared" ref="H656" si="175">H655/H648</f>
        <v>3.4861995309268168</v>
      </c>
      <c r="I656" s="501">
        <f t="shared" ref="I656" si="176">I655/I648</f>
        <v>0.96890084495047613</v>
      </c>
      <c r="J656" s="520">
        <f t="shared" ref="J656" si="177">J655/J648</f>
        <v>0.21152919702514603</v>
      </c>
      <c r="K656" s="520">
        <f t="shared" ref="K656" si="178">K655/K648</f>
        <v>0.91054505340963199</v>
      </c>
      <c r="L656" s="515">
        <f t="shared" ref="L656" si="179">L655/L648</f>
        <v>0.98029783722629282</v>
      </c>
      <c r="M656" s="543">
        <f t="shared" ref="M656" si="180">M655/M648</f>
        <v>1.4581714156052119</v>
      </c>
      <c r="N656" s="501">
        <f t="shared" ref="N656" si="181">N655/N648</f>
        <v>2.7911030939304289</v>
      </c>
      <c r="O656" s="501">
        <f t="shared" ref="O656" si="182">O655/O648</f>
        <v>1.5345064948879801</v>
      </c>
      <c r="P656" s="510">
        <f t="shared" ref="P656" si="183">P655/P648</f>
        <v>0.70465112509292671</v>
      </c>
      <c r="Q656" s="520">
        <f t="shared" ref="Q656" si="184">Q655/Q648</f>
        <v>0.60565116903148442</v>
      </c>
      <c r="R656" s="520">
        <f t="shared" ref="R656" si="185">R655/R648</f>
        <v>0.64889242656427926</v>
      </c>
      <c r="S656" s="515">
        <f t="shared" ref="S656" si="186">S655/S648</f>
        <v>2.4024488647905367</v>
      </c>
      <c r="T656" s="542">
        <f t="shared" ref="T656" si="187">T655/T648</f>
        <v>1.0325835070986926</v>
      </c>
      <c r="U656" s="514">
        <f t="shared" ref="U656" si="188">U655/U648</f>
        <v>1.107580090962663</v>
      </c>
      <c r="V656" s="535"/>
      <c r="W656" s="534"/>
      <c r="X656" s="534"/>
      <c r="Y656" s="534"/>
      <c r="Z656" s="534"/>
      <c r="AA656" s="610"/>
      <c r="AB656" s="504" t="s">
        <v>3</v>
      </c>
      <c r="AC656" s="545">
        <f>AC655/AC654</f>
        <v>0.39999753678402516</v>
      </c>
      <c r="AD656" s="545"/>
      <c r="AE656" s="545"/>
      <c r="AF656" s="545"/>
      <c r="AG656" s="545"/>
      <c r="AH656" s="545"/>
      <c r="AI656" s="545"/>
      <c r="AJ656" s="542">
        <f>AJ655/AJ654</f>
        <v>0.51050272513346506</v>
      </c>
      <c r="AK656" s="514">
        <f>AK655/AK654</f>
        <v>2.8902031720984961E-2</v>
      </c>
      <c r="AL656" s="522">
        <f>AL655/AL654</f>
        <v>0.37293623351133581</v>
      </c>
      <c r="AM656" s="343">
        <f>AM655/AM654</f>
        <v>0.25290299718937781</v>
      </c>
      <c r="AN656" s="780"/>
      <c r="AO656" s="780"/>
    </row>
    <row r="657" spans="1:41" s="591" customFormat="1" ht="15.75" thickBot="1" x14ac:dyDescent="0.3">
      <c r="A657" s="612"/>
      <c r="B657" s="504" t="s">
        <v>218</v>
      </c>
      <c r="C657" s="303">
        <v>169949</v>
      </c>
      <c r="D657" s="303">
        <v>96362.6</v>
      </c>
      <c r="E657" s="303">
        <v>97374.1</v>
      </c>
      <c r="F657" s="303">
        <v>262762</v>
      </c>
      <c r="G657" s="303">
        <v>126645</v>
      </c>
      <c r="H657" s="303">
        <v>445574</v>
      </c>
      <c r="I657" s="303">
        <v>165652</v>
      </c>
      <c r="J657" s="303">
        <v>35034.9</v>
      </c>
      <c r="K657" s="303">
        <v>104125</v>
      </c>
      <c r="L657" s="303">
        <v>78852</v>
      </c>
      <c r="M657" s="303">
        <v>277512</v>
      </c>
      <c r="N657" s="303">
        <v>369005</v>
      </c>
      <c r="O657" s="303">
        <v>133944</v>
      </c>
      <c r="P657" s="303">
        <v>161875</v>
      </c>
      <c r="Q657" s="303">
        <v>50146.400000000001</v>
      </c>
      <c r="R657" s="303">
        <v>103060</v>
      </c>
      <c r="S657" s="303">
        <v>200031</v>
      </c>
      <c r="T657" s="303">
        <v>56947.7</v>
      </c>
      <c r="U657" s="303">
        <v>36650.300000000003</v>
      </c>
      <c r="V657" s="535"/>
      <c r="W657" s="534"/>
      <c r="X657" s="534"/>
      <c r="Y657" s="534"/>
      <c r="Z657" s="534"/>
      <c r="AA657" s="610" t="s">
        <v>219</v>
      </c>
      <c r="AB657" s="504" t="s">
        <v>3</v>
      </c>
      <c r="AC657" s="545">
        <f>(AC650+AC656)/2</f>
        <v>0.38119624665106289</v>
      </c>
      <c r="AD657" s="545"/>
      <c r="AE657" s="545"/>
      <c r="AF657" s="545"/>
      <c r="AG657" s="545"/>
      <c r="AH657" s="545"/>
      <c r="AI657" s="545"/>
      <c r="AJ657" s="545">
        <f t="shared" ref="AJ657:AM657" si="189">(AJ650+AJ656)/2</f>
        <v>0.47677983409520408</v>
      </c>
      <c r="AK657" s="545">
        <f t="shared" si="189"/>
        <v>2.9589946651719472E-2</v>
      </c>
      <c r="AL657" s="545">
        <f t="shared" si="189"/>
        <v>0.45412051337057324</v>
      </c>
      <c r="AM657" s="545">
        <f t="shared" si="189"/>
        <v>0.31543211186862841</v>
      </c>
      <c r="AN657" s="780"/>
      <c r="AO657" s="780"/>
    </row>
    <row r="658" spans="1:41" s="591" customFormat="1" ht="15.75" thickBot="1" x14ac:dyDescent="0.3">
      <c r="A658" s="612"/>
      <c r="B658" s="504" t="s">
        <v>216</v>
      </c>
      <c r="C658" s="543">
        <f t="shared" ref="C658:D658" si="190">C657/C648</f>
        <v>1.1851973248345455</v>
      </c>
      <c r="D658" s="543">
        <f t="shared" si="190"/>
        <v>0.64021201634104385</v>
      </c>
      <c r="E658" s="543">
        <f>E657/E648</f>
        <v>0.64693220087870651</v>
      </c>
      <c r="F658" s="543">
        <f t="shared" ref="F658:U658" si="191">F657/F648</f>
        <v>1.4437567720226727</v>
      </c>
      <c r="G658" s="543">
        <f t="shared" si="191"/>
        <v>0.76544164976866613</v>
      </c>
      <c r="H658" s="543">
        <f t="shared" si="191"/>
        <v>3.372165448574882</v>
      </c>
      <c r="I658" s="543">
        <f t="shared" si="191"/>
        <v>0.96890306173180341</v>
      </c>
      <c r="J658" s="543">
        <f t="shared" si="191"/>
        <v>0.21175073358980018</v>
      </c>
      <c r="K658" s="543">
        <f t="shared" si="191"/>
        <v>0.85782476236297456</v>
      </c>
      <c r="L658" s="543">
        <f t="shared" si="191"/>
        <v>0.98140664302721115</v>
      </c>
      <c r="M658" s="543">
        <f t="shared" si="191"/>
        <v>1.4376692426167867</v>
      </c>
      <c r="N658" s="543">
        <f t="shared" si="191"/>
        <v>2.7926807025350993</v>
      </c>
      <c r="O658" s="543">
        <f t="shared" si="191"/>
        <v>1.6191164631448651</v>
      </c>
      <c r="P658" s="543">
        <f t="shared" si="191"/>
        <v>0.58702471396710854</v>
      </c>
      <c r="Q658" s="543">
        <f t="shared" si="191"/>
        <v>0.60617020402143929</v>
      </c>
      <c r="R658" s="543">
        <f t="shared" si="191"/>
        <v>0.54534409699145314</v>
      </c>
      <c r="S658" s="543">
        <f t="shared" si="191"/>
        <v>2.4043314530368609</v>
      </c>
      <c r="T658" s="543">
        <f t="shared" si="191"/>
        <v>1.032577831770956</v>
      </c>
      <c r="U658" s="543">
        <f t="shared" si="191"/>
        <v>1.1075777035705112</v>
      </c>
      <c r="V658" s="535"/>
      <c r="W658" s="534"/>
      <c r="X658" s="534"/>
      <c r="Y658" s="534"/>
      <c r="Z658" s="534"/>
      <c r="AA658" s="610"/>
      <c r="AB658" s="504"/>
      <c r="AC658" s="545"/>
      <c r="AD658" s="545"/>
      <c r="AE658" s="545"/>
      <c r="AF658" s="545"/>
      <c r="AG658" s="545"/>
      <c r="AH658" s="545"/>
      <c r="AI658" s="545"/>
      <c r="AJ658" s="542"/>
      <c r="AK658" s="514"/>
      <c r="AL658" s="522"/>
      <c r="AM658" s="343"/>
      <c r="AN658" s="780"/>
      <c r="AO658" s="780"/>
    </row>
    <row r="659" spans="1:41" s="591" customFormat="1" ht="15.75" thickBot="1" x14ac:dyDescent="0.3">
      <c r="A659" s="1048">
        <v>41642</v>
      </c>
      <c r="B659" s="1048"/>
      <c r="C659" s="1048"/>
      <c r="D659" s="529"/>
      <c r="E659" s="529"/>
      <c r="F659" s="529"/>
      <c r="G659" s="529"/>
      <c r="H659" s="529"/>
      <c r="I659" s="525"/>
      <c r="J659" s="531"/>
      <c r="K659" s="531"/>
      <c r="L659" s="529"/>
      <c r="M659" s="529"/>
      <c r="N659" s="527"/>
      <c r="R659" s="526"/>
      <c r="S659" s="534"/>
      <c r="T659" s="534"/>
      <c r="U659" s="534"/>
      <c r="V659" s="534"/>
      <c r="W659" s="534"/>
      <c r="X659" s="534"/>
      <c r="Y659" s="534"/>
      <c r="Z659" s="534"/>
      <c r="AA659" s="1063"/>
      <c r="AB659" s="1064"/>
      <c r="AD659" s="743"/>
      <c r="AE659" s="743"/>
      <c r="AF659" s="743"/>
      <c r="AG659" s="743"/>
      <c r="AH659" s="743"/>
      <c r="AI659" s="743"/>
      <c r="AN659" s="743"/>
      <c r="AO659" s="743"/>
    </row>
    <row r="660" spans="1:41" s="591" customFormat="1" x14ac:dyDescent="0.25">
      <c r="A660" s="1049" t="s">
        <v>1</v>
      </c>
      <c r="B660" s="1050"/>
      <c r="C660" s="540" t="s">
        <v>12</v>
      </c>
      <c r="D660" s="539" t="s">
        <v>12</v>
      </c>
      <c r="E660" s="540" t="s">
        <v>13</v>
      </c>
      <c r="F660" s="530" t="s">
        <v>13</v>
      </c>
      <c r="G660" s="530" t="s">
        <v>13</v>
      </c>
      <c r="H660" s="530" t="s">
        <v>13</v>
      </c>
      <c r="I660" s="530" t="s">
        <v>13</v>
      </c>
      <c r="J660" s="536" t="s">
        <v>13</v>
      </c>
      <c r="K660" s="536" t="s">
        <v>13</v>
      </c>
      <c r="L660" s="539" t="s">
        <v>13</v>
      </c>
      <c r="M660" s="569" t="s">
        <v>2</v>
      </c>
      <c r="N660" s="530" t="s">
        <v>2</v>
      </c>
      <c r="O660" s="536" t="s">
        <v>2</v>
      </c>
      <c r="P660" s="530" t="s">
        <v>2</v>
      </c>
      <c r="Q660" s="536" t="s">
        <v>2</v>
      </c>
      <c r="R660" s="536" t="s">
        <v>2</v>
      </c>
      <c r="S660" s="539" t="s">
        <v>2</v>
      </c>
      <c r="T660" s="569" t="s">
        <v>183</v>
      </c>
      <c r="U660" s="570" t="s">
        <v>183</v>
      </c>
      <c r="V660" s="526"/>
      <c r="W660" s="534"/>
      <c r="X660" s="534"/>
      <c r="Y660" s="534"/>
      <c r="Z660" s="534"/>
      <c r="AA660" s="1049" t="s">
        <v>1</v>
      </c>
      <c r="AB660" s="1051"/>
      <c r="AC660" s="606" t="s">
        <v>12</v>
      </c>
      <c r="AD660" s="912"/>
      <c r="AE660" s="912"/>
      <c r="AF660" s="912"/>
      <c r="AG660" s="912"/>
      <c r="AH660" s="912"/>
      <c r="AI660" s="912"/>
      <c r="AJ660" s="1052" t="s">
        <v>13</v>
      </c>
      <c r="AK660" s="1053"/>
      <c r="AL660" s="1052" t="s">
        <v>2</v>
      </c>
      <c r="AM660" s="1053"/>
      <c r="AN660" s="776"/>
      <c r="AO660" s="776"/>
    </row>
    <row r="661" spans="1:41" s="591" customFormat="1" ht="15.75" thickBot="1" x14ac:dyDescent="0.3">
      <c r="A661" s="1054" t="s">
        <v>0</v>
      </c>
      <c r="B661" s="1066"/>
      <c r="C661" s="298" t="s">
        <v>99</v>
      </c>
      <c r="D661" s="291" t="s">
        <v>100</v>
      </c>
      <c r="E661" s="298" t="s">
        <v>101</v>
      </c>
      <c r="F661" s="503" t="s">
        <v>102</v>
      </c>
      <c r="G661" s="503" t="s">
        <v>97</v>
      </c>
      <c r="H661" s="503" t="s">
        <v>104</v>
      </c>
      <c r="I661" s="503" t="s">
        <v>103</v>
      </c>
      <c r="J661" s="521" t="s">
        <v>178</v>
      </c>
      <c r="K661" s="521" t="s">
        <v>199</v>
      </c>
      <c r="L661" s="517" t="s">
        <v>206</v>
      </c>
      <c r="M661" s="298" t="s">
        <v>105</v>
      </c>
      <c r="N661" s="503" t="s">
        <v>107</v>
      </c>
      <c r="O661" s="505" t="s">
        <v>98</v>
      </c>
      <c r="P661" s="516" t="s">
        <v>106</v>
      </c>
      <c r="Q661" s="505" t="s">
        <v>179</v>
      </c>
      <c r="R661" s="505" t="s">
        <v>198</v>
      </c>
      <c r="S661" s="291" t="s">
        <v>207</v>
      </c>
      <c r="T661" s="317" t="s">
        <v>182</v>
      </c>
      <c r="U661" s="291" t="s">
        <v>184</v>
      </c>
      <c r="V661" s="526"/>
      <c r="W661" s="526"/>
      <c r="X661" s="526"/>
      <c r="Y661" s="526"/>
      <c r="Z661" s="526"/>
      <c r="AA661" s="1054" t="s">
        <v>0</v>
      </c>
      <c r="AB661" s="1067"/>
      <c r="AC661" s="317" t="s">
        <v>99</v>
      </c>
      <c r="AD661" s="621"/>
      <c r="AE661" s="621"/>
      <c r="AF661" s="621"/>
      <c r="AG661" s="621"/>
      <c r="AH661" s="621"/>
      <c r="AI661" s="621"/>
      <c r="AJ661" s="298" t="s">
        <v>104</v>
      </c>
      <c r="AK661" s="291" t="s">
        <v>206</v>
      </c>
      <c r="AL661" s="396" t="s">
        <v>107</v>
      </c>
      <c r="AM661" s="392" t="s">
        <v>207</v>
      </c>
      <c r="AN661" s="777"/>
      <c r="AO661" s="777"/>
    </row>
    <row r="662" spans="1:41" s="591" customFormat="1" x14ac:dyDescent="0.25">
      <c r="A662" s="1057" t="s">
        <v>9</v>
      </c>
      <c r="B662" s="528" t="s">
        <v>4</v>
      </c>
      <c r="C662" s="541">
        <f>143393</f>
        <v>143393</v>
      </c>
      <c r="D662" s="538">
        <v>150516.70000000001</v>
      </c>
      <c r="E662" s="541">
        <v>150516.70000000001</v>
      </c>
      <c r="F662" s="533">
        <v>181998.8</v>
      </c>
      <c r="G662" s="533">
        <v>165453.5</v>
      </c>
      <c r="H662" s="533">
        <f>132132.9</f>
        <v>132132.9</v>
      </c>
      <c r="I662" s="533">
        <v>170968.6</v>
      </c>
      <c r="J662" s="537">
        <v>165453.5</v>
      </c>
      <c r="K662" s="537">
        <v>92411.6</v>
      </c>
      <c r="L662" s="538">
        <v>83196.100000000006</v>
      </c>
      <c r="M662" s="541">
        <v>193029.1</v>
      </c>
      <c r="N662" s="533">
        <v>132132.9</v>
      </c>
      <c r="O662" s="533">
        <v>82726.600000000006</v>
      </c>
      <c r="P662" s="533">
        <v>275755</v>
      </c>
      <c r="Q662" s="537">
        <v>82726.600000000006</v>
      </c>
      <c r="R662" s="537">
        <v>188981.6</v>
      </c>
      <c r="S662" s="538">
        <v>83196.100000000006</v>
      </c>
      <c r="T662" s="544">
        <v>55151</v>
      </c>
      <c r="U662" s="538">
        <v>33090.5</v>
      </c>
      <c r="V662" s="534"/>
      <c r="W662" s="534"/>
      <c r="X662" s="534"/>
      <c r="Y662" s="534"/>
      <c r="Z662" s="534"/>
      <c r="AA662" s="603" t="s">
        <v>194</v>
      </c>
      <c r="AB662" s="524" t="s">
        <v>4</v>
      </c>
      <c r="AC662" s="544">
        <v>143393</v>
      </c>
      <c r="AD662" s="544"/>
      <c r="AE662" s="544"/>
      <c r="AF662" s="544"/>
      <c r="AG662" s="544"/>
      <c r="AH662" s="544"/>
      <c r="AI662" s="544"/>
      <c r="AJ662" s="541">
        <v>132132</v>
      </c>
      <c r="AK662" s="538">
        <v>83196.100000000006</v>
      </c>
      <c r="AL662" s="552">
        <v>132132.20000000001</v>
      </c>
      <c r="AM662" s="551">
        <v>83196.100000000006</v>
      </c>
      <c r="AN662" s="778"/>
      <c r="AO662" s="778"/>
    </row>
    <row r="663" spans="1:41" s="591" customFormat="1" x14ac:dyDescent="0.25">
      <c r="A663" s="1058"/>
      <c r="B663" s="497" t="s">
        <v>5</v>
      </c>
      <c r="C663" s="572">
        <v>51964</v>
      </c>
      <c r="D663" s="571">
        <v>81938.2</v>
      </c>
      <c r="E663" s="572">
        <v>82028</v>
      </c>
      <c r="F663" s="576">
        <v>155624</v>
      </c>
      <c r="G663" s="576">
        <v>110303</v>
      </c>
      <c r="H663" s="576">
        <v>58542.3</v>
      </c>
      <c r="I663" s="576">
        <v>110932</v>
      </c>
      <c r="J663" s="577">
        <v>29896.7</v>
      </c>
      <c r="K663" s="577">
        <v>57862.5</v>
      </c>
      <c r="L663" s="571">
        <v>2519.1</v>
      </c>
      <c r="M663" s="572">
        <v>169074</v>
      </c>
      <c r="N663" s="576">
        <v>70731</v>
      </c>
      <c r="O663" s="576">
        <v>56572</v>
      </c>
      <c r="P663" s="576">
        <v>203947</v>
      </c>
      <c r="Q663" s="577">
        <v>15547</v>
      </c>
      <c r="R663" s="577">
        <v>93035</v>
      </c>
      <c r="S663" s="571">
        <v>31444.9</v>
      </c>
      <c r="T663" s="580">
        <v>13770</v>
      </c>
      <c r="U663" s="571">
        <v>6998</v>
      </c>
      <c r="V663" s="534"/>
      <c r="W663" s="534"/>
      <c r="X663" s="534"/>
      <c r="Y663" s="534"/>
      <c r="Z663" s="534"/>
      <c r="AA663" s="604"/>
      <c r="AB663" s="496" t="s">
        <v>5</v>
      </c>
      <c r="AC663" s="319">
        <v>51964.9</v>
      </c>
      <c r="AD663" s="936"/>
      <c r="AE663" s="936"/>
      <c r="AF663" s="936"/>
      <c r="AG663" s="936"/>
      <c r="AH663" s="936"/>
      <c r="AI663" s="936"/>
      <c r="AJ663" s="300">
        <v>58542</v>
      </c>
      <c r="AK663" s="513">
        <v>2519</v>
      </c>
      <c r="AL663" s="398">
        <v>70731</v>
      </c>
      <c r="AM663" s="394">
        <v>31444.9</v>
      </c>
      <c r="AN663" s="779"/>
      <c r="AO663" s="779"/>
    </row>
    <row r="664" spans="1:41" s="591" customFormat="1" ht="15.75" thickBot="1" x14ac:dyDescent="0.3">
      <c r="A664" s="1059"/>
      <c r="B664" s="504" t="s">
        <v>3</v>
      </c>
      <c r="C664" s="542">
        <f t="shared" ref="C664:L664" si="192">C663/C662</f>
        <v>0.36238868006109087</v>
      </c>
      <c r="D664" s="343">
        <f t="shared" si="192"/>
        <v>0.54437946088374245</v>
      </c>
      <c r="E664" s="542">
        <f t="shared" si="192"/>
        <v>0.54497607242252843</v>
      </c>
      <c r="F664" s="519">
        <f t="shared" si="192"/>
        <v>0.85508256098391866</v>
      </c>
      <c r="G664" s="498">
        <f t="shared" si="192"/>
        <v>0.66667069599615603</v>
      </c>
      <c r="H664" s="498">
        <f t="shared" si="192"/>
        <v>0.44305619569388099</v>
      </c>
      <c r="I664" s="498">
        <f t="shared" si="192"/>
        <v>0.64884429070601268</v>
      </c>
      <c r="J664" s="506">
        <f t="shared" si="192"/>
        <v>0.18069548241650979</v>
      </c>
      <c r="K664" s="506">
        <f t="shared" si="192"/>
        <v>0.62613892628198187</v>
      </c>
      <c r="L664" s="514">
        <f t="shared" si="192"/>
        <v>3.0279063561873692E-2</v>
      </c>
      <c r="M664" s="547">
        <f>M663/M662</f>
        <v>0.87589902247899409</v>
      </c>
      <c r="N664" s="498">
        <f>N663/N662</f>
        <v>0.53530195734748875</v>
      </c>
      <c r="O664" s="506">
        <f>O663/O662</f>
        <v>0.68384292355783982</v>
      </c>
      <c r="P664" s="498">
        <f>P663/P662</f>
        <v>0.73959493028231582</v>
      </c>
      <c r="Q664" s="506">
        <f>Q663/Q662</f>
        <v>0.18793229747142998</v>
      </c>
      <c r="R664" s="506">
        <f t="shared" ref="R664:S664" si="193">R663/R662</f>
        <v>0.49229660453716129</v>
      </c>
      <c r="S664" s="514">
        <f t="shared" si="193"/>
        <v>0.37796122654787906</v>
      </c>
      <c r="T664" s="545">
        <f>T663/T662</f>
        <v>0.2496781563344273</v>
      </c>
      <c r="U664" s="514">
        <f>U663/U662</f>
        <v>0.21148063643643947</v>
      </c>
      <c r="V664" s="534"/>
      <c r="W664" s="534"/>
      <c r="X664" s="534"/>
      <c r="Y664" s="534"/>
      <c r="Z664" s="534"/>
      <c r="AA664" s="605"/>
      <c r="AB664" s="347" t="s">
        <v>3</v>
      </c>
      <c r="AC664" s="395">
        <f>AC663/AC662</f>
        <v>0.36239495651810061</v>
      </c>
      <c r="AD664" s="635"/>
      <c r="AE664" s="635"/>
      <c r="AF664" s="635"/>
      <c r="AG664" s="635"/>
      <c r="AH664" s="635"/>
      <c r="AI664" s="635"/>
      <c r="AJ664" s="542">
        <f>AJ663/AJ662</f>
        <v>0.44305694305694304</v>
      </c>
      <c r="AK664" s="514">
        <f>AK663/AK662</f>
        <v>3.0277861582453984E-2</v>
      </c>
      <c r="AL664" s="522">
        <f>AL663/AL662</f>
        <v>0.53530479322981073</v>
      </c>
      <c r="AM664" s="343">
        <f>AM663/AM662</f>
        <v>0.37796122654787906</v>
      </c>
      <c r="AN664" s="780"/>
      <c r="AO664" s="780"/>
    </row>
    <row r="665" spans="1:41" s="591" customFormat="1" x14ac:dyDescent="0.25">
      <c r="A665" s="1060" t="s">
        <v>6</v>
      </c>
      <c r="B665" s="553" t="s">
        <v>7</v>
      </c>
      <c r="C665" s="554">
        <v>5870</v>
      </c>
      <c r="D665" s="555">
        <v>3333</v>
      </c>
      <c r="E665" s="554">
        <v>3330</v>
      </c>
      <c r="F665" s="556">
        <v>9457</v>
      </c>
      <c r="G665" s="556">
        <v>7929</v>
      </c>
      <c r="H665" s="556">
        <v>15703</v>
      </c>
      <c r="I665" s="556">
        <v>8197</v>
      </c>
      <c r="J665" s="557">
        <v>9599</v>
      </c>
      <c r="K665" s="557">
        <v>4073</v>
      </c>
      <c r="L665" s="555">
        <v>6399</v>
      </c>
      <c r="M665" s="554">
        <v>9092</v>
      </c>
      <c r="N665" s="556">
        <v>11924</v>
      </c>
      <c r="O665" s="556">
        <v>4059</v>
      </c>
      <c r="P665" s="556">
        <v>10852</v>
      </c>
      <c r="Q665" s="557">
        <v>4799</v>
      </c>
      <c r="R665" s="557">
        <v>7192</v>
      </c>
      <c r="S665" s="555">
        <v>9599</v>
      </c>
      <c r="T665" s="558">
        <v>2480</v>
      </c>
      <c r="U665" s="555">
        <v>1570</v>
      </c>
      <c r="V665" s="559" t="s">
        <v>197</v>
      </c>
      <c r="W665" s="560"/>
      <c r="X665" s="561"/>
      <c r="Y665" s="561"/>
      <c r="Z665" s="561"/>
      <c r="AA665" s="562" t="s">
        <v>190</v>
      </c>
      <c r="AB665" s="553" t="s">
        <v>4</v>
      </c>
      <c r="AC665" s="564">
        <v>9191.7999999999993</v>
      </c>
      <c r="AD665" s="564"/>
      <c r="AE665" s="564"/>
      <c r="AF665" s="564"/>
      <c r="AG665" s="564"/>
      <c r="AH665" s="564"/>
      <c r="AI665" s="564"/>
      <c r="AJ665" s="565">
        <v>13787.7</v>
      </c>
      <c r="AK665" s="566">
        <v>8804.7999999999993</v>
      </c>
      <c r="AL665" s="567">
        <v>13787.7</v>
      </c>
      <c r="AM665" s="568">
        <v>8804.7999999999993</v>
      </c>
      <c r="AN665" s="781"/>
      <c r="AO665" s="781"/>
    </row>
    <row r="666" spans="1:41" s="591" customFormat="1" x14ac:dyDescent="0.25">
      <c r="A666" s="1061"/>
      <c r="B666" s="494" t="s">
        <v>11</v>
      </c>
      <c r="C666" s="302">
        <f t="shared" ref="C666:L666" si="194">C665*33.717</f>
        <v>197918.78999999998</v>
      </c>
      <c r="D666" s="512">
        <f t="shared" si="194"/>
        <v>112378.761</v>
      </c>
      <c r="E666" s="302">
        <f t="shared" si="194"/>
        <v>112277.61</v>
      </c>
      <c r="F666" s="355">
        <f t="shared" si="194"/>
        <v>318861.66899999999</v>
      </c>
      <c r="G666" s="499">
        <f t="shared" si="194"/>
        <v>267342.09299999999</v>
      </c>
      <c r="H666" s="354">
        <f t="shared" si="194"/>
        <v>529458.05099999998</v>
      </c>
      <c r="I666" s="354">
        <f t="shared" si="194"/>
        <v>276378.24900000001</v>
      </c>
      <c r="J666" s="355">
        <f t="shared" si="194"/>
        <v>323649.48300000001</v>
      </c>
      <c r="K666" s="507">
        <f t="shared" si="194"/>
        <v>137329.34099999999</v>
      </c>
      <c r="L666" s="512">
        <f t="shared" si="194"/>
        <v>215755.08299999998</v>
      </c>
      <c r="M666" s="322">
        <f>M665*33.717</f>
        <v>306554.96399999998</v>
      </c>
      <c r="N666" s="499">
        <f>N665*33.717</f>
        <v>402041.50799999997</v>
      </c>
      <c r="O666" s="499">
        <f>O665*33.717</f>
        <v>136857.30299999999</v>
      </c>
      <c r="P666" s="354">
        <f>P665*33.717</f>
        <v>365896.88399999996</v>
      </c>
      <c r="Q666" s="355">
        <f>Q665*33.717</f>
        <v>161807.883</v>
      </c>
      <c r="R666" s="507">
        <f t="shared" ref="R666:S666" si="195">R665*33.717</f>
        <v>242492.66399999999</v>
      </c>
      <c r="S666" s="512">
        <f t="shared" si="195"/>
        <v>323649.48300000001</v>
      </c>
      <c r="T666" s="302">
        <f>T665*33.717</f>
        <v>83618.16</v>
      </c>
      <c r="U666" s="354">
        <f>U665*33.717</f>
        <v>52935.689999999995</v>
      </c>
      <c r="V666" s="534"/>
      <c r="W666" s="534"/>
      <c r="X666" s="534"/>
      <c r="Y666" s="534"/>
      <c r="Z666" s="534"/>
      <c r="AA666" s="604"/>
      <c r="AB666" s="497" t="s">
        <v>5</v>
      </c>
      <c r="AC666" s="319">
        <v>7975.5</v>
      </c>
      <c r="AD666" s="936"/>
      <c r="AE666" s="936"/>
      <c r="AF666" s="936"/>
      <c r="AG666" s="936"/>
      <c r="AH666" s="936"/>
      <c r="AI666" s="936"/>
      <c r="AJ666" s="300">
        <v>13649</v>
      </c>
      <c r="AK666" s="513">
        <v>1289.9000000000001</v>
      </c>
      <c r="AL666" s="398">
        <v>13642</v>
      </c>
      <c r="AM666" s="394">
        <v>5483.9</v>
      </c>
      <c r="AN666" s="779"/>
      <c r="AO666" s="779"/>
    </row>
    <row r="667" spans="1:41" s="591" customFormat="1" ht="15.75" thickBot="1" x14ac:dyDescent="0.3">
      <c r="A667" s="1061"/>
      <c r="B667" s="494" t="s">
        <v>79</v>
      </c>
      <c r="C667" s="302">
        <v>164000</v>
      </c>
      <c r="D667" s="512">
        <v>109880</v>
      </c>
      <c r="E667" s="302">
        <v>109880</v>
      </c>
      <c r="F667" s="499">
        <v>328000</v>
      </c>
      <c r="G667" s="499">
        <v>330905</v>
      </c>
      <c r="H667" s="499">
        <v>264264</v>
      </c>
      <c r="I667" s="499">
        <v>242663.6</v>
      </c>
      <c r="J667" s="507">
        <v>328000</v>
      </c>
      <c r="K667" s="507">
        <v>328000</v>
      </c>
      <c r="L667" s="512">
        <v>328000</v>
      </c>
      <c r="M667" s="302">
        <v>328000</v>
      </c>
      <c r="N667" s="499">
        <v>264264.40000000002</v>
      </c>
      <c r="O667" s="499">
        <v>328000</v>
      </c>
      <c r="P667" s="499">
        <v>352965.4</v>
      </c>
      <c r="Q667" s="507">
        <v>328000</v>
      </c>
      <c r="R667" s="507">
        <v>328000</v>
      </c>
      <c r="S667" s="512">
        <v>328000</v>
      </c>
      <c r="T667" s="322">
        <f>2*T662</f>
        <v>110302</v>
      </c>
      <c r="U667" s="512">
        <f>2*U662</f>
        <v>66181</v>
      </c>
      <c r="V667" s="534"/>
      <c r="W667" s="534"/>
      <c r="X667" s="534"/>
      <c r="Y667" s="534"/>
      <c r="Z667" s="534"/>
      <c r="AA667" s="605"/>
      <c r="AB667" s="344" t="s">
        <v>3</v>
      </c>
      <c r="AC667" s="395">
        <f>AC666/AC665</f>
        <v>0.86767553689157739</v>
      </c>
      <c r="AD667" s="635"/>
      <c r="AE667" s="635"/>
      <c r="AF667" s="635"/>
      <c r="AG667" s="635"/>
      <c r="AH667" s="635"/>
      <c r="AI667" s="635"/>
      <c r="AJ667" s="301">
        <f>AJ666/AJ665</f>
        <v>0.98994030911609621</v>
      </c>
      <c r="AK667" s="401">
        <f>AK666/AK665</f>
        <v>0.14649963656187537</v>
      </c>
      <c r="AL667" s="400">
        <f>AL666/AL665</f>
        <v>0.98943261022505558</v>
      </c>
      <c r="AM667" s="348">
        <f>AM666/AM665</f>
        <v>0.62283072869343992</v>
      </c>
      <c r="AN667" s="780"/>
      <c r="AO667" s="780"/>
    </row>
    <row r="668" spans="1:41" s="591" customFormat="1" x14ac:dyDescent="0.25">
      <c r="A668" s="1061"/>
      <c r="B668" s="497" t="s">
        <v>8</v>
      </c>
      <c r="C668" s="303">
        <f>SUM(C665-336)</f>
        <v>5534</v>
      </c>
      <c r="D668" s="511">
        <f>SUM(D665-468)</f>
        <v>2865</v>
      </c>
      <c r="E668" s="303">
        <f>SUM(E665-435)</f>
        <v>2895</v>
      </c>
      <c r="F668" s="502">
        <f>SUM(F665-1130)</f>
        <v>8327</v>
      </c>
      <c r="G668" s="502">
        <f>SUM(G665-4311)</f>
        <v>3618</v>
      </c>
      <c r="H668" s="502">
        <f>SUM(H665-2041)</f>
        <v>13662</v>
      </c>
      <c r="I668" s="502">
        <f>SUM(I665-(3284-2000))</f>
        <v>6913</v>
      </c>
      <c r="J668" s="508">
        <f>SUM(J665-8785)</f>
        <v>814</v>
      </c>
      <c r="K668" s="508">
        <f>SUM(K665-1056)</f>
        <v>3017</v>
      </c>
      <c r="L668" s="511">
        <f>SUM(L665-4196)</f>
        <v>2203</v>
      </c>
      <c r="M668" s="303">
        <f>SUM(M665-744)</f>
        <v>8348</v>
      </c>
      <c r="N668" s="502">
        <f>SUM(N665-986)</f>
        <v>10938</v>
      </c>
      <c r="O668" s="508">
        <f>SUM(O665-294)</f>
        <v>3765</v>
      </c>
      <c r="P668" s="502">
        <f>SUM(P665-(5089-2614))</f>
        <v>8377</v>
      </c>
      <c r="Q668" s="508">
        <f>SUM(Q665-3537)</f>
        <v>1262</v>
      </c>
      <c r="R668" s="508">
        <f>SUM(R665-4060)</f>
        <v>3132</v>
      </c>
      <c r="S668" s="511">
        <f>SUM(S665-3942)</f>
        <v>5657</v>
      </c>
      <c r="T668" s="323">
        <f>SUM(T665-859)</f>
        <v>1621</v>
      </c>
      <c r="U668" s="511">
        <f>SUM(U665-555)</f>
        <v>1015</v>
      </c>
      <c r="V668" s="526" t="s">
        <v>176</v>
      </c>
      <c r="W668" s="534"/>
      <c r="X668" s="534"/>
      <c r="Y668" s="534"/>
      <c r="Z668" s="534"/>
      <c r="AA668" s="603" t="s">
        <v>191</v>
      </c>
      <c r="AB668" s="528" t="s">
        <v>4</v>
      </c>
      <c r="AC668" s="544">
        <v>97433.600000000006</v>
      </c>
      <c r="AD668" s="544"/>
      <c r="AE668" s="544"/>
      <c r="AF668" s="544"/>
      <c r="AG668" s="544"/>
      <c r="AH668" s="544"/>
      <c r="AI668" s="544"/>
      <c r="AJ668" s="541">
        <v>243584.4</v>
      </c>
      <c r="AK668" s="538">
        <v>132070.29999999999</v>
      </c>
      <c r="AL668" s="552">
        <v>292299.3</v>
      </c>
      <c r="AM668" s="551">
        <v>132070.39999999999</v>
      </c>
      <c r="AN668" s="778"/>
      <c r="AO668" s="778"/>
    </row>
    <row r="669" spans="1:41" s="591" customFormat="1" x14ac:dyDescent="0.25">
      <c r="A669" s="1061"/>
      <c r="B669" s="495" t="s">
        <v>77</v>
      </c>
      <c r="C669" s="302">
        <f t="shared" ref="C669" si="196">(C668*33.717)</f>
        <v>186589.878</v>
      </c>
      <c r="D669" s="338">
        <f t="shared" ref="D669" si="197">(D668*33.717)</f>
        <v>96599.205000000002</v>
      </c>
      <c r="E669" s="302">
        <f t="shared" ref="E669" si="198">(E668*33.717)</f>
        <v>97610.714999999997</v>
      </c>
      <c r="F669" s="338">
        <f t="shared" ref="F669" si="199">(F668*33.717)</f>
        <v>280761.45899999997</v>
      </c>
      <c r="G669" s="500">
        <f t="shared" ref="G669" si="200">(G668*33.717)</f>
        <v>121988.106</v>
      </c>
      <c r="H669" s="500">
        <f t="shared" ref="H669" si="201">(H668*33.717)</f>
        <v>460641.65399999998</v>
      </c>
      <c r="I669" s="500">
        <f>(I668*33.717)-(2000*33.717)</f>
        <v>165651.62099999998</v>
      </c>
      <c r="J669" s="509">
        <f>J668*33.717</f>
        <v>27445.637999999999</v>
      </c>
      <c r="K669" s="509">
        <f>K668*33.717</f>
        <v>101724.189</v>
      </c>
      <c r="L669" s="261">
        <f>L668*33.717</f>
        <v>74278.550999999992</v>
      </c>
      <c r="M669" s="304">
        <f>M668*33.717</f>
        <v>281469.516</v>
      </c>
      <c r="N669" s="500">
        <f>N668*33.717</f>
        <v>368796.54599999997</v>
      </c>
      <c r="O669" s="500">
        <f>(O668*33.717)</f>
        <v>126944.50499999999</v>
      </c>
      <c r="P669" s="500">
        <f>P668*33.717-(2614*33.717)</f>
        <v>194311.071</v>
      </c>
      <c r="Q669" s="509">
        <f t="shared" ref="Q669:U669" si="202">Q668*33.717</f>
        <v>42550.853999999999</v>
      </c>
      <c r="R669" s="509">
        <f t="shared" si="202"/>
        <v>105601.644</v>
      </c>
      <c r="S669" s="261">
        <f t="shared" si="202"/>
        <v>190737.06899999999</v>
      </c>
      <c r="T669" s="324">
        <f t="shared" si="202"/>
        <v>54655.256999999998</v>
      </c>
      <c r="U669" s="518">
        <f t="shared" si="202"/>
        <v>34222.754999999997</v>
      </c>
      <c r="V669" s="532">
        <f>344240-H669</f>
        <v>-116401.65399999998</v>
      </c>
      <c r="W669" s="534" t="s">
        <v>177</v>
      </c>
      <c r="X669" s="534"/>
      <c r="Y669" s="534"/>
      <c r="Z669" s="534"/>
      <c r="AA669" s="604"/>
      <c r="AB669" s="497" t="s">
        <v>5</v>
      </c>
      <c r="AC669" s="319">
        <v>38973.199999999997</v>
      </c>
      <c r="AD669" s="936"/>
      <c r="AE669" s="936"/>
      <c r="AF669" s="936"/>
      <c r="AG669" s="936"/>
      <c r="AH669" s="936"/>
      <c r="AI669" s="936"/>
      <c r="AJ669" s="300">
        <v>124350.5</v>
      </c>
      <c r="AK669" s="513">
        <v>3817.1</v>
      </c>
      <c r="AL669" s="398">
        <v>109009</v>
      </c>
      <c r="AM669" s="394">
        <v>33401</v>
      </c>
      <c r="AN669" s="779"/>
      <c r="AO669" s="779"/>
    </row>
    <row r="670" spans="1:41" s="591" customFormat="1" ht="15.75" thickBot="1" x14ac:dyDescent="0.3">
      <c r="A670" s="1062"/>
      <c r="B670" s="504" t="s">
        <v>217</v>
      </c>
      <c r="C670" s="542">
        <f t="shared" ref="C670:U670" si="203">C669/C662</f>
        <v>1.3012481641363247</v>
      </c>
      <c r="D670" s="514">
        <f t="shared" si="203"/>
        <v>0.64178396815768612</v>
      </c>
      <c r="E670" s="543">
        <f t="shared" si="203"/>
        <v>0.64850421913315925</v>
      </c>
      <c r="F670" s="501">
        <f t="shared" si="203"/>
        <v>1.542655550476157</v>
      </c>
      <c r="G670" s="501">
        <f t="shared" si="203"/>
        <v>0.73729540928417958</v>
      </c>
      <c r="H670" s="501">
        <f t="shared" si="203"/>
        <v>3.4861995309268168</v>
      </c>
      <c r="I670" s="501">
        <f t="shared" si="203"/>
        <v>0.96890084495047613</v>
      </c>
      <c r="J670" s="520">
        <f t="shared" si="203"/>
        <v>0.16588127782126094</v>
      </c>
      <c r="K670" s="520">
        <f t="shared" si="203"/>
        <v>1.1007729440892702</v>
      </c>
      <c r="L670" s="515">
        <f t="shared" si="203"/>
        <v>0.89281289627758975</v>
      </c>
      <c r="M670" s="543">
        <f t="shared" si="203"/>
        <v>1.4581714156052119</v>
      </c>
      <c r="N670" s="501">
        <f t="shared" si="203"/>
        <v>2.7911030939304289</v>
      </c>
      <c r="O670" s="501">
        <f t="shared" si="203"/>
        <v>1.5345064948879801</v>
      </c>
      <c r="P670" s="510">
        <f t="shared" si="203"/>
        <v>0.70465112509292671</v>
      </c>
      <c r="Q670" s="520">
        <f t="shared" si="203"/>
        <v>0.5143551650859578</v>
      </c>
      <c r="R670" s="520">
        <f t="shared" si="203"/>
        <v>0.55879325817963232</v>
      </c>
      <c r="S670" s="515">
        <f t="shared" si="203"/>
        <v>2.2926203151349638</v>
      </c>
      <c r="T670" s="542">
        <f t="shared" si="203"/>
        <v>0.99101116933509814</v>
      </c>
      <c r="U670" s="514">
        <f t="shared" si="203"/>
        <v>1.034216920264124</v>
      </c>
      <c r="V670" s="535"/>
      <c r="W670" s="534"/>
      <c r="X670" s="534"/>
      <c r="Y670" s="534"/>
      <c r="Z670" s="534"/>
      <c r="AA670" s="605"/>
      <c r="AB670" s="504" t="s">
        <v>3</v>
      </c>
      <c r="AC670" s="545">
        <f>AC669/AC668</f>
        <v>0.39999753678402516</v>
      </c>
      <c r="AD670" s="545"/>
      <c r="AE670" s="545"/>
      <c r="AF670" s="545"/>
      <c r="AG670" s="545"/>
      <c r="AH670" s="545"/>
      <c r="AI670" s="545"/>
      <c r="AJ670" s="542">
        <f>AJ669/AJ668</f>
        <v>0.51050272513346506</v>
      </c>
      <c r="AK670" s="514">
        <f>AK669/AK668</f>
        <v>2.8902031720984961E-2</v>
      </c>
      <c r="AL670" s="522">
        <f>AL669/AL668</f>
        <v>0.37293623351133581</v>
      </c>
      <c r="AM670" s="343">
        <f>AM669/AM668</f>
        <v>0.25290299718937781</v>
      </c>
      <c r="AN670" s="780"/>
      <c r="AO670" s="780"/>
    </row>
    <row r="671" spans="1:41" s="591" customFormat="1" ht="15.75" thickBot="1" x14ac:dyDescent="0.3">
      <c r="A671" s="612"/>
      <c r="B671" s="504" t="s">
        <v>218</v>
      </c>
      <c r="C671" s="303">
        <v>168566</v>
      </c>
      <c r="D671" s="303">
        <v>96194</v>
      </c>
      <c r="E671" s="303">
        <v>97205</v>
      </c>
      <c r="F671" s="303">
        <v>262762</v>
      </c>
      <c r="G671" s="303">
        <v>126645</v>
      </c>
      <c r="H671" s="303">
        <v>445574</v>
      </c>
      <c r="I671" s="303">
        <v>165652</v>
      </c>
      <c r="J671" s="303">
        <v>27482</v>
      </c>
      <c r="K671" s="303">
        <v>101798</v>
      </c>
      <c r="L671" s="303">
        <v>74362</v>
      </c>
      <c r="M671" s="303">
        <v>277512</v>
      </c>
      <c r="N671" s="303">
        <v>369005</v>
      </c>
      <c r="O671" s="303">
        <v>133944</v>
      </c>
      <c r="P671" s="303">
        <v>161875</v>
      </c>
      <c r="Q671" s="303">
        <v>42593</v>
      </c>
      <c r="R671" s="303">
        <v>100733</v>
      </c>
      <c r="S671" s="303">
        <v>191491</v>
      </c>
      <c r="T671" s="303">
        <v>54655</v>
      </c>
      <c r="U671" s="303">
        <v>34222</v>
      </c>
      <c r="V671" s="535"/>
      <c r="W671" s="534"/>
      <c r="X671" s="534"/>
      <c r="Y671" s="534"/>
      <c r="Z671" s="534"/>
      <c r="AA671" s="605" t="s">
        <v>219</v>
      </c>
      <c r="AB671" s="504" t="s">
        <v>3</v>
      </c>
      <c r="AC671" s="545">
        <f>(AC664+AC670)/2</f>
        <v>0.38119624665106289</v>
      </c>
      <c r="AD671" s="545"/>
      <c r="AE671" s="545"/>
      <c r="AF671" s="545"/>
      <c r="AG671" s="545"/>
      <c r="AH671" s="545"/>
      <c r="AI671" s="545"/>
      <c r="AJ671" s="545">
        <f t="shared" ref="AJ671:AM671" si="204">(AJ664+AJ670)/2</f>
        <v>0.47677983409520408</v>
      </c>
      <c r="AK671" s="545">
        <f t="shared" si="204"/>
        <v>2.9589946651719472E-2</v>
      </c>
      <c r="AL671" s="545">
        <f t="shared" si="204"/>
        <v>0.45412051337057324</v>
      </c>
      <c r="AM671" s="545">
        <f t="shared" si="204"/>
        <v>0.31543211186862841</v>
      </c>
      <c r="AN671" s="780"/>
      <c r="AO671" s="780"/>
    </row>
    <row r="672" spans="1:41" s="591" customFormat="1" ht="15.75" thickBot="1" x14ac:dyDescent="0.3">
      <c r="A672" s="612"/>
      <c r="B672" s="504" t="s">
        <v>216</v>
      </c>
      <c r="C672" s="543">
        <f t="shared" ref="C672:D672" si="205">C671/C662</f>
        <v>1.1755525025628866</v>
      </c>
      <c r="D672" s="543">
        <f t="shared" si="205"/>
        <v>0.63909187485508245</v>
      </c>
      <c r="E672" s="543">
        <f>E671/E662</f>
        <v>0.64580873750221734</v>
      </c>
      <c r="F672" s="543">
        <f t="shared" ref="F672:U672" si="206">F671/F662</f>
        <v>1.4437567720226727</v>
      </c>
      <c r="G672" s="543">
        <f t="shared" si="206"/>
        <v>0.76544164976866613</v>
      </c>
      <c r="H672" s="543">
        <f t="shared" si="206"/>
        <v>3.372165448574882</v>
      </c>
      <c r="I672" s="543">
        <f t="shared" si="206"/>
        <v>0.96890306173180341</v>
      </c>
      <c r="J672" s="543">
        <f t="shared" si="206"/>
        <v>0.16610104953959873</v>
      </c>
      <c r="K672" s="543">
        <f t="shared" si="206"/>
        <v>1.1015716641633733</v>
      </c>
      <c r="L672" s="543">
        <f t="shared" si="206"/>
        <v>0.89381593608354226</v>
      </c>
      <c r="M672" s="543">
        <f t="shared" si="206"/>
        <v>1.4376692426167867</v>
      </c>
      <c r="N672" s="543">
        <f t="shared" si="206"/>
        <v>2.7926807025350993</v>
      </c>
      <c r="O672" s="543">
        <f t="shared" si="206"/>
        <v>1.6191164631448651</v>
      </c>
      <c r="P672" s="543">
        <f t="shared" si="206"/>
        <v>0.58702471396710854</v>
      </c>
      <c r="Q672" s="543">
        <f t="shared" si="206"/>
        <v>0.51486462637168695</v>
      </c>
      <c r="R672" s="543">
        <f t="shared" si="206"/>
        <v>0.53303072891752423</v>
      </c>
      <c r="S672" s="543">
        <f t="shared" si="206"/>
        <v>2.3016824105937657</v>
      </c>
      <c r="T672" s="543">
        <f t="shared" si="206"/>
        <v>0.9910065094014614</v>
      </c>
      <c r="U672" s="543">
        <f t="shared" si="206"/>
        <v>1.0341941040479896</v>
      </c>
      <c r="V672" s="535"/>
      <c r="W672" s="534"/>
      <c r="X672" s="534"/>
      <c r="Y672" s="534"/>
      <c r="Z672" s="534"/>
      <c r="AA672" s="605"/>
      <c r="AB672" s="504"/>
      <c r="AC672" s="545"/>
      <c r="AD672" s="545"/>
      <c r="AE672" s="545"/>
      <c r="AF672" s="545"/>
      <c r="AG672" s="545"/>
      <c r="AH672" s="545"/>
      <c r="AI672" s="545"/>
      <c r="AJ672" s="542"/>
      <c r="AK672" s="514"/>
      <c r="AL672" s="522"/>
      <c r="AM672" s="343"/>
      <c r="AN672" s="780"/>
      <c r="AO672" s="780"/>
    </row>
    <row r="673" spans="1:41" s="591" customFormat="1" ht="15.75" thickBot="1" x14ac:dyDescent="0.3">
      <c r="A673" s="1048">
        <v>41626</v>
      </c>
      <c r="B673" s="1048"/>
      <c r="C673" s="1048"/>
      <c r="D673" s="529"/>
      <c r="E673" s="529"/>
      <c r="F673" s="529"/>
      <c r="G673" s="529"/>
      <c r="H673" s="529"/>
      <c r="I673" s="525"/>
      <c r="J673" s="531"/>
      <c r="K673" s="531"/>
      <c r="L673" s="529"/>
      <c r="M673" s="529"/>
      <c r="N673" s="527"/>
      <c r="R673" s="526"/>
      <c r="S673" s="534"/>
      <c r="T673" s="534"/>
      <c r="U673" s="534"/>
      <c r="V673" s="534"/>
      <c r="W673" s="534"/>
      <c r="X673" s="534"/>
      <c r="Y673" s="534"/>
      <c r="Z673" s="534"/>
      <c r="AA673" s="1063"/>
      <c r="AB673" s="1064"/>
      <c r="AD673" s="743"/>
      <c r="AE673" s="743"/>
      <c r="AF673" s="743"/>
      <c r="AG673" s="743"/>
      <c r="AH673" s="743"/>
      <c r="AI673" s="743"/>
      <c r="AN673" s="743"/>
      <c r="AO673" s="743"/>
    </row>
    <row r="674" spans="1:41" s="591" customFormat="1" x14ac:dyDescent="0.25">
      <c r="A674" s="1049" t="s">
        <v>1</v>
      </c>
      <c r="B674" s="1050"/>
      <c r="C674" s="540" t="s">
        <v>12</v>
      </c>
      <c r="D674" s="539" t="s">
        <v>12</v>
      </c>
      <c r="E674" s="540" t="s">
        <v>13</v>
      </c>
      <c r="F674" s="530" t="s">
        <v>13</v>
      </c>
      <c r="G674" s="530" t="s">
        <v>13</v>
      </c>
      <c r="H674" s="530" t="s">
        <v>13</v>
      </c>
      <c r="I674" s="530" t="s">
        <v>13</v>
      </c>
      <c r="J674" s="536" t="s">
        <v>13</v>
      </c>
      <c r="K674" s="536" t="s">
        <v>13</v>
      </c>
      <c r="L674" s="539" t="s">
        <v>13</v>
      </c>
      <c r="M674" s="569" t="s">
        <v>2</v>
      </c>
      <c r="N674" s="530" t="s">
        <v>2</v>
      </c>
      <c r="O674" s="536" t="s">
        <v>2</v>
      </c>
      <c r="P674" s="530" t="s">
        <v>2</v>
      </c>
      <c r="Q674" s="536" t="s">
        <v>2</v>
      </c>
      <c r="R674" s="536" t="s">
        <v>2</v>
      </c>
      <c r="S674" s="539" t="s">
        <v>2</v>
      </c>
      <c r="T674" s="569" t="s">
        <v>183</v>
      </c>
      <c r="U674" s="570" t="s">
        <v>183</v>
      </c>
      <c r="V674" s="526"/>
      <c r="W674" s="534"/>
      <c r="X674" s="534"/>
      <c r="Y674" s="534"/>
      <c r="Z674" s="534"/>
      <c r="AA674" s="1049" t="s">
        <v>1</v>
      </c>
      <c r="AB674" s="1051"/>
      <c r="AC674" s="546" t="s">
        <v>12</v>
      </c>
      <c r="AD674" s="912"/>
      <c r="AE674" s="912"/>
      <c r="AF674" s="912"/>
      <c r="AG674" s="912"/>
      <c r="AH674" s="912"/>
      <c r="AI674" s="912"/>
      <c r="AJ674" s="1052" t="s">
        <v>13</v>
      </c>
      <c r="AK674" s="1053"/>
      <c r="AL674" s="1052" t="s">
        <v>2</v>
      </c>
      <c r="AM674" s="1053"/>
      <c r="AN674" s="776"/>
      <c r="AO674" s="776"/>
    </row>
    <row r="675" spans="1:41" s="591" customFormat="1" ht="15.75" thickBot="1" x14ac:dyDescent="0.3">
      <c r="A675" s="1054" t="s">
        <v>0</v>
      </c>
      <c r="B675" s="1066"/>
      <c r="C675" s="298" t="s">
        <v>99</v>
      </c>
      <c r="D675" s="291" t="s">
        <v>100</v>
      </c>
      <c r="E675" s="298" t="s">
        <v>101</v>
      </c>
      <c r="F675" s="503" t="s">
        <v>102</v>
      </c>
      <c r="G675" s="503" t="s">
        <v>97</v>
      </c>
      <c r="H675" s="503" t="s">
        <v>104</v>
      </c>
      <c r="I675" s="503" t="s">
        <v>103</v>
      </c>
      <c r="J675" s="521" t="s">
        <v>178</v>
      </c>
      <c r="K675" s="521" t="s">
        <v>199</v>
      </c>
      <c r="L675" s="517" t="s">
        <v>206</v>
      </c>
      <c r="M675" s="298" t="s">
        <v>105</v>
      </c>
      <c r="N675" s="503" t="s">
        <v>107</v>
      </c>
      <c r="O675" s="505" t="s">
        <v>98</v>
      </c>
      <c r="P675" s="516" t="s">
        <v>106</v>
      </c>
      <c r="Q675" s="505" t="s">
        <v>179</v>
      </c>
      <c r="R675" s="505" t="s">
        <v>198</v>
      </c>
      <c r="S675" s="291" t="s">
        <v>207</v>
      </c>
      <c r="T675" s="317" t="s">
        <v>182</v>
      </c>
      <c r="U675" s="291" t="s">
        <v>184</v>
      </c>
      <c r="V675" s="526"/>
      <c r="W675" s="526"/>
      <c r="X675" s="526"/>
      <c r="Y675" s="526"/>
      <c r="Z675" s="526"/>
      <c r="AA675" s="1054" t="s">
        <v>0</v>
      </c>
      <c r="AB675" s="1067"/>
      <c r="AC675" s="317" t="s">
        <v>99</v>
      </c>
      <c r="AD675" s="621"/>
      <c r="AE675" s="621"/>
      <c r="AF675" s="621"/>
      <c r="AG675" s="621"/>
      <c r="AH675" s="621"/>
      <c r="AI675" s="621"/>
      <c r="AJ675" s="298" t="s">
        <v>104</v>
      </c>
      <c r="AK675" s="291" t="s">
        <v>206</v>
      </c>
      <c r="AL675" s="396" t="s">
        <v>107</v>
      </c>
      <c r="AM675" s="392" t="s">
        <v>207</v>
      </c>
      <c r="AN675" s="777"/>
      <c r="AO675" s="777"/>
    </row>
    <row r="676" spans="1:41" s="591" customFormat="1" x14ac:dyDescent="0.25">
      <c r="A676" s="1057" t="s">
        <v>9</v>
      </c>
      <c r="B676" s="528" t="s">
        <v>4</v>
      </c>
      <c r="C676" s="541">
        <v>143393</v>
      </c>
      <c r="D676" s="538">
        <v>150516.70000000001</v>
      </c>
      <c r="E676" s="541">
        <v>150516.70000000001</v>
      </c>
      <c r="F676" s="533">
        <v>181998.8</v>
      </c>
      <c r="G676" s="533">
        <v>165453.5</v>
      </c>
      <c r="H676" s="533">
        <f>132132.9</f>
        <v>132132.9</v>
      </c>
      <c r="I676" s="533">
        <v>170968.6</v>
      </c>
      <c r="J676" s="537">
        <v>165453.5</v>
      </c>
      <c r="K676" s="537">
        <v>92411.6</v>
      </c>
      <c r="L676" s="538">
        <v>83196.100000000006</v>
      </c>
      <c r="M676" s="541">
        <v>193029.1</v>
      </c>
      <c r="N676" s="533">
        <v>132132.9</v>
      </c>
      <c r="O676" s="533">
        <v>82726.600000000006</v>
      </c>
      <c r="P676" s="533">
        <v>275755</v>
      </c>
      <c r="Q676" s="537">
        <v>82726.600000000006</v>
      </c>
      <c r="R676" s="537">
        <v>188981.6</v>
      </c>
      <c r="S676" s="538">
        <v>83196.100000000006</v>
      </c>
      <c r="T676" s="544">
        <v>55151</v>
      </c>
      <c r="U676" s="538">
        <v>33090.5</v>
      </c>
      <c r="V676" s="534"/>
      <c r="W676" s="534"/>
      <c r="X676" s="534"/>
      <c r="Y676" s="534"/>
      <c r="Z676" s="534"/>
      <c r="AA676" s="548" t="s">
        <v>194</v>
      </c>
      <c r="AB676" s="524" t="s">
        <v>4</v>
      </c>
      <c r="AC676" s="544">
        <v>143392.20000000001</v>
      </c>
      <c r="AD676" s="544"/>
      <c r="AE676" s="544"/>
      <c r="AF676" s="544"/>
      <c r="AG676" s="544"/>
      <c r="AH676" s="544"/>
      <c r="AI676" s="544"/>
      <c r="AJ676" s="541">
        <v>132132</v>
      </c>
      <c r="AK676" s="538">
        <v>83196.100000000006</v>
      </c>
      <c r="AL676" s="552">
        <v>132132.20000000001</v>
      </c>
      <c r="AM676" s="551">
        <v>83196.100000000006</v>
      </c>
      <c r="AN676" s="778"/>
      <c r="AO676" s="778"/>
    </row>
    <row r="677" spans="1:41" s="591" customFormat="1" x14ac:dyDescent="0.25">
      <c r="A677" s="1058"/>
      <c r="B677" s="497" t="s">
        <v>5</v>
      </c>
      <c r="C677" s="572">
        <v>50931</v>
      </c>
      <c r="D677" s="571">
        <v>81938.2</v>
      </c>
      <c r="E677" s="572">
        <v>83312</v>
      </c>
      <c r="F677" s="576">
        <v>155076.20000000001</v>
      </c>
      <c r="G677" s="576">
        <v>109742.2</v>
      </c>
      <c r="H677" s="576">
        <v>62935.9</v>
      </c>
      <c r="I677" s="576">
        <v>110537.60000000001</v>
      </c>
      <c r="J677" s="577">
        <v>29519.7</v>
      </c>
      <c r="K677" s="577">
        <v>55861.5</v>
      </c>
      <c r="L677" s="571">
        <v>2631.3</v>
      </c>
      <c r="M677" s="572">
        <v>168590</v>
      </c>
      <c r="N677" s="576">
        <v>71888</v>
      </c>
      <c r="O677" s="576">
        <v>56572</v>
      </c>
      <c r="P677" s="576">
        <v>203947</v>
      </c>
      <c r="Q677" s="577">
        <v>15359</v>
      </c>
      <c r="R677" s="577">
        <v>90710</v>
      </c>
      <c r="S677" s="571">
        <v>36851.199999999997</v>
      </c>
      <c r="T677" s="580">
        <v>13512</v>
      </c>
      <c r="U677" s="571">
        <v>6899.9</v>
      </c>
      <c r="V677" s="534"/>
      <c r="W677" s="534"/>
      <c r="X677" s="534"/>
      <c r="Y677" s="534"/>
      <c r="Z677" s="534"/>
      <c r="AA677" s="549"/>
      <c r="AB677" s="496" t="s">
        <v>5</v>
      </c>
      <c r="AC677" s="319">
        <v>43401.8</v>
      </c>
      <c r="AD677" s="936"/>
      <c r="AE677" s="936"/>
      <c r="AF677" s="936"/>
      <c r="AG677" s="936"/>
      <c r="AH677" s="936"/>
      <c r="AI677" s="936"/>
      <c r="AJ677" s="300">
        <v>58695.3</v>
      </c>
      <c r="AK677" s="513">
        <v>4.7</v>
      </c>
      <c r="AL677" s="398">
        <v>55118.9</v>
      </c>
      <c r="AM677" s="394">
        <v>4.5</v>
      </c>
      <c r="AN677" s="779"/>
      <c r="AO677" s="779"/>
    </row>
    <row r="678" spans="1:41" s="591" customFormat="1" ht="15.75" thickBot="1" x14ac:dyDescent="0.3">
      <c r="A678" s="1059"/>
      <c r="B678" s="504" t="s">
        <v>3</v>
      </c>
      <c r="C678" s="542">
        <f t="shared" ref="C678:L678" si="207">C677/C676</f>
        <v>0.3551847021821149</v>
      </c>
      <c r="D678" s="343">
        <f t="shared" si="207"/>
        <v>0.54437946088374245</v>
      </c>
      <c r="E678" s="542">
        <f t="shared" si="207"/>
        <v>0.55350668729782138</v>
      </c>
      <c r="F678" s="519">
        <f t="shared" si="207"/>
        <v>0.85207265102846841</v>
      </c>
      <c r="G678" s="498">
        <f t="shared" si="207"/>
        <v>0.66328122402971224</v>
      </c>
      <c r="H678" s="498">
        <f t="shared" si="207"/>
        <v>0.4763075660944398</v>
      </c>
      <c r="I678" s="498">
        <f t="shared" si="207"/>
        <v>0.64653743435929167</v>
      </c>
      <c r="J678" s="506">
        <f t="shared" si="207"/>
        <v>0.17841689659028065</v>
      </c>
      <c r="K678" s="506">
        <f t="shared" si="207"/>
        <v>0.60448580048392186</v>
      </c>
      <c r="L678" s="514">
        <f t="shared" si="207"/>
        <v>3.1627684470786489E-2</v>
      </c>
      <c r="M678" s="547">
        <f>M677/M676</f>
        <v>0.87339162851611485</v>
      </c>
      <c r="N678" s="498">
        <f>N677/N676</f>
        <v>0.54405829282487561</v>
      </c>
      <c r="O678" s="506">
        <f>O677/O676</f>
        <v>0.68384292355783982</v>
      </c>
      <c r="P678" s="498">
        <f>P677/P676</f>
        <v>0.73959493028231582</v>
      </c>
      <c r="Q678" s="506">
        <f>Q677/Q676</f>
        <v>0.1856597515188585</v>
      </c>
      <c r="R678" s="506">
        <f t="shared" ref="R678:S678" si="208">R677/R676</f>
        <v>0.47999381950412101</v>
      </c>
      <c r="S678" s="514">
        <f t="shared" si="208"/>
        <v>0.4429438399155729</v>
      </c>
      <c r="T678" s="545">
        <f>T677/T676</f>
        <v>0.24500009066018749</v>
      </c>
      <c r="U678" s="514">
        <f>U677/U676</f>
        <v>0.20851603934664026</v>
      </c>
      <c r="V678" s="534"/>
      <c r="W678" s="534"/>
      <c r="X678" s="534"/>
      <c r="Y678" s="534"/>
      <c r="Z678" s="534"/>
      <c r="AA678" s="550"/>
      <c r="AB678" s="347" t="s">
        <v>3</v>
      </c>
      <c r="AC678" s="395">
        <f>AC677/AC676</f>
        <v>0.302678946274623</v>
      </c>
      <c r="AD678" s="635"/>
      <c r="AE678" s="635"/>
      <c r="AF678" s="635"/>
      <c r="AG678" s="635"/>
      <c r="AH678" s="635"/>
      <c r="AI678" s="635"/>
      <c r="AJ678" s="542">
        <f>AJ677/AJ676</f>
        <v>0.44421714648987376</v>
      </c>
      <c r="AK678" s="514">
        <f>AK677/AK676</f>
        <v>5.6493032726293656E-5</v>
      </c>
      <c r="AL678" s="522">
        <f>AL677/AL676</f>
        <v>0.41714964255495629</v>
      </c>
      <c r="AM678" s="343">
        <f>AM677/AM676</f>
        <v>5.4089073886876906E-5</v>
      </c>
      <c r="AN678" s="780"/>
      <c r="AO678" s="780"/>
    </row>
    <row r="679" spans="1:41" s="591" customFormat="1" x14ac:dyDescent="0.25">
      <c r="A679" s="1060" t="s">
        <v>6</v>
      </c>
      <c r="B679" s="553" t="s">
        <v>7</v>
      </c>
      <c r="C679" s="554">
        <v>5870</v>
      </c>
      <c r="D679" s="555">
        <v>3333</v>
      </c>
      <c r="E679" s="554">
        <v>3330</v>
      </c>
      <c r="F679" s="556">
        <v>9457</v>
      </c>
      <c r="G679" s="556">
        <v>7929</v>
      </c>
      <c r="H679" s="556">
        <v>15703</v>
      </c>
      <c r="I679" s="556">
        <v>8197</v>
      </c>
      <c r="J679" s="557">
        <v>9599</v>
      </c>
      <c r="K679" s="557">
        <v>4073</v>
      </c>
      <c r="L679" s="555">
        <v>6399</v>
      </c>
      <c r="M679" s="554">
        <v>9092</v>
      </c>
      <c r="N679" s="556">
        <v>11923</v>
      </c>
      <c r="O679" s="556">
        <v>4059</v>
      </c>
      <c r="P679" s="556">
        <v>10852</v>
      </c>
      <c r="Q679" s="557">
        <v>4799</v>
      </c>
      <c r="R679" s="557">
        <v>7192</v>
      </c>
      <c r="S679" s="555">
        <v>9599</v>
      </c>
      <c r="T679" s="558">
        <v>2480</v>
      </c>
      <c r="U679" s="555">
        <v>1570</v>
      </c>
      <c r="V679" s="559" t="s">
        <v>197</v>
      </c>
      <c r="W679" s="560"/>
      <c r="X679" s="561"/>
      <c r="Y679" s="561"/>
      <c r="Z679" s="561"/>
      <c r="AA679" s="562" t="s">
        <v>190</v>
      </c>
      <c r="AB679" s="553" t="s">
        <v>4</v>
      </c>
      <c r="AC679" s="564">
        <v>9191.7999999999993</v>
      </c>
      <c r="AD679" s="564"/>
      <c r="AE679" s="564"/>
      <c r="AF679" s="564"/>
      <c r="AG679" s="564"/>
      <c r="AH679" s="564"/>
      <c r="AI679" s="564"/>
      <c r="AJ679" s="565">
        <v>13787.7</v>
      </c>
      <c r="AK679" s="566">
        <v>8804.7999999999993</v>
      </c>
      <c r="AL679" s="567">
        <v>13787.7</v>
      </c>
      <c r="AM679" s="568">
        <v>8804.7999999999993</v>
      </c>
      <c r="AN679" s="781"/>
      <c r="AO679" s="781"/>
    </row>
    <row r="680" spans="1:41" s="591" customFormat="1" x14ac:dyDescent="0.25">
      <c r="A680" s="1061"/>
      <c r="B680" s="494" t="s">
        <v>11</v>
      </c>
      <c r="C680" s="302">
        <f t="shared" ref="C680:L680" si="209">C679*33.717</f>
        <v>197918.78999999998</v>
      </c>
      <c r="D680" s="512">
        <f t="shared" si="209"/>
        <v>112378.761</v>
      </c>
      <c r="E680" s="302">
        <f t="shared" si="209"/>
        <v>112277.61</v>
      </c>
      <c r="F680" s="355">
        <f t="shared" si="209"/>
        <v>318861.66899999999</v>
      </c>
      <c r="G680" s="499">
        <f t="shared" si="209"/>
        <v>267342.09299999999</v>
      </c>
      <c r="H680" s="354">
        <f t="shared" si="209"/>
        <v>529458.05099999998</v>
      </c>
      <c r="I680" s="354">
        <f t="shared" si="209"/>
        <v>276378.24900000001</v>
      </c>
      <c r="J680" s="355">
        <f t="shared" si="209"/>
        <v>323649.48300000001</v>
      </c>
      <c r="K680" s="507">
        <f t="shared" si="209"/>
        <v>137329.34099999999</v>
      </c>
      <c r="L680" s="512">
        <f t="shared" si="209"/>
        <v>215755.08299999998</v>
      </c>
      <c r="M680" s="322">
        <f>M679*33.717</f>
        <v>306554.96399999998</v>
      </c>
      <c r="N680" s="499">
        <f>N679*33.717</f>
        <v>402007.79099999997</v>
      </c>
      <c r="O680" s="499">
        <f>O679*33.717</f>
        <v>136857.30299999999</v>
      </c>
      <c r="P680" s="354">
        <f>P679*33.717</f>
        <v>365896.88399999996</v>
      </c>
      <c r="Q680" s="355">
        <f>Q679*33.717</f>
        <v>161807.883</v>
      </c>
      <c r="R680" s="507">
        <f t="shared" ref="R680:S680" si="210">R679*33.717</f>
        <v>242492.66399999999</v>
      </c>
      <c r="S680" s="512">
        <f t="shared" si="210"/>
        <v>323649.48300000001</v>
      </c>
      <c r="T680" s="302">
        <f>T679*33.717</f>
        <v>83618.16</v>
      </c>
      <c r="U680" s="354">
        <f>U679*33.717</f>
        <v>52935.689999999995</v>
      </c>
      <c r="V680" s="534"/>
      <c r="W680" s="534"/>
      <c r="X680" s="534"/>
      <c r="Y680" s="534"/>
      <c r="Z680" s="534"/>
      <c r="AA680" s="549"/>
      <c r="AB680" s="497" t="s">
        <v>5</v>
      </c>
      <c r="AC680" s="319">
        <v>8835</v>
      </c>
      <c r="AD680" s="936"/>
      <c r="AE680" s="936"/>
      <c r="AF680" s="936"/>
      <c r="AG680" s="936"/>
      <c r="AH680" s="936"/>
      <c r="AI680" s="936"/>
      <c r="AJ680" s="300">
        <v>13648.9</v>
      </c>
      <c r="AK680" s="513">
        <v>0</v>
      </c>
      <c r="AL680" s="398">
        <v>13649.5</v>
      </c>
      <c r="AM680" s="394">
        <v>30</v>
      </c>
      <c r="AN680" s="779"/>
      <c r="AO680" s="779"/>
    </row>
    <row r="681" spans="1:41" s="591" customFormat="1" ht="15.75" thickBot="1" x14ac:dyDescent="0.3">
      <c r="A681" s="1061"/>
      <c r="B681" s="494" t="s">
        <v>79</v>
      </c>
      <c r="C681" s="302">
        <v>164000</v>
      </c>
      <c r="D681" s="512">
        <v>109880</v>
      </c>
      <c r="E681" s="302">
        <v>109880</v>
      </c>
      <c r="F681" s="499">
        <v>328000</v>
      </c>
      <c r="G681" s="499">
        <v>330905</v>
      </c>
      <c r="H681" s="499">
        <v>264264</v>
      </c>
      <c r="I681" s="499">
        <v>242663.6</v>
      </c>
      <c r="J681" s="507">
        <v>328000</v>
      </c>
      <c r="K681" s="507">
        <v>328000</v>
      </c>
      <c r="L681" s="512">
        <v>328000</v>
      </c>
      <c r="M681" s="302">
        <v>328000</v>
      </c>
      <c r="N681" s="499">
        <v>264264.40000000002</v>
      </c>
      <c r="O681" s="499">
        <v>328000</v>
      </c>
      <c r="P681" s="499">
        <v>352965.4</v>
      </c>
      <c r="Q681" s="507">
        <v>328000</v>
      </c>
      <c r="R681" s="507">
        <v>328000</v>
      </c>
      <c r="S681" s="512">
        <v>328000</v>
      </c>
      <c r="T681" s="322">
        <f>2*T676</f>
        <v>110302</v>
      </c>
      <c r="U681" s="512">
        <f>2*U676</f>
        <v>66181</v>
      </c>
      <c r="V681" s="534"/>
      <c r="W681" s="534"/>
      <c r="X681" s="534"/>
      <c r="Y681" s="534"/>
      <c r="Z681" s="534"/>
      <c r="AA681" s="550"/>
      <c r="AB681" s="344" t="s">
        <v>3</v>
      </c>
      <c r="AC681" s="395">
        <f>AC680/AC679</f>
        <v>0.96118279335929857</v>
      </c>
      <c r="AD681" s="635"/>
      <c r="AE681" s="635"/>
      <c r="AF681" s="635"/>
      <c r="AG681" s="635"/>
      <c r="AH681" s="635"/>
      <c r="AI681" s="635"/>
      <c r="AJ681" s="301">
        <f>AJ680/AJ679</f>
        <v>0.98993305627479555</v>
      </c>
      <c r="AK681" s="401">
        <f>AK680/AK679</f>
        <v>0</v>
      </c>
      <c r="AL681" s="400">
        <f>AL680/AL679</f>
        <v>0.98997657332259903</v>
      </c>
      <c r="AM681" s="348">
        <f>AM680/AM679</f>
        <v>3.4072324186807199E-3</v>
      </c>
      <c r="AN681" s="780"/>
      <c r="AO681" s="780"/>
    </row>
    <row r="682" spans="1:41" s="591" customFormat="1" x14ac:dyDescent="0.25">
      <c r="A682" s="1061"/>
      <c r="B682" s="497" t="s">
        <v>8</v>
      </c>
      <c r="C682" s="303">
        <f>SUM(C679-336)</f>
        <v>5534</v>
      </c>
      <c r="D682" s="511">
        <f>SUM(D679-468)</f>
        <v>2865</v>
      </c>
      <c r="E682" s="303">
        <f>SUM(E679-435)</f>
        <v>2895</v>
      </c>
      <c r="F682" s="502">
        <f>SUM(F679-1130)</f>
        <v>8327</v>
      </c>
      <c r="G682" s="502">
        <f>SUM(G679-4311)</f>
        <v>3618</v>
      </c>
      <c r="H682" s="502">
        <f>SUM(H679-2041)</f>
        <v>13662</v>
      </c>
      <c r="I682" s="502">
        <f>SUM(I679-(3284-2000))</f>
        <v>6913</v>
      </c>
      <c r="J682" s="508">
        <f>SUM(J679-8822)</f>
        <v>777</v>
      </c>
      <c r="K682" s="508">
        <f>SUM(K679-1056)</f>
        <v>3017</v>
      </c>
      <c r="L682" s="511">
        <f>SUM(L679-4196)</f>
        <v>2203</v>
      </c>
      <c r="M682" s="303">
        <f>SUM(M679-744)</f>
        <v>8348</v>
      </c>
      <c r="N682" s="502">
        <f>SUM(N679-986)</f>
        <v>10937</v>
      </c>
      <c r="O682" s="508">
        <f>SUM(O679-294)</f>
        <v>3765</v>
      </c>
      <c r="P682" s="502">
        <f>SUM(P679-(5089-2614))</f>
        <v>8377</v>
      </c>
      <c r="Q682" s="508">
        <f>SUM(Q679-3574)</f>
        <v>1225</v>
      </c>
      <c r="R682" s="508">
        <f>SUM(R679-4060)</f>
        <v>3132</v>
      </c>
      <c r="S682" s="511">
        <f>SUM(S679-3942)</f>
        <v>5657</v>
      </c>
      <c r="T682" s="323">
        <f>SUM(T679-859)</f>
        <v>1621</v>
      </c>
      <c r="U682" s="511">
        <f>SUM(U679-555)</f>
        <v>1015</v>
      </c>
      <c r="V682" s="526" t="s">
        <v>176</v>
      </c>
      <c r="W682" s="534"/>
      <c r="X682" s="534"/>
      <c r="Y682" s="534"/>
      <c r="Z682" s="534"/>
      <c r="AA682" s="548" t="s">
        <v>191</v>
      </c>
      <c r="AB682" s="528" t="s">
        <v>4</v>
      </c>
      <c r="AC682" s="544">
        <v>97433.600000000006</v>
      </c>
      <c r="AD682" s="544"/>
      <c r="AE682" s="544"/>
      <c r="AF682" s="544"/>
      <c r="AG682" s="544"/>
      <c r="AH682" s="544"/>
      <c r="AI682" s="544"/>
      <c r="AJ682" s="541">
        <v>243584.4</v>
      </c>
      <c r="AK682" s="538">
        <v>132070.29999999999</v>
      </c>
      <c r="AL682" s="552">
        <v>292299.3</v>
      </c>
      <c r="AM682" s="551">
        <v>132070.39999999999</v>
      </c>
      <c r="AN682" s="778"/>
      <c r="AO682" s="778"/>
    </row>
    <row r="683" spans="1:41" s="591" customFormat="1" x14ac:dyDescent="0.25">
      <c r="A683" s="1061"/>
      <c r="B683" s="495" t="s">
        <v>77</v>
      </c>
      <c r="C683" s="302">
        <f t="shared" ref="C683:H683" si="211">(C682*33.717)</f>
        <v>186589.878</v>
      </c>
      <c r="D683" s="338">
        <f t="shared" si="211"/>
        <v>96599.205000000002</v>
      </c>
      <c r="E683" s="302">
        <f t="shared" si="211"/>
        <v>97610.714999999997</v>
      </c>
      <c r="F683" s="338">
        <f t="shared" si="211"/>
        <v>280761.45899999997</v>
      </c>
      <c r="G683" s="500">
        <f t="shared" si="211"/>
        <v>121988.106</v>
      </c>
      <c r="H683" s="500">
        <f t="shared" si="211"/>
        <v>460641.65399999998</v>
      </c>
      <c r="I683" s="500">
        <f>(I682*33.717)-(2000*33.717)</f>
        <v>165651.62099999998</v>
      </c>
      <c r="J683" s="509">
        <f>J682*33.717</f>
        <v>26198.109</v>
      </c>
      <c r="K683" s="509">
        <f>K682*33.717</f>
        <v>101724.189</v>
      </c>
      <c r="L683" s="261">
        <f>L682*33.717</f>
        <v>74278.550999999992</v>
      </c>
      <c r="M683" s="304">
        <f>M682*33.717</f>
        <v>281469.516</v>
      </c>
      <c r="N683" s="500">
        <f>N682*33.717</f>
        <v>368762.82899999997</v>
      </c>
      <c r="O683" s="500">
        <f>(O682*33.717)</f>
        <v>126944.50499999999</v>
      </c>
      <c r="P683" s="500">
        <f>P682*33.717-(2614*33.717)</f>
        <v>194311.071</v>
      </c>
      <c r="Q683" s="509">
        <f t="shared" ref="Q683:U683" si="212">Q682*33.717</f>
        <v>41303.324999999997</v>
      </c>
      <c r="R683" s="509">
        <f t="shared" si="212"/>
        <v>105601.644</v>
      </c>
      <c r="S683" s="261">
        <f t="shared" si="212"/>
        <v>190737.06899999999</v>
      </c>
      <c r="T683" s="324">
        <f t="shared" si="212"/>
        <v>54655.256999999998</v>
      </c>
      <c r="U683" s="518">
        <f t="shared" si="212"/>
        <v>34222.754999999997</v>
      </c>
      <c r="V683" s="532">
        <f>344240-H683</f>
        <v>-116401.65399999998</v>
      </c>
      <c r="W683" s="534" t="s">
        <v>177</v>
      </c>
      <c r="X683" s="534"/>
      <c r="Y683" s="534"/>
      <c r="Z683" s="534"/>
      <c r="AA683" s="549"/>
      <c r="AB683" s="497" t="s">
        <v>5</v>
      </c>
      <c r="AC683" s="319">
        <v>38973.199999999997</v>
      </c>
      <c r="AD683" s="936"/>
      <c r="AE683" s="936"/>
      <c r="AF683" s="936"/>
      <c r="AG683" s="936"/>
      <c r="AH683" s="936"/>
      <c r="AI683" s="936"/>
      <c r="AJ683" s="300">
        <v>95895.7</v>
      </c>
      <c r="AK683" s="513">
        <v>0.1</v>
      </c>
      <c r="AL683" s="398">
        <v>93978.8</v>
      </c>
      <c r="AM683" s="394">
        <v>1</v>
      </c>
      <c r="AN683" s="779"/>
      <c r="AO683" s="779"/>
    </row>
    <row r="684" spans="1:41" s="591" customFormat="1" ht="15.75" thickBot="1" x14ac:dyDescent="0.3">
      <c r="A684" s="1062"/>
      <c r="B684" s="504" t="s">
        <v>10</v>
      </c>
      <c r="C684" s="542">
        <f>C683/C676</f>
        <v>1.3012481641363247</v>
      </c>
      <c r="D684" s="514">
        <f t="shared" ref="D684:U684" si="213">D683/D676</f>
        <v>0.64178396815768612</v>
      </c>
      <c r="E684" s="543">
        <f t="shared" si="213"/>
        <v>0.64850421913315925</v>
      </c>
      <c r="F684" s="501">
        <f t="shared" si="213"/>
        <v>1.542655550476157</v>
      </c>
      <c r="G684" s="501">
        <f t="shared" si="213"/>
        <v>0.73729540928417958</v>
      </c>
      <c r="H684" s="501">
        <f t="shared" si="213"/>
        <v>3.4861995309268168</v>
      </c>
      <c r="I684" s="501">
        <f t="shared" si="213"/>
        <v>0.96890084495047613</v>
      </c>
      <c r="J684" s="520">
        <f t="shared" si="213"/>
        <v>0.15834121973847637</v>
      </c>
      <c r="K684" s="520">
        <f t="shared" si="213"/>
        <v>1.1007729440892702</v>
      </c>
      <c r="L684" s="515">
        <f t="shared" si="213"/>
        <v>0.89281289627758975</v>
      </c>
      <c r="M684" s="543">
        <f t="shared" si="213"/>
        <v>1.4581714156052119</v>
      </c>
      <c r="N684" s="501">
        <f t="shared" si="213"/>
        <v>2.7908479190269797</v>
      </c>
      <c r="O684" s="501">
        <f t="shared" si="213"/>
        <v>1.5345064948879801</v>
      </c>
      <c r="P684" s="510">
        <f t="shared" si="213"/>
        <v>0.70465112509292671</v>
      </c>
      <c r="Q684" s="520">
        <f t="shared" si="213"/>
        <v>0.49927502157709847</v>
      </c>
      <c r="R684" s="520">
        <f t="shared" si="213"/>
        <v>0.55879325817963232</v>
      </c>
      <c r="S684" s="515">
        <f t="shared" si="213"/>
        <v>2.2926203151349638</v>
      </c>
      <c r="T684" s="542">
        <f t="shared" si="213"/>
        <v>0.99101116933509814</v>
      </c>
      <c r="U684" s="514">
        <f t="shared" si="213"/>
        <v>1.034216920264124</v>
      </c>
      <c r="V684" s="535"/>
      <c r="W684" s="534"/>
      <c r="X684" s="534"/>
      <c r="Y684" s="534"/>
      <c r="Z684" s="534"/>
      <c r="AA684" s="550"/>
      <c r="AB684" s="504" t="s">
        <v>3</v>
      </c>
      <c r="AC684" s="545">
        <f>AC683/AC682</f>
        <v>0.39999753678402516</v>
      </c>
      <c r="AD684" s="545"/>
      <c r="AE684" s="545"/>
      <c r="AF684" s="545"/>
      <c r="AG684" s="545"/>
      <c r="AH684" s="545"/>
      <c r="AI684" s="545"/>
      <c r="AJ684" s="542">
        <f>AJ683/AJ682</f>
        <v>0.39368572043201455</v>
      </c>
      <c r="AK684" s="514">
        <f>AK683/AK682</f>
        <v>7.5717250585483648E-7</v>
      </c>
      <c r="AL684" s="522">
        <f>AL683/AL682</f>
        <v>0.32151565193621745</v>
      </c>
      <c r="AM684" s="343">
        <f>AM683/AM682</f>
        <v>7.5717193254506694E-6</v>
      </c>
      <c r="AN684" s="780"/>
      <c r="AO684" s="780"/>
    </row>
    <row r="685" spans="1:41" s="523" customFormat="1" ht="15.75" thickBot="1" x14ac:dyDescent="0.3">
      <c r="A685" s="1048">
        <v>41617</v>
      </c>
      <c r="B685" s="1048"/>
      <c r="C685" s="1048"/>
      <c r="D685" s="529"/>
      <c r="E685" s="529"/>
      <c r="F685" s="529"/>
      <c r="G685" s="529"/>
      <c r="H685" s="529"/>
      <c r="I685" s="525"/>
      <c r="J685" s="531"/>
      <c r="K685" s="531"/>
      <c r="L685" s="529"/>
      <c r="M685" s="529"/>
      <c r="N685" s="527"/>
      <c r="R685" s="526"/>
      <c r="S685" s="534"/>
      <c r="T685" s="534"/>
      <c r="U685" s="534"/>
      <c r="V685" s="534"/>
      <c r="W685" s="534"/>
      <c r="X685" s="534"/>
      <c r="Y685" s="534"/>
      <c r="Z685" s="534"/>
      <c r="AA685" s="1063"/>
      <c r="AB685" s="1064"/>
      <c r="AD685" s="743"/>
      <c r="AE685" s="743"/>
      <c r="AF685" s="743"/>
      <c r="AG685" s="743"/>
      <c r="AH685" s="743"/>
      <c r="AI685" s="743"/>
      <c r="AN685" s="743"/>
      <c r="AO685" s="743"/>
    </row>
    <row r="686" spans="1:41" s="523" customFormat="1" x14ac:dyDescent="0.25">
      <c r="A686" s="1049" t="s">
        <v>1</v>
      </c>
      <c r="B686" s="1050"/>
      <c r="C686" s="540" t="s">
        <v>12</v>
      </c>
      <c r="D686" s="539" t="s">
        <v>12</v>
      </c>
      <c r="E686" s="540" t="s">
        <v>13</v>
      </c>
      <c r="F686" s="530" t="s">
        <v>13</v>
      </c>
      <c r="G686" s="530" t="s">
        <v>13</v>
      </c>
      <c r="H686" s="530" t="s">
        <v>13</v>
      </c>
      <c r="I686" s="530" t="s">
        <v>13</v>
      </c>
      <c r="J686" s="536" t="s">
        <v>13</v>
      </c>
      <c r="K686" s="536" t="s">
        <v>13</v>
      </c>
      <c r="L686" s="539" t="s">
        <v>13</v>
      </c>
      <c r="M686" s="569" t="s">
        <v>2</v>
      </c>
      <c r="N686" s="530" t="s">
        <v>2</v>
      </c>
      <c r="O686" s="536" t="s">
        <v>2</v>
      </c>
      <c r="P686" s="530" t="s">
        <v>2</v>
      </c>
      <c r="Q686" s="536" t="s">
        <v>2</v>
      </c>
      <c r="R686" s="536" t="s">
        <v>2</v>
      </c>
      <c r="S686" s="539" t="s">
        <v>2</v>
      </c>
      <c r="T686" s="569" t="s">
        <v>183</v>
      </c>
      <c r="U686" s="570" t="s">
        <v>183</v>
      </c>
      <c r="V686" s="526"/>
      <c r="W686" s="534"/>
      <c r="X686" s="534"/>
      <c r="Y686" s="534"/>
      <c r="Z686" s="534"/>
      <c r="AA686" s="1049" t="s">
        <v>1</v>
      </c>
      <c r="AB686" s="1051"/>
      <c r="AC686" s="546" t="s">
        <v>12</v>
      </c>
      <c r="AD686" s="912"/>
      <c r="AE686" s="912"/>
      <c r="AF686" s="912"/>
      <c r="AG686" s="912"/>
      <c r="AH686" s="912"/>
      <c r="AI686" s="912"/>
      <c r="AJ686" s="1052" t="s">
        <v>13</v>
      </c>
      <c r="AK686" s="1053"/>
      <c r="AL686" s="1052" t="s">
        <v>2</v>
      </c>
      <c r="AM686" s="1053"/>
      <c r="AN686" s="776"/>
      <c r="AO686" s="776"/>
    </row>
    <row r="687" spans="1:41" s="523" customFormat="1" ht="15.75" thickBot="1" x14ac:dyDescent="0.3">
      <c r="A687" s="1054" t="s">
        <v>0</v>
      </c>
      <c r="B687" s="1066"/>
      <c r="C687" s="298" t="s">
        <v>99</v>
      </c>
      <c r="D687" s="291" t="s">
        <v>100</v>
      </c>
      <c r="E687" s="298" t="s">
        <v>101</v>
      </c>
      <c r="F687" s="503" t="s">
        <v>102</v>
      </c>
      <c r="G687" s="503" t="s">
        <v>97</v>
      </c>
      <c r="H687" s="503" t="s">
        <v>104</v>
      </c>
      <c r="I687" s="503" t="s">
        <v>103</v>
      </c>
      <c r="J687" s="521" t="s">
        <v>178</v>
      </c>
      <c r="K687" s="521" t="s">
        <v>199</v>
      </c>
      <c r="L687" s="517" t="s">
        <v>206</v>
      </c>
      <c r="M687" s="298" t="s">
        <v>105</v>
      </c>
      <c r="N687" s="503" t="s">
        <v>107</v>
      </c>
      <c r="O687" s="505" t="s">
        <v>98</v>
      </c>
      <c r="P687" s="516" t="s">
        <v>106</v>
      </c>
      <c r="Q687" s="505" t="s">
        <v>179</v>
      </c>
      <c r="R687" s="505" t="s">
        <v>198</v>
      </c>
      <c r="S687" s="291" t="s">
        <v>207</v>
      </c>
      <c r="T687" s="317" t="s">
        <v>182</v>
      </c>
      <c r="U687" s="291" t="s">
        <v>184</v>
      </c>
      <c r="V687" s="526"/>
      <c r="W687" s="526"/>
      <c r="X687" s="526"/>
      <c r="Y687" s="526"/>
      <c r="Z687" s="526"/>
      <c r="AA687" s="1054" t="s">
        <v>0</v>
      </c>
      <c r="AB687" s="1067"/>
      <c r="AC687" s="317" t="s">
        <v>99</v>
      </c>
      <c r="AD687" s="621"/>
      <c r="AE687" s="621"/>
      <c r="AF687" s="621"/>
      <c r="AG687" s="621"/>
      <c r="AH687" s="621"/>
      <c r="AI687" s="621"/>
      <c r="AJ687" s="298" t="s">
        <v>104</v>
      </c>
      <c r="AK687" s="291" t="s">
        <v>206</v>
      </c>
      <c r="AL687" s="396" t="s">
        <v>107</v>
      </c>
      <c r="AM687" s="392" t="s">
        <v>207</v>
      </c>
      <c r="AN687" s="777"/>
      <c r="AO687" s="777"/>
    </row>
    <row r="688" spans="1:41" s="523" customFormat="1" x14ac:dyDescent="0.25">
      <c r="A688" s="1057" t="s">
        <v>9</v>
      </c>
      <c r="B688" s="528" t="s">
        <v>4</v>
      </c>
      <c r="C688" s="541">
        <v>143393</v>
      </c>
      <c r="D688" s="538">
        <v>150516.70000000001</v>
      </c>
      <c r="E688" s="541">
        <v>150516.70000000001</v>
      </c>
      <c r="F688" s="533">
        <v>181998.8</v>
      </c>
      <c r="G688" s="533">
        <v>165453.5</v>
      </c>
      <c r="H688" s="533">
        <v>132132.9</v>
      </c>
      <c r="I688" s="533">
        <v>170968.6</v>
      </c>
      <c r="J688" s="537">
        <v>165453.5</v>
      </c>
      <c r="K688" s="537">
        <v>92411.6</v>
      </c>
      <c r="L688" s="538">
        <f>83196.1+132070.4</f>
        <v>215266.5</v>
      </c>
      <c r="M688" s="541">
        <v>193029.1</v>
      </c>
      <c r="N688" s="533">
        <f>132132.9+292299.3</f>
        <v>424432.19999999995</v>
      </c>
      <c r="O688" s="533">
        <v>82726.600000000006</v>
      </c>
      <c r="P688" s="533">
        <v>275755</v>
      </c>
      <c r="Q688" s="537">
        <v>82726.600000000006</v>
      </c>
      <c r="R688" s="537">
        <v>188981.6</v>
      </c>
      <c r="S688" s="538">
        <f>83196.1+132070.4</f>
        <v>215266.5</v>
      </c>
      <c r="T688" s="544">
        <v>55151</v>
      </c>
      <c r="U688" s="538">
        <v>33090.5</v>
      </c>
      <c r="V688" s="534"/>
      <c r="W688" s="534"/>
      <c r="X688" s="534"/>
      <c r="Y688" s="534"/>
      <c r="Z688" s="534"/>
      <c r="AA688" s="548" t="s">
        <v>194</v>
      </c>
      <c r="AB688" s="524" t="s">
        <v>4</v>
      </c>
      <c r="AC688" s="544">
        <v>143392.20000000001</v>
      </c>
      <c r="AD688" s="544"/>
      <c r="AE688" s="544"/>
      <c r="AF688" s="544"/>
      <c r="AG688" s="544"/>
      <c r="AH688" s="544"/>
      <c r="AI688" s="544"/>
      <c r="AJ688" s="541">
        <v>132132</v>
      </c>
      <c r="AK688" s="538">
        <v>83196.100000000006</v>
      </c>
      <c r="AL688" s="552">
        <v>132132.20000000001</v>
      </c>
      <c r="AM688" s="551">
        <v>83196.100000000006</v>
      </c>
      <c r="AN688" s="778"/>
      <c r="AO688" s="778"/>
    </row>
    <row r="689" spans="1:41" s="523" customFormat="1" x14ac:dyDescent="0.25">
      <c r="A689" s="1058"/>
      <c r="B689" s="497" t="s">
        <v>5</v>
      </c>
      <c r="C689" s="572">
        <v>50264.4</v>
      </c>
      <c r="D689" s="571">
        <v>81591.8</v>
      </c>
      <c r="E689" s="572">
        <v>82967.899999999994</v>
      </c>
      <c r="F689" s="573">
        <v>154489.70000000001</v>
      </c>
      <c r="G689" s="573">
        <v>117976.4</v>
      </c>
      <c r="H689" s="573">
        <v>64242.5</v>
      </c>
      <c r="I689" s="573">
        <v>110264.4</v>
      </c>
      <c r="J689" s="575">
        <v>29116.5</v>
      </c>
      <c r="K689" s="575">
        <v>55545</v>
      </c>
      <c r="L689" s="571">
        <v>5286.7</v>
      </c>
      <c r="M689" s="572">
        <v>166698.70000000001</v>
      </c>
      <c r="N689" s="573">
        <v>83926.200000000012</v>
      </c>
      <c r="O689" s="573">
        <v>60600.6</v>
      </c>
      <c r="P689" s="573">
        <v>203405.6</v>
      </c>
      <c r="Q689" s="575">
        <v>15157.4</v>
      </c>
      <c r="R689" s="575">
        <v>90252.5</v>
      </c>
      <c r="S689" s="571">
        <v>62814.799999999996</v>
      </c>
      <c r="T689" s="574">
        <v>13512</v>
      </c>
      <c r="U689" s="571">
        <v>6899.9</v>
      </c>
      <c r="V689" s="534"/>
      <c r="W689" s="534"/>
      <c r="X689" s="534"/>
      <c r="Y689" s="534"/>
      <c r="Z689" s="534"/>
      <c r="AA689" s="549"/>
      <c r="AB689" s="496" t="s">
        <v>5</v>
      </c>
      <c r="AC689" s="319">
        <v>43401.8</v>
      </c>
      <c r="AD689" s="936"/>
      <c r="AE689" s="936"/>
      <c r="AF689" s="936"/>
      <c r="AG689" s="936"/>
      <c r="AH689" s="936"/>
      <c r="AI689" s="936"/>
      <c r="AJ689" s="300">
        <v>58695.3</v>
      </c>
      <c r="AK689" s="513">
        <v>4.7</v>
      </c>
      <c r="AL689" s="398">
        <v>55118.9</v>
      </c>
      <c r="AM689" s="394">
        <v>4.5</v>
      </c>
      <c r="AN689" s="779"/>
      <c r="AO689" s="779"/>
    </row>
    <row r="690" spans="1:41" s="523" customFormat="1" ht="15.75" thickBot="1" x14ac:dyDescent="0.3">
      <c r="A690" s="1059"/>
      <c r="B690" s="504" t="s">
        <v>3</v>
      </c>
      <c r="C690" s="542">
        <f t="shared" ref="C690:L690" si="214">C689/C688</f>
        <v>0.35053593969022201</v>
      </c>
      <c r="D690" s="343">
        <f t="shared" si="214"/>
        <v>0.54207805512610896</v>
      </c>
      <c r="E690" s="542">
        <f t="shared" si="214"/>
        <v>0.55122056223661553</v>
      </c>
      <c r="F690" s="519">
        <f t="shared" si="214"/>
        <v>0.84885010230836699</v>
      </c>
      <c r="G690" s="498">
        <f t="shared" si="214"/>
        <v>0.71304868135155797</v>
      </c>
      <c r="H690" s="498">
        <f t="shared" si="214"/>
        <v>0.48619609499223887</v>
      </c>
      <c r="I690" s="498">
        <f t="shared" si="214"/>
        <v>0.64493948011506197</v>
      </c>
      <c r="J690" s="506">
        <f t="shared" si="214"/>
        <v>0.17597995811511996</v>
      </c>
      <c r="K690" s="506">
        <f t="shared" si="214"/>
        <v>0.60106090577373394</v>
      </c>
      <c r="L690" s="514">
        <f t="shared" si="214"/>
        <v>2.4558860760963735E-2</v>
      </c>
      <c r="M690" s="547">
        <f>M689/M688</f>
        <v>0.86359362396654182</v>
      </c>
      <c r="N690" s="498">
        <f>N689/N688</f>
        <v>0.19773758918385556</v>
      </c>
      <c r="O690" s="506">
        <f>O689/O688</f>
        <v>0.73254068219895407</v>
      </c>
      <c r="P690" s="498">
        <f>P689/P688</f>
        <v>0.7376315932621349</v>
      </c>
      <c r="Q690" s="506">
        <f>Q689/Q688</f>
        <v>0.18322280862503715</v>
      </c>
      <c r="R690" s="506">
        <f t="shared" ref="R690:S690" si="215">R689/R688</f>
        <v>0.47757294890084534</v>
      </c>
      <c r="S690" s="514">
        <f t="shared" si="215"/>
        <v>0.29180016398278413</v>
      </c>
      <c r="T690" s="545">
        <f>T689/T688</f>
        <v>0.24500009066018749</v>
      </c>
      <c r="U690" s="514">
        <f>U689/U688</f>
        <v>0.20851603934664026</v>
      </c>
      <c r="V690" s="534"/>
      <c r="W690" s="534"/>
      <c r="X690" s="534"/>
      <c r="Y690" s="534"/>
      <c r="Z690" s="534"/>
      <c r="AA690" s="550"/>
      <c r="AB690" s="347" t="s">
        <v>3</v>
      </c>
      <c r="AC690" s="395">
        <f>AC689/AC688</f>
        <v>0.302678946274623</v>
      </c>
      <c r="AD690" s="635"/>
      <c r="AE690" s="635"/>
      <c r="AF690" s="635"/>
      <c r="AG690" s="635"/>
      <c r="AH690" s="635"/>
      <c r="AI690" s="635"/>
      <c r="AJ690" s="542">
        <f>AJ689/AJ688</f>
        <v>0.44421714648987376</v>
      </c>
      <c r="AK690" s="514">
        <f>AK689/AK688</f>
        <v>5.6493032726293656E-5</v>
      </c>
      <c r="AL690" s="522">
        <f>AL689/AL688</f>
        <v>0.41714964255495629</v>
      </c>
      <c r="AM690" s="343">
        <f>AM689/AM688</f>
        <v>5.4089073886876906E-5</v>
      </c>
      <c r="AN690" s="780"/>
      <c r="AO690" s="780"/>
    </row>
    <row r="691" spans="1:41" s="523" customFormat="1" x14ac:dyDescent="0.25">
      <c r="A691" s="1060" t="s">
        <v>6</v>
      </c>
      <c r="B691" s="553" t="s">
        <v>7</v>
      </c>
      <c r="C691" s="554">
        <v>5870</v>
      </c>
      <c r="D691" s="555">
        <v>3333</v>
      </c>
      <c r="E691" s="554">
        <v>3330</v>
      </c>
      <c r="F691" s="556">
        <v>9457</v>
      </c>
      <c r="G691" s="556">
        <v>8341</v>
      </c>
      <c r="H691" s="556">
        <v>15703</v>
      </c>
      <c r="I691" s="556">
        <v>8197</v>
      </c>
      <c r="J691" s="557">
        <v>9599</v>
      </c>
      <c r="K691" s="557">
        <v>4073</v>
      </c>
      <c r="L691" s="555">
        <v>6399</v>
      </c>
      <c r="M691" s="554">
        <v>9092</v>
      </c>
      <c r="N691" s="556">
        <v>11923</v>
      </c>
      <c r="O691" s="556">
        <v>4265</v>
      </c>
      <c r="P691" s="556">
        <v>10852</v>
      </c>
      <c r="Q691" s="557">
        <v>4799</v>
      </c>
      <c r="R691" s="557">
        <v>7192</v>
      </c>
      <c r="S691" s="555">
        <v>6399</v>
      </c>
      <c r="T691" s="558">
        <v>2480</v>
      </c>
      <c r="U691" s="555">
        <v>1570</v>
      </c>
      <c r="V691" s="559" t="s">
        <v>197</v>
      </c>
      <c r="W691" s="560"/>
      <c r="X691" s="561"/>
      <c r="Y691" s="561"/>
      <c r="Z691" s="561"/>
      <c r="AA691" s="562" t="s">
        <v>190</v>
      </c>
      <c r="AB691" s="553" t="s">
        <v>4</v>
      </c>
      <c r="AC691" s="564">
        <v>9191.7999999999993</v>
      </c>
      <c r="AD691" s="564"/>
      <c r="AE691" s="564"/>
      <c r="AF691" s="564"/>
      <c r="AG691" s="564"/>
      <c r="AH691" s="564"/>
      <c r="AI691" s="564"/>
      <c r="AJ691" s="565">
        <v>13787.7</v>
      </c>
      <c r="AK691" s="566">
        <v>8804.7999999999993</v>
      </c>
      <c r="AL691" s="567">
        <v>13787.7</v>
      </c>
      <c r="AM691" s="568">
        <v>8804.7999999999993</v>
      </c>
      <c r="AN691" s="781"/>
      <c r="AO691" s="781"/>
    </row>
    <row r="692" spans="1:41" s="523" customFormat="1" x14ac:dyDescent="0.25">
      <c r="A692" s="1061"/>
      <c r="B692" s="494" t="s">
        <v>11</v>
      </c>
      <c r="C692" s="302">
        <f t="shared" ref="C692:L692" si="216">C691*33.717</f>
        <v>197918.78999999998</v>
      </c>
      <c r="D692" s="512">
        <f t="shared" si="216"/>
        <v>112378.761</v>
      </c>
      <c r="E692" s="302">
        <f t="shared" si="216"/>
        <v>112277.61</v>
      </c>
      <c r="F692" s="355">
        <f t="shared" si="216"/>
        <v>318861.66899999999</v>
      </c>
      <c r="G692" s="499">
        <f t="shared" si="216"/>
        <v>281233.49699999997</v>
      </c>
      <c r="H692" s="354">
        <f t="shared" si="216"/>
        <v>529458.05099999998</v>
      </c>
      <c r="I692" s="354">
        <f t="shared" si="216"/>
        <v>276378.24900000001</v>
      </c>
      <c r="J692" s="355">
        <f t="shared" si="216"/>
        <v>323649.48300000001</v>
      </c>
      <c r="K692" s="507">
        <f t="shared" si="216"/>
        <v>137329.34099999999</v>
      </c>
      <c r="L692" s="512">
        <f t="shared" si="216"/>
        <v>215755.08299999998</v>
      </c>
      <c r="M692" s="322">
        <f>M691*33.717</f>
        <v>306554.96399999998</v>
      </c>
      <c r="N692" s="499">
        <f>N691*33.717</f>
        <v>402007.79099999997</v>
      </c>
      <c r="O692" s="499">
        <f>O691*33.717</f>
        <v>143803.005</v>
      </c>
      <c r="P692" s="354">
        <f>P691*33.717</f>
        <v>365896.88399999996</v>
      </c>
      <c r="Q692" s="355">
        <f>Q691*33.717</f>
        <v>161807.883</v>
      </c>
      <c r="R692" s="507">
        <f t="shared" ref="R692:S692" si="217">R691*33.717</f>
        <v>242492.66399999999</v>
      </c>
      <c r="S692" s="512">
        <f t="shared" si="217"/>
        <v>215755.08299999998</v>
      </c>
      <c r="T692" s="302">
        <f>T691*33.717</f>
        <v>83618.16</v>
      </c>
      <c r="U692" s="354">
        <f>U691*33.717</f>
        <v>52935.689999999995</v>
      </c>
      <c r="V692" s="534"/>
      <c r="W692" s="534"/>
      <c r="X692" s="534"/>
      <c r="Y692" s="534"/>
      <c r="Z692" s="534"/>
      <c r="AA692" s="549"/>
      <c r="AB692" s="497" t="s">
        <v>5</v>
      </c>
      <c r="AC692" s="319">
        <v>8835</v>
      </c>
      <c r="AD692" s="936"/>
      <c r="AE692" s="936"/>
      <c r="AF692" s="936"/>
      <c r="AG692" s="936"/>
      <c r="AH692" s="936"/>
      <c r="AI692" s="936"/>
      <c r="AJ692" s="300">
        <v>13648.9</v>
      </c>
      <c r="AK692" s="513">
        <v>0</v>
      </c>
      <c r="AL692" s="398">
        <v>13649.5</v>
      </c>
      <c r="AM692" s="394">
        <v>30</v>
      </c>
      <c r="AN692" s="779"/>
      <c r="AO692" s="779"/>
    </row>
    <row r="693" spans="1:41" s="523" customFormat="1" ht="15.75" thickBot="1" x14ac:dyDescent="0.3">
      <c r="A693" s="1061"/>
      <c r="B693" s="494" t="s">
        <v>79</v>
      </c>
      <c r="C693" s="302">
        <v>164000</v>
      </c>
      <c r="D693" s="512">
        <v>109880</v>
      </c>
      <c r="E693" s="302">
        <v>109880</v>
      </c>
      <c r="F693" s="499">
        <v>328000</v>
      </c>
      <c r="G693" s="499">
        <v>330905</v>
      </c>
      <c r="H693" s="499">
        <v>264264</v>
      </c>
      <c r="I693" s="499">
        <v>242663.6</v>
      </c>
      <c r="J693" s="507">
        <v>328000</v>
      </c>
      <c r="K693" s="507">
        <v>328000</v>
      </c>
      <c r="L693" s="512">
        <v>328000</v>
      </c>
      <c r="M693" s="302">
        <v>328000</v>
      </c>
      <c r="N693" s="499">
        <v>264264.40000000002</v>
      </c>
      <c r="O693" s="499">
        <v>328000</v>
      </c>
      <c r="P693" s="499">
        <v>352965.4</v>
      </c>
      <c r="Q693" s="507">
        <v>328000</v>
      </c>
      <c r="R693" s="507">
        <v>328000</v>
      </c>
      <c r="S693" s="512">
        <v>328000</v>
      </c>
      <c r="T693" s="322">
        <f>2*T688</f>
        <v>110302</v>
      </c>
      <c r="U693" s="512">
        <f>2*U688</f>
        <v>66181</v>
      </c>
      <c r="V693" s="534"/>
      <c r="W693" s="534"/>
      <c r="X693" s="534"/>
      <c r="Y693" s="534"/>
      <c r="Z693" s="534"/>
      <c r="AA693" s="550"/>
      <c r="AB693" s="344" t="s">
        <v>3</v>
      </c>
      <c r="AC693" s="395">
        <f>AC692/AC691</f>
        <v>0.96118279335929857</v>
      </c>
      <c r="AD693" s="635"/>
      <c r="AE693" s="635"/>
      <c r="AF693" s="635"/>
      <c r="AG693" s="635"/>
      <c r="AH693" s="635"/>
      <c r="AI693" s="635"/>
      <c r="AJ693" s="301">
        <f>AJ692/AJ691</f>
        <v>0.98993305627479555</v>
      </c>
      <c r="AK693" s="401">
        <f>AK692/AK691</f>
        <v>0</v>
      </c>
      <c r="AL693" s="400">
        <f>AL692/AL691</f>
        <v>0.98997657332259903</v>
      </c>
      <c r="AM693" s="348">
        <f>AM692/AM691</f>
        <v>3.4072324186807199E-3</v>
      </c>
      <c r="AN693" s="780"/>
      <c r="AO693" s="780"/>
    </row>
    <row r="694" spans="1:41" s="523" customFormat="1" x14ac:dyDescent="0.25">
      <c r="A694" s="1061"/>
      <c r="B694" s="497" t="s">
        <v>8</v>
      </c>
      <c r="C694" s="303">
        <f>SUM(C691-336)</f>
        <v>5534</v>
      </c>
      <c r="D694" s="511">
        <f>SUM(D691-468)</f>
        <v>2865</v>
      </c>
      <c r="E694" s="303">
        <f>SUM(E691-435)</f>
        <v>2895</v>
      </c>
      <c r="F694" s="502">
        <f>SUM(F691-1130)</f>
        <v>8327</v>
      </c>
      <c r="G694" s="502">
        <f>SUM(G691-4523)</f>
        <v>3818</v>
      </c>
      <c r="H694" s="502">
        <f>SUM(H691-2041)</f>
        <v>13662</v>
      </c>
      <c r="I694" s="502">
        <f>SUM(I691-(3288-2000))</f>
        <v>6909</v>
      </c>
      <c r="J694" s="508">
        <f>SUM(J691-8950)</f>
        <v>649</v>
      </c>
      <c r="K694" s="508">
        <f>SUM(K691-1071)</f>
        <v>3002</v>
      </c>
      <c r="L694" s="511">
        <f>SUM(L691-4281)</f>
        <v>2118</v>
      </c>
      <c r="M694" s="303">
        <f>SUM(M691-754)</f>
        <v>8338</v>
      </c>
      <c r="N694" s="502">
        <f>SUM(N691-986)</f>
        <v>10937</v>
      </c>
      <c r="O694" s="508">
        <f>SUM(O691-300)</f>
        <v>3965</v>
      </c>
      <c r="P694" s="502">
        <f>SUM(P691-(5093-2614))</f>
        <v>8373</v>
      </c>
      <c r="Q694" s="508">
        <f>SUM(Q691-3702)</f>
        <v>1097</v>
      </c>
      <c r="R694" s="508">
        <f>SUM(R691-4075)</f>
        <v>3117</v>
      </c>
      <c r="S694" s="511">
        <f>SUM(S691-4184)</f>
        <v>2215</v>
      </c>
      <c r="T694" s="323">
        <f>SUM(T691-859)</f>
        <v>1621</v>
      </c>
      <c r="U694" s="511">
        <f>SUM(U691-555)</f>
        <v>1015</v>
      </c>
      <c r="V694" s="526" t="s">
        <v>176</v>
      </c>
      <c r="W694" s="534"/>
      <c r="X694" s="534"/>
      <c r="Y694" s="534"/>
      <c r="Z694" s="534"/>
      <c r="AA694" s="548" t="s">
        <v>191</v>
      </c>
      <c r="AB694" s="528" t="s">
        <v>4</v>
      </c>
      <c r="AC694" s="544">
        <v>97433.600000000006</v>
      </c>
      <c r="AD694" s="544"/>
      <c r="AE694" s="544"/>
      <c r="AF694" s="544"/>
      <c r="AG694" s="544"/>
      <c r="AH694" s="544"/>
      <c r="AI694" s="544"/>
      <c r="AJ694" s="541">
        <v>243584.4</v>
      </c>
      <c r="AK694" s="538">
        <v>132070.29999999999</v>
      </c>
      <c r="AL694" s="552">
        <v>292299.3</v>
      </c>
      <c r="AM694" s="551">
        <v>132070.39999999999</v>
      </c>
      <c r="AN694" s="778"/>
      <c r="AO694" s="778"/>
    </row>
    <row r="695" spans="1:41" s="523" customFormat="1" x14ac:dyDescent="0.25">
      <c r="A695" s="1061"/>
      <c r="B695" s="495" t="s">
        <v>77</v>
      </c>
      <c r="C695" s="302">
        <f>(C694*33.717)</f>
        <v>186589.878</v>
      </c>
      <c r="D695" s="338">
        <f>(D694*33.717)</f>
        <v>96599.205000000002</v>
      </c>
      <c r="E695" s="302">
        <f>(E694*33.717)</f>
        <v>97610.714999999997</v>
      </c>
      <c r="F695" s="338">
        <f>(F694*33.717)</f>
        <v>280761.45899999997</v>
      </c>
      <c r="G695" s="500">
        <f>(G694*33.717)*2</f>
        <v>257463.01199999999</v>
      </c>
      <c r="H695" s="500">
        <f>(H694*33.717)</f>
        <v>460641.65399999998</v>
      </c>
      <c r="I695" s="500">
        <f>(I694*33.717)-(2000*33.717)</f>
        <v>165516.753</v>
      </c>
      <c r="J695" s="509">
        <f>J694*33.717</f>
        <v>21882.332999999999</v>
      </c>
      <c r="K695" s="509">
        <f>K694*33.717</f>
        <v>101218.43399999999</v>
      </c>
      <c r="L695" s="261">
        <f>L694*33.717</f>
        <v>71412.606</v>
      </c>
      <c r="M695" s="304">
        <f>M694*33.717</f>
        <v>281132.34599999996</v>
      </c>
      <c r="N695" s="500">
        <f>N694*33.717</f>
        <v>368762.82899999997</v>
      </c>
      <c r="O695" s="500">
        <f>(O694*33.717)</f>
        <v>133687.905</v>
      </c>
      <c r="P695" s="500">
        <f t="shared" ref="P695:U695" si="218">P694*33.717</f>
        <v>282312.44099999999</v>
      </c>
      <c r="Q695" s="509">
        <f t="shared" si="218"/>
        <v>36987.548999999999</v>
      </c>
      <c r="R695" s="509">
        <f t="shared" si="218"/>
        <v>105095.889</v>
      </c>
      <c r="S695" s="261">
        <f t="shared" si="218"/>
        <v>74683.154999999999</v>
      </c>
      <c r="T695" s="324">
        <f t="shared" si="218"/>
        <v>54655.256999999998</v>
      </c>
      <c r="U695" s="518">
        <f t="shared" si="218"/>
        <v>34222.754999999997</v>
      </c>
      <c r="V695" s="532">
        <f>344240-H695</f>
        <v>-116401.65399999998</v>
      </c>
      <c r="W695" s="534" t="s">
        <v>177</v>
      </c>
      <c r="X695" s="534"/>
      <c r="Y695" s="534"/>
      <c r="Z695" s="534"/>
      <c r="AA695" s="549"/>
      <c r="AB695" s="497" t="s">
        <v>5</v>
      </c>
      <c r="AC695" s="319">
        <v>38973.199999999997</v>
      </c>
      <c r="AD695" s="936"/>
      <c r="AE695" s="936"/>
      <c r="AF695" s="936"/>
      <c r="AG695" s="936"/>
      <c r="AH695" s="936"/>
      <c r="AI695" s="936"/>
      <c r="AJ695" s="300">
        <v>95895.7</v>
      </c>
      <c r="AK695" s="513">
        <v>0.1</v>
      </c>
      <c r="AL695" s="398">
        <v>93978.8</v>
      </c>
      <c r="AM695" s="394">
        <v>1</v>
      </c>
      <c r="AN695" s="779"/>
      <c r="AO695" s="779"/>
    </row>
    <row r="696" spans="1:41" s="523" customFormat="1" ht="15.75" thickBot="1" x14ac:dyDescent="0.3">
      <c r="A696" s="1062"/>
      <c r="B696" s="504" t="s">
        <v>10</v>
      </c>
      <c r="C696" s="542">
        <f>C695/C688</f>
        <v>1.3012481641363247</v>
      </c>
      <c r="D696" s="514">
        <f t="shared" ref="D696:U696" si="219">D695/D688</f>
        <v>0.64178396815768612</v>
      </c>
      <c r="E696" s="543">
        <f t="shared" si="219"/>
        <v>0.64850421913315925</v>
      </c>
      <c r="F696" s="501">
        <f t="shared" si="219"/>
        <v>1.542655550476157</v>
      </c>
      <c r="G696" s="501">
        <f t="shared" si="219"/>
        <v>1.5561049600038681</v>
      </c>
      <c r="H696" s="501">
        <f t="shared" si="219"/>
        <v>3.4861995309268168</v>
      </c>
      <c r="I696" s="501">
        <f t="shared" si="219"/>
        <v>0.96811199834355544</v>
      </c>
      <c r="J696" s="520">
        <f t="shared" si="219"/>
        <v>0.13225669447911345</v>
      </c>
      <c r="K696" s="520">
        <f t="shared" si="219"/>
        <v>1.0953000921962177</v>
      </c>
      <c r="L696" s="515">
        <f t="shared" si="219"/>
        <v>0.33174045195141838</v>
      </c>
      <c r="M696" s="543">
        <f t="shared" si="219"/>
        <v>1.4564246841538397</v>
      </c>
      <c r="N696" s="501">
        <f t="shared" si="219"/>
        <v>0.86883801229030222</v>
      </c>
      <c r="O696" s="501">
        <f t="shared" si="219"/>
        <v>1.6160207841250576</v>
      </c>
      <c r="P696" s="510">
        <f t="shared" si="219"/>
        <v>1.0237799532193432</v>
      </c>
      <c r="Q696" s="520">
        <f t="shared" si="219"/>
        <v>0.44710587646536903</v>
      </c>
      <c r="R696" s="520">
        <f t="shared" si="219"/>
        <v>0.55611704525731598</v>
      </c>
      <c r="S696" s="515">
        <f t="shared" si="219"/>
        <v>0.34693347548271558</v>
      </c>
      <c r="T696" s="542">
        <f t="shared" si="219"/>
        <v>0.99101116933509814</v>
      </c>
      <c r="U696" s="514">
        <f t="shared" si="219"/>
        <v>1.034216920264124</v>
      </c>
      <c r="V696" s="535"/>
      <c r="W696" s="534"/>
      <c r="X696" s="534"/>
      <c r="Y696" s="534"/>
      <c r="Z696" s="534"/>
      <c r="AA696" s="550"/>
      <c r="AB696" s="504" t="s">
        <v>3</v>
      </c>
      <c r="AC696" s="545">
        <f>AC695/AC694</f>
        <v>0.39999753678402516</v>
      </c>
      <c r="AD696" s="545"/>
      <c r="AE696" s="545"/>
      <c r="AF696" s="545"/>
      <c r="AG696" s="545"/>
      <c r="AH696" s="545"/>
      <c r="AI696" s="545"/>
      <c r="AJ696" s="542">
        <f>AJ695/AJ694</f>
        <v>0.39368572043201455</v>
      </c>
      <c r="AK696" s="514">
        <f>AK695/AK694</f>
        <v>7.5717250585483648E-7</v>
      </c>
      <c r="AL696" s="522">
        <f>AL695/AL694</f>
        <v>0.32151565193621745</v>
      </c>
      <c r="AM696" s="343">
        <f>AM695/AM694</f>
        <v>7.5717193254506694E-6</v>
      </c>
      <c r="AN696" s="780"/>
      <c r="AO696" s="780"/>
    </row>
    <row r="697" spans="1:41" s="523" customFormat="1" ht="15.75" thickBot="1" x14ac:dyDescent="0.3">
      <c r="A697" s="1048">
        <v>41610</v>
      </c>
      <c r="B697" s="1048"/>
      <c r="C697" s="1048"/>
      <c r="D697" s="529"/>
      <c r="E697" s="529"/>
      <c r="F697" s="529"/>
      <c r="G697" s="529"/>
      <c r="H697" s="529"/>
      <c r="I697" s="525"/>
      <c r="J697" s="531"/>
      <c r="K697" s="531"/>
      <c r="L697" s="529"/>
      <c r="M697" s="529"/>
      <c r="N697" s="527"/>
      <c r="R697" s="526"/>
      <c r="S697" s="534"/>
      <c r="T697" s="534"/>
      <c r="U697" s="534"/>
      <c r="V697" s="534"/>
      <c r="W697" s="534"/>
      <c r="X697" s="534"/>
      <c r="Y697" s="534"/>
      <c r="Z697" s="534"/>
      <c r="AA697" s="1063"/>
      <c r="AB697" s="1064"/>
      <c r="AD697" s="743"/>
      <c r="AE697" s="743"/>
      <c r="AF697" s="743"/>
      <c r="AG697" s="743"/>
      <c r="AH697" s="743"/>
      <c r="AI697" s="743"/>
      <c r="AN697" s="743"/>
      <c r="AO697" s="743"/>
    </row>
    <row r="698" spans="1:41" s="523" customFormat="1" x14ac:dyDescent="0.25">
      <c r="A698" s="1049" t="s">
        <v>1</v>
      </c>
      <c r="B698" s="1050"/>
      <c r="C698" s="540" t="s">
        <v>12</v>
      </c>
      <c r="D698" s="539" t="s">
        <v>12</v>
      </c>
      <c r="E698" s="540" t="s">
        <v>13</v>
      </c>
      <c r="F698" s="530" t="s">
        <v>13</v>
      </c>
      <c r="G698" s="530" t="s">
        <v>13</v>
      </c>
      <c r="H698" s="530" t="s">
        <v>13</v>
      </c>
      <c r="I698" s="530" t="s">
        <v>13</v>
      </c>
      <c r="J698" s="536" t="s">
        <v>13</v>
      </c>
      <c r="K698" s="536" t="s">
        <v>13</v>
      </c>
      <c r="L698" s="539" t="s">
        <v>13</v>
      </c>
      <c r="M698" s="569" t="s">
        <v>2</v>
      </c>
      <c r="N698" s="530" t="s">
        <v>2</v>
      </c>
      <c r="O698" s="536" t="s">
        <v>2</v>
      </c>
      <c r="P698" s="530" t="s">
        <v>2</v>
      </c>
      <c r="Q698" s="536" t="s">
        <v>2</v>
      </c>
      <c r="R698" s="536" t="s">
        <v>2</v>
      </c>
      <c r="S698" s="539" t="s">
        <v>2</v>
      </c>
      <c r="T698" s="569" t="s">
        <v>183</v>
      </c>
      <c r="U698" s="570" t="s">
        <v>183</v>
      </c>
      <c r="V698" s="526"/>
      <c r="W698" s="534"/>
      <c r="X698" s="534"/>
      <c r="Y698" s="534"/>
      <c r="Z698" s="534"/>
      <c r="AA698" s="1049" t="s">
        <v>1</v>
      </c>
      <c r="AB698" s="1051"/>
      <c r="AC698" s="546" t="s">
        <v>12</v>
      </c>
      <c r="AD698" s="912"/>
      <c r="AE698" s="912"/>
      <c r="AF698" s="912"/>
      <c r="AG698" s="912"/>
      <c r="AH698" s="912"/>
      <c r="AI698" s="912"/>
      <c r="AJ698" s="1052" t="s">
        <v>13</v>
      </c>
      <c r="AK698" s="1053"/>
      <c r="AL698" s="1052" t="s">
        <v>2</v>
      </c>
      <c r="AM698" s="1053"/>
      <c r="AN698" s="776"/>
      <c r="AO698" s="776"/>
    </row>
    <row r="699" spans="1:41" s="523" customFormat="1" ht="15.75" thickBot="1" x14ac:dyDescent="0.3">
      <c r="A699" s="1054" t="s">
        <v>0</v>
      </c>
      <c r="B699" s="1066"/>
      <c r="C699" s="298" t="s">
        <v>99</v>
      </c>
      <c r="D699" s="291" t="s">
        <v>100</v>
      </c>
      <c r="E699" s="298" t="s">
        <v>101</v>
      </c>
      <c r="F699" s="503" t="s">
        <v>102</v>
      </c>
      <c r="G699" s="503" t="s">
        <v>97</v>
      </c>
      <c r="H699" s="503" t="s">
        <v>104</v>
      </c>
      <c r="I699" s="503" t="s">
        <v>103</v>
      </c>
      <c r="J699" s="521" t="s">
        <v>178</v>
      </c>
      <c r="K699" s="521" t="s">
        <v>199</v>
      </c>
      <c r="L699" s="517" t="s">
        <v>206</v>
      </c>
      <c r="M699" s="298" t="s">
        <v>105</v>
      </c>
      <c r="N699" s="503" t="s">
        <v>107</v>
      </c>
      <c r="O699" s="505" t="s">
        <v>98</v>
      </c>
      <c r="P699" s="516" t="s">
        <v>106</v>
      </c>
      <c r="Q699" s="505" t="s">
        <v>179</v>
      </c>
      <c r="R699" s="505" t="s">
        <v>198</v>
      </c>
      <c r="S699" s="291" t="s">
        <v>207</v>
      </c>
      <c r="T699" s="317" t="s">
        <v>182</v>
      </c>
      <c r="U699" s="291" t="s">
        <v>184</v>
      </c>
      <c r="V699" s="526"/>
      <c r="W699" s="526"/>
      <c r="X699" s="526"/>
      <c r="Y699" s="526"/>
      <c r="Z699" s="526"/>
      <c r="AA699" s="1054" t="s">
        <v>0</v>
      </c>
      <c r="AB699" s="1067"/>
      <c r="AC699" s="317" t="s">
        <v>99</v>
      </c>
      <c r="AD699" s="621"/>
      <c r="AE699" s="621"/>
      <c r="AF699" s="621"/>
      <c r="AG699" s="621"/>
      <c r="AH699" s="621"/>
      <c r="AI699" s="621"/>
      <c r="AJ699" s="298" t="s">
        <v>104</v>
      </c>
      <c r="AK699" s="291" t="s">
        <v>206</v>
      </c>
      <c r="AL699" s="396" t="s">
        <v>107</v>
      </c>
      <c r="AM699" s="392" t="s">
        <v>207</v>
      </c>
      <c r="AN699" s="777"/>
      <c r="AO699" s="777"/>
    </row>
    <row r="700" spans="1:41" s="523" customFormat="1" ht="15" customHeight="1" x14ac:dyDescent="0.25">
      <c r="A700" s="1057" t="s">
        <v>9</v>
      </c>
      <c r="B700" s="528" t="s">
        <v>4</v>
      </c>
      <c r="C700" s="541">
        <v>143393</v>
      </c>
      <c r="D700" s="538">
        <v>150516.70000000001</v>
      </c>
      <c r="E700" s="541">
        <v>150516.70000000001</v>
      </c>
      <c r="F700" s="533">
        <v>181998.8</v>
      </c>
      <c r="G700" s="533">
        <v>165453.5</v>
      </c>
      <c r="H700" s="533">
        <v>132132.9</v>
      </c>
      <c r="I700" s="533">
        <v>170968.6</v>
      </c>
      <c r="J700" s="537">
        <v>165453.5</v>
      </c>
      <c r="K700" s="537">
        <v>92411.6</v>
      </c>
      <c r="L700" s="538">
        <f>83196.1+132070.4</f>
        <v>215266.5</v>
      </c>
      <c r="M700" s="541">
        <v>193029.1</v>
      </c>
      <c r="N700" s="533">
        <f>132132.9+292299.3</f>
        <v>424432.19999999995</v>
      </c>
      <c r="O700" s="533">
        <v>82726.600000000006</v>
      </c>
      <c r="P700" s="533">
        <v>275755</v>
      </c>
      <c r="Q700" s="537">
        <v>82726.600000000006</v>
      </c>
      <c r="R700" s="537">
        <v>188981.6</v>
      </c>
      <c r="S700" s="538">
        <f>83196.1+132070.4</f>
        <v>215266.5</v>
      </c>
      <c r="T700" s="544">
        <v>55151</v>
      </c>
      <c r="U700" s="538">
        <v>33090.5</v>
      </c>
      <c r="V700" s="534"/>
      <c r="W700" s="534"/>
      <c r="X700" s="534"/>
      <c r="Y700" s="534"/>
      <c r="Z700" s="534"/>
      <c r="AA700" s="548" t="s">
        <v>194</v>
      </c>
      <c r="AB700" s="524" t="s">
        <v>4</v>
      </c>
      <c r="AC700" s="544">
        <v>143392.20000000001</v>
      </c>
      <c r="AD700" s="544"/>
      <c r="AE700" s="544"/>
      <c r="AF700" s="544"/>
      <c r="AG700" s="544"/>
      <c r="AH700" s="544"/>
      <c r="AI700" s="544"/>
      <c r="AJ700" s="541">
        <v>132132</v>
      </c>
      <c r="AK700" s="538">
        <v>83196.100000000006</v>
      </c>
      <c r="AL700" s="552">
        <v>132132.20000000001</v>
      </c>
      <c r="AM700" s="551">
        <v>83196.100000000006</v>
      </c>
      <c r="AN700" s="778"/>
      <c r="AO700" s="778"/>
    </row>
    <row r="701" spans="1:41" s="523" customFormat="1" x14ac:dyDescent="0.25">
      <c r="A701" s="1058"/>
      <c r="B701" s="497" t="s">
        <v>5</v>
      </c>
      <c r="C701" s="579">
        <v>50539</v>
      </c>
      <c r="D701" s="578">
        <v>81375.100000000006</v>
      </c>
      <c r="E701" s="579">
        <v>82745.8</v>
      </c>
      <c r="F701" s="576">
        <v>153862.70000000001</v>
      </c>
      <c r="G701" s="576">
        <v>117768.4</v>
      </c>
      <c r="H701" s="576">
        <v>63162</v>
      </c>
      <c r="I701" s="576">
        <v>109797</v>
      </c>
      <c r="J701" s="577">
        <v>27015.200000000001</v>
      </c>
      <c r="K701" s="577">
        <v>54164.7</v>
      </c>
      <c r="L701" s="578">
        <v>5457.8</v>
      </c>
      <c r="M701" s="579">
        <v>166582.70000000001</v>
      </c>
      <c r="N701" s="576">
        <v>86053.700000000012</v>
      </c>
      <c r="O701" s="576">
        <v>60493.8</v>
      </c>
      <c r="P701" s="576">
        <v>202470.1</v>
      </c>
      <c r="Q701" s="577">
        <v>14094.9</v>
      </c>
      <c r="R701" s="577">
        <v>87082.2</v>
      </c>
      <c r="S701" s="578">
        <v>55547.1</v>
      </c>
      <c r="T701" s="580">
        <v>13363.3</v>
      </c>
      <c r="U701" s="578">
        <v>6641.1</v>
      </c>
      <c r="V701" s="534"/>
      <c r="W701" s="534"/>
      <c r="X701" s="534"/>
      <c r="Y701" s="534"/>
      <c r="Z701" s="534"/>
      <c r="AA701" s="549"/>
      <c r="AB701" s="496" t="s">
        <v>5</v>
      </c>
      <c r="AC701" s="319">
        <v>43401.8</v>
      </c>
      <c r="AD701" s="936"/>
      <c r="AE701" s="936"/>
      <c r="AF701" s="936"/>
      <c r="AG701" s="936"/>
      <c r="AH701" s="936"/>
      <c r="AI701" s="936"/>
      <c r="AJ701" s="300">
        <v>58695.3</v>
      </c>
      <c r="AK701" s="513">
        <v>4.7</v>
      </c>
      <c r="AL701" s="398">
        <v>55118.9</v>
      </c>
      <c r="AM701" s="394">
        <v>4.5</v>
      </c>
      <c r="AN701" s="779"/>
      <c r="AO701" s="779"/>
    </row>
    <row r="702" spans="1:41" s="523" customFormat="1" ht="15.75" thickBot="1" x14ac:dyDescent="0.3">
      <c r="A702" s="1059"/>
      <c r="B702" s="504" t="s">
        <v>3</v>
      </c>
      <c r="C702" s="542">
        <f t="shared" ref="C702:L702" si="220">C701/C700</f>
        <v>0.35245095646230989</v>
      </c>
      <c r="D702" s="343">
        <f t="shared" si="220"/>
        <v>0.54063834777137687</v>
      </c>
      <c r="E702" s="542">
        <f t="shared" si="220"/>
        <v>0.54974497846418369</v>
      </c>
      <c r="F702" s="519">
        <f t="shared" si="220"/>
        <v>0.8454050246485143</v>
      </c>
      <c r="G702" s="498">
        <f t="shared" si="220"/>
        <v>0.71179153055087985</v>
      </c>
      <c r="H702" s="498">
        <f t="shared" si="220"/>
        <v>0.47801872205938112</v>
      </c>
      <c r="I702" s="498">
        <f t="shared" si="220"/>
        <v>0.64220564477921671</v>
      </c>
      <c r="J702" s="506">
        <f t="shared" si="220"/>
        <v>0.16327971303115377</v>
      </c>
      <c r="K702" s="506">
        <f t="shared" si="220"/>
        <v>0.58612446922247852</v>
      </c>
      <c r="L702" s="514">
        <f t="shared" si="220"/>
        <v>2.5353689496507816E-2</v>
      </c>
      <c r="M702" s="547">
        <f>M701/M700</f>
        <v>0.86299267830601711</v>
      </c>
      <c r="N702" s="498">
        <f>N701/N700</f>
        <v>0.20275016834255277</v>
      </c>
      <c r="O702" s="506">
        <f>O701/O700</f>
        <v>0.73124968268972734</v>
      </c>
      <c r="P702" s="498">
        <f>P701/P700</f>
        <v>0.7342390890464362</v>
      </c>
      <c r="Q702" s="506">
        <f>Q701/Q700</f>
        <v>0.17037929758989248</v>
      </c>
      <c r="R702" s="506">
        <f t="shared" ref="R702:S702" si="221">R701/R700</f>
        <v>0.46079724163622277</v>
      </c>
      <c r="S702" s="514">
        <f t="shared" si="221"/>
        <v>0.25803875661099146</v>
      </c>
      <c r="T702" s="545">
        <f>T701/T700</f>
        <v>0.24230385668437562</v>
      </c>
      <c r="U702" s="514">
        <f>U701/U700</f>
        <v>0.20069506353787342</v>
      </c>
      <c r="V702" s="534"/>
      <c r="W702" s="534"/>
      <c r="X702" s="534"/>
      <c r="Y702" s="534"/>
      <c r="Z702" s="534"/>
      <c r="AA702" s="550"/>
      <c r="AB702" s="347" t="s">
        <v>3</v>
      </c>
      <c r="AC702" s="395">
        <f>AC701/AC700</f>
        <v>0.302678946274623</v>
      </c>
      <c r="AD702" s="635"/>
      <c r="AE702" s="635"/>
      <c r="AF702" s="635"/>
      <c r="AG702" s="635"/>
      <c r="AH702" s="635"/>
      <c r="AI702" s="635"/>
      <c r="AJ702" s="542">
        <f>AJ701/AJ700</f>
        <v>0.44421714648987376</v>
      </c>
      <c r="AK702" s="514">
        <f>AK701/AK700</f>
        <v>5.6493032726293656E-5</v>
      </c>
      <c r="AL702" s="522">
        <f>AL701/AL700</f>
        <v>0.41714964255495629</v>
      </c>
      <c r="AM702" s="343">
        <f>AM701/AM700</f>
        <v>5.4089073886876906E-5</v>
      </c>
      <c r="AN702" s="780"/>
      <c r="AO702" s="780"/>
    </row>
    <row r="703" spans="1:41" s="563" customFormat="1" ht="15" customHeight="1" x14ac:dyDescent="0.25">
      <c r="A703" s="1060" t="s">
        <v>6</v>
      </c>
      <c r="B703" s="553" t="s">
        <v>7</v>
      </c>
      <c r="C703" s="554">
        <v>5870</v>
      </c>
      <c r="D703" s="555">
        <v>3333</v>
      </c>
      <c r="E703" s="554">
        <v>3330</v>
      </c>
      <c r="F703" s="556">
        <v>9457</v>
      </c>
      <c r="G703" s="556">
        <v>8341</v>
      </c>
      <c r="H703" s="556">
        <v>15703</v>
      </c>
      <c r="I703" s="556">
        <v>8197</v>
      </c>
      <c r="J703" s="557">
        <v>9599</v>
      </c>
      <c r="K703" s="557">
        <v>4073</v>
      </c>
      <c r="L703" s="555">
        <v>6399</v>
      </c>
      <c r="M703" s="554">
        <v>9092</v>
      </c>
      <c r="N703" s="556">
        <v>11923</v>
      </c>
      <c r="O703" s="556">
        <v>4265</v>
      </c>
      <c r="P703" s="556">
        <v>10852</v>
      </c>
      <c r="Q703" s="557">
        <v>4799</v>
      </c>
      <c r="R703" s="557">
        <v>7192</v>
      </c>
      <c r="S703" s="555">
        <v>6399</v>
      </c>
      <c r="T703" s="558">
        <v>2480</v>
      </c>
      <c r="U703" s="555">
        <v>1570</v>
      </c>
      <c r="V703" s="559" t="s">
        <v>197</v>
      </c>
      <c r="W703" s="560"/>
      <c r="X703" s="561"/>
      <c r="Y703" s="561"/>
      <c r="Z703" s="561"/>
      <c r="AA703" s="562" t="s">
        <v>190</v>
      </c>
      <c r="AB703" s="553" t="s">
        <v>4</v>
      </c>
      <c r="AC703" s="564">
        <v>9191.7999999999993</v>
      </c>
      <c r="AD703" s="564"/>
      <c r="AE703" s="564"/>
      <c r="AF703" s="564"/>
      <c r="AG703" s="564"/>
      <c r="AH703" s="564"/>
      <c r="AI703" s="564"/>
      <c r="AJ703" s="565">
        <v>13787.7</v>
      </c>
      <c r="AK703" s="566">
        <v>8804.7999999999993</v>
      </c>
      <c r="AL703" s="567">
        <v>13787.7</v>
      </c>
      <c r="AM703" s="568">
        <v>8804.7999999999993</v>
      </c>
      <c r="AN703" s="781"/>
      <c r="AO703" s="781"/>
    </row>
    <row r="704" spans="1:41" s="523" customFormat="1" x14ac:dyDescent="0.25">
      <c r="A704" s="1061"/>
      <c r="B704" s="494" t="s">
        <v>11</v>
      </c>
      <c r="C704" s="302">
        <f t="shared" ref="C704:L704" si="222">C703*33.717</f>
        <v>197918.78999999998</v>
      </c>
      <c r="D704" s="512">
        <f t="shared" si="222"/>
        <v>112378.761</v>
      </c>
      <c r="E704" s="302">
        <f t="shared" si="222"/>
        <v>112277.61</v>
      </c>
      <c r="F704" s="355">
        <f t="shared" si="222"/>
        <v>318861.66899999999</v>
      </c>
      <c r="G704" s="499">
        <f t="shared" si="222"/>
        <v>281233.49699999997</v>
      </c>
      <c r="H704" s="354">
        <f t="shared" si="222"/>
        <v>529458.05099999998</v>
      </c>
      <c r="I704" s="354">
        <f t="shared" si="222"/>
        <v>276378.24900000001</v>
      </c>
      <c r="J704" s="355">
        <f t="shared" si="222"/>
        <v>323649.48300000001</v>
      </c>
      <c r="K704" s="507">
        <f t="shared" si="222"/>
        <v>137329.34099999999</v>
      </c>
      <c r="L704" s="512">
        <f t="shared" si="222"/>
        <v>215755.08299999998</v>
      </c>
      <c r="M704" s="322">
        <f>M703*33.717</f>
        <v>306554.96399999998</v>
      </c>
      <c r="N704" s="499">
        <f>N703*33.717</f>
        <v>402007.79099999997</v>
      </c>
      <c r="O704" s="499">
        <f>O703*33.717</f>
        <v>143803.005</v>
      </c>
      <c r="P704" s="354">
        <f>P703*33.717</f>
        <v>365896.88399999996</v>
      </c>
      <c r="Q704" s="355">
        <f>Q703*33.717</f>
        <v>161807.883</v>
      </c>
      <c r="R704" s="507">
        <f t="shared" ref="R704:S704" si="223">R703*33.717</f>
        <v>242492.66399999999</v>
      </c>
      <c r="S704" s="512">
        <f t="shared" si="223"/>
        <v>215755.08299999998</v>
      </c>
      <c r="T704" s="302">
        <f>T703*33.717</f>
        <v>83618.16</v>
      </c>
      <c r="U704" s="354">
        <f>U703*33.717</f>
        <v>52935.689999999995</v>
      </c>
      <c r="V704" s="534"/>
      <c r="W704" s="534"/>
      <c r="X704" s="534"/>
      <c r="Y704" s="534"/>
      <c r="Z704" s="534"/>
      <c r="AA704" s="549"/>
      <c r="AB704" s="497" t="s">
        <v>5</v>
      </c>
      <c r="AC704" s="319">
        <v>8835</v>
      </c>
      <c r="AD704" s="936"/>
      <c r="AE704" s="936"/>
      <c r="AF704" s="936"/>
      <c r="AG704" s="936"/>
      <c r="AH704" s="936"/>
      <c r="AI704" s="936"/>
      <c r="AJ704" s="300">
        <v>13648.9</v>
      </c>
      <c r="AK704" s="513">
        <v>0</v>
      </c>
      <c r="AL704" s="398">
        <v>13649.5</v>
      </c>
      <c r="AM704" s="394">
        <v>30</v>
      </c>
      <c r="AN704" s="779"/>
      <c r="AO704" s="779"/>
    </row>
    <row r="705" spans="1:41" s="523" customFormat="1" ht="15.75" thickBot="1" x14ac:dyDescent="0.3">
      <c r="A705" s="1061"/>
      <c r="B705" s="494" t="s">
        <v>79</v>
      </c>
      <c r="C705" s="302">
        <v>164000</v>
      </c>
      <c r="D705" s="512">
        <v>109880</v>
      </c>
      <c r="E705" s="302">
        <v>109880</v>
      </c>
      <c r="F705" s="499">
        <v>328000</v>
      </c>
      <c r="G705" s="499">
        <v>330905</v>
      </c>
      <c r="H705" s="499">
        <v>264264</v>
      </c>
      <c r="I705" s="499">
        <v>242663.6</v>
      </c>
      <c r="J705" s="507">
        <v>328000</v>
      </c>
      <c r="K705" s="507">
        <v>328000</v>
      </c>
      <c r="L705" s="512">
        <v>328000</v>
      </c>
      <c r="M705" s="302">
        <v>328000</v>
      </c>
      <c r="N705" s="499">
        <v>264264.40000000002</v>
      </c>
      <c r="O705" s="499">
        <v>328000</v>
      </c>
      <c r="P705" s="499">
        <v>352965.4</v>
      </c>
      <c r="Q705" s="507">
        <v>328000</v>
      </c>
      <c r="R705" s="507">
        <v>328000</v>
      </c>
      <c r="S705" s="512">
        <v>328000</v>
      </c>
      <c r="T705" s="322">
        <f>2*T700</f>
        <v>110302</v>
      </c>
      <c r="U705" s="512">
        <f>2*U700</f>
        <v>66181</v>
      </c>
      <c r="V705" s="534"/>
      <c r="W705" s="534"/>
      <c r="X705" s="534"/>
      <c r="Y705" s="534"/>
      <c r="Z705" s="534"/>
      <c r="AA705" s="550"/>
      <c r="AB705" s="344" t="s">
        <v>3</v>
      </c>
      <c r="AC705" s="395">
        <f>AC704/AC703</f>
        <v>0.96118279335929857</v>
      </c>
      <c r="AD705" s="635"/>
      <c r="AE705" s="635"/>
      <c r="AF705" s="635"/>
      <c r="AG705" s="635"/>
      <c r="AH705" s="635"/>
      <c r="AI705" s="635"/>
      <c r="AJ705" s="301">
        <f>AJ704/AJ703</f>
        <v>0.98993305627479555</v>
      </c>
      <c r="AK705" s="401">
        <f>AK704/AK703</f>
        <v>0</v>
      </c>
      <c r="AL705" s="400">
        <f>AL704/AL703</f>
        <v>0.98997657332259903</v>
      </c>
      <c r="AM705" s="348">
        <f>AM704/AM703</f>
        <v>3.4072324186807199E-3</v>
      </c>
      <c r="AN705" s="780"/>
      <c r="AO705" s="780"/>
    </row>
    <row r="706" spans="1:41" s="523" customFormat="1" ht="15" customHeight="1" x14ac:dyDescent="0.25">
      <c r="A706" s="1061"/>
      <c r="B706" s="497" t="s">
        <v>8</v>
      </c>
      <c r="C706" s="601">
        <v>5608</v>
      </c>
      <c r="D706" s="600">
        <v>2865</v>
      </c>
      <c r="E706" s="601">
        <v>2895</v>
      </c>
      <c r="F706" s="598">
        <v>8327</v>
      </c>
      <c r="G706" s="598">
        <v>3818</v>
      </c>
      <c r="H706" s="598">
        <v>13662</v>
      </c>
      <c r="I706" s="598">
        <v>6909</v>
      </c>
      <c r="J706" s="599">
        <v>649</v>
      </c>
      <c r="K706" s="599">
        <v>3002</v>
      </c>
      <c r="L706" s="600">
        <v>2056</v>
      </c>
      <c r="M706" s="601">
        <v>8348</v>
      </c>
      <c r="N706" s="598">
        <v>10937</v>
      </c>
      <c r="O706" s="599">
        <v>3965</v>
      </c>
      <c r="P706" s="598">
        <v>8373</v>
      </c>
      <c r="Q706" s="599">
        <v>1097</v>
      </c>
      <c r="R706" s="599">
        <v>3030</v>
      </c>
      <c r="S706" s="600">
        <v>1984</v>
      </c>
      <c r="T706" s="602">
        <v>1529</v>
      </c>
      <c r="U706" s="600">
        <v>974</v>
      </c>
      <c r="V706" s="526" t="s">
        <v>176</v>
      </c>
      <c r="W706" s="534"/>
      <c r="X706" s="534"/>
      <c r="Y706" s="534"/>
      <c r="Z706" s="534"/>
      <c r="AA706" s="548" t="s">
        <v>191</v>
      </c>
      <c r="AB706" s="528" t="s">
        <v>4</v>
      </c>
      <c r="AC706" s="544">
        <v>97433.600000000006</v>
      </c>
      <c r="AD706" s="544"/>
      <c r="AE706" s="544"/>
      <c r="AF706" s="544"/>
      <c r="AG706" s="544"/>
      <c r="AH706" s="544"/>
      <c r="AI706" s="544"/>
      <c r="AJ706" s="541">
        <v>243584.4</v>
      </c>
      <c r="AK706" s="538">
        <v>132070.29999999999</v>
      </c>
      <c r="AL706" s="552">
        <v>292299.3</v>
      </c>
      <c r="AM706" s="551">
        <v>132070.39999999999</v>
      </c>
      <c r="AN706" s="778"/>
      <c r="AO706" s="778"/>
    </row>
    <row r="707" spans="1:41" s="523" customFormat="1" x14ac:dyDescent="0.25">
      <c r="A707" s="1061"/>
      <c r="B707" s="495" t="s">
        <v>77</v>
      </c>
      <c r="C707" s="302">
        <f>(C706*33.717)</f>
        <v>189084.93599999999</v>
      </c>
      <c r="D707" s="338">
        <f>(D706*33.717)</f>
        <v>96599.205000000002</v>
      </c>
      <c r="E707" s="302">
        <f>(E706*33.717)</f>
        <v>97610.714999999997</v>
      </c>
      <c r="F707" s="338">
        <f>(F706*33.717)</f>
        <v>280761.45899999997</v>
      </c>
      <c r="G707" s="500">
        <f>(G706*33.717)*2</f>
        <v>257463.01199999999</v>
      </c>
      <c r="H707" s="500">
        <f>(H706*33.717)</f>
        <v>460641.65399999998</v>
      </c>
      <c r="I707" s="500">
        <f>(I706*33.717)-(2000*33.717)</f>
        <v>165516.753</v>
      </c>
      <c r="J707" s="509">
        <f>J706*33.717</f>
        <v>21882.332999999999</v>
      </c>
      <c r="K707" s="509">
        <f>K706*33.717</f>
        <v>101218.43399999999</v>
      </c>
      <c r="L707" s="261">
        <f>L706*33.717</f>
        <v>69322.152000000002</v>
      </c>
      <c r="M707" s="304">
        <f>M706*33.717</f>
        <v>281469.516</v>
      </c>
      <c r="N707" s="500">
        <f>N706*33.717</f>
        <v>368762.82899999997</v>
      </c>
      <c r="O707" s="500">
        <f>(O706*33.717)</f>
        <v>133687.905</v>
      </c>
      <c r="P707" s="500">
        <f t="shared" ref="P707:U707" si="224">P706*33.717</f>
        <v>282312.44099999999</v>
      </c>
      <c r="Q707" s="509">
        <f t="shared" si="224"/>
        <v>36987.548999999999</v>
      </c>
      <c r="R707" s="509">
        <f t="shared" si="224"/>
        <v>102162.51</v>
      </c>
      <c r="S707" s="261">
        <f t="shared" si="224"/>
        <v>66894.527999999991</v>
      </c>
      <c r="T707" s="324">
        <f t="shared" si="224"/>
        <v>51553.292999999998</v>
      </c>
      <c r="U707" s="518">
        <f t="shared" si="224"/>
        <v>32840.358</v>
      </c>
      <c r="V707" s="532">
        <f>344240-H707</f>
        <v>-116401.65399999998</v>
      </c>
      <c r="W707" s="534" t="s">
        <v>177</v>
      </c>
      <c r="X707" s="534"/>
      <c r="Y707" s="534"/>
      <c r="Z707" s="534"/>
      <c r="AA707" s="549"/>
      <c r="AB707" s="497" t="s">
        <v>5</v>
      </c>
      <c r="AC707" s="319">
        <v>38973.199999999997</v>
      </c>
      <c r="AD707" s="936"/>
      <c r="AE707" s="936"/>
      <c r="AF707" s="936"/>
      <c r="AG707" s="936"/>
      <c r="AH707" s="936"/>
      <c r="AI707" s="936"/>
      <c r="AJ707" s="300">
        <v>95895.7</v>
      </c>
      <c r="AK707" s="513">
        <v>0.1</v>
      </c>
      <c r="AL707" s="398">
        <v>93978.8</v>
      </c>
      <c r="AM707" s="394">
        <v>1</v>
      </c>
      <c r="AN707" s="779"/>
      <c r="AO707" s="779"/>
    </row>
    <row r="708" spans="1:41" s="523" customFormat="1" ht="15.75" thickBot="1" x14ac:dyDescent="0.3">
      <c r="A708" s="1062"/>
      <c r="B708" s="504" t="s">
        <v>10</v>
      </c>
      <c r="C708" s="542">
        <f>C707/C700</f>
        <v>1.3186483022183788</v>
      </c>
      <c r="D708" s="514">
        <f t="shared" ref="D708:U708" si="225">D707/D700</f>
        <v>0.64178396815768612</v>
      </c>
      <c r="E708" s="543">
        <f t="shared" si="225"/>
        <v>0.64850421913315925</v>
      </c>
      <c r="F708" s="501">
        <f t="shared" si="225"/>
        <v>1.542655550476157</v>
      </c>
      <c r="G708" s="501">
        <f t="shared" si="225"/>
        <v>1.5561049600038681</v>
      </c>
      <c r="H708" s="501">
        <f t="shared" si="225"/>
        <v>3.4861995309268168</v>
      </c>
      <c r="I708" s="501">
        <f t="shared" si="225"/>
        <v>0.96811199834355544</v>
      </c>
      <c r="J708" s="520">
        <f t="shared" si="225"/>
        <v>0.13225669447911345</v>
      </c>
      <c r="K708" s="520">
        <f t="shared" si="225"/>
        <v>1.0953000921962177</v>
      </c>
      <c r="L708" s="515">
        <f t="shared" si="225"/>
        <v>0.32202944722007371</v>
      </c>
      <c r="M708" s="543">
        <f t="shared" si="225"/>
        <v>1.4581714156052119</v>
      </c>
      <c r="N708" s="501">
        <f t="shared" si="225"/>
        <v>0.86883801229030222</v>
      </c>
      <c r="O708" s="501">
        <f t="shared" si="225"/>
        <v>1.6160207841250576</v>
      </c>
      <c r="P708" s="510">
        <f t="shared" si="225"/>
        <v>1.0237799532193432</v>
      </c>
      <c r="Q708" s="520">
        <f t="shared" si="225"/>
        <v>0.44710587646536903</v>
      </c>
      <c r="R708" s="520">
        <f t="shared" si="225"/>
        <v>0.54059501030788182</v>
      </c>
      <c r="S708" s="515">
        <f t="shared" si="225"/>
        <v>0.31075215140302831</v>
      </c>
      <c r="T708" s="542">
        <f t="shared" si="225"/>
        <v>0.93476624177258794</v>
      </c>
      <c r="U708" s="514">
        <f t="shared" si="225"/>
        <v>0.99244067028301175</v>
      </c>
      <c r="V708" s="535"/>
      <c r="W708" s="534"/>
      <c r="X708" s="534"/>
      <c r="Y708" s="534"/>
      <c r="Z708" s="534"/>
      <c r="AA708" s="550"/>
      <c r="AB708" s="504" t="s">
        <v>3</v>
      </c>
      <c r="AC708" s="545">
        <f>AC707/AC706</f>
        <v>0.39999753678402516</v>
      </c>
      <c r="AD708" s="545"/>
      <c r="AE708" s="545"/>
      <c r="AF708" s="545"/>
      <c r="AG708" s="545"/>
      <c r="AH708" s="545"/>
      <c r="AI708" s="545"/>
      <c r="AJ708" s="542">
        <f>AJ707/AJ706</f>
        <v>0.39368572043201455</v>
      </c>
      <c r="AK708" s="514">
        <f>AK707/AK706</f>
        <v>7.5717250585483648E-7</v>
      </c>
      <c r="AL708" s="522">
        <f>AL707/AL706</f>
        <v>0.32151565193621745</v>
      </c>
      <c r="AM708" s="343">
        <f>AM707/AM706</f>
        <v>7.5717193254506694E-6</v>
      </c>
      <c r="AN708" s="780"/>
      <c r="AO708" s="780"/>
    </row>
    <row r="709" spans="1:41" s="523" customFormat="1" ht="15.75" thickBot="1" x14ac:dyDescent="0.3">
      <c r="A709" s="1048">
        <v>41603</v>
      </c>
      <c r="B709" s="1048"/>
      <c r="C709" s="1048"/>
      <c r="D709" s="529"/>
      <c r="E709" s="529"/>
      <c r="F709" s="529"/>
      <c r="G709" s="529"/>
      <c r="H709" s="529"/>
      <c r="I709" s="525"/>
      <c r="J709" s="531"/>
      <c r="K709" s="531"/>
      <c r="L709" s="529"/>
      <c r="M709" s="529"/>
      <c r="N709" s="527"/>
      <c r="R709" s="526"/>
      <c r="S709" s="534"/>
      <c r="T709" s="534"/>
      <c r="U709" s="534"/>
      <c r="V709" s="534"/>
      <c r="W709" s="534"/>
      <c r="X709" s="534"/>
      <c r="Y709" s="534"/>
      <c r="Z709" s="534"/>
      <c r="AA709" s="1063"/>
      <c r="AB709" s="1064"/>
      <c r="AD709" s="743"/>
      <c r="AE709" s="743"/>
      <c r="AF709" s="743"/>
      <c r="AG709" s="743"/>
      <c r="AH709" s="743"/>
      <c r="AI709" s="743"/>
      <c r="AN709" s="743"/>
      <c r="AO709" s="743"/>
    </row>
    <row r="710" spans="1:41" s="523" customFormat="1" x14ac:dyDescent="0.25">
      <c r="A710" s="1049" t="s">
        <v>1</v>
      </c>
      <c r="B710" s="1050"/>
      <c r="C710" s="540" t="s">
        <v>12</v>
      </c>
      <c r="D710" s="539" t="s">
        <v>12</v>
      </c>
      <c r="E710" s="540" t="s">
        <v>13</v>
      </c>
      <c r="F710" s="530" t="s">
        <v>13</v>
      </c>
      <c r="G710" s="530" t="s">
        <v>13</v>
      </c>
      <c r="H710" s="530" t="s">
        <v>13</v>
      </c>
      <c r="I710" s="530" t="s">
        <v>13</v>
      </c>
      <c r="J710" s="536" t="s">
        <v>13</v>
      </c>
      <c r="K710" s="536" t="s">
        <v>13</v>
      </c>
      <c r="L710" s="539" t="s">
        <v>13</v>
      </c>
      <c r="M710" s="569" t="s">
        <v>2</v>
      </c>
      <c r="N710" s="530" t="s">
        <v>2</v>
      </c>
      <c r="O710" s="536" t="s">
        <v>2</v>
      </c>
      <c r="P710" s="530" t="s">
        <v>2</v>
      </c>
      <c r="Q710" s="536" t="s">
        <v>2</v>
      </c>
      <c r="R710" s="536" t="s">
        <v>2</v>
      </c>
      <c r="S710" s="539" t="s">
        <v>2</v>
      </c>
      <c r="T710" s="569" t="s">
        <v>183</v>
      </c>
      <c r="U710" s="570" t="s">
        <v>183</v>
      </c>
      <c r="V710" s="526"/>
      <c r="W710" s="534"/>
      <c r="X710" s="534"/>
      <c r="Y710" s="534"/>
      <c r="Z710" s="534"/>
      <c r="AA710" s="1049" t="s">
        <v>1</v>
      </c>
      <c r="AB710" s="1051"/>
      <c r="AC710" s="546" t="s">
        <v>12</v>
      </c>
      <c r="AD710" s="912"/>
      <c r="AE710" s="912"/>
      <c r="AF710" s="912"/>
      <c r="AG710" s="912"/>
      <c r="AH710" s="912"/>
      <c r="AI710" s="912"/>
      <c r="AJ710" s="1052" t="s">
        <v>13</v>
      </c>
      <c r="AK710" s="1053"/>
      <c r="AL710" s="1052" t="s">
        <v>2</v>
      </c>
      <c r="AM710" s="1053"/>
      <c r="AN710" s="776"/>
      <c r="AO710" s="776"/>
    </row>
    <row r="711" spans="1:41" s="523" customFormat="1" ht="15.75" thickBot="1" x14ac:dyDescent="0.3">
      <c r="A711" s="1054" t="s">
        <v>0</v>
      </c>
      <c r="B711" s="1066"/>
      <c r="C711" s="298" t="s">
        <v>99</v>
      </c>
      <c r="D711" s="291" t="s">
        <v>100</v>
      </c>
      <c r="E711" s="298" t="s">
        <v>101</v>
      </c>
      <c r="F711" s="503" t="s">
        <v>102</v>
      </c>
      <c r="G711" s="503" t="s">
        <v>97</v>
      </c>
      <c r="H711" s="503" t="s">
        <v>104</v>
      </c>
      <c r="I711" s="503" t="s">
        <v>103</v>
      </c>
      <c r="J711" s="521" t="s">
        <v>178</v>
      </c>
      <c r="K711" s="521" t="s">
        <v>199</v>
      </c>
      <c r="L711" s="517" t="s">
        <v>206</v>
      </c>
      <c r="M711" s="298" t="s">
        <v>105</v>
      </c>
      <c r="N711" s="503" t="s">
        <v>107</v>
      </c>
      <c r="O711" s="505" t="s">
        <v>98</v>
      </c>
      <c r="P711" s="516" t="s">
        <v>106</v>
      </c>
      <c r="Q711" s="505" t="s">
        <v>179</v>
      </c>
      <c r="R711" s="505" t="s">
        <v>198</v>
      </c>
      <c r="S711" s="291" t="s">
        <v>207</v>
      </c>
      <c r="T711" s="317" t="s">
        <v>182</v>
      </c>
      <c r="U711" s="291" t="s">
        <v>184</v>
      </c>
      <c r="V711" s="526"/>
      <c r="W711" s="526"/>
      <c r="X711" s="526"/>
      <c r="Y711" s="526"/>
      <c r="Z711" s="526"/>
      <c r="AA711" s="1054" t="s">
        <v>0</v>
      </c>
      <c r="AB711" s="1067"/>
      <c r="AC711" s="317" t="s">
        <v>99</v>
      </c>
      <c r="AD711" s="621"/>
      <c r="AE711" s="621"/>
      <c r="AF711" s="621"/>
      <c r="AG711" s="621"/>
      <c r="AH711" s="621"/>
      <c r="AI711" s="621"/>
      <c r="AJ711" s="298" t="s">
        <v>104</v>
      </c>
      <c r="AK711" s="291" t="s">
        <v>206</v>
      </c>
      <c r="AL711" s="396" t="s">
        <v>107</v>
      </c>
      <c r="AM711" s="392" t="s">
        <v>207</v>
      </c>
      <c r="AN711" s="777"/>
      <c r="AO711" s="777"/>
    </row>
    <row r="712" spans="1:41" s="523" customFormat="1" ht="15" customHeight="1" x14ac:dyDescent="0.25">
      <c r="A712" s="1057" t="s">
        <v>9</v>
      </c>
      <c r="B712" s="528" t="s">
        <v>4</v>
      </c>
      <c r="C712" s="541">
        <v>143393</v>
      </c>
      <c r="D712" s="538">
        <v>150516.70000000001</v>
      </c>
      <c r="E712" s="541">
        <v>150516.70000000001</v>
      </c>
      <c r="F712" s="533">
        <v>181998.8</v>
      </c>
      <c r="G712" s="533">
        <v>165453.5</v>
      </c>
      <c r="H712" s="533">
        <v>132132.9</v>
      </c>
      <c r="I712" s="533">
        <v>170968.6</v>
      </c>
      <c r="J712" s="537">
        <v>165453.5</v>
      </c>
      <c r="K712" s="537">
        <v>92411.6</v>
      </c>
      <c r="L712" s="538">
        <f>83196.1+132070.4</f>
        <v>215266.5</v>
      </c>
      <c r="M712" s="541">
        <v>193029.1</v>
      </c>
      <c r="N712" s="533">
        <f>132132.9+292299.3</f>
        <v>424432.19999999995</v>
      </c>
      <c r="O712" s="533">
        <v>82726.600000000006</v>
      </c>
      <c r="P712" s="533">
        <v>275755</v>
      </c>
      <c r="Q712" s="537">
        <v>82726.600000000006</v>
      </c>
      <c r="R712" s="537">
        <v>188981.6</v>
      </c>
      <c r="S712" s="538">
        <f>83196.1+132070.4</f>
        <v>215266.5</v>
      </c>
      <c r="T712" s="544">
        <v>55151</v>
      </c>
      <c r="U712" s="538">
        <v>33090.5</v>
      </c>
      <c r="V712" s="534"/>
      <c r="W712" s="534"/>
      <c r="X712" s="534"/>
      <c r="Y712" s="534"/>
      <c r="Z712" s="534"/>
      <c r="AA712" s="548" t="s">
        <v>194</v>
      </c>
      <c r="AB712" s="524" t="s">
        <v>4</v>
      </c>
      <c r="AC712" s="544">
        <v>143392.20000000001</v>
      </c>
      <c r="AD712" s="544"/>
      <c r="AE712" s="544"/>
      <c r="AF712" s="544"/>
      <c r="AG712" s="544"/>
      <c r="AH712" s="544"/>
      <c r="AI712" s="544"/>
      <c r="AJ712" s="541">
        <v>132132</v>
      </c>
      <c r="AK712" s="538">
        <v>83196.100000000006</v>
      </c>
      <c r="AL712" s="552">
        <v>132132.20000000001</v>
      </c>
      <c r="AM712" s="551">
        <v>83196.100000000006</v>
      </c>
      <c r="AN712" s="778"/>
      <c r="AO712" s="778"/>
    </row>
    <row r="713" spans="1:41" s="523" customFormat="1" x14ac:dyDescent="0.25">
      <c r="A713" s="1058"/>
      <c r="B713" s="497" t="s">
        <v>5</v>
      </c>
      <c r="C713" s="582">
        <v>49552.4</v>
      </c>
      <c r="D713" s="581">
        <v>81183.7</v>
      </c>
      <c r="E713" s="582">
        <v>82554.399999999994</v>
      </c>
      <c r="F713" s="583">
        <v>153373</v>
      </c>
      <c r="G713" s="583">
        <v>117112.5</v>
      </c>
      <c r="H713" s="583">
        <v>65542.8</v>
      </c>
      <c r="I713" s="583">
        <v>106845.8</v>
      </c>
      <c r="J713" s="585">
        <v>26972.1</v>
      </c>
      <c r="K713" s="585">
        <v>53565.9</v>
      </c>
      <c r="L713" s="581">
        <v>4965.3999999999996</v>
      </c>
      <c r="M713" s="582">
        <v>164221.29999999999</v>
      </c>
      <c r="N713" s="583">
        <v>85983.6</v>
      </c>
      <c r="O713" s="583">
        <v>60161.3</v>
      </c>
      <c r="P713" s="583">
        <v>196516.5</v>
      </c>
      <c r="Q713" s="585">
        <v>14068.3</v>
      </c>
      <c r="R713" s="585">
        <v>85798.1</v>
      </c>
      <c r="S713" s="581">
        <v>55186</v>
      </c>
      <c r="T713" s="584">
        <v>13363.3</v>
      </c>
      <c r="U713" s="581">
        <v>6641.1</v>
      </c>
      <c r="V713" s="534"/>
      <c r="W713" s="534"/>
      <c r="X713" s="534"/>
      <c r="Y713" s="534"/>
      <c r="Z713" s="534"/>
      <c r="AA713" s="549"/>
      <c r="AB713" s="496" t="s">
        <v>5</v>
      </c>
      <c r="AC713" s="319">
        <v>43401.8</v>
      </c>
      <c r="AD713" s="936"/>
      <c r="AE713" s="936"/>
      <c r="AF713" s="936"/>
      <c r="AG713" s="936"/>
      <c r="AH713" s="936"/>
      <c r="AI713" s="936"/>
      <c r="AJ713" s="300">
        <v>58695.3</v>
      </c>
      <c r="AK713" s="513">
        <v>4.7</v>
      </c>
      <c r="AL713" s="398">
        <v>55118.9</v>
      </c>
      <c r="AM713" s="394">
        <v>4.5</v>
      </c>
      <c r="AN713" s="779"/>
      <c r="AO713" s="779"/>
    </row>
    <row r="714" spans="1:41" s="523" customFormat="1" ht="15.75" thickBot="1" x14ac:dyDescent="0.3">
      <c r="A714" s="1059"/>
      <c r="B714" s="504" t="s">
        <v>3</v>
      </c>
      <c r="C714" s="542">
        <f t="shared" ref="C714:L714" si="226">C713/C712</f>
        <v>0.34557056481139248</v>
      </c>
      <c r="D714" s="343">
        <f t="shared" si="226"/>
        <v>0.53936672807734953</v>
      </c>
      <c r="E714" s="542">
        <f t="shared" si="226"/>
        <v>0.54847335877015635</v>
      </c>
      <c r="F714" s="519">
        <f t="shared" si="226"/>
        <v>0.84271434756712682</v>
      </c>
      <c r="G714" s="498">
        <f t="shared" si="226"/>
        <v>0.70782727473277995</v>
      </c>
      <c r="H714" s="498">
        <f t="shared" si="226"/>
        <v>0.49603694462166503</v>
      </c>
      <c r="I714" s="498">
        <f t="shared" si="226"/>
        <v>0.62494399556409774</v>
      </c>
      <c r="J714" s="506">
        <f t="shared" si="226"/>
        <v>0.16301921687966708</v>
      </c>
      <c r="K714" s="506">
        <f t="shared" si="226"/>
        <v>0.5796447632115449</v>
      </c>
      <c r="L714" s="514">
        <f t="shared" si="226"/>
        <v>2.3066292247051909E-2</v>
      </c>
      <c r="M714" s="547">
        <f>M713/M712</f>
        <v>0.85075928966150693</v>
      </c>
      <c r="N714" s="498">
        <f>N713/N712</f>
        <v>0.20258500650987371</v>
      </c>
      <c r="O714" s="506">
        <f>O713/O712</f>
        <v>0.72723041923637621</v>
      </c>
      <c r="P714" s="498">
        <f>P713/P712</f>
        <v>0.71264890935794456</v>
      </c>
      <c r="Q714" s="506">
        <f>Q713/Q712</f>
        <v>0.17005775651362437</v>
      </c>
      <c r="R714" s="506">
        <f t="shared" ref="R714:S714" si="227">R713/R712</f>
        <v>0.45400240023367355</v>
      </c>
      <c r="S714" s="514">
        <f t="shared" si="227"/>
        <v>0.25636130099202614</v>
      </c>
      <c r="T714" s="545">
        <f>T713/T712</f>
        <v>0.24230385668437562</v>
      </c>
      <c r="U714" s="514">
        <f>U713/U712</f>
        <v>0.20069506353787342</v>
      </c>
      <c r="V714" s="534"/>
      <c r="W714" s="534"/>
      <c r="X714" s="534"/>
      <c r="Y714" s="534"/>
      <c r="Z714" s="534"/>
      <c r="AA714" s="550"/>
      <c r="AB714" s="347" t="s">
        <v>3</v>
      </c>
      <c r="AC714" s="395">
        <f>AC713/AC712</f>
        <v>0.302678946274623</v>
      </c>
      <c r="AD714" s="635"/>
      <c r="AE714" s="635"/>
      <c r="AF714" s="635"/>
      <c r="AG714" s="635"/>
      <c r="AH714" s="635"/>
      <c r="AI714" s="635"/>
      <c r="AJ714" s="542">
        <f>AJ713/AJ712</f>
        <v>0.44421714648987376</v>
      </c>
      <c r="AK714" s="514">
        <f>AK713/AK712</f>
        <v>5.6493032726293656E-5</v>
      </c>
      <c r="AL714" s="522">
        <f>AL713/AL712</f>
        <v>0.41714964255495629</v>
      </c>
      <c r="AM714" s="343">
        <f>AM713/AM712</f>
        <v>5.4089073886876906E-5</v>
      </c>
      <c r="AN714" s="780"/>
      <c r="AO714" s="780"/>
    </row>
    <row r="715" spans="1:41" s="563" customFormat="1" ht="15" customHeight="1" x14ac:dyDescent="0.25">
      <c r="A715" s="1060" t="s">
        <v>6</v>
      </c>
      <c r="B715" s="553" t="s">
        <v>7</v>
      </c>
      <c r="C715" s="554">
        <v>5870</v>
      </c>
      <c r="D715" s="555">
        <v>3333</v>
      </c>
      <c r="E715" s="554">
        <v>3330</v>
      </c>
      <c r="F715" s="556">
        <v>9457</v>
      </c>
      <c r="G715" s="556">
        <v>8341</v>
      </c>
      <c r="H715" s="556">
        <v>15703</v>
      </c>
      <c r="I715" s="556">
        <v>8197</v>
      </c>
      <c r="J715" s="557">
        <v>9599</v>
      </c>
      <c r="K715" s="557">
        <v>4073</v>
      </c>
      <c r="L715" s="555">
        <v>6399</v>
      </c>
      <c r="M715" s="554">
        <v>9092</v>
      </c>
      <c r="N715" s="556">
        <v>11923</v>
      </c>
      <c r="O715" s="556">
        <v>4265</v>
      </c>
      <c r="P715" s="556">
        <v>10852</v>
      </c>
      <c r="Q715" s="557">
        <v>4799</v>
      </c>
      <c r="R715" s="557">
        <v>7192</v>
      </c>
      <c r="S715" s="555">
        <v>6399</v>
      </c>
      <c r="T715" s="558">
        <v>2480</v>
      </c>
      <c r="U715" s="555">
        <v>1570</v>
      </c>
      <c r="V715" s="559" t="s">
        <v>197</v>
      </c>
      <c r="W715" s="560"/>
      <c r="X715" s="561"/>
      <c r="Y715" s="561"/>
      <c r="Z715" s="561"/>
      <c r="AA715" s="562" t="s">
        <v>190</v>
      </c>
      <c r="AB715" s="553" t="s">
        <v>4</v>
      </c>
      <c r="AC715" s="564">
        <v>9191.7999999999993</v>
      </c>
      <c r="AD715" s="564"/>
      <c r="AE715" s="564"/>
      <c r="AF715" s="564"/>
      <c r="AG715" s="564"/>
      <c r="AH715" s="564"/>
      <c r="AI715" s="564"/>
      <c r="AJ715" s="565">
        <v>13787.7</v>
      </c>
      <c r="AK715" s="566">
        <v>8804.7999999999993</v>
      </c>
      <c r="AL715" s="567">
        <v>13787.7</v>
      </c>
      <c r="AM715" s="568">
        <v>8804.7999999999993</v>
      </c>
      <c r="AN715" s="781"/>
      <c r="AO715" s="781"/>
    </row>
    <row r="716" spans="1:41" s="523" customFormat="1" x14ac:dyDescent="0.25">
      <c r="A716" s="1061"/>
      <c r="B716" s="494" t="s">
        <v>11</v>
      </c>
      <c r="C716" s="302">
        <f t="shared" ref="C716:L716" si="228">C715*33.717</f>
        <v>197918.78999999998</v>
      </c>
      <c r="D716" s="512">
        <f t="shared" si="228"/>
        <v>112378.761</v>
      </c>
      <c r="E716" s="302">
        <f t="shared" si="228"/>
        <v>112277.61</v>
      </c>
      <c r="F716" s="355">
        <f t="shared" si="228"/>
        <v>318861.66899999999</v>
      </c>
      <c r="G716" s="499">
        <f t="shared" si="228"/>
        <v>281233.49699999997</v>
      </c>
      <c r="H716" s="354">
        <f t="shared" si="228"/>
        <v>529458.05099999998</v>
      </c>
      <c r="I716" s="354">
        <f t="shared" si="228"/>
        <v>276378.24900000001</v>
      </c>
      <c r="J716" s="355">
        <f t="shared" si="228"/>
        <v>323649.48300000001</v>
      </c>
      <c r="K716" s="507">
        <f t="shared" si="228"/>
        <v>137329.34099999999</v>
      </c>
      <c r="L716" s="512">
        <f t="shared" si="228"/>
        <v>215755.08299999998</v>
      </c>
      <c r="M716" s="322">
        <f>M715*33.717</f>
        <v>306554.96399999998</v>
      </c>
      <c r="N716" s="499">
        <f>N715*33.717</f>
        <v>402007.79099999997</v>
      </c>
      <c r="O716" s="499">
        <f>O715*33.717</f>
        <v>143803.005</v>
      </c>
      <c r="P716" s="354">
        <f>P715*33.717</f>
        <v>365896.88399999996</v>
      </c>
      <c r="Q716" s="355">
        <f>Q715*33.717</f>
        <v>161807.883</v>
      </c>
      <c r="R716" s="507">
        <f t="shared" ref="R716:S716" si="229">R715*33.717</f>
        <v>242492.66399999999</v>
      </c>
      <c r="S716" s="512">
        <f t="shared" si="229"/>
        <v>215755.08299999998</v>
      </c>
      <c r="T716" s="302">
        <f>T715*33.717</f>
        <v>83618.16</v>
      </c>
      <c r="U716" s="354">
        <f>U715*33.717</f>
        <v>52935.689999999995</v>
      </c>
      <c r="V716" s="534"/>
      <c r="W716" s="534"/>
      <c r="X716" s="534"/>
      <c r="Y716" s="534"/>
      <c r="Z716" s="534"/>
      <c r="AA716" s="549"/>
      <c r="AB716" s="497" t="s">
        <v>5</v>
      </c>
      <c r="AC716" s="319">
        <v>8835</v>
      </c>
      <c r="AD716" s="936"/>
      <c r="AE716" s="936"/>
      <c r="AF716" s="936"/>
      <c r="AG716" s="936"/>
      <c r="AH716" s="936"/>
      <c r="AI716" s="936"/>
      <c r="AJ716" s="300">
        <v>13648.9</v>
      </c>
      <c r="AK716" s="513">
        <v>0</v>
      </c>
      <c r="AL716" s="398">
        <v>13649.5</v>
      </c>
      <c r="AM716" s="394">
        <v>30</v>
      </c>
      <c r="AN716" s="779"/>
      <c r="AO716" s="779"/>
    </row>
    <row r="717" spans="1:41" s="523" customFormat="1" ht="15.75" thickBot="1" x14ac:dyDescent="0.3">
      <c r="A717" s="1061"/>
      <c r="B717" s="494" t="s">
        <v>79</v>
      </c>
      <c r="C717" s="302">
        <v>164000</v>
      </c>
      <c r="D717" s="512">
        <v>109880</v>
      </c>
      <c r="E717" s="302">
        <v>109880</v>
      </c>
      <c r="F717" s="499">
        <v>328000</v>
      </c>
      <c r="G717" s="499">
        <v>330905</v>
      </c>
      <c r="H717" s="499">
        <v>264264</v>
      </c>
      <c r="I717" s="499">
        <v>242663.6</v>
      </c>
      <c r="J717" s="507">
        <v>328000</v>
      </c>
      <c r="K717" s="507">
        <v>328000</v>
      </c>
      <c r="L717" s="512">
        <v>328000</v>
      </c>
      <c r="M717" s="302">
        <v>328000</v>
      </c>
      <c r="N717" s="499">
        <v>264264.40000000002</v>
      </c>
      <c r="O717" s="499">
        <v>328000</v>
      </c>
      <c r="P717" s="499">
        <v>352965.4</v>
      </c>
      <c r="Q717" s="507">
        <v>328000</v>
      </c>
      <c r="R717" s="507">
        <v>328000</v>
      </c>
      <c r="S717" s="512">
        <v>328000</v>
      </c>
      <c r="T717" s="322">
        <f>2*T712</f>
        <v>110302</v>
      </c>
      <c r="U717" s="512">
        <f>2*U712</f>
        <v>66181</v>
      </c>
      <c r="V717" s="534"/>
      <c r="W717" s="534"/>
      <c r="X717" s="534"/>
      <c r="Y717" s="534"/>
      <c r="Z717" s="534"/>
      <c r="AA717" s="550"/>
      <c r="AB717" s="344" t="s">
        <v>3</v>
      </c>
      <c r="AC717" s="395">
        <f>AC716/AC715</f>
        <v>0.96118279335929857</v>
      </c>
      <c r="AD717" s="635"/>
      <c r="AE717" s="635"/>
      <c r="AF717" s="635"/>
      <c r="AG717" s="635"/>
      <c r="AH717" s="635"/>
      <c r="AI717" s="635"/>
      <c r="AJ717" s="301">
        <f>AJ716/AJ715</f>
        <v>0.98993305627479555</v>
      </c>
      <c r="AK717" s="401">
        <f>AK716/AK715</f>
        <v>0</v>
      </c>
      <c r="AL717" s="400">
        <f>AL716/AL715</f>
        <v>0.98997657332259903</v>
      </c>
      <c r="AM717" s="348">
        <f>AM716/AM715</f>
        <v>3.4072324186807199E-3</v>
      </c>
      <c r="AN717" s="780"/>
      <c r="AO717" s="780"/>
    </row>
    <row r="718" spans="1:41" s="523" customFormat="1" ht="15" customHeight="1" x14ac:dyDescent="0.25">
      <c r="A718" s="1061"/>
      <c r="B718" s="497" t="s">
        <v>8</v>
      </c>
      <c r="C718" s="589">
        <v>5599</v>
      </c>
      <c r="D718" s="588">
        <v>2865</v>
      </c>
      <c r="E718" s="589">
        <v>2895</v>
      </c>
      <c r="F718" s="586">
        <v>8327</v>
      </c>
      <c r="G718" s="586">
        <v>3818</v>
      </c>
      <c r="H718" s="586">
        <v>13662</v>
      </c>
      <c r="I718" s="586">
        <v>6909</v>
      </c>
      <c r="J718" s="587">
        <v>591</v>
      </c>
      <c r="K718" s="587">
        <v>2994</v>
      </c>
      <c r="L718" s="588">
        <v>1754</v>
      </c>
      <c r="M718" s="589">
        <v>8348</v>
      </c>
      <c r="N718" s="586">
        <v>10937</v>
      </c>
      <c r="O718" s="587">
        <v>3965</v>
      </c>
      <c r="P718" s="586">
        <v>8373</v>
      </c>
      <c r="Q718" s="587">
        <v>1039</v>
      </c>
      <c r="R718" s="587">
        <v>3022</v>
      </c>
      <c r="S718" s="588">
        <v>621</v>
      </c>
      <c r="T718" s="590">
        <v>1529</v>
      </c>
      <c r="U718" s="588">
        <v>974</v>
      </c>
      <c r="V718" s="526" t="s">
        <v>176</v>
      </c>
      <c r="W718" s="534"/>
      <c r="X718" s="534"/>
      <c r="Y718" s="534"/>
      <c r="Z718" s="534"/>
      <c r="AA718" s="548" t="s">
        <v>191</v>
      </c>
      <c r="AB718" s="528" t="s">
        <v>4</v>
      </c>
      <c r="AC718" s="544">
        <v>97433.600000000006</v>
      </c>
      <c r="AD718" s="544"/>
      <c r="AE718" s="544"/>
      <c r="AF718" s="544"/>
      <c r="AG718" s="544"/>
      <c r="AH718" s="544"/>
      <c r="AI718" s="544"/>
      <c r="AJ718" s="541">
        <v>243584.4</v>
      </c>
      <c r="AK718" s="538">
        <v>132070.29999999999</v>
      </c>
      <c r="AL718" s="552">
        <v>292299.3</v>
      </c>
      <c r="AM718" s="551">
        <v>132070.39999999999</v>
      </c>
      <c r="AN718" s="778"/>
      <c r="AO718" s="778"/>
    </row>
    <row r="719" spans="1:41" s="523" customFormat="1" x14ac:dyDescent="0.25">
      <c r="A719" s="1061"/>
      <c r="B719" s="495" t="s">
        <v>77</v>
      </c>
      <c r="C719" s="302">
        <f>(C718*33.717)</f>
        <v>188781.48300000001</v>
      </c>
      <c r="D719" s="338">
        <f>(D718*33.717)</f>
        <v>96599.205000000002</v>
      </c>
      <c r="E719" s="302">
        <f>(E718*33.717)</f>
        <v>97610.714999999997</v>
      </c>
      <c r="F719" s="338">
        <f>(F718*33.717)</f>
        <v>280761.45899999997</v>
      </c>
      <c r="G719" s="500">
        <f>(G718*33.717)*2</f>
        <v>257463.01199999999</v>
      </c>
      <c r="H719" s="500">
        <f>(H718*33.717)</f>
        <v>460641.65399999998</v>
      </c>
      <c r="I719" s="500">
        <f>(I718*33.717)-(2000*33.717)</f>
        <v>165516.753</v>
      </c>
      <c r="J719" s="509">
        <f>J718*33.717</f>
        <v>19926.746999999999</v>
      </c>
      <c r="K719" s="509">
        <f>K718*33.717</f>
        <v>100948.69799999999</v>
      </c>
      <c r="L719" s="261">
        <f>L718*33.717</f>
        <v>59139.617999999995</v>
      </c>
      <c r="M719" s="304">
        <f>M718*33.717</f>
        <v>281469.516</v>
      </c>
      <c r="N719" s="500">
        <f>N718*33.717</f>
        <v>368762.82899999997</v>
      </c>
      <c r="O719" s="500">
        <f>(O718*33.717)</f>
        <v>133687.905</v>
      </c>
      <c r="P719" s="500">
        <f t="shared" ref="P719:U719" si="230">P718*33.717</f>
        <v>282312.44099999999</v>
      </c>
      <c r="Q719" s="509">
        <f t="shared" si="230"/>
        <v>35031.962999999996</v>
      </c>
      <c r="R719" s="509">
        <f t="shared" si="230"/>
        <v>101892.77399999999</v>
      </c>
      <c r="S719" s="261">
        <f t="shared" si="230"/>
        <v>20938.256999999998</v>
      </c>
      <c r="T719" s="324">
        <f t="shared" si="230"/>
        <v>51553.292999999998</v>
      </c>
      <c r="U719" s="518">
        <f t="shared" si="230"/>
        <v>32840.358</v>
      </c>
      <c r="V719" s="532">
        <f>344240-H719</f>
        <v>-116401.65399999998</v>
      </c>
      <c r="W719" s="534" t="s">
        <v>177</v>
      </c>
      <c r="X719" s="534"/>
      <c r="Y719" s="534"/>
      <c r="Z719" s="534"/>
      <c r="AA719" s="549"/>
      <c r="AB719" s="497" t="s">
        <v>5</v>
      </c>
      <c r="AC719" s="319">
        <v>38973.199999999997</v>
      </c>
      <c r="AD719" s="936"/>
      <c r="AE719" s="936"/>
      <c r="AF719" s="936"/>
      <c r="AG719" s="936"/>
      <c r="AH719" s="936"/>
      <c r="AI719" s="936"/>
      <c r="AJ719" s="300">
        <v>95895.7</v>
      </c>
      <c r="AK719" s="513">
        <v>0.1</v>
      </c>
      <c r="AL719" s="398">
        <v>93978.8</v>
      </c>
      <c r="AM719" s="394">
        <v>1</v>
      </c>
      <c r="AN719" s="779"/>
      <c r="AO719" s="779"/>
    </row>
    <row r="720" spans="1:41" s="523" customFormat="1" ht="15.75" thickBot="1" x14ac:dyDescent="0.3">
      <c r="A720" s="1062"/>
      <c r="B720" s="504" t="s">
        <v>10</v>
      </c>
      <c r="C720" s="542">
        <f>C719/C712</f>
        <v>1.3165320692083993</v>
      </c>
      <c r="D720" s="514">
        <f t="shared" ref="D720:U720" si="231">D719/D712</f>
        <v>0.64178396815768612</v>
      </c>
      <c r="E720" s="543">
        <f t="shared" si="231"/>
        <v>0.64850421913315925</v>
      </c>
      <c r="F720" s="501">
        <f t="shared" si="231"/>
        <v>1.542655550476157</v>
      </c>
      <c r="G720" s="501">
        <f t="shared" si="231"/>
        <v>1.5561049600038681</v>
      </c>
      <c r="H720" s="501">
        <f t="shared" si="231"/>
        <v>3.4861995309268168</v>
      </c>
      <c r="I720" s="501">
        <f t="shared" si="231"/>
        <v>0.96811199834355544</v>
      </c>
      <c r="J720" s="520">
        <f t="shared" si="231"/>
        <v>0.12043714397096465</v>
      </c>
      <c r="K720" s="520">
        <f t="shared" si="231"/>
        <v>1.0923812378532562</v>
      </c>
      <c r="L720" s="515">
        <f t="shared" si="231"/>
        <v>0.2747274564319111</v>
      </c>
      <c r="M720" s="543">
        <f t="shared" si="231"/>
        <v>1.4581714156052119</v>
      </c>
      <c r="N720" s="501">
        <f t="shared" si="231"/>
        <v>0.86883801229030222</v>
      </c>
      <c r="O720" s="501">
        <f t="shared" si="231"/>
        <v>1.6160207841250576</v>
      </c>
      <c r="P720" s="510">
        <f t="shared" si="231"/>
        <v>1.0237799532193432</v>
      </c>
      <c r="Q720" s="520">
        <f t="shared" si="231"/>
        <v>0.42346673258661655</v>
      </c>
      <c r="R720" s="520">
        <f t="shared" si="231"/>
        <v>0.53916769674931309</v>
      </c>
      <c r="S720" s="515">
        <f t="shared" si="231"/>
        <v>9.7266676422016418E-2</v>
      </c>
      <c r="T720" s="542">
        <f t="shared" si="231"/>
        <v>0.93476624177258794</v>
      </c>
      <c r="U720" s="514">
        <f t="shared" si="231"/>
        <v>0.99244067028301175</v>
      </c>
      <c r="V720" s="535"/>
      <c r="W720" s="534"/>
      <c r="X720" s="534"/>
      <c r="Y720" s="534"/>
      <c r="Z720" s="534"/>
      <c r="AA720" s="550"/>
      <c r="AB720" s="504" t="s">
        <v>3</v>
      </c>
      <c r="AC720" s="545">
        <f>AC719/AC718</f>
        <v>0.39999753678402516</v>
      </c>
      <c r="AD720" s="545"/>
      <c r="AE720" s="545"/>
      <c r="AF720" s="545"/>
      <c r="AG720" s="545"/>
      <c r="AH720" s="545"/>
      <c r="AI720" s="545"/>
      <c r="AJ720" s="542">
        <f>AJ719/AJ718</f>
        <v>0.39368572043201455</v>
      </c>
      <c r="AK720" s="514">
        <f>AK719/AK718</f>
        <v>7.5717250585483648E-7</v>
      </c>
      <c r="AL720" s="522">
        <f>AL719/AL718</f>
        <v>0.32151565193621745</v>
      </c>
      <c r="AM720" s="343">
        <f>AM719/AM718</f>
        <v>7.5717193254506694E-6</v>
      </c>
      <c r="AN720" s="780"/>
      <c r="AO720" s="780"/>
    </row>
    <row r="721" spans="1:41" s="267" customFormat="1" ht="15.75" thickBot="1" x14ac:dyDescent="0.3">
      <c r="A721" s="1048">
        <v>41596</v>
      </c>
      <c r="B721" s="1048"/>
      <c r="C721" s="1048"/>
      <c r="D721" s="276"/>
      <c r="E721" s="276"/>
      <c r="F721" s="276"/>
      <c r="G721" s="276"/>
      <c r="H721" s="276"/>
      <c r="I721" s="11"/>
      <c r="J721" s="281"/>
      <c r="K721" s="281"/>
      <c r="L721" s="276"/>
      <c r="M721" s="276"/>
      <c r="N721" s="13"/>
      <c r="R721" s="12"/>
      <c r="S721" s="70"/>
      <c r="T721" s="70"/>
      <c r="U721" s="70"/>
      <c r="V721" s="70"/>
      <c r="W721" s="70"/>
      <c r="X721" s="70"/>
      <c r="Y721" s="70"/>
      <c r="Z721" s="70"/>
      <c r="AA721" s="1063"/>
      <c r="AB721" s="1064"/>
      <c r="AD721" s="743"/>
      <c r="AE721" s="743"/>
      <c r="AF721" s="743"/>
      <c r="AG721" s="743"/>
      <c r="AH721" s="743"/>
      <c r="AI721" s="743"/>
      <c r="AN721" s="743"/>
      <c r="AO721" s="743"/>
    </row>
    <row r="722" spans="1:41" s="267" customFormat="1" x14ac:dyDescent="0.25">
      <c r="A722" s="1049" t="s">
        <v>1</v>
      </c>
      <c r="B722" s="1050"/>
      <c r="C722" s="297" t="s">
        <v>12</v>
      </c>
      <c r="D722" s="266" t="s">
        <v>12</v>
      </c>
      <c r="E722" s="297" t="s">
        <v>13</v>
      </c>
      <c r="F722" s="277" t="s">
        <v>13</v>
      </c>
      <c r="G722" s="277" t="s">
        <v>13</v>
      </c>
      <c r="H722" s="277" t="s">
        <v>13</v>
      </c>
      <c r="I722" s="277" t="s">
        <v>13</v>
      </c>
      <c r="J722" s="286" t="s">
        <v>13</v>
      </c>
      <c r="K722" s="286" t="s">
        <v>13</v>
      </c>
      <c r="L722" s="266" t="s">
        <v>13</v>
      </c>
      <c r="M722" s="492" t="s">
        <v>2</v>
      </c>
      <c r="N722" s="277" t="s">
        <v>2</v>
      </c>
      <c r="O722" s="286" t="s">
        <v>2</v>
      </c>
      <c r="P722" s="277" t="s">
        <v>2</v>
      </c>
      <c r="Q722" s="286" t="s">
        <v>2</v>
      </c>
      <c r="R722" s="286" t="s">
        <v>2</v>
      </c>
      <c r="S722" s="266" t="s">
        <v>2</v>
      </c>
      <c r="T722" s="492" t="s">
        <v>183</v>
      </c>
      <c r="U722" s="493" t="s">
        <v>183</v>
      </c>
      <c r="V722" s="12"/>
      <c r="W722" s="70"/>
      <c r="X722" s="70"/>
      <c r="Y722" s="70"/>
      <c r="Z722" s="70"/>
      <c r="AA722" s="1049" t="s">
        <v>1</v>
      </c>
      <c r="AB722" s="1051"/>
      <c r="AC722" s="491" t="s">
        <v>12</v>
      </c>
      <c r="AD722" s="912"/>
      <c r="AE722" s="912"/>
      <c r="AF722" s="912"/>
      <c r="AG722" s="912"/>
      <c r="AH722" s="912"/>
      <c r="AI722" s="912"/>
      <c r="AJ722" s="1052" t="s">
        <v>13</v>
      </c>
      <c r="AK722" s="1053"/>
      <c r="AL722" s="1052" t="s">
        <v>2</v>
      </c>
      <c r="AM722" s="1053"/>
      <c r="AN722" s="776"/>
      <c r="AO722" s="776"/>
    </row>
    <row r="723" spans="1:41" s="267" customFormat="1" ht="15.75" thickBot="1" x14ac:dyDescent="0.3">
      <c r="A723" s="1054" t="s">
        <v>0</v>
      </c>
      <c r="B723" s="1066"/>
      <c r="C723" s="298" t="s">
        <v>99</v>
      </c>
      <c r="D723" s="291" t="s">
        <v>100</v>
      </c>
      <c r="E723" s="298" t="s">
        <v>101</v>
      </c>
      <c r="F723" s="306" t="s">
        <v>102</v>
      </c>
      <c r="G723" s="306" t="s">
        <v>97</v>
      </c>
      <c r="H723" s="306" t="s">
        <v>104</v>
      </c>
      <c r="I723" s="306" t="s">
        <v>103</v>
      </c>
      <c r="J723" s="378" t="s">
        <v>178</v>
      </c>
      <c r="K723" s="378" t="s">
        <v>199</v>
      </c>
      <c r="L723" s="314" t="s">
        <v>206</v>
      </c>
      <c r="M723" s="298" t="s">
        <v>105</v>
      </c>
      <c r="N723" s="306" t="s">
        <v>107</v>
      </c>
      <c r="O723" s="312" t="s">
        <v>98</v>
      </c>
      <c r="P723" s="313" t="s">
        <v>106</v>
      </c>
      <c r="Q723" s="312" t="s">
        <v>179</v>
      </c>
      <c r="R723" s="312" t="s">
        <v>198</v>
      </c>
      <c r="S723" s="291" t="s">
        <v>207</v>
      </c>
      <c r="T723" s="317" t="s">
        <v>182</v>
      </c>
      <c r="U723" s="291" t="s">
        <v>184</v>
      </c>
      <c r="V723" s="12"/>
      <c r="W723" s="12"/>
      <c r="X723" s="12"/>
      <c r="Y723" s="12"/>
      <c r="Z723" s="12"/>
      <c r="AA723" s="1054" t="s">
        <v>0</v>
      </c>
      <c r="AB723" s="1067"/>
      <c r="AC723" s="317" t="s">
        <v>99</v>
      </c>
      <c r="AD723" s="621"/>
      <c r="AE723" s="621"/>
      <c r="AF723" s="621"/>
      <c r="AG723" s="621"/>
      <c r="AH723" s="621"/>
      <c r="AI723" s="621"/>
      <c r="AJ723" s="298" t="s">
        <v>104</v>
      </c>
      <c r="AK723" s="291" t="s">
        <v>206</v>
      </c>
      <c r="AL723" s="396" t="s">
        <v>107</v>
      </c>
      <c r="AM723" s="392" t="s">
        <v>207</v>
      </c>
      <c r="AN723" s="777"/>
      <c r="AO723" s="777"/>
    </row>
    <row r="724" spans="1:41" s="267" customFormat="1" ht="15" customHeight="1" x14ac:dyDescent="0.25">
      <c r="A724" s="1057" t="s">
        <v>9</v>
      </c>
      <c r="B724" s="19" t="s">
        <v>4</v>
      </c>
      <c r="C724" s="299">
        <v>143393</v>
      </c>
      <c r="D724" s="265">
        <v>150516.70000000001</v>
      </c>
      <c r="E724" s="299">
        <v>150516.70000000001</v>
      </c>
      <c r="F724" s="283">
        <v>181998.8</v>
      </c>
      <c r="G724" s="283">
        <v>165453.5</v>
      </c>
      <c r="H724" s="283">
        <v>132132.9</v>
      </c>
      <c r="I724" s="283">
        <v>170968.6</v>
      </c>
      <c r="J724" s="223">
        <v>165453.5</v>
      </c>
      <c r="K724" s="223">
        <v>92411.6</v>
      </c>
      <c r="L724" s="265">
        <f>83196.1+132070.4</f>
        <v>215266.5</v>
      </c>
      <c r="M724" s="299">
        <v>193029.1</v>
      </c>
      <c r="N724" s="283">
        <f>132132.9+292299.3</f>
        <v>424432.19999999995</v>
      </c>
      <c r="O724" s="283">
        <v>82726.600000000006</v>
      </c>
      <c r="P724" s="283">
        <v>275755</v>
      </c>
      <c r="Q724" s="223">
        <v>82726.600000000006</v>
      </c>
      <c r="R724" s="223">
        <v>188981.6</v>
      </c>
      <c r="S724" s="265">
        <f>83196.1+132070.4</f>
        <v>215266.5</v>
      </c>
      <c r="T724" s="318">
        <v>55151</v>
      </c>
      <c r="U724" s="265">
        <v>33090.5</v>
      </c>
      <c r="V724" s="70"/>
      <c r="W724" s="70"/>
      <c r="X724" s="70"/>
      <c r="Y724" s="70"/>
      <c r="Z724" s="70"/>
      <c r="AA724" s="488" t="s">
        <v>194</v>
      </c>
      <c r="AB724" s="2" t="s">
        <v>4</v>
      </c>
      <c r="AC724" s="318">
        <v>143392.20000000001</v>
      </c>
      <c r="AD724" s="544"/>
      <c r="AE724" s="544"/>
      <c r="AF724" s="544"/>
      <c r="AG724" s="544"/>
      <c r="AH724" s="544"/>
      <c r="AI724" s="544"/>
      <c r="AJ724" s="299">
        <v>132132</v>
      </c>
      <c r="AK724" s="265">
        <v>83196.100000000006</v>
      </c>
      <c r="AL724" s="397">
        <v>132132.20000000001</v>
      </c>
      <c r="AM724" s="393">
        <v>83196.100000000006</v>
      </c>
      <c r="AN724" s="778"/>
      <c r="AO724" s="778"/>
    </row>
    <row r="725" spans="1:41" s="267" customFormat="1" x14ac:dyDescent="0.25">
      <c r="A725" s="1058"/>
      <c r="B725" s="293" t="s">
        <v>5</v>
      </c>
      <c r="C725" s="300">
        <v>49601</v>
      </c>
      <c r="D725" s="264">
        <v>81148.5</v>
      </c>
      <c r="E725" s="300">
        <v>82519.199999999997</v>
      </c>
      <c r="F725" s="307">
        <v>152987.5</v>
      </c>
      <c r="G725" s="307">
        <v>115575.1</v>
      </c>
      <c r="H725" s="307">
        <v>65530.1</v>
      </c>
      <c r="I725" s="307">
        <v>105098.7</v>
      </c>
      <c r="J725" s="374">
        <v>26551.599999999999</v>
      </c>
      <c r="K725" s="374">
        <v>52180.9</v>
      </c>
      <c r="L725" s="264">
        <f>1851.3+2582.1</f>
        <v>4433.3999999999996</v>
      </c>
      <c r="M725" s="300">
        <v>161983.4</v>
      </c>
      <c r="N725" s="307">
        <f xml:space="preserve"> 73487.5+13632.8</f>
        <v>87120.3</v>
      </c>
      <c r="O725" s="307">
        <v>59912.6</v>
      </c>
      <c r="P725" s="307">
        <v>192601.4</v>
      </c>
      <c r="Q725" s="374">
        <v>13847.8</v>
      </c>
      <c r="R725" s="374">
        <v>83845</v>
      </c>
      <c r="S725" s="264">
        <f>38237.7+16211.1</f>
        <v>54448.799999999996</v>
      </c>
      <c r="T725" s="319">
        <v>13363.3</v>
      </c>
      <c r="U725" s="264">
        <v>6641.1</v>
      </c>
      <c r="V725" s="70"/>
      <c r="W725" s="70"/>
      <c r="X725" s="70"/>
      <c r="Y725" s="70"/>
      <c r="Z725" s="70"/>
      <c r="AA725" s="489"/>
      <c r="AB725" s="342" t="s">
        <v>5</v>
      </c>
      <c r="AC725" s="319">
        <v>43401.8</v>
      </c>
      <c r="AD725" s="936"/>
      <c r="AE725" s="936"/>
      <c r="AF725" s="936"/>
      <c r="AG725" s="936"/>
      <c r="AH725" s="936"/>
      <c r="AI725" s="936"/>
      <c r="AJ725" s="300">
        <v>58695.3</v>
      </c>
      <c r="AK725" s="264">
        <v>4.7</v>
      </c>
      <c r="AL725" s="398">
        <v>55118.9</v>
      </c>
      <c r="AM725" s="394">
        <v>4.5</v>
      </c>
      <c r="AN725" s="779"/>
      <c r="AO725" s="779"/>
    </row>
    <row r="726" spans="1:41" s="267" customFormat="1" ht="15.75" thickBot="1" x14ac:dyDescent="0.3">
      <c r="A726" s="1059"/>
      <c r="B726" s="294" t="s">
        <v>3</v>
      </c>
      <c r="C726" s="305">
        <f t="shared" ref="C726:L726" si="232">C725/C724</f>
        <v>0.34590949348991934</v>
      </c>
      <c r="D726" s="343">
        <f t="shared" si="232"/>
        <v>0.53913286698419505</v>
      </c>
      <c r="E726" s="305">
        <f t="shared" si="232"/>
        <v>0.54823949767700186</v>
      </c>
      <c r="F726" s="371">
        <f t="shared" si="232"/>
        <v>0.84059620173319827</v>
      </c>
      <c r="G726" s="278">
        <f t="shared" si="232"/>
        <v>0.69853523799738304</v>
      </c>
      <c r="H726" s="278">
        <f t="shared" si="232"/>
        <v>0.49594082927113536</v>
      </c>
      <c r="I726" s="278">
        <f t="shared" si="232"/>
        <v>0.61472516005863065</v>
      </c>
      <c r="J726" s="315">
        <f t="shared" si="232"/>
        <v>0.16047771730425769</v>
      </c>
      <c r="K726" s="315">
        <f t="shared" si="232"/>
        <v>0.56465746724437194</v>
      </c>
      <c r="L726" s="292">
        <f t="shared" si="232"/>
        <v>2.0594936973472415E-2</v>
      </c>
      <c r="M726" s="372">
        <f>M725/M724</f>
        <v>0.83916570092281417</v>
      </c>
      <c r="N726" s="278">
        <f>N725/N724</f>
        <v>0.2052631727752984</v>
      </c>
      <c r="O726" s="315">
        <f>O725/O724</f>
        <v>0.72422413105337335</v>
      </c>
      <c r="P726" s="278">
        <f>P725/P724</f>
        <v>0.69845116135700169</v>
      </c>
      <c r="Q726" s="315">
        <f>Q725/Q724</f>
        <v>0.16739235022350729</v>
      </c>
      <c r="R726" s="315">
        <f t="shared" ref="R726:S726" si="233">R725/R724</f>
        <v>0.44366753165387529</v>
      </c>
      <c r="S726" s="292">
        <f t="shared" si="233"/>
        <v>0.2529367086843517</v>
      </c>
      <c r="T726" s="320">
        <f>T725/T724</f>
        <v>0.24230385668437562</v>
      </c>
      <c r="U726" s="292">
        <f>U725/U724</f>
        <v>0.20069506353787342</v>
      </c>
      <c r="V726" s="70"/>
      <c r="W726" s="70"/>
      <c r="X726" s="70"/>
      <c r="Y726" s="70"/>
      <c r="Z726" s="70"/>
      <c r="AA726" s="490"/>
      <c r="AB726" s="347" t="s">
        <v>3</v>
      </c>
      <c r="AC726" s="395">
        <f>AC725/AC724</f>
        <v>0.302678946274623</v>
      </c>
      <c r="AD726" s="635"/>
      <c r="AE726" s="635"/>
      <c r="AF726" s="635"/>
      <c r="AG726" s="635"/>
      <c r="AH726" s="635"/>
      <c r="AI726" s="635"/>
      <c r="AJ726" s="305">
        <f>AJ725/AJ724</f>
        <v>0.44421714648987376</v>
      </c>
      <c r="AK726" s="292">
        <f>AK725/AK724</f>
        <v>5.6493032726293656E-5</v>
      </c>
      <c r="AL726" s="399">
        <f>AL725/AL724</f>
        <v>0.41714964255495629</v>
      </c>
      <c r="AM726" s="343">
        <f>AM725/AM724</f>
        <v>5.4089073886876906E-5</v>
      </c>
      <c r="AN726" s="780"/>
      <c r="AO726" s="780"/>
    </row>
    <row r="727" spans="1:41" s="429" customFormat="1" ht="15" customHeight="1" x14ac:dyDescent="0.25">
      <c r="A727" s="1060" t="s">
        <v>6</v>
      </c>
      <c r="B727" s="418" t="s">
        <v>7</v>
      </c>
      <c r="C727" s="419">
        <v>5870</v>
      </c>
      <c r="D727" s="420">
        <v>3333</v>
      </c>
      <c r="E727" s="419">
        <v>3330</v>
      </c>
      <c r="F727" s="421">
        <v>9457</v>
      </c>
      <c r="G727" s="421">
        <v>8341</v>
      </c>
      <c r="H727" s="421">
        <v>15703</v>
      </c>
      <c r="I727" s="421">
        <v>8197</v>
      </c>
      <c r="J727" s="423">
        <v>9599</v>
      </c>
      <c r="K727" s="423">
        <v>4073</v>
      </c>
      <c r="L727" s="420">
        <v>6399</v>
      </c>
      <c r="M727" s="419">
        <v>9092</v>
      </c>
      <c r="N727" s="421">
        <v>11923</v>
      </c>
      <c r="O727" s="421">
        <v>4265</v>
      </c>
      <c r="P727" s="421">
        <v>10852</v>
      </c>
      <c r="Q727" s="423">
        <v>4799</v>
      </c>
      <c r="R727" s="423">
        <v>7192</v>
      </c>
      <c r="S727" s="420">
        <v>6399</v>
      </c>
      <c r="T727" s="424">
        <v>2480</v>
      </c>
      <c r="U727" s="420">
        <v>1570</v>
      </c>
      <c r="V727" s="425" t="s">
        <v>197</v>
      </c>
      <c r="W727" s="426"/>
      <c r="X727" s="427"/>
      <c r="Y727" s="427"/>
      <c r="Z727" s="427"/>
      <c r="AA727" s="428" t="s">
        <v>190</v>
      </c>
      <c r="AB727" s="418" t="s">
        <v>4</v>
      </c>
      <c r="AC727" s="430">
        <v>9191.7999999999993</v>
      </c>
      <c r="AD727" s="564"/>
      <c r="AE727" s="564"/>
      <c r="AF727" s="564"/>
      <c r="AG727" s="564"/>
      <c r="AH727" s="564"/>
      <c r="AI727" s="564"/>
      <c r="AJ727" s="431">
        <v>13787.7</v>
      </c>
      <c r="AK727" s="432">
        <v>8804.7999999999993</v>
      </c>
      <c r="AL727" s="433">
        <v>13787.7</v>
      </c>
      <c r="AM727" s="434">
        <v>8804.7999999999993</v>
      </c>
      <c r="AN727" s="781"/>
      <c r="AO727" s="781"/>
    </row>
    <row r="728" spans="1:41" s="267" customFormat="1" x14ac:dyDescent="0.25">
      <c r="A728" s="1061"/>
      <c r="B728" s="295" t="s">
        <v>11</v>
      </c>
      <c r="C728" s="302">
        <f t="shared" ref="C728:L728" si="234">C727*33.717</f>
        <v>197918.78999999998</v>
      </c>
      <c r="D728" s="263">
        <f t="shared" si="234"/>
        <v>112378.761</v>
      </c>
      <c r="E728" s="302">
        <f t="shared" si="234"/>
        <v>112277.61</v>
      </c>
      <c r="F728" s="355">
        <f t="shared" si="234"/>
        <v>318861.66899999999</v>
      </c>
      <c r="G728" s="308">
        <f t="shared" si="234"/>
        <v>281233.49699999997</v>
      </c>
      <c r="H728" s="354">
        <f t="shared" si="234"/>
        <v>529458.05099999998</v>
      </c>
      <c r="I728" s="354">
        <f t="shared" si="234"/>
        <v>276378.24900000001</v>
      </c>
      <c r="J728" s="355">
        <f t="shared" si="234"/>
        <v>323649.48300000001</v>
      </c>
      <c r="K728" s="375">
        <f t="shared" si="234"/>
        <v>137329.34099999999</v>
      </c>
      <c r="L728" s="263">
        <f t="shared" si="234"/>
        <v>215755.08299999998</v>
      </c>
      <c r="M728" s="322">
        <f>M727*33.717</f>
        <v>306554.96399999998</v>
      </c>
      <c r="N728" s="308">
        <f>N727*33.717</f>
        <v>402007.79099999997</v>
      </c>
      <c r="O728" s="308">
        <f>O727*33.717</f>
        <v>143803.005</v>
      </c>
      <c r="P728" s="354">
        <f>P727*33.717</f>
        <v>365896.88399999996</v>
      </c>
      <c r="Q728" s="355">
        <f>Q727*33.717</f>
        <v>161807.883</v>
      </c>
      <c r="R728" s="375">
        <f t="shared" ref="R728:S728" si="235">R727*33.717</f>
        <v>242492.66399999999</v>
      </c>
      <c r="S728" s="263">
        <f t="shared" si="235"/>
        <v>215755.08299999998</v>
      </c>
      <c r="T728" s="302">
        <f>T727*33.717</f>
        <v>83618.16</v>
      </c>
      <c r="U728" s="354">
        <f>U727*33.717</f>
        <v>52935.689999999995</v>
      </c>
      <c r="V728" s="70"/>
      <c r="W728" s="70"/>
      <c r="X728" s="70"/>
      <c r="Y728" s="70"/>
      <c r="Z728" s="70"/>
      <c r="AA728" s="489"/>
      <c r="AB728" s="293" t="s">
        <v>5</v>
      </c>
      <c r="AC728" s="319">
        <v>8835</v>
      </c>
      <c r="AD728" s="936"/>
      <c r="AE728" s="936"/>
      <c r="AF728" s="936"/>
      <c r="AG728" s="936"/>
      <c r="AH728" s="936"/>
      <c r="AI728" s="936"/>
      <c r="AJ728" s="300">
        <v>13648.9</v>
      </c>
      <c r="AK728" s="264">
        <v>0</v>
      </c>
      <c r="AL728" s="398">
        <v>13649.5</v>
      </c>
      <c r="AM728" s="394">
        <v>30</v>
      </c>
      <c r="AN728" s="779"/>
      <c r="AO728" s="779"/>
    </row>
    <row r="729" spans="1:41" s="267" customFormat="1" ht="15.75" thickBot="1" x14ac:dyDescent="0.3">
      <c r="A729" s="1061"/>
      <c r="B729" s="295" t="s">
        <v>79</v>
      </c>
      <c r="C729" s="302">
        <v>164000</v>
      </c>
      <c r="D729" s="263">
        <v>109880</v>
      </c>
      <c r="E729" s="302">
        <v>109880</v>
      </c>
      <c r="F729" s="308">
        <v>328000</v>
      </c>
      <c r="G729" s="308">
        <v>330905</v>
      </c>
      <c r="H729" s="308">
        <v>264264</v>
      </c>
      <c r="I729" s="308">
        <v>242663.6</v>
      </c>
      <c r="J729" s="375">
        <v>328000</v>
      </c>
      <c r="K729" s="375">
        <v>328000</v>
      </c>
      <c r="L729" s="263">
        <v>328000</v>
      </c>
      <c r="M729" s="302">
        <v>328000</v>
      </c>
      <c r="N729" s="308">
        <v>264264.40000000002</v>
      </c>
      <c r="O729" s="308">
        <v>328000</v>
      </c>
      <c r="P729" s="308">
        <v>352965.4</v>
      </c>
      <c r="Q729" s="375">
        <v>328000</v>
      </c>
      <c r="R729" s="375">
        <v>328000</v>
      </c>
      <c r="S729" s="263">
        <v>328000</v>
      </c>
      <c r="T729" s="322">
        <f>2*T724</f>
        <v>110302</v>
      </c>
      <c r="U729" s="263">
        <f>2*U724</f>
        <v>66181</v>
      </c>
      <c r="V729" s="70"/>
      <c r="W729" s="70"/>
      <c r="X729" s="70"/>
      <c r="Y729" s="70"/>
      <c r="Z729" s="70"/>
      <c r="AA729" s="490"/>
      <c r="AB729" s="344" t="s">
        <v>3</v>
      </c>
      <c r="AC729" s="395">
        <f>AC728/AC727</f>
        <v>0.96118279335929857</v>
      </c>
      <c r="AD729" s="635"/>
      <c r="AE729" s="635"/>
      <c r="AF729" s="635"/>
      <c r="AG729" s="635"/>
      <c r="AH729" s="635"/>
      <c r="AI729" s="635"/>
      <c r="AJ729" s="301">
        <f>AJ728/AJ727</f>
        <v>0.98993305627479555</v>
      </c>
      <c r="AK729" s="401">
        <f>AK728/AK727</f>
        <v>0</v>
      </c>
      <c r="AL729" s="400">
        <f>AL728/AL727</f>
        <v>0.98997657332259903</v>
      </c>
      <c r="AM729" s="348">
        <f>AM728/AM727</f>
        <v>3.4072324186807199E-3</v>
      </c>
      <c r="AN729" s="780"/>
      <c r="AO729" s="780"/>
    </row>
    <row r="730" spans="1:41" s="267" customFormat="1" ht="15" customHeight="1" x14ac:dyDescent="0.25">
      <c r="A730" s="1061"/>
      <c r="B730" s="293" t="s">
        <v>8</v>
      </c>
      <c r="C730" s="303">
        <f>SUM(C727-271)</f>
        <v>5599</v>
      </c>
      <c r="D730" s="262">
        <f>SUM(D727-468)</f>
        <v>2865</v>
      </c>
      <c r="E730" s="303">
        <f>SUM(E727-435)</f>
        <v>2895</v>
      </c>
      <c r="F730" s="309">
        <f>SUM(F727-1130)</f>
        <v>8327</v>
      </c>
      <c r="G730" s="309">
        <f>SUM(G727-4523)</f>
        <v>3818</v>
      </c>
      <c r="H730" s="309">
        <f>SUM(H727-2041)</f>
        <v>13662</v>
      </c>
      <c r="I730" s="309">
        <f>SUM(I727-(3363-2000))</f>
        <v>6834</v>
      </c>
      <c r="J730" s="316">
        <f>SUM(J727-9012)</f>
        <v>587</v>
      </c>
      <c r="K730" s="316">
        <f>SUM(K727-1147)</f>
        <v>2926</v>
      </c>
      <c r="L730" s="262">
        <f>SUM(L727-4819)</f>
        <v>1580</v>
      </c>
      <c r="M730" s="303">
        <f>SUM(M727-754)</f>
        <v>8338</v>
      </c>
      <c r="N730" s="309">
        <f>SUM(N727-986)</f>
        <v>10937</v>
      </c>
      <c r="O730" s="316">
        <f>SUM(O727-300)</f>
        <v>3965</v>
      </c>
      <c r="P730" s="309">
        <f>SUM(P727-(5168-2614))</f>
        <v>8298</v>
      </c>
      <c r="Q730" s="316">
        <f>SUM(Q727-3764)</f>
        <v>1035</v>
      </c>
      <c r="R730" s="316">
        <f>SUM(R727-4278)</f>
        <v>2914</v>
      </c>
      <c r="S730" s="262">
        <f>SUM(S727-2778)</f>
        <v>3621</v>
      </c>
      <c r="T730" s="323">
        <f>SUM(T727-951)</f>
        <v>1529</v>
      </c>
      <c r="U730" s="262">
        <f>SUM(U727-596)</f>
        <v>974</v>
      </c>
      <c r="V730" s="12" t="s">
        <v>176</v>
      </c>
      <c r="W730" s="70"/>
      <c r="X730" s="70"/>
      <c r="Y730" s="70"/>
      <c r="Z730" s="70"/>
      <c r="AA730" s="488" t="s">
        <v>191</v>
      </c>
      <c r="AB730" s="19" t="s">
        <v>4</v>
      </c>
      <c r="AC730" s="318">
        <v>97433.600000000006</v>
      </c>
      <c r="AD730" s="544"/>
      <c r="AE730" s="544"/>
      <c r="AF730" s="544"/>
      <c r="AG730" s="544"/>
      <c r="AH730" s="544"/>
      <c r="AI730" s="544"/>
      <c r="AJ730" s="299">
        <v>243584.4</v>
      </c>
      <c r="AK730" s="265">
        <v>132070.29999999999</v>
      </c>
      <c r="AL730" s="397">
        <v>292299.3</v>
      </c>
      <c r="AM730" s="393">
        <v>132070.39999999999</v>
      </c>
      <c r="AN730" s="778"/>
      <c r="AO730" s="778"/>
    </row>
    <row r="731" spans="1:41" s="267" customFormat="1" x14ac:dyDescent="0.25">
      <c r="A731" s="1061"/>
      <c r="B731" s="296" t="s">
        <v>77</v>
      </c>
      <c r="C731" s="302">
        <f>(C730*33.717)</f>
        <v>188781.48300000001</v>
      </c>
      <c r="D731" s="338">
        <f>(D730*33.717)</f>
        <v>96599.205000000002</v>
      </c>
      <c r="E731" s="302">
        <f>(E730*33.717)</f>
        <v>97610.714999999997</v>
      </c>
      <c r="F731" s="338">
        <f>(F730*33.717)</f>
        <v>280761.45899999997</v>
      </c>
      <c r="G731" s="280">
        <f>(G730*33.717)*2</f>
        <v>257463.01199999999</v>
      </c>
      <c r="H731" s="280">
        <f>(H730*33.717)</f>
        <v>460641.65399999998</v>
      </c>
      <c r="I731" s="280">
        <f>(I730*33.717)-(2000*33.717)</f>
        <v>162987.978</v>
      </c>
      <c r="J731" s="376">
        <f>J730*33.717</f>
        <v>19791.879000000001</v>
      </c>
      <c r="K731" s="376">
        <f>K730*33.717</f>
        <v>98655.941999999995</v>
      </c>
      <c r="L731" s="261">
        <f>L730*33.717</f>
        <v>53272.86</v>
      </c>
      <c r="M731" s="304">
        <f>M730*33.717</f>
        <v>281132.34599999996</v>
      </c>
      <c r="N731" s="280">
        <f>N730*33.717</f>
        <v>368762.82899999997</v>
      </c>
      <c r="O731" s="280">
        <f>(O730*33.717)</f>
        <v>133687.905</v>
      </c>
      <c r="P731" s="280">
        <f t="shared" ref="P731:U731" si="236">P730*33.717</f>
        <v>279783.66599999997</v>
      </c>
      <c r="Q731" s="376">
        <f t="shared" si="236"/>
        <v>34897.095000000001</v>
      </c>
      <c r="R731" s="376">
        <f t="shared" si="236"/>
        <v>98251.338000000003</v>
      </c>
      <c r="S731" s="261">
        <f t="shared" si="236"/>
        <v>122089.257</v>
      </c>
      <c r="T731" s="324">
        <f t="shared" si="236"/>
        <v>51553.292999999998</v>
      </c>
      <c r="U731" s="325">
        <f t="shared" si="236"/>
        <v>32840.358</v>
      </c>
      <c r="V731" s="63">
        <f>344240-H731</f>
        <v>-116401.65399999998</v>
      </c>
      <c r="W731" s="70" t="s">
        <v>177</v>
      </c>
      <c r="X731" s="70"/>
      <c r="Y731" s="70"/>
      <c r="Z731" s="70"/>
      <c r="AA731" s="489"/>
      <c r="AB731" s="293" t="s">
        <v>5</v>
      </c>
      <c r="AC731" s="319">
        <v>38973.199999999997</v>
      </c>
      <c r="AD731" s="936"/>
      <c r="AE731" s="936"/>
      <c r="AF731" s="936"/>
      <c r="AG731" s="936"/>
      <c r="AH731" s="936"/>
      <c r="AI731" s="936"/>
      <c r="AJ731" s="300">
        <v>95895.7</v>
      </c>
      <c r="AK731" s="264">
        <v>0.1</v>
      </c>
      <c r="AL731" s="398">
        <v>93978.8</v>
      </c>
      <c r="AM731" s="394">
        <v>1</v>
      </c>
      <c r="AN731" s="779"/>
      <c r="AO731" s="779"/>
    </row>
    <row r="732" spans="1:41" s="267" customFormat="1" ht="15.75" thickBot="1" x14ac:dyDescent="0.3">
      <c r="A732" s="1062"/>
      <c r="B732" s="294" t="s">
        <v>10</v>
      </c>
      <c r="C732" s="305">
        <f>C731/C724</f>
        <v>1.3165320692083993</v>
      </c>
      <c r="D732" s="292">
        <f t="shared" ref="D732:U732" si="237">D731/D724</f>
        <v>0.64178396815768612</v>
      </c>
      <c r="E732" s="310">
        <f t="shared" si="237"/>
        <v>0.64850421913315925</v>
      </c>
      <c r="F732" s="282">
        <f t="shared" si="237"/>
        <v>1.542655550476157</v>
      </c>
      <c r="G732" s="282">
        <f t="shared" si="237"/>
        <v>1.5561049600038681</v>
      </c>
      <c r="H732" s="282">
        <f t="shared" si="237"/>
        <v>3.4861995309268168</v>
      </c>
      <c r="I732" s="282">
        <f t="shared" si="237"/>
        <v>0.95332112446379036</v>
      </c>
      <c r="J732" s="377">
        <f t="shared" si="237"/>
        <v>0.11962200255660957</v>
      </c>
      <c r="K732" s="377">
        <f t="shared" si="237"/>
        <v>1.0675709759380856</v>
      </c>
      <c r="L732" s="311">
        <f t="shared" si="237"/>
        <v>0.24747399154071814</v>
      </c>
      <c r="M732" s="310">
        <f t="shared" si="237"/>
        <v>1.4564246841538397</v>
      </c>
      <c r="N732" s="282">
        <f t="shared" si="237"/>
        <v>0.86883801229030222</v>
      </c>
      <c r="O732" s="282">
        <f t="shared" si="237"/>
        <v>1.6160207841250576</v>
      </c>
      <c r="P732" s="260">
        <f t="shared" si="237"/>
        <v>1.0146095845950209</v>
      </c>
      <c r="Q732" s="377">
        <f t="shared" si="237"/>
        <v>0.4218364468018751</v>
      </c>
      <c r="R732" s="377">
        <f t="shared" si="237"/>
        <v>0.5198989637086362</v>
      </c>
      <c r="S732" s="311">
        <f t="shared" si="237"/>
        <v>0.56715400213224076</v>
      </c>
      <c r="T732" s="305">
        <f t="shared" si="237"/>
        <v>0.93476624177258794</v>
      </c>
      <c r="U732" s="292">
        <f t="shared" si="237"/>
        <v>0.99244067028301175</v>
      </c>
      <c r="V732" s="126"/>
      <c r="W732" s="70"/>
      <c r="X732" s="70"/>
      <c r="Y732" s="70"/>
      <c r="Z732" s="70"/>
      <c r="AA732" s="490"/>
      <c r="AB732" s="294" t="s">
        <v>3</v>
      </c>
      <c r="AC732" s="320">
        <f>AC731/AC730</f>
        <v>0.39999753678402516</v>
      </c>
      <c r="AD732" s="545"/>
      <c r="AE732" s="545"/>
      <c r="AF732" s="545"/>
      <c r="AG732" s="545"/>
      <c r="AH732" s="545"/>
      <c r="AI732" s="545"/>
      <c r="AJ732" s="305">
        <f>AJ731/AJ730</f>
        <v>0.39368572043201455</v>
      </c>
      <c r="AK732" s="292">
        <f>AK731/AK730</f>
        <v>7.5717250585483648E-7</v>
      </c>
      <c r="AL732" s="399">
        <f>AL731/AL730</f>
        <v>0.32151565193621745</v>
      </c>
      <c r="AM732" s="343">
        <f>AM731/AM730</f>
        <v>7.5717193254506694E-6</v>
      </c>
      <c r="AN732" s="780"/>
      <c r="AO732" s="780"/>
    </row>
    <row r="733" spans="1:41" s="267" customFormat="1" ht="15.75" thickBot="1" x14ac:dyDescent="0.3">
      <c r="A733" s="1048">
        <v>41589</v>
      </c>
      <c r="B733" s="1048"/>
      <c r="C733" s="1048"/>
      <c r="D733" s="276"/>
      <c r="E733" s="276"/>
      <c r="F733" s="276"/>
      <c r="G733" s="276"/>
      <c r="H733" s="276"/>
      <c r="I733" s="11"/>
      <c r="J733" s="281"/>
      <c r="K733" s="281"/>
      <c r="L733" s="276"/>
      <c r="M733" s="276"/>
      <c r="N733" s="13"/>
      <c r="R733" s="12"/>
      <c r="S733" s="70"/>
      <c r="T733" s="70"/>
      <c r="U733" s="70"/>
      <c r="V733" s="70"/>
      <c r="W733" s="70"/>
      <c r="X733" s="70"/>
      <c r="Y733" s="70"/>
      <c r="Z733" s="70"/>
      <c r="AA733" s="1063"/>
      <c r="AB733" s="1064"/>
      <c r="AD733" s="743"/>
      <c r="AE733" s="743"/>
      <c r="AF733" s="743"/>
      <c r="AG733" s="743"/>
      <c r="AH733" s="743"/>
      <c r="AI733" s="743"/>
      <c r="AN733" s="743"/>
      <c r="AO733" s="743"/>
    </row>
    <row r="734" spans="1:41" s="267" customFormat="1" x14ac:dyDescent="0.25">
      <c r="A734" s="1049" t="s">
        <v>1</v>
      </c>
      <c r="B734" s="1050"/>
      <c r="C734" s="297" t="s">
        <v>12</v>
      </c>
      <c r="D734" s="266" t="s">
        <v>12</v>
      </c>
      <c r="E734" s="297" t="s">
        <v>13</v>
      </c>
      <c r="F734" s="277" t="s">
        <v>13</v>
      </c>
      <c r="G734" s="277" t="s">
        <v>13</v>
      </c>
      <c r="H734" s="277" t="s">
        <v>13</v>
      </c>
      <c r="I734" s="277" t="s">
        <v>13</v>
      </c>
      <c r="J734" s="286" t="s">
        <v>13</v>
      </c>
      <c r="K734" s="286" t="s">
        <v>13</v>
      </c>
      <c r="L734" s="266" t="s">
        <v>13</v>
      </c>
      <c r="M734" s="297" t="s">
        <v>2</v>
      </c>
      <c r="N734" s="277" t="s">
        <v>2</v>
      </c>
      <c r="O734" s="286" t="s">
        <v>2</v>
      </c>
      <c r="P734" s="277" t="s">
        <v>2</v>
      </c>
      <c r="Q734" s="286" t="s">
        <v>2</v>
      </c>
      <c r="R734" s="286" t="s">
        <v>2</v>
      </c>
      <c r="S734" s="266" t="s">
        <v>2</v>
      </c>
      <c r="T734" s="328" t="s">
        <v>183</v>
      </c>
      <c r="U734" s="327" t="s">
        <v>183</v>
      </c>
      <c r="V734" s="12"/>
      <c r="W734" s="70"/>
      <c r="X734" s="70"/>
      <c r="Y734" s="70"/>
      <c r="Z734" s="70"/>
      <c r="AA734" s="1049" t="s">
        <v>1</v>
      </c>
      <c r="AB734" s="1051"/>
      <c r="AC734" s="486" t="s">
        <v>12</v>
      </c>
      <c r="AD734" s="912"/>
      <c r="AE734" s="912"/>
      <c r="AF734" s="912"/>
      <c r="AG734" s="912"/>
      <c r="AH734" s="912"/>
      <c r="AI734" s="912"/>
      <c r="AJ734" s="1052" t="s">
        <v>13</v>
      </c>
      <c r="AK734" s="1053"/>
      <c r="AL734" s="1052" t="s">
        <v>2</v>
      </c>
      <c r="AM734" s="1053"/>
      <c r="AN734" s="776"/>
      <c r="AO734" s="776"/>
    </row>
    <row r="735" spans="1:41" s="267" customFormat="1" ht="15.75" thickBot="1" x14ac:dyDescent="0.3">
      <c r="A735" s="1054" t="s">
        <v>0</v>
      </c>
      <c r="B735" s="1066"/>
      <c r="C735" s="298" t="s">
        <v>99</v>
      </c>
      <c r="D735" s="291" t="s">
        <v>100</v>
      </c>
      <c r="E735" s="298" t="s">
        <v>101</v>
      </c>
      <c r="F735" s="306" t="s">
        <v>102</v>
      </c>
      <c r="G735" s="306" t="s">
        <v>97</v>
      </c>
      <c r="H735" s="306" t="s">
        <v>104</v>
      </c>
      <c r="I735" s="306" t="s">
        <v>103</v>
      </c>
      <c r="J735" s="378" t="s">
        <v>178</v>
      </c>
      <c r="K735" s="378" t="s">
        <v>199</v>
      </c>
      <c r="L735" s="314" t="s">
        <v>206</v>
      </c>
      <c r="M735" s="298" t="s">
        <v>105</v>
      </c>
      <c r="N735" s="306" t="s">
        <v>107</v>
      </c>
      <c r="O735" s="312" t="s">
        <v>98</v>
      </c>
      <c r="P735" s="313" t="s">
        <v>106</v>
      </c>
      <c r="Q735" s="312" t="s">
        <v>179</v>
      </c>
      <c r="R735" s="312" t="s">
        <v>198</v>
      </c>
      <c r="S735" s="291" t="s">
        <v>207</v>
      </c>
      <c r="T735" s="317" t="s">
        <v>182</v>
      </c>
      <c r="U735" s="291" t="s">
        <v>184</v>
      </c>
      <c r="V735" s="12"/>
      <c r="W735" s="12"/>
      <c r="X735" s="12"/>
      <c r="Y735" s="12"/>
      <c r="Z735" s="12"/>
      <c r="AA735" s="1054" t="s">
        <v>0</v>
      </c>
      <c r="AB735" s="1067"/>
      <c r="AC735" s="317" t="s">
        <v>99</v>
      </c>
      <c r="AD735" s="621"/>
      <c r="AE735" s="621"/>
      <c r="AF735" s="621"/>
      <c r="AG735" s="621"/>
      <c r="AH735" s="621"/>
      <c r="AI735" s="621"/>
      <c r="AJ735" s="298" t="s">
        <v>104</v>
      </c>
      <c r="AK735" s="291" t="s">
        <v>206</v>
      </c>
      <c r="AL735" s="396" t="s">
        <v>107</v>
      </c>
      <c r="AM735" s="392" t="s">
        <v>207</v>
      </c>
      <c r="AN735" s="777"/>
      <c r="AO735" s="777"/>
    </row>
    <row r="736" spans="1:41" s="267" customFormat="1" ht="15" customHeight="1" x14ac:dyDescent="0.25">
      <c r="A736" s="1057" t="s">
        <v>9</v>
      </c>
      <c r="B736" s="19" t="s">
        <v>4</v>
      </c>
      <c r="C736" s="299">
        <v>143393</v>
      </c>
      <c r="D736" s="265">
        <v>150516.70000000001</v>
      </c>
      <c r="E736" s="299">
        <v>150516.70000000001</v>
      </c>
      <c r="F736" s="283">
        <v>181998.8</v>
      </c>
      <c r="G736" s="283">
        <v>165453.5</v>
      </c>
      <c r="H736" s="283">
        <v>132132.9</v>
      </c>
      <c r="I736" s="283">
        <v>170968.6</v>
      </c>
      <c r="J736" s="223">
        <v>165453.5</v>
      </c>
      <c r="K736" s="223">
        <v>92411.6</v>
      </c>
      <c r="L736" s="265">
        <f>83196.1+132070.4</f>
        <v>215266.5</v>
      </c>
      <c r="M736" s="299">
        <v>193029.1</v>
      </c>
      <c r="N736" s="283">
        <f>132132.9+292299.3</f>
        <v>424432.19999999995</v>
      </c>
      <c r="O736" s="283">
        <v>82726.600000000006</v>
      </c>
      <c r="P736" s="283">
        <v>275755</v>
      </c>
      <c r="Q736" s="223">
        <v>82726.600000000006</v>
      </c>
      <c r="R736" s="223">
        <v>188981.6</v>
      </c>
      <c r="S736" s="265">
        <f>83196.1+132070.4</f>
        <v>215266.5</v>
      </c>
      <c r="T736" s="318">
        <v>55151</v>
      </c>
      <c r="U736" s="265">
        <v>33090.5</v>
      </c>
      <c r="V736" s="70"/>
      <c r="W736" s="70"/>
      <c r="X736" s="70"/>
      <c r="Y736" s="70"/>
      <c r="Z736" s="70"/>
      <c r="AA736" s="483" t="s">
        <v>194</v>
      </c>
      <c r="AB736" s="2" t="s">
        <v>4</v>
      </c>
      <c r="AC736" s="318">
        <v>143392.20000000001</v>
      </c>
      <c r="AD736" s="544"/>
      <c r="AE736" s="544"/>
      <c r="AF736" s="544"/>
      <c r="AG736" s="544"/>
      <c r="AH736" s="544"/>
      <c r="AI736" s="544"/>
      <c r="AJ736" s="299">
        <v>132132</v>
      </c>
      <c r="AK736" s="265">
        <v>83196.100000000006</v>
      </c>
      <c r="AL736" s="397">
        <v>132132.20000000001</v>
      </c>
      <c r="AM736" s="393">
        <v>83196.100000000006</v>
      </c>
      <c r="AN736" s="778"/>
      <c r="AO736" s="778"/>
    </row>
    <row r="737" spans="1:41" s="267" customFormat="1" x14ac:dyDescent="0.25">
      <c r="A737" s="1058"/>
      <c r="B737" s="293" t="s">
        <v>5</v>
      </c>
      <c r="C737" s="300">
        <v>49201.7</v>
      </c>
      <c r="D737" s="264">
        <v>81110.7</v>
      </c>
      <c r="E737" s="300">
        <v>82481.5</v>
      </c>
      <c r="F737" s="307">
        <v>152340.29999999999</v>
      </c>
      <c r="G737" s="307">
        <v>115967.1</v>
      </c>
      <c r="H737" s="307">
        <v>64385.2</v>
      </c>
      <c r="I737" s="307">
        <v>104578</v>
      </c>
      <c r="J737" s="374">
        <v>25898.3</v>
      </c>
      <c r="K737" s="374">
        <v>51797.4</v>
      </c>
      <c r="L737" s="264">
        <f>1718.7+1938.6</f>
        <v>3657.3</v>
      </c>
      <c r="M737" s="300">
        <v>161983.4</v>
      </c>
      <c r="N737" s="307">
        <f xml:space="preserve"> 67068.7+100570.3</f>
        <v>167639</v>
      </c>
      <c r="O737" s="307">
        <v>59728.6</v>
      </c>
      <c r="P737" s="307">
        <v>188466.5</v>
      </c>
      <c r="Q737" s="374">
        <v>13504.9</v>
      </c>
      <c r="R737" s="374">
        <v>83217</v>
      </c>
      <c r="S737" s="264">
        <f>28345.6+ 17783.6</f>
        <v>46129.2</v>
      </c>
      <c r="T737" s="319">
        <v>13363.3</v>
      </c>
      <c r="U737" s="264">
        <v>6641.1</v>
      </c>
      <c r="V737" s="70"/>
      <c r="W737" s="70"/>
      <c r="X737" s="70"/>
      <c r="Y737" s="70"/>
      <c r="Z737" s="70"/>
      <c r="AA737" s="484"/>
      <c r="AB737" s="342" t="s">
        <v>5</v>
      </c>
      <c r="AC737" s="319">
        <v>43401.8</v>
      </c>
      <c r="AD737" s="936"/>
      <c r="AE737" s="936"/>
      <c r="AF737" s="936"/>
      <c r="AG737" s="936"/>
      <c r="AH737" s="936"/>
      <c r="AI737" s="936"/>
      <c r="AJ737" s="300">
        <v>58695.3</v>
      </c>
      <c r="AK737" s="264">
        <v>4.7</v>
      </c>
      <c r="AL737" s="398">
        <v>55118.9</v>
      </c>
      <c r="AM737" s="394">
        <v>4.5</v>
      </c>
      <c r="AN737" s="779"/>
      <c r="AO737" s="779"/>
    </row>
    <row r="738" spans="1:41" s="267" customFormat="1" ht="15.75" thickBot="1" x14ac:dyDescent="0.3">
      <c r="A738" s="1059"/>
      <c r="B738" s="294" t="s">
        <v>3</v>
      </c>
      <c r="C738" s="305">
        <f t="shared" ref="C738:L738" si="238">C737/C736</f>
        <v>0.34312483872992405</v>
      </c>
      <c r="D738" s="343">
        <f t="shared" si="238"/>
        <v>0.53888173206029621</v>
      </c>
      <c r="E738" s="305">
        <f t="shared" si="238"/>
        <v>0.54798902713120867</v>
      </c>
      <c r="F738" s="371">
        <f t="shared" si="238"/>
        <v>0.83704013433055602</v>
      </c>
      <c r="G738" s="278">
        <f t="shared" si="238"/>
        <v>0.70090448373712255</v>
      </c>
      <c r="H738" s="278">
        <f t="shared" si="238"/>
        <v>0.48727606826157605</v>
      </c>
      <c r="I738" s="278">
        <f t="shared" si="238"/>
        <v>0.61167957157045205</v>
      </c>
      <c r="J738" s="315">
        <f t="shared" si="238"/>
        <v>0.15652917587116622</v>
      </c>
      <c r="K738" s="315">
        <f t="shared" si="238"/>
        <v>0.56050755532855179</v>
      </c>
      <c r="L738" s="292">
        <f t="shared" si="238"/>
        <v>1.69896384249291E-2</v>
      </c>
      <c r="M738" s="372">
        <f>M737/M736</f>
        <v>0.83916570092281417</v>
      </c>
      <c r="N738" s="278">
        <f>N737/N736</f>
        <v>0.39497238899404902</v>
      </c>
      <c r="O738" s="315">
        <f>O737/O736</f>
        <v>0.72199993714234589</v>
      </c>
      <c r="P738" s="278">
        <f>P737/P736</f>
        <v>0.68345632898768838</v>
      </c>
      <c r="Q738" s="315">
        <f>Q737/Q736</f>
        <v>0.16324737146214155</v>
      </c>
      <c r="R738" s="315">
        <f t="shared" ref="R738:S738" si="239">R737/R736</f>
        <v>0.44034445681484335</v>
      </c>
      <c r="S738" s="292">
        <f t="shared" si="239"/>
        <v>0.21428880016166008</v>
      </c>
      <c r="T738" s="320">
        <f>T737/T736</f>
        <v>0.24230385668437562</v>
      </c>
      <c r="U738" s="292">
        <f>U737/U736</f>
        <v>0.20069506353787342</v>
      </c>
      <c r="V738" s="70"/>
      <c r="W738" s="70"/>
      <c r="X738" s="70"/>
      <c r="Y738" s="70"/>
      <c r="Z738" s="70"/>
      <c r="AA738" s="485"/>
      <c r="AB738" s="347" t="s">
        <v>3</v>
      </c>
      <c r="AC738" s="395">
        <f>AC737/AC736</f>
        <v>0.302678946274623</v>
      </c>
      <c r="AD738" s="635"/>
      <c r="AE738" s="635"/>
      <c r="AF738" s="635"/>
      <c r="AG738" s="635"/>
      <c r="AH738" s="635"/>
      <c r="AI738" s="635"/>
      <c r="AJ738" s="305">
        <f>AJ737/AJ736</f>
        <v>0.44421714648987376</v>
      </c>
      <c r="AK738" s="292">
        <f>AK737/AK736</f>
        <v>5.6493032726293656E-5</v>
      </c>
      <c r="AL738" s="399">
        <f>AL737/AL736</f>
        <v>0.41714964255495629</v>
      </c>
      <c r="AM738" s="343">
        <f>AM737/AM736</f>
        <v>5.4089073886876906E-5</v>
      </c>
      <c r="AN738" s="780"/>
      <c r="AO738" s="780"/>
    </row>
    <row r="739" spans="1:41" s="429" customFormat="1" ht="15" customHeight="1" x14ac:dyDescent="0.25">
      <c r="A739" s="1060" t="s">
        <v>6</v>
      </c>
      <c r="B739" s="418" t="s">
        <v>7</v>
      </c>
      <c r="C739" s="419">
        <v>5870</v>
      </c>
      <c r="D739" s="420">
        <v>3333</v>
      </c>
      <c r="E739" s="419">
        <v>3330</v>
      </c>
      <c r="F739" s="421">
        <v>9457</v>
      </c>
      <c r="G739" s="421">
        <v>8341</v>
      </c>
      <c r="H739" s="421">
        <v>15703</v>
      </c>
      <c r="I739" s="421">
        <v>8197</v>
      </c>
      <c r="J739" s="423">
        <v>9599</v>
      </c>
      <c r="K739" s="423">
        <v>4073</v>
      </c>
      <c r="L739" s="420">
        <v>6399</v>
      </c>
      <c r="M739" s="419">
        <v>9092</v>
      </c>
      <c r="N739" s="421">
        <v>11923</v>
      </c>
      <c r="O739" s="421">
        <v>4265</v>
      </c>
      <c r="P739" s="421">
        <v>10852</v>
      </c>
      <c r="Q739" s="423">
        <v>4799</v>
      </c>
      <c r="R739" s="423">
        <v>7192</v>
      </c>
      <c r="S739" s="420">
        <v>6399</v>
      </c>
      <c r="T739" s="424">
        <v>2480</v>
      </c>
      <c r="U739" s="420">
        <v>1570</v>
      </c>
      <c r="V739" s="425" t="s">
        <v>197</v>
      </c>
      <c r="W739" s="426"/>
      <c r="X739" s="427"/>
      <c r="Y739" s="427"/>
      <c r="Z739" s="427"/>
      <c r="AA739" s="428" t="s">
        <v>190</v>
      </c>
      <c r="AB739" s="418" t="s">
        <v>4</v>
      </c>
      <c r="AC739" s="430">
        <v>9191.7999999999993</v>
      </c>
      <c r="AD739" s="564"/>
      <c r="AE739" s="564"/>
      <c r="AF739" s="564"/>
      <c r="AG739" s="564"/>
      <c r="AH739" s="564"/>
      <c r="AI739" s="564"/>
      <c r="AJ739" s="431">
        <v>13787.7</v>
      </c>
      <c r="AK739" s="432">
        <v>8804.7999999999993</v>
      </c>
      <c r="AL739" s="433">
        <v>13787.7</v>
      </c>
      <c r="AM739" s="434">
        <v>8804.7999999999993</v>
      </c>
      <c r="AN739" s="781"/>
      <c r="AO739" s="781"/>
    </row>
    <row r="740" spans="1:41" s="267" customFormat="1" x14ac:dyDescent="0.25">
      <c r="A740" s="1061"/>
      <c r="B740" s="295" t="s">
        <v>11</v>
      </c>
      <c r="C740" s="302">
        <f t="shared" ref="C740:L740" si="240">C739*33.717</f>
        <v>197918.78999999998</v>
      </c>
      <c r="D740" s="263">
        <f t="shared" si="240"/>
        <v>112378.761</v>
      </c>
      <c r="E740" s="302">
        <f t="shared" si="240"/>
        <v>112277.61</v>
      </c>
      <c r="F740" s="355">
        <f t="shared" si="240"/>
        <v>318861.66899999999</v>
      </c>
      <c r="G740" s="308">
        <f t="shared" si="240"/>
        <v>281233.49699999997</v>
      </c>
      <c r="H740" s="354">
        <f t="shared" si="240"/>
        <v>529458.05099999998</v>
      </c>
      <c r="I740" s="354">
        <f t="shared" si="240"/>
        <v>276378.24900000001</v>
      </c>
      <c r="J740" s="355">
        <f t="shared" si="240"/>
        <v>323649.48300000001</v>
      </c>
      <c r="K740" s="375">
        <f t="shared" si="240"/>
        <v>137329.34099999999</v>
      </c>
      <c r="L740" s="263">
        <f t="shared" si="240"/>
        <v>215755.08299999998</v>
      </c>
      <c r="M740" s="322">
        <f>M739*33.717</f>
        <v>306554.96399999998</v>
      </c>
      <c r="N740" s="308">
        <f>N739*33.717</f>
        <v>402007.79099999997</v>
      </c>
      <c r="O740" s="308">
        <f>O739*33.717</f>
        <v>143803.005</v>
      </c>
      <c r="P740" s="354">
        <f>P739*33.717</f>
        <v>365896.88399999996</v>
      </c>
      <c r="Q740" s="355">
        <f>Q739*33.717</f>
        <v>161807.883</v>
      </c>
      <c r="R740" s="375">
        <f t="shared" ref="R740:S740" si="241">R739*33.717</f>
        <v>242492.66399999999</v>
      </c>
      <c r="S740" s="263">
        <f t="shared" si="241"/>
        <v>215755.08299999998</v>
      </c>
      <c r="T740" s="302">
        <f>T739*33.717</f>
        <v>83618.16</v>
      </c>
      <c r="U740" s="354">
        <f>U739*33.717</f>
        <v>52935.689999999995</v>
      </c>
      <c r="V740" s="70"/>
      <c r="W740" s="70"/>
      <c r="X740" s="70"/>
      <c r="Y740" s="70"/>
      <c r="Z740" s="70"/>
      <c r="AA740" s="484"/>
      <c r="AB740" s="293" t="s">
        <v>5</v>
      </c>
      <c r="AC740" s="319">
        <v>8835</v>
      </c>
      <c r="AD740" s="936"/>
      <c r="AE740" s="936"/>
      <c r="AF740" s="936"/>
      <c r="AG740" s="936"/>
      <c r="AH740" s="936"/>
      <c r="AI740" s="936"/>
      <c r="AJ740" s="300">
        <v>13648.9</v>
      </c>
      <c r="AK740" s="264">
        <v>0</v>
      </c>
      <c r="AL740" s="398">
        <v>13649.5</v>
      </c>
      <c r="AM740" s="394">
        <v>30</v>
      </c>
      <c r="AN740" s="779"/>
      <c r="AO740" s="779"/>
    </row>
    <row r="741" spans="1:41" s="267" customFormat="1" ht="15.75" thickBot="1" x14ac:dyDescent="0.3">
      <c r="A741" s="1061"/>
      <c r="B741" s="295" t="s">
        <v>79</v>
      </c>
      <c r="C741" s="302">
        <v>164000</v>
      </c>
      <c r="D741" s="263">
        <v>109880</v>
      </c>
      <c r="E741" s="302">
        <v>109880</v>
      </c>
      <c r="F741" s="308">
        <v>328000</v>
      </c>
      <c r="G741" s="308">
        <v>330905</v>
      </c>
      <c r="H741" s="308">
        <v>264264</v>
      </c>
      <c r="I741" s="308">
        <v>242663.6</v>
      </c>
      <c r="J741" s="375">
        <v>328000</v>
      </c>
      <c r="K741" s="375">
        <v>328000</v>
      </c>
      <c r="L741" s="263">
        <v>328000</v>
      </c>
      <c r="M741" s="302">
        <v>328000</v>
      </c>
      <c r="N741" s="308">
        <v>264264.40000000002</v>
      </c>
      <c r="O741" s="308">
        <v>328000</v>
      </c>
      <c r="P741" s="308">
        <v>352965.4</v>
      </c>
      <c r="Q741" s="375">
        <v>328000</v>
      </c>
      <c r="R741" s="375">
        <v>328000</v>
      </c>
      <c r="S741" s="263">
        <v>328000</v>
      </c>
      <c r="T741" s="322">
        <f>2*T736</f>
        <v>110302</v>
      </c>
      <c r="U741" s="263">
        <f>2*U736</f>
        <v>66181</v>
      </c>
      <c r="V741" s="70"/>
      <c r="W741" s="70"/>
      <c r="X741" s="70"/>
      <c r="Y741" s="70"/>
      <c r="Z741" s="70"/>
      <c r="AA741" s="485"/>
      <c r="AB741" s="344" t="s">
        <v>3</v>
      </c>
      <c r="AC741" s="395">
        <f>AC740/AC739</f>
        <v>0.96118279335929857</v>
      </c>
      <c r="AD741" s="635"/>
      <c r="AE741" s="635"/>
      <c r="AF741" s="635"/>
      <c r="AG741" s="635"/>
      <c r="AH741" s="635"/>
      <c r="AI741" s="635"/>
      <c r="AJ741" s="301">
        <f>AJ740/AJ739</f>
        <v>0.98993305627479555</v>
      </c>
      <c r="AK741" s="401">
        <f>AK740/AK739</f>
        <v>0</v>
      </c>
      <c r="AL741" s="400">
        <f>AL740/AL739</f>
        <v>0.98997657332259903</v>
      </c>
      <c r="AM741" s="348">
        <f>AM740/AM739</f>
        <v>3.4072324186807199E-3</v>
      </c>
      <c r="AN741" s="780"/>
      <c r="AO741" s="780"/>
    </row>
    <row r="742" spans="1:41" s="267" customFormat="1" ht="15" customHeight="1" x14ac:dyDescent="0.25">
      <c r="A742" s="1061"/>
      <c r="B742" s="293" t="s">
        <v>8</v>
      </c>
      <c r="C742" s="303">
        <f>SUM(C739-271)</f>
        <v>5599</v>
      </c>
      <c r="D742" s="262">
        <f>SUM(D739-468)</f>
        <v>2865</v>
      </c>
      <c r="E742" s="303">
        <f>SUM(E739-435)</f>
        <v>2895</v>
      </c>
      <c r="F742" s="309">
        <f>SUM(F739-1130)</f>
        <v>8327</v>
      </c>
      <c r="G742" s="309">
        <f>SUM(G739-4523)</f>
        <v>3818</v>
      </c>
      <c r="H742" s="309">
        <f>SUM(H739-2041)</f>
        <v>13662</v>
      </c>
      <c r="I742" s="309">
        <f>SUM(I739-(3439-2000))</f>
        <v>6758</v>
      </c>
      <c r="J742" s="316">
        <f>SUM(J739-9012)</f>
        <v>587</v>
      </c>
      <c r="K742" s="316">
        <f>SUM(K739-1163)</f>
        <v>2910</v>
      </c>
      <c r="L742" s="262">
        <f>SUM(L739-4855)</f>
        <v>1544</v>
      </c>
      <c r="M742" s="303">
        <f>SUM(M739-754)</f>
        <v>8338</v>
      </c>
      <c r="N742" s="309">
        <f>SUM(N739-986)</f>
        <v>10937</v>
      </c>
      <c r="O742" s="316">
        <f>SUM(O739-300)</f>
        <v>3965</v>
      </c>
      <c r="P742" s="309">
        <f>SUM(P739-(5244-2614))</f>
        <v>8222</v>
      </c>
      <c r="Q742" s="316">
        <f>SUM(Q739-3764)</f>
        <v>1035</v>
      </c>
      <c r="R742" s="316">
        <f>SUM(R739-4294)</f>
        <v>2898</v>
      </c>
      <c r="S742" s="262">
        <f>SUM(S739-2825)</f>
        <v>3574</v>
      </c>
      <c r="T742" s="323">
        <f>SUM(T739-951)</f>
        <v>1529</v>
      </c>
      <c r="U742" s="262">
        <f>SUM(U739-596)</f>
        <v>974</v>
      </c>
      <c r="V742" s="12" t="s">
        <v>176</v>
      </c>
      <c r="W742" s="70"/>
      <c r="X742" s="70"/>
      <c r="Y742" s="70"/>
      <c r="Z742" s="70"/>
      <c r="AA742" s="483" t="s">
        <v>191</v>
      </c>
      <c r="AB742" s="19" t="s">
        <v>4</v>
      </c>
      <c r="AC742" s="318">
        <v>97433.600000000006</v>
      </c>
      <c r="AD742" s="544"/>
      <c r="AE742" s="544"/>
      <c r="AF742" s="544"/>
      <c r="AG742" s="544"/>
      <c r="AH742" s="544"/>
      <c r="AI742" s="544"/>
      <c r="AJ742" s="299">
        <v>243584.4</v>
      </c>
      <c r="AK742" s="265">
        <v>132070.29999999999</v>
      </c>
      <c r="AL742" s="397">
        <v>292299.3</v>
      </c>
      <c r="AM742" s="393">
        <v>132070.39999999999</v>
      </c>
      <c r="AN742" s="778"/>
      <c r="AO742" s="778"/>
    </row>
    <row r="743" spans="1:41" s="267" customFormat="1" x14ac:dyDescent="0.25">
      <c r="A743" s="1061"/>
      <c r="B743" s="296" t="s">
        <v>77</v>
      </c>
      <c r="C743" s="302">
        <f>(C742*33.717)</f>
        <v>188781.48300000001</v>
      </c>
      <c r="D743" s="338">
        <f>(D742*33.717)</f>
        <v>96599.205000000002</v>
      </c>
      <c r="E743" s="302">
        <f>(E742*33.717)</f>
        <v>97610.714999999997</v>
      </c>
      <c r="F743" s="338">
        <f>(F742*33.717)</f>
        <v>280761.45899999997</v>
      </c>
      <c r="G743" s="280">
        <f>(G742*33.717)*2</f>
        <v>257463.01199999999</v>
      </c>
      <c r="H743" s="280">
        <f>(H742*33.717)</f>
        <v>460641.65399999998</v>
      </c>
      <c r="I743" s="280">
        <f>(I742*33.717)-(2000*33.717)</f>
        <v>160425.486</v>
      </c>
      <c r="J743" s="376">
        <f>J742*33.717</f>
        <v>19791.879000000001</v>
      </c>
      <c r="K743" s="376">
        <f>K742*33.717</f>
        <v>98116.47</v>
      </c>
      <c r="L743" s="261">
        <f>L742*33.717</f>
        <v>52059.047999999995</v>
      </c>
      <c r="M743" s="304">
        <f>M742*33.717</f>
        <v>281132.34599999996</v>
      </c>
      <c r="N743" s="280">
        <f>N742*33.717</f>
        <v>368762.82899999997</v>
      </c>
      <c r="O743" s="280">
        <f>(O742*33.717)</f>
        <v>133687.905</v>
      </c>
      <c r="P743" s="280">
        <f t="shared" ref="P743:U743" si="242">P742*33.717</f>
        <v>277221.174</v>
      </c>
      <c r="Q743" s="376">
        <f t="shared" si="242"/>
        <v>34897.095000000001</v>
      </c>
      <c r="R743" s="376">
        <f t="shared" si="242"/>
        <v>97711.865999999995</v>
      </c>
      <c r="S743" s="261">
        <f t="shared" si="242"/>
        <v>120504.55799999999</v>
      </c>
      <c r="T743" s="324">
        <f t="shared" si="242"/>
        <v>51553.292999999998</v>
      </c>
      <c r="U743" s="325">
        <f t="shared" si="242"/>
        <v>32840.358</v>
      </c>
      <c r="V743" s="63">
        <f>344240-H743</f>
        <v>-116401.65399999998</v>
      </c>
      <c r="W743" s="70" t="s">
        <v>177</v>
      </c>
      <c r="X743" s="70"/>
      <c r="Y743" s="70"/>
      <c r="Z743" s="70"/>
      <c r="AA743" s="484"/>
      <c r="AB743" s="293" t="s">
        <v>5</v>
      </c>
      <c r="AC743" s="319">
        <v>38973.199999999997</v>
      </c>
      <c r="AD743" s="936"/>
      <c r="AE743" s="936"/>
      <c r="AF743" s="936"/>
      <c r="AG743" s="936"/>
      <c r="AH743" s="936"/>
      <c r="AI743" s="936"/>
      <c r="AJ743" s="300">
        <v>95895.7</v>
      </c>
      <c r="AK743" s="264">
        <v>0.1</v>
      </c>
      <c r="AL743" s="398">
        <v>93978.8</v>
      </c>
      <c r="AM743" s="394">
        <v>1</v>
      </c>
      <c r="AN743" s="779"/>
      <c r="AO743" s="779"/>
    </row>
    <row r="744" spans="1:41" s="267" customFormat="1" ht="15.75" thickBot="1" x14ac:dyDescent="0.3">
      <c r="A744" s="1062"/>
      <c r="B744" s="294" t="s">
        <v>10</v>
      </c>
      <c r="C744" s="305">
        <f>C743/C736</f>
        <v>1.3165320692083993</v>
      </c>
      <c r="D744" s="292">
        <f t="shared" ref="D744:U744" si="243">D743/D736</f>
        <v>0.64178396815768612</v>
      </c>
      <c r="E744" s="310">
        <f t="shared" si="243"/>
        <v>0.64850421913315925</v>
      </c>
      <c r="F744" s="282">
        <f t="shared" si="243"/>
        <v>1.542655550476157</v>
      </c>
      <c r="G744" s="282">
        <f t="shared" si="243"/>
        <v>1.5561049600038681</v>
      </c>
      <c r="H744" s="282">
        <f t="shared" si="243"/>
        <v>3.4861995309268168</v>
      </c>
      <c r="I744" s="282">
        <f t="shared" si="243"/>
        <v>0.93833303893229514</v>
      </c>
      <c r="J744" s="377">
        <f t="shared" si="243"/>
        <v>0.11962200255660957</v>
      </c>
      <c r="K744" s="377">
        <f t="shared" si="243"/>
        <v>1.0617332672521631</v>
      </c>
      <c r="L744" s="311">
        <f t="shared" si="243"/>
        <v>0.24183534363219542</v>
      </c>
      <c r="M744" s="310">
        <f t="shared" si="243"/>
        <v>1.4564246841538397</v>
      </c>
      <c r="N744" s="282">
        <f t="shared" si="243"/>
        <v>0.86883801229030222</v>
      </c>
      <c r="O744" s="282">
        <f t="shared" si="243"/>
        <v>1.6160207841250576</v>
      </c>
      <c r="P744" s="260">
        <f t="shared" si="243"/>
        <v>1.0053169443890411</v>
      </c>
      <c r="Q744" s="377">
        <f t="shared" si="243"/>
        <v>0.4218364468018751</v>
      </c>
      <c r="R744" s="377">
        <f t="shared" si="243"/>
        <v>0.51704433659149884</v>
      </c>
      <c r="S744" s="311">
        <f t="shared" si="243"/>
        <v>0.55979243402944723</v>
      </c>
      <c r="T744" s="305">
        <f t="shared" si="243"/>
        <v>0.93476624177258794</v>
      </c>
      <c r="U744" s="292">
        <f t="shared" si="243"/>
        <v>0.99244067028301175</v>
      </c>
      <c r="V744" s="126"/>
      <c r="W744" s="70"/>
      <c r="X744" s="70"/>
      <c r="Y744" s="70"/>
      <c r="Z744" s="70"/>
      <c r="AA744" s="485"/>
      <c r="AB744" s="294" t="s">
        <v>3</v>
      </c>
      <c r="AC744" s="320">
        <f>AC743/AC742</f>
        <v>0.39999753678402516</v>
      </c>
      <c r="AD744" s="545"/>
      <c r="AE744" s="545"/>
      <c r="AF744" s="545"/>
      <c r="AG744" s="545"/>
      <c r="AH744" s="545"/>
      <c r="AI744" s="545"/>
      <c r="AJ744" s="305">
        <f>AJ743/AJ742</f>
        <v>0.39368572043201455</v>
      </c>
      <c r="AK744" s="292">
        <f>AK743/AK742</f>
        <v>7.5717250585483648E-7</v>
      </c>
      <c r="AL744" s="399">
        <f>AL743/AL742</f>
        <v>0.32151565193621745</v>
      </c>
      <c r="AM744" s="343">
        <f>AM743/AM742</f>
        <v>7.5717193254506694E-6</v>
      </c>
      <c r="AN744" s="780"/>
      <c r="AO744" s="780"/>
    </row>
    <row r="745" spans="1:41" s="267" customFormat="1" ht="15.75" thickBot="1" x14ac:dyDescent="0.3">
      <c r="A745" s="1048">
        <v>41561</v>
      </c>
      <c r="B745" s="1048"/>
      <c r="C745" s="1048"/>
      <c r="D745" s="276"/>
      <c r="E745" s="276"/>
      <c r="F745" s="276"/>
      <c r="G745" s="276"/>
      <c r="H745" s="276"/>
      <c r="I745" s="11"/>
      <c r="J745" s="281"/>
      <c r="K745" s="281"/>
      <c r="L745" s="276"/>
      <c r="M745" s="276"/>
      <c r="N745" s="13"/>
      <c r="R745" s="12"/>
      <c r="S745" s="70"/>
      <c r="T745" s="70"/>
      <c r="U745" s="70"/>
      <c r="V745" s="70"/>
      <c r="W745" s="70"/>
      <c r="X745" s="70"/>
      <c r="Y745" s="70"/>
      <c r="Z745" s="70"/>
      <c r="AA745" s="1063"/>
      <c r="AB745" s="1064"/>
      <c r="AD745" s="743"/>
      <c r="AE745" s="743"/>
      <c r="AF745" s="743"/>
      <c r="AG745" s="743"/>
      <c r="AH745" s="743"/>
      <c r="AI745" s="743"/>
      <c r="AN745" s="743"/>
      <c r="AO745" s="743"/>
    </row>
    <row r="746" spans="1:41" s="267" customFormat="1" x14ac:dyDescent="0.25">
      <c r="A746" s="1049" t="s">
        <v>1</v>
      </c>
      <c r="B746" s="1050"/>
      <c r="C746" s="297" t="s">
        <v>12</v>
      </c>
      <c r="D746" s="266" t="s">
        <v>12</v>
      </c>
      <c r="E746" s="297" t="s">
        <v>13</v>
      </c>
      <c r="F746" s="277" t="s">
        <v>13</v>
      </c>
      <c r="G746" s="277" t="s">
        <v>13</v>
      </c>
      <c r="H746" s="277" t="s">
        <v>13</v>
      </c>
      <c r="I746" s="277" t="s">
        <v>13</v>
      </c>
      <c r="J746" s="286" t="s">
        <v>13</v>
      </c>
      <c r="K746" s="286" t="s">
        <v>13</v>
      </c>
      <c r="L746" s="266" t="s">
        <v>13</v>
      </c>
      <c r="M746" s="297" t="s">
        <v>2</v>
      </c>
      <c r="N746" s="277" t="s">
        <v>2</v>
      </c>
      <c r="O746" s="286" t="s">
        <v>2</v>
      </c>
      <c r="P746" s="277" t="s">
        <v>2</v>
      </c>
      <c r="Q746" s="286" t="s">
        <v>2</v>
      </c>
      <c r="R746" s="286" t="s">
        <v>2</v>
      </c>
      <c r="S746" s="266" t="s">
        <v>2</v>
      </c>
      <c r="T746" s="328" t="s">
        <v>183</v>
      </c>
      <c r="U746" s="327" t="s">
        <v>183</v>
      </c>
      <c r="V746" s="12"/>
      <c r="W746" s="70"/>
      <c r="X746" s="70"/>
      <c r="Y746" s="70"/>
      <c r="Z746" s="70"/>
      <c r="AA746" s="1049" t="s">
        <v>1</v>
      </c>
      <c r="AB746" s="1051"/>
      <c r="AC746" s="481" t="s">
        <v>12</v>
      </c>
      <c r="AD746" s="912"/>
      <c r="AE746" s="912"/>
      <c r="AF746" s="912"/>
      <c r="AG746" s="912"/>
      <c r="AH746" s="912"/>
      <c r="AI746" s="912"/>
      <c r="AJ746" s="1052" t="s">
        <v>13</v>
      </c>
      <c r="AK746" s="1053"/>
      <c r="AL746" s="1052" t="s">
        <v>2</v>
      </c>
      <c r="AM746" s="1053"/>
      <c r="AN746" s="776"/>
      <c r="AO746" s="776"/>
    </row>
    <row r="747" spans="1:41" s="267" customFormat="1" ht="15.75" thickBot="1" x14ac:dyDescent="0.3">
      <c r="A747" s="1054" t="s">
        <v>0</v>
      </c>
      <c r="B747" s="1066"/>
      <c r="C747" s="298" t="s">
        <v>99</v>
      </c>
      <c r="D747" s="291" t="s">
        <v>100</v>
      </c>
      <c r="E747" s="298" t="s">
        <v>101</v>
      </c>
      <c r="F747" s="306" t="s">
        <v>102</v>
      </c>
      <c r="G747" s="306" t="s">
        <v>97</v>
      </c>
      <c r="H747" s="306" t="s">
        <v>104</v>
      </c>
      <c r="I747" s="306" t="s">
        <v>103</v>
      </c>
      <c r="J747" s="378" t="s">
        <v>178</v>
      </c>
      <c r="K747" s="378" t="s">
        <v>199</v>
      </c>
      <c r="L747" s="314" t="s">
        <v>206</v>
      </c>
      <c r="M747" s="298" t="s">
        <v>105</v>
      </c>
      <c r="N747" s="306" t="s">
        <v>107</v>
      </c>
      <c r="O747" s="312" t="s">
        <v>98</v>
      </c>
      <c r="P747" s="313" t="s">
        <v>106</v>
      </c>
      <c r="Q747" s="312" t="s">
        <v>179</v>
      </c>
      <c r="R747" s="312" t="s">
        <v>198</v>
      </c>
      <c r="S747" s="291" t="s">
        <v>207</v>
      </c>
      <c r="T747" s="317" t="s">
        <v>182</v>
      </c>
      <c r="U747" s="291" t="s">
        <v>184</v>
      </c>
      <c r="V747" s="12"/>
      <c r="W747" s="12"/>
      <c r="X747" s="12"/>
      <c r="Y747" s="12"/>
      <c r="Z747" s="12"/>
      <c r="AA747" s="1054" t="s">
        <v>0</v>
      </c>
      <c r="AB747" s="1067"/>
      <c r="AC747" s="317" t="s">
        <v>99</v>
      </c>
      <c r="AD747" s="621"/>
      <c r="AE747" s="621"/>
      <c r="AF747" s="621"/>
      <c r="AG747" s="621"/>
      <c r="AH747" s="621"/>
      <c r="AI747" s="621"/>
      <c r="AJ747" s="298" t="s">
        <v>104</v>
      </c>
      <c r="AK747" s="291" t="s">
        <v>206</v>
      </c>
      <c r="AL747" s="396" t="s">
        <v>107</v>
      </c>
      <c r="AM747" s="392" t="s">
        <v>207</v>
      </c>
      <c r="AN747" s="777"/>
      <c r="AO747" s="777"/>
    </row>
    <row r="748" spans="1:41" s="267" customFormat="1" ht="15" customHeight="1" x14ac:dyDescent="0.25">
      <c r="A748" s="1057" t="s">
        <v>9</v>
      </c>
      <c r="B748" s="19" t="s">
        <v>4</v>
      </c>
      <c r="C748" s="299">
        <v>143393</v>
      </c>
      <c r="D748" s="265">
        <v>150516.70000000001</v>
      </c>
      <c r="E748" s="299">
        <v>150516.70000000001</v>
      </c>
      <c r="F748" s="283">
        <v>181998.8</v>
      </c>
      <c r="G748" s="283">
        <v>165453.5</v>
      </c>
      <c r="H748" s="283">
        <v>132132.9</v>
      </c>
      <c r="I748" s="283">
        <v>170968.6</v>
      </c>
      <c r="J748" s="223">
        <v>165453.5</v>
      </c>
      <c r="K748" s="223">
        <v>92411.6</v>
      </c>
      <c r="L748" s="265">
        <f>83196.1+132070.4</f>
        <v>215266.5</v>
      </c>
      <c r="M748" s="299">
        <v>193029.1</v>
      </c>
      <c r="N748" s="283">
        <f>132132.9+292299.3</f>
        <v>424432.19999999995</v>
      </c>
      <c r="O748" s="283">
        <v>82726.600000000006</v>
      </c>
      <c r="P748" s="283">
        <v>275755</v>
      </c>
      <c r="Q748" s="223">
        <v>82726.600000000006</v>
      </c>
      <c r="R748" s="223">
        <v>188981.6</v>
      </c>
      <c r="S748" s="265">
        <f>83196.1+132070.4</f>
        <v>215266.5</v>
      </c>
      <c r="T748" s="318">
        <v>55151</v>
      </c>
      <c r="U748" s="265">
        <v>33090.5</v>
      </c>
      <c r="V748" s="70"/>
      <c r="W748" s="70"/>
      <c r="X748" s="70"/>
      <c r="Y748" s="70"/>
      <c r="Z748" s="70"/>
      <c r="AA748" s="478" t="s">
        <v>194</v>
      </c>
      <c r="AB748" s="2" t="s">
        <v>4</v>
      </c>
      <c r="AC748" s="318">
        <v>143392.20000000001</v>
      </c>
      <c r="AD748" s="544"/>
      <c r="AE748" s="544"/>
      <c r="AF748" s="544"/>
      <c r="AG748" s="544"/>
      <c r="AH748" s="544"/>
      <c r="AI748" s="544"/>
      <c r="AJ748" s="299">
        <v>132132</v>
      </c>
      <c r="AK748" s="265">
        <v>83196.100000000006</v>
      </c>
      <c r="AL748" s="397">
        <v>132132.20000000001</v>
      </c>
      <c r="AM748" s="393">
        <v>83196.100000000006</v>
      </c>
      <c r="AN748" s="778"/>
      <c r="AO748" s="778"/>
    </row>
    <row r="749" spans="1:41" s="267" customFormat="1" x14ac:dyDescent="0.25">
      <c r="A749" s="1058"/>
      <c r="B749" s="293" t="s">
        <v>5</v>
      </c>
      <c r="C749" s="300">
        <v>48280.3</v>
      </c>
      <c r="D749" s="264">
        <v>80659.399999999994</v>
      </c>
      <c r="E749" s="300">
        <v>82080.899999999994</v>
      </c>
      <c r="F749" s="307">
        <v>150832.20000000001</v>
      </c>
      <c r="G749" s="307">
        <v>119660.9</v>
      </c>
      <c r="H749" s="307">
        <v>64010.8</v>
      </c>
      <c r="I749" s="307">
        <v>101180.2</v>
      </c>
      <c r="J749" s="374">
        <v>24605</v>
      </c>
      <c r="K749" s="374">
        <v>46148.1</v>
      </c>
      <c r="L749" s="264">
        <f>658.5+632.2</f>
        <v>1290.7</v>
      </c>
      <c r="M749" s="300">
        <v>160878</v>
      </c>
      <c r="N749" s="307">
        <f xml:space="preserve"> 57519.3+100828</f>
        <v>158347.29999999999</v>
      </c>
      <c r="O749" s="307">
        <v>61495.7</v>
      </c>
      <c r="P749" s="307">
        <v>181595.5</v>
      </c>
      <c r="Q749" s="374">
        <v>12792.3</v>
      </c>
      <c r="R749" s="374">
        <v>72763</v>
      </c>
      <c r="S749" s="264">
        <f>26321.5+9983.2</f>
        <v>36304.699999999997</v>
      </c>
      <c r="T749" s="319">
        <v>12427</v>
      </c>
      <c r="U749" s="264">
        <v>6260</v>
      </c>
      <c r="V749" s="70"/>
      <c r="W749" s="70"/>
      <c r="X749" s="70"/>
      <c r="Y749" s="70"/>
      <c r="Z749" s="70"/>
      <c r="AA749" s="479"/>
      <c r="AB749" s="342" t="s">
        <v>5</v>
      </c>
      <c r="AC749" s="319">
        <v>43401.8</v>
      </c>
      <c r="AD749" s="936"/>
      <c r="AE749" s="936"/>
      <c r="AF749" s="936"/>
      <c r="AG749" s="936"/>
      <c r="AH749" s="936"/>
      <c r="AI749" s="936"/>
      <c r="AJ749" s="300">
        <v>58695.3</v>
      </c>
      <c r="AK749" s="264">
        <v>4.7</v>
      </c>
      <c r="AL749" s="398">
        <v>55118.9</v>
      </c>
      <c r="AM749" s="394">
        <v>4.5</v>
      </c>
      <c r="AN749" s="779"/>
      <c r="AO749" s="779"/>
    </row>
    <row r="750" spans="1:41" s="267" customFormat="1" ht="15.75" thickBot="1" x14ac:dyDescent="0.3">
      <c r="A750" s="1059"/>
      <c r="B750" s="294" t="s">
        <v>3</v>
      </c>
      <c r="C750" s="305">
        <f t="shared" ref="C750:L750" si="244">C749/C748</f>
        <v>0.3366991415201579</v>
      </c>
      <c r="D750" s="343">
        <f t="shared" si="244"/>
        <v>0.5358833936699382</v>
      </c>
      <c r="E750" s="305">
        <f t="shared" si="244"/>
        <v>0.54532752844036569</v>
      </c>
      <c r="F750" s="371">
        <f t="shared" si="244"/>
        <v>0.82875381595922626</v>
      </c>
      <c r="G750" s="278">
        <f t="shared" si="244"/>
        <v>0.7232297896387806</v>
      </c>
      <c r="H750" s="278">
        <f t="shared" si="244"/>
        <v>0.48444255745541048</v>
      </c>
      <c r="I750" s="278">
        <f t="shared" si="244"/>
        <v>0.59180574678625197</v>
      </c>
      <c r="J750" s="315">
        <f t="shared" si="244"/>
        <v>0.14871247812829586</v>
      </c>
      <c r="K750" s="315">
        <f t="shared" si="244"/>
        <v>0.49937561951097043</v>
      </c>
      <c r="L750" s="292">
        <f t="shared" si="244"/>
        <v>5.9958237812200227E-3</v>
      </c>
      <c r="M750" s="372">
        <f>M749/M748</f>
        <v>0.8334391032232964</v>
      </c>
      <c r="N750" s="278">
        <f>N749/N748</f>
        <v>0.37308031765733141</v>
      </c>
      <c r="O750" s="315">
        <f>O749/O748</f>
        <v>0.7433606602954792</v>
      </c>
      <c r="P750" s="278">
        <f>P749/P748</f>
        <v>0.65853928305923737</v>
      </c>
      <c r="Q750" s="315">
        <f>Q749/Q748</f>
        <v>0.15463345526106473</v>
      </c>
      <c r="R750" s="315">
        <f t="shared" ref="R750:S750" si="245">R749/R748</f>
        <v>0.38502690208993889</v>
      </c>
      <c r="S750" s="292">
        <f t="shared" si="245"/>
        <v>0.16865002218180719</v>
      </c>
      <c r="T750" s="320">
        <f>T749/T748</f>
        <v>0.22532682997588438</v>
      </c>
      <c r="U750" s="292">
        <f>U749/U748</f>
        <v>0.18917816291684925</v>
      </c>
      <c r="V750" s="70"/>
      <c r="W750" s="70"/>
      <c r="X750" s="70"/>
      <c r="Y750" s="70"/>
      <c r="Z750" s="70"/>
      <c r="AA750" s="480"/>
      <c r="AB750" s="347" t="s">
        <v>3</v>
      </c>
      <c r="AC750" s="395">
        <f>AC749/AC748</f>
        <v>0.302678946274623</v>
      </c>
      <c r="AD750" s="635"/>
      <c r="AE750" s="635"/>
      <c r="AF750" s="635"/>
      <c r="AG750" s="635"/>
      <c r="AH750" s="635"/>
      <c r="AI750" s="635"/>
      <c r="AJ750" s="305">
        <f>AJ749/AJ748</f>
        <v>0.44421714648987376</v>
      </c>
      <c r="AK750" s="292">
        <f>AK749/AK748</f>
        <v>5.6493032726293656E-5</v>
      </c>
      <c r="AL750" s="399">
        <f>AL749/AL748</f>
        <v>0.41714964255495629</v>
      </c>
      <c r="AM750" s="343">
        <f>AM749/AM748</f>
        <v>5.4089073886876906E-5</v>
      </c>
      <c r="AN750" s="780"/>
      <c r="AO750" s="780"/>
    </row>
    <row r="751" spans="1:41" s="429" customFormat="1" ht="15" customHeight="1" x14ac:dyDescent="0.25">
      <c r="A751" s="1060" t="s">
        <v>6</v>
      </c>
      <c r="B751" s="418" t="s">
        <v>7</v>
      </c>
      <c r="C751" s="419">
        <v>5870</v>
      </c>
      <c r="D751" s="420">
        <v>3333</v>
      </c>
      <c r="E751" s="419">
        <v>3330</v>
      </c>
      <c r="F751" s="421">
        <v>9457</v>
      </c>
      <c r="G751" s="421">
        <v>8432</v>
      </c>
      <c r="H751" s="421">
        <v>15703</v>
      </c>
      <c r="I751" s="421">
        <v>8166</v>
      </c>
      <c r="J751" s="423">
        <v>9599</v>
      </c>
      <c r="K751" s="423">
        <v>4073</v>
      </c>
      <c r="L751" s="420">
        <v>6399</v>
      </c>
      <c r="M751" s="419">
        <v>9092</v>
      </c>
      <c r="N751" s="421">
        <v>11923</v>
      </c>
      <c r="O751" s="421">
        <v>4356</v>
      </c>
      <c r="P751" s="421">
        <v>10790</v>
      </c>
      <c r="Q751" s="423">
        <v>4799</v>
      </c>
      <c r="R751" s="423">
        <v>7192</v>
      </c>
      <c r="S751" s="420">
        <v>6399</v>
      </c>
      <c r="T751" s="424">
        <v>2480</v>
      </c>
      <c r="U751" s="420">
        <v>1570</v>
      </c>
      <c r="V751" s="425" t="s">
        <v>197</v>
      </c>
      <c r="W751" s="426"/>
      <c r="X751" s="427"/>
      <c r="Y751" s="427"/>
      <c r="Z751" s="427"/>
      <c r="AA751" s="428" t="s">
        <v>190</v>
      </c>
      <c r="AB751" s="418" t="s">
        <v>4</v>
      </c>
      <c r="AC751" s="430">
        <v>9191.7999999999993</v>
      </c>
      <c r="AD751" s="564"/>
      <c r="AE751" s="564"/>
      <c r="AF751" s="564"/>
      <c r="AG751" s="564"/>
      <c r="AH751" s="564"/>
      <c r="AI751" s="564"/>
      <c r="AJ751" s="431">
        <v>13787.7</v>
      </c>
      <c r="AK751" s="432">
        <v>8804.7999999999993</v>
      </c>
      <c r="AL751" s="433">
        <v>13787.7</v>
      </c>
      <c r="AM751" s="434">
        <v>8804.7999999999993</v>
      </c>
      <c r="AN751" s="781"/>
      <c r="AO751" s="781"/>
    </row>
    <row r="752" spans="1:41" s="267" customFormat="1" x14ac:dyDescent="0.25">
      <c r="A752" s="1061"/>
      <c r="B752" s="295" t="s">
        <v>11</v>
      </c>
      <c r="C752" s="302">
        <f t="shared" ref="C752:L752" si="246">C751*33.717</f>
        <v>197918.78999999998</v>
      </c>
      <c r="D752" s="263">
        <f t="shared" si="246"/>
        <v>112378.761</v>
      </c>
      <c r="E752" s="302">
        <f t="shared" si="246"/>
        <v>112277.61</v>
      </c>
      <c r="F752" s="355">
        <f t="shared" si="246"/>
        <v>318861.66899999999</v>
      </c>
      <c r="G752" s="308">
        <f t="shared" si="246"/>
        <v>284301.74400000001</v>
      </c>
      <c r="H752" s="354">
        <f t="shared" si="246"/>
        <v>529458.05099999998</v>
      </c>
      <c r="I752" s="354">
        <f t="shared" si="246"/>
        <v>275333.022</v>
      </c>
      <c r="J752" s="355">
        <f t="shared" si="246"/>
        <v>323649.48300000001</v>
      </c>
      <c r="K752" s="375">
        <f t="shared" si="246"/>
        <v>137329.34099999999</v>
      </c>
      <c r="L752" s="263">
        <f t="shared" si="246"/>
        <v>215755.08299999998</v>
      </c>
      <c r="M752" s="322">
        <f>M751*33.717</f>
        <v>306554.96399999998</v>
      </c>
      <c r="N752" s="308">
        <f>N751*33.717</f>
        <v>402007.79099999997</v>
      </c>
      <c r="O752" s="308">
        <f>O751*33.717</f>
        <v>146871.25200000001</v>
      </c>
      <c r="P752" s="354">
        <f>P751*33.717</f>
        <v>363806.43</v>
      </c>
      <c r="Q752" s="355">
        <f>Q751*33.717</f>
        <v>161807.883</v>
      </c>
      <c r="R752" s="375">
        <f t="shared" ref="R752:S752" si="247">R751*33.717</f>
        <v>242492.66399999999</v>
      </c>
      <c r="S752" s="263">
        <f t="shared" si="247"/>
        <v>215755.08299999998</v>
      </c>
      <c r="T752" s="302">
        <f>T751*33.717</f>
        <v>83618.16</v>
      </c>
      <c r="U752" s="354">
        <f>U751*33.717</f>
        <v>52935.689999999995</v>
      </c>
      <c r="V752" s="70"/>
      <c r="W752" s="70"/>
      <c r="X752" s="70"/>
      <c r="Y752" s="70"/>
      <c r="Z752" s="70"/>
      <c r="AA752" s="479"/>
      <c r="AB752" s="293" t="s">
        <v>5</v>
      </c>
      <c r="AC752" s="319">
        <v>8835</v>
      </c>
      <c r="AD752" s="936"/>
      <c r="AE752" s="936"/>
      <c r="AF752" s="936"/>
      <c r="AG752" s="936"/>
      <c r="AH752" s="936"/>
      <c r="AI752" s="936"/>
      <c r="AJ752" s="300">
        <v>13648.9</v>
      </c>
      <c r="AK752" s="264">
        <v>0</v>
      </c>
      <c r="AL752" s="398">
        <v>13649.5</v>
      </c>
      <c r="AM752" s="394">
        <v>30</v>
      </c>
      <c r="AN752" s="779"/>
      <c r="AO752" s="779"/>
    </row>
    <row r="753" spans="1:41" s="267" customFormat="1" ht="15.75" thickBot="1" x14ac:dyDescent="0.3">
      <c r="A753" s="1061"/>
      <c r="B753" s="295" t="s">
        <v>79</v>
      </c>
      <c r="C753" s="302">
        <v>164000</v>
      </c>
      <c r="D753" s="263">
        <v>109880</v>
      </c>
      <c r="E753" s="302">
        <v>109880</v>
      </c>
      <c r="F753" s="308">
        <v>328000</v>
      </c>
      <c r="G753" s="308">
        <v>330905</v>
      </c>
      <c r="H753" s="308">
        <v>264264</v>
      </c>
      <c r="I753" s="308">
        <v>242663.6</v>
      </c>
      <c r="J753" s="375">
        <v>328000</v>
      </c>
      <c r="K753" s="375">
        <v>328000</v>
      </c>
      <c r="L753" s="263">
        <v>328000</v>
      </c>
      <c r="M753" s="302">
        <v>328000</v>
      </c>
      <c r="N753" s="308">
        <v>264264.40000000002</v>
      </c>
      <c r="O753" s="308">
        <v>328000</v>
      </c>
      <c r="P753" s="308">
        <v>352965.4</v>
      </c>
      <c r="Q753" s="375">
        <v>328000</v>
      </c>
      <c r="R753" s="375">
        <v>328000</v>
      </c>
      <c r="S753" s="263">
        <v>328000</v>
      </c>
      <c r="T753" s="322">
        <f>2*T748</f>
        <v>110302</v>
      </c>
      <c r="U753" s="263">
        <f>2*U748</f>
        <v>66181</v>
      </c>
      <c r="V753" s="70"/>
      <c r="W753" s="70"/>
      <c r="X753" s="70"/>
      <c r="Y753" s="70"/>
      <c r="Z753" s="70"/>
      <c r="AA753" s="480"/>
      <c r="AB753" s="344" t="s">
        <v>3</v>
      </c>
      <c r="AC753" s="395">
        <f>AC752/AC751</f>
        <v>0.96118279335929857</v>
      </c>
      <c r="AD753" s="635"/>
      <c r="AE753" s="635"/>
      <c r="AF753" s="635"/>
      <c r="AG753" s="635"/>
      <c r="AH753" s="635"/>
      <c r="AI753" s="635"/>
      <c r="AJ753" s="301">
        <f>AJ752/AJ751</f>
        <v>0.98993305627479555</v>
      </c>
      <c r="AK753" s="401">
        <f>AK752/AK751</f>
        <v>0</v>
      </c>
      <c r="AL753" s="400">
        <f>AL752/AL751</f>
        <v>0.98997657332259903</v>
      </c>
      <c r="AM753" s="348">
        <f>AM752/AM751</f>
        <v>3.4072324186807199E-3</v>
      </c>
      <c r="AN753" s="780"/>
      <c r="AO753" s="780"/>
    </row>
    <row r="754" spans="1:41" s="267" customFormat="1" ht="15" customHeight="1" x14ac:dyDescent="0.25">
      <c r="A754" s="1061"/>
      <c r="B754" s="293" t="s">
        <v>8</v>
      </c>
      <c r="C754" s="303">
        <f>SUM(C751-295)</f>
        <v>5575</v>
      </c>
      <c r="D754" s="262">
        <f>SUM(D751-468)</f>
        <v>2865</v>
      </c>
      <c r="E754" s="303">
        <f>SUM(E751-435)</f>
        <v>2895</v>
      </c>
      <c r="F754" s="309">
        <f>SUM(F751-1130)</f>
        <v>8327</v>
      </c>
      <c r="G754" s="309">
        <f>SUM(G751-4614)</f>
        <v>3818</v>
      </c>
      <c r="H754" s="309">
        <f>SUM(H751-2041)</f>
        <v>13662</v>
      </c>
      <c r="I754" s="309">
        <f>SUM(I751-(3756-2000))</f>
        <v>6410</v>
      </c>
      <c r="J754" s="316">
        <f>SUM(J751-9019)</f>
        <v>580</v>
      </c>
      <c r="K754" s="316">
        <f>SUM(K751-1197)</f>
        <v>2876</v>
      </c>
      <c r="L754" s="262">
        <f>SUM(L751-5342)</f>
        <v>1057</v>
      </c>
      <c r="M754" s="303">
        <f>SUM(M751-754)</f>
        <v>8338</v>
      </c>
      <c r="N754" s="309">
        <f>SUM(N751-1160)</f>
        <v>10763</v>
      </c>
      <c r="O754" s="316">
        <f>SUM(O751-300)</f>
        <v>4056</v>
      </c>
      <c r="P754" s="309">
        <f>SUM(P751-(5621-2614))</f>
        <v>7783</v>
      </c>
      <c r="Q754" s="316">
        <f>SUM(Q751-3771)</f>
        <v>1028</v>
      </c>
      <c r="R754" s="316">
        <f>SUM(R751-4480)</f>
        <v>2712</v>
      </c>
      <c r="S754" s="262">
        <f>SUM(S751-3427)</f>
        <v>2972</v>
      </c>
      <c r="T754" s="323">
        <f>SUM(T751-1010)</f>
        <v>1470</v>
      </c>
      <c r="U754" s="262">
        <f>SUM(U751-629)</f>
        <v>941</v>
      </c>
      <c r="V754" s="12" t="s">
        <v>176</v>
      </c>
      <c r="W754" s="70"/>
      <c r="X754" s="70"/>
      <c r="Y754" s="70"/>
      <c r="Z754" s="70"/>
      <c r="AA754" s="478" t="s">
        <v>191</v>
      </c>
      <c r="AB754" s="19" t="s">
        <v>4</v>
      </c>
      <c r="AC754" s="318">
        <v>97433.600000000006</v>
      </c>
      <c r="AD754" s="544"/>
      <c r="AE754" s="544"/>
      <c r="AF754" s="544"/>
      <c r="AG754" s="544"/>
      <c r="AH754" s="544"/>
      <c r="AI754" s="544"/>
      <c r="AJ754" s="299">
        <v>243584.4</v>
      </c>
      <c r="AK754" s="265">
        <v>132070.29999999999</v>
      </c>
      <c r="AL754" s="397">
        <v>292299.3</v>
      </c>
      <c r="AM754" s="393">
        <v>132070.39999999999</v>
      </c>
      <c r="AN754" s="778"/>
      <c r="AO754" s="778"/>
    </row>
    <row r="755" spans="1:41" s="267" customFormat="1" x14ac:dyDescent="0.25">
      <c r="A755" s="1061"/>
      <c r="B755" s="296" t="s">
        <v>77</v>
      </c>
      <c r="C755" s="302">
        <f>(C754*33.717)</f>
        <v>187972.27499999999</v>
      </c>
      <c r="D755" s="338">
        <f>(D754*33.717)</f>
        <v>96599.205000000002</v>
      </c>
      <c r="E755" s="302">
        <f>(E754*33.717)</f>
        <v>97610.714999999997</v>
      </c>
      <c r="F755" s="338">
        <f>(F754*33.717)</f>
        <v>280761.45899999997</v>
      </c>
      <c r="G755" s="280">
        <f>(G754*33.717)*2</f>
        <v>257463.01199999999</v>
      </c>
      <c r="H755" s="280">
        <f>(H754*33.717)</f>
        <v>460641.65399999998</v>
      </c>
      <c r="I755" s="280">
        <f>(I754*33.717)-(2000*33.717)</f>
        <v>148691.97</v>
      </c>
      <c r="J755" s="376">
        <f>J754*33.717</f>
        <v>19555.86</v>
      </c>
      <c r="K755" s="376">
        <f>K754*33.717</f>
        <v>96970.09199999999</v>
      </c>
      <c r="L755" s="261">
        <f>L754*33.717</f>
        <v>35638.868999999999</v>
      </c>
      <c r="M755" s="304">
        <f>M754*33.717</f>
        <v>281132.34599999996</v>
      </c>
      <c r="N755" s="280">
        <f>N754*33.717</f>
        <v>362896.071</v>
      </c>
      <c r="O755" s="280">
        <f>(O754*33.717)</f>
        <v>136756.152</v>
      </c>
      <c r="P755" s="280">
        <f t="shared" ref="P755:U755" si="248">P754*33.717</f>
        <v>262419.41099999996</v>
      </c>
      <c r="Q755" s="376">
        <f t="shared" si="248"/>
        <v>34661.076000000001</v>
      </c>
      <c r="R755" s="376">
        <f t="shared" si="248"/>
        <v>91440.504000000001</v>
      </c>
      <c r="S755" s="261">
        <f t="shared" si="248"/>
        <v>100206.924</v>
      </c>
      <c r="T755" s="324">
        <f t="shared" si="248"/>
        <v>49563.99</v>
      </c>
      <c r="U755" s="325">
        <f t="shared" si="248"/>
        <v>31727.697</v>
      </c>
      <c r="V755" s="63">
        <f>344240-H755</f>
        <v>-116401.65399999998</v>
      </c>
      <c r="W755" s="70" t="s">
        <v>177</v>
      </c>
      <c r="X755" s="70"/>
      <c r="Y755" s="70"/>
      <c r="Z755" s="70"/>
      <c r="AA755" s="479"/>
      <c r="AB755" s="293" t="s">
        <v>5</v>
      </c>
      <c r="AC755" s="319">
        <v>38973.199999999997</v>
      </c>
      <c r="AD755" s="936"/>
      <c r="AE755" s="936"/>
      <c r="AF755" s="936"/>
      <c r="AG755" s="936"/>
      <c r="AH755" s="936"/>
      <c r="AI755" s="936"/>
      <c r="AJ755" s="300">
        <v>95895.7</v>
      </c>
      <c r="AK755" s="264">
        <v>0.1</v>
      </c>
      <c r="AL755" s="398">
        <v>93978.8</v>
      </c>
      <c r="AM755" s="394">
        <v>1</v>
      </c>
      <c r="AN755" s="779"/>
      <c r="AO755" s="779"/>
    </row>
    <row r="756" spans="1:41" s="267" customFormat="1" ht="15.75" thickBot="1" x14ac:dyDescent="0.3">
      <c r="A756" s="1062"/>
      <c r="B756" s="294" t="s">
        <v>10</v>
      </c>
      <c r="C756" s="305">
        <f>C755/C748</f>
        <v>1.3108887811817871</v>
      </c>
      <c r="D756" s="292">
        <f t="shared" ref="D756:U756" si="249">D755/D748</f>
        <v>0.64178396815768612</v>
      </c>
      <c r="E756" s="310">
        <f t="shared" si="249"/>
        <v>0.64850421913315925</v>
      </c>
      <c r="F756" s="282">
        <f t="shared" si="249"/>
        <v>1.542655550476157</v>
      </c>
      <c r="G756" s="282">
        <f t="shared" si="249"/>
        <v>1.5561049600038681</v>
      </c>
      <c r="H756" s="282">
        <f t="shared" si="249"/>
        <v>3.4861995309268168</v>
      </c>
      <c r="I756" s="282">
        <f t="shared" si="249"/>
        <v>0.86970338413018533</v>
      </c>
      <c r="J756" s="377">
        <f t="shared" si="249"/>
        <v>0.11819550508148816</v>
      </c>
      <c r="K756" s="377">
        <f t="shared" si="249"/>
        <v>1.0493281362945777</v>
      </c>
      <c r="L756" s="311">
        <f t="shared" si="249"/>
        <v>0.16555696775856901</v>
      </c>
      <c r="M756" s="310">
        <f t="shared" si="249"/>
        <v>1.4564246841538397</v>
      </c>
      <c r="N756" s="282">
        <f t="shared" si="249"/>
        <v>0.85501540882147975</v>
      </c>
      <c r="O756" s="282">
        <f t="shared" si="249"/>
        <v>1.6531097857279278</v>
      </c>
      <c r="P756" s="260">
        <f t="shared" si="249"/>
        <v>0.9516397200413409</v>
      </c>
      <c r="Q756" s="377">
        <f t="shared" si="249"/>
        <v>0.41898344667857734</v>
      </c>
      <c r="R756" s="377">
        <f t="shared" si="249"/>
        <v>0.48385929635477737</v>
      </c>
      <c r="S756" s="311">
        <f t="shared" si="249"/>
        <v>0.46550171067026219</v>
      </c>
      <c r="T756" s="305">
        <f t="shared" si="249"/>
        <v>0.89869612518358688</v>
      </c>
      <c r="U756" s="292">
        <f t="shared" si="249"/>
        <v>0.95881588371284809</v>
      </c>
      <c r="V756" s="126"/>
      <c r="W756" s="70"/>
      <c r="X756" s="70"/>
      <c r="Y756" s="70"/>
      <c r="Z756" s="70"/>
      <c r="AA756" s="480"/>
      <c r="AB756" s="294" t="s">
        <v>3</v>
      </c>
      <c r="AC756" s="320">
        <f>AC755/AC754</f>
        <v>0.39999753678402516</v>
      </c>
      <c r="AD756" s="545"/>
      <c r="AE756" s="545"/>
      <c r="AF756" s="545"/>
      <c r="AG756" s="545"/>
      <c r="AH756" s="545"/>
      <c r="AI756" s="545"/>
      <c r="AJ756" s="305">
        <f>AJ755/AJ754</f>
        <v>0.39368572043201455</v>
      </c>
      <c r="AK756" s="292">
        <f>AK755/AK754</f>
        <v>7.5717250585483648E-7</v>
      </c>
      <c r="AL756" s="399">
        <f>AL755/AL754</f>
        <v>0.32151565193621745</v>
      </c>
      <c r="AM756" s="343">
        <f>AM755/AM754</f>
        <v>7.5717193254506694E-6</v>
      </c>
      <c r="AN756" s="780"/>
      <c r="AO756" s="780"/>
    </row>
    <row r="757" spans="1:41" s="267" customFormat="1" ht="15.75" thickBot="1" x14ac:dyDescent="0.3">
      <c r="A757" s="1048">
        <v>41548</v>
      </c>
      <c r="B757" s="1048"/>
      <c r="C757" s="1048"/>
      <c r="D757" s="276"/>
      <c r="E757" s="276"/>
      <c r="F757" s="276"/>
      <c r="G757" s="276"/>
      <c r="H757" s="276"/>
      <c r="I757" s="11"/>
      <c r="J757" s="281"/>
      <c r="K757" s="281"/>
      <c r="L757" s="276"/>
      <c r="M757" s="276"/>
      <c r="N757" s="13"/>
      <c r="R757" s="12"/>
      <c r="S757" s="70"/>
      <c r="T757" s="70"/>
      <c r="U757" s="70"/>
      <c r="V757" s="70"/>
      <c r="W757" s="70"/>
      <c r="X757" s="70"/>
      <c r="Y757" s="70"/>
      <c r="Z757" s="70"/>
      <c r="AA757" s="1063"/>
      <c r="AB757" s="1064"/>
      <c r="AD757" s="743"/>
      <c r="AE757" s="743"/>
      <c r="AF757" s="743"/>
      <c r="AG757" s="743"/>
      <c r="AH757" s="743"/>
      <c r="AI757" s="743"/>
      <c r="AN757" s="743"/>
      <c r="AO757" s="743"/>
    </row>
    <row r="758" spans="1:41" s="267" customFormat="1" x14ac:dyDescent="0.25">
      <c r="A758" s="1049" t="s">
        <v>1</v>
      </c>
      <c r="B758" s="1050"/>
      <c r="C758" s="297" t="s">
        <v>12</v>
      </c>
      <c r="D758" s="266" t="s">
        <v>12</v>
      </c>
      <c r="E758" s="297" t="s">
        <v>13</v>
      </c>
      <c r="F758" s="277" t="s">
        <v>13</v>
      </c>
      <c r="G758" s="277" t="s">
        <v>13</v>
      </c>
      <c r="H758" s="277" t="s">
        <v>13</v>
      </c>
      <c r="I758" s="277" t="s">
        <v>13</v>
      </c>
      <c r="J758" s="286" t="s">
        <v>13</v>
      </c>
      <c r="K758" s="286" t="s">
        <v>13</v>
      </c>
      <c r="L758" s="266" t="s">
        <v>13</v>
      </c>
      <c r="M758" s="297" t="s">
        <v>2</v>
      </c>
      <c r="N758" s="277" t="s">
        <v>2</v>
      </c>
      <c r="O758" s="286" t="s">
        <v>2</v>
      </c>
      <c r="P758" s="277" t="s">
        <v>2</v>
      </c>
      <c r="Q758" s="286" t="s">
        <v>2</v>
      </c>
      <c r="R758" s="286" t="s">
        <v>2</v>
      </c>
      <c r="S758" s="266" t="s">
        <v>2</v>
      </c>
      <c r="T758" s="328" t="s">
        <v>183</v>
      </c>
      <c r="U758" s="327" t="s">
        <v>183</v>
      </c>
      <c r="V758" s="12"/>
      <c r="W758" s="70"/>
      <c r="X758" s="70"/>
      <c r="Y758" s="70"/>
      <c r="Z758" s="70"/>
      <c r="AA758" s="1049" t="s">
        <v>1</v>
      </c>
      <c r="AB758" s="1051"/>
      <c r="AC758" s="477" t="s">
        <v>12</v>
      </c>
      <c r="AD758" s="912"/>
      <c r="AE758" s="912"/>
      <c r="AF758" s="912"/>
      <c r="AG758" s="912"/>
      <c r="AH758" s="912"/>
      <c r="AI758" s="912"/>
      <c r="AJ758" s="1052" t="s">
        <v>13</v>
      </c>
      <c r="AK758" s="1053"/>
      <c r="AL758" s="1052" t="s">
        <v>2</v>
      </c>
      <c r="AM758" s="1053"/>
      <c r="AN758" s="776"/>
      <c r="AO758" s="776"/>
    </row>
    <row r="759" spans="1:41" s="267" customFormat="1" ht="15.75" thickBot="1" x14ac:dyDescent="0.3">
      <c r="A759" s="1054" t="s">
        <v>0</v>
      </c>
      <c r="B759" s="1066"/>
      <c r="C759" s="298" t="s">
        <v>99</v>
      </c>
      <c r="D759" s="291" t="s">
        <v>100</v>
      </c>
      <c r="E759" s="298" t="s">
        <v>101</v>
      </c>
      <c r="F759" s="306" t="s">
        <v>102</v>
      </c>
      <c r="G759" s="306" t="s">
        <v>97</v>
      </c>
      <c r="H759" s="306" t="s">
        <v>104</v>
      </c>
      <c r="I759" s="306" t="s">
        <v>103</v>
      </c>
      <c r="J759" s="378" t="s">
        <v>178</v>
      </c>
      <c r="K759" s="378" t="s">
        <v>199</v>
      </c>
      <c r="L759" s="314" t="s">
        <v>206</v>
      </c>
      <c r="M759" s="298" t="s">
        <v>105</v>
      </c>
      <c r="N759" s="306" t="s">
        <v>107</v>
      </c>
      <c r="O759" s="312" t="s">
        <v>98</v>
      </c>
      <c r="P759" s="313" t="s">
        <v>106</v>
      </c>
      <c r="Q759" s="312" t="s">
        <v>179</v>
      </c>
      <c r="R759" s="312" t="s">
        <v>198</v>
      </c>
      <c r="S759" s="291" t="s">
        <v>207</v>
      </c>
      <c r="T759" s="317" t="s">
        <v>182</v>
      </c>
      <c r="U759" s="291" t="s">
        <v>184</v>
      </c>
      <c r="V759" s="12"/>
      <c r="W759" s="12"/>
      <c r="X759" s="12"/>
      <c r="Y759" s="12"/>
      <c r="Z759" s="12"/>
      <c r="AA759" s="1054" t="s">
        <v>0</v>
      </c>
      <c r="AB759" s="1067"/>
      <c r="AC759" s="317" t="s">
        <v>99</v>
      </c>
      <c r="AD759" s="621"/>
      <c r="AE759" s="621"/>
      <c r="AF759" s="621"/>
      <c r="AG759" s="621"/>
      <c r="AH759" s="621"/>
      <c r="AI759" s="621"/>
      <c r="AJ759" s="298" t="s">
        <v>104</v>
      </c>
      <c r="AK759" s="291" t="s">
        <v>206</v>
      </c>
      <c r="AL759" s="396" t="s">
        <v>107</v>
      </c>
      <c r="AM759" s="392" t="s">
        <v>207</v>
      </c>
      <c r="AN759" s="777"/>
      <c r="AO759" s="777"/>
    </row>
    <row r="760" spans="1:41" s="267" customFormat="1" ht="15" customHeight="1" x14ac:dyDescent="0.25">
      <c r="A760" s="1057" t="s">
        <v>9</v>
      </c>
      <c r="B760" s="19" t="s">
        <v>4</v>
      </c>
      <c r="C760" s="299">
        <v>143393</v>
      </c>
      <c r="D760" s="265">
        <v>150516.70000000001</v>
      </c>
      <c r="E760" s="299">
        <v>150516.70000000001</v>
      </c>
      <c r="F760" s="283">
        <v>181998.8</v>
      </c>
      <c r="G760" s="283">
        <v>165453.5</v>
      </c>
      <c r="H760" s="283">
        <v>132132.9</v>
      </c>
      <c r="I760" s="283">
        <v>170968.6</v>
      </c>
      <c r="J760" s="223">
        <v>165453.5</v>
      </c>
      <c r="K760" s="223">
        <v>92411.6</v>
      </c>
      <c r="L760" s="265">
        <f>83196.1+132070.4</f>
        <v>215266.5</v>
      </c>
      <c r="M760" s="299">
        <v>193029.1</v>
      </c>
      <c r="N760" s="283">
        <f>132132.9+292299.3</f>
        <v>424432.19999999995</v>
      </c>
      <c r="O760" s="283">
        <v>82726.600000000006</v>
      </c>
      <c r="P760" s="283">
        <v>275755</v>
      </c>
      <c r="Q760" s="223">
        <v>82726.600000000006</v>
      </c>
      <c r="R760" s="223">
        <v>188981.6</v>
      </c>
      <c r="S760" s="265">
        <f>83196.1+132070.4</f>
        <v>215266.5</v>
      </c>
      <c r="T760" s="318">
        <v>55151</v>
      </c>
      <c r="U760" s="265">
        <v>33090.5</v>
      </c>
      <c r="V760" s="70"/>
      <c r="W760" s="70"/>
      <c r="X760" s="70"/>
      <c r="Y760" s="70"/>
      <c r="Z760" s="70"/>
      <c r="AA760" s="474" t="s">
        <v>194</v>
      </c>
      <c r="AB760" s="2" t="s">
        <v>4</v>
      </c>
      <c r="AC760" s="318">
        <v>143392.20000000001</v>
      </c>
      <c r="AD760" s="544"/>
      <c r="AE760" s="544"/>
      <c r="AF760" s="544"/>
      <c r="AG760" s="544"/>
      <c r="AH760" s="544"/>
      <c r="AI760" s="544"/>
      <c r="AJ760" s="299">
        <v>132132</v>
      </c>
      <c r="AK760" s="265">
        <v>83196.100000000006</v>
      </c>
      <c r="AL760" s="397">
        <v>132132.20000000001</v>
      </c>
      <c r="AM760" s="393">
        <v>83196.100000000006</v>
      </c>
      <c r="AN760" s="778"/>
      <c r="AO760" s="778"/>
    </row>
    <row r="761" spans="1:41" s="267" customFormat="1" x14ac:dyDescent="0.25">
      <c r="A761" s="1058"/>
      <c r="B761" s="293" t="s">
        <v>5</v>
      </c>
      <c r="C761" s="300">
        <v>48162.7</v>
      </c>
      <c r="D761" s="264">
        <v>80443.600000000006</v>
      </c>
      <c r="E761" s="300">
        <v>81921.5</v>
      </c>
      <c r="F761" s="307">
        <v>150425.4</v>
      </c>
      <c r="G761" s="307">
        <v>118511.9</v>
      </c>
      <c r="H761" s="307">
        <v>60121.3</v>
      </c>
      <c r="I761" s="307">
        <v>99458.3</v>
      </c>
      <c r="J761" s="374">
        <v>24373.3</v>
      </c>
      <c r="K761" s="374">
        <v>44685.4</v>
      </c>
      <c r="L761" s="264">
        <f>682.4+541.3</f>
        <v>1223.6999999999998</v>
      </c>
      <c r="M761" s="300">
        <v>160390.1</v>
      </c>
      <c r="N761" s="307">
        <f xml:space="preserve"> 61156.6+94731.4</f>
        <v>155888</v>
      </c>
      <c r="O761" s="307">
        <v>60922.8</v>
      </c>
      <c r="P761" s="307">
        <v>179332.3</v>
      </c>
      <c r="Q761" s="374">
        <v>12654.7</v>
      </c>
      <c r="R761" s="374">
        <v>70116.600000000006</v>
      </c>
      <c r="S761" s="264">
        <f>25681.3+10058.9</f>
        <v>35740.199999999997</v>
      </c>
      <c r="T761" s="319">
        <v>12198.3</v>
      </c>
      <c r="U761" s="264">
        <v>6107.6</v>
      </c>
      <c r="V761" s="70"/>
      <c r="W761" s="70"/>
      <c r="X761" s="70"/>
      <c r="Y761" s="70"/>
      <c r="Z761" s="70"/>
      <c r="AA761" s="475"/>
      <c r="AB761" s="342" t="s">
        <v>5</v>
      </c>
      <c r="AC761" s="319">
        <v>43401.8</v>
      </c>
      <c r="AD761" s="936"/>
      <c r="AE761" s="936"/>
      <c r="AF761" s="936"/>
      <c r="AG761" s="936"/>
      <c r="AH761" s="936"/>
      <c r="AI761" s="936"/>
      <c r="AJ761" s="300">
        <v>58695.3</v>
      </c>
      <c r="AK761" s="264">
        <v>4.7</v>
      </c>
      <c r="AL761" s="398">
        <v>55118.9</v>
      </c>
      <c r="AM761" s="394">
        <v>4.5</v>
      </c>
      <c r="AN761" s="779"/>
      <c r="AO761" s="779"/>
    </row>
    <row r="762" spans="1:41" s="267" customFormat="1" ht="15.75" thickBot="1" x14ac:dyDescent="0.3">
      <c r="A762" s="1059"/>
      <c r="B762" s="294" t="s">
        <v>3</v>
      </c>
      <c r="C762" s="305">
        <f t="shared" ref="C762:L762" si="250">C761/C760</f>
        <v>0.33587901780421636</v>
      </c>
      <c r="D762" s="343">
        <f t="shared" si="250"/>
        <v>0.53444966571815622</v>
      </c>
      <c r="E762" s="305">
        <f t="shared" si="250"/>
        <v>0.5442685097401152</v>
      </c>
      <c r="F762" s="371">
        <f t="shared" si="250"/>
        <v>0.8265186363866136</v>
      </c>
      <c r="G762" s="278">
        <f t="shared" si="250"/>
        <v>0.71628524026388074</v>
      </c>
      <c r="H762" s="278">
        <f t="shared" si="250"/>
        <v>0.45500628533847365</v>
      </c>
      <c r="I762" s="278">
        <f t="shared" si="250"/>
        <v>0.58173430676744153</v>
      </c>
      <c r="J762" s="315">
        <f t="shared" si="250"/>
        <v>0.14731208466427123</v>
      </c>
      <c r="K762" s="315">
        <f t="shared" si="250"/>
        <v>0.48354752000831064</v>
      </c>
      <c r="L762" s="292">
        <f t="shared" si="250"/>
        <v>5.6845816696977922E-3</v>
      </c>
      <c r="M762" s="372">
        <f>M761/M760</f>
        <v>0.83091150505286504</v>
      </c>
      <c r="N762" s="278">
        <f>N761/N760</f>
        <v>0.36728598819787944</v>
      </c>
      <c r="O762" s="315">
        <f>O761/O760</f>
        <v>0.73643543914532927</v>
      </c>
      <c r="P762" s="278">
        <f>P761/P760</f>
        <v>0.65033199760657101</v>
      </c>
      <c r="Q762" s="315">
        <f>Q761/Q760</f>
        <v>0.15297014503194861</v>
      </c>
      <c r="R762" s="315">
        <f t="shared" ref="R762:S762" si="251">R761/R760</f>
        <v>0.37102342238609476</v>
      </c>
      <c r="S762" s="292">
        <f t="shared" si="251"/>
        <v>0.16602769125711617</v>
      </c>
      <c r="T762" s="320">
        <f>T761/T760</f>
        <v>0.22118003300030822</v>
      </c>
      <c r="U762" s="292">
        <f>U761/U760</f>
        <v>0.18457261147459242</v>
      </c>
      <c r="V762" s="70"/>
      <c r="W762" s="70"/>
      <c r="X762" s="70"/>
      <c r="Y762" s="70"/>
      <c r="Z762" s="70"/>
      <c r="AA762" s="476"/>
      <c r="AB762" s="347" t="s">
        <v>3</v>
      </c>
      <c r="AC762" s="395">
        <f>AC761/AC760</f>
        <v>0.302678946274623</v>
      </c>
      <c r="AD762" s="635"/>
      <c r="AE762" s="635"/>
      <c r="AF762" s="635"/>
      <c r="AG762" s="635"/>
      <c r="AH762" s="635"/>
      <c r="AI762" s="635"/>
      <c r="AJ762" s="305">
        <f>AJ761/AJ760</f>
        <v>0.44421714648987376</v>
      </c>
      <c r="AK762" s="292">
        <f>AK761/AK760</f>
        <v>5.6493032726293656E-5</v>
      </c>
      <c r="AL762" s="399">
        <f>AL761/AL760</f>
        <v>0.41714964255495629</v>
      </c>
      <c r="AM762" s="343">
        <f>AM761/AM760</f>
        <v>5.4089073886876906E-5</v>
      </c>
      <c r="AN762" s="780"/>
      <c r="AO762" s="780"/>
    </row>
    <row r="763" spans="1:41" s="429" customFormat="1" ht="15" customHeight="1" x14ac:dyDescent="0.25">
      <c r="A763" s="1060" t="s">
        <v>6</v>
      </c>
      <c r="B763" s="418" t="s">
        <v>7</v>
      </c>
      <c r="C763" s="419">
        <v>5870</v>
      </c>
      <c r="D763" s="420">
        <v>3333</v>
      </c>
      <c r="E763" s="419">
        <v>3330</v>
      </c>
      <c r="F763" s="421">
        <v>9457</v>
      </c>
      <c r="G763" s="421">
        <v>8432</v>
      </c>
      <c r="H763" s="421">
        <v>15703</v>
      </c>
      <c r="I763" s="421">
        <v>8166</v>
      </c>
      <c r="J763" s="423">
        <v>9599</v>
      </c>
      <c r="K763" s="423">
        <v>4073</v>
      </c>
      <c r="L763" s="420">
        <v>6399</v>
      </c>
      <c r="M763" s="419">
        <v>9092</v>
      </c>
      <c r="N763" s="421">
        <v>11923</v>
      </c>
      <c r="O763" s="421">
        <v>4356</v>
      </c>
      <c r="P763" s="421">
        <v>10790</v>
      </c>
      <c r="Q763" s="423">
        <v>4799</v>
      </c>
      <c r="R763" s="423">
        <v>7192</v>
      </c>
      <c r="S763" s="420">
        <v>6399</v>
      </c>
      <c r="T763" s="424">
        <v>2480</v>
      </c>
      <c r="U763" s="420">
        <v>1570</v>
      </c>
      <c r="V763" s="425" t="s">
        <v>197</v>
      </c>
      <c r="W763" s="426"/>
      <c r="X763" s="427"/>
      <c r="Y763" s="427"/>
      <c r="Z763" s="427"/>
      <c r="AA763" s="428" t="s">
        <v>190</v>
      </c>
      <c r="AB763" s="418" t="s">
        <v>4</v>
      </c>
      <c r="AC763" s="430">
        <v>9191.7999999999993</v>
      </c>
      <c r="AD763" s="564"/>
      <c r="AE763" s="564"/>
      <c r="AF763" s="564"/>
      <c r="AG763" s="564"/>
      <c r="AH763" s="564"/>
      <c r="AI763" s="564"/>
      <c r="AJ763" s="431">
        <v>13787.7</v>
      </c>
      <c r="AK763" s="432">
        <v>8804.7999999999993</v>
      </c>
      <c r="AL763" s="433">
        <v>13787.7</v>
      </c>
      <c r="AM763" s="434">
        <v>8804.7999999999993</v>
      </c>
      <c r="AN763" s="781"/>
      <c r="AO763" s="781"/>
    </row>
    <row r="764" spans="1:41" s="267" customFormat="1" x14ac:dyDescent="0.25">
      <c r="A764" s="1061"/>
      <c r="B764" s="295" t="s">
        <v>11</v>
      </c>
      <c r="C764" s="302">
        <f t="shared" ref="C764:L764" si="252">C763*33.717</f>
        <v>197918.78999999998</v>
      </c>
      <c r="D764" s="263">
        <f t="shared" si="252"/>
        <v>112378.761</v>
      </c>
      <c r="E764" s="302">
        <f t="shared" si="252"/>
        <v>112277.61</v>
      </c>
      <c r="F764" s="355">
        <f t="shared" si="252"/>
        <v>318861.66899999999</v>
      </c>
      <c r="G764" s="308">
        <f t="shared" si="252"/>
        <v>284301.74400000001</v>
      </c>
      <c r="H764" s="354">
        <f t="shared" si="252"/>
        <v>529458.05099999998</v>
      </c>
      <c r="I764" s="354">
        <f t="shared" si="252"/>
        <v>275333.022</v>
      </c>
      <c r="J764" s="355">
        <f t="shared" si="252"/>
        <v>323649.48300000001</v>
      </c>
      <c r="K764" s="375">
        <f t="shared" si="252"/>
        <v>137329.34099999999</v>
      </c>
      <c r="L764" s="263">
        <f t="shared" si="252"/>
        <v>215755.08299999998</v>
      </c>
      <c r="M764" s="322">
        <f>M763*33.717</f>
        <v>306554.96399999998</v>
      </c>
      <c r="N764" s="308">
        <f>N763*33.717</f>
        <v>402007.79099999997</v>
      </c>
      <c r="O764" s="308">
        <f>O763*33.717</f>
        <v>146871.25200000001</v>
      </c>
      <c r="P764" s="354">
        <f>P763*33.717</f>
        <v>363806.43</v>
      </c>
      <c r="Q764" s="355">
        <f>Q763*33.717</f>
        <v>161807.883</v>
      </c>
      <c r="R764" s="375">
        <f t="shared" ref="R764:S764" si="253">R763*33.717</f>
        <v>242492.66399999999</v>
      </c>
      <c r="S764" s="263">
        <f t="shared" si="253"/>
        <v>215755.08299999998</v>
      </c>
      <c r="T764" s="302">
        <f>T763*33.717</f>
        <v>83618.16</v>
      </c>
      <c r="U764" s="354">
        <f>U763*33.717</f>
        <v>52935.689999999995</v>
      </c>
      <c r="V764" s="70"/>
      <c r="W764" s="70"/>
      <c r="X764" s="70"/>
      <c r="Y764" s="70"/>
      <c r="Z764" s="70"/>
      <c r="AA764" s="475"/>
      <c r="AB764" s="293" t="s">
        <v>5</v>
      </c>
      <c r="AC764" s="319">
        <v>8835</v>
      </c>
      <c r="AD764" s="936"/>
      <c r="AE764" s="936"/>
      <c r="AF764" s="936"/>
      <c r="AG764" s="936"/>
      <c r="AH764" s="936"/>
      <c r="AI764" s="936"/>
      <c r="AJ764" s="300">
        <v>13648.9</v>
      </c>
      <c r="AK764" s="264">
        <v>0</v>
      </c>
      <c r="AL764" s="398">
        <v>13649.5</v>
      </c>
      <c r="AM764" s="394">
        <v>30</v>
      </c>
      <c r="AN764" s="779"/>
      <c r="AO764" s="779"/>
    </row>
    <row r="765" spans="1:41" s="267" customFormat="1" ht="15.75" thickBot="1" x14ac:dyDescent="0.3">
      <c r="A765" s="1061"/>
      <c r="B765" s="295" t="s">
        <v>79</v>
      </c>
      <c r="C765" s="302">
        <v>164000</v>
      </c>
      <c r="D765" s="263">
        <v>109880</v>
      </c>
      <c r="E765" s="302">
        <v>109880</v>
      </c>
      <c r="F765" s="308">
        <v>328000</v>
      </c>
      <c r="G765" s="308">
        <v>330905</v>
      </c>
      <c r="H765" s="308">
        <v>264264</v>
      </c>
      <c r="I765" s="308">
        <v>242663.6</v>
      </c>
      <c r="J765" s="375">
        <v>328000</v>
      </c>
      <c r="K765" s="375">
        <v>328000</v>
      </c>
      <c r="L765" s="263">
        <v>328000</v>
      </c>
      <c r="M765" s="302">
        <v>328000</v>
      </c>
      <c r="N765" s="308">
        <v>264264.40000000002</v>
      </c>
      <c r="O765" s="308">
        <v>328000</v>
      </c>
      <c r="P765" s="308">
        <v>352965.4</v>
      </c>
      <c r="Q765" s="375">
        <v>328000</v>
      </c>
      <c r="R765" s="375">
        <v>328000</v>
      </c>
      <c r="S765" s="263">
        <v>328000</v>
      </c>
      <c r="T765" s="322">
        <f>2*T760</f>
        <v>110302</v>
      </c>
      <c r="U765" s="263">
        <f>2*U760</f>
        <v>66181</v>
      </c>
      <c r="V765" s="70"/>
      <c r="W765" s="70"/>
      <c r="X765" s="70"/>
      <c r="Y765" s="70"/>
      <c r="Z765" s="70"/>
      <c r="AA765" s="476"/>
      <c r="AB765" s="344" t="s">
        <v>3</v>
      </c>
      <c r="AC765" s="395">
        <f>AC764/AC763</f>
        <v>0.96118279335929857</v>
      </c>
      <c r="AD765" s="635"/>
      <c r="AE765" s="635"/>
      <c r="AF765" s="635"/>
      <c r="AG765" s="635"/>
      <c r="AH765" s="635"/>
      <c r="AI765" s="635"/>
      <c r="AJ765" s="301">
        <f>AJ764/AJ763</f>
        <v>0.98993305627479555</v>
      </c>
      <c r="AK765" s="401">
        <f>AK764/AK763</f>
        <v>0</v>
      </c>
      <c r="AL765" s="400">
        <f>AL764/AL763</f>
        <v>0.98997657332259903</v>
      </c>
      <c r="AM765" s="348">
        <f>AM764/AM763</f>
        <v>3.4072324186807199E-3</v>
      </c>
      <c r="AN765" s="780"/>
      <c r="AO765" s="780"/>
    </row>
    <row r="766" spans="1:41" s="267" customFormat="1" ht="15" customHeight="1" x14ac:dyDescent="0.25">
      <c r="A766" s="1061"/>
      <c r="B766" s="293" t="s">
        <v>8</v>
      </c>
      <c r="C766" s="303">
        <f>SUM(C763-295)</f>
        <v>5575</v>
      </c>
      <c r="D766" s="262">
        <f>SUM(D763-468)</f>
        <v>2865</v>
      </c>
      <c r="E766" s="303">
        <f>SUM(E763-435)</f>
        <v>2895</v>
      </c>
      <c r="F766" s="309">
        <f>SUM(F763-1130)</f>
        <v>8327</v>
      </c>
      <c r="G766" s="309">
        <f>SUM(G763-4523)</f>
        <v>3909</v>
      </c>
      <c r="H766" s="309">
        <f>SUM(H763-2022)</f>
        <v>13681</v>
      </c>
      <c r="I766" s="309">
        <f>SUM(I763-(3756-2000))</f>
        <v>6410</v>
      </c>
      <c r="J766" s="316">
        <f>SUM(J763-9019)</f>
        <v>580</v>
      </c>
      <c r="K766" s="316">
        <f>SUM(K763-1270)</f>
        <v>2803</v>
      </c>
      <c r="L766" s="262">
        <f>SUM(L763-5641)</f>
        <v>758</v>
      </c>
      <c r="M766" s="303">
        <f>SUM(M763-754)</f>
        <v>8338</v>
      </c>
      <c r="N766" s="309">
        <f>SUM(N763-1160)</f>
        <v>10763</v>
      </c>
      <c r="O766" s="316">
        <f>SUM(O763-300)</f>
        <v>4056</v>
      </c>
      <c r="P766" s="309">
        <f>SUM(P763-(5685-2614))</f>
        <v>7719</v>
      </c>
      <c r="Q766" s="316">
        <f>SUM(Q763-3771)</f>
        <v>1028</v>
      </c>
      <c r="R766" s="316">
        <f>SUM(R763-4636)</f>
        <v>2556</v>
      </c>
      <c r="S766" s="262">
        <f>SUM(S763-3281)</f>
        <v>3118</v>
      </c>
      <c r="T766" s="323">
        <f>SUM(T763-1010)</f>
        <v>1470</v>
      </c>
      <c r="U766" s="262">
        <f>SUM(U763-629)</f>
        <v>941</v>
      </c>
      <c r="V766" s="12" t="s">
        <v>176</v>
      </c>
      <c r="W766" s="70"/>
      <c r="X766" s="70"/>
      <c r="Y766" s="70"/>
      <c r="Z766" s="70"/>
      <c r="AA766" s="474" t="s">
        <v>191</v>
      </c>
      <c r="AB766" s="19" t="s">
        <v>4</v>
      </c>
      <c r="AC766" s="318">
        <v>97433.600000000006</v>
      </c>
      <c r="AD766" s="544"/>
      <c r="AE766" s="544"/>
      <c r="AF766" s="544"/>
      <c r="AG766" s="544"/>
      <c r="AH766" s="544"/>
      <c r="AI766" s="544"/>
      <c r="AJ766" s="299">
        <v>243584.4</v>
      </c>
      <c r="AK766" s="265">
        <v>132070.29999999999</v>
      </c>
      <c r="AL766" s="397">
        <v>292299.3</v>
      </c>
      <c r="AM766" s="393">
        <v>132070.39999999999</v>
      </c>
      <c r="AN766" s="778"/>
      <c r="AO766" s="778"/>
    </row>
    <row r="767" spans="1:41" s="267" customFormat="1" x14ac:dyDescent="0.25">
      <c r="A767" s="1061"/>
      <c r="B767" s="296" t="s">
        <v>77</v>
      </c>
      <c r="C767" s="302">
        <f>(C766*33.717)</f>
        <v>187972.27499999999</v>
      </c>
      <c r="D767" s="338">
        <f>(D766*33.717)</f>
        <v>96599.205000000002</v>
      </c>
      <c r="E767" s="302">
        <f>(E766*33.717)</f>
        <v>97610.714999999997</v>
      </c>
      <c r="F767" s="338">
        <f>(F766*33.717)</f>
        <v>280761.45899999997</v>
      </c>
      <c r="G767" s="280">
        <f>(G766*33.717)*2</f>
        <v>263599.50599999999</v>
      </c>
      <c r="H767" s="280">
        <f>(H766*33.717)</f>
        <v>461282.277</v>
      </c>
      <c r="I767" s="280">
        <f>(I766*33.717)-(2000*33.717)</f>
        <v>148691.97</v>
      </c>
      <c r="J767" s="376">
        <f>J766*33.717</f>
        <v>19555.86</v>
      </c>
      <c r="K767" s="376">
        <f>K766*33.717</f>
        <v>94508.750999999989</v>
      </c>
      <c r="L767" s="261">
        <f>L766*33.717</f>
        <v>25557.486000000001</v>
      </c>
      <c r="M767" s="304">
        <f>M766*33.717</f>
        <v>281132.34599999996</v>
      </c>
      <c r="N767" s="280">
        <f>N766*33.717</f>
        <v>362896.071</v>
      </c>
      <c r="O767" s="280">
        <f>(O766*33.717)</f>
        <v>136756.152</v>
      </c>
      <c r="P767" s="280">
        <f t="shared" ref="P767:U767" si="254">P766*33.717</f>
        <v>260261.52299999999</v>
      </c>
      <c r="Q767" s="376">
        <f t="shared" si="254"/>
        <v>34661.076000000001</v>
      </c>
      <c r="R767" s="376">
        <f t="shared" si="254"/>
        <v>86180.652000000002</v>
      </c>
      <c r="S767" s="261">
        <f t="shared" si="254"/>
        <v>105129.606</v>
      </c>
      <c r="T767" s="324">
        <f t="shared" si="254"/>
        <v>49563.99</v>
      </c>
      <c r="U767" s="325">
        <f t="shared" si="254"/>
        <v>31727.697</v>
      </c>
      <c r="V767" s="63">
        <f>344240-H767</f>
        <v>-117042.277</v>
      </c>
      <c r="W767" s="70" t="s">
        <v>177</v>
      </c>
      <c r="X767" s="70"/>
      <c r="Y767" s="70"/>
      <c r="Z767" s="70"/>
      <c r="AA767" s="475"/>
      <c r="AB767" s="293" t="s">
        <v>5</v>
      </c>
      <c r="AC767" s="319">
        <v>38973.199999999997</v>
      </c>
      <c r="AD767" s="936"/>
      <c r="AE767" s="936"/>
      <c r="AF767" s="936"/>
      <c r="AG767" s="936"/>
      <c r="AH767" s="936"/>
      <c r="AI767" s="936"/>
      <c r="AJ767" s="300">
        <v>95895.7</v>
      </c>
      <c r="AK767" s="264">
        <v>0.1</v>
      </c>
      <c r="AL767" s="398">
        <v>93978.8</v>
      </c>
      <c r="AM767" s="394">
        <v>1</v>
      </c>
      <c r="AN767" s="779"/>
      <c r="AO767" s="779"/>
    </row>
    <row r="768" spans="1:41" s="267" customFormat="1" ht="15.75" thickBot="1" x14ac:dyDescent="0.3">
      <c r="A768" s="1062"/>
      <c r="B768" s="294" t="s">
        <v>10</v>
      </c>
      <c r="C768" s="305">
        <f>C767/C760</f>
        <v>1.3108887811817871</v>
      </c>
      <c r="D768" s="292">
        <f t="shared" ref="D768:U768" si="255">D767/D760</f>
        <v>0.64178396815768612</v>
      </c>
      <c r="E768" s="310">
        <f t="shared" si="255"/>
        <v>0.64850421913315925</v>
      </c>
      <c r="F768" s="282">
        <f t="shared" si="255"/>
        <v>1.542655550476157</v>
      </c>
      <c r="G768" s="282">
        <f t="shared" si="255"/>
        <v>1.5931938943570247</v>
      </c>
      <c r="H768" s="282">
        <f t="shared" si="255"/>
        <v>3.4910478540923573</v>
      </c>
      <c r="I768" s="282">
        <f t="shared" si="255"/>
        <v>0.86970338413018533</v>
      </c>
      <c r="J768" s="377">
        <f t="shared" si="255"/>
        <v>0.11819550508148816</v>
      </c>
      <c r="K768" s="377">
        <f t="shared" si="255"/>
        <v>1.022693590415056</v>
      </c>
      <c r="L768" s="311">
        <f t="shared" si="255"/>
        <v>0.11872486429611667</v>
      </c>
      <c r="M768" s="310">
        <f t="shared" si="255"/>
        <v>1.4564246841538397</v>
      </c>
      <c r="N768" s="282">
        <f t="shared" si="255"/>
        <v>0.85501540882147975</v>
      </c>
      <c r="O768" s="282">
        <f t="shared" si="255"/>
        <v>1.6531097857279278</v>
      </c>
      <c r="P768" s="260">
        <f t="shared" si="255"/>
        <v>0.94381433881525267</v>
      </c>
      <c r="Q768" s="377">
        <f t="shared" si="255"/>
        <v>0.41898344667857734</v>
      </c>
      <c r="R768" s="377">
        <f t="shared" si="255"/>
        <v>0.45602668196268842</v>
      </c>
      <c r="S768" s="311">
        <f t="shared" si="255"/>
        <v>0.48836956052149311</v>
      </c>
      <c r="T768" s="305">
        <f t="shared" si="255"/>
        <v>0.89869612518358688</v>
      </c>
      <c r="U768" s="292">
        <f t="shared" si="255"/>
        <v>0.95881588371284809</v>
      </c>
      <c r="V768" s="126"/>
      <c r="W768" s="70"/>
      <c r="X768" s="70"/>
      <c r="Y768" s="70"/>
      <c r="Z768" s="70"/>
      <c r="AA768" s="476"/>
      <c r="AB768" s="294" t="s">
        <v>3</v>
      </c>
      <c r="AC768" s="320">
        <f>AC767/AC766</f>
        <v>0.39999753678402516</v>
      </c>
      <c r="AD768" s="545"/>
      <c r="AE768" s="545"/>
      <c r="AF768" s="545"/>
      <c r="AG768" s="545"/>
      <c r="AH768" s="545"/>
      <c r="AI768" s="545"/>
      <c r="AJ768" s="305">
        <f>AJ767/AJ766</f>
        <v>0.39368572043201455</v>
      </c>
      <c r="AK768" s="292">
        <f>AK767/AK766</f>
        <v>7.5717250585483648E-7</v>
      </c>
      <c r="AL768" s="399">
        <f>AL767/AL766</f>
        <v>0.32151565193621745</v>
      </c>
      <c r="AM768" s="343">
        <f>AM767/AM766</f>
        <v>7.5717193254506694E-6</v>
      </c>
      <c r="AN768" s="780"/>
      <c r="AO768" s="780"/>
    </row>
    <row r="769" spans="1:41" s="267" customFormat="1" ht="15.75" thickBot="1" x14ac:dyDescent="0.3">
      <c r="A769" s="1048">
        <v>41541</v>
      </c>
      <c r="B769" s="1048"/>
      <c r="C769" s="1048"/>
      <c r="D769" s="276"/>
      <c r="E769" s="276"/>
      <c r="F769" s="276"/>
      <c r="G769" s="276"/>
      <c r="H769" s="276"/>
      <c r="I769" s="11"/>
      <c r="J769" s="281"/>
      <c r="K769" s="281"/>
      <c r="L769" s="276"/>
      <c r="M769" s="276"/>
      <c r="N769" s="13"/>
      <c r="R769" s="12"/>
      <c r="S769" s="70"/>
      <c r="T769" s="70"/>
      <c r="U769" s="70"/>
      <c r="V769" s="70"/>
      <c r="W769" s="70"/>
      <c r="X769" s="70"/>
      <c r="Y769" s="70"/>
      <c r="Z769" s="70"/>
      <c r="AA769" s="1063"/>
      <c r="AB769" s="1064"/>
      <c r="AD769" s="743"/>
      <c r="AE769" s="743"/>
      <c r="AF769" s="743"/>
      <c r="AG769" s="743"/>
      <c r="AH769" s="743"/>
      <c r="AI769" s="743"/>
      <c r="AN769" s="743"/>
      <c r="AO769" s="743"/>
    </row>
    <row r="770" spans="1:41" s="267" customFormat="1" x14ac:dyDescent="0.25">
      <c r="A770" s="1049" t="s">
        <v>1</v>
      </c>
      <c r="B770" s="1050"/>
      <c r="C770" s="297" t="s">
        <v>12</v>
      </c>
      <c r="D770" s="266" t="s">
        <v>12</v>
      </c>
      <c r="E770" s="297" t="s">
        <v>13</v>
      </c>
      <c r="F770" s="277" t="s">
        <v>13</v>
      </c>
      <c r="G770" s="277" t="s">
        <v>13</v>
      </c>
      <c r="H770" s="277" t="s">
        <v>13</v>
      </c>
      <c r="I770" s="277" t="s">
        <v>13</v>
      </c>
      <c r="J770" s="286" t="s">
        <v>13</v>
      </c>
      <c r="K770" s="286" t="s">
        <v>13</v>
      </c>
      <c r="L770" s="266" t="s">
        <v>13</v>
      </c>
      <c r="M770" s="297" t="s">
        <v>2</v>
      </c>
      <c r="N770" s="277" t="s">
        <v>2</v>
      </c>
      <c r="O770" s="286" t="s">
        <v>2</v>
      </c>
      <c r="P770" s="277" t="s">
        <v>2</v>
      </c>
      <c r="Q770" s="286" t="s">
        <v>2</v>
      </c>
      <c r="R770" s="286" t="s">
        <v>2</v>
      </c>
      <c r="S770" s="266" t="s">
        <v>2</v>
      </c>
      <c r="T770" s="328" t="s">
        <v>183</v>
      </c>
      <c r="U770" s="327" t="s">
        <v>183</v>
      </c>
      <c r="V770" s="12"/>
      <c r="W770" s="70"/>
      <c r="X770" s="70"/>
      <c r="Y770" s="70"/>
      <c r="Z770" s="70"/>
      <c r="AA770" s="1049" t="s">
        <v>1</v>
      </c>
      <c r="AB770" s="1051"/>
      <c r="AC770" s="472" t="s">
        <v>12</v>
      </c>
      <c r="AD770" s="912"/>
      <c r="AE770" s="912"/>
      <c r="AF770" s="912"/>
      <c r="AG770" s="912"/>
      <c r="AH770" s="912"/>
      <c r="AI770" s="912"/>
      <c r="AJ770" s="1052" t="s">
        <v>13</v>
      </c>
      <c r="AK770" s="1053"/>
      <c r="AL770" s="1052" t="s">
        <v>2</v>
      </c>
      <c r="AM770" s="1053"/>
      <c r="AN770" s="776"/>
      <c r="AO770" s="776"/>
    </row>
    <row r="771" spans="1:41" s="267" customFormat="1" ht="15.75" thickBot="1" x14ac:dyDescent="0.3">
      <c r="A771" s="1054" t="s">
        <v>0</v>
      </c>
      <c r="B771" s="1066"/>
      <c r="C771" s="298" t="s">
        <v>99</v>
      </c>
      <c r="D771" s="291" t="s">
        <v>100</v>
      </c>
      <c r="E771" s="298" t="s">
        <v>101</v>
      </c>
      <c r="F771" s="306" t="s">
        <v>102</v>
      </c>
      <c r="G771" s="306" t="s">
        <v>97</v>
      </c>
      <c r="H771" s="306" t="s">
        <v>104</v>
      </c>
      <c r="I771" s="306" t="s">
        <v>103</v>
      </c>
      <c r="J771" s="378" t="s">
        <v>178</v>
      </c>
      <c r="K771" s="378" t="s">
        <v>199</v>
      </c>
      <c r="L771" s="314" t="s">
        <v>206</v>
      </c>
      <c r="M771" s="298" t="s">
        <v>105</v>
      </c>
      <c r="N771" s="306" t="s">
        <v>107</v>
      </c>
      <c r="O771" s="312" t="s">
        <v>98</v>
      </c>
      <c r="P771" s="313" t="s">
        <v>106</v>
      </c>
      <c r="Q771" s="312" t="s">
        <v>179</v>
      </c>
      <c r="R771" s="312" t="s">
        <v>198</v>
      </c>
      <c r="S771" s="291" t="s">
        <v>207</v>
      </c>
      <c r="T771" s="317" t="s">
        <v>182</v>
      </c>
      <c r="U771" s="291" t="s">
        <v>184</v>
      </c>
      <c r="V771" s="12"/>
      <c r="W771" s="12"/>
      <c r="X771" s="12"/>
      <c r="Y771" s="12"/>
      <c r="Z771" s="12"/>
      <c r="AA771" s="1054" t="s">
        <v>0</v>
      </c>
      <c r="AB771" s="1067"/>
      <c r="AC771" s="317" t="s">
        <v>99</v>
      </c>
      <c r="AD771" s="621"/>
      <c r="AE771" s="621"/>
      <c r="AF771" s="621"/>
      <c r="AG771" s="621"/>
      <c r="AH771" s="621"/>
      <c r="AI771" s="621"/>
      <c r="AJ771" s="298" t="s">
        <v>104</v>
      </c>
      <c r="AK771" s="291" t="s">
        <v>206</v>
      </c>
      <c r="AL771" s="396" t="s">
        <v>107</v>
      </c>
      <c r="AM771" s="392" t="s">
        <v>207</v>
      </c>
      <c r="AN771" s="777"/>
      <c r="AO771" s="777"/>
    </row>
    <row r="772" spans="1:41" s="267" customFormat="1" ht="15" customHeight="1" x14ac:dyDescent="0.25">
      <c r="A772" s="1057" t="s">
        <v>9</v>
      </c>
      <c r="B772" s="19" t="s">
        <v>4</v>
      </c>
      <c r="C772" s="299">
        <v>143393</v>
      </c>
      <c r="D772" s="265">
        <v>150516.70000000001</v>
      </c>
      <c r="E772" s="299">
        <v>150516.70000000001</v>
      </c>
      <c r="F772" s="283">
        <v>181998.8</v>
      </c>
      <c r="G772" s="283">
        <v>165453.5</v>
      </c>
      <c r="H772" s="283">
        <v>132132.9</v>
      </c>
      <c r="I772" s="283">
        <v>170968.6</v>
      </c>
      <c r="J772" s="223">
        <v>165453.5</v>
      </c>
      <c r="K772" s="223">
        <v>92411.6</v>
      </c>
      <c r="L772" s="265">
        <v>82074.100000000006</v>
      </c>
      <c r="M772" s="299">
        <v>193029.1</v>
      </c>
      <c r="N772" s="283">
        <v>132132.9</v>
      </c>
      <c r="O772" s="283">
        <v>82726.600000000006</v>
      </c>
      <c r="P772" s="283">
        <v>275755</v>
      </c>
      <c r="Q772" s="223">
        <v>82726.600000000006</v>
      </c>
      <c r="R772" s="223">
        <v>188981.6</v>
      </c>
      <c r="S772" s="265">
        <v>83196.100000000006</v>
      </c>
      <c r="T772" s="318">
        <v>55151</v>
      </c>
      <c r="U772" s="265">
        <v>33090.5</v>
      </c>
      <c r="V772" s="70"/>
      <c r="W772" s="70"/>
      <c r="X772" s="70"/>
      <c r="Y772" s="70"/>
      <c r="Z772" s="70"/>
      <c r="AA772" s="469" t="s">
        <v>194</v>
      </c>
      <c r="AB772" s="2" t="s">
        <v>4</v>
      </c>
      <c r="AC772" s="318">
        <v>143392.20000000001</v>
      </c>
      <c r="AD772" s="544"/>
      <c r="AE772" s="544"/>
      <c r="AF772" s="544"/>
      <c r="AG772" s="544"/>
      <c r="AH772" s="544"/>
      <c r="AI772" s="544"/>
      <c r="AJ772" s="299">
        <v>132132</v>
      </c>
      <c r="AK772" s="265">
        <v>83196.100000000006</v>
      </c>
      <c r="AL772" s="397">
        <v>132132.20000000001</v>
      </c>
      <c r="AM772" s="393">
        <v>83196.100000000006</v>
      </c>
      <c r="AN772" s="778"/>
      <c r="AO772" s="778"/>
    </row>
    <row r="773" spans="1:41" s="267" customFormat="1" x14ac:dyDescent="0.25">
      <c r="A773" s="1058"/>
      <c r="B773" s="293" t="s">
        <v>5</v>
      </c>
      <c r="C773" s="300">
        <v>48057.1</v>
      </c>
      <c r="D773" s="264">
        <v>80415.100000000006</v>
      </c>
      <c r="E773" s="300">
        <v>81896.7</v>
      </c>
      <c r="F773" s="307">
        <v>150242.70000000001</v>
      </c>
      <c r="G773" s="307">
        <v>118186.2</v>
      </c>
      <c r="H773" s="307">
        <v>58557.1</v>
      </c>
      <c r="I773" s="307">
        <v>98101.9</v>
      </c>
      <c r="J773" s="374">
        <v>24354.400000000001</v>
      </c>
      <c r="K773" s="374">
        <v>44585.1</v>
      </c>
      <c r="L773" s="264">
        <v>1139.9000000000001</v>
      </c>
      <c r="M773" s="300">
        <v>160229.6</v>
      </c>
      <c r="N773" s="307">
        <v>58783.4</v>
      </c>
      <c r="O773" s="307">
        <v>60762.6</v>
      </c>
      <c r="P773" s="307">
        <v>179575.9</v>
      </c>
      <c r="Q773" s="374">
        <v>12645.2</v>
      </c>
      <c r="R773" s="374">
        <v>70054.399999999994</v>
      </c>
      <c r="S773" s="264">
        <v>28245.9</v>
      </c>
      <c r="T773" s="319">
        <v>12151.2</v>
      </c>
      <c r="U773" s="264">
        <v>6056.4</v>
      </c>
      <c r="V773" s="70"/>
      <c r="W773" s="70"/>
      <c r="X773" s="70"/>
      <c r="Y773" s="70"/>
      <c r="Z773" s="70"/>
      <c r="AA773" s="470"/>
      <c r="AB773" s="342" t="s">
        <v>5</v>
      </c>
      <c r="AC773" s="319">
        <v>43401.8</v>
      </c>
      <c r="AD773" s="936"/>
      <c r="AE773" s="936"/>
      <c r="AF773" s="936"/>
      <c r="AG773" s="936"/>
      <c r="AH773" s="936"/>
      <c r="AI773" s="936"/>
      <c r="AJ773" s="300">
        <v>58695.3</v>
      </c>
      <c r="AK773" s="264">
        <v>4.7</v>
      </c>
      <c r="AL773" s="398">
        <v>55118.9</v>
      </c>
      <c r="AM773" s="394">
        <v>4.5</v>
      </c>
      <c r="AN773" s="779"/>
      <c r="AO773" s="779"/>
    </row>
    <row r="774" spans="1:41" s="267" customFormat="1" ht="15.75" thickBot="1" x14ac:dyDescent="0.3">
      <c r="A774" s="1059"/>
      <c r="B774" s="294" t="s">
        <v>3</v>
      </c>
      <c r="C774" s="305">
        <f t="shared" ref="C774:L774" si="256">C773/C772</f>
        <v>0.33514258018173831</v>
      </c>
      <c r="D774" s="343">
        <f t="shared" si="256"/>
        <v>0.53426031795807372</v>
      </c>
      <c r="E774" s="305">
        <f t="shared" si="256"/>
        <v>0.5441037439699381</v>
      </c>
      <c r="F774" s="371">
        <f t="shared" si="256"/>
        <v>0.82551478361395803</v>
      </c>
      <c r="G774" s="278">
        <f t="shared" si="256"/>
        <v>0.71431671134185737</v>
      </c>
      <c r="H774" s="278">
        <f t="shared" si="256"/>
        <v>0.44316820413386826</v>
      </c>
      <c r="I774" s="278">
        <f t="shared" si="256"/>
        <v>0.57380068620787672</v>
      </c>
      <c r="J774" s="315">
        <f t="shared" si="256"/>
        <v>0.14719785317324807</v>
      </c>
      <c r="K774" s="315">
        <f t="shared" si="256"/>
        <v>0.48246215843032686</v>
      </c>
      <c r="L774" s="292">
        <f t="shared" si="256"/>
        <v>1.3888668897983651E-2</v>
      </c>
      <c r="M774" s="372">
        <f>M773/M772</f>
        <v>0.83008002420360449</v>
      </c>
      <c r="N774" s="278">
        <f>N773/N772</f>
        <v>0.44488087372637702</v>
      </c>
      <c r="O774" s="315">
        <f>O773/O772</f>
        <v>0.73449893988148907</v>
      </c>
      <c r="P774" s="278">
        <f>P773/P772</f>
        <v>0.65121539047342747</v>
      </c>
      <c r="Q774" s="315">
        <f>Q773/Q772</f>
        <v>0.15285530893328142</v>
      </c>
      <c r="R774" s="315">
        <f t="shared" ref="R774:S774" si="257">R773/R772</f>
        <v>0.37069428981445807</v>
      </c>
      <c r="S774" s="292">
        <f t="shared" si="257"/>
        <v>0.33950990491140809</v>
      </c>
      <c r="T774" s="320">
        <f>T773/T772</f>
        <v>0.22032601403419705</v>
      </c>
      <c r="U774" s="292">
        <f>U773/U772</f>
        <v>0.18302533959897854</v>
      </c>
      <c r="V774" s="70"/>
      <c r="W774" s="70"/>
      <c r="X774" s="70"/>
      <c r="Y774" s="70"/>
      <c r="Z774" s="70"/>
      <c r="AA774" s="471"/>
      <c r="AB774" s="347" t="s">
        <v>3</v>
      </c>
      <c r="AC774" s="395">
        <f>AC773/AC772</f>
        <v>0.302678946274623</v>
      </c>
      <c r="AD774" s="635"/>
      <c r="AE774" s="635"/>
      <c r="AF774" s="635"/>
      <c r="AG774" s="635"/>
      <c r="AH774" s="635"/>
      <c r="AI774" s="635"/>
      <c r="AJ774" s="305">
        <f>AJ773/AJ772</f>
        <v>0.44421714648987376</v>
      </c>
      <c r="AK774" s="292">
        <f>AK773/AK772</f>
        <v>5.6493032726293656E-5</v>
      </c>
      <c r="AL774" s="399">
        <f>AL773/AL772</f>
        <v>0.41714964255495629</v>
      </c>
      <c r="AM774" s="343">
        <f>AM773/AM772</f>
        <v>5.4089073886876906E-5</v>
      </c>
      <c r="AN774" s="780"/>
      <c r="AO774" s="780"/>
    </row>
    <row r="775" spans="1:41" s="429" customFormat="1" ht="15" customHeight="1" x14ac:dyDescent="0.25">
      <c r="A775" s="1060" t="s">
        <v>6</v>
      </c>
      <c r="B775" s="418" t="s">
        <v>7</v>
      </c>
      <c r="C775" s="419">
        <v>5870</v>
      </c>
      <c r="D775" s="420">
        <v>3333</v>
      </c>
      <c r="E775" s="419">
        <v>3330</v>
      </c>
      <c r="F775" s="421">
        <v>9457</v>
      </c>
      <c r="G775" s="421">
        <v>8432</v>
      </c>
      <c r="H775" s="421">
        <v>15703</v>
      </c>
      <c r="I775" s="421">
        <v>7403</v>
      </c>
      <c r="J775" s="423">
        <v>9599</v>
      </c>
      <c r="K775" s="423">
        <v>4073</v>
      </c>
      <c r="L775" s="420">
        <v>6399</v>
      </c>
      <c r="M775" s="419">
        <v>9092</v>
      </c>
      <c r="N775" s="421">
        <v>11763</v>
      </c>
      <c r="O775" s="421">
        <v>4356</v>
      </c>
      <c r="P775" s="421">
        <v>10027</v>
      </c>
      <c r="Q775" s="423">
        <v>4799</v>
      </c>
      <c r="R775" s="423">
        <v>7192</v>
      </c>
      <c r="S775" s="420">
        <v>6399</v>
      </c>
      <c r="T775" s="424">
        <v>2480</v>
      </c>
      <c r="U775" s="420">
        <v>1570</v>
      </c>
      <c r="V775" s="425" t="s">
        <v>197</v>
      </c>
      <c r="W775" s="426"/>
      <c r="X775" s="427"/>
      <c r="Y775" s="427"/>
      <c r="Z775" s="427"/>
      <c r="AA775" s="428" t="s">
        <v>190</v>
      </c>
      <c r="AB775" s="418" t="s">
        <v>4</v>
      </c>
      <c r="AC775" s="430">
        <v>9191.7999999999993</v>
      </c>
      <c r="AD775" s="564"/>
      <c r="AE775" s="564"/>
      <c r="AF775" s="564"/>
      <c r="AG775" s="564"/>
      <c r="AH775" s="564"/>
      <c r="AI775" s="564"/>
      <c r="AJ775" s="431">
        <v>13787.7</v>
      </c>
      <c r="AK775" s="432">
        <v>8804.7999999999993</v>
      </c>
      <c r="AL775" s="433">
        <v>13787.7</v>
      </c>
      <c r="AM775" s="434">
        <v>8804.7999999999993</v>
      </c>
      <c r="AN775" s="781"/>
      <c r="AO775" s="781"/>
    </row>
    <row r="776" spans="1:41" s="267" customFormat="1" x14ac:dyDescent="0.25">
      <c r="A776" s="1061"/>
      <c r="B776" s="295" t="s">
        <v>11</v>
      </c>
      <c r="C776" s="302">
        <f t="shared" ref="C776:L776" si="258">C775*33.717</f>
        <v>197918.78999999998</v>
      </c>
      <c r="D776" s="263">
        <f t="shared" si="258"/>
        <v>112378.761</v>
      </c>
      <c r="E776" s="302">
        <f t="shared" si="258"/>
        <v>112277.61</v>
      </c>
      <c r="F776" s="355">
        <f t="shared" si="258"/>
        <v>318861.66899999999</v>
      </c>
      <c r="G776" s="308">
        <f t="shared" si="258"/>
        <v>284301.74400000001</v>
      </c>
      <c r="H776" s="354">
        <f t="shared" si="258"/>
        <v>529458.05099999998</v>
      </c>
      <c r="I776" s="354">
        <f t="shared" si="258"/>
        <v>249606.951</v>
      </c>
      <c r="J776" s="355">
        <f t="shared" si="258"/>
        <v>323649.48300000001</v>
      </c>
      <c r="K776" s="375">
        <f t="shared" si="258"/>
        <v>137329.34099999999</v>
      </c>
      <c r="L776" s="263">
        <f t="shared" si="258"/>
        <v>215755.08299999998</v>
      </c>
      <c r="M776" s="322">
        <f>M775*33.717</f>
        <v>306554.96399999998</v>
      </c>
      <c r="N776" s="308">
        <f>N775*33.717</f>
        <v>396613.071</v>
      </c>
      <c r="O776" s="308">
        <f>O775*33.717</f>
        <v>146871.25200000001</v>
      </c>
      <c r="P776" s="354">
        <f>P775*33.717</f>
        <v>338080.359</v>
      </c>
      <c r="Q776" s="355">
        <f>Q775*33.717</f>
        <v>161807.883</v>
      </c>
      <c r="R776" s="375">
        <f t="shared" ref="R776:S776" si="259">R775*33.717</f>
        <v>242492.66399999999</v>
      </c>
      <c r="S776" s="263">
        <f t="shared" si="259"/>
        <v>215755.08299999998</v>
      </c>
      <c r="T776" s="302">
        <f>T775*33.717</f>
        <v>83618.16</v>
      </c>
      <c r="U776" s="354">
        <f>U775*33.717</f>
        <v>52935.689999999995</v>
      </c>
      <c r="V776" s="70"/>
      <c r="W776" s="70"/>
      <c r="X776" s="70"/>
      <c r="Y776" s="70"/>
      <c r="Z776" s="70"/>
      <c r="AA776" s="470"/>
      <c r="AB776" s="293" t="s">
        <v>5</v>
      </c>
      <c r="AC776" s="319">
        <v>8835</v>
      </c>
      <c r="AD776" s="936"/>
      <c r="AE776" s="936"/>
      <c r="AF776" s="936"/>
      <c r="AG776" s="936"/>
      <c r="AH776" s="936"/>
      <c r="AI776" s="936"/>
      <c r="AJ776" s="300">
        <v>13648.9</v>
      </c>
      <c r="AK776" s="264">
        <v>0</v>
      </c>
      <c r="AL776" s="398">
        <v>13649.5</v>
      </c>
      <c r="AM776" s="394">
        <v>30</v>
      </c>
      <c r="AN776" s="779"/>
      <c r="AO776" s="779"/>
    </row>
    <row r="777" spans="1:41" s="267" customFormat="1" ht="15.75" thickBot="1" x14ac:dyDescent="0.3">
      <c r="A777" s="1061"/>
      <c r="B777" s="295" t="s">
        <v>79</v>
      </c>
      <c r="C777" s="302">
        <v>164000</v>
      </c>
      <c r="D777" s="263">
        <v>109880</v>
      </c>
      <c r="E777" s="302">
        <v>109880</v>
      </c>
      <c r="F777" s="308">
        <v>328000</v>
      </c>
      <c r="G777" s="308">
        <v>330905</v>
      </c>
      <c r="H777" s="308">
        <v>264264</v>
      </c>
      <c r="I777" s="308">
        <v>242663.6</v>
      </c>
      <c r="J777" s="375">
        <v>328000</v>
      </c>
      <c r="K777" s="375">
        <v>328000</v>
      </c>
      <c r="L777" s="263">
        <v>328000</v>
      </c>
      <c r="M777" s="302">
        <v>328000</v>
      </c>
      <c r="N777" s="308">
        <v>264264.40000000002</v>
      </c>
      <c r="O777" s="308">
        <v>328000</v>
      </c>
      <c r="P777" s="308">
        <v>352965.4</v>
      </c>
      <c r="Q777" s="375">
        <v>328000</v>
      </c>
      <c r="R777" s="375">
        <v>328000</v>
      </c>
      <c r="S777" s="263">
        <v>328000</v>
      </c>
      <c r="T777" s="322">
        <f>2*T772</f>
        <v>110302</v>
      </c>
      <c r="U777" s="263">
        <f>2*U772</f>
        <v>66181</v>
      </c>
      <c r="V777" s="70"/>
      <c r="W777" s="70"/>
      <c r="X777" s="70"/>
      <c r="Y777" s="70"/>
      <c r="Z777" s="70"/>
      <c r="AA777" s="471"/>
      <c r="AB777" s="344" t="s">
        <v>3</v>
      </c>
      <c r="AC777" s="395">
        <f>AC776/AC775</f>
        <v>0.96118279335929857</v>
      </c>
      <c r="AD777" s="635"/>
      <c r="AE777" s="635"/>
      <c r="AF777" s="635"/>
      <c r="AG777" s="635"/>
      <c r="AH777" s="635"/>
      <c r="AI777" s="635"/>
      <c r="AJ777" s="301">
        <f>AJ776/AJ775</f>
        <v>0.98993305627479555</v>
      </c>
      <c r="AK777" s="401">
        <f>AK776/AK775</f>
        <v>0</v>
      </c>
      <c r="AL777" s="400">
        <f>AL776/AL775</f>
        <v>0.98997657332259903</v>
      </c>
      <c r="AM777" s="348">
        <f>AM776/AM775</f>
        <v>3.4072324186807199E-3</v>
      </c>
      <c r="AN777" s="780"/>
      <c r="AO777" s="780"/>
    </row>
    <row r="778" spans="1:41" s="267" customFormat="1" ht="15" customHeight="1" x14ac:dyDescent="0.25">
      <c r="A778" s="1061"/>
      <c r="B778" s="293" t="s">
        <v>8</v>
      </c>
      <c r="C778" s="303">
        <f>SUM(C775-295)</f>
        <v>5575</v>
      </c>
      <c r="D778" s="262">
        <f>SUM(D775-468)</f>
        <v>2865</v>
      </c>
      <c r="E778" s="303">
        <f>SUM(E775-435)</f>
        <v>2895</v>
      </c>
      <c r="F778" s="309">
        <f>SUM(F775-1130)</f>
        <v>8327</v>
      </c>
      <c r="G778" s="309">
        <f>SUM(G775-4523)</f>
        <v>3909</v>
      </c>
      <c r="H778" s="309">
        <f>SUM(H775-2022)</f>
        <v>13681</v>
      </c>
      <c r="I778" s="309">
        <f>SUM(I775-(3090-2000))</f>
        <v>6313</v>
      </c>
      <c r="J778" s="316">
        <f>SUM(J775-9019)</f>
        <v>580</v>
      </c>
      <c r="K778" s="316">
        <f>SUM(K775-1270)</f>
        <v>2803</v>
      </c>
      <c r="L778" s="262">
        <f>SUM(L775-5660)</f>
        <v>739</v>
      </c>
      <c r="M778" s="303">
        <f>SUM(M775-754)</f>
        <v>8338</v>
      </c>
      <c r="N778" s="309">
        <f>SUM(N775-1000)</f>
        <v>10763</v>
      </c>
      <c r="O778" s="316">
        <f>SUM(O775-300)</f>
        <v>4056</v>
      </c>
      <c r="P778" s="309">
        <f>SUM(P775-(5019-2614))</f>
        <v>7622</v>
      </c>
      <c r="Q778" s="316">
        <f>SUM(Q775-3771)</f>
        <v>1028</v>
      </c>
      <c r="R778" s="316">
        <f>SUM(R775-4636)</f>
        <v>2556</v>
      </c>
      <c r="S778" s="262">
        <f>SUM(S775-3285)</f>
        <v>3114</v>
      </c>
      <c r="T778" s="323">
        <f>SUM(T775-1010)</f>
        <v>1470</v>
      </c>
      <c r="U778" s="262">
        <f>SUM(U775-629)</f>
        <v>941</v>
      </c>
      <c r="V778" s="12" t="s">
        <v>176</v>
      </c>
      <c r="W778" s="70"/>
      <c r="X778" s="70"/>
      <c r="Y778" s="70"/>
      <c r="Z778" s="70"/>
      <c r="AA778" s="469" t="s">
        <v>191</v>
      </c>
      <c r="AB778" s="19" t="s">
        <v>4</v>
      </c>
      <c r="AC778" s="318">
        <v>97433.600000000006</v>
      </c>
      <c r="AD778" s="544"/>
      <c r="AE778" s="544"/>
      <c r="AF778" s="544"/>
      <c r="AG778" s="544"/>
      <c r="AH778" s="544"/>
      <c r="AI778" s="544"/>
      <c r="AJ778" s="299">
        <v>243584.4</v>
      </c>
      <c r="AK778" s="265">
        <v>132070.29999999999</v>
      </c>
      <c r="AL778" s="397">
        <v>292299.3</v>
      </c>
      <c r="AM778" s="393">
        <v>132070.39999999999</v>
      </c>
      <c r="AN778" s="778"/>
      <c r="AO778" s="778"/>
    </row>
    <row r="779" spans="1:41" s="267" customFormat="1" x14ac:dyDescent="0.25">
      <c r="A779" s="1061"/>
      <c r="B779" s="296" t="s">
        <v>77</v>
      </c>
      <c r="C779" s="302">
        <f>(C778*33.717)</f>
        <v>187972.27499999999</v>
      </c>
      <c r="D779" s="338">
        <f>(D778*33.717)</f>
        <v>96599.205000000002</v>
      </c>
      <c r="E779" s="302">
        <f>(E778*33.717)</f>
        <v>97610.714999999997</v>
      </c>
      <c r="F779" s="338">
        <f>(F778*33.717)</f>
        <v>280761.45899999997</v>
      </c>
      <c r="G779" s="280">
        <f>(G778*33.717)*2</f>
        <v>263599.50599999999</v>
      </c>
      <c r="H779" s="280">
        <f>(H778*33.717)</f>
        <v>461282.277</v>
      </c>
      <c r="I779" s="280">
        <f>(I778*33.717)-(2000*33.717)</f>
        <v>145421.421</v>
      </c>
      <c r="J779" s="376">
        <f>J778*33.717</f>
        <v>19555.86</v>
      </c>
      <c r="K779" s="376">
        <f>K778*33.717</f>
        <v>94508.750999999989</v>
      </c>
      <c r="L779" s="261">
        <f>L778*33.717</f>
        <v>24916.862999999998</v>
      </c>
      <c r="M779" s="304">
        <f>M778*33.717</f>
        <v>281132.34599999996</v>
      </c>
      <c r="N779" s="280">
        <f>N778*33.717</f>
        <v>362896.071</v>
      </c>
      <c r="O779" s="280">
        <f>(O778*33.717)</f>
        <v>136756.152</v>
      </c>
      <c r="P779" s="280">
        <f t="shared" ref="P779:U779" si="260">P778*33.717</f>
        <v>256990.97399999999</v>
      </c>
      <c r="Q779" s="376">
        <f t="shared" si="260"/>
        <v>34661.076000000001</v>
      </c>
      <c r="R779" s="376">
        <f t="shared" si="260"/>
        <v>86180.652000000002</v>
      </c>
      <c r="S779" s="261">
        <f t="shared" si="260"/>
        <v>104994.738</v>
      </c>
      <c r="T779" s="324">
        <f t="shared" si="260"/>
        <v>49563.99</v>
      </c>
      <c r="U779" s="325">
        <f t="shared" si="260"/>
        <v>31727.697</v>
      </c>
      <c r="V779" s="63">
        <f>344240-H779</f>
        <v>-117042.277</v>
      </c>
      <c r="W779" s="70" t="s">
        <v>177</v>
      </c>
      <c r="X779" s="70"/>
      <c r="Y779" s="70"/>
      <c r="Z779" s="70"/>
      <c r="AA779" s="470"/>
      <c r="AB779" s="293" t="s">
        <v>5</v>
      </c>
      <c r="AC779" s="319">
        <v>38973.199999999997</v>
      </c>
      <c r="AD779" s="936"/>
      <c r="AE779" s="936"/>
      <c r="AF779" s="936"/>
      <c r="AG779" s="936"/>
      <c r="AH779" s="936"/>
      <c r="AI779" s="936"/>
      <c r="AJ779" s="300">
        <v>95895.7</v>
      </c>
      <c r="AK779" s="264">
        <v>0.1</v>
      </c>
      <c r="AL779" s="398">
        <v>93978.8</v>
      </c>
      <c r="AM779" s="394">
        <v>1</v>
      </c>
      <c r="AN779" s="779"/>
      <c r="AO779" s="779"/>
    </row>
    <row r="780" spans="1:41" s="267" customFormat="1" ht="15.75" thickBot="1" x14ac:dyDescent="0.3">
      <c r="A780" s="1062"/>
      <c r="B780" s="294" t="s">
        <v>10</v>
      </c>
      <c r="C780" s="305">
        <f>C779/C772</f>
        <v>1.3108887811817871</v>
      </c>
      <c r="D780" s="292">
        <f t="shared" ref="D780:U780" si="261">D779/D772</f>
        <v>0.64178396815768612</v>
      </c>
      <c r="E780" s="310">
        <f t="shared" si="261"/>
        <v>0.64850421913315925</v>
      </c>
      <c r="F780" s="282">
        <f t="shared" si="261"/>
        <v>1.542655550476157</v>
      </c>
      <c r="G780" s="282">
        <f t="shared" si="261"/>
        <v>1.5931938943570247</v>
      </c>
      <c r="H780" s="282">
        <f t="shared" si="261"/>
        <v>3.4910478540923573</v>
      </c>
      <c r="I780" s="282">
        <f t="shared" si="261"/>
        <v>0.85057385391235585</v>
      </c>
      <c r="J780" s="377">
        <f t="shared" si="261"/>
        <v>0.11819550508148816</v>
      </c>
      <c r="K780" s="377">
        <f t="shared" si="261"/>
        <v>1.022693590415056</v>
      </c>
      <c r="L780" s="311">
        <f t="shared" si="261"/>
        <v>0.30358984137505007</v>
      </c>
      <c r="M780" s="310">
        <f t="shared" si="261"/>
        <v>1.4564246841538397</v>
      </c>
      <c r="N780" s="282">
        <f t="shared" si="261"/>
        <v>2.7464474858267698</v>
      </c>
      <c r="O780" s="282">
        <f t="shared" si="261"/>
        <v>1.6531097857279278</v>
      </c>
      <c r="P780" s="260">
        <f t="shared" si="261"/>
        <v>0.93195399539446244</v>
      </c>
      <c r="Q780" s="377">
        <f t="shared" si="261"/>
        <v>0.41898344667857734</v>
      </c>
      <c r="R780" s="377">
        <f t="shared" si="261"/>
        <v>0.45602668196268842</v>
      </c>
      <c r="S780" s="311">
        <f t="shared" si="261"/>
        <v>1.2620151425367294</v>
      </c>
      <c r="T780" s="305">
        <f t="shared" si="261"/>
        <v>0.89869612518358688</v>
      </c>
      <c r="U780" s="292">
        <f t="shared" si="261"/>
        <v>0.95881588371284809</v>
      </c>
      <c r="V780" s="126"/>
      <c r="W780" s="70"/>
      <c r="X780" s="70"/>
      <c r="Y780" s="70"/>
      <c r="Z780" s="70"/>
      <c r="AA780" s="471"/>
      <c r="AB780" s="294" t="s">
        <v>3</v>
      </c>
      <c r="AC780" s="320">
        <f>AC779/AC778</f>
        <v>0.39999753678402516</v>
      </c>
      <c r="AD780" s="545"/>
      <c r="AE780" s="545"/>
      <c r="AF780" s="545"/>
      <c r="AG780" s="545"/>
      <c r="AH780" s="545"/>
      <c r="AI780" s="545"/>
      <c r="AJ780" s="305">
        <f>AJ779/AJ778</f>
        <v>0.39368572043201455</v>
      </c>
      <c r="AK780" s="292">
        <f>AK779/AK778</f>
        <v>7.5717250585483648E-7</v>
      </c>
      <c r="AL780" s="399">
        <f>AL779/AL778</f>
        <v>0.32151565193621745</v>
      </c>
      <c r="AM780" s="343">
        <f>AM779/AM778</f>
        <v>7.5717193254506694E-6</v>
      </c>
      <c r="AN780" s="780"/>
      <c r="AO780" s="780"/>
    </row>
    <row r="781" spans="1:41" s="267" customFormat="1" ht="15.75" thickBot="1" x14ac:dyDescent="0.3">
      <c r="A781" s="1048">
        <v>41534</v>
      </c>
      <c r="B781" s="1048"/>
      <c r="C781" s="1048"/>
      <c r="D781" s="276"/>
      <c r="E781" s="276"/>
      <c r="F781" s="276"/>
      <c r="G781" s="276"/>
      <c r="H781" s="276"/>
      <c r="I781" s="11"/>
      <c r="J781" s="281"/>
      <c r="K781" s="281"/>
      <c r="L781" s="276"/>
      <c r="M781" s="276"/>
      <c r="N781" s="13"/>
      <c r="R781" s="12"/>
      <c r="S781" s="70"/>
      <c r="T781" s="70"/>
      <c r="U781" s="70"/>
      <c r="V781" s="70"/>
      <c r="W781" s="70"/>
      <c r="X781" s="70"/>
      <c r="Y781" s="70"/>
      <c r="Z781" s="70"/>
      <c r="AA781" s="1063"/>
      <c r="AB781" s="1064"/>
      <c r="AD781" s="743"/>
      <c r="AE781" s="743"/>
      <c r="AF781" s="743"/>
      <c r="AG781" s="743"/>
      <c r="AH781" s="743"/>
      <c r="AI781" s="743"/>
      <c r="AN781" s="743"/>
      <c r="AO781" s="743"/>
    </row>
    <row r="782" spans="1:41" s="267" customFormat="1" x14ac:dyDescent="0.25">
      <c r="A782" s="1049" t="s">
        <v>1</v>
      </c>
      <c r="B782" s="1050"/>
      <c r="C782" s="297" t="s">
        <v>12</v>
      </c>
      <c r="D782" s="266" t="s">
        <v>12</v>
      </c>
      <c r="E782" s="297" t="s">
        <v>13</v>
      </c>
      <c r="F782" s="277" t="s">
        <v>13</v>
      </c>
      <c r="G782" s="277" t="s">
        <v>13</v>
      </c>
      <c r="H782" s="277" t="s">
        <v>13</v>
      </c>
      <c r="I782" s="277" t="s">
        <v>13</v>
      </c>
      <c r="J782" s="286" t="s">
        <v>13</v>
      </c>
      <c r="K782" s="286" t="s">
        <v>13</v>
      </c>
      <c r="L782" s="266" t="s">
        <v>13</v>
      </c>
      <c r="M782" s="297" t="s">
        <v>2</v>
      </c>
      <c r="N782" s="277" t="s">
        <v>2</v>
      </c>
      <c r="O782" s="286" t="s">
        <v>2</v>
      </c>
      <c r="P782" s="277" t="s">
        <v>2</v>
      </c>
      <c r="Q782" s="286" t="s">
        <v>2</v>
      </c>
      <c r="R782" s="286" t="s">
        <v>2</v>
      </c>
      <c r="S782" s="266" t="s">
        <v>2</v>
      </c>
      <c r="T782" s="328" t="s">
        <v>183</v>
      </c>
      <c r="U782" s="327" t="s">
        <v>183</v>
      </c>
      <c r="V782" s="12"/>
      <c r="W782" s="70"/>
      <c r="X782" s="70"/>
      <c r="Y782" s="70"/>
      <c r="Z782" s="70"/>
      <c r="AA782" s="1049" t="s">
        <v>1</v>
      </c>
      <c r="AB782" s="1051"/>
      <c r="AC782" s="467" t="s">
        <v>12</v>
      </c>
      <c r="AD782" s="912"/>
      <c r="AE782" s="912"/>
      <c r="AF782" s="912"/>
      <c r="AG782" s="912"/>
      <c r="AH782" s="912"/>
      <c r="AI782" s="912"/>
      <c r="AJ782" s="1052" t="s">
        <v>13</v>
      </c>
      <c r="AK782" s="1053"/>
      <c r="AL782" s="1052" t="s">
        <v>2</v>
      </c>
      <c r="AM782" s="1053"/>
      <c r="AN782" s="776"/>
      <c r="AO782" s="776"/>
    </row>
    <row r="783" spans="1:41" s="267" customFormat="1" ht="15.75" thickBot="1" x14ac:dyDescent="0.3">
      <c r="A783" s="1054" t="s">
        <v>0</v>
      </c>
      <c r="B783" s="1066"/>
      <c r="C783" s="298" t="s">
        <v>99</v>
      </c>
      <c r="D783" s="291" t="s">
        <v>100</v>
      </c>
      <c r="E783" s="298" t="s">
        <v>101</v>
      </c>
      <c r="F783" s="306" t="s">
        <v>102</v>
      </c>
      <c r="G783" s="306" t="s">
        <v>97</v>
      </c>
      <c r="H783" s="306" t="s">
        <v>104</v>
      </c>
      <c r="I783" s="306" t="s">
        <v>103</v>
      </c>
      <c r="J783" s="378" t="s">
        <v>178</v>
      </c>
      <c r="K783" s="378" t="s">
        <v>199</v>
      </c>
      <c r="L783" s="314" t="s">
        <v>206</v>
      </c>
      <c r="M783" s="298" t="s">
        <v>105</v>
      </c>
      <c r="N783" s="306" t="s">
        <v>107</v>
      </c>
      <c r="O783" s="312" t="s">
        <v>98</v>
      </c>
      <c r="P783" s="313" t="s">
        <v>106</v>
      </c>
      <c r="Q783" s="312" t="s">
        <v>179</v>
      </c>
      <c r="R783" s="312" t="s">
        <v>198</v>
      </c>
      <c r="S783" s="291" t="s">
        <v>207</v>
      </c>
      <c r="T783" s="317" t="s">
        <v>182</v>
      </c>
      <c r="U783" s="291" t="s">
        <v>184</v>
      </c>
      <c r="V783" s="12"/>
      <c r="W783" s="12"/>
      <c r="X783" s="12"/>
      <c r="Y783" s="12"/>
      <c r="Z783" s="12"/>
      <c r="AA783" s="1054" t="s">
        <v>0</v>
      </c>
      <c r="AB783" s="1067"/>
      <c r="AC783" s="317" t="s">
        <v>99</v>
      </c>
      <c r="AD783" s="621"/>
      <c r="AE783" s="621"/>
      <c r="AF783" s="621"/>
      <c r="AG783" s="621"/>
      <c r="AH783" s="621"/>
      <c r="AI783" s="621"/>
      <c r="AJ783" s="298" t="s">
        <v>104</v>
      </c>
      <c r="AK783" s="291" t="s">
        <v>206</v>
      </c>
      <c r="AL783" s="396" t="s">
        <v>107</v>
      </c>
      <c r="AM783" s="392" t="s">
        <v>207</v>
      </c>
      <c r="AN783" s="777"/>
      <c r="AO783" s="777"/>
    </row>
    <row r="784" spans="1:41" s="267" customFormat="1" ht="15" customHeight="1" x14ac:dyDescent="0.25">
      <c r="A784" s="1057" t="s">
        <v>9</v>
      </c>
      <c r="B784" s="19" t="s">
        <v>4</v>
      </c>
      <c r="C784" s="299">
        <v>143393</v>
      </c>
      <c r="D784" s="265">
        <v>150516.70000000001</v>
      </c>
      <c r="E784" s="299">
        <v>150516.70000000001</v>
      </c>
      <c r="F784" s="283">
        <v>181998.8</v>
      </c>
      <c r="G784" s="283">
        <v>165453.5</v>
      </c>
      <c r="H784" s="283">
        <v>132132.9</v>
      </c>
      <c r="I784" s="283">
        <v>170968.6</v>
      </c>
      <c r="J784" s="223">
        <v>165453.5</v>
      </c>
      <c r="K784" s="223">
        <v>92411.6</v>
      </c>
      <c r="L784" s="265">
        <v>82074.100000000006</v>
      </c>
      <c r="M784" s="299">
        <v>193029.1</v>
      </c>
      <c r="N784" s="283">
        <v>132132.9</v>
      </c>
      <c r="O784" s="283">
        <v>82726.600000000006</v>
      </c>
      <c r="P784" s="283">
        <v>275755</v>
      </c>
      <c r="Q784" s="223">
        <v>82726.600000000006</v>
      </c>
      <c r="R784" s="223">
        <v>188981.6</v>
      </c>
      <c r="S784" s="265">
        <v>83196.100000000006</v>
      </c>
      <c r="T784" s="318">
        <v>55151</v>
      </c>
      <c r="U784" s="265">
        <v>33090.5</v>
      </c>
      <c r="V784" s="70"/>
      <c r="W784" s="70"/>
      <c r="X784" s="70"/>
      <c r="Y784" s="70"/>
      <c r="Z784" s="70"/>
      <c r="AA784" s="464" t="s">
        <v>194</v>
      </c>
      <c r="AB784" s="2" t="s">
        <v>4</v>
      </c>
      <c r="AC784" s="318">
        <v>143392.20000000001</v>
      </c>
      <c r="AD784" s="544"/>
      <c r="AE784" s="544"/>
      <c r="AF784" s="544"/>
      <c r="AG784" s="544"/>
      <c r="AH784" s="544"/>
      <c r="AI784" s="544"/>
      <c r="AJ784" s="299">
        <v>132132</v>
      </c>
      <c r="AK784" s="265">
        <v>83196.100000000006</v>
      </c>
      <c r="AL784" s="397">
        <v>132132.20000000001</v>
      </c>
      <c r="AM784" s="393">
        <v>83196.100000000006</v>
      </c>
      <c r="AN784" s="778"/>
      <c r="AO784" s="778"/>
    </row>
    <row r="785" spans="1:41" s="267" customFormat="1" x14ac:dyDescent="0.25">
      <c r="A785" s="1058"/>
      <c r="B785" s="293" t="s">
        <v>5</v>
      </c>
      <c r="C785" s="300">
        <v>47892.4</v>
      </c>
      <c r="D785" s="264">
        <v>80317.600000000006</v>
      </c>
      <c r="E785" s="300">
        <v>81798.600000000006</v>
      </c>
      <c r="F785" s="307">
        <v>149519.5</v>
      </c>
      <c r="G785" s="307">
        <v>117760.6</v>
      </c>
      <c r="H785" s="307">
        <v>58787.9</v>
      </c>
      <c r="I785" s="307">
        <v>97414.2</v>
      </c>
      <c r="J785" s="374">
        <v>24306.400000000001</v>
      </c>
      <c r="K785" s="374">
        <v>43853.5</v>
      </c>
      <c r="L785" s="264">
        <v>1120.8</v>
      </c>
      <c r="M785" s="300">
        <v>160090.6</v>
      </c>
      <c r="N785" s="307">
        <v>57849.2</v>
      </c>
      <c r="O785" s="307">
        <v>60550.7</v>
      </c>
      <c r="P785" s="307">
        <v>178041.7</v>
      </c>
      <c r="Q785" s="374">
        <v>12619.9</v>
      </c>
      <c r="R785" s="374">
        <v>68642.100000000006</v>
      </c>
      <c r="S785" s="264">
        <v>23785.1</v>
      </c>
      <c r="T785" s="319">
        <v>12080.2</v>
      </c>
      <c r="U785" s="264">
        <v>5965.6</v>
      </c>
      <c r="V785" s="70"/>
      <c r="W785" s="70"/>
      <c r="X785" s="70"/>
      <c r="Y785" s="70"/>
      <c r="Z785" s="70"/>
      <c r="AA785" s="465"/>
      <c r="AB785" s="342" t="s">
        <v>5</v>
      </c>
      <c r="AC785" s="319">
        <v>43401.8</v>
      </c>
      <c r="AD785" s="936"/>
      <c r="AE785" s="936"/>
      <c r="AF785" s="936"/>
      <c r="AG785" s="936"/>
      <c r="AH785" s="936"/>
      <c r="AI785" s="936"/>
      <c r="AJ785" s="300">
        <v>58695.3</v>
      </c>
      <c r="AK785" s="264">
        <v>4.7</v>
      </c>
      <c r="AL785" s="398">
        <v>55118.9</v>
      </c>
      <c r="AM785" s="394">
        <v>4.5</v>
      </c>
      <c r="AN785" s="779"/>
      <c r="AO785" s="779"/>
    </row>
    <row r="786" spans="1:41" s="267" customFormat="1" ht="15.75" thickBot="1" x14ac:dyDescent="0.3">
      <c r="A786" s="1059"/>
      <c r="B786" s="294" t="s">
        <v>3</v>
      </c>
      <c r="C786" s="305">
        <f t="shared" ref="C786:L786" si="262">C785/C784</f>
        <v>0.3339939885489529</v>
      </c>
      <c r="D786" s="343">
        <f t="shared" si="262"/>
        <v>0.53361254930516011</v>
      </c>
      <c r="E786" s="305">
        <f t="shared" si="262"/>
        <v>0.54345198904839132</v>
      </c>
      <c r="F786" s="371">
        <f t="shared" si="262"/>
        <v>0.82154113104042448</v>
      </c>
      <c r="G786" s="278">
        <f t="shared" si="262"/>
        <v>0.71174438739585444</v>
      </c>
      <c r="H786" s="278">
        <f t="shared" si="262"/>
        <v>0.44491493034664342</v>
      </c>
      <c r="I786" s="278">
        <f t="shared" si="262"/>
        <v>0.56977831016923575</v>
      </c>
      <c r="J786" s="315">
        <f t="shared" si="262"/>
        <v>0.14690774145001467</v>
      </c>
      <c r="K786" s="315">
        <f t="shared" si="262"/>
        <v>0.47454540339091628</v>
      </c>
      <c r="L786" s="292">
        <f t="shared" si="262"/>
        <v>1.3655952364996995E-2</v>
      </c>
      <c r="M786" s="372">
        <f>M785/M784</f>
        <v>0.82935992552418258</v>
      </c>
      <c r="N786" s="278">
        <f>N785/N784</f>
        <v>0.43781071935906957</v>
      </c>
      <c r="O786" s="315">
        <f>O785/O784</f>
        <v>0.73193749048069179</v>
      </c>
      <c r="P786" s="278">
        <f>P785/P784</f>
        <v>0.64565175608783165</v>
      </c>
      <c r="Q786" s="315">
        <f>Q785/Q784</f>
        <v>0.15254948227051515</v>
      </c>
      <c r="R786" s="315">
        <f t="shared" ref="R786:S786" si="263">R785/R784</f>
        <v>0.36322107549094729</v>
      </c>
      <c r="S786" s="292">
        <f t="shared" si="263"/>
        <v>0.28589200695705685</v>
      </c>
      <c r="T786" s="320">
        <f>T785/T784</f>
        <v>0.21903863937190624</v>
      </c>
      <c r="U786" s="292">
        <f>U785/U784</f>
        <v>0.18028134963206963</v>
      </c>
      <c r="V786" s="70"/>
      <c r="W786" s="70"/>
      <c r="X786" s="70"/>
      <c r="Y786" s="70"/>
      <c r="Z786" s="70"/>
      <c r="AA786" s="466"/>
      <c r="AB786" s="347" t="s">
        <v>3</v>
      </c>
      <c r="AC786" s="395">
        <f>AC785/AC784</f>
        <v>0.302678946274623</v>
      </c>
      <c r="AD786" s="635"/>
      <c r="AE786" s="635"/>
      <c r="AF786" s="635"/>
      <c r="AG786" s="635"/>
      <c r="AH786" s="635"/>
      <c r="AI786" s="635"/>
      <c r="AJ786" s="305">
        <f>AJ785/AJ784</f>
        <v>0.44421714648987376</v>
      </c>
      <c r="AK786" s="292">
        <f>AK785/AK784</f>
        <v>5.6493032726293656E-5</v>
      </c>
      <c r="AL786" s="399">
        <f>AL785/AL784</f>
        <v>0.41714964255495629</v>
      </c>
      <c r="AM786" s="343">
        <f>AM785/AM784</f>
        <v>5.4089073886876906E-5</v>
      </c>
      <c r="AN786" s="780"/>
      <c r="AO786" s="780"/>
    </row>
    <row r="787" spans="1:41" s="429" customFormat="1" ht="15" customHeight="1" x14ac:dyDescent="0.25">
      <c r="A787" s="1060" t="s">
        <v>6</v>
      </c>
      <c r="B787" s="418" t="s">
        <v>7</v>
      </c>
      <c r="C787" s="419">
        <v>5870</v>
      </c>
      <c r="D787" s="420">
        <v>3333</v>
      </c>
      <c r="E787" s="419">
        <v>3330</v>
      </c>
      <c r="F787" s="421">
        <v>9457</v>
      </c>
      <c r="G787" s="421">
        <v>8432</v>
      </c>
      <c r="H787" s="421">
        <v>15703</v>
      </c>
      <c r="I787" s="421">
        <v>7403</v>
      </c>
      <c r="J787" s="423">
        <v>9599</v>
      </c>
      <c r="K787" s="423">
        <v>4073</v>
      </c>
      <c r="L787" s="420">
        <v>6399</v>
      </c>
      <c r="M787" s="419">
        <v>9092</v>
      </c>
      <c r="N787" s="421">
        <v>11763</v>
      </c>
      <c r="O787" s="421">
        <v>4356</v>
      </c>
      <c r="P787" s="421">
        <v>10027</v>
      </c>
      <c r="Q787" s="423">
        <v>4799</v>
      </c>
      <c r="R787" s="423">
        <v>7192</v>
      </c>
      <c r="S787" s="420">
        <v>6399</v>
      </c>
      <c r="T787" s="424">
        <v>2480</v>
      </c>
      <c r="U787" s="420">
        <v>1570</v>
      </c>
      <c r="V787" s="425" t="s">
        <v>197</v>
      </c>
      <c r="W787" s="426"/>
      <c r="X787" s="427"/>
      <c r="Y787" s="427"/>
      <c r="Z787" s="427"/>
      <c r="AA787" s="428" t="s">
        <v>190</v>
      </c>
      <c r="AB787" s="418" t="s">
        <v>4</v>
      </c>
      <c r="AC787" s="430">
        <v>9191.7999999999993</v>
      </c>
      <c r="AD787" s="564"/>
      <c r="AE787" s="564"/>
      <c r="AF787" s="564"/>
      <c r="AG787" s="564"/>
      <c r="AH787" s="564"/>
      <c r="AI787" s="564"/>
      <c r="AJ787" s="431">
        <v>13787.7</v>
      </c>
      <c r="AK787" s="432">
        <v>8804.7999999999993</v>
      </c>
      <c r="AL787" s="433">
        <v>13787.7</v>
      </c>
      <c r="AM787" s="434">
        <v>8804.7999999999993</v>
      </c>
      <c r="AN787" s="781"/>
      <c r="AO787" s="781"/>
    </row>
    <row r="788" spans="1:41" s="267" customFormat="1" x14ac:dyDescent="0.25">
      <c r="A788" s="1061"/>
      <c r="B788" s="295" t="s">
        <v>11</v>
      </c>
      <c r="C788" s="302">
        <f t="shared" ref="C788:L788" si="264">C787*33.717</f>
        <v>197918.78999999998</v>
      </c>
      <c r="D788" s="263">
        <f t="shared" si="264"/>
        <v>112378.761</v>
      </c>
      <c r="E788" s="302">
        <f t="shared" si="264"/>
        <v>112277.61</v>
      </c>
      <c r="F788" s="355">
        <f t="shared" si="264"/>
        <v>318861.66899999999</v>
      </c>
      <c r="G788" s="308">
        <f t="shared" si="264"/>
        <v>284301.74400000001</v>
      </c>
      <c r="H788" s="354">
        <f t="shared" si="264"/>
        <v>529458.05099999998</v>
      </c>
      <c r="I788" s="354">
        <f t="shared" si="264"/>
        <v>249606.951</v>
      </c>
      <c r="J788" s="355">
        <f t="shared" si="264"/>
        <v>323649.48300000001</v>
      </c>
      <c r="K788" s="375">
        <f t="shared" si="264"/>
        <v>137329.34099999999</v>
      </c>
      <c r="L788" s="263">
        <f t="shared" si="264"/>
        <v>215755.08299999998</v>
      </c>
      <c r="M788" s="322">
        <f>M787*33.717</f>
        <v>306554.96399999998</v>
      </c>
      <c r="N788" s="308">
        <f>N787*33.717</f>
        <v>396613.071</v>
      </c>
      <c r="O788" s="308">
        <f>O787*33.717</f>
        <v>146871.25200000001</v>
      </c>
      <c r="P788" s="354">
        <f>P787*33.717</f>
        <v>338080.359</v>
      </c>
      <c r="Q788" s="355">
        <f>Q787*33.717</f>
        <v>161807.883</v>
      </c>
      <c r="R788" s="375">
        <f t="shared" ref="R788:S788" si="265">R787*33.717</f>
        <v>242492.66399999999</v>
      </c>
      <c r="S788" s="263">
        <f t="shared" si="265"/>
        <v>215755.08299999998</v>
      </c>
      <c r="T788" s="302">
        <f>T787*33.717</f>
        <v>83618.16</v>
      </c>
      <c r="U788" s="354">
        <f>U787*33.717</f>
        <v>52935.689999999995</v>
      </c>
      <c r="V788" s="70"/>
      <c r="W788" s="70"/>
      <c r="X788" s="70"/>
      <c r="Y788" s="70"/>
      <c r="Z788" s="70"/>
      <c r="AA788" s="465"/>
      <c r="AB788" s="293" t="s">
        <v>5</v>
      </c>
      <c r="AC788" s="319">
        <v>8835</v>
      </c>
      <c r="AD788" s="936"/>
      <c r="AE788" s="936"/>
      <c r="AF788" s="936"/>
      <c r="AG788" s="936"/>
      <c r="AH788" s="936"/>
      <c r="AI788" s="936"/>
      <c r="AJ788" s="300">
        <v>13648.9</v>
      </c>
      <c r="AK788" s="264">
        <v>0</v>
      </c>
      <c r="AL788" s="398">
        <v>13649.5</v>
      </c>
      <c r="AM788" s="394">
        <v>30</v>
      </c>
      <c r="AN788" s="779"/>
      <c r="AO788" s="779"/>
    </row>
    <row r="789" spans="1:41" s="267" customFormat="1" ht="15.75" thickBot="1" x14ac:dyDescent="0.3">
      <c r="A789" s="1061"/>
      <c r="B789" s="295" t="s">
        <v>79</v>
      </c>
      <c r="C789" s="302">
        <v>164000</v>
      </c>
      <c r="D789" s="263">
        <v>109880</v>
      </c>
      <c r="E789" s="302">
        <v>109880</v>
      </c>
      <c r="F789" s="308">
        <v>328000</v>
      </c>
      <c r="G789" s="308">
        <v>330905</v>
      </c>
      <c r="H789" s="308">
        <v>264264</v>
      </c>
      <c r="I789" s="308">
        <v>242663.6</v>
      </c>
      <c r="J789" s="375">
        <v>328000</v>
      </c>
      <c r="K789" s="375">
        <v>328000</v>
      </c>
      <c r="L789" s="263">
        <v>328000</v>
      </c>
      <c r="M789" s="302">
        <v>328000</v>
      </c>
      <c r="N789" s="308">
        <v>264264.40000000002</v>
      </c>
      <c r="O789" s="308">
        <v>328000</v>
      </c>
      <c r="P789" s="308">
        <v>352965.4</v>
      </c>
      <c r="Q789" s="375">
        <v>328000</v>
      </c>
      <c r="R789" s="375">
        <v>328000</v>
      </c>
      <c r="S789" s="263">
        <v>328000</v>
      </c>
      <c r="T789" s="322">
        <f>2*T784</f>
        <v>110302</v>
      </c>
      <c r="U789" s="263">
        <f>2*U784</f>
        <v>66181</v>
      </c>
      <c r="V789" s="70"/>
      <c r="W789" s="70"/>
      <c r="X789" s="70"/>
      <c r="Y789" s="70"/>
      <c r="Z789" s="70"/>
      <c r="AA789" s="466"/>
      <c r="AB789" s="344" t="s">
        <v>3</v>
      </c>
      <c r="AC789" s="395">
        <f>AC788/AC787</f>
        <v>0.96118279335929857</v>
      </c>
      <c r="AD789" s="635"/>
      <c r="AE789" s="635"/>
      <c r="AF789" s="635"/>
      <c r="AG789" s="635"/>
      <c r="AH789" s="635"/>
      <c r="AI789" s="635"/>
      <c r="AJ789" s="301">
        <f>AJ788/AJ787</f>
        <v>0.98993305627479555</v>
      </c>
      <c r="AK789" s="401">
        <f>AK788/AK787</f>
        <v>0</v>
      </c>
      <c r="AL789" s="400">
        <f>AL788/AL787</f>
        <v>0.98997657332259903</v>
      </c>
      <c r="AM789" s="348">
        <f>AM788/AM787</f>
        <v>3.4072324186807199E-3</v>
      </c>
      <c r="AN789" s="780"/>
      <c r="AO789" s="780"/>
    </row>
    <row r="790" spans="1:41" s="267" customFormat="1" ht="15" customHeight="1" x14ac:dyDescent="0.25">
      <c r="A790" s="1061"/>
      <c r="B790" s="293" t="s">
        <v>8</v>
      </c>
      <c r="C790" s="303">
        <f>SUM(C787-302)</f>
        <v>5568</v>
      </c>
      <c r="D790" s="262">
        <f>SUM(D787-468)</f>
        <v>2865</v>
      </c>
      <c r="E790" s="303">
        <f>SUM(E787-435)</f>
        <v>2895</v>
      </c>
      <c r="F790" s="309">
        <f>SUM(F787-1130)</f>
        <v>8327</v>
      </c>
      <c r="G790" s="309">
        <f>SUM(G787-4523)</f>
        <v>3909</v>
      </c>
      <c r="H790" s="309">
        <f>SUM(H787-2022)</f>
        <v>13681</v>
      </c>
      <c r="I790" s="309">
        <f>SUM(I787-(3090-2000))</f>
        <v>6313</v>
      </c>
      <c r="J790" s="316">
        <f>SUM(J787-9019)</f>
        <v>580</v>
      </c>
      <c r="K790" s="316">
        <f>SUM(K787-1270)</f>
        <v>2803</v>
      </c>
      <c r="L790" s="262">
        <f>SUM(L787-5837)</f>
        <v>562</v>
      </c>
      <c r="M790" s="303">
        <f>SUM(M787-954)</f>
        <v>8138</v>
      </c>
      <c r="N790" s="309">
        <f>SUM(N787-1000)</f>
        <v>10763</v>
      </c>
      <c r="O790" s="316">
        <f>SUM(O787-300)</f>
        <v>4056</v>
      </c>
      <c r="P790" s="309">
        <f>SUM(P787-(5019-2614))</f>
        <v>7622</v>
      </c>
      <c r="Q790" s="316">
        <f>SUM(Q787-3771)</f>
        <v>1028</v>
      </c>
      <c r="R790" s="316">
        <f>SUM(R787-4636)</f>
        <v>2556</v>
      </c>
      <c r="S790" s="262">
        <f>SUM(S787-3328)</f>
        <v>3071</v>
      </c>
      <c r="T790" s="323">
        <f>SUM(T787-1010)</f>
        <v>1470</v>
      </c>
      <c r="U790" s="262">
        <f>SUM(U787-629)</f>
        <v>941</v>
      </c>
      <c r="V790" s="12" t="s">
        <v>176</v>
      </c>
      <c r="W790" s="70"/>
      <c r="X790" s="70"/>
      <c r="Y790" s="70"/>
      <c r="Z790" s="70"/>
      <c r="AA790" s="464" t="s">
        <v>191</v>
      </c>
      <c r="AB790" s="19" t="s">
        <v>4</v>
      </c>
      <c r="AC790" s="318">
        <v>97433.600000000006</v>
      </c>
      <c r="AD790" s="544"/>
      <c r="AE790" s="544"/>
      <c r="AF790" s="544"/>
      <c r="AG790" s="544"/>
      <c r="AH790" s="544"/>
      <c r="AI790" s="544"/>
      <c r="AJ790" s="299">
        <v>243584.4</v>
      </c>
      <c r="AK790" s="265">
        <v>132070.29999999999</v>
      </c>
      <c r="AL790" s="397">
        <v>292299.3</v>
      </c>
      <c r="AM790" s="393">
        <v>132070.39999999999</v>
      </c>
      <c r="AN790" s="778"/>
      <c r="AO790" s="778"/>
    </row>
    <row r="791" spans="1:41" s="267" customFormat="1" x14ac:dyDescent="0.25">
      <c r="A791" s="1061"/>
      <c r="B791" s="296" t="s">
        <v>77</v>
      </c>
      <c r="C791" s="302">
        <f>(C790*33.717)</f>
        <v>187736.25599999999</v>
      </c>
      <c r="D791" s="338">
        <f>(D790*33.717)</f>
        <v>96599.205000000002</v>
      </c>
      <c r="E791" s="302">
        <f>(E790*33.717)</f>
        <v>97610.714999999997</v>
      </c>
      <c r="F791" s="338">
        <f>(F790*33.717)</f>
        <v>280761.45899999997</v>
      </c>
      <c r="G791" s="280">
        <f>(G790*33.717)*2</f>
        <v>263599.50599999999</v>
      </c>
      <c r="H791" s="280">
        <f>(H790*33.717)</f>
        <v>461282.277</v>
      </c>
      <c r="I791" s="280">
        <f>(I790*33.717)-(2000*33.717)</f>
        <v>145421.421</v>
      </c>
      <c r="J791" s="376">
        <f>J790*33.717</f>
        <v>19555.86</v>
      </c>
      <c r="K791" s="376">
        <f>K790*33.717</f>
        <v>94508.750999999989</v>
      </c>
      <c r="L791" s="261">
        <f>L790*33.717</f>
        <v>18948.953999999998</v>
      </c>
      <c r="M791" s="304">
        <f>M790*33.717</f>
        <v>274388.946</v>
      </c>
      <c r="N791" s="280">
        <f>N790*33.717</f>
        <v>362896.071</v>
      </c>
      <c r="O791" s="280">
        <f>(O790*33.717)</f>
        <v>136756.152</v>
      </c>
      <c r="P791" s="280">
        <f t="shared" ref="P791:U791" si="266">P790*33.717</f>
        <v>256990.97399999999</v>
      </c>
      <c r="Q791" s="376">
        <f t="shared" si="266"/>
        <v>34661.076000000001</v>
      </c>
      <c r="R791" s="376">
        <f t="shared" si="266"/>
        <v>86180.652000000002</v>
      </c>
      <c r="S791" s="261">
        <f t="shared" si="266"/>
        <v>103544.90699999999</v>
      </c>
      <c r="T791" s="324">
        <f t="shared" si="266"/>
        <v>49563.99</v>
      </c>
      <c r="U791" s="325">
        <f t="shared" si="266"/>
        <v>31727.697</v>
      </c>
      <c r="V791" s="63">
        <f>344240-H791</f>
        <v>-117042.277</v>
      </c>
      <c r="W791" s="70" t="s">
        <v>177</v>
      </c>
      <c r="X791" s="70"/>
      <c r="Y791" s="70"/>
      <c r="Z791" s="70"/>
      <c r="AA791" s="465"/>
      <c r="AB791" s="293" t="s">
        <v>5</v>
      </c>
      <c r="AC791" s="319">
        <v>38973.199999999997</v>
      </c>
      <c r="AD791" s="936"/>
      <c r="AE791" s="936"/>
      <c r="AF791" s="936"/>
      <c r="AG791" s="936"/>
      <c r="AH791" s="936"/>
      <c r="AI791" s="936"/>
      <c r="AJ791" s="300">
        <v>95895.7</v>
      </c>
      <c r="AK791" s="264">
        <v>0.1</v>
      </c>
      <c r="AL791" s="398">
        <v>93978.8</v>
      </c>
      <c r="AM791" s="394">
        <v>1</v>
      </c>
      <c r="AN791" s="779"/>
      <c r="AO791" s="779"/>
    </row>
    <row r="792" spans="1:41" s="267" customFormat="1" ht="15.75" thickBot="1" x14ac:dyDescent="0.3">
      <c r="A792" s="1062"/>
      <c r="B792" s="294" t="s">
        <v>10</v>
      </c>
      <c r="C792" s="305">
        <f>C791/C784</f>
        <v>1.3092428221740251</v>
      </c>
      <c r="D792" s="292">
        <f t="shared" ref="D792:U792" si="267">D791/D784</f>
        <v>0.64178396815768612</v>
      </c>
      <c r="E792" s="310">
        <f t="shared" si="267"/>
        <v>0.64850421913315925</v>
      </c>
      <c r="F792" s="282">
        <f t="shared" si="267"/>
        <v>1.542655550476157</v>
      </c>
      <c r="G792" s="282">
        <f t="shared" si="267"/>
        <v>1.5931938943570247</v>
      </c>
      <c r="H792" s="282">
        <f t="shared" si="267"/>
        <v>3.4910478540923573</v>
      </c>
      <c r="I792" s="282">
        <f t="shared" si="267"/>
        <v>0.85057385391235585</v>
      </c>
      <c r="J792" s="377">
        <f t="shared" si="267"/>
        <v>0.11819550508148816</v>
      </c>
      <c r="K792" s="377">
        <f t="shared" si="267"/>
        <v>1.022693590415056</v>
      </c>
      <c r="L792" s="311">
        <f t="shared" si="267"/>
        <v>0.23087617165463886</v>
      </c>
      <c r="M792" s="310">
        <f t="shared" si="267"/>
        <v>1.4214900551264031</v>
      </c>
      <c r="N792" s="282">
        <f t="shared" si="267"/>
        <v>2.7464474858267698</v>
      </c>
      <c r="O792" s="282">
        <f t="shared" si="267"/>
        <v>1.6531097857279278</v>
      </c>
      <c r="P792" s="260">
        <f t="shared" si="267"/>
        <v>0.93195399539446244</v>
      </c>
      <c r="Q792" s="377">
        <f t="shared" si="267"/>
        <v>0.41898344667857734</v>
      </c>
      <c r="R792" s="377">
        <f t="shared" si="267"/>
        <v>0.45602668196268842</v>
      </c>
      <c r="S792" s="311">
        <f t="shared" si="267"/>
        <v>1.2445884722961771</v>
      </c>
      <c r="T792" s="305">
        <f t="shared" si="267"/>
        <v>0.89869612518358688</v>
      </c>
      <c r="U792" s="292">
        <f t="shared" si="267"/>
        <v>0.95881588371284809</v>
      </c>
      <c r="V792" s="126"/>
      <c r="W792" s="70"/>
      <c r="X792" s="70"/>
      <c r="Y792" s="70"/>
      <c r="Z792" s="70"/>
      <c r="AA792" s="466"/>
      <c r="AB792" s="294" t="s">
        <v>3</v>
      </c>
      <c r="AC792" s="320">
        <f>AC791/AC790</f>
        <v>0.39999753678402516</v>
      </c>
      <c r="AD792" s="545"/>
      <c r="AE792" s="545"/>
      <c r="AF792" s="545"/>
      <c r="AG792" s="545"/>
      <c r="AH792" s="545"/>
      <c r="AI792" s="545"/>
      <c r="AJ792" s="305">
        <f>AJ791/AJ790</f>
        <v>0.39368572043201455</v>
      </c>
      <c r="AK792" s="292">
        <f>AK791/AK790</f>
        <v>7.5717250585483648E-7</v>
      </c>
      <c r="AL792" s="399">
        <f>AL791/AL790</f>
        <v>0.32151565193621745</v>
      </c>
      <c r="AM792" s="343">
        <f>AM791/AM790</f>
        <v>7.5717193254506694E-6</v>
      </c>
      <c r="AN792" s="780"/>
      <c r="AO792" s="780"/>
    </row>
    <row r="793" spans="1:41" s="267" customFormat="1" ht="15.75" thickBot="1" x14ac:dyDescent="0.3">
      <c r="A793" s="1048">
        <v>41519</v>
      </c>
      <c r="B793" s="1048"/>
      <c r="C793" s="1048"/>
      <c r="D793" s="276"/>
      <c r="E793" s="276"/>
      <c r="F793" s="276"/>
      <c r="G793" s="276"/>
      <c r="H793" s="276"/>
      <c r="I793" s="11"/>
      <c r="J793" s="281"/>
      <c r="K793" s="281"/>
      <c r="L793" s="276"/>
      <c r="M793" s="276"/>
      <c r="N793" s="13"/>
      <c r="R793" s="12"/>
      <c r="S793" s="70"/>
      <c r="T793" s="70"/>
      <c r="U793" s="70"/>
      <c r="V793" s="70"/>
      <c r="W793" s="70"/>
      <c r="X793" s="70"/>
      <c r="Y793" s="70"/>
      <c r="Z793" s="70"/>
      <c r="AA793" s="1063"/>
      <c r="AB793" s="1064"/>
      <c r="AD793" s="743"/>
      <c r="AE793" s="743"/>
      <c r="AF793" s="743"/>
      <c r="AG793" s="743"/>
      <c r="AH793" s="743"/>
      <c r="AI793" s="743"/>
      <c r="AN793" s="743"/>
      <c r="AO793" s="743"/>
    </row>
    <row r="794" spans="1:41" s="267" customFormat="1" x14ac:dyDescent="0.25">
      <c r="A794" s="1049" t="s">
        <v>1</v>
      </c>
      <c r="B794" s="1050"/>
      <c r="C794" s="297" t="s">
        <v>12</v>
      </c>
      <c r="D794" s="266" t="s">
        <v>12</v>
      </c>
      <c r="E794" s="297" t="s">
        <v>13</v>
      </c>
      <c r="F794" s="277" t="s">
        <v>13</v>
      </c>
      <c r="G794" s="277" t="s">
        <v>13</v>
      </c>
      <c r="H794" s="277" t="s">
        <v>13</v>
      </c>
      <c r="I794" s="277" t="s">
        <v>13</v>
      </c>
      <c r="J794" s="286" t="s">
        <v>13</v>
      </c>
      <c r="K794" s="286" t="s">
        <v>13</v>
      </c>
      <c r="L794" s="266" t="s">
        <v>13</v>
      </c>
      <c r="M794" s="297" t="s">
        <v>2</v>
      </c>
      <c r="N794" s="277" t="s">
        <v>2</v>
      </c>
      <c r="O794" s="286" t="s">
        <v>2</v>
      </c>
      <c r="P794" s="277" t="s">
        <v>2</v>
      </c>
      <c r="Q794" s="286" t="s">
        <v>2</v>
      </c>
      <c r="R794" s="286" t="s">
        <v>2</v>
      </c>
      <c r="S794" s="266" t="s">
        <v>2</v>
      </c>
      <c r="T794" s="328" t="s">
        <v>183</v>
      </c>
      <c r="U794" s="327" t="s">
        <v>183</v>
      </c>
      <c r="V794" s="12"/>
      <c r="W794" s="70"/>
      <c r="X794" s="70"/>
      <c r="Y794" s="70"/>
      <c r="Z794" s="70"/>
      <c r="AA794" s="1049" t="s">
        <v>1</v>
      </c>
      <c r="AB794" s="1051"/>
      <c r="AC794" s="462" t="s">
        <v>12</v>
      </c>
      <c r="AD794" s="912"/>
      <c r="AE794" s="912"/>
      <c r="AF794" s="912"/>
      <c r="AG794" s="912"/>
      <c r="AH794" s="912"/>
      <c r="AI794" s="912"/>
      <c r="AJ794" s="1052" t="s">
        <v>13</v>
      </c>
      <c r="AK794" s="1053"/>
      <c r="AL794" s="1052" t="s">
        <v>2</v>
      </c>
      <c r="AM794" s="1053"/>
      <c r="AN794" s="776"/>
      <c r="AO794" s="776"/>
    </row>
    <row r="795" spans="1:41" s="267" customFormat="1" ht="15.75" thickBot="1" x14ac:dyDescent="0.3">
      <c r="A795" s="1054" t="s">
        <v>0</v>
      </c>
      <c r="B795" s="1066"/>
      <c r="C795" s="298" t="s">
        <v>99</v>
      </c>
      <c r="D795" s="291" t="s">
        <v>100</v>
      </c>
      <c r="E795" s="298" t="s">
        <v>101</v>
      </c>
      <c r="F795" s="306" t="s">
        <v>102</v>
      </c>
      <c r="G795" s="306" t="s">
        <v>97</v>
      </c>
      <c r="H795" s="306" t="s">
        <v>104</v>
      </c>
      <c r="I795" s="306" t="s">
        <v>103</v>
      </c>
      <c r="J795" s="378" t="s">
        <v>178</v>
      </c>
      <c r="K795" s="378" t="s">
        <v>199</v>
      </c>
      <c r="L795" s="314" t="s">
        <v>206</v>
      </c>
      <c r="M795" s="298" t="s">
        <v>105</v>
      </c>
      <c r="N795" s="306" t="s">
        <v>107</v>
      </c>
      <c r="O795" s="312" t="s">
        <v>98</v>
      </c>
      <c r="P795" s="313" t="s">
        <v>106</v>
      </c>
      <c r="Q795" s="312" t="s">
        <v>179</v>
      </c>
      <c r="R795" s="312" t="s">
        <v>198</v>
      </c>
      <c r="S795" s="291" t="s">
        <v>207</v>
      </c>
      <c r="T795" s="317" t="s">
        <v>182</v>
      </c>
      <c r="U795" s="291" t="s">
        <v>184</v>
      </c>
      <c r="V795" s="12"/>
      <c r="W795" s="12"/>
      <c r="X795" s="12"/>
      <c r="Y795" s="12"/>
      <c r="Z795" s="12"/>
      <c r="AA795" s="1054" t="s">
        <v>0</v>
      </c>
      <c r="AB795" s="1067"/>
      <c r="AC795" s="317" t="s">
        <v>99</v>
      </c>
      <c r="AD795" s="621"/>
      <c r="AE795" s="621"/>
      <c r="AF795" s="621"/>
      <c r="AG795" s="621"/>
      <c r="AH795" s="621"/>
      <c r="AI795" s="621"/>
      <c r="AJ795" s="298" t="s">
        <v>104</v>
      </c>
      <c r="AK795" s="291" t="s">
        <v>206</v>
      </c>
      <c r="AL795" s="396" t="s">
        <v>107</v>
      </c>
      <c r="AM795" s="392" t="s">
        <v>207</v>
      </c>
      <c r="AN795" s="777"/>
      <c r="AO795" s="777"/>
    </row>
    <row r="796" spans="1:41" s="267" customFormat="1" ht="15" customHeight="1" x14ac:dyDescent="0.25">
      <c r="A796" s="1057" t="s">
        <v>9</v>
      </c>
      <c r="B796" s="19" t="s">
        <v>4</v>
      </c>
      <c r="C796" s="299">
        <v>143393</v>
      </c>
      <c r="D796" s="265">
        <v>150516.70000000001</v>
      </c>
      <c r="E796" s="299">
        <v>150516.70000000001</v>
      </c>
      <c r="F796" s="283">
        <v>181998.8</v>
      </c>
      <c r="G796" s="283">
        <v>165453.5</v>
      </c>
      <c r="H796" s="283">
        <v>132132.9</v>
      </c>
      <c r="I796" s="283">
        <v>170968.6</v>
      </c>
      <c r="J796" s="223">
        <v>165453.5</v>
      </c>
      <c r="K796" s="223">
        <v>92411.6</v>
      </c>
      <c r="L796" s="265">
        <f>83196.1+132070.4</f>
        <v>215266.5</v>
      </c>
      <c r="M796" s="299">
        <v>193029.1</v>
      </c>
      <c r="N796" s="283">
        <v>132132.9</v>
      </c>
      <c r="O796" s="283">
        <v>82726.600000000006</v>
      </c>
      <c r="P796" s="283">
        <v>275755</v>
      </c>
      <c r="Q796" s="223">
        <v>82726.600000000006</v>
      </c>
      <c r="R796" s="223">
        <v>188981.6</v>
      </c>
      <c r="S796" s="265">
        <f>83196.1+132070.4</f>
        <v>215266.5</v>
      </c>
      <c r="T796" s="318">
        <v>55151</v>
      </c>
      <c r="U796" s="265">
        <v>33090.5</v>
      </c>
      <c r="V796" s="70"/>
      <c r="W796" s="70"/>
      <c r="X796" s="70"/>
      <c r="Y796" s="70"/>
      <c r="Z796" s="70"/>
      <c r="AA796" s="459" t="s">
        <v>194</v>
      </c>
      <c r="AB796" s="2" t="s">
        <v>4</v>
      </c>
      <c r="AC796" s="318">
        <v>143392.20000000001</v>
      </c>
      <c r="AD796" s="544"/>
      <c r="AE796" s="544"/>
      <c r="AF796" s="544"/>
      <c r="AG796" s="544"/>
      <c r="AH796" s="544"/>
      <c r="AI796" s="544"/>
      <c r="AJ796" s="299">
        <v>132132</v>
      </c>
      <c r="AK796" s="265">
        <v>83196.100000000006</v>
      </c>
      <c r="AL796" s="397">
        <v>132132.20000000001</v>
      </c>
      <c r="AM796" s="393">
        <v>83196.100000000006</v>
      </c>
      <c r="AN796" s="778"/>
      <c r="AO796" s="778"/>
    </row>
    <row r="797" spans="1:41" s="267" customFormat="1" x14ac:dyDescent="0.25">
      <c r="A797" s="1058"/>
      <c r="B797" s="293" t="s">
        <v>5</v>
      </c>
      <c r="C797" s="300">
        <v>47016.2</v>
      </c>
      <c r="D797" s="264">
        <v>79570.2</v>
      </c>
      <c r="E797" s="300">
        <v>81051.100000000006</v>
      </c>
      <c r="F797" s="307">
        <v>147917.20000000001</v>
      </c>
      <c r="G797" s="307">
        <v>117072.1</v>
      </c>
      <c r="H797" s="307">
        <v>59959.199999999997</v>
      </c>
      <c r="I797" s="307">
        <v>93570.4</v>
      </c>
      <c r="J797" s="374">
        <v>24250.2</v>
      </c>
      <c r="K797" s="374">
        <v>33208.6</v>
      </c>
      <c r="L797" s="264">
        <f xml:space="preserve">  928.4+90.3</f>
        <v>1018.6999999999999</v>
      </c>
      <c r="M797" s="300">
        <v>159487.29999999999</v>
      </c>
      <c r="N797" s="307">
        <v>54212.2</v>
      </c>
      <c r="O797" s="307">
        <v>60550.2</v>
      </c>
      <c r="P797" s="307">
        <v>169137.4</v>
      </c>
      <c r="Q797" s="374">
        <v>12589.9</v>
      </c>
      <c r="R797" s="374">
        <v>58931.5</v>
      </c>
      <c r="S797" s="264">
        <f xml:space="preserve"> 20195.2+14215.3</f>
        <v>34410.5</v>
      </c>
      <c r="T797" s="319">
        <v>12025</v>
      </c>
      <c r="U797" s="264">
        <v>5873.2</v>
      </c>
      <c r="V797" s="70"/>
      <c r="W797" s="70"/>
      <c r="X797" s="70"/>
      <c r="Y797" s="70"/>
      <c r="Z797" s="70"/>
      <c r="AA797" s="460"/>
      <c r="AB797" s="342" t="s">
        <v>5</v>
      </c>
      <c r="AC797" s="319">
        <v>43401.8</v>
      </c>
      <c r="AD797" s="936"/>
      <c r="AE797" s="936"/>
      <c r="AF797" s="936"/>
      <c r="AG797" s="936"/>
      <c r="AH797" s="936"/>
      <c r="AI797" s="936"/>
      <c r="AJ797" s="300">
        <v>58695.3</v>
      </c>
      <c r="AK797" s="264">
        <v>4.7</v>
      </c>
      <c r="AL797" s="398">
        <v>55118.9</v>
      </c>
      <c r="AM797" s="394">
        <v>4.5</v>
      </c>
      <c r="AN797" s="779"/>
      <c r="AO797" s="779"/>
    </row>
    <row r="798" spans="1:41" s="267" customFormat="1" ht="15.75" thickBot="1" x14ac:dyDescent="0.3">
      <c r="A798" s="1059"/>
      <c r="B798" s="294" t="s">
        <v>3</v>
      </c>
      <c r="C798" s="305">
        <f t="shared" ref="C798:L798" si="268">C797/C796</f>
        <v>0.32788350895789892</v>
      </c>
      <c r="D798" s="343">
        <f t="shared" si="268"/>
        <v>0.52864698734426141</v>
      </c>
      <c r="E798" s="305">
        <f t="shared" si="268"/>
        <v>0.53848576270938708</v>
      </c>
      <c r="F798" s="371">
        <f t="shared" si="268"/>
        <v>0.81273722683885841</v>
      </c>
      <c r="G798" s="278">
        <f t="shared" si="268"/>
        <v>0.70758309736572511</v>
      </c>
      <c r="H798" s="278">
        <f t="shared" si="268"/>
        <v>0.453779490195099</v>
      </c>
      <c r="I798" s="278">
        <f t="shared" si="268"/>
        <v>0.54729581923230342</v>
      </c>
      <c r="J798" s="315">
        <f t="shared" si="268"/>
        <v>0.14656806897406222</v>
      </c>
      <c r="K798" s="315">
        <f t="shared" si="268"/>
        <v>0.35935531902921275</v>
      </c>
      <c r="L798" s="292">
        <f t="shared" si="268"/>
        <v>4.7322737165327623E-3</v>
      </c>
      <c r="M798" s="372">
        <f>M797/M796</f>
        <v>0.82623449003284988</v>
      </c>
      <c r="N798" s="278">
        <f>N797/N796</f>
        <v>0.41028540204597036</v>
      </c>
      <c r="O798" s="315">
        <f>O797/O796</f>
        <v>0.73193144647549868</v>
      </c>
      <c r="P798" s="278">
        <f>P797/P796</f>
        <v>0.61336113579082885</v>
      </c>
      <c r="Q798" s="315">
        <f>Q797/Q796</f>
        <v>0.15218684195893459</v>
      </c>
      <c r="R798" s="315">
        <f t="shared" ref="R798:S798" si="269">R797/R796</f>
        <v>0.31183723706434913</v>
      </c>
      <c r="S798" s="292">
        <f t="shared" si="269"/>
        <v>0.15985069669456231</v>
      </c>
      <c r="T798" s="320">
        <f>T797/T796</f>
        <v>0.21803775090206887</v>
      </c>
      <c r="U798" s="292">
        <f>U797/U796</f>
        <v>0.17748900741904775</v>
      </c>
      <c r="V798" s="70"/>
      <c r="W798" s="70"/>
      <c r="X798" s="70"/>
      <c r="Y798" s="70"/>
      <c r="Z798" s="70"/>
      <c r="AA798" s="461"/>
      <c r="AB798" s="347" t="s">
        <v>3</v>
      </c>
      <c r="AC798" s="395">
        <f>AC797/AC796</f>
        <v>0.302678946274623</v>
      </c>
      <c r="AD798" s="635"/>
      <c r="AE798" s="635"/>
      <c r="AF798" s="635"/>
      <c r="AG798" s="635"/>
      <c r="AH798" s="635"/>
      <c r="AI798" s="635"/>
      <c r="AJ798" s="305">
        <f>AJ797/AJ796</f>
        <v>0.44421714648987376</v>
      </c>
      <c r="AK798" s="292">
        <f>AK797/AK796</f>
        <v>5.6493032726293656E-5</v>
      </c>
      <c r="AL798" s="399">
        <f>AL797/AL796</f>
        <v>0.41714964255495629</v>
      </c>
      <c r="AM798" s="343">
        <f>AM797/AM796</f>
        <v>5.4089073886876906E-5</v>
      </c>
      <c r="AN798" s="780"/>
      <c r="AO798" s="780"/>
    </row>
    <row r="799" spans="1:41" s="429" customFormat="1" ht="15" customHeight="1" x14ac:dyDescent="0.25">
      <c r="A799" s="1060" t="s">
        <v>6</v>
      </c>
      <c r="B799" s="418" t="s">
        <v>7</v>
      </c>
      <c r="C799" s="419">
        <v>5870</v>
      </c>
      <c r="D799" s="420">
        <v>3333</v>
      </c>
      <c r="E799" s="419">
        <v>3330</v>
      </c>
      <c r="F799" s="421">
        <v>9457</v>
      </c>
      <c r="G799" s="421">
        <v>8432</v>
      </c>
      <c r="H799" s="421">
        <v>15703</v>
      </c>
      <c r="I799" s="421">
        <v>7403</v>
      </c>
      <c r="J799" s="423">
        <v>9599</v>
      </c>
      <c r="K799" s="423">
        <v>4073</v>
      </c>
      <c r="L799" s="420">
        <v>6399</v>
      </c>
      <c r="M799" s="419">
        <v>9092</v>
      </c>
      <c r="N799" s="421">
        <v>11763</v>
      </c>
      <c r="O799" s="421">
        <v>4356</v>
      </c>
      <c r="P799" s="421">
        <v>10027</v>
      </c>
      <c r="Q799" s="423">
        <v>4799</v>
      </c>
      <c r="R799" s="423">
        <v>7192</v>
      </c>
      <c r="S799" s="420">
        <v>6399</v>
      </c>
      <c r="T799" s="424">
        <v>2480</v>
      </c>
      <c r="U799" s="420">
        <v>1570</v>
      </c>
      <c r="V799" s="425" t="s">
        <v>197</v>
      </c>
      <c r="W799" s="426"/>
      <c r="X799" s="427"/>
      <c r="Y799" s="427"/>
      <c r="Z799" s="427"/>
      <c r="AA799" s="428" t="s">
        <v>190</v>
      </c>
      <c r="AB799" s="418" t="s">
        <v>4</v>
      </c>
      <c r="AC799" s="430">
        <v>9191.7999999999993</v>
      </c>
      <c r="AD799" s="564"/>
      <c r="AE799" s="564"/>
      <c r="AF799" s="564"/>
      <c r="AG799" s="564"/>
      <c r="AH799" s="564"/>
      <c r="AI799" s="564"/>
      <c r="AJ799" s="431">
        <v>13787.7</v>
      </c>
      <c r="AK799" s="432">
        <v>8804.7999999999993</v>
      </c>
      <c r="AL799" s="433">
        <v>13787.7</v>
      </c>
      <c r="AM799" s="434">
        <v>8804.7999999999993</v>
      </c>
      <c r="AN799" s="781"/>
      <c r="AO799" s="781"/>
    </row>
    <row r="800" spans="1:41" s="267" customFormat="1" x14ac:dyDescent="0.25">
      <c r="A800" s="1061"/>
      <c r="B800" s="295" t="s">
        <v>11</v>
      </c>
      <c r="C800" s="302">
        <f t="shared" ref="C800:L800" si="270">C799*33.717</f>
        <v>197918.78999999998</v>
      </c>
      <c r="D800" s="263">
        <f t="shared" si="270"/>
        <v>112378.761</v>
      </c>
      <c r="E800" s="302">
        <f t="shared" si="270"/>
        <v>112277.61</v>
      </c>
      <c r="F800" s="355">
        <f t="shared" si="270"/>
        <v>318861.66899999999</v>
      </c>
      <c r="G800" s="308">
        <f t="shared" si="270"/>
        <v>284301.74400000001</v>
      </c>
      <c r="H800" s="354">
        <f t="shared" si="270"/>
        <v>529458.05099999998</v>
      </c>
      <c r="I800" s="354">
        <f t="shared" si="270"/>
        <v>249606.951</v>
      </c>
      <c r="J800" s="355">
        <f t="shared" si="270"/>
        <v>323649.48300000001</v>
      </c>
      <c r="K800" s="375">
        <f t="shared" si="270"/>
        <v>137329.34099999999</v>
      </c>
      <c r="L800" s="263">
        <f t="shared" si="270"/>
        <v>215755.08299999998</v>
      </c>
      <c r="M800" s="322">
        <f>M799*33.717</f>
        <v>306554.96399999998</v>
      </c>
      <c r="N800" s="308">
        <f>N799*33.717</f>
        <v>396613.071</v>
      </c>
      <c r="O800" s="308">
        <f>O799*33.717</f>
        <v>146871.25200000001</v>
      </c>
      <c r="P800" s="354">
        <f>P799*33.717</f>
        <v>338080.359</v>
      </c>
      <c r="Q800" s="355">
        <f>Q799*33.717</f>
        <v>161807.883</v>
      </c>
      <c r="R800" s="375">
        <f t="shared" ref="R800:S800" si="271">R799*33.717</f>
        <v>242492.66399999999</v>
      </c>
      <c r="S800" s="263">
        <f t="shared" si="271"/>
        <v>215755.08299999998</v>
      </c>
      <c r="T800" s="302">
        <f>T799*33.717</f>
        <v>83618.16</v>
      </c>
      <c r="U800" s="354">
        <f>U799*33.717</f>
        <v>52935.689999999995</v>
      </c>
      <c r="V800" s="70"/>
      <c r="W800" s="70"/>
      <c r="X800" s="70"/>
      <c r="Y800" s="70"/>
      <c r="Z800" s="70"/>
      <c r="AA800" s="460"/>
      <c r="AB800" s="293" t="s">
        <v>5</v>
      </c>
      <c r="AC800" s="319">
        <v>8835</v>
      </c>
      <c r="AD800" s="936"/>
      <c r="AE800" s="936"/>
      <c r="AF800" s="936"/>
      <c r="AG800" s="936"/>
      <c r="AH800" s="936"/>
      <c r="AI800" s="936"/>
      <c r="AJ800" s="300">
        <v>13648.9</v>
      </c>
      <c r="AK800" s="264">
        <v>0</v>
      </c>
      <c r="AL800" s="398">
        <v>13649.5</v>
      </c>
      <c r="AM800" s="394">
        <v>30</v>
      </c>
      <c r="AN800" s="779"/>
      <c r="AO800" s="779"/>
    </row>
    <row r="801" spans="1:41" s="267" customFormat="1" ht="15.75" thickBot="1" x14ac:dyDescent="0.3">
      <c r="A801" s="1061"/>
      <c r="B801" s="295" t="s">
        <v>79</v>
      </c>
      <c r="C801" s="302">
        <v>164000</v>
      </c>
      <c r="D801" s="263">
        <v>109880</v>
      </c>
      <c r="E801" s="302">
        <v>109880</v>
      </c>
      <c r="F801" s="308">
        <v>328000</v>
      </c>
      <c r="G801" s="308">
        <v>330905</v>
      </c>
      <c r="H801" s="308">
        <v>264264</v>
      </c>
      <c r="I801" s="308">
        <v>242663.6</v>
      </c>
      <c r="J801" s="375">
        <v>328000</v>
      </c>
      <c r="K801" s="375">
        <v>328000</v>
      </c>
      <c r="L801" s="263">
        <v>328000</v>
      </c>
      <c r="M801" s="302">
        <v>328000</v>
      </c>
      <c r="N801" s="308">
        <v>264264.40000000002</v>
      </c>
      <c r="O801" s="308">
        <v>328000</v>
      </c>
      <c r="P801" s="308">
        <v>352965.4</v>
      </c>
      <c r="Q801" s="375">
        <v>328000</v>
      </c>
      <c r="R801" s="375">
        <v>328000</v>
      </c>
      <c r="S801" s="263">
        <v>328000</v>
      </c>
      <c r="T801" s="322">
        <f>2*T796</f>
        <v>110302</v>
      </c>
      <c r="U801" s="263">
        <f>2*U796</f>
        <v>66181</v>
      </c>
      <c r="V801" s="70"/>
      <c r="W801" s="70"/>
      <c r="X801" s="70"/>
      <c r="Y801" s="70"/>
      <c r="Z801" s="70"/>
      <c r="AA801" s="461"/>
      <c r="AB801" s="344" t="s">
        <v>3</v>
      </c>
      <c r="AC801" s="395">
        <f>AC800/AC799</f>
        <v>0.96118279335929857</v>
      </c>
      <c r="AD801" s="635"/>
      <c r="AE801" s="635"/>
      <c r="AF801" s="635"/>
      <c r="AG801" s="635"/>
      <c r="AH801" s="635"/>
      <c r="AI801" s="635"/>
      <c r="AJ801" s="301">
        <f>AJ800/AJ799</f>
        <v>0.98993305627479555</v>
      </c>
      <c r="AK801" s="401">
        <f>AK800/AK799</f>
        <v>0</v>
      </c>
      <c r="AL801" s="400">
        <f>AL800/AL799</f>
        <v>0.98997657332259903</v>
      </c>
      <c r="AM801" s="348">
        <f>AM800/AM799</f>
        <v>3.4072324186807199E-3</v>
      </c>
      <c r="AN801" s="780"/>
      <c r="AO801" s="780"/>
    </row>
    <row r="802" spans="1:41" s="267" customFormat="1" ht="15" customHeight="1" x14ac:dyDescent="0.25">
      <c r="A802" s="1061"/>
      <c r="B802" s="293" t="s">
        <v>8</v>
      </c>
      <c r="C802" s="303">
        <f>SUM(C799-362)</f>
        <v>5508</v>
      </c>
      <c r="D802" s="262">
        <f>SUM(D799-532)</f>
        <v>2801</v>
      </c>
      <c r="E802" s="303">
        <f>SUM(E799-499)</f>
        <v>2831</v>
      </c>
      <c r="F802" s="309">
        <f>SUM(F799-1130)</f>
        <v>8327</v>
      </c>
      <c r="G802" s="309">
        <f>SUM(G799-4523)</f>
        <v>3909</v>
      </c>
      <c r="H802" s="309">
        <f>SUM(H799-2024)</f>
        <v>13679</v>
      </c>
      <c r="I802" s="309">
        <f>SUM(I799-(3120-2000))</f>
        <v>6283</v>
      </c>
      <c r="J802" s="316">
        <f>SUM(J799-9019)</f>
        <v>580</v>
      </c>
      <c r="K802" s="316">
        <f>SUM(K799-1448)</f>
        <v>2625</v>
      </c>
      <c r="L802" s="262">
        <f>SUM(L799-5949)</f>
        <v>450</v>
      </c>
      <c r="M802" s="303">
        <f>SUM(M799-921)</f>
        <v>8171</v>
      </c>
      <c r="N802" s="309">
        <f>SUM(N799-1000)</f>
        <v>10763</v>
      </c>
      <c r="O802" s="316">
        <f>SUM(O799-300)</f>
        <v>4056</v>
      </c>
      <c r="P802" s="309">
        <f>SUM(P799-(5049-2614))</f>
        <v>7592</v>
      </c>
      <c r="Q802" s="316">
        <f>SUM(Q799-3771)</f>
        <v>1028</v>
      </c>
      <c r="R802" s="316">
        <f>SUM(R799-4826)</f>
        <v>2366</v>
      </c>
      <c r="S802" s="262">
        <f>SUM(S799-3418)</f>
        <v>2981</v>
      </c>
      <c r="T802" s="323">
        <f>SUM(T799-1078)</f>
        <v>1402</v>
      </c>
      <c r="U802" s="262">
        <f>SUM(U799-663)</f>
        <v>907</v>
      </c>
      <c r="V802" s="12" t="s">
        <v>176</v>
      </c>
      <c r="W802" s="70"/>
      <c r="X802" s="70"/>
      <c r="Y802" s="70"/>
      <c r="Z802" s="70"/>
      <c r="AA802" s="459" t="s">
        <v>191</v>
      </c>
      <c r="AB802" s="19" t="s">
        <v>4</v>
      </c>
      <c r="AC802" s="318">
        <v>97433.600000000006</v>
      </c>
      <c r="AD802" s="544"/>
      <c r="AE802" s="544"/>
      <c r="AF802" s="544"/>
      <c r="AG802" s="544"/>
      <c r="AH802" s="544"/>
      <c r="AI802" s="544"/>
      <c r="AJ802" s="299">
        <v>243584.4</v>
      </c>
      <c r="AK802" s="265">
        <v>132070.29999999999</v>
      </c>
      <c r="AL802" s="397">
        <v>292299.3</v>
      </c>
      <c r="AM802" s="393">
        <v>132070.39999999999</v>
      </c>
      <c r="AN802" s="778"/>
      <c r="AO802" s="778"/>
    </row>
    <row r="803" spans="1:41" s="267" customFormat="1" x14ac:dyDescent="0.25">
      <c r="A803" s="1061"/>
      <c r="B803" s="296" t="s">
        <v>77</v>
      </c>
      <c r="C803" s="302">
        <f>(C802*33.717)</f>
        <v>185713.236</v>
      </c>
      <c r="D803" s="338">
        <f>(D802*33.717)</f>
        <v>94441.316999999995</v>
      </c>
      <c r="E803" s="302">
        <f>(E802*33.717)</f>
        <v>95452.82699999999</v>
      </c>
      <c r="F803" s="338">
        <f>(F802*33.717)</f>
        <v>280761.45899999997</v>
      </c>
      <c r="G803" s="280">
        <f>(G802*33.717)*2</f>
        <v>263599.50599999999</v>
      </c>
      <c r="H803" s="280">
        <f>(H802*33.717)</f>
        <v>461214.84299999999</v>
      </c>
      <c r="I803" s="280">
        <f>(I802*33.717)-(2000*33.717)</f>
        <v>144409.91099999999</v>
      </c>
      <c r="J803" s="376">
        <f>J802*33.717</f>
        <v>19555.86</v>
      </c>
      <c r="K803" s="376">
        <f>K802*33.717</f>
        <v>88507.125</v>
      </c>
      <c r="L803" s="261">
        <f>L802*33.717</f>
        <v>15172.65</v>
      </c>
      <c r="M803" s="304">
        <f>M802*33.717</f>
        <v>275501.60700000002</v>
      </c>
      <c r="N803" s="280">
        <f>N802*33.717</f>
        <v>362896.071</v>
      </c>
      <c r="O803" s="280">
        <f>(O802*33.717)</f>
        <v>136756.152</v>
      </c>
      <c r="P803" s="280">
        <f t="shared" ref="P803:U803" si="272">P802*33.717</f>
        <v>255979.46399999998</v>
      </c>
      <c r="Q803" s="376">
        <f t="shared" si="272"/>
        <v>34661.076000000001</v>
      </c>
      <c r="R803" s="376">
        <f t="shared" si="272"/>
        <v>79774.421999999991</v>
      </c>
      <c r="S803" s="261">
        <f t="shared" si="272"/>
        <v>100510.37699999999</v>
      </c>
      <c r="T803" s="324">
        <f t="shared" si="272"/>
        <v>47271.233999999997</v>
      </c>
      <c r="U803" s="325">
        <f t="shared" si="272"/>
        <v>30581.319</v>
      </c>
      <c r="V803" s="63">
        <f>344240-H803</f>
        <v>-116974.84299999999</v>
      </c>
      <c r="W803" s="70" t="s">
        <v>177</v>
      </c>
      <c r="X803" s="70"/>
      <c r="Y803" s="70"/>
      <c r="Z803" s="70"/>
      <c r="AA803" s="460"/>
      <c r="AB803" s="293" t="s">
        <v>5</v>
      </c>
      <c r="AC803" s="319">
        <v>38973.199999999997</v>
      </c>
      <c r="AD803" s="936"/>
      <c r="AE803" s="936"/>
      <c r="AF803" s="936"/>
      <c r="AG803" s="936"/>
      <c r="AH803" s="936"/>
      <c r="AI803" s="936"/>
      <c r="AJ803" s="300">
        <v>95895.7</v>
      </c>
      <c r="AK803" s="264">
        <v>0.1</v>
      </c>
      <c r="AL803" s="398">
        <v>93978.8</v>
      </c>
      <c r="AM803" s="394">
        <v>1</v>
      </c>
      <c r="AN803" s="779"/>
      <c r="AO803" s="779"/>
    </row>
    <row r="804" spans="1:41" s="267" customFormat="1" ht="15.75" thickBot="1" x14ac:dyDescent="0.3">
      <c r="A804" s="1062"/>
      <c r="B804" s="294" t="s">
        <v>10</v>
      </c>
      <c r="C804" s="305">
        <f>C803/C796</f>
        <v>1.2951346021074948</v>
      </c>
      <c r="D804" s="292">
        <f t="shared" ref="D804:U804" si="273">D803/D796</f>
        <v>0.62744743274334336</v>
      </c>
      <c r="E804" s="310">
        <f t="shared" si="273"/>
        <v>0.63416768371881649</v>
      </c>
      <c r="F804" s="282">
        <f t="shared" si="273"/>
        <v>1.542655550476157</v>
      </c>
      <c r="G804" s="282">
        <f t="shared" si="273"/>
        <v>1.5931938943570247</v>
      </c>
      <c r="H804" s="282">
        <f t="shared" si="273"/>
        <v>3.4905375042854581</v>
      </c>
      <c r="I804" s="282">
        <f t="shared" si="273"/>
        <v>0.84465750436044973</v>
      </c>
      <c r="J804" s="377">
        <f t="shared" si="273"/>
        <v>0.11819550508148816</v>
      </c>
      <c r="K804" s="377">
        <f t="shared" si="273"/>
        <v>0.95774908128416769</v>
      </c>
      <c r="L804" s="311">
        <f t="shared" si="273"/>
        <v>7.0483098856533644E-2</v>
      </c>
      <c r="M804" s="310">
        <f t="shared" si="273"/>
        <v>1.4272542689159304</v>
      </c>
      <c r="N804" s="282">
        <f t="shared" si="273"/>
        <v>2.7464474858267698</v>
      </c>
      <c r="O804" s="282">
        <f t="shared" si="273"/>
        <v>1.6531097857279278</v>
      </c>
      <c r="P804" s="260">
        <f t="shared" si="273"/>
        <v>0.92828584794473346</v>
      </c>
      <c r="Q804" s="377">
        <f t="shared" si="273"/>
        <v>0.41898344667857734</v>
      </c>
      <c r="R804" s="377">
        <f t="shared" si="273"/>
        <v>0.42212798494668258</v>
      </c>
      <c r="S804" s="311">
        <f t="shared" si="273"/>
        <v>0.46691137264739285</v>
      </c>
      <c r="T804" s="305">
        <f t="shared" si="273"/>
        <v>0.85712378741999229</v>
      </c>
      <c r="U804" s="292">
        <f t="shared" si="273"/>
        <v>0.92417216421631587</v>
      </c>
      <c r="V804" s="126"/>
      <c r="W804" s="70"/>
      <c r="X804" s="70"/>
      <c r="Y804" s="70"/>
      <c r="Z804" s="70"/>
      <c r="AA804" s="461"/>
      <c r="AB804" s="294" t="s">
        <v>3</v>
      </c>
      <c r="AC804" s="320">
        <f>AC803/AC802</f>
        <v>0.39999753678402516</v>
      </c>
      <c r="AD804" s="545"/>
      <c r="AE804" s="545"/>
      <c r="AF804" s="545"/>
      <c r="AG804" s="545"/>
      <c r="AH804" s="545"/>
      <c r="AI804" s="545"/>
      <c r="AJ804" s="305">
        <f>AJ803/AJ802</f>
        <v>0.39368572043201455</v>
      </c>
      <c r="AK804" s="292">
        <f>AK803/AK802</f>
        <v>7.5717250585483648E-7</v>
      </c>
      <c r="AL804" s="399">
        <f>AL803/AL802</f>
        <v>0.32151565193621745</v>
      </c>
      <c r="AM804" s="343">
        <f>AM803/AM802</f>
        <v>7.5717193254506694E-6</v>
      </c>
      <c r="AN804" s="780"/>
      <c r="AO804" s="780"/>
    </row>
    <row r="805" spans="1:41" s="267" customFormat="1" ht="15.75" thickBot="1" x14ac:dyDescent="0.3">
      <c r="A805" s="1048">
        <v>41513</v>
      </c>
      <c r="B805" s="1048"/>
      <c r="C805" s="1048"/>
      <c r="D805" s="276"/>
      <c r="E805" s="276"/>
      <c r="F805" s="276"/>
      <c r="G805" s="276"/>
      <c r="H805" s="276"/>
      <c r="I805" s="11"/>
      <c r="J805" s="281"/>
      <c r="K805" s="281"/>
      <c r="L805" s="276"/>
      <c r="M805" s="276"/>
      <c r="N805" s="13"/>
      <c r="R805" s="12"/>
      <c r="S805" s="70"/>
      <c r="T805" s="70"/>
      <c r="U805" s="70"/>
      <c r="V805" s="70"/>
      <c r="W805" s="70"/>
      <c r="X805" s="70"/>
      <c r="Y805" s="70"/>
      <c r="Z805" s="70"/>
      <c r="AA805" s="1063"/>
      <c r="AB805" s="1064"/>
      <c r="AD805" s="743"/>
      <c r="AE805" s="743"/>
      <c r="AF805" s="743"/>
      <c r="AG805" s="743"/>
      <c r="AH805" s="743"/>
      <c r="AI805" s="743"/>
      <c r="AN805" s="743"/>
      <c r="AO805" s="743"/>
    </row>
    <row r="806" spans="1:41" s="267" customFormat="1" x14ac:dyDescent="0.25">
      <c r="A806" s="1049" t="s">
        <v>1</v>
      </c>
      <c r="B806" s="1050"/>
      <c r="C806" s="297" t="s">
        <v>12</v>
      </c>
      <c r="D806" s="266" t="s">
        <v>12</v>
      </c>
      <c r="E806" s="297" t="s">
        <v>13</v>
      </c>
      <c r="F806" s="277" t="s">
        <v>13</v>
      </c>
      <c r="G806" s="277" t="s">
        <v>13</v>
      </c>
      <c r="H806" s="277" t="s">
        <v>13</v>
      </c>
      <c r="I806" s="277" t="s">
        <v>13</v>
      </c>
      <c r="J806" s="286" t="s">
        <v>13</v>
      </c>
      <c r="K806" s="286" t="s">
        <v>13</v>
      </c>
      <c r="L806" s="266" t="s">
        <v>13</v>
      </c>
      <c r="M806" s="297" t="s">
        <v>2</v>
      </c>
      <c r="N806" s="277" t="s">
        <v>2</v>
      </c>
      <c r="O806" s="286" t="s">
        <v>2</v>
      </c>
      <c r="P806" s="277" t="s">
        <v>2</v>
      </c>
      <c r="Q806" s="286" t="s">
        <v>2</v>
      </c>
      <c r="R806" s="286" t="s">
        <v>2</v>
      </c>
      <c r="S806" s="266" t="s">
        <v>2</v>
      </c>
      <c r="T806" s="328" t="s">
        <v>183</v>
      </c>
      <c r="U806" s="327" t="s">
        <v>183</v>
      </c>
      <c r="V806" s="12"/>
      <c r="W806" s="70"/>
      <c r="X806" s="70"/>
      <c r="Y806" s="70"/>
      <c r="Z806" s="70"/>
      <c r="AA806" s="1049" t="s">
        <v>1</v>
      </c>
      <c r="AB806" s="1051"/>
      <c r="AC806" s="457" t="s">
        <v>12</v>
      </c>
      <c r="AD806" s="912"/>
      <c r="AE806" s="912"/>
      <c r="AF806" s="912"/>
      <c r="AG806" s="912"/>
      <c r="AH806" s="912"/>
      <c r="AI806" s="912"/>
      <c r="AJ806" s="1052" t="s">
        <v>13</v>
      </c>
      <c r="AK806" s="1053"/>
      <c r="AL806" s="1052" t="s">
        <v>2</v>
      </c>
      <c r="AM806" s="1053"/>
      <c r="AN806" s="776"/>
      <c r="AO806" s="776"/>
    </row>
    <row r="807" spans="1:41" s="267" customFormat="1" ht="15.75" thickBot="1" x14ac:dyDescent="0.3">
      <c r="A807" s="1054" t="s">
        <v>0</v>
      </c>
      <c r="B807" s="1066"/>
      <c r="C807" s="298" t="s">
        <v>99</v>
      </c>
      <c r="D807" s="291" t="s">
        <v>100</v>
      </c>
      <c r="E807" s="298" t="s">
        <v>101</v>
      </c>
      <c r="F807" s="306" t="s">
        <v>102</v>
      </c>
      <c r="G807" s="306" t="s">
        <v>97</v>
      </c>
      <c r="H807" s="306" t="s">
        <v>104</v>
      </c>
      <c r="I807" s="306" t="s">
        <v>103</v>
      </c>
      <c r="J807" s="378" t="s">
        <v>178</v>
      </c>
      <c r="K807" s="378" t="s">
        <v>199</v>
      </c>
      <c r="L807" s="314" t="s">
        <v>206</v>
      </c>
      <c r="M807" s="298" t="s">
        <v>105</v>
      </c>
      <c r="N807" s="306" t="s">
        <v>107</v>
      </c>
      <c r="O807" s="312" t="s">
        <v>98</v>
      </c>
      <c r="P807" s="313" t="s">
        <v>106</v>
      </c>
      <c r="Q807" s="312" t="s">
        <v>179</v>
      </c>
      <c r="R807" s="312" t="s">
        <v>198</v>
      </c>
      <c r="S807" s="291" t="s">
        <v>207</v>
      </c>
      <c r="T807" s="317" t="s">
        <v>182</v>
      </c>
      <c r="U807" s="291" t="s">
        <v>184</v>
      </c>
      <c r="V807" s="12"/>
      <c r="W807" s="12"/>
      <c r="X807" s="12"/>
      <c r="Y807" s="12"/>
      <c r="Z807" s="12"/>
      <c r="AA807" s="1054" t="s">
        <v>0</v>
      </c>
      <c r="AB807" s="1067"/>
      <c r="AC807" s="317" t="s">
        <v>99</v>
      </c>
      <c r="AD807" s="621"/>
      <c r="AE807" s="621"/>
      <c r="AF807" s="621"/>
      <c r="AG807" s="621"/>
      <c r="AH807" s="621"/>
      <c r="AI807" s="621"/>
      <c r="AJ807" s="298" t="s">
        <v>104</v>
      </c>
      <c r="AK807" s="291" t="s">
        <v>206</v>
      </c>
      <c r="AL807" s="396" t="s">
        <v>107</v>
      </c>
      <c r="AM807" s="392" t="s">
        <v>207</v>
      </c>
      <c r="AN807" s="777"/>
      <c r="AO807" s="777"/>
    </row>
    <row r="808" spans="1:41" s="267" customFormat="1" ht="15" customHeight="1" x14ac:dyDescent="0.25">
      <c r="A808" s="1057" t="s">
        <v>9</v>
      </c>
      <c r="B808" s="19" t="s">
        <v>4</v>
      </c>
      <c r="C808" s="299">
        <v>143393</v>
      </c>
      <c r="D808" s="265">
        <v>150516.70000000001</v>
      </c>
      <c r="E808" s="299">
        <v>150516.70000000001</v>
      </c>
      <c r="F808" s="283">
        <v>181998.8</v>
      </c>
      <c r="G808" s="283">
        <v>165453.5</v>
      </c>
      <c r="H808" s="283">
        <v>132132.9</v>
      </c>
      <c r="I808" s="283">
        <v>170968.6</v>
      </c>
      <c r="J808" s="223">
        <v>165453.5</v>
      </c>
      <c r="K808" s="223">
        <v>92411.6</v>
      </c>
      <c r="L808" s="265">
        <f>83196.1+132070.4</f>
        <v>215266.5</v>
      </c>
      <c r="M808" s="299">
        <v>193029.1</v>
      </c>
      <c r="N808" s="283">
        <v>132132.9</v>
      </c>
      <c r="O808" s="283">
        <v>82726.600000000006</v>
      </c>
      <c r="P808" s="283">
        <v>275755</v>
      </c>
      <c r="Q808" s="223">
        <v>82726.600000000006</v>
      </c>
      <c r="R808" s="223">
        <v>188981.6</v>
      </c>
      <c r="S808" s="265">
        <f>83196.1+132070.4</f>
        <v>215266.5</v>
      </c>
      <c r="T808" s="318">
        <v>55151</v>
      </c>
      <c r="U808" s="265">
        <v>33090.5</v>
      </c>
      <c r="V808" s="70"/>
      <c r="W808" s="70"/>
      <c r="X808" s="70"/>
      <c r="Y808" s="70"/>
      <c r="Z808" s="70"/>
      <c r="AA808" s="454" t="s">
        <v>194</v>
      </c>
      <c r="AB808" s="2" t="s">
        <v>4</v>
      </c>
      <c r="AC808" s="318">
        <v>143392.20000000001</v>
      </c>
      <c r="AD808" s="544"/>
      <c r="AE808" s="544"/>
      <c r="AF808" s="544"/>
      <c r="AG808" s="544"/>
      <c r="AH808" s="544"/>
      <c r="AI808" s="544"/>
      <c r="AJ808" s="299">
        <v>132132</v>
      </c>
      <c r="AK808" s="265">
        <v>83196.100000000006</v>
      </c>
      <c r="AL808" s="397">
        <v>132132.20000000001</v>
      </c>
      <c r="AM808" s="393">
        <v>83196.100000000006</v>
      </c>
      <c r="AN808" s="778"/>
      <c r="AO808" s="778"/>
    </row>
    <row r="809" spans="1:41" s="267" customFormat="1" x14ac:dyDescent="0.25">
      <c r="A809" s="1058"/>
      <c r="B809" s="293" t="s">
        <v>5</v>
      </c>
      <c r="C809" s="300">
        <v>46567.7</v>
      </c>
      <c r="D809" s="264">
        <v>79461.100000000006</v>
      </c>
      <c r="E809" s="300">
        <v>80684.899999999994</v>
      </c>
      <c r="F809" s="307">
        <v>147629.1</v>
      </c>
      <c r="G809" s="307">
        <v>116888.9</v>
      </c>
      <c r="H809" s="307">
        <v>58802.400000000001</v>
      </c>
      <c r="I809" s="307">
        <v>93316.7</v>
      </c>
      <c r="J809" s="374">
        <v>23503.8</v>
      </c>
      <c r="K809" s="374">
        <v>33098.5</v>
      </c>
      <c r="L809" s="264">
        <f xml:space="preserve"> 677.5+77.2</f>
        <v>754.7</v>
      </c>
      <c r="M809" s="300">
        <v>159187.9</v>
      </c>
      <c r="N809" s="307">
        <v>52559.6</v>
      </c>
      <c r="O809" s="307">
        <v>60086</v>
      </c>
      <c r="P809" s="307">
        <v>168633.8</v>
      </c>
      <c r="Q809" s="374">
        <v>12215.8</v>
      </c>
      <c r="R809" s="374">
        <v>58625.599999999999</v>
      </c>
      <c r="S809" s="264">
        <f xml:space="preserve"> 18555.1+14846.8</f>
        <v>33401.899999999994</v>
      </c>
      <c r="T809" s="319">
        <v>11980.8</v>
      </c>
      <c r="U809" s="264">
        <v>5866.1</v>
      </c>
      <c r="V809" s="70"/>
      <c r="W809" s="70"/>
      <c r="X809" s="70"/>
      <c r="Y809" s="70"/>
      <c r="Z809" s="70"/>
      <c r="AA809" s="455"/>
      <c r="AB809" s="342" t="s">
        <v>5</v>
      </c>
      <c r="AC809" s="319">
        <v>43401.8</v>
      </c>
      <c r="AD809" s="936"/>
      <c r="AE809" s="936"/>
      <c r="AF809" s="936"/>
      <c r="AG809" s="936"/>
      <c r="AH809" s="936"/>
      <c r="AI809" s="936"/>
      <c r="AJ809" s="300">
        <v>58695.3</v>
      </c>
      <c r="AK809" s="264">
        <v>4.7</v>
      </c>
      <c r="AL809" s="398">
        <v>55118.9</v>
      </c>
      <c r="AM809" s="394">
        <v>4.5</v>
      </c>
      <c r="AN809" s="779"/>
      <c r="AO809" s="779"/>
    </row>
    <row r="810" spans="1:41" s="267" customFormat="1" ht="15.75" thickBot="1" x14ac:dyDescent="0.3">
      <c r="A810" s="1059"/>
      <c r="B810" s="294" t="s">
        <v>3</v>
      </c>
      <c r="C810" s="305">
        <f t="shared" ref="C810:L810" si="274">C809/C808</f>
        <v>0.32475574121470363</v>
      </c>
      <c r="D810" s="343">
        <f t="shared" si="274"/>
        <v>0.52792215083110383</v>
      </c>
      <c r="E810" s="305">
        <f t="shared" si="274"/>
        <v>0.53605281008685401</v>
      </c>
      <c r="F810" s="371">
        <f t="shared" si="274"/>
        <v>0.81115424936867719</v>
      </c>
      <c r="G810" s="278">
        <f t="shared" si="274"/>
        <v>0.70647583762205091</v>
      </c>
      <c r="H810" s="278">
        <f t="shared" si="274"/>
        <v>0.44502466834527965</v>
      </c>
      <c r="I810" s="278">
        <f t="shared" si="274"/>
        <v>0.54581192101941522</v>
      </c>
      <c r="J810" s="315">
        <f t="shared" si="274"/>
        <v>0.14205683167778257</v>
      </c>
      <c r="K810" s="315">
        <f t="shared" si="274"/>
        <v>0.35816391015846494</v>
      </c>
      <c r="L810" s="292">
        <f t="shared" si="274"/>
        <v>3.5058868890421872E-3</v>
      </c>
      <c r="M810" s="372">
        <f>M809/M808</f>
        <v>0.82468342856077137</v>
      </c>
      <c r="N810" s="278">
        <f>N809/N808</f>
        <v>0.39777829745657595</v>
      </c>
      <c r="O810" s="315">
        <f>O809/O808</f>
        <v>0.72632019205430898</v>
      </c>
      <c r="P810" s="278">
        <f>P809/P808</f>
        <v>0.61153487697412556</v>
      </c>
      <c r="Q810" s="315">
        <f>Q809/Q808</f>
        <v>0.14766471727352506</v>
      </c>
      <c r="R810" s="315">
        <f t="shared" ref="R810:S810" si="275">R809/R808</f>
        <v>0.3102185609604321</v>
      </c>
      <c r="S810" s="292">
        <f t="shared" si="275"/>
        <v>0.15516534156499034</v>
      </c>
      <c r="T810" s="320">
        <f>T809/T808</f>
        <v>0.21723631484469907</v>
      </c>
      <c r="U810" s="292">
        <f>U809/U808</f>
        <v>0.17727444432692163</v>
      </c>
      <c r="V810" s="70"/>
      <c r="W810" s="70"/>
      <c r="X810" s="70"/>
      <c r="Y810" s="70"/>
      <c r="Z810" s="70"/>
      <c r="AA810" s="456"/>
      <c r="AB810" s="347" t="s">
        <v>3</v>
      </c>
      <c r="AC810" s="395">
        <f>AC809/AC808</f>
        <v>0.302678946274623</v>
      </c>
      <c r="AD810" s="635"/>
      <c r="AE810" s="635"/>
      <c r="AF810" s="635"/>
      <c r="AG810" s="635"/>
      <c r="AH810" s="635"/>
      <c r="AI810" s="635"/>
      <c r="AJ810" s="305">
        <f>AJ809/AJ808</f>
        <v>0.44421714648987376</v>
      </c>
      <c r="AK810" s="292">
        <f>AK809/AK808</f>
        <v>5.6493032726293656E-5</v>
      </c>
      <c r="AL810" s="399">
        <f>AL809/AL808</f>
        <v>0.41714964255495629</v>
      </c>
      <c r="AM810" s="343">
        <f>AM809/AM808</f>
        <v>5.4089073886876906E-5</v>
      </c>
      <c r="AN810" s="780"/>
      <c r="AO810" s="780"/>
    </row>
    <row r="811" spans="1:41" s="429" customFormat="1" ht="15" customHeight="1" x14ac:dyDescent="0.25">
      <c r="A811" s="1060" t="s">
        <v>6</v>
      </c>
      <c r="B811" s="418" t="s">
        <v>7</v>
      </c>
      <c r="C811" s="419">
        <v>5870</v>
      </c>
      <c r="D811" s="420">
        <v>3333</v>
      </c>
      <c r="E811" s="419">
        <v>3330</v>
      </c>
      <c r="F811" s="421">
        <v>9457</v>
      </c>
      <c r="G811" s="421">
        <v>8432</v>
      </c>
      <c r="H811" s="421">
        <v>15703</v>
      </c>
      <c r="I811" s="421">
        <v>7403</v>
      </c>
      <c r="J811" s="423">
        <v>9599</v>
      </c>
      <c r="K811" s="423">
        <v>4073</v>
      </c>
      <c r="L811" s="420">
        <v>6399</v>
      </c>
      <c r="M811" s="419">
        <v>9092</v>
      </c>
      <c r="N811" s="421">
        <v>11763</v>
      </c>
      <c r="O811" s="421">
        <v>4356</v>
      </c>
      <c r="P811" s="421">
        <v>10027</v>
      </c>
      <c r="Q811" s="423">
        <v>4799</v>
      </c>
      <c r="R811" s="423">
        <v>7192</v>
      </c>
      <c r="S811" s="420">
        <v>6399</v>
      </c>
      <c r="T811" s="424">
        <v>2480</v>
      </c>
      <c r="U811" s="420">
        <v>1570</v>
      </c>
      <c r="V811" s="425" t="s">
        <v>197</v>
      </c>
      <c r="W811" s="426"/>
      <c r="X811" s="427"/>
      <c r="Y811" s="427"/>
      <c r="Z811" s="427"/>
      <c r="AA811" s="428" t="s">
        <v>190</v>
      </c>
      <c r="AB811" s="418" t="s">
        <v>4</v>
      </c>
      <c r="AC811" s="430">
        <v>9191.7999999999993</v>
      </c>
      <c r="AD811" s="564"/>
      <c r="AE811" s="564"/>
      <c r="AF811" s="564"/>
      <c r="AG811" s="564"/>
      <c r="AH811" s="564"/>
      <c r="AI811" s="564"/>
      <c r="AJ811" s="431">
        <v>13787.7</v>
      </c>
      <c r="AK811" s="432">
        <v>8804.7999999999993</v>
      </c>
      <c r="AL811" s="433">
        <v>13787.7</v>
      </c>
      <c r="AM811" s="434">
        <v>8804.7999999999993</v>
      </c>
      <c r="AN811" s="781"/>
      <c r="AO811" s="781"/>
    </row>
    <row r="812" spans="1:41" s="267" customFormat="1" x14ac:dyDescent="0.25">
      <c r="A812" s="1061"/>
      <c r="B812" s="295" t="s">
        <v>11</v>
      </c>
      <c r="C812" s="302">
        <f t="shared" ref="C812:L812" si="276">C811*33.717</f>
        <v>197918.78999999998</v>
      </c>
      <c r="D812" s="263">
        <f t="shared" si="276"/>
        <v>112378.761</v>
      </c>
      <c r="E812" s="302">
        <f t="shared" si="276"/>
        <v>112277.61</v>
      </c>
      <c r="F812" s="355">
        <f t="shared" si="276"/>
        <v>318861.66899999999</v>
      </c>
      <c r="G812" s="308">
        <f t="shared" si="276"/>
        <v>284301.74400000001</v>
      </c>
      <c r="H812" s="354">
        <f t="shared" si="276"/>
        <v>529458.05099999998</v>
      </c>
      <c r="I812" s="354">
        <f t="shared" si="276"/>
        <v>249606.951</v>
      </c>
      <c r="J812" s="355">
        <f t="shared" si="276"/>
        <v>323649.48300000001</v>
      </c>
      <c r="K812" s="375">
        <f t="shared" si="276"/>
        <v>137329.34099999999</v>
      </c>
      <c r="L812" s="263">
        <f t="shared" si="276"/>
        <v>215755.08299999998</v>
      </c>
      <c r="M812" s="322">
        <f>M811*33.717</f>
        <v>306554.96399999998</v>
      </c>
      <c r="N812" s="308">
        <f>N811*33.717</f>
        <v>396613.071</v>
      </c>
      <c r="O812" s="308">
        <f>O811*33.717</f>
        <v>146871.25200000001</v>
      </c>
      <c r="P812" s="354">
        <f>P811*33.717</f>
        <v>338080.359</v>
      </c>
      <c r="Q812" s="355">
        <f>Q811*33.717</f>
        <v>161807.883</v>
      </c>
      <c r="R812" s="375">
        <f t="shared" ref="R812:S812" si="277">R811*33.717</f>
        <v>242492.66399999999</v>
      </c>
      <c r="S812" s="263">
        <f t="shared" si="277"/>
        <v>215755.08299999998</v>
      </c>
      <c r="T812" s="302">
        <f>T811*33.717</f>
        <v>83618.16</v>
      </c>
      <c r="U812" s="354">
        <f>U811*33.717</f>
        <v>52935.689999999995</v>
      </c>
      <c r="V812" s="70"/>
      <c r="W812" s="70"/>
      <c r="X812" s="70"/>
      <c r="Y812" s="70"/>
      <c r="Z812" s="70"/>
      <c r="AA812" s="455"/>
      <c r="AB812" s="293" t="s">
        <v>5</v>
      </c>
      <c r="AC812" s="319">
        <v>8835</v>
      </c>
      <c r="AD812" s="936"/>
      <c r="AE812" s="936"/>
      <c r="AF812" s="936"/>
      <c r="AG812" s="936"/>
      <c r="AH812" s="936"/>
      <c r="AI812" s="936"/>
      <c r="AJ812" s="300">
        <v>13648.9</v>
      </c>
      <c r="AK812" s="264">
        <v>0</v>
      </c>
      <c r="AL812" s="398">
        <v>13649.5</v>
      </c>
      <c r="AM812" s="394">
        <v>30</v>
      </c>
      <c r="AN812" s="779"/>
      <c r="AO812" s="779"/>
    </row>
    <row r="813" spans="1:41" s="267" customFormat="1" ht="15.75" thickBot="1" x14ac:dyDescent="0.3">
      <c r="A813" s="1061"/>
      <c r="B813" s="295" t="s">
        <v>79</v>
      </c>
      <c r="C813" s="302">
        <v>164000</v>
      </c>
      <c r="D813" s="263">
        <v>109880</v>
      </c>
      <c r="E813" s="302">
        <v>109880</v>
      </c>
      <c r="F813" s="308">
        <v>328000</v>
      </c>
      <c r="G813" s="308">
        <v>330905</v>
      </c>
      <c r="H813" s="308">
        <v>264264</v>
      </c>
      <c r="I813" s="308">
        <v>242663.6</v>
      </c>
      <c r="J813" s="375">
        <v>328000</v>
      </c>
      <c r="K813" s="375">
        <v>328000</v>
      </c>
      <c r="L813" s="263">
        <v>328000</v>
      </c>
      <c r="M813" s="302">
        <v>328000</v>
      </c>
      <c r="N813" s="308">
        <v>264264.40000000002</v>
      </c>
      <c r="O813" s="308">
        <v>328000</v>
      </c>
      <c r="P813" s="308">
        <v>352965.4</v>
      </c>
      <c r="Q813" s="375">
        <v>328000</v>
      </c>
      <c r="R813" s="375">
        <v>328000</v>
      </c>
      <c r="S813" s="263">
        <v>328000</v>
      </c>
      <c r="T813" s="322">
        <f>2*T808</f>
        <v>110302</v>
      </c>
      <c r="U813" s="263">
        <f>2*U808</f>
        <v>66181</v>
      </c>
      <c r="V813" s="70"/>
      <c r="W813" s="70"/>
      <c r="X813" s="70"/>
      <c r="Y813" s="70"/>
      <c r="Z813" s="70"/>
      <c r="AA813" s="456"/>
      <c r="AB813" s="344" t="s">
        <v>3</v>
      </c>
      <c r="AC813" s="395">
        <f>AC812/AC811</f>
        <v>0.96118279335929857</v>
      </c>
      <c r="AD813" s="635"/>
      <c r="AE813" s="635"/>
      <c r="AF813" s="635"/>
      <c r="AG813" s="635"/>
      <c r="AH813" s="635"/>
      <c r="AI813" s="635"/>
      <c r="AJ813" s="301">
        <f>AJ812/AJ811</f>
        <v>0.98993305627479555</v>
      </c>
      <c r="AK813" s="401">
        <f>AK812/AK811</f>
        <v>0</v>
      </c>
      <c r="AL813" s="400">
        <f>AL812/AL811</f>
        <v>0.98997657332259903</v>
      </c>
      <c r="AM813" s="348">
        <f>AM812/AM811</f>
        <v>3.4072324186807199E-3</v>
      </c>
      <c r="AN813" s="780"/>
      <c r="AO813" s="780"/>
    </row>
    <row r="814" spans="1:41" s="267" customFormat="1" ht="15" customHeight="1" x14ac:dyDescent="0.25">
      <c r="A814" s="1061"/>
      <c r="B814" s="293" t="s">
        <v>8</v>
      </c>
      <c r="C814" s="303">
        <f>SUM(C811-386)</f>
        <v>5484</v>
      </c>
      <c r="D814" s="262">
        <f>SUM(D811-544)</f>
        <v>2789</v>
      </c>
      <c r="E814" s="303">
        <f>SUM(E811-528)</f>
        <v>2802</v>
      </c>
      <c r="F814" s="309">
        <f>SUM(F811-1130)</f>
        <v>8327</v>
      </c>
      <c r="G814" s="309">
        <f>SUM(G811-4533)</f>
        <v>3899</v>
      </c>
      <c r="H814" s="309">
        <f>SUM(H811-2031)</f>
        <v>13672</v>
      </c>
      <c r="I814" s="309">
        <f>SUM(I811-(3127-2000))</f>
        <v>6276</v>
      </c>
      <c r="J814" s="316">
        <f>SUM(J811-9035)</f>
        <v>564</v>
      </c>
      <c r="K814" s="316">
        <f>SUM(K811-1448)</f>
        <v>2625</v>
      </c>
      <c r="L814" s="262">
        <f>SUM(L811-5949)</f>
        <v>450</v>
      </c>
      <c r="M814" s="303">
        <f>SUM(M811-928)</f>
        <v>8164</v>
      </c>
      <c r="N814" s="309">
        <f>SUM(N811-1000)</f>
        <v>10763</v>
      </c>
      <c r="O814" s="316">
        <f>SUM(O811-310)</f>
        <v>4046</v>
      </c>
      <c r="P814" s="309">
        <f>SUM(P811-(5056-2614))</f>
        <v>7585</v>
      </c>
      <c r="Q814" s="316">
        <f>SUM(Q811-3787)</f>
        <v>1012</v>
      </c>
      <c r="R814" s="316">
        <f>SUM(R811-4826)</f>
        <v>2366</v>
      </c>
      <c r="S814" s="262">
        <f>SUM(S811-3418)</f>
        <v>2981</v>
      </c>
      <c r="T814" s="323">
        <f>SUM(T811-1078)</f>
        <v>1402</v>
      </c>
      <c r="U814" s="262">
        <f>SUM(U811-663)</f>
        <v>907</v>
      </c>
      <c r="V814" s="12" t="s">
        <v>176</v>
      </c>
      <c r="W814" s="70"/>
      <c r="X814" s="70"/>
      <c r="Y814" s="70"/>
      <c r="Z814" s="70"/>
      <c r="AA814" s="454" t="s">
        <v>191</v>
      </c>
      <c r="AB814" s="19" t="s">
        <v>4</v>
      </c>
      <c r="AC814" s="318">
        <v>97433.600000000006</v>
      </c>
      <c r="AD814" s="544"/>
      <c r="AE814" s="544"/>
      <c r="AF814" s="544"/>
      <c r="AG814" s="544"/>
      <c r="AH814" s="544"/>
      <c r="AI814" s="544"/>
      <c r="AJ814" s="299">
        <v>243584.4</v>
      </c>
      <c r="AK814" s="265">
        <v>132070.29999999999</v>
      </c>
      <c r="AL814" s="397">
        <v>292299.3</v>
      </c>
      <c r="AM814" s="393">
        <v>132070.39999999999</v>
      </c>
      <c r="AN814" s="778"/>
      <c r="AO814" s="778"/>
    </row>
    <row r="815" spans="1:41" s="267" customFormat="1" x14ac:dyDescent="0.25">
      <c r="A815" s="1061"/>
      <c r="B815" s="296" t="s">
        <v>77</v>
      </c>
      <c r="C815" s="302">
        <f>(C814*33.717)</f>
        <v>184904.02799999999</v>
      </c>
      <c r="D815" s="338">
        <f>(D814*33.717)</f>
        <v>94036.713000000003</v>
      </c>
      <c r="E815" s="302">
        <f>(E814*33.717)</f>
        <v>94475.034</v>
      </c>
      <c r="F815" s="338">
        <f>(F814*33.717)</f>
        <v>280761.45899999997</v>
      </c>
      <c r="G815" s="280">
        <f>(G814*33.717)*2</f>
        <v>262925.16599999997</v>
      </c>
      <c r="H815" s="280">
        <f>(H814*33.717)</f>
        <v>460978.82399999996</v>
      </c>
      <c r="I815" s="280">
        <f>(I814*33.717)-(2000*33.717)</f>
        <v>144173.89199999999</v>
      </c>
      <c r="J815" s="376">
        <f>J814*33.717</f>
        <v>19016.387999999999</v>
      </c>
      <c r="K815" s="376">
        <f>K814*33.717</f>
        <v>88507.125</v>
      </c>
      <c r="L815" s="261">
        <f>L814*33.717</f>
        <v>15172.65</v>
      </c>
      <c r="M815" s="304">
        <f>M814*33.717</f>
        <v>275265.58799999999</v>
      </c>
      <c r="N815" s="280">
        <f>N814*33.717</f>
        <v>362896.071</v>
      </c>
      <c r="O815" s="280">
        <f>(O814*33.717)</f>
        <v>136418.98199999999</v>
      </c>
      <c r="P815" s="280">
        <f t="shared" ref="P815:U815" si="278">P814*33.717</f>
        <v>255743.44499999998</v>
      </c>
      <c r="Q815" s="376">
        <f t="shared" si="278"/>
        <v>34121.603999999999</v>
      </c>
      <c r="R815" s="376">
        <f t="shared" si="278"/>
        <v>79774.421999999991</v>
      </c>
      <c r="S815" s="261">
        <f t="shared" si="278"/>
        <v>100510.37699999999</v>
      </c>
      <c r="T815" s="324">
        <f t="shared" si="278"/>
        <v>47271.233999999997</v>
      </c>
      <c r="U815" s="325">
        <f t="shared" si="278"/>
        <v>30581.319</v>
      </c>
      <c r="V815" s="63">
        <f>344240-H815</f>
        <v>-116738.82399999996</v>
      </c>
      <c r="W815" s="70" t="s">
        <v>177</v>
      </c>
      <c r="X815" s="70"/>
      <c r="Y815" s="70"/>
      <c r="Z815" s="70"/>
      <c r="AA815" s="455"/>
      <c r="AB815" s="293" t="s">
        <v>5</v>
      </c>
      <c r="AC815" s="319">
        <v>38973.199999999997</v>
      </c>
      <c r="AD815" s="936"/>
      <c r="AE815" s="936"/>
      <c r="AF815" s="936"/>
      <c r="AG815" s="936"/>
      <c r="AH815" s="936"/>
      <c r="AI815" s="936"/>
      <c r="AJ815" s="300">
        <v>95895.7</v>
      </c>
      <c r="AK815" s="264">
        <v>0.1</v>
      </c>
      <c r="AL815" s="398">
        <v>93978.8</v>
      </c>
      <c r="AM815" s="394">
        <v>1</v>
      </c>
      <c r="AN815" s="779"/>
      <c r="AO815" s="779"/>
    </row>
    <row r="816" spans="1:41" s="267" customFormat="1" ht="15.75" thickBot="1" x14ac:dyDescent="0.3">
      <c r="A816" s="1062"/>
      <c r="B816" s="294" t="s">
        <v>10</v>
      </c>
      <c r="C816" s="305">
        <f>C815/C808</f>
        <v>1.2894913140808826</v>
      </c>
      <c r="D816" s="292">
        <f t="shared" ref="D816:U816" si="279">D815/D808</f>
        <v>0.62475933235315417</v>
      </c>
      <c r="E816" s="310">
        <f t="shared" si="279"/>
        <v>0.62767144110919249</v>
      </c>
      <c r="F816" s="282">
        <f t="shared" si="279"/>
        <v>1.542655550476157</v>
      </c>
      <c r="G816" s="282">
        <f t="shared" si="279"/>
        <v>1.5891181872852491</v>
      </c>
      <c r="H816" s="282">
        <f t="shared" si="279"/>
        <v>3.4887512799613116</v>
      </c>
      <c r="I816" s="282">
        <f t="shared" si="279"/>
        <v>0.84327702279833838</v>
      </c>
      <c r="J816" s="377">
        <f t="shared" si="279"/>
        <v>0.11493493942406778</v>
      </c>
      <c r="K816" s="377">
        <f t="shared" si="279"/>
        <v>0.95774908128416769</v>
      </c>
      <c r="L816" s="311">
        <f t="shared" si="279"/>
        <v>7.0483098856533644E-2</v>
      </c>
      <c r="M816" s="310">
        <f t="shared" si="279"/>
        <v>1.42603155689997</v>
      </c>
      <c r="N816" s="282">
        <f t="shared" si="279"/>
        <v>2.7464474858267698</v>
      </c>
      <c r="O816" s="282">
        <f t="shared" si="279"/>
        <v>1.6490340712660738</v>
      </c>
      <c r="P816" s="260">
        <f t="shared" si="279"/>
        <v>0.92742994687313007</v>
      </c>
      <c r="Q816" s="377">
        <f t="shared" si="279"/>
        <v>0.41246230353961116</v>
      </c>
      <c r="R816" s="377">
        <f t="shared" si="279"/>
        <v>0.42212798494668258</v>
      </c>
      <c r="S816" s="311">
        <f t="shared" si="279"/>
        <v>0.46691137264739285</v>
      </c>
      <c r="T816" s="305">
        <f t="shared" si="279"/>
        <v>0.85712378741999229</v>
      </c>
      <c r="U816" s="292">
        <f t="shared" si="279"/>
        <v>0.92417216421631587</v>
      </c>
      <c r="V816" s="126"/>
      <c r="W816" s="70"/>
      <c r="X816" s="70"/>
      <c r="Y816" s="70"/>
      <c r="Z816" s="70"/>
      <c r="AA816" s="456"/>
      <c r="AB816" s="294" t="s">
        <v>3</v>
      </c>
      <c r="AC816" s="320">
        <f>AC815/AC814</f>
        <v>0.39999753678402516</v>
      </c>
      <c r="AD816" s="545"/>
      <c r="AE816" s="545"/>
      <c r="AF816" s="545"/>
      <c r="AG816" s="545"/>
      <c r="AH816" s="545"/>
      <c r="AI816" s="545"/>
      <c r="AJ816" s="305">
        <f>AJ815/AJ814</f>
        <v>0.39368572043201455</v>
      </c>
      <c r="AK816" s="292">
        <f>AK815/AK814</f>
        <v>7.5717250585483648E-7</v>
      </c>
      <c r="AL816" s="399">
        <f>AL815/AL814</f>
        <v>0.32151565193621745</v>
      </c>
      <c r="AM816" s="343">
        <f>AM815/AM814</f>
        <v>7.5717193254506694E-6</v>
      </c>
      <c r="AN816" s="780"/>
      <c r="AO816" s="780"/>
    </row>
    <row r="817" spans="1:41" s="267" customFormat="1" ht="15.75" thickBot="1" x14ac:dyDescent="0.3">
      <c r="A817" s="1048">
        <v>41498</v>
      </c>
      <c r="B817" s="1048"/>
      <c r="C817" s="1048"/>
      <c r="D817" s="276"/>
      <c r="E817" s="276"/>
      <c r="F817" s="276"/>
      <c r="G817" s="276"/>
      <c r="H817" s="276"/>
      <c r="I817" s="11"/>
      <c r="J817" s="281"/>
      <c r="K817" s="281"/>
      <c r="L817" s="276"/>
      <c r="M817" s="276"/>
      <c r="N817" s="13"/>
      <c r="R817" s="12"/>
      <c r="S817" s="70"/>
      <c r="T817" s="70"/>
      <c r="U817" s="70"/>
      <c r="V817" s="70"/>
      <c r="W817" s="70"/>
      <c r="X817" s="70"/>
      <c r="Y817" s="70"/>
      <c r="Z817" s="70"/>
      <c r="AA817" s="1063"/>
      <c r="AB817" s="1064"/>
      <c r="AD817" s="743"/>
      <c r="AE817" s="743"/>
      <c r="AF817" s="743"/>
      <c r="AG817" s="743"/>
      <c r="AH817" s="743"/>
      <c r="AI817" s="743"/>
      <c r="AN817" s="743"/>
      <c r="AO817" s="743"/>
    </row>
    <row r="818" spans="1:41" s="267" customFormat="1" x14ac:dyDescent="0.25">
      <c r="A818" s="1049" t="s">
        <v>1</v>
      </c>
      <c r="B818" s="1050"/>
      <c r="C818" s="297" t="s">
        <v>12</v>
      </c>
      <c r="D818" s="266" t="s">
        <v>12</v>
      </c>
      <c r="E818" s="297" t="s">
        <v>13</v>
      </c>
      <c r="F818" s="277" t="s">
        <v>13</v>
      </c>
      <c r="G818" s="277" t="s">
        <v>13</v>
      </c>
      <c r="H818" s="277" t="s">
        <v>13</v>
      </c>
      <c r="I818" s="277" t="s">
        <v>13</v>
      </c>
      <c r="J818" s="286" t="s">
        <v>13</v>
      </c>
      <c r="K818" s="286" t="s">
        <v>13</v>
      </c>
      <c r="L818" s="266" t="s">
        <v>13</v>
      </c>
      <c r="M818" s="297" t="s">
        <v>2</v>
      </c>
      <c r="N818" s="277" t="s">
        <v>2</v>
      </c>
      <c r="O818" s="286" t="s">
        <v>2</v>
      </c>
      <c r="P818" s="277" t="s">
        <v>2</v>
      </c>
      <c r="Q818" s="286" t="s">
        <v>2</v>
      </c>
      <c r="R818" s="286" t="s">
        <v>2</v>
      </c>
      <c r="S818" s="266" t="s">
        <v>2</v>
      </c>
      <c r="T818" s="328" t="s">
        <v>183</v>
      </c>
      <c r="U818" s="327" t="s">
        <v>183</v>
      </c>
      <c r="V818" s="12"/>
      <c r="W818" s="70"/>
      <c r="X818" s="70"/>
      <c r="Y818" s="70"/>
      <c r="Z818" s="70"/>
      <c r="AA818" s="1049" t="s">
        <v>1</v>
      </c>
      <c r="AB818" s="1051"/>
      <c r="AC818" s="452" t="s">
        <v>12</v>
      </c>
      <c r="AD818" s="912"/>
      <c r="AE818" s="912"/>
      <c r="AF818" s="912"/>
      <c r="AG818" s="912"/>
      <c r="AH818" s="912"/>
      <c r="AI818" s="912"/>
      <c r="AJ818" s="1052" t="s">
        <v>13</v>
      </c>
      <c r="AK818" s="1053"/>
      <c r="AL818" s="1052" t="s">
        <v>2</v>
      </c>
      <c r="AM818" s="1053"/>
      <c r="AN818" s="776"/>
      <c r="AO818" s="776"/>
    </row>
    <row r="819" spans="1:41" s="267" customFormat="1" ht="15.75" thickBot="1" x14ac:dyDescent="0.3">
      <c r="A819" s="1054" t="s">
        <v>0</v>
      </c>
      <c r="B819" s="1066"/>
      <c r="C819" s="298" t="s">
        <v>99</v>
      </c>
      <c r="D819" s="291" t="s">
        <v>100</v>
      </c>
      <c r="E819" s="298" t="s">
        <v>101</v>
      </c>
      <c r="F819" s="306" t="s">
        <v>102</v>
      </c>
      <c r="G819" s="306" t="s">
        <v>97</v>
      </c>
      <c r="H819" s="306" t="s">
        <v>104</v>
      </c>
      <c r="I819" s="306" t="s">
        <v>103</v>
      </c>
      <c r="J819" s="378" t="s">
        <v>178</v>
      </c>
      <c r="K819" s="378" t="s">
        <v>199</v>
      </c>
      <c r="L819" s="314" t="s">
        <v>206</v>
      </c>
      <c r="M819" s="298" t="s">
        <v>105</v>
      </c>
      <c r="N819" s="306" t="s">
        <v>107</v>
      </c>
      <c r="O819" s="312" t="s">
        <v>98</v>
      </c>
      <c r="P819" s="313" t="s">
        <v>106</v>
      </c>
      <c r="Q819" s="312" t="s">
        <v>179</v>
      </c>
      <c r="R819" s="312" t="s">
        <v>198</v>
      </c>
      <c r="S819" s="291" t="s">
        <v>207</v>
      </c>
      <c r="T819" s="317" t="s">
        <v>182</v>
      </c>
      <c r="U819" s="291" t="s">
        <v>184</v>
      </c>
      <c r="V819" s="12"/>
      <c r="W819" s="12"/>
      <c r="X819" s="12"/>
      <c r="Y819" s="12"/>
      <c r="Z819" s="12"/>
      <c r="AA819" s="1054" t="s">
        <v>0</v>
      </c>
      <c r="AB819" s="1067"/>
      <c r="AC819" s="317" t="s">
        <v>99</v>
      </c>
      <c r="AD819" s="621"/>
      <c r="AE819" s="621"/>
      <c r="AF819" s="621"/>
      <c r="AG819" s="621"/>
      <c r="AH819" s="621"/>
      <c r="AI819" s="621"/>
      <c r="AJ819" s="298" t="s">
        <v>104</v>
      </c>
      <c r="AK819" s="291" t="s">
        <v>206</v>
      </c>
      <c r="AL819" s="396" t="s">
        <v>107</v>
      </c>
      <c r="AM819" s="392" t="s">
        <v>207</v>
      </c>
      <c r="AN819" s="777"/>
      <c r="AO819" s="777"/>
    </row>
    <row r="820" spans="1:41" s="267" customFormat="1" ht="15" customHeight="1" x14ac:dyDescent="0.25">
      <c r="A820" s="1057" t="s">
        <v>9</v>
      </c>
      <c r="B820" s="19" t="s">
        <v>4</v>
      </c>
      <c r="C820" s="299">
        <v>143393</v>
      </c>
      <c r="D820" s="265">
        <v>150516.70000000001</v>
      </c>
      <c r="E820" s="299">
        <v>150516.70000000001</v>
      </c>
      <c r="F820" s="283">
        <v>181998.8</v>
      </c>
      <c r="G820" s="283">
        <v>165453.5</v>
      </c>
      <c r="H820" s="283">
        <v>132132.9</v>
      </c>
      <c r="I820" s="283">
        <v>170968.6</v>
      </c>
      <c r="J820" s="223">
        <v>165453.5</v>
      </c>
      <c r="K820" s="223">
        <v>92411.6</v>
      </c>
      <c r="L820" s="265">
        <f>83196.1+132070.4</f>
        <v>215266.5</v>
      </c>
      <c r="M820" s="299">
        <v>193029.1</v>
      </c>
      <c r="N820" s="283">
        <v>132132.9</v>
      </c>
      <c r="O820" s="283">
        <v>82726.600000000006</v>
      </c>
      <c r="P820" s="283">
        <v>275755</v>
      </c>
      <c r="Q820" s="223">
        <v>82726.600000000006</v>
      </c>
      <c r="R820" s="223">
        <v>188981.6</v>
      </c>
      <c r="S820" s="265">
        <f>83196.1+132070.4</f>
        <v>215266.5</v>
      </c>
      <c r="T820" s="318">
        <v>55151</v>
      </c>
      <c r="U820" s="265">
        <v>33090.5</v>
      </c>
      <c r="V820" s="70"/>
      <c r="W820" s="70"/>
      <c r="X820" s="70"/>
      <c r="Y820" s="70"/>
      <c r="Z820" s="70"/>
      <c r="AA820" s="449" t="s">
        <v>194</v>
      </c>
      <c r="AB820" s="2" t="s">
        <v>4</v>
      </c>
      <c r="AC820" s="318">
        <v>143392.20000000001</v>
      </c>
      <c r="AD820" s="544"/>
      <c r="AE820" s="544"/>
      <c r="AF820" s="544"/>
      <c r="AG820" s="544"/>
      <c r="AH820" s="544"/>
      <c r="AI820" s="544"/>
      <c r="AJ820" s="299">
        <v>132132</v>
      </c>
      <c r="AK820" s="265">
        <v>83196.100000000006</v>
      </c>
      <c r="AL820" s="397">
        <v>132132.20000000001</v>
      </c>
      <c r="AM820" s="393">
        <v>83196.100000000006</v>
      </c>
      <c r="AN820" s="778"/>
      <c r="AO820" s="778"/>
    </row>
    <row r="821" spans="1:41" s="267" customFormat="1" x14ac:dyDescent="0.25">
      <c r="A821" s="1058"/>
      <c r="B821" s="293" t="s">
        <v>5</v>
      </c>
      <c r="C821" s="300">
        <v>45746.5</v>
      </c>
      <c r="D821" s="264">
        <v>79203.3</v>
      </c>
      <c r="E821" s="300">
        <v>80684.899999999994</v>
      </c>
      <c r="F821" s="307">
        <v>146273.5</v>
      </c>
      <c r="G821" s="307">
        <v>115836.9</v>
      </c>
      <c r="H821" s="307">
        <v>56759.1</v>
      </c>
      <c r="I821" s="307">
        <v>92658.3</v>
      </c>
      <c r="J821" s="374">
        <v>22900.3</v>
      </c>
      <c r="K821" s="374">
        <v>23639.4</v>
      </c>
      <c r="L821" s="264">
        <f>554.5+30.6</f>
        <v>585.1</v>
      </c>
      <c r="M821" s="300">
        <v>158648.5</v>
      </c>
      <c r="N821" s="307">
        <v>59678.3</v>
      </c>
      <c r="O821" s="307">
        <v>59465.1</v>
      </c>
      <c r="P821" s="307">
        <v>167883.3</v>
      </c>
      <c r="Q821" s="374">
        <v>11914.5</v>
      </c>
      <c r="R821" s="374">
        <v>40381</v>
      </c>
      <c r="S821" s="264">
        <f>17470.2+16507.7</f>
        <v>33977.9</v>
      </c>
      <c r="T821" s="319">
        <v>11881.3</v>
      </c>
      <c r="U821" s="264">
        <v>5777.7</v>
      </c>
      <c r="V821" s="70"/>
      <c r="W821" s="70"/>
      <c r="X821" s="70"/>
      <c r="Y821" s="70"/>
      <c r="Z821" s="70"/>
      <c r="AA821" s="450"/>
      <c r="AB821" s="342" t="s">
        <v>5</v>
      </c>
      <c r="AC821" s="319">
        <v>43401.8</v>
      </c>
      <c r="AD821" s="936"/>
      <c r="AE821" s="936"/>
      <c r="AF821" s="936"/>
      <c r="AG821" s="936"/>
      <c r="AH821" s="936"/>
      <c r="AI821" s="936"/>
      <c r="AJ821" s="300">
        <v>58695.3</v>
      </c>
      <c r="AK821" s="264">
        <v>4.7</v>
      </c>
      <c r="AL821" s="398">
        <v>55118.9</v>
      </c>
      <c r="AM821" s="394">
        <v>4.5</v>
      </c>
      <c r="AN821" s="779"/>
      <c r="AO821" s="779"/>
    </row>
    <row r="822" spans="1:41" s="267" customFormat="1" ht="15.75" thickBot="1" x14ac:dyDescent="0.3">
      <c r="A822" s="1059"/>
      <c r="B822" s="294" t="s">
        <v>3</v>
      </c>
      <c r="C822" s="305">
        <f t="shared" ref="C822:L822" si="280">C821/C820</f>
        <v>0.319028822885357</v>
      </c>
      <c r="D822" s="343">
        <f t="shared" si="280"/>
        <v>0.52620938407498963</v>
      </c>
      <c r="E822" s="305">
        <f t="shared" si="280"/>
        <v>0.53605281008685401</v>
      </c>
      <c r="F822" s="371">
        <f t="shared" si="280"/>
        <v>0.80370584860999084</v>
      </c>
      <c r="G822" s="278">
        <f t="shared" si="280"/>
        <v>0.70011755568785183</v>
      </c>
      <c r="H822" s="278">
        <f t="shared" si="280"/>
        <v>0.42956069230297678</v>
      </c>
      <c r="I822" s="278">
        <f t="shared" si="280"/>
        <v>0.54196092147914876</v>
      </c>
      <c r="J822" s="315">
        <f t="shared" si="280"/>
        <v>0.13840928115754578</v>
      </c>
      <c r="K822" s="315">
        <f t="shared" si="280"/>
        <v>0.25580554822121898</v>
      </c>
      <c r="L822" s="292">
        <f t="shared" si="280"/>
        <v>2.7180262604724844E-3</v>
      </c>
      <c r="M822" s="372">
        <f>M821/M820</f>
        <v>0.82188903123933121</v>
      </c>
      <c r="N822" s="278">
        <f>N821/N820</f>
        <v>0.45165360027669116</v>
      </c>
      <c r="O822" s="315">
        <f>O821/O820</f>
        <v>0.71881474640563003</v>
      </c>
      <c r="P822" s="278">
        <f>P821/P820</f>
        <v>0.60881325814581777</v>
      </c>
      <c r="Q822" s="315">
        <f>Q821/Q820</f>
        <v>0.14402259974421769</v>
      </c>
      <c r="R822" s="315">
        <f t="shared" ref="R822:S822" si="281">R821/R820</f>
        <v>0.21367688706202084</v>
      </c>
      <c r="S822" s="292">
        <f t="shared" si="281"/>
        <v>0.15784109464315163</v>
      </c>
      <c r="T822" s="320">
        <f>T821/T820</f>
        <v>0.21543217711374227</v>
      </c>
      <c r="U822" s="292">
        <f>U821/U820</f>
        <v>0.17460298272918209</v>
      </c>
      <c r="V822" s="70"/>
      <c r="W822" s="70"/>
      <c r="X822" s="70"/>
      <c r="Y822" s="70"/>
      <c r="Z822" s="70"/>
      <c r="AA822" s="451"/>
      <c r="AB822" s="347" t="s">
        <v>3</v>
      </c>
      <c r="AC822" s="395">
        <f>AC821/AC820</f>
        <v>0.302678946274623</v>
      </c>
      <c r="AD822" s="635"/>
      <c r="AE822" s="635"/>
      <c r="AF822" s="635"/>
      <c r="AG822" s="635"/>
      <c r="AH822" s="635"/>
      <c r="AI822" s="635"/>
      <c r="AJ822" s="305">
        <f>AJ821/AJ820</f>
        <v>0.44421714648987376</v>
      </c>
      <c r="AK822" s="292">
        <f>AK821/AK820</f>
        <v>5.6493032726293656E-5</v>
      </c>
      <c r="AL822" s="399">
        <f>AL821/AL820</f>
        <v>0.41714964255495629</v>
      </c>
      <c r="AM822" s="343">
        <f>AM821/AM820</f>
        <v>5.4089073886876906E-5</v>
      </c>
      <c r="AN822" s="780"/>
      <c r="AO822" s="780"/>
    </row>
    <row r="823" spans="1:41" s="429" customFormat="1" ht="15" customHeight="1" x14ac:dyDescent="0.25">
      <c r="A823" s="1060" t="s">
        <v>6</v>
      </c>
      <c r="B823" s="418" t="s">
        <v>7</v>
      </c>
      <c r="C823" s="419">
        <v>5870</v>
      </c>
      <c r="D823" s="420">
        <v>3333</v>
      </c>
      <c r="E823" s="419">
        <v>3330</v>
      </c>
      <c r="F823" s="421">
        <v>9457</v>
      </c>
      <c r="G823" s="421">
        <v>8432</v>
      </c>
      <c r="H823" s="421">
        <v>15703</v>
      </c>
      <c r="I823" s="421">
        <v>7403</v>
      </c>
      <c r="J823" s="423">
        <v>9599</v>
      </c>
      <c r="K823" s="423">
        <v>4073</v>
      </c>
      <c r="L823" s="420">
        <v>6399</v>
      </c>
      <c r="M823" s="419">
        <v>9092</v>
      </c>
      <c r="N823" s="421">
        <v>12295</v>
      </c>
      <c r="O823" s="421">
        <v>4356</v>
      </c>
      <c r="P823" s="421">
        <v>10027</v>
      </c>
      <c r="Q823" s="423">
        <v>4799</v>
      </c>
      <c r="R823" s="423">
        <v>7192</v>
      </c>
      <c r="S823" s="420">
        <v>6399</v>
      </c>
      <c r="T823" s="424">
        <v>2000</v>
      </c>
      <c r="U823" s="420">
        <v>1250</v>
      </c>
      <c r="V823" s="425" t="s">
        <v>197</v>
      </c>
      <c r="W823" s="426"/>
      <c r="X823" s="427"/>
      <c r="Y823" s="427"/>
      <c r="Z823" s="427"/>
      <c r="AA823" s="428" t="s">
        <v>190</v>
      </c>
      <c r="AB823" s="418" t="s">
        <v>4</v>
      </c>
      <c r="AC823" s="430">
        <v>9191.7999999999993</v>
      </c>
      <c r="AD823" s="564"/>
      <c r="AE823" s="564"/>
      <c r="AF823" s="564"/>
      <c r="AG823" s="564"/>
      <c r="AH823" s="564"/>
      <c r="AI823" s="564"/>
      <c r="AJ823" s="431">
        <v>13787.7</v>
      </c>
      <c r="AK823" s="432">
        <v>8804.7999999999993</v>
      </c>
      <c r="AL823" s="433">
        <v>13787.7</v>
      </c>
      <c r="AM823" s="434">
        <v>8804.7999999999993</v>
      </c>
      <c r="AN823" s="781"/>
      <c r="AO823" s="781"/>
    </row>
    <row r="824" spans="1:41" s="267" customFormat="1" x14ac:dyDescent="0.25">
      <c r="A824" s="1061"/>
      <c r="B824" s="295" t="s">
        <v>11</v>
      </c>
      <c r="C824" s="302">
        <f t="shared" ref="C824:L824" si="282">C823*33.717</f>
        <v>197918.78999999998</v>
      </c>
      <c r="D824" s="263">
        <f t="shared" si="282"/>
        <v>112378.761</v>
      </c>
      <c r="E824" s="302">
        <f t="shared" si="282"/>
        <v>112277.61</v>
      </c>
      <c r="F824" s="355">
        <f t="shared" si="282"/>
        <v>318861.66899999999</v>
      </c>
      <c r="G824" s="308">
        <f t="shared" si="282"/>
        <v>284301.74400000001</v>
      </c>
      <c r="H824" s="354">
        <f t="shared" si="282"/>
        <v>529458.05099999998</v>
      </c>
      <c r="I824" s="354">
        <f t="shared" si="282"/>
        <v>249606.951</v>
      </c>
      <c r="J824" s="355">
        <f t="shared" si="282"/>
        <v>323649.48300000001</v>
      </c>
      <c r="K824" s="375">
        <f t="shared" si="282"/>
        <v>137329.34099999999</v>
      </c>
      <c r="L824" s="263">
        <f t="shared" si="282"/>
        <v>215755.08299999998</v>
      </c>
      <c r="M824" s="322">
        <f>M823*33.717</f>
        <v>306554.96399999998</v>
      </c>
      <c r="N824" s="308">
        <f>N823*33.717</f>
        <v>414550.51499999996</v>
      </c>
      <c r="O824" s="308">
        <f>O823*33.717</f>
        <v>146871.25200000001</v>
      </c>
      <c r="P824" s="354">
        <f>P823*33.717</f>
        <v>338080.359</v>
      </c>
      <c r="Q824" s="355">
        <f>Q823*33.717</f>
        <v>161807.883</v>
      </c>
      <c r="R824" s="375">
        <f t="shared" ref="R824:S824" si="283">R823*33.717</f>
        <v>242492.66399999999</v>
      </c>
      <c r="S824" s="263">
        <f t="shared" si="283"/>
        <v>215755.08299999998</v>
      </c>
      <c r="T824" s="302">
        <f>T823*33.717</f>
        <v>67434</v>
      </c>
      <c r="U824" s="354">
        <f>U823*33.717</f>
        <v>42146.25</v>
      </c>
      <c r="V824" s="70"/>
      <c r="W824" s="70"/>
      <c r="X824" s="70"/>
      <c r="Y824" s="70"/>
      <c r="Z824" s="70"/>
      <c r="AA824" s="450"/>
      <c r="AB824" s="293" t="s">
        <v>5</v>
      </c>
      <c r="AC824" s="319">
        <v>8835</v>
      </c>
      <c r="AD824" s="936"/>
      <c r="AE824" s="936"/>
      <c r="AF824" s="936"/>
      <c r="AG824" s="936"/>
      <c r="AH824" s="936"/>
      <c r="AI824" s="936"/>
      <c r="AJ824" s="300">
        <v>13648.9</v>
      </c>
      <c r="AK824" s="264">
        <v>0</v>
      </c>
      <c r="AL824" s="398">
        <v>13649.5</v>
      </c>
      <c r="AM824" s="394">
        <v>30</v>
      </c>
      <c r="AN824" s="779"/>
      <c r="AO824" s="779"/>
    </row>
    <row r="825" spans="1:41" s="267" customFormat="1" ht="15.75" thickBot="1" x14ac:dyDescent="0.3">
      <c r="A825" s="1061"/>
      <c r="B825" s="295" t="s">
        <v>79</v>
      </c>
      <c r="C825" s="302">
        <v>164000</v>
      </c>
      <c r="D825" s="263">
        <v>109880</v>
      </c>
      <c r="E825" s="302">
        <v>109880</v>
      </c>
      <c r="F825" s="308">
        <v>328000</v>
      </c>
      <c r="G825" s="308">
        <v>330905</v>
      </c>
      <c r="H825" s="308">
        <v>264264</v>
      </c>
      <c r="I825" s="308">
        <v>242663.6</v>
      </c>
      <c r="J825" s="375">
        <v>328000</v>
      </c>
      <c r="K825" s="375">
        <v>328000</v>
      </c>
      <c r="L825" s="263">
        <v>328000</v>
      </c>
      <c r="M825" s="302">
        <v>328000</v>
      </c>
      <c r="N825" s="308">
        <v>264264.40000000002</v>
      </c>
      <c r="O825" s="308">
        <v>328000</v>
      </c>
      <c r="P825" s="308">
        <v>352965.4</v>
      </c>
      <c r="Q825" s="375">
        <v>328000</v>
      </c>
      <c r="R825" s="375">
        <v>328000</v>
      </c>
      <c r="S825" s="263">
        <v>328000</v>
      </c>
      <c r="T825" s="322">
        <f>2*T820</f>
        <v>110302</v>
      </c>
      <c r="U825" s="263">
        <f>2*U820</f>
        <v>66181</v>
      </c>
      <c r="V825" s="70"/>
      <c r="W825" s="70"/>
      <c r="X825" s="70"/>
      <c r="Y825" s="70"/>
      <c r="Z825" s="70"/>
      <c r="AA825" s="451"/>
      <c r="AB825" s="344" t="s">
        <v>3</v>
      </c>
      <c r="AC825" s="395">
        <f>AC824/AC823</f>
        <v>0.96118279335929857</v>
      </c>
      <c r="AD825" s="635"/>
      <c r="AE825" s="635"/>
      <c r="AF825" s="635"/>
      <c r="AG825" s="635"/>
      <c r="AH825" s="635"/>
      <c r="AI825" s="635"/>
      <c r="AJ825" s="301">
        <f>AJ824/AJ823</f>
        <v>0.98993305627479555</v>
      </c>
      <c r="AK825" s="401">
        <f>AK824/AK823</f>
        <v>0</v>
      </c>
      <c r="AL825" s="400">
        <f>AL824/AL823</f>
        <v>0.98997657332259903</v>
      </c>
      <c r="AM825" s="348">
        <f>AM824/AM823</f>
        <v>3.4072324186807199E-3</v>
      </c>
      <c r="AN825" s="780"/>
      <c r="AO825" s="780"/>
    </row>
    <row r="826" spans="1:41" s="267" customFormat="1" ht="15" customHeight="1" x14ac:dyDescent="0.25">
      <c r="A826" s="1061"/>
      <c r="B826" s="293" t="s">
        <v>8</v>
      </c>
      <c r="C826" s="303">
        <f>SUM(C823-401)</f>
        <v>5469</v>
      </c>
      <c r="D826" s="262">
        <f>SUM(D823-562)</f>
        <v>2771</v>
      </c>
      <c r="E826" s="303">
        <f>SUM(E823-528)</f>
        <v>2802</v>
      </c>
      <c r="F826" s="309">
        <f>SUM(F823-1187)</f>
        <v>8270</v>
      </c>
      <c r="G826" s="309">
        <f>SUM(G823-4533)</f>
        <v>3899</v>
      </c>
      <c r="H826" s="309">
        <f>SUM(H823-2114)</f>
        <v>13589</v>
      </c>
      <c r="I826" s="309">
        <f>SUM(I823-(3157-2000))</f>
        <v>6246</v>
      </c>
      <c r="J826" s="316">
        <f>SUM(J823-9051)</f>
        <v>548</v>
      </c>
      <c r="K826" s="316">
        <f>SUM(K823-2266)</f>
        <v>1807</v>
      </c>
      <c r="L826" s="262">
        <f>SUM(L823-6055)</f>
        <v>344</v>
      </c>
      <c r="M826" s="303">
        <f>SUM(M823-928)</f>
        <v>8164</v>
      </c>
      <c r="N826" s="309">
        <f>SUM(N823-1570)</f>
        <v>10725</v>
      </c>
      <c r="O826" s="316">
        <f>SUM(O823-310)</f>
        <v>4046</v>
      </c>
      <c r="P826" s="309">
        <f>SUM(P823-(5086-2614))</f>
        <v>7555</v>
      </c>
      <c r="Q826" s="316">
        <f>SUM(Q823-3803)</f>
        <v>996</v>
      </c>
      <c r="R826" s="316">
        <f>SUM(R823-5270)</f>
        <v>1922</v>
      </c>
      <c r="S826" s="262">
        <f>SUM(S823-3561)</f>
        <v>2838</v>
      </c>
      <c r="T826" s="323">
        <f>SUM(T823-886)</f>
        <v>1114</v>
      </c>
      <c r="U826" s="262">
        <f>SUM(U823-727)</f>
        <v>523</v>
      </c>
      <c r="V826" s="12" t="s">
        <v>176</v>
      </c>
      <c r="W826" s="70"/>
      <c r="X826" s="70"/>
      <c r="Y826" s="70"/>
      <c r="Z826" s="70"/>
      <c r="AA826" s="449" t="s">
        <v>191</v>
      </c>
      <c r="AB826" s="19" t="s">
        <v>4</v>
      </c>
      <c r="AC826" s="318">
        <v>97433.600000000006</v>
      </c>
      <c r="AD826" s="544"/>
      <c r="AE826" s="544"/>
      <c r="AF826" s="544"/>
      <c r="AG826" s="544"/>
      <c r="AH826" s="544"/>
      <c r="AI826" s="544"/>
      <c r="AJ826" s="299">
        <v>243584.4</v>
      </c>
      <c r="AK826" s="265">
        <v>132070.29999999999</v>
      </c>
      <c r="AL826" s="397">
        <v>292299.3</v>
      </c>
      <c r="AM826" s="393">
        <v>132070.39999999999</v>
      </c>
      <c r="AN826" s="778"/>
      <c r="AO826" s="778"/>
    </row>
    <row r="827" spans="1:41" s="267" customFormat="1" x14ac:dyDescent="0.25">
      <c r="A827" s="1061"/>
      <c r="B827" s="296" t="s">
        <v>77</v>
      </c>
      <c r="C827" s="302">
        <f>(C826*33.717)</f>
        <v>184398.27299999999</v>
      </c>
      <c r="D827" s="338">
        <f>(D826*33.717)</f>
        <v>93429.807000000001</v>
      </c>
      <c r="E827" s="302">
        <f>(E826*33.717)</f>
        <v>94475.034</v>
      </c>
      <c r="F827" s="338">
        <f>(F826*33.717)</f>
        <v>278839.58999999997</v>
      </c>
      <c r="G827" s="280">
        <f>(G826*33.717)*2</f>
        <v>262925.16599999997</v>
      </c>
      <c r="H827" s="280">
        <f>(H826*33.717)</f>
        <v>458180.31299999997</v>
      </c>
      <c r="I827" s="280">
        <f>(I826*33.717)-(2000*33.717)</f>
        <v>143162.38199999998</v>
      </c>
      <c r="J827" s="376">
        <f>J826*33.717</f>
        <v>18476.916000000001</v>
      </c>
      <c r="K827" s="376">
        <f>K826*33.717</f>
        <v>60926.618999999999</v>
      </c>
      <c r="L827" s="261">
        <f>L826*33.717</f>
        <v>11598.647999999999</v>
      </c>
      <c r="M827" s="304">
        <f>M826*33.717</f>
        <v>275265.58799999999</v>
      </c>
      <c r="N827" s="280">
        <f>N826*33.717</f>
        <v>361614.82500000001</v>
      </c>
      <c r="O827" s="280">
        <f>(O826*33.717)</f>
        <v>136418.98199999999</v>
      </c>
      <c r="P827" s="280">
        <f t="shared" ref="P827:U827" si="284">P826*33.717</f>
        <v>254731.935</v>
      </c>
      <c r="Q827" s="376">
        <f t="shared" si="284"/>
        <v>33582.131999999998</v>
      </c>
      <c r="R827" s="376">
        <f t="shared" si="284"/>
        <v>64804.074000000001</v>
      </c>
      <c r="S827" s="261">
        <f t="shared" si="284"/>
        <v>95688.84599999999</v>
      </c>
      <c r="T827" s="324">
        <f t="shared" si="284"/>
        <v>37560.737999999998</v>
      </c>
      <c r="U827" s="325">
        <f t="shared" si="284"/>
        <v>17633.990999999998</v>
      </c>
      <c r="V827" s="63">
        <f>344240-H827</f>
        <v>-113940.31299999997</v>
      </c>
      <c r="W827" s="70" t="s">
        <v>177</v>
      </c>
      <c r="X827" s="70"/>
      <c r="Y827" s="70"/>
      <c r="Z827" s="70"/>
      <c r="AA827" s="450"/>
      <c r="AB827" s="293" t="s">
        <v>5</v>
      </c>
      <c r="AC827" s="319">
        <v>38973.199999999997</v>
      </c>
      <c r="AD827" s="936"/>
      <c r="AE827" s="936"/>
      <c r="AF827" s="936"/>
      <c r="AG827" s="936"/>
      <c r="AH827" s="936"/>
      <c r="AI827" s="936"/>
      <c r="AJ827" s="300">
        <v>95895.7</v>
      </c>
      <c r="AK827" s="264">
        <v>0.1</v>
      </c>
      <c r="AL827" s="398">
        <v>93978.8</v>
      </c>
      <c r="AM827" s="394">
        <v>1</v>
      </c>
      <c r="AN827" s="779"/>
      <c r="AO827" s="779"/>
    </row>
    <row r="828" spans="1:41" s="267" customFormat="1" ht="15.75" thickBot="1" x14ac:dyDescent="0.3">
      <c r="A828" s="1062"/>
      <c r="B828" s="294" t="s">
        <v>10</v>
      </c>
      <c r="C828" s="305">
        <f>C827/C820</f>
        <v>1.2859642590642499</v>
      </c>
      <c r="D828" s="292">
        <f t="shared" ref="D828:U828" si="285">D827/D820</f>
        <v>0.62072718176787023</v>
      </c>
      <c r="E828" s="310">
        <f t="shared" si="285"/>
        <v>0.62767144110919249</v>
      </c>
      <c r="F828" s="282">
        <f t="shared" si="285"/>
        <v>1.532095761070952</v>
      </c>
      <c r="G828" s="282">
        <f t="shared" si="285"/>
        <v>1.5891181872852491</v>
      </c>
      <c r="H828" s="282">
        <f t="shared" si="285"/>
        <v>3.4675717629750045</v>
      </c>
      <c r="I828" s="282">
        <f t="shared" si="285"/>
        <v>0.83736067324643226</v>
      </c>
      <c r="J828" s="377">
        <f t="shared" si="285"/>
        <v>0.11167437376664743</v>
      </c>
      <c r="K828" s="377">
        <f t="shared" si="285"/>
        <v>0.6592962247163775</v>
      </c>
      <c r="L828" s="311">
        <f t="shared" si="285"/>
        <v>5.388041334810572E-2</v>
      </c>
      <c r="M828" s="310">
        <f t="shared" si="285"/>
        <v>1.42603155689997</v>
      </c>
      <c r="N828" s="282">
        <f t="shared" si="285"/>
        <v>2.7367508394956896</v>
      </c>
      <c r="O828" s="282">
        <f t="shared" si="285"/>
        <v>1.6490340712660738</v>
      </c>
      <c r="P828" s="260">
        <f t="shared" si="285"/>
        <v>0.9237617994234012</v>
      </c>
      <c r="Q828" s="377">
        <f t="shared" si="285"/>
        <v>0.40594116040064498</v>
      </c>
      <c r="R828" s="377">
        <f t="shared" si="285"/>
        <v>0.34291208244612176</v>
      </c>
      <c r="S828" s="311">
        <f t="shared" si="285"/>
        <v>0.44451341012187212</v>
      </c>
      <c r="T828" s="305">
        <f t="shared" si="285"/>
        <v>0.68105270983300392</v>
      </c>
      <c r="U828" s="292">
        <f t="shared" si="285"/>
        <v>0.53290192049077523</v>
      </c>
      <c r="V828" s="126"/>
      <c r="W828" s="70"/>
      <c r="X828" s="70"/>
      <c r="Y828" s="70"/>
      <c r="Z828" s="70"/>
      <c r="AA828" s="451"/>
      <c r="AB828" s="294" t="s">
        <v>3</v>
      </c>
      <c r="AC828" s="320">
        <f>AC827/AC826</f>
        <v>0.39999753678402516</v>
      </c>
      <c r="AD828" s="545"/>
      <c r="AE828" s="545"/>
      <c r="AF828" s="545"/>
      <c r="AG828" s="545"/>
      <c r="AH828" s="545"/>
      <c r="AI828" s="545"/>
      <c r="AJ828" s="305">
        <f>AJ827/AJ826</f>
        <v>0.39368572043201455</v>
      </c>
      <c r="AK828" s="292">
        <f>AK827/AK826</f>
        <v>7.5717250585483648E-7</v>
      </c>
      <c r="AL828" s="399">
        <f>AL827/AL826</f>
        <v>0.32151565193621745</v>
      </c>
      <c r="AM828" s="343">
        <f>AM827/AM826</f>
        <v>7.5717193254506694E-6</v>
      </c>
      <c r="AN828" s="780"/>
      <c r="AO828" s="780"/>
    </row>
    <row r="829" spans="1:41" s="267" customFormat="1" ht="15.75" thickBot="1" x14ac:dyDescent="0.3">
      <c r="A829" s="1048">
        <v>41491</v>
      </c>
      <c r="B829" s="1048"/>
      <c r="C829" s="1048"/>
      <c r="D829" s="276"/>
      <c r="E829" s="276"/>
      <c r="F829" s="276"/>
      <c r="G829" s="276"/>
      <c r="H829" s="276"/>
      <c r="I829" s="11"/>
      <c r="J829" s="281"/>
      <c r="K829" s="281"/>
      <c r="L829" s="276"/>
      <c r="M829" s="276"/>
      <c r="N829" s="13"/>
      <c r="R829" s="12"/>
      <c r="S829" s="70"/>
      <c r="T829" s="70"/>
      <c r="U829" s="70"/>
      <c r="V829" s="70"/>
      <c r="W829" s="70"/>
      <c r="X829" s="70"/>
      <c r="Y829" s="70"/>
      <c r="Z829" s="70"/>
      <c r="AA829" s="1063"/>
      <c r="AB829" s="1064"/>
      <c r="AD829" s="743"/>
      <c r="AE829" s="743"/>
      <c r="AF829" s="743"/>
      <c r="AG829" s="743"/>
      <c r="AH829" s="743"/>
      <c r="AI829" s="743"/>
      <c r="AN829" s="743"/>
      <c r="AO829" s="743"/>
    </row>
    <row r="830" spans="1:41" s="267" customFormat="1" x14ac:dyDescent="0.25">
      <c r="A830" s="1049" t="s">
        <v>1</v>
      </c>
      <c r="B830" s="1050"/>
      <c r="C830" s="297" t="s">
        <v>12</v>
      </c>
      <c r="D830" s="266" t="s">
        <v>12</v>
      </c>
      <c r="E830" s="297" t="s">
        <v>13</v>
      </c>
      <c r="F830" s="277" t="s">
        <v>13</v>
      </c>
      <c r="G830" s="277" t="s">
        <v>13</v>
      </c>
      <c r="H830" s="277" t="s">
        <v>13</v>
      </c>
      <c r="I830" s="277" t="s">
        <v>13</v>
      </c>
      <c r="J830" s="286" t="s">
        <v>13</v>
      </c>
      <c r="K830" s="286" t="s">
        <v>13</v>
      </c>
      <c r="L830" s="266" t="s">
        <v>13</v>
      </c>
      <c r="M830" s="297" t="s">
        <v>2</v>
      </c>
      <c r="N830" s="277" t="s">
        <v>2</v>
      </c>
      <c r="O830" s="286" t="s">
        <v>2</v>
      </c>
      <c r="P830" s="277" t="s">
        <v>2</v>
      </c>
      <c r="Q830" s="286" t="s">
        <v>2</v>
      </c>
      <c r="R830" s="286" t="s">
        <v>2</v>
      </c>
      <c r="S830" s="266" t="s">
        <v>2</v>
      </c>
      <c r="T830" s="328" t="s">
        <v>183</v>
      </c>
      <c r="U830" s="327" t="s">
        <v>183</v>
      </c>
      <c r="V830" s="12"/>
      <c r="W830" s="70"/>
      <c r="X830" s="70"/>
      <c r="Y830" s="70"/>
      <c r="Z830" s="70"/>
      <c r="AA830" s="1049" t="s">
        <v>1</v>
      </c>
      <c r="AB830" s="1051"/>
      <c r="AC830" s="442" t="s">
        <v>12</v>
      </c>
      <c r="AD830" s="912"/>
      <c r="AE830" s="912"/>
      <c r="AF830" s="912"/>
      <c r="AG830" s="912"/>
      <c r="AH830" s="912"/>
      <c r="AI830" s="912"/>
      <c r="AJ830" s="1052" t="s">
        <v>13</v>
      </c>
      <c r="AK830" s="1053"/>
      <c r="AL830" s="1052" t="s">
        <v>2</v>
      </c>
      <c r="AM830" s="1053"/>
      <c r="AN830" s="776"/>
      <c r="AO830" s="776"/>
    </row>
    <row r="831" spans="1:41" s="267" customFormat="1" ht="15.75" thickBot="1" x14ac:dyDescent="0.3">
      <c r="A831" s="1054" t="s">
        <v>0</v>
      </c>
      <c r="B831" s="1066"/>
      <c r="C831" s="298" t="s">
        <v>99</v>
      </c>
      <c r="D831" s="291" t="s">
        <v>100</v>
      </c>
      <c r="E831" s="298" t="s">
        <v>101</v>
      </c>
      <c r="F831" s="306" t="s">
        <v>102</v>
      </c>
      <c r="G831" s="306" t="s">
        <v>97</v>
      </c>
      <c r="H831" s="306" t="s">
        <v>104</v>
      </c>
      <c r="I831" s="306" t="s">
        <v>103</v>
      </c>
      <c r="J831" s="378" t="s">
        <v>178</v>
      </c>
      <c r="K831" s="378" t="s">
        <v>199</v>
      </c>
      <c r="L831" s="314" t="s">
        <v>206</v>
      </c>
      <c r="M831" s="298" t="s">
        <v>105</v>
      </c>
      <c r="N831" s="306" t="s">
        <v>107</v>
      </c>
      <c r="O831" s="312" t="s">
        <v>98</v>
      </c>
      <c r="P831" s="313" t="s">
        <v>106</v>
      </c>
      <c r="Q831" s="312" t="s">
        <v>179</v>
      </c>
      <c r="R831" s="312" t="s">
        <v>198</v>
      </c>
      <c r="S831" s="291" t="s">
        <v>207</v>
      </c>
      <c r="T831" s="317" t="s">
        <v>182</v>
      </c>
      <c r="U831" s="291" t="s">
        <v>184</v>
      </c>
      <c r="V831" s="12"/>
      <c r="W831" s="12"/>
      <c r="X831" s="12"/>
      <c r="Y831" s="12"/>
      <c r="Z831" s="12"/>
      <c r="AA831" s="1054" t="s">
        <v>0</v>
      </c>
      <c r="AB831" s="1067"/>
      <c r="AC831" s="317" t="s">
        <v>99</v>
      </c>
      <c r="AD831" s="621"/>
      <c r="AE831" s="621"/>
      <c r="AF831" s="621"/>
      <c r="AG831" s="621"/>
      <c r="AH831" s="621"/>
      <c r="AI831" s="621"/>
      <c r="AJ831" s="298" t="s">
        <v>104</v>
      </c>
      <c r="AK831" s="291" t="s">
        <v>206</v>
      </c>
      <c r="AL831" s="396" t="s">
        <v>107</v>
      </c>
      <c r="AM831" s="392" t="s">
        <v>207</v>
      </c>
      <c r="AN831" s="777"/>
      <c r="AO831" s="777"/>
    </row>
    <row r="832" spans="1:41" s="267" customFormat="1" ht="15" customHeight="1" x14ac:dyDescent="0.25">
      <c r="A832" s="1057" t="s">
        <v>9</v>
      </c>
      <c r="B832" s="19" t="s">
        <v>4</v>
      </c>
      <c r="C832" s="299">
        <v>143393</v>
      </c>
      <c r="D832" s="265">
        <v>150516.70000000001</v>
      </c>
      <c r="E832" s="299">
        <v>150516.70000000001</v>
      </c>
      <c r="F832" s="283">
        <v>181998.8</v>
      </c>
      <c r="G832" s="283">
        <v>165453.5</v>
      </c>
      <c r="H832" s="283">
        <v>132132.9</v>
      </c>
      <c r="I832" s="283">
        <v>170968.6</v>
      </c>
      <c r="J832" s="223">
        <v>165453.5</v>
      </c>
      <c r="K832" s="223">
        <v>92411.6</v>
      </c>
      <c r="L832" s="265">
        <f>83196.1+132070.4</f>
        <v>215266.5</v>
      </c>
      <c r="M832" s="299">
        <v>193029.1</v>
      </c>
      <c r="N832" s="283">
        <v>132132.9</v>
      </c>
      <c r="O832" s="283">
        <v>82726.600000000006</v>
      </c>
      <c r="P832" s="283">
        <v>275755</v>
      </c>
      <c r="Q832" s="223">
        <v>82726.600000000006</v>
      </c>
      <c r="R832" s="223">
        <v>188981.6</v>
      </c>
      <c r="S832" s="265">
        <f>83196.1+132070.4</f>
        <v>215266.5</v>
      </c>
      <c r="T832" s="318">
        <v>55151</v>
      </c>
      <c r="U832" s="265">
        <v>33090.5</v>
      </c>
      <c r="V832" s="70"/>
      <c r="W832" s="70"/>
      <c r="X832" s="70"/>
      <c r="Y832" s="70"/>
      <c r="Z832" s="70"/>
      <c r="AA832" s="439" t="s">
        <v>194</v>
      </c>
      <c r="AB832" s="2" t="s">
        <v>4</v>
      </c>
      <c r="AC832" s="318">
        <v>143392.20000000001</v>
      </c>
      <c r="AD832" s="544"/>
      <c r="AE832" s="544"/>
      <c r="AF832" s="544"/>
      <c r="AG832" s="544"/>
      <c r="AH832" s="544"/>
      <c r="AI832" s="544"/>
      <c r="AJ832" s="299">
        <v>132132</v>
      </c>
      <c r="AK832" s="265">
        <v>83196.100000000006</v>
      </c>
      <c r="AL832" s="397">
        <v>132132.20000000001</v>
      </c>
      <c r="AM832" s="393">
        <v>83196.100000000006</v>
      </c>
      <c r="AN832" s="778"/>
      <c r="AO832" s="778"/>
    </row>
    <row r="833" spans="1:41" s="267" customFormat="1" x14ac:dyDescent="0.25">
      <c r="A833" s="1058"/>
      <c r="B833" s="293" t="s">
        <v>5</v>
      </c>
      <c r="C833" s="300">
        <v>45618.2</v>
      </c>
      <c r="D833" s="264">
        <v>79129.3</v>
      </c>
      <c r="E833" s="300">
        <v>80610.3</v>
      </c>
      <c r="F833" s="307">
        <v>145565.20000000001</v>
      </c>
      <c r="G833" s="307">
        <v>114713.8</v>
      </c>
      <c r="H833" s="307">
        <v>56908.4</v>
      </c>
      <c r="I833" s="307">
        <v>92262.7</v>
      </c>
      <c r="J833" s="374">
        <v>22712.1</v>
      </c>
      <c r="K833" s="374">
        <v>23455.8</v>
      </c>
      <c r="L833" s="264">
        <f>552.9+30.3</f>
        <v>583.19999999999993</v>
      </c>
      <c r="M833" s="300">
        <v>158355.6</v>
      </c>
      <c r="N833" s="307">
        <v>62993.2</v>
      </c>
      <c r="O833" s="307">
        <v>58902.9</v>
      </c>
      <c r="P833" s="307">
        <v>167159.20000000001</v>
      </c>
      <c r="Q833" s="374">
        <v>11817.6</v>
      </c>
      <c r="R833" s="374">
        <v>40122</v>
      </c>
      <c r="S833" s="264">
        <f>34425.4+655.7</f>
        <v>35081.1</v>
      </c>
      <c r="T833" s="319">
        <v>11819.8</v>
      </c>
      <c r="U833" s="264">
        <v>5722.2</v>
      </c>
      <c r="V833" s="70"/>
      <c r="W833" s="70"/>
      <c r="X833" s="70"/>
      <c r="Y833" s="70"/>
      <c r="Z833" s="70"/>
      <c r="AA833" s="440"/>
      <c r="AB833" s="342" t="s">
        <v>5</v>
      </c>
      <c r="AC833" s="319">
        <v>43401.8</v>
      </c>
      <c r="AD833" s="936"/>
      <c r="AE833" s="936"/>
      <c r="AF833" s="936"/>
      <c r="AG833" s="936"/>
      <c r="AH833" s="936"/>
      <c r="AI833" s="936"/>
      <c r="AJ833" s="300">
        <v>58695.3</v>
      </c>
      <c r="AK833" s="264">
        <v>4.7</v>
      </c>
      <c r="AL833" s="398">
        <v>55118.9</v>
      </c>
      <c r="AM833" s="394">
        <v>4.5</v>
      </c>
      <c r="AN833" s="779"/>
      <c r="AO833" s="779"/>
    </row>
    <row r="834" spans="1:41" s="267" customFormat="1" ht="15.75" thickBot="1" x14ac:dyDescent="0.3">
      <c r="A834" s="1059"/>
      <c r="B834" s="294" t="s">
        <v>3</v>
      </c>
      <c r="C834" s="305">
        <f t="shared" ref="C834:L834" si="286">C833/C832</f>
        <v>0.3181340790694106</v>
      </c>
      <c r="D834" s="343">
        <f t="shared" si="286"/>
        <v>0.52571774427688089</v>
      </c>
      <c r="E834" s="305">
        <f t="shared" si="286"/>
        <v>0.53555718402011199</v>
      </c>
      <c r="F834" s="371">
        <f t="shared" si="286"/>
        <v>0.79981406470811911</v>
      </c>
      <c r="G834" s="278">
        <f t="shared" si="286"/>
        <v>0.69332954576361339</v>
      </c>
      <c r="H834" s="278">
        <f t="shared" si="286"/>
        <v>0.43069061528203806</v>
      </c>
      <c r="I834" s="278">
        <f t="shared" si="286"/>
        <v>0.53964704629972982</v>
      </c>
      <c r="J834" s="315">
        <f t="shared" si="286"/>
        <v>0.1372718014427014</v>
      </c>
      <c r="K834" s="315">
        <f t="shared" si="286"/>
        <v>0.25381878465474028</v>
      </c>
      <c r="L834" s="292">
        <f t="shared" si="286"/>
        <v>2.7091999916382713E-3</v>
      </c>
      <c r="M834" s="372">
        <f>M833/M832</f>
        <v>0.82037164344650626</v>
      </c>
      <c r="N834" s="278">
        <f>N833/N832</f>
        <v>0.47674122039249878</v>
      </c>
      <c r="O834" s="315">
        <f>O833/O832</f>
        <v>0.71201886696661043</v>
      </c>
      <c r="P834" s="278">
        <f>P833/P832</f>
        <v>0.60618737647549459</v>
      </c>
      <c r="Q834" s="315">
        <f>Q833/Q832</f>
        <v>0.14285127153781249</v>
      </c>
      <c r="R834" s="315">
        <f t="shared" ref="R834:S834" si="287">R833/R832</f>
        <v>0.21230638326694237</v>
      </c>
      <c r="S834" s="292">
        <f t="shared" si="287"/>
        <v>0.16296590505257436</v>
      </c>
      <c r="T834" s="320">
        <f>T833/T832</f>
        <v>0.21431705680767346</v>
      </c>
      <c r="U834" s="292">
        <f>U833/U832</f>
        <v>0.17292576419213973</v>
      </c>
      <c r="V834" s="70"/>
      <c r="W834" s="70"/>
      <c r="X834" s="70"/>
      <c r="Y834" s="70"/>
      <c r="Z834" s="70"/>
      <c r="AA834" s="441"/>
      <c r="AB834" s="347" t="s">
        <v>3</v>
      </c>
      <c r="AC834" s="395">
        <f>AC833/AC832</f>
        <v>0.302678946274623</v>
      </c>
      <c r="AD834" s="635"/>
      <c r="AE834" s="635"/>
      <c r="AF834" s="635"/>
      <c r="AG834" s="635"/>
      <c r="AH834" s="635"/>
      <c r="AI834" s="635"/>
      <c r="AJ834" s="305">
        <f>AJ833/AJ832</f>
        <v>0.44421714648987376</v>
      </c>
      <c r="AK834" s="292">
        <f>AK833/AK832</f>
        <v>5.6493032726293656E-5</v>
      </c>
      <c r="AL834" s="399">
        <f>AL833/AL832</f>
        <v>0.41714964255495629</v>
      </c>
      <c r="AM834" s="343">
        <f>AM833/AM832</f>
        <v>5.4089073886876906E-5</v>
      </c>
      <c r="AN834" s="780"/>
      <c r="AO834" s="780"/>
    </row>
    <row r="835" spans="1:41" s="429" customFormat="1" ht="15" customHeight="1" x14ac:dyDescent="0.25">
      <c r="A835" s="1060" t="s">
        <v>6</v>
      </c>
      <c r="B835" s="418" t="s">
        <v>7</v>
      </c>
      <c r="C835" s="419">
        <v>5870</v>
      </c>
      <c r="D835" s="420">
        <v>3333</v>
      </c>
      <c r="E835" s="419">
        <v>3330</v>
      </c>
      <c r="F835" s="421">
        <v>9457</v>
      </c>
      <c r="G835" s="422">
        <v>8432</v>
      </c>
      <c r="H835" s="421">
        <v>15703</v>
      </c>
      <c r="I835" s="421">
        <v>7403</v>
      </c>
      <c r="J835" s="423">
        <v>9599</v>
      </c>
      <c r="K835" s="423">
        <v>4073</v>
      </c>
      <c r="L835" s="420">
        <v>6399</v>
      </c>
      <c r="M835" s="419">
        <v>9092</v>
      </c>
      <c r="N835" s="421">
        <v>12295</v>
      </c>
      <c r="O835" s="422">
        <v>4356</v>
      </c>
      <c r="P835" s="421">
        <v>10027</v>
      </c>
      <c r="Q835" s="423">
        <v>4799</v>
      </c>
      <c r="R835" s="423">
        <v>7192</v>
      </c>
      <c r="S835" s="420">
        <v>6399</v>
      </c>
      <c r="T835" s="424">
        <v>2000</v>
      </c>
      <c r="U835" s="420">
        <v>1250</v>
      </c>
      <c r="V835" s="425" t="s">
        <v>197</v>
      </c>
      <c r="W835" s="426"/>
      <c r="X835" s="427"/>
      <c r="Y835" s="427"/>
      <c r="Z835" s="427"/>
      <c r="AA835" s="428" t="s">
        <v>190</v>
      </c>
      <c r="AB835" s="418" t="s">
        <v>4</v>
      </c>
      <c r="AC835" s="430">
        <v>9191.7999999999993</v>
      </c>
      <c r="AD835" s="564"/>
      <c r="AE835" s="564"/>
      <c r="AF835" s="564"/>
      <c r="AG835" s="564"/>
      <c r="AH835" s="564"/>
      <c r="AI835" s="564"/>
      <c r="AJ835" s="431">
        <v>13787.7</v>
      </c>
      <c r="AK835" s="432">
        <v>8804.7999999999993</v>
      </c>
      <c r="AL835" s="433">
        <v>13787.7</v>
      </c>
      <c r="AM835" s="434">
        <v>8804.7999999999993</v>
      </c>
      <c r="AN835" s="781"/>
      <c r="AO835" s="781"/>
    </row>
    <row r="836" spans="1:41" s="267" customFormat="1" x14ac:dyDescent="0.25">
      <c r="A836" s="1061"/>
      <c r="B836" s="295" t="s">
        <v>11</v>
      </c>
      <c r="C836" s="302">
        <f t="shared" ref="C836:L836" si="288">C835*33.717</f>
        <v>197918.78999999998</v>
      </c>
      <c r="D836" s="263">
        <f t="shared" si="288"/>
        <v>112378.761</v>
      </c>
      <c r="E836" s="302">
        <f t="shared" si="288"/>
        <v>112277.61</v>
      </c>
      <c r="F836" s="355">
        <f t="shared" si="288"/>
        <v>318861.66899999999</v>
      </c>
      <c r="G836" s="308">
        <f t="shared" si="288"/>
        <v>284301.74400000001</v>
      </c>
      <c r="H836" s="354">
        <f t="shared" si="288"/>
        <v>529458.05099999998</v>
      </c>
      <c r="I836" s="354">
        <f t="shared" si="288"/>
        <v>249606.951</v>
      </c>
      <c r="J836" s="355">
        <f t="shared" si="288"/>
        <v>323649.48300000001</v>
      </c>
      <c r="K836" s="375">
        <f t="shared" si="288"/>
        <v>137329.34099999999</v>
      </c>
      <c r="L836" s="263">
        <f t="shared" si="288"/>
        <v>215755.08299999998</v>
      </c>
      <c r="M836" s="322">
        <f>M835*33.717</f>
        <v>306554.96399999998</v>
      </c>
      <c r="N836" s="308">
        <f>N835*33.717</f>
        <v>414550.51499999996</v>
      </c>
      <c r="O836" s="308">
        <f>O835*33.717</f>
        <v>146871.25200000001</v>
      </c>
      <c r="P836" s="354">
        <f>P835*33.717</f>
        <v>338080.359</v>
      </c>
      <c r="Q836" s="355">
        <f>Q835*33.717</f>
        <v>161807.883</v>
      </c>
      <c r="R836" s="375">
        <f t="shared" ref="R836:S836" si="289">R835*33.717</f>
        <v>242492.66399999999</v>
      </c>
      <c r="S836" s="263">
        <f t="shared" si="289"/>
        <v>215755.08299999998</v>
      </c>
      <c r="T836" s="302">
        <f>T835*33.717</f>
        <v>67434</v>
      </c>
      <c r="U836" s="354">
        <f>U835*33.717</f>
        <v>42146.25</v>
      </c>
      <c r="V836" s="70"/>
      <c r="W836" s="70"/>
      <c r="X836" s="70"/>
      <c r="Y836" s="70"/>
      <c r="Z836" s="70"/>
      <c r="AA836" s="440"/>
      <c r="AB836" s="293" t="s">
        <v>5</v>
      </c>
      <c r="AC836" s="319">
        <v>8835</v>
      </c>
      <c r="AD836" s="936"/>
      <c r="AE836" s="936"/>
      <c r="AF836" s="936"/>
      <c r="AG836" s="936"/>
      <c r="AH836" s="936"/>
      <c r="AI836" s="936"/>
      <c r="AJ836" s="300">
        <v>13648.9</v>
      </c>
      <c r="AK836" s="264">
        <v>0</v>
      </c>
      <c r="AL836" s="398">
        <v>13649.5</v>
      </c>
      <c r="AM836" s="394">
        <v>30</v>
      </c>
      <c r="AN836" s="779"/>
      <c r="AO836" s="779"/>
    </row>
    <row r="837" spans="1:41" s="267" customFormat="1" ht="15.75" thickBot="1" x14ac:dyDescent="0.3">
      <c r="A837" s="1061"/>
      <c r="B837" s="295" t="s">
        <v>79</v>
      </c>
      <c r="C837" s="302">
        <v>164000</v>
      </c>
      <c r="D837" s="263">
        <v>109880</v>
      </c>
      <c r="E837" s="302">
        <v>109880</v>
      </c>
      <c r="F837" s="308">
        <v>328000</v>
      </c>
      <c r="G837" s="308">
        <v>330905</v>
      </c>
      <c r="H837" s="308">
        <v>264264</v>
      </c>
      <c r="I837" s="308">
        <v>242663.6</v>
      </c>
      <c r="J837" s="375">
        <v>328000</v>
      </c>
      <c r="K837" s="375">
        <v>328000</v>
      </c>
      <c r="L837" s="263">
        <v>328000</v>
      </c>
      <c r="M837" s="302">
        <v>328000</v>
      </c>
      <c r="N837" s="308">
        <v>264264.40000000002</v>
      </c>
      <c r="O837" s="308">
        <v>328000</v>
      </c>
      <c r="P837" s="308">
        <v>352965.4</v>
      </c>
      <c r="Q837" s="375">
        <v>328000</v>
      </c>
      <c r="R837" s="375">
        <v>328000</v>
      </c>
      <c r="S837" s="263">
        <v>328000</v>
      </c>
      <c r="T837" s="322">
        <f>2*T832</f>
        <v>110302</v>
      </c>
      <c r="U837" s="263">
        <f>2*U832</f>
        <v>66181</v>
      </c>
      <c r="V837" s="70"/>
      <c r="W837" s="70"/>
      <c r="X837" s="70"/>
      <c r="Y837" s="70"/>
      <c r="Z837" s="70"/>
      <c r="AA837" s="441"/>
      <c r="AB837" s="344" t="s">
        <v>3</v>
      </c>
      <c r="AC837" s="395">
        <f>AC836/AC835</f>
        <v>0.96118279335929857</v>
      </c>
      <c r="AD837" s="635"/>
      <c r="AE837" s="635"/>
      <c r="AF837" s="635"/>
      <c r="AG837" s="635"/>
      <c r="AH837" s="635"/>
      <c r="AI837" s="635"/>
      <c r="AJ837" s="301">
        <f>AJ836/AJ835</f>
        <v>0.98993305627479555</v>
      </c>
      <c r="AK837" s="401">
        <f>AK836/AK835</f>
        <v>0</v>
      </c>
      <c r="AL837" s="400">
        <f>AL836/AL835</f>
        <v>0.98997657332259903</v>
      </c>
      <c r="AM837" s="348">
        <f>AM836/AM835</f>
        <v>3.4072324186807199E-3</v>
      </c>
      <c r="AN837" s="780"/>
      <c r="AO837" s="780"/>
    </row>
    <row r="838" spans="1:41" s="267" customFormat="1" ht="15" customHeight="1" x14ac:dyDescent="0.25">
      <c r="A838" s="1061"/>
      <c r="B838" s="293" t="s">
        <v>8</v>
      </c>
      <c r="C838" s="303">
        <f>SUM(C835-401)</f>
        <v>5469</v>
      </c>
      <c r="D838" s="262">
        <f>SUM(D835-538)</f>
        <v>2795</v>
      </c>
      <c r="E838" s="303">
        <f>SUM(E835-504)</f>
        <v>2826</v>
      </c>
      <c r="F838" s="309">
        <f>SUM(F835-1202)</f>
        <v>8255</v>
      </c>
      <c r="G838" s="309">
        <f>SUM(G835-4533)</f>
        <v>3899</v>
      </c>
      <c r="H838" s="309">
        <f>SUM(H835-2114)</f>
        <v>13589</v>
      </c>
      <c r="I838" s="309">
        <f>SUM(I835-(3203-2000))</f>
        <v>6200</v>
      </c>
      <c r="J838" s="316">
        <f>SUM(J835-9051)</f>
        <v>548</v>
      </c>
      <c r="K838" s="316">
        <f>SUM(K835-2516)</f>
        <v>1557</v>
      </c>
      <c r="L838" s="262">
        <f>SUM(L835-6053)</f>
        <v>346</v>
      </c>
      <c r="M838" s="303">
        <f>SUM(M835-928)</f>
        <v>8164</v>
      </c>
      <c r="N838" s="309">
        <f>SUM(N835-1651)</f>
        <v>10644</v>
      </c>
      <c r="O838" s="316">
        <f>SUM(O835-310)</f>
        <v>4046</v>
      </c>
      <c r="P838" s="309">
        <f>SUM(P835-(5132-2614))</f>
        <v>7509</v>
      </c>
      <c r="Q838" s="316">
        <f>SUM(Q835-3803)</f>
        <v>996</v>
      </c>
      <c r="R838" s="316">
        <f>SUM(R835-5514)</f>
        <v>1678</v>
      </c>
      <c r="S838" s="262">
        <f>SUM(S835-3889)</f>
        <v>2510</v>
      </c>
      <c r="T838" s="323">
        <f>SUM(T835-886)</f>
        <v>1114</v>
      </c>
      <c r="U838" s="262">
        <f>SUM(U835-727)</f>
        <v>523</v>
      </c>
      <c r="V838" s="12" t="s">
        <v>176</v>
      </c>
      <c r="W838" s="70"/>
      <c r="X838" s="70"/>
      <c r="Y838" s="70"/>
      <c r="Z838" s="70"/>
      <c r="AA838" s="439" t="s">
        <v>191</v>
      </c>
      <c r="AB838" s="19" t="s">
        <v>4</v>
      </c>
      <c r="AC838" s="318">
        <v>97433.600000000006</v>
      </c>
      <c r="AD838" s="544"/>
      <c r="AE838" s="544"/>
      <c r="AF838" s="544"/>
      <c r="AG838" s="544"/>
      <c r="AH838" s="544"/>
      <c r="AI838" s="544"/>
      <c r="AJ838" s="299">
        <v>243584.4</v>
      </c>
      <c r="AK838" s="265">
        <v>132070.29999999999</v>
      </c>
      <c r="AL838" s="397">
        <v>292299.3</v>
      </c>
      <c r="AM838" s="393">
        <v>132070.39999999999</v>
      </c>
      <c r="AN838" s="778"/>
      <c r="AO838" s="778"/>
    </row>
    <row r="839" spans="1:41" s="267" customFormat="1" x14ac:dyDescent="0.25">
      <c r="A839" s="1061"/>
      <c r="B839" s="296" t="s">
        <v>77</v>
      </c>
      <c r="C839" s="302">
        <f>(C838*33.717)</f>
        <v>184398.27299999999</v>
      </c>
      <c r="D839" s="338">
        <f>(D838*33.717)</f>
        <v>94239.014999999999</v>
      </c>
      <c r="E839" s="302">
        <f>(E838*33.717)</f>
        <v>95284.241999999998</v>
      </c>
      <c r="F839" s="338">
        <f>(F838*33.717)</f>
        <v>278333.83499999996</v>
      </c>
      <c r="G839" s="280">
        <f>(G838*33.717)*2</f>
        <v>262925.16599999997</v>
      </c>
      <c r="H839" s="280">
        <f>(H838*33.717)</f>
        <v>458180.31299999997</v>
      </c>
      <c r="I839" s="280">
        <f>(I838*33.717)-(2000*33.717)</f>
        <v>141611.4</v>
      </c>
      <c r="J839" s="376">
        <f>J838*33.717</f>
        <v>18476.916000000001</v>
      </c>
      <c r="K839" s="376">
        <f>K838*33.717</f>
        <v>52497.368999999999</v>
      </c>
      <c r="L839" s="261">
        <f>L838*33.717</f>
        <v>11666.082</v>
      </c>
      <c r="M839" s="304">
        <f>M838*33.717</f>
        <v>275265.58799999999</v>
      </c>
      <c r="N839" s="280">
        <f>N838*33.717</f>
        <v>358883.74799999996</v>
      </c>
      <c r="O839" s="280">
        <f>(O838*33.717)</f>
        <v>136418.98199999999</v>
      </c>
      <c r="P839" s="280">
        <f t="shared" ref="P839:U839" si="290">P838*33.717</f>
        <v>253180.95299999998</v>
      </c>
      <c r="Q839" s="376">
        <f t="shared" si="290"/>
        <v>33582.131999999998</v>
      </c>
      <c r="R839" s="376">
        <f t="shared" si="290"/>
        <v>56577.125999999997</v>
      </c>
      <c r="S839" s="261">
        <f t="shared" si="290"/>
        <v>84629.67</v>
      </c>
      <c r="T839" s="324">
        <f t="shared" si="290"/>
        <v>37560.737999999998</v>
      </c>
      <c r="U839" s="325">
        <f t="shared" si="290"/>
        <v>17633.990999999998</v>
      </c>
      <c r="V839" s="63">
        <f>344240-H839</f>
        <v>-113940.31299999997</v>
      </c>
      <c r="W839" s="70" t="s">
        <v>177</v>
      </c>
      <c r="X839" s="70"/>
      <c r="Y839" s="70"/>
      <c r="Z839" s="70"/>
      <c r="AA839" s="440"/>
      <c r="AB839" s="293" t="s">
        <v>5</v>
      </c>
      <c r="AC839" s="319">
        <v>38973.199999999997</v>
      </c>
      <c r="AD839" s="936"/>
      <c r="AE839" s="936"/>
      <c r="AF839" s="936"/>
      <c r="AG839" s="936"/>
      <c r="AH839" s="936"/>
      <c r="AI839" s="936"/>
      <c r="AJ839" s="300">
        <v>95895.7</v>
      </c>
      <c r="AK839" s="264">
        <v>0.1</v>
      </c>
      <c r="AL839" s="398">
        <v>93978.8</v>
      </c>
      <c r="AM839" s="394">
        <v>1</v>
      </c>
      <c r="AN839" s="779"/>
      <c r="AO839" s="779"/>
    </row>
    <row r="840" spans="1:41" s="267" customFormat="1" ht="15.75" thickBot="1" x14ac:dyDescent="0.3">
      <c r="A840" s="1062"/>
      <c r="B840" s="294" t="s">
        <v>10</v>
      </c>
      <c r="C840" s="305">
        <f>C839/C832</f>
        <v>1.2859642590642499</v>
      </c>
      <c r="D840" s="292">
        <f t="shared" ref="D840:U840" si="291">D839/D832</f>
        <v>0.62610338254824871</v>
      </c>
      <c r="E840" s="310">
        <f t="shared" si="291"/>
        <v>0.63304764188957097</v>
      </c>
      <c r="F840" s="282">
        <f t="shared" si="291"/>
        <v>1.5293168691222139</v>
      </c>
      <c r="G840" s="282">
        <f t="shared" si="291"/>
        <v>1.5891181872852491</v>
      </c>
      <c r="H840" s="282">
        <f t="shared" si="291"/>
        <v>3.4675717629750045</v>
      </c>
      <c r="I840" s="282">
        <f t="shared" si="291"/>
        <v>0.82828893726684305</v>
      </c>
      <c r="J840" s="377">
        <f t="shared" si="291"/>
        <v>0.11167437376664743</v>
      </c>
      <c r="K840" s="377">
        <f t="shared" si="291"/>
        <v>0.56808202649883777</v>
      </c>
      <c r="L840" s="311">
        <f t="shared" si="291"/>
        <v>5.419367156524587E-2</v>
      </c>
      <c r="M840" s="310">
        <f t="shared" si="291"/>
        <v>1.42603155689997</v>
      </c>
      <c r="N840" s="282">
        <f t="shared" si="291"/>
        <v>2.7160816723162813</v>
      </c>
      <c r="O840" s="282">
        <f t="shared" si="291"/>
        <v>1.6490340712660738</v>
      </c>
      <c r="P840" s="260">
        <f t="shared" si="291"/>
        <v>0.9181373066671501</v>
      </c>
      <c r="Q840" s="377">
        <f t="shared" si="291"/>
        <v>0.40594116040064498</v>
      </c>
      <c r="R840" s="377">
        <f t="shared" si="291"/>
        <v>0.29937901890977742</v>
      </c>
      <c r="S840" s="311">
        <f t="shared" si="291"/>
        <v>0.39313906251088765</v>
      </c>
      <c r="T840" s="305">
        <f t="shared" si="291"/>
        <v>0.68105270983300392</v>
      </c>
      <c r="U840" s="292">
        <f t="shared" si="291"/>
        <v>0.53290192049077523</v>
      </c>
      <c r="V840" s="126"/>
      <c r="W840" s="70"/>
      <c r="X840" s="70"/>
      <c r="Y840" s="70"/>
      <c r="Z840" s="70"/>
      <c r="AA840" s="441"/>
      <c r="AB840" s="294" t="s">
        <v>3</v>
      </c>
      <c r="AC840" s="320">
        <f>AC839/AC838</f>
        <v>0.39999753678402516</v>
      </c>
      <c r="AD840" s="545"/>
      <c r="AE840" s="545"/>
      <c r="AF840" s="545"/>
      <c r="AG840" s="545"/>
      <c r="AH840" s="545"/>
      <c r="AI840" s="545"/>
      <c r="AJ840" s="305">
        <f>AJ839/AJ838</f>
        <v>0.39368572043201455</v>
      </c>
      <c r="AK840" s="292">
        <f>AK839/AK838</f>
        <v>7.5717250585483648E-7</v>
      </c>
      <c r="AL840" s="399">
        <f>AL839/AL838</f>
        <v>0.32151565193621745</v>
      </c>
      <c r="AM840" s="343">
        <f>AM839/AM838</f>
        <v>7.5717193254506694E-6</v>
      </c>
      <c r="AN840" s="780"/>
      <c r="AO840" s="780"/>
    </row>
    <row r="841" spans="1:41" s="267" customFormat="1" ht="15.75" thickBot="1" x14ac:dyDescent="0.3">
      <c r="A841" s="1048">
        <v>41485</v>
      </c>
      <c r="B841" s="1048"/>
      <c r="C841" s="1048"/>
      <c r="D841" s="276"/>
      <c r="E841" s="276"/>
      <c r="F841" s="276"/>
      <c r="G841" s="276"/>
      <c r="H841" s="276"/>
      <c r="I841" s="11"/>
      <c r="J841" s="281"/>
      <c r="K841" s="281"/>
      <c r="L841" s="276"/>
      <c r="M841" s="276"/>
      <c r="N841" s="13"/>
      <c r="R841" s="12"/>
      <c r="S841" s="70"/>
      <c r="T841" s="70"/>
      <c r="U841" s="70"/>
      <c r="V841" s="70"/>
      <c r="W841" s="70"/>
      <c r="X841" s="70"/>
      <c r="Y841" s="70"/>
      <c r="Z841" s="70"/>
      <c r="AA841" s="1063"/>
      <c r="AB841" s="1064"/>
      <c r="AD841" s="743"/>
      <c r="AE841" s="743"/>
      <c r="AF841" s="743"/>
      <c r="AG841" s="743"/>
      <c r="AH841" s="743"/>
      <c r="AI841" s="743"/>
      <c r="AN841" s="743"/>
      <c r="AO841" s="743"/>
    </row>
    <row r="842" spans="1:41" s="267" customFormat="1" x14ac:dyDescent="0.25">
      <c r="A842" s="1049" t="s">
        <v>1</v>
      </c>
      <c r="B842" s="1050"/>
      <c r="C842" s="297" t="s">
        <v>12</v>
      </c>
      <c r="D842" s="266" t="s">
        <v>12</v>
      </c>
      <c r="E842" s="297" t="s">
        <v>13</v>
      </c>
      <c r="F842" s="277" t="s">
        <v>13</v>
      </c>
      <c r="G842" s="277" t="s">
        <v>13</v>
      </c>
      <c r="H842" s="277" t="s">
        <v>13</v>
      </c>
      <c r="I842" s="277" t="s">
        <v>13</v>
      </c>
      <c r="J842" s="286" t="s">
        <v>13</v>
      </c>
      <c r="K842" s="286" t="s">
        <v>13</v>
      </c>
      <c r="L842" s="266" t="s">
        <v>13</v>
      </c>
      <c r="M842" s="297" t="s">
        <v>2</v>
      </c>
      <c r="N842" s="277" t="s">
        <v>2</v>
      </c>
      <c r="O842" s="286" t="s">
        <v>2</v>
      </c>
      <c r="P842" s="277" t="s">
        <v>2</v>
      </c>
      <c r="Q842" s="286" t="s">
        <v>2</v>
      </c>
      <c r="R842" s="286" t="s">
        <v>2</v>
      </c>
      <c r="S842" s="266" t="s">
        <v>2</v>
      </c>
      <c r="T842" s="328" t="s">
        <v>183</v>
      </c>
      <c r="U842" s="327" t="s">
        <v>183</v>
      </c>
      <c r="V842" s="12"/>
      <c r="W842" s="70"/>
      <c r="X842" s="70"/>
      <c r="Y842" s="70"/>
      <c r="Z842" s="70"/>
      <c r="AA842" s="1049" t="s">
        <v>1</v>
      </c>
      <c r="AB842" s="1051"/>
      <c r="AC842" s="447" t="s">
        <v>12</v>
      </c>
      <c r="AD842" s="912"/>
      <c r="AE842" s="912"/>
      <c r="AF842" s="912"/>
      <c r="AG842" s="912"/>
      <c r="AH842" s="912"/>
      <c r="AI842" s="912"/>
      <c r="AJ842" s="1052" t="s">
        <v>13</v>
      </c>
      <c r="AK842" s="1053"/>
      <c r="AL842" s="1052" t="s">
        <v>2</v>
      </c>
      <c r="AM842" s="1053"/>
      <c r="AN842" s="776"/>
      <c r="AO842" s="776"/>
    </row>
    <row r="843" spans="1:41" s="267" customFormat="1" ht="15.75" thickBot="1" x14ac:dyDescent="0.3">
      <c r="A843" s="1054" t="s">
        <v>0</v>
      </c>
      <c r="B843" s="1066"/>
      <c r="C843" s="298" t="s">
        <v>99</v>
      </c>
      <c r="D843" s="291" t="s">
        <v>100</v>
      </c>
      <c r="E843" s="298" t="s">
        <v>101</v>
      </c>
      <c r="F843" s="306" t="s">
        <v>102</v>
      </c>
      <c r="G843" s="306" t="s">
        <v>97</v>
      </c>
      <c r="H843" s="306" t="s">
        <v>104</v>
      </c>
      <c r="I843" s="306" t="s">
        <v>103</v>
      </c>
      <c r="J843" s="378" t="s">
        <v>178</v>
      </c>
      <c r="K843" s="378" t="s">
        <v>199</v>
      </c>
      <c r="L843" s="314" t="s">
        <v>206</v>
      </c>
      <c r="M843" s="298" t="s">
        <v>105</v>
      </c>
      <c r="N843" s="306" t="s">
        <v>107</v>
      </c>
      <c r="O843" s="312" t="s">
        <v>98</v>
      </c>
      <c r="P843" s="313" t="s">
        <v>106</v>
      </c>
      <c r="Q843" s="312" t="s">
        <v>179</v>
      </c>
      <c r="R843" s="312" t="s">
        <v>198</v>
      </c>
      <c r="S843" s="291" t="s">
        <v>207</v>
      </c>
      <c r="T843" s="317" t="s">
        <v>182</v>
      </c>
      <c r="U843" s="291" t="s">
        <v>184</v>
      </c>
      <c r="V843" s="12"/>
      <c r="W843" s="12"/>
      <c r="X843" s="12"/>
      <c r="Y843" s="12"/>
      <c r="Z843" s="12"/>
      <c r="AA843" s="1054" t="s">
        <v>0</v>
      </c>
      <c r="AB843" s="1067"/>
      <c r="AC843" s="317" t="s">
        <v>99</v>
      </c>
      <c r="AD843" s="621"/>
      <c r="AE843" s="621"/>
      <c r="AF843" s="621"/>
      <c r="AG843" s="621"/>
      <c r="AH843" s="621"/>
      <c r="AI843" s="621"/>
      <c r="AJ843" s="298" t="s">
        <v>104</v>
      </c>
      <c r="AK843" s="291" t="s">
        <v>206</v>
      </c>
      <c r="AL843" s="396" t="s">
        <v>107</v>
      </c>
      <c r="AM843" s="392" t="s">
        <v>207</v>
      </c>
      <c r="AN843" s="777"/>
      <c r="AO843" s="777"/>
    </row>
    <row r="844" spans="1:41" s="267" customFormat="1" ht="15" customHeight="1" x14ac:dyDescent="0.25">
      <c r="A844" s="1057" t="s">
        <v>9</v>
      </c>
      <c r="B844" s="19" t="s">
        <v>4</v>
      </c>
      <c r="C844" s="299">
        <v>143393</v>
      </c>
      <c r="D844" s="265">
        <v>150516.70000000001</v>
      </c>
      <c r="E844" s="299">
        <v>150516.70000000001</v>
      </c>
      <c r="F844" s="283">
        <v>181998.8</v>
      </c>
      <c r="G844" s="283">
        <v>165453.5</v>
      </c>
      <c r="H844" s="283">
        <v>132132.9</v>
      </c>
      <c r="I844" s="283">
        <v>170968.6</v>
      </c>
      <c r="J844" s="223">
        <v>165453.5</v>
      </c>
      <c r="K844" s="223">
        <v>92411.6</v>
      </c>
      <c r="L844" s="265">
        <f>83196.1+132070.4</f>
        <v>215266.5</v>
      </c>
      <c r="M844" s="299">
        <v>193029.1</v>
      </c>
      <c r="N844" s="283">
        <v>132132.9</v>
      </c>
      <c r="O844" s="283">
        <v>82726.600000000006</v>
      </c>
      <c r="P844" s="283">
        <v>275755</v>
      </c>
      <c r="Q844" s="223">
        <v>82726.600000000006</v>
      </c>
      <c r="R844" s="223">
        <v>188981.6</v>
      </c>
      <c r="S844" s="265">
        <f>83196.1+132070.4</f>
        <v>215266.5</v>
      </c>
      <c r="T844" s="318">
        <v>55151</v>
      </c>
      <c r="U844" s="265">
        <v>33090.5</v>
      </c>
      <c r="V844" s="70"/>
      <c r="W844" s="70"/>
      <c r="X844" s="70"/>
      <c r="Y844" s="70"/>
      <c r="Z844" s="70"/>
      <c r="AA844" s="444" t="s">
        <v>194</v>
      </c>
      <c r="AB844" s="2" t="s">
        <v>4</v>
      </c>
      <c r="AC844" s="318">
        <v>143392.20000000001</v>
      </c>
      <c r="AD844" s="544"/>
      <c r="AE844" s="544"/>
      <c r="AF844" s="544"/>
      <c r="AG844" s="544"/>
      <c r="AH844" s="544"/>
      <c r="AI844" s="544"/>
      <c r="AJ844" s="299">
        <v>132132</v>
      </c>
      <c r="AK844" s="265">
        <v>83196.100000000006</v>
      </c>
      <c r="AL844" s="397">
        <v>132132.20000000001</v>
      </c>
      <c r="AM844" s="393">
        <v>83196.100000000006</v>
      </c>
      <c r="AN844" s="778"/>
      <c r="AO844" s="778"/>
    </row>
    <row r="845" spans="1:41" s="267" customFormat="1" x14ac:dyDescent="0.25">
      <c r="A845" s="1058"/>
      <c r="B845" s="293" t="s">
        <v>5</v>
      </c>
      <c r="C845" s="300">
        <v>45701.9</v>
      </c>
      <c r="D845" s="264">
        <v>78962</v>
      </c>
      <c r="E845" s="300">
        <v>80443</v>
      </c>
      <c r="F845" s="307">
        <v>145162.6</v>
      </c>
      <c r="G845" s="307">
        <v>114309.6</v>
      </c>
      <c r="H845" s="307">
        <v>56691.9</v>
      </c>
      <c r="I845" s="307">
        <v>91873.2</v>
      </c>
      <c r="J845" s="374">
        <v>22708.400000000001</v>
      </c>
      <c r="K845" s="374">
        <v>20868.5</v>
      </c>
      <c r="L845" s="264">
        <f>549.7+22.2</f>
        <v>571.90000000000009</v>
      </c>
      <c r="M845" s="300">
        <v>157858.6</v>
      </c>
      <c r="N845" s="307">
        <v>64973.4</v>
      </c>
      <c r="O845" s="307">
        <v>58690.6</v>
      </c>
      <c r="P845" s="307">
        <v>166478.1</v>
      </c>
      <c r="Q845" s="374">
        <v>11814.7</v>
      </c>
      <c r="R845" s="374">
        <v>34844.300000000003</v>
      </c>
      <c r="S845" s="264">
        <f>34373.2+645.9</f>
        <v>35019.1</v>
      </c>
      <c r="T845" s="319">
        <v>11746.9</v>
      </c>
      <c r="U845" s="264">
        <v>5658.3</v>
      </c>
      <c r="V845" s="70"/>
      <c r="W845" s="70"/>
      <c r="X845" s="70"/>
      <c r="Y845" s="70"/>
      <c r="Z845" s="70"/>
      <c r="AA845" s="445"/>
      <c r="AB845" s="342" t="s">
        <v>5</v>
      </c>
      <c r="AC845" s="319">
        <v>43401.8</v>
      </c>
      <c r="AD845" s="936"/>
      <c r="AE845" s="936"/>
      <c r="AF845" s="936"/>
      <c r="AG845" s="936"/>
      <c r="AH845" s="936"/>
      <c r="AI845" s="936"/>
      <c r="AJ845" s="300">
        <v>58695.3</v>
      </c>
      <c r="AK845" s="264">
        <v>4.7</v>
      </c>
      <c r="AL845" s="398">
        <v>55118.9</v>
      </c>
      <c r="AM845" s="394">
        <v>4.5</v>
      </c>
      <c r="AN845" s="779"/>
      <c r="AO845" s="779"/>
    </row>
    <row r="846" spans="1:41" s="267" customFormat="1" ht="15.75" thickBot="1" x14ac:dyDescent="0.3">
      <c r="A846" s="1059"/>
      <c r="B846" s="294" t="s">
        <v>3</v>
      </c>
      <c r="C846" s="305">
        <f t="shared" ref="C846:L846" si="292">C845/C844</f>
        <v>0.31871778957131802</v>
      </c>
      <c r="D846" s="343">
        <f t="shared" si="292"/>
        <v>0.52460623970629172</v>
      </c>
      <c r="E846" s="305">
        <f t="shared" si="292"/>
        <v>0.53444567944952281</v>
      </c>
      <c r="F846" s="371">
        <f t="shared" si="292"/>
        <v>0.79760196221073998</v>
      </c>
      <c r="G846" s="278">
        <f t="shared" si="292"/>
        <v>0.6908865632942186</v>
      </c>
      <c r="H846" s="278">
        <f t="shared" si="292"/>
        <v>0.42905211344033167</v>
      </c>
      <c r="I846" s="278">
        <f t="shared" si="292"/>
        <v>0.53736885018652547</v>
      </c>
      <c r="J846" s="315">
        <f t="shared" si="292"/>
        <v>0.13724943866403552</v>
      </c>
      <c r="K846" s="315">
        <f t="shared" si="292"/>
        <v>0.22582121724978249</v>
      </c>
      <c r="L846" s="292">
        <f t="shared" si="292"/>
        <v>2.6567069190979557E-3</v>
      </c>
      <c r="M846" s="372">
        <f>M845/M844</f>
        <v>0.81779690212512002</v>
      </c>
      <c r="N846" s="278">
        <f>N845/N844</f>
        <v>0.49172764693728815</v>
      </c>
      <c r="O846" s="315">
        <f>O845/O844</f>
        <v>0.70945258236165865</v>
      </c>
      <c r="P846" s="278">
        <f>P845/P844</f>
        <v>0.60371743032764591</v>
      </c>
      <c r="Q846" s="315">
        <f>Q845/Q844</f>
        <v>0.14281621630769306</v>
      </c>
      <c r="R846" s="315">
        <f t="shared" ref="R846:S846" si="293">R845/R844</f>
        <v>0.18437932581796324</v>
      </c>
      <c r="S846" s="292">
        <f t="shared" si="293"/>
        <v>0.16267788996430005</v>
      </c>
      <c r="T846" s="320">
        <f>T845/T844</f>
        <v>0.21299523127413827</v>
      </c>
      <c r="U846" s="292">
        <f>U845/U844</f>
        <v>0.17099469636300449</v>
      </c>
      <c r="V846" s="70"/>
      <c r="W846" s="70"/>
      <c r="X846" s="70"/>
      <c r="Y846" s="70"/>
      <c r="Z846" s="70"/>
      <c r="AA846" s="446"/>
      <c r="AB846" s="347" t="s">
        <v>3</v>
      </c>
      <c r="AC846" s="395">
        <f>AC845/AC844</f>
        <v>0.302678946274623</v>
      </c>
      <c r="AD846" s="635"/>
      <c r="AE846" s="635"/>
      <c r="AF846" s="635"/>
      <c r="AG846" s="635"/>
      <c r="AH846" s="635"/>
      <c r="AI846" s="635"/>
      <c r="AJ846" s="305">
        <f>AJ845/AJ844</f>
        <v>0.44421714648987376</v>
      </c>
      <c r="AK846" s="292">
        <f>AK845/AK844</f>
        <v>5.6493032726293656E-5</v>
      </c>
      <c r="AL846" s="399">
        <f>AL845/AL844</f>
        <v>0.41714964255495629</v>
      </c>
      <c r="AM846" s="343">
        <f>AM845/AM844</f>
        <v>5.4089073886876906E-5</v>
      </c>
      <c r="AN846" s="780"/>
      <c r="AO846" s="780"/>
    </row>
    <row r="847" spans="1:41" s="429" customFormat="1" ht="15" customHeight="1" x14ac:dyDescent="0.25">
      <c r="A847" s="1060" t="s">
        <v>6</v>
      </c>
      <c r="B847" s="418" t="s">
        <v>7</v>
      </c>
      <c r="C847" s="419">
        <v>5870</v>
      </c>
      <c r="D847" s="420">
        <v>3333</v>
      </c>
      <c r="E847" s="419">
        <v>3330</v>
      </c>
      <c r="F847" s="421">
        <v>9457</v>
      </c>
      <c r="G847" s="422">
        <v>8432</v>
      </c>
      <c r="H847" s="421">
        <v>15703</v>
      </c>
      <c r="I847" s="421">
        <v>7403</v>
      </c>
      <c r="J847" s="423">
        <v>9599</v>
      </c>
      <c r="K847" s="423">
        <v>4073</v>
      </c>
      <c r="L847" s="420">
        <v>6399</v>
      </c>
      <c r="M847" s="419">
        <v>9097</v>
      </c>
      <c r="N847" s="421">
        <v>12295</v>
      </c>
      <c r="O847" s="422">
        <v>4356</v>
      </c>
      <c r="P847" s="421">
        <v>10027</v>
      </c>
      <c r="Q847" s="423">
        <v>4799</v>
      </c>
      <c r="R847" s="423">
        <v>7192</v>
      </c>
      <c r="S847" s="420">
        <v>6399</v>
      </c>
      <c r="T847" s="424">
        <v>2000</v>
      </c>
      <c r="U847" s="420">
        <v>1250</v>
      </c>
      <c r="V847" s="425" t="s">
        <v>197</v>
      </c>
      <c r="W847" s="426"/>
      <c r="X847" s="427"/>
      <c r="Y847" s="427"/>
      <c r="Z847" s="427"/>
      <c r="AA847" s="428" t="s">
        <v>190</v>
      </c>
      <c r="AB847" s="418" t="s">
        <v>4</v>
      </c>
      <c r="AC847" s="430">
        <v>9191.7999999999993</v>
      </c>
      <c r="AD847" s="564"/>
      <c r="AE847" s="564"/>
      <c r="AF847" s="564"/>
      <c r="AG847" s="564"/>
      <c r="AH847" s="564"/>
      <c r="AI847" s="564"/>
      <c r="AJ847" s="431">
        <v>13787.7</v>
      </c>
      <c r="AK847" s="432">
        <v>8804.7999999999993</v>
      </c>
      <c r="AL847" s="433">
        <v>13787.7</v>
      </c>
      <c r="AM847" s="434">
        <v>8804.7999999999993</v>
      </c>
      <c r="AN847" s="781"/>
      <c r="AO847" s="781"/>
    </row>
    <row r="848" spans="1:41" s="267" customFormat="1" x14ac:dyDescent="0.25">
      <c r="A848" s="1061"/>
      <c r="B848" s="295" t="s">
        <v>11</v>
      </c>
      <c r="C848" s="302">
        <f t="shared" ref="C848:L848" si="294">C847*33.717</f>
        <v>197918.78999999998</v>
      </c>
      <c r="D848" s="263">
        <f t="shared" si="294"/>
        <v>112378.761</v>
      </c>
      <c r="E848" s="302">
        <f t="shared" si="294"/>
        <v>112277.61</v>
      </c>
      <c r="F848" s="355">
        <f t="shared" si="294"/>
        <v>318861.66899999999</v>
      </c>
      <c r="G848" s="308">
        <f t="shared" si="294"/>
        <v>284301.74400000001</v>
      </c>
      <c r="H848" s="354">
        <f t="shared" si="294"/>
        <v>529458.05099999998</v>
      </c>
      <c r="I848" s="354">
        <f t="shared" si="294"/>
        <v>249606.951</v>
      </c>
      <c r="J848" s="355">
        <f t="shared" si="294"/>
        <v>323649.48300000001</v>
      </c>
      <c r="K848" s="375">
        <f t="shared" si="294"/>
        <v>137329.34099999999</v>
      </c>
      <c r="L848" s="263">
        <f t="shared" si="294"/>
        <v>215755.08299999998</v>
      </c>
      <c r="M848" s="322">
        <f>M847*33.717</f>
        <v>306723.549</v>
      </c>
      <c r="N848" s="308">
        <f>N847*33.717</f>
        <v>414550.51499999996</v>
      </c>
      <c r="O848" s="308">
        <f>O847*33.717</f>
        <v>146871.25200000001</v>
      </c>
      <c r="P848" s="354">
        <f>P847*33.717</f>
        <v>338080.359</v>
      </c>
      <c r="Q848" s="355">
        <f>Q847*33.717</f>
        <v>161807.883</v>
      </c>
      <c r="R848" s="375">
        <f t="shared" ref="R848:S848" si="295">R847*33.717</f>
        <v>242492.66399999999</v>
      </c>
      <c r="S848" s="263">
        <f t="shared" si="295"/>
        <v>215755.08299999998</v>
      </c>
      <c r="T848" s="302">
        <f>T847*33.717</f>
        <v>67434</v>
      </c>
      <c r="U848" s="354">
        <f>U847*33.717</f>
        <v>42146.25</v>
      </c>
      <c r="V848" s="70"/>
      <c r="W848" s="70"/>
      <c r="X848" s="70"/>
      <c r="Y848" s="70"/>
      <c r="Z848" s="70"/>
      <c r="AA848" s="445"/>
      <c r="AB848" s="293" t="s">
        <v>5</v>
      </c>
      <c r="AC848" s="319">
        <v>8835</v>
      </c>
      <c r="AD848" s="936"/>
      <c r="AE848" s="936"/>
      <c r="AF848" s="936"/>
      <c r="AG848" s="936"/>
      <c r="AH848" s="936"/>
      <c r="AI848" s="936"/>
      <c r="AJ848" s="300">
        <v>13648.9</v>
      </c>
      <c r="AK848" s="264">
        <v>0</v>
      </c>
      <c r="AL848" s="398">
        <v>13649.5</v>
      </c>
      <c r="AM848" s="394">
        <v>30</v>
      </c>
      <c r="AN848" s="779"/>
      <c r="AO848" s="779"/>
    </row>
    <row r="849" spans="1:41" s="267" customFormat="1" ht="15.75" thickBot="1" x14ac:dyDescent="0.3">
      <c r="A849" s="1061"/>
      <c r="B849" s="295" t="s">
        <v>79</v>
      </c>
      <c r="C849" s="302">
        <v>164000</v>
      </c>
      <c r="D849" s="263">
        <v>109880</v>
      </c>
      <c r="E849" s="302">
        <v>109880</v>
      </c>
      <c r="F849" s="308">
        <v>328000</v>
      </c>
      <c r="G849" s="308">
        <v>330905</v>
      </c>
      <c r="H849" s="308">
        <v>264264</v>
      </c>
      <c r="I849" s="308">
        <v>242663.6</v>
      </c>
      <c r="J849" s="375">
        <v>328000</v>
      </c>
      <c r="K849" s="375">
        <v>328000</v>
      </c>
      <c r="L849" s="263">
        <v>328000</v>
      </c>
      <c r="M849" s="302">
        <v>328000</v>
      </c>
      <c r="N849" s="308">
        <v>264264.40000000002</v>
      </c>
      <c r="O849" s="308">
        <v>328000</v>
      </c>
      <c r="P849" s="308">
        <v>352965.4</v>
      </c>
      <c r="Q849" s="375">
        <v>328000</v>
      </c>
      <c r="R849" s="375">
        <v>328000</v>
      </c>
      <c r="S849" s="263">
        <v>328000</v>
      </c>
      <c r="T849" s="322">
        <f>2*T844</f>
        <v>110302</v>
      </c>
      <c r="U849" s="263">
        <f>2*U844</f>
        <v>66181</v>
      </c>
      <c r="V849" s="70"/>
      <c r="W849" s="70"/>
      <c r="X849" s="70"/>
      <c r="Y849" s="70"/>
      <c r="Z849" s="70"/>
      <c r="AA849" s="446"/>
      <c r="AB849" s="344" t="s">
        <v>3</v>
      </c>
      <c r="AC849" s="395">
        <f>AC848/AC847</f>
        <v>0.96118279335929857</v>
      </c>
      <c r="AD849" s="635"/>
      <c r="AE849" s="635"/>
      <c r="AF849" s="635"/>
      <c r="AG849" s="635"/>
      <c r="AH849" s="635"/>
      <c r="AI849" s="635"/>
      <c r="AJ849" s="301">
        <f>AJ848/AJ847</f>
        <v>0.98993305627479555</v>
      </c>
      <c r="AK849" s="401">
        <f>AK848/AK847</f>
        <v>0</v>
      </c>
      <c r="AL849" s="400">
        <f>AL848/AL847</f>
        <v>0.98997657332259903</v>
      </c>
      <c r="AM849" s="348">
        <f>AM848/AM847</f>
        <v>3.4072324186807199E-3</v>
      </c>
      <c r="AN849" s="780"/>
      <c r="AO849" s="780"/>
    </row>
    <row r="850" spans="1:41" s="267" customFormat="1" ht="15" customHeight="1" x14ac:dyDescent="0.25">
      <c r="A850" s="1061"/>
      <c r="B850" s="293" t="s">
        <v>8</v>
      </c>
      <c r="C850" s="303">
        <f>SUM(C847-401)</f>
        <v>5469</v>
      </c>
      <c r="D850" s="262">
        <f>SUM(D847-544)</f>
        <v>2789</v>
      </c>
      <c r="E850" s="303">
        <f>SUM(E847-510)</f>
        <v>2820</v>
      </c>
      <c r="F850" s="309">
        <f>SUM(F847-1202)</f>
        <v>8255</v>
      </c>
      <c r="G850" s="309">
        <f>SUM(G847-4537)</f>
        <v>3895</v>
      </c>
      <c r="H850" s="309">
        <f>SUM(H847-2103)</f>
        <v>13600</v>
      </c>
      <c r="I850" s="309">
        <f>SUM(I847-(3203-2000))</f>
        <v>6200</v>
      </c>
      <c r="J850" s="316">
        <f>SUM(J847-9051)</f>
        <v>548</v>
      </c>
      <c r="K850" s="316">
        <f>SUM(K847-2835)</f>
        <v>1238</v>
      </c>
      <c r="L850" s="262">
        <f>SUM(L847-6099)</f>
        <v>300</v>
      </c>
      <c r="M850" s="303">
        <f>SUM(M847-928)</f>
        <v>8169</v>
      </c>
      <c r="N850" s="309">
        <f>SUM(N847-1149)</f>
        <v>11146</v>
      </c>
      <c r="O850" s="316">
        <f>SUM(O847-314)</f>
        <v>4042</v>
      </c>
      <c r="P850" s="309">
        <f>SUM(P847-(5132-2614))</f>
        <v>7509</v>
      </c>
      <c r="Q850" s="316">
        <f>SUM(Q847-3803)</f>
        <v>996</v>
      </c>
      <c r="R850" s="316">
        <f>SUM(R847-5881)</f>
        <v>1311</v>
      </c>
      <c r="S850" s="262">
        <f>SUM(S847-3984)</f>
        <v>2415</v>
      </c>
      <c r="T850" s="323">
        <f>SUM(T847-886)</f>
        <v>1114</v>
      </c>
      <c r="U850" s="262">
        <f>SUM(U847-727)</f>
        <v>523</v>
      </c>
      <c r="V850" s="12" t="s">
        <v>176</v>
      </c>
      <c r="W850" s="70"/>
      <c r="X850" s="70"/>
      <c r="Y850" s="70"/>
      <c r="Z850" s="70"/>
      <c r="AA850" s="444" t="s">
        <v>191</v>
      </c>
      <c r="AB850" s="19" t="s">
        <v>4</v>
      </c>
      <c r="AC850" s="318">
        <v>97433.600000000006</v>
      </c>
      <c r="AD850" s="544"/>
      <c r="AE850" s="544"/>
      <c r="AF850" s="544"/>
      <c r="AG850" s="544"/>
      <c r="AH850" s="544"/>
      <c r="AI850" s="544"/>
      <c r="AJ850" s="299">
        <v>243584.4</v>
      </c>
      <c r="AK850" s="265">
        <v>132070.29999999999</v>
      </c>
      <c r="AL850" s="397">
        <v>292299.3</v>
      </c>
      <c r="AM850" s="393">
        <v>132070.39999999999</v>
      </c>
      <c r="AN850" s="778"/>
      <c r="AO850" s="778"/>
    </row>
    <row r="851" spans="1:41" s="267" customFormat="1" x14ac:dyDescent="0.25">
      <c r="A851" s="1061"/>
      <c r="B851" s="296" t="s">
        <v>77</v>
      </c>
      <c r="C851" s="302">
        <f>(C850*33.717)</f>
        <v>184398.27299999999</v>
      </c>
      <c r="D851" s="338">
        <f>(D850*33.717)</f>
        <v>94036.713000000003</v>
      </c>
      <c r="E851" s="302">
        <f>(E850*33.717)</f>
        <v>95081.94</v>
      </c>
      <c r="F851" s="338">
        <f>(F850*33.717)</f>
        <v>278333.83499999996</v>
      </c>
      <c r="G851" s="280">
        <f>(G850*33.717)*2</f>
        <v>262655.43</v>
      </c>
      <c r="H851" s="280">
        <f>(H850*33.717)</f>
        <v>458551.2</v>
      </c>
      <c r="I851" s="280">
        <f>(I850*33.717)-(2000*33.717)</f>
        <v>141611.4</v>
      </c>
      <c r="J851" s="376">
        <f>J850*33.717</f>
        <v>18476.916000000001</v>
      </c>
      <c r="K851" s="376">
        <f>K850*33.717</f>
        <v>41741.646000000001</v>
      </c>
      <c r="L851" s="261">
        <f>L850*33.717</f>
        <v>10115.1</v>
      </c>
      <c r="M851" s="304">
        <f>M850*33.717</f>
        <v>275434.17300000001</v>
      </c>
      <c r="N851" s="280">
        <f>N850*33.717</f>
        <v>375809.68199999997</v>
      </c>
      <c r="O851" s="280">
        <f>(O850*33.717)</f>
        <v>136284.114</v>
      </c>
      <c r="P851" s="280">
        <f t="shared" ref="P851:U851" si="296">P850*33.717</f>
        <v>253180.95299999998</v>
      </c>
      <c r="Q851" s="376">
        <f t="shared" si="296"/>
        <v>33582.131999999998</v>
      </c>
      <c r="R851" s="376">
        <f t="shared" si="296"/>
        <v>44202.987000000001</v>
      </c>
      <c r="S851" s="261">
        <f t="shared" si="296"/>
        <v>81426.554999999993</v>
      </c>
      <c r="T851" s="324">
        <f t="shared" si="296"/>
        <v>37560.737999999998</v>
      </c>
      <c r="U851" s="325">
        <f t="shared" si="296"/>
        <v>17633.990999999998</v>
      </c>
      <c r="V851" s="63">
        <f>344240-H851</f>
        <v>-114311.20000000001</v>
      </c>
      <c r="W851" s="70" t="s">
        <v>177</v>
      </c>
      <c r="X851" s="70"/>
      <c r="Y851" s="70"/>
      <c r="Z851" s="70"/>
      <c r="AA851" s="445"/>
      <c r="AB851" s="293" t="s">
        <v>5</v>
      </c>
      <c r="AC851" s="319">
        <v>38973.199999999997</v>
      </c>
      <c r="AD851" s="936"/>
      <c r="AE851" s="936"/>
      <c r="AF851" s="936"/>
      <c r="AG851" s="936"/>
      <c r="AH851" s="936"/>
      <c r="AI851" s="936"/>
      <c r="AJ851" s="300">
        <v>95895.7</v>
      </c>
      <c r="AK851" s="264">
        <v>0.1</v>
      </c>
      <c r="AL851" s="398">
        <v>93978.8</v>
      </c>
      <c r="AM851" s="394">
        <v>1</v>
      </c>
      <c r="AN851" s="779"/>
      <c r="AO851" s="779"/>
    </row>
    <row r="852" spans="1:41" s="267" customFormat="1" ht="15.75" thickBot="1" x14ac:dyDescent="0.3">
      <c r="A852" s="1062"/>
      <c r="B852" s="294" t="s">
        <v>10</v>
      </c>
      <c r="C852" s="305">
        <f>C851/C844</f>
        <v>1.2859642590642499</v>
      </c>
      <c r="D852" s="292">
        <f t="shared" ref="D852:U852" si="297">D851/D844</f>
        <v>0.62475933235315417</v>
      </c>
      <c r="E852" s="310">
        <f t="shared" si="297"/>
        <v>0.63170359169447643</v>
      </c>
      <c r="F852" s="282">
        <f t="shared" si="297"/>
        <v>1.5293168691222139</v>
      </c>
      <c r="G852" s="282">
        <f t="shared" si="297"/>
        <v>1.5874879044565391</v>
      </c>
      <c r="H852" s="282">
        <f t="shared" si="297"/>
        <v>3.4703786869129494</v>
      </c>
      <c r="I852" s="282">
        <f t="shared" si="297"/>
        <v>0.82828893726684305</v>
      </c>
      <c r="J852" s="377">
        <f t="shared" si="297"/>
        <v>0.11167437376664743</v>
      </c>
      <c r="K852" s="377">
        <f t="shared" si="297"/>
        <v>0.45169270957325702</v>
      </c>
      <c r="L852" s="311">
        <f t="shared" si="297"/>
        <v>4.6988732571022429E-2</v>
      </c>
      <c r="M852" s="310">
        <f t="shared" si="297"/>
        <v>1.4269049226256558</v>
      </c>
      <c r="N852" s="282">
        <f t="shared" si="297"/>
        <v>2.8441794738479214</v>
      </c>
      <c r="O852" s="282">
        <f t="shared" si="297"/>
        <v>1.6474037854813324</v>
      </c>
      <c r="P852" s="260">
        <f t="shared" si="297"/>
        <v>0.9181373066671501</v>
      </c>
      <c r="Q852" s="377">
        <f t="shared" si="297"/>
        <v>0.40594116040064498</v>
      </c>
      <c r="R852" s="377">
        <f t="shared" si="297"/>
        <v>0.23390100941043995</v>
      </c>
      <c r="S852" s="311">
        <f t="shared" si="297"/>
        <v>0.37825929719673052</v>
      </c>
      <c r="T852" s="305">
        <f t="shared" si="297"/>
        <v>0.68105270983300392</v>
      </c>
      <c r="U852" s="292">
        <f t="shared" si="297"/>
        <v>0.53290192049077523</v>
      </c>
      <c r="V852" s="126"/>
      <c r="W852" s="70"/>
      <c r="X852" s="70"/>
      <c r="Y852" s="70"/>
      <c r="Z852" s="70"/>
      <c r="AA852" s="446"/>
      <c r="AB852" s="294" t="s">
        <v>3</v>
      </c>
      <c r="AC852" s="320">
        <f>AC851/AC850</f>
        <v>0.39999753678402516</v>
      </c>
      <c r="AD852" s="545"/>
      <c r="AE852" s="545"/>
      <c r="AF852" s="545"/>
      <c r="AG852" s="545"/>
      <c r="AH852" s="545"/>
      <c r="AI852" s="545"/>
      <c r="AJ852" s="305">
        <f>AJ851/AJ850</f>
        <v>0.39368572043201455</v>
      </c>
      <c r="AK852" s="292">
        <f>AK851/AK850</f>
        <v>7.5717250585483648E-7</v>
      </c>
      <c r="AL852" s="399">
        <f>AL851/AL850</f>
        <v>0.32151565193621745</v>
      </c>
      <c r="AM852" s="343">
        <f>AM851/AM850</f>
        <v>7.5717193254506694E-6</v>
      </c>
      <c r="AN852" s="780"/>
      <c r="AO852" s="780"/>
    </row>
    <row r="853" spans="1:41" s="267" customFormat="1" ht="15.75" thickBot="1" x14ac:dyDescent="0.3">
      <c r="A853" s="1048">
        <v>41478</v>
      </c>
      <c r="B853" s="1048"/>
      <c r="C853" s="1048"/>
      <c r="D853" s="276"/>
      <c r="E853" s="276"/>
      <c r="F853" s="276"/>
      <c r="G853" s="276"/>
      <c r="H853" s="276"/>
      <c r="I853" s="11"/>
      <c r="J853" s="281"/>
      <c r="K853" s="281"/>
      <c r="L853" s="276"/>
      <c r="M853" s="276"/>
      <c r="N853" s="13"/>
      <c r="R853" s="12"/>
      <c r="S853" s="70"/>
      <c r="T853" s="70"/>
      <c r="U853" s="70"/>
      <c r="V853" s="70"/>
      <c r="W853" s="70"/>
      <c r="X853" s="70"/>
      <c r="Y853" s="70"/>
      <c r="Z853" s="70"/>
      <c r="AA853" s="1063"/>
      <c r="AB853" s="1064"/>
      <c r="AD853" s="743"/>
      <c r="AE853" s="743"/>
      <c r="AF853" s="743"/>
      <c r="AG853" s="743"/>
      <c r="AH853" s="743"/>
      <c r="AI853" s="743"/>
      <c r="AN853" s="743"/>
      <c r="AO853" s="743"/>
    </row>
    <row r="854" spans="1:41" s="267" customFormat="1" x14ac:dyDescent="0.25">
      <c r="A854" s="1049" t="s">
        <v>1</v>
      </c>
      <c r="B854" s="1050"/>
      <c r="C854" s="297" t="s">
        <v>12</v>
      </c>
      <c r="D854" s="266" t="s">
        <v>12</v>
      </c>
      <c r="E854" s="297" t="s">
        <v>13</v>
      </c>
      <c r="F854" s="277" t="s">
        <v>13</v>
      </c>
      <c r="G854" s="277" t="s">
        <v>13</v>
      </c>
      <c r="H854" s="277" t="s">
        <v>13</v>
      </c>
      <c r="I854" s="277" t="s">
        <v>13</v>
      </c>
      <c r="J854" s="286" t="s">
        <v>13</v>
      </c>
      <c r="K854" s="286" t="s">
        <v>13</v>
      </c>
      <c r="L854" s="266" t="s">
        <v>13</v>
      </c>
      <c r="M854" s="297" t="s">
        <v>2</v>
      </c>
      <c r="N854" s="277" t="s">
        <v>2</v>
      </c>
      <c r="O854" s="286" t="s">
        <v>2</v>
      </c>
      <c r="P854" s="277" t="s">
        <v>2</v>
      </c>
      <c r="Q854" s="286" t="s">
        <v>2</v>
      </c>
      <c r="R854" s="286" t="s">
        <v>2</v>
      </c>
      <c r="S854" s="266" t="s">
        <v>2</v>
      </c>
      <c r="T854" s="328" t="s">
        <v>183</v>
      </c>
      <c r="U854" s="327" t="s">
        <v>183</v>
      </c>
      <c r="V854" s="12"/>
      <c r="W854" s="70"/>
      <c r="X854" s="70"/>
      <c r="Y854" s="70"/>
      <c r="Z854" s="70"/>
      <c r="AA854" s="1049" t="s">
        <v>1</v>
      </c>
      <c r="AB854" s="1051"/>
      <c r="AC854" s="438" t="s">
        <v>12</v>
      </c>
      <c r="AD854" s="912"/>
      <c r="AE854" s="912"/>
      <c r="AF854" s="912"/>
      <c r="AG854" s="912"/>
      <c r="AH854" s="912"/>
      <c r="AI854" s="912"/>
      <c r="AJ854" s="1052" t="s">
        <v>13</v>
      </c>
      <c r="AK854" s="1053"/>
      <c r="AL854" s="1052" t="s">
        <v>2</v>
      </c>
      <c r="AM854" s="1053"/>
      <c r="AN854" s="776"/>
      <c r="AO854" s="776"/>
    </row>
    <row r="855" spans="1:41" s="267" customFormat="1" ht="15.75" thickBot="1" x14ac:dyDescent="0.3">
      <c r="A855" s="1054" t="s">
        <v>0</v>
      </c>
      <c r="B855" s="1066"/>
      <c r="C855" s="298" t="s">
        <v>99</v>
      </c>
      <c r="D855" s="291" t="s">
        <v>100</v>
      </c>
      <c r="E855" s="298" t="s">
        <v>101</v>
      </c>
      <c r="F855" s="306" t="s">
        <v>102</v>
      </c>
      <c r="G855" s="306" t="s">
        <v>97</v>
      </c>
      <c r="H855" s="306" t="s">
        <v>104</v>
      </c>
      <c r="I855" s="306" t="s">
        <v>103</v>
      </c>
      <c r="J855" s="378" t="s">
        <v>178</v>
      </c>
      <c r="K855" s="378" t="s">
        <v>199</v>
      </c>
      <c r="L855" s="314" t="s">
        <v>206</v>
      </c>
      <c r="M855" s="298" t="s">
        <v>105</v>
      </c>
      <c r="N855" s="306" t="s">
        <v>107</v>
      </c>
      <c r="O855" s="312" t="s">
        <v>98</v>
      </c>
      <c r="P855" s="313" t="s">
        <v>106</v>
      </c>
      <c r="Q855" s="312" t="s">
        <v>179</v>
      </c>
      <c r="R855" s="312" t="s">
        <v>198</v>
      </c>
      <c r="S855" s="291" t="s">
        <v>207</v>
      </c>
      <c r="T855" s="317" t="s">
        <v>182</v>
      </c>
      <c r="U855" s="291" t="s">
        <v>184</v>
      </c>
      <c r="V855" s="12"/>
      <c r="W855" s="12"/>
      <c r="X855" s="12"/>
      <c r="Y855" s="12"/>
      <c r="Z855" s="12"/>
      <c r="AA855" s="1054" t="s">
        <v>0</v>
      </c>
      <c r="AB855" s="1067"/>
      <c r="AC855" s="317" t="s">
        <v>99</v>
      </c>
      <c r="AD855" s="621"/>
      <c r="AE855" s="621"/>
      <c r="AF855" s="621"/>
      <c r="AG855" s="621"/>
      <c r="AH855" s="621"/>
      <c r="AI855" s="621"/>
      <c r="AJ855" s="298" t="s">
        <v>104</v>
      </c>
      <c r="AK855" s="291" t="s">
        <v>206</v>
      </c>
      <c r="AL855" s="396" t="s">
        <v>107</v>
      </c>
      <c r="AM855" s="392" t="s">
        <v>207</v>
      </c>
      <c r="AN855" s="777"/>
      <c r="AO855" s="777"/>
    </row>
    <row r="856" spans="1:41" s="267" customFormat="1" ht="15" customHeight="1" x14ac:dyDescent="0.25">
      <c r="A856" s="1057" t="s">
        <v>9</v>
      </c>
      <c r="B856" s="19" t="s">
        <v>4</v>
      </c>
      <c r="C856" s="299">
        <v>143393</v>
      </c>
      <c r="D856" s="265">
        <v>150516.70000000001</v>
      </c>
      <c r="E856" s="299">
        <v>150516.70000000001</v>
      </c>
      <c r="F856" s="283">
        <v>181998.8</v>
      </c>
      <c r="G856" s="283">
        <v>165453.5</v>
      </c>
      <c r="H856" s="283">
        <v>132132.9</v>
      </c>
      <c r="I856" s="283">
        <v>170968.6</v>
      </c>
      <c r="J856" s="223">
        <v>165453.5</v>
      </c>
      <c r="K856" s="223">
        <v>92411.6</v>
      </c>
      <c r="L856" s="265">
        <f>83196.1+132070.4</f>
        <v>215266.5</v>
      </c>
      <c r="M856" s="299">
        <v>193029.1</v>
      </c>
      <c r="N856" s="283">
        <v>132132.9</v>
      </c>
      <c r="O856" s="283">
        <v>82726.600000000006</v>
      </c>
      <c r="P856" s="283">
        <v>275755</v>
      </c>
      <c r="Q856" s="223">
        <v>82726.600000000006</v>
      </c>
      <c r="R856" s="223">
        <v>188981.6</v>
      </c>
      <c r="S856" s="265">
        <f>83196.1+132070.4</f>
        <v>215266.5</v>
      </c>
      <c r="T856" s="318">
        <v>55151</v>
      </c>
      <c r="U856" s="265">
        <v>33090.5</v>
      </c>
      <c r="V856" s="70"/>
      <c r="W856" s="70"/>
      <c r="X856" s="70"/>
      <c r="Y856" s="70"/>
      <c r="Z856" s="70"/>
      <c r="AA856" s="435" t="s">
        <v>194</v>
      </c>
      <c r="AB856" s="2" t="s">
        <v>4</v>
      </c>
      <c r="AC856" s="318">
        <v>143392.20000000001</v>
      </c>
      <c r="AD856" s="544"/>
      <c r="AE856" s="544"/>
      <c r="AF856" s="544"/>
      <c r="AG856" s="544"/>
      <c r="AH856" s="544"/>
      <c r="AI856" s="544"/>
      <c r="AJ856" s="299">
        <v>132132</v>
      </c>
      <c r="AK856" s="265">
        <v>83196.100000000006</v>
      </c>
      <c r="AL856" s="397">
        <v>132132.20000000001</v>
      </c>
      <c r="AM856" s="393">
        <v>83196.100000000006</v>
      </c>
      <c r="AN856" s="778"/>
      <c r="AO856" s="778"/>
    </row>
    <row r="857" spans="1:41" s="267" customFormat="1" x14ac:dyDescent="0.25">
      <c r="A857" s="1058"/>
      <c r="B857" s="293" t="s">
        <v>5</v>
      </c>
      <c r="C857" s="300">
        <v>45451.6</v>
      </c>
      <c r="D857" s="264">
        <v>78906.7</v>
      </c>
      <c r="E857" s="300">
        <v>80388.3</v>
      </c>
      <c r="F857" s="307">
        <v>145061.70000000001</v>
      </c>
      <c r="G857" s="307">
        <v>113435.7</v>
      </c>
      <c r="H857" s="307">
        <v>59418.1</v>
      </c>
      <c r="I857" s="307">
        <v>91117.9</v>
      </c>
      <c r="J857" s="374">
        <v>22685.599999999999</v>
      </c>
      <c r="K857" s="374">
        <v>19444.5</v>
      </c>
      <c r="L857" s="264">
        <f>364.4+13.9</f>
        <v>378.29999999999995</v>
      </c>
      <c r="M857" s="300">
        <v>157667.9</v>
      </c>
      <c r="N857" s="307">
        <v>55967.199999999997</v>
      </c>
      <c r="O857" s="307">
        <v>58245.1</v>
      </c>
      <c r="P857" s="307">
        <v>164960</v>
      </c>
      <c r="Q857" s="374">
        <v>11802.5</v>
      </c>
      <c r="R857" s="374">
        <v>31923.4</v>
      </c>
      <c r="S857" s="264">
        <f>30714.9+625</f>
        <v>31339.9</v>
      </c>
      <c r="T857" s="319">
        <v>11646.6</v>
      </c>
      <c r="U857" s="264">
        <v>5592.8</v>
      </c>
      <c r="V857" s="70"/>
      <c r="W857" s="70"/>
      <c r="X857" s="70"/>
      <c r="Y857" s="70"/>
      <c r="Z857" s="70"/>
      <c r="AA857" s="436"/>
      <c r="AB857" s="342" t="s">
        <v>5</v>
      </c>
      <c r="AC857" s="319">
        <v>43401.8</v>
      </c>
      <c r="AD857" s="936"/>
      <c r="AE857" s="936"/>
      <c r="AF857" s="936"/>
      <c r="AG857" s="936"/>
      <c r="AH857" s="936"/>
      <c r="AI857" s="936"/>
      <c r="AJ857" s="300">
        <v>58695.3</v>
      </c>
      <c r="AK857" s="264">
        <v>4.7</v>
      </c>
      <c r="AL857" s="398">
        <v>55118.9</v>
      </c>
      <c r="AM857" s="394">
        <v>4.5</v>
      </c>
      <c r="AN857" s="779"/>
      <c r="AO857" s="779"/>
    </row>
    <row r="858" spans="1:41" s="267" customFormat="1" ht="15.75" thickBot="1" x14ac:dyDescent="0.3">
      <c r="A858" s="1059"/>
      <c r="B858" s="294" t="s">
        <v>3</v>
      </c>
      <c r="C858" s="305">
        <f t="shared" ref="C858:L858" si="298">C857/C856</f>
        <v>0.31697223713849348</v>
      </c>
      <c r="D858" s="343">
        <f t="shared" si="298"/>
        <v>0.52423883861392118</v>
      </c>
      <c r="E858" s="305">
        <f t="shared" si="298"/>
        <v>0.53408226462578567</v>
      </c>
      <c r="F858" s="371">
        <f t="shared" si="298"/>
        <v>0.79704756295096457</v>
      </c>
      <c r="G858" s="278">
        <f t="shared" si="298"/>
        <v>0.68560471673310019</v>
      </c>
      <c r="H858" s="278">
        <f t="shared" si="298"/>
        <v>0.44968437081150875</v>
      </c>
      <c r="I858" s="278">
        <f t="shared" si="298"/>
        <v>0.53295107990590085</v>
      </c>
      <c r="J858" s="315">
        <f t="shared" si="298"/>
        <v>0.13711163559549963</v>
      </c>
      <c r="K858" s="315">
        <f t="shared" si="298"/>
        <v>0.21041189634201765</v>
      </c>
      <c r="L858" s="292">
        <f t="shared" si="298"/>
        <v>1.7573565789381997E-3</v>
      </c>
      <c r="M858" s="372">
        <f>M857/M856</f>
        <v>0.81680896818148141</v>
      </c>
      <c r="N858" s="278">
        <f>N857/N856</f>
        <v>0.4235674839498717</v>
      </c>
      <c r="O858" s="315">
        <f>O857/O856</f>
        <v>0.70406737373468742</v>
      </c>
      <c r="P858" s="278">
        <f>P857/P856</f>
        <v>0.59821218110279051</v>
      </c>
      <c r="Q858" s="315">
        <f>Q857/Q856</f>
        <v>0.14266874258098361</v>
      </c>
      <c r="R858" s="315">
        <f t="shared" ref="R858:S858" si="299">R857/R856</f>
        <v>0.16892332375215366</v>
      </c>
      <c r="S858" s="292">
        <f t="shared" si="299"/>
        <v>0.14558651717754506</v>
      </c>
      <c r="T858" s="320">
        <f>T857/T856</f>
        <v>0.21117658791318381</v>
      </c>
      <c r="U858" s="292">
        <f>U857/U856</f>
        <v>0.16901527628775631</v>
      </c>
      <c r="V858" s="70"/>
      <c r="W858" s="70"/>
      <c r="X858" s="70"/>
      <c r="Y858" s="70"/>
      <c r="Z858" s="70"/>
      <c r="AA858" s="437"/>
      <c r="AB858" s="347" t="s">
        <v>3</v>
      </c>
      <c r="AC858" s="395">
        <f>AC857/AC856</f>
        <v>0.302678946274623</v>
      </c>
      <c r="AD858" s="635"/>
      <c r="AE858" s="635"/>
      <c r="AF858" s="635"/>
      <c r="AG858" s="635"/>
      <c r="AH858" s="635"/>
      <c r="AI858" s="635"/>
      <c r="AJ858" s="305">
        <f>AJ857/AJ856</f>
        <v>0.44421714648987376</v>
      </c>
      <c r="AK858" s="292">
        <f>AK857/AK856</f>
        <v>5.6493032726293656E-5</v>
      </c>
      <c r="AL858" s="399">
        <f>AL857/AL856</f>
        <v>0.41714964255495629</v>
      </c>
      <c r="AM858" s="343">
        <f>AM857/AM856</f>
        <v>5.4089073886876906E-5</v>
      </c>
      <c r="AN858" s="780"/>
      <c r="AO858" s="780"/>
    </row>
    <row r="859" spans="1:41" s="429" customFormat="1" ht="15" customHeight="1" x14ac:dyDescent="0.25">
      <c r="A859" s="1060" t="s">
        <v>6</v>
      </c>
      <c r="B859" s="418" t="s">
        <v>7</v>
      </c>
      <c r="C859" s="419">
        <v>5870</v>
      </c>
      <c r="D859" s="420">
        <v>3333</v>
      </c>
      <c r="E859" s="419">
        <v>3330</v>
      </c>
      <c r="F859" s="421">
        <v>9457</v>
      </c>
      <c r="G859" s="422">
        <v>8432</v>
      </c>
      <c r="H859" s="421">
        <v>15703</v>
      </c>
      <c r="I859" s="421">
        <v>7403</v>
      </c>
      <c r="J859" s="423">
        <v>9599</v>
      </c>
      <c r="K859" s="423">
        <v>4073</v>
      </c>
      <c r="L859" s="420">
        <v>6399</v>
      </c>
      <c r="M859" s="419">
        <v>9097</v>
      </c>
      <c r="N859" s="421">
        <v>12295</v>
      </c>
      <c r="O859" s="422">
        <v>4356</v>
      </c>
      <c r="P859" s="421">
        <v>10027</v>
      </c>
      <c r="Q859" s="423">
        <v>4799</v>
      </c>
      <c r="R859" s="423">
        <v>7192</v>
      </c>
      <c r="S859" s="420">
        <v>6399</v>
      </c>
      <c r="T859" s="424">
        <v>2000</v>
      </c>
      <c r="U859" s="420">
        <v>1250</v>
      </c>
      <c r="V859" s="425" t="s">
        <v>197</v>
      </c>
      <c r="W859" s="426"/>
      <c r="X859" s="427"/>
      <c r="Y859" s="427"/>
      <c r="Z859" s="427"/>
      <c r="AA859" s="428" t="s">
        <v>190</v>
      </c>
      <c r="AB859" s="418" t="s">
        <v>4</v>
      </c>
      <c r="AC859" s="430">
        <v>9191.7999999999993</v>
      </c>
      <c r="AD859" s="564"/>
      <c r="AE859" s="564"/>
      <c r="AF859" s="564"/>
      <c r="AG859" s="564"/>
      <c r="AH859" s="564"/>
      <c r="AI859" s="564"/>
      <c r="AJ859" s="431">
        <v>13787.7</v>
      </c>
      <c r="AK859" s="432">
        <v>8804.7999999999993</v>
      </c>
      <c r="AL859" s="433">
        <v>13787.7</v>
      </c>
      <c r="AM859" s="434">
        <v>8804.7999999999993</v>
      </c>
      <c r="AN859" s="781"/>
      <c r="AO859" s="781"/>
    </row>
    <row r="860" spans="1:41" s="267" customFormat="1" x14ac:dyDescent="0.25">
      <c r="A860" s="1061"/>
      <c r="B860" s="295" t="s">
        <v>11</v>
      </c>
      <c r="C860" s="302">
        <f t="shared" ref="C860:L860" si="300">C859*33.717</f>
        <v>197918.78999999998</v>
      </c>
      <c r="D860" s="263">
        <f t="shared" si="300"/>
        <v>112378.761</v>
      </c>
      <c r="E860" s="302">
        <f t="shared" si="300"/>
        <v>112277.61</v>
      </c>
      <c r="F860" s="355">
        <f t="shared" si="300"/>
        <v>318861.66899999999</v>
      </c>
      <c r="G860" s="308">
        <f t="shared" si="300"/>
        <v>284301.74400000001</v>
      </c>
      <c r="H860" s="354">
        <f t="shared" si="300"/>
        <v>529458.05099999998</v>
      </c>
      <c r="I860" s="354">
        <f t="shared" si="300"/>
        <v>249606.951</v>
      </c>
      <c r="J860" s="355">
        <f t="shared" si="300"/>
        <v>323649.48300000001</v>
      </c>
      <c r="K860" s="375">
        <f t="shared" si="300"/>
        <v>137329.34099999999</v>
      </c>
      <c r="L860" s="263">
        <f t="shared" si="300"/>
        <v>215755.08299999998</v>
      </c>
      <c r="M860" s="322">
        <f>M859*33.717</f>
        <v>306723.549</v>
      </c>
      <c r="N860" s="308">
        <f>N859*33.717</f>
        <v>414550.51499999996</v>
      </c>
      <c r="O860" s="308">
        <f>O859*33.717</f>
        <v>146871.25200000001</v>
      </c>
      <c r="P860" s="354">
        <f>P859*33.717</f>
        <v>338080.359</v>
      </c>
      <c r="Q860" s="355">
        <f>Q859*33.717</f>
        <v>161807.883</v>
      </c>
      <c r="R860" s="375">
        <f t="shared" ref="R860:S860" si="301">R859*33.717</f>
        <v>242492.66399999999</v>
      </c>
      <c r="S860" s="263">
        <f t="shared" si="301"/>
        <v>215755.08299999998</v>
      </c>
      <c r="T860" s="302">
        <f>T859*33.717</f>
        <v>67434</v>
      </c>
      <c r="U860" s="354">
        <f>U859*33.717</f>
        <v>42146.25</v>
      </c>
      <c r="V860" s="70"/>
      <c r="W860" s="70"/>
      <c r="X860" s="70"/>
      <c r="Y860" s="70"/>
      <c r="Z860" s="70"/>
      <c r="AA860" s="436"/>
      <c r="AB860" s="293" t="s">
        <v>5</v>
      </c>
      <c r="AC860" s="319">
        <v>8835</v>
      </c>
      <c r="AD860" s="936"/>
      <c r="AE860" s="936"/>
      <c r="AF860" s="936"/>
      <c r="AG860" s="936"/>
      <c r="AH860" s="936"/>
      <c r="AI860" s="936"/>
      <c r="AJ860" s="300">
        <v>13648.9</v>
      </c>
      <c r="AK860" s="264">
        <v>0</v>
      </c>
      <c r="AL860" s="398">
        <v>13649.5</v>
      </c>
      <c r="AM860" s="394">
        <v>30</v>
      </c>
      <c r="AN860" s="779"/>
      <c r="AO860" s="779"/>
    </row>
    <row r="861" spans="1:41" s="267" customFormat="1" ht="15.75" thickBot="1" x14ac:dyDescent="0.3">
      <c r="A861" s="1061"/>
      <c r="B861" s="295" t="s">
        <v>79</v>
      </c>
      <c r="C861" s="302">
        <v>164000</v>
      </c>
      <c r="D861" s="263">
        <v>109880</v>
      </c>
      <c r="E861" s="302">
        <v>109880</v>
      </c>
      <c r="F861" s="308">
        <v>328000</v>
      </c>
      <c r="G861" s="308">
        <v>330905</v>
      </c>
      <c r="H861" s="308">
        <v>264264</v>
      </c>
      <c r="I861" s="308">
        <v>242663.6</v>
      </c>
      <c r="J861" s="375">
        <v>328000</v>
      </c>
      <c r="K861" s="375">
        <v>328000</v>
      </c>
      <c r="L861" s="263">
        <v>328000</v>
      </c>
      <c r="M861" s="302">
        <v>328000</v>
      </c>
      <c r="N861" s="308">
        <v>264264.40000000002</v>
      </c>
      <c r="O861" s="308">
        <v>328000</v>
      </c>
      <c r="P861" s="308">
        <v>352965.4</v>
      </c>
      <c r="Q861" s="375">
        <v>328000</v>
      </c>
      <c r="R861" s="375">
        <v>328000</v>
      </c>
      <c r="S861" s="263">
        <v>328000</v>
      </c>
      <c r="T861" s="322">
        <f>2*T856</f>
        <v>110302</v>
      </c>
      <c r="U861" s="263">
        <f>2*U856</f>
        <v>66181</v>
      </c>
      <c r="V861" s="70"/>
      <c r="W861" s="70"/>
      <c r="X861" s="70"/>
      <c r="Y861" s="70"/>
      <c r="Z861" s="70"/>
      <c r="AA861" s="437"/>
      <c r="AB861" s="344" t="s">
        <v>3</v>
      </c>
      <c r="AC861" s="395">
        <f>AC860/AC859</f>
        <v>0.96118279335929857</v>
      </c>
      <c r="AD861" s="635"/>
      <c r="AE861" s="635"/>
      <c r="AF861" s="635"/>
      <c r="AG861" s="635"/>
      <c r="AH861" s="635"/>
      <c r="AI861" s="635"/>
      <c r="AJ861" s="301">
        <f>AJ860/AJ859</f>
        <v>0.98993305627479555</v>
      </c>
      <c r="AK861" s="401">
        <f>AK860/AK859</f>
        <v>0</v>
      </c>
      <c r="AL861" s="400">
        <f>AL860/AL859</f>
        <v>0.98997657332259903</v>
      </c>
      <c r="AM861" s="348">
        <f>AM860/AM859</f>
        <v>3.4072324186807199E-3</v>
      </c>
      <c r="AN861" s="780"/>
      <c r="AO861" s="780"/>
    </row>
    <row r="862" spans="1:41" s="267" customFormat="1" ht="15" customHeight="1" x14ac:dyDescent="0.25">
      <c r="A862" s="1061"/>
      <c r="B862" s="293" t="s">
        <v>8</v>
      </c>
      <c r="C862" s="303">
        <f>SUM(C859-401)</f>
        <v>5469</v>
      </c>
      <c r="D862" s="262">
        <f>SUM(D859-551)</f>
        <v>2782</v>
      </c>
      <c r="E862" s="303">
        <f>SUM(E859-517)</f>
        <v>2813</v>
      </c>
      <c r="F862" s="309">
        <f>SUM(F859-1202)</f>
        <v>8255</v>
      </c>
      <c r="G862" s="309">
        <f>SUM(G859-4537)</f>
        <v>3895</v>
      </c>
      <c r="H862" s="309">
        <f>SUM(H859-2103)</f>
        <v>13600</v>
      </c>
      <c r="I862" s="309">
        <f>SUM(I859-(3203-2000))</f>
        <v>6200</v>
      </c>
      <c r="J862" s="316">
        <f>SUM(J859-9051)</f>
        <v>548</v>
      </c>
      <c r="K862" s="316">
        <f>SUM(K859-3088)</f>
        <v>985</v>
      </c>
      <c r="L862" s="262">
        <f>SUM(L859-6099)</f>
        <v>300</v>
      </c>
      <c r="M862" s="303">
        <f>SUM(M859-933)</f>
        <v>8164</v>
      </c>
      <c r="N862" s="309">
        <f>SUM(N859-1149)</f>
        <v>11146</v>
      </c>
      <c r="O862" s="316">
        <f>SUM(O859-314)</f>
        <v>4042</v>
      </c>
      <c r="P862" s="309">
        <f>SUM(P859-(5132-2614))</f>
        <v>7509</v>
      </c>
      <c r="Q862" s="316">
        <f>SUM(Q859-3803)</f>
        <v>996</v>
      </c>
      <c r="R862" s="316">
        <f>SUM(R859-6080)</f>
        <v>1112</v>
      </c>
      <c r="S862" s="262">
        <f>SUM(S859-3984)</f>
        <v>2415</v>
      </c>
      <c r="T862" s="323">
        <f>SUM(T859-887)</f>
        <v>1113</v>
      </c>
      <c r="U862" s="262">
        <f>SUM(U859-727)</f>
        <v>523</v>
      </c>
      <c r="V862" s="12" t="s">
        <v>176</v>
      </c>
      <c r="W862" s="70"/>
      <c r="X862" s="70"/>
      <c r="Y862" s="70"/>
      <c r="Z862" s="70"/>
      <c r="AA862" s="435" t="s">
        <v>191</v>
      </c>
      <c r="AB862" s="19" t="s">
        <v>4</v>
      </c>
      <c r="AC862" s="318">
        <v>97433.600000000006</v>
      </c>
      <c r="AD862" s="544"/>
      <c r="AE862" s="544"/>
      <c r="AF862" s="544"/>
      <c r="AG862" s="544"/>
      <c r="AH862" s="544"/>
      <c r="AI862" s="544"/>
      <c r="AJ862" s="299">
        <v>243584.4</v>
      </c>
      <c r="AK862" s="265">
        <v>132070.29999999999</v>
      </c>
      <c r="AL862" s="397">
        <v>292299.3</v>
      </c>
      <c r="AM862" s="393">
        <v>132070.39999999999</v>
      </c>
      <c r="AN862" s="778"/>
      <c r="AO862" s="778"/>
    </row>
    <row r="863" spans="1:41" s="267" customFormat="1" x14ac:dyDescent="0.25">
      <c r="A863" s="1061"/>
      <c r="B863" s="296" t="s">
        <v>77</v>
      </c>
      <c r="C863" s="302">
        <f>(C862*33.717)</f>
        <v>184398.27299999999</v>
      </c>
      <c r="D863" s="338">
        <f>(D862*33.717)</f>
        <v>93800.694000000003</v>
      </c>
      <c r="E863" s="302">
        <f>(E862*33.717)</f>
        <v>94845.921000000002</v>
      </c>
      <c r="F863" s="338">
        <f>(F862*33.717)</f>
        <v>278333.83499999996</v>
      </c>
      <c r="G863" s="280">
        <f>(G862*33.717)*2</f>
        <v>262655.43</v>
      </c>
      <c r="H863" s="280">
        <f>(H862*33.717)</f>
        <v>458551.2</v>
      </c>
      <c r="I863" s="280">
        <f>(I862*33.717)-(2000*33.717)</f>
        <v>141611.4</v>
      </c>
      <c r="J863" s="376">
        <f>J862*33.717</f>
        <v>18476.916000000001</v>
      </c>
      <c r="K863" s="376">
        <f>K862*33.717</f>
        <v>33211.244999999995</v>
      </c>
      <c r="L863" s="261">
        <f>L862*33.717</f>
        <v>10115.1</v>
      </c>
      <c r="M863" s="304">
        <f>M862*33.717</f>
        <v>275265.58799999999</v>
      </c>
      <c r="N863" s="280">
        <f>N862*33.717</f>
        <v>375809.68199999997</v>
      </c>
      <c r="O863" s="280">
        <f>(O862*33.717)</f>
        <v>136284.114</v>
      </c>
      <c r="P863" s="280">
        <f t="shared" ref="P863:U863" si="302">P862*33.717</f>
        <v>253180.95299999998</v>
      </c>
      <c r="Q863" s="376">
        <f t="shared" si="302"/>
        <v>33582.131999999998</v>
      </c>
      <c r="R863" s="376">
        <f t="shared" si="302"/>
        <v>37493.303999999996</v>
      </c>
      <c r="S863" s="261">
        <f t="shared" si="302"/>
        <v>81426.554999999993</v>
      </c>
      <c r="T863" s="324">
        <f t="shared" si="302"/>
        <v>37527.021000000001</v>
      </c>
      <c r="U863" s="325">
        <f t="shared" si="302"/>
        <v>17633.990999999998</v>
      </c>
      <c r="V863" s="63">
        <f>344240-H863</f>
        <v>-114311.20000000001</v>
      </c>
      <c r="W863" s="70" t="s">
        <v>177</v>
      </c>
      <c r="X863" s="70"/>
      <c r="Y863" s="70"/>
      <c r="Z863" s="70"/>
      <c r="AA863" s="436"/>
      <c r="AB863" s="293" t="s">
        <v>5</v>
      </c>
      <c r="AC863" s="319">
        <v>38973.199999999997</v>
      </c>
      <c r="AD863" s="936"/>
      <c r="AE863" s="936"/>
      <c r="AF863" s="936"/>
      <c r="AG863" s="936"/>
      <c r="AH863" s="936"/>
      <c r="AI863" s="936"/>
      <c r="AJ863" s="300">
        <v>95895.7</v>
      </c>
      <c r="AK863" s="264">
        <v>0.1</v>
      </c>
      <c r="AL863" s="398">
        <v>93978.8</v>
      </c>
      <c r="AM863" s="394">
        <v>1</v>
      </c>
      <c r="AN863" s="779"/>
      <c r="AO863" s="779"/>
    </row>
    <row r="864" spans="1:41" s="267" customFormat="1" ht="15.75" thickBot="1" x14ac:dyDescent="0.3">
      <c r="A864" s="1062"/>
      <c r="B864" s="294" t="s">
        <v>10</v>
      </c>
      <c r="C864" s="305">
        <f>C863/C856</f>
        <v>1.2859642590642499</v>
      </c>
      <c r="D864" s="292">
        <f t="shared" ref="D864:U864" si="303">D863/D856</f>
        <v>0.6231912737922104</v>
      </c>
      <c r="E864" s="310">
        <f t="shared" si="303"/>
        <v>0.63013553313353265</v>
      </c>
      <c r="F864" s="282">
        <f t="shared" si="303"/>
        <v>1.5293168691222139</v>
      </c>
      <c r="G864" s="282">
        <f t="shared" si="303"/>
        <v>1.5874879044565391</v>
      </c>
      <c r="H864" s="282">
        <f t="shared" si="303"/>
        <v>3.4703786869129494</v>
      </c>
      <c r="I864" s="282">
        <f t="shared" si="303"/>
        <v>0.82828893726684305</v>
      </c>
      <c r="J864" s="377">
        <f t="shared" si="303"/>
        <v>0.11167437376664743</v>
      </c>
      <c r="K864" s="377">
        <f t="shared" si="303"/>
        <v>0.35938394097710669</v>
      </c>
      <c r="L864" s="311">
        <f t="shared" si="303"/>
        <v>4.6988732571022429E-2</v>
      </c>
      <c r="M864" s="310">
        <f t="shared" si="303"/>
        <v>1.42603155689997</v>
      </c>
      <c r="N864" s="282">
        <f t="shared" si="303"/>
        <v>2.8441794738479214</v>
      </c>
      <c r="O864" s="282">
        <f t="shared" si="303"/>
        <v>1.6474037854813324</v>
      </c>
      <c r="P864" s="260">
        <f t="shared" si="303"/>
        <v>0.9181373066671501</v>
      </c>
      <c r="Q864" s="377">
        <f t="shared" si="303"/>
        <v>0.40594116040064498</v>
      </c>
      <c r="R864" s="377">
        <f t="shared" si="303"/>
        <v>0.1983965846410444</v>
      </c>
      <c r="S864" s="311">
        <f t="shared" si="303"/>
        <v>0.37825929719673052</v>
      </c>
      <c r="T864" s="305">
        <f t="shared" si="303"/>
        <v>0.68044135192471578</v>
      </c>
      <c r="U864" s="292">
        <f t="shared" si="303"/>
        <v>0.53290192049077523</v>
      </c>
      <c r="V864" s="126"/>
      <c r="W864" s="70"/>
      <c r="X864" s="70"/>
      <c r="Y864" s="70"/>
      <c r="Z864" s="70"/>
      <c r="AA864" s="437"/>
      <c r="AB864" s="294" t="s">
        <v>3</v>
      </c>
      <c r="AC864" s="320">
        <f>AC863/AC862</f>
        <v>0.39999753678402516</v>
      </c>
      <c r="AD864" s="545"/>
      <c r="AE864" s="545"/>
      <c r="AF864" s="545"/>
      <c r="AG864" s="545"/>
      <c r="AH864" s="545"/>
      <c r="AI864" s="545"/>
      <c r="AJ864" s="305">
        <f>AJ863/AJ862</f>
        <v>0.39368572043201455</v>
      </c>
      <c r="AK864" s="292">
        <f>AK863/AK862</f>
        <v>7.5717250585483648E-7</v>
      </c>
      <c r="AL864" s="399">
        <f>AL863/AL862</f>
        <v>0.32151565193621745</v>
      </c>
      <c r="AM864" s="343">
        <f>AM863/AM862</f>
        <v>7.5717193254506694E-6</v>
      </c>
      <c r="AN864" s="780"/>
      <c r="AO864" s="780"/>
    </row>
    <row r="865" spans="1:41" s="267" customFormat="1" ht="15.75" thickBot="1" x14ac:dyDescent="0.3">
      <c r="A865" s="1048">
        <v>41470</v>
      </c>
      <c r="B865" s="1048"/>
      <c r="C865" s="1048"/>
      <c r="D865" s="276"/>
      <c r="E865" s="276"/>
      <c r="F865" s="276"/>
      <c r="G865" s="276"/>
      <c r="H865" s="276"/>
      <c r="I865" s="11"/>
      <c r="J865" s="281"/>
      <c r="K865" s="281"/>
      <c r="L865" s="276"/>
      <c r="M865" s="276"/>
      <c r="N865" s="13"/>
      <c r="R865" s="12"/>
      <c r="S865" s="70"/>
      <c r="T865" s="70"/>
      <c r="U865" s="70"/>
      <c r="V865" s="70"/>
      <c r="W865" s="70"/>
      <c r="X865" s="70"/>
      <c r="Y865" s="70"/>
      <c r="Z865" s="70"/>
      <c r="AA865" s="1063"/>
      <c r="AB865" s="1064"/>
      <c r="AD865" s="743"/>
      <c r="AE865" s="743"/>
      <c r="AF865" s="743"/>
      <c r="AG865" s="743"/>
      <c r="AH865" s="743"/>
      <c r="AI865" s="743"/>
      <c r="AN865" s="743"/>
      <c r="AO865" s="743"/>
    </row>
    <row r="866" spans="1:41" s="267" customFormat="1" x14ac:dyDescent="0.25">
      <c r="A866" s="1049" t="s">
        <v>1</v>
      </c>
      <c r="B866" s="1050"/>
      <c r="C866" s="297" t="s">
        <v>12</v>
      </c>
      <c r="D866" s="266" t="s">
        <v>12</v>
      </c>
      <c r="E866" s="297" t="s">
        <v>13</v>
      </c>
      <c r="F866" s="277" t="s">
        <v>13</v>
      </c>
      <c r="G866" s="277" t="s">
        <v>13</v>
      </c>
      <c r="H866" s="277" t="s">
        <v>13</v>
      </c>
      <c r="I866" s="277" t="s">
        <v>13</v>
      </c>
      <c r="J866" s="286" t="s">
        <v>13</v>
      </c>
      <c r="K866" s="286" t="s">
        <v>13</v>
      </c>
      <c r="L866" s="266" t="s">
        <v>13</v>
      </c>
      <c r="M866" s="297" t="s">
        <v>2</v>
      </c>
      <c r="N866" s="277" t="s">
        <v>2</v>
      </c>
      <c r="O866" s="286" t="s">
        <v>2</v>
      </c>
      <c r="P866" s="277" t="s">
        <v>2</v>
      </c>
      <c r="Q866" s="286" t="s">
        <v>2</v>
      </c>
      <c r="R866" s="286" t="s">
        <v>2</v>
      </c>
      <c r="S866" s="266" t="s">
        <v>2</v>
      </c>
      <c r="T866" s="328" t="s">
        <v>183</v>
      </c>
      <c r="U866" s="327" t="s">
        <v>183</v>
      </c>
      <c r="V866" s="12"/>
      <c r="W866" s="70"/>
      <c r="X866" s="70"/>
      <c r="Y866" s="70"/>
      <c r="Z866" s="70"/>
      <c r="AA866" s="1049" t="s">
        <v>1</v>
      </c>
      <c r="AB866" s="1051"/>
      <c r="AC866" s="411" t="s">
        <v>12</v>
      </c>
      <c r="AD866" s="912"/>
      <c r="AE866" s="912"/>
      <c r="AF866" s="912"/>
      <c r="AG866" s="912"/>
      <c r="AH866" s="912"/>
      <c r="AI866" s="912"/>
      <c r="AJ866" s="1052" t="s">
        <v>13</v>
      </c>
      <c r="AK866" s="1053"/>
      <c r="AL866" s="1052" t="s">
        <v>2</v>
      </c>
      <c r="AM866" s="1053"/>
      <c r="AN866" s="776"/>
      <c r="AO866" s="776"/>
    </row>
    <row r="867" spans="1:41" s="267" customFormat="1" ht="15.75" thickBot="1" x14ac:dyDescent="0.3">
      <c r="A867" s="1054" t="s">
        <v>0</v>
      </c>
      <c r="B867" s="1066"/>
      <c r="C867" s="298" t="s">
        <v>99</v>
      </c>
      <c r="D867" s="291" t="s">
        <v>100</v>
      </c>
      <c r="E867" s="298" t="s">
        <v>101</v>
      </c>
      <c r="F867" s="306" t="s">
        <v>102</v>
      </c>
      <c r="G867" s="306" t="s">
        <v>97</v>
      </c>
      <c r="H867" s="306" t="s">
        <v>104</v>
      </c>
      <c r="I867" s="306" t="s">
        <v>103</v>
      </c>
      <c r="J867" s="378" t="s">
        <v>178</v>
      </c>
      <c r="K867" s="378" t="s">
        <v>199</v>
      </c>
      <c r="L867" s="314" t="s">
        <v>206</v>
      </c>
      <c r="M867" s="298" t="s">
        <v>105</v>
      </c>
      <c r="N867" s="306" t="s">
        <v>107</v>
      </c>
      <c r="O867" s="312" t="s">
        <v>98</v>
      </c>
      <c r="P867" s="313" t="s">
        <v>106</v>
      </c>
      <c r="Q867" s="312" t="s">
        <v>179</v>
      </c>
      <c r="R867" s="312" t="s">
        <v>198</v>
      </c>
      <c r="S867" s="291" t="s">
        <v>207</v>
      </c>
      <c r="T867" s="317" t="s">
        <v>182</v>
      </c>
      <c r="U867" s="291" t="s">
        <v>184</v>
      </c>
      <c r="V867" s="12"/>
      <c r="W867" s="12"/>
      <c r="X867" s="12"/>
      <c r="Y867" s="12"/>
      <c r="Z867" s="12"/>
      <c r="AA867" s="1054" t="s">
        <v>0</v>
      </c>
      <c r="AB867" s="1067"/>
      <c r="AC867" s="317" t="s">
        <v>99</v>
      </c>
      <c r="AD867" s="621"/>
      <c r="AE867" s="621"/>
      <c r="AF867" s="621"/>
      <c r="AG867" s="621"/>
      <c r="AH867" s="621"/>
      <c r="AI867" s="621"/>
      <c r="AJ867" s="298" t="s">
        <v>104</v>
      </c>
      <c r="AK867" s="291" t="s">
        <v>206</v>
      </c>
      <c r="AL867" s="396" t="s">
        <v>107</v>
      </c>
      <c r="AM867" s="392" t="s">
        <v>207</v>
      </c>
      <c r="AN867" s="777"/>
      <c r="AO867" s="777"/>
    </row>
    <row r="868" spans="1:41" s="267" customFormat="1" ht="15" customHeight="1" x14ac:dyDescent="0.25">
      <c r="A868" s="1057" t="s">
        <v>9</v>
      </c>
      <c r="B868" s="19" t="s">
        <v>4</v>
      </c>
      <c r="C868" s="299">
        <v>143393</v>
      </c>
      <c r="D868" s="265">
        <v>150516.70000000001</v>
      </c>
      <c r="E868" s="299">
        <v>150516.70000000001</v>
      </c>
      <c r="F868" s="283">
        <v>181998.8</v>
      </c>
      <c r="G868" s="283">
        <v>165453.5</v>
      </c>
      <c r="H868" s="283">
        <v>132132.9</v>
      </c>
      <c r="I868" s="283">
        <v>170968.6</v>
      </c>
      <c r="J868" s="223">
        <v>165453.5</v>
      </c>
      <c r="K868" s="223">
        <v>92411.6</v>
      </c>
      <c r="L868" s="265">
        <f>83196.1+132070.4</f>
        <v>215266.5</v>
      </c>
      <c r="M868" s="299">
        <v>193029.1</v>
      </c>
      <c r="N868" s="283">
        <v>132132.9</v>
      </c>
      <c r="O868" s="283">
        <v>82726.600000000006</v>
      </c>
      <c r="P868" s="283">
        <v>275755</v>
      </c>
      <c r="Q868" s="223">
        <v>82726.600000000006</v>
      </c>
      <c r="R868" s="223">
        <v>188981.6</v>
      </c>
      <c r="S868" s="265">
        <f>83196.1+132070.4</f>
        <v>215266.5</v>
      </c>
      <c r="T868" s="318">
        <v>55151</v>
      </c>
      <c r="U868" s="265">
        <v>33090.5</v>
      </c>
      <c r="V868" s="70"/>
      <c r="W868" s="70"/>
      <c r="X868" s="70"/>
      <c r="Y868" s="70"/>
      <c r="Z868" s="70"/>
      <c r="AA868" s="408" t="s">
        <v>194</v>
      </c>
      <c r="AB868" s="2" t="s">
        <v>4</v>
      </c>
      <c r="AC868" s="318">
        <v>143392.20000000001</v>
      </c>
      <c r="AD868" s="544"/>
      <c r="AE868" s="544"/>
      <c r="AF868" s="544"/>
      <c r="AG868" s="544"/>
      <c r="AH868" s="544"/>
      <c r="AI868" s="544"/>
      <c r="AJ868" s="299">
        <v>132132</v>
      </c>
      <c r="AK868" s="265">
        <v>83196.100000000006</v>
      </c>
      <c r="AL868" s="397">
        <v>132132.20000000001</v>
      </c>
      <c r="AM868" s="393">
        <v>83196.100000000006</v>
      </c>
      <c r="AN868" s="778"/>
      <c r="AO868" s="778"/>
    </row>
    <row r="869" spans="1:41" s="267" customFormat="1" x14ac:dyDescent="0.25">
      <c r="A869" s="1058"/>
      <c r="B869" s="293" t="s">
        <v>5</v>
      </c>
      <c r="C869" s="300">
        <v>44801.1</v>
      </c>
      <c r="D869" s="264">
        <v>78796.600000000006</v>
      </c>
      <c r="E869" s="300">
        <v>80278.2</v>
      </c>
      <c r="F869" s="307">
        <v>144491.4</v>
      </c>
      <c r="G869" s="307">
        <v>112161.5</v>
      </c>
      <c r="H869" s="307">
        <v>59880.2</v>
      </c>
      <c r="I869" s="307">
        <v>90156.4</v>
      </c>
      <c r="J869" s="374">
        <v>22184.3</v>
      </c>
      <c r="K869" s="374">
        <v>11114</v>
      </c>
      <c r="L869" s="264">
        <f>60.1+2.3</f>
        <v>62.4</v>
      </c>
      <c r="M869" s="300">
        <v>156967.70000000001</v>
      </c>
      <c r="N869" s="307">
        <v>55348</v>
      </c>
      <c r="O869" s="307">
        <v>57552</v>
      </c>
      <c r="P869" s="307">
        <v>164115.5</v>
      </c>
      <c r="Q869" s="374">
        <v>71181.7</v>
      </c>
      <c r="R869" s="374">
        <v>18020.3</v>
      </c>
      <c r="S869" s="264">
        <f>19241.2+504.7</f>
        <v>19745.900000000001</v>
      </c>
      <c r="T869" s="319">
        <v>11450</v>
      </c>
      <c r="U869" s="264">
        <v>5551.7</v>
      </c>
      <c r="V869" s="70"/>
      <c r="W869" s="70"/>
      <c r="X869" s="70"/>
      <c r="Y869" s="70"/>
      <c r="Z869" s="70"/>
      <c r="AA869" s="409"/>
      <c r="AB869" s="342" t="s">
        <v>5</v>
      </c>
      <c r="AC869" s="319">
        <v>43401.8</v>
      </c>
      <c r="AD869" s="936"/>
      <c r="AE869" s="936"/>
      <c r="AF869" s="936"/>
      <c r="AG869" s="936"/>
      <c r="AH869" s="936"/>
      <c r="AI869" s="936"/>
      <c r="AJ869" s="300">
        <v>58695.3</v>
      </c>
      <c r="AK869" s="264">
        <v>4.7</v>
      </c>
      <c r="AL869" s="398">
        <v>55118.9</v>
      </c>
      <c r="AM869" s="394">
        <v>4.5</v>
      </c>
      <c r="AN869" s="779"/>
      <c r="AO869" s="779"/>
    </row>
    <row r="870" spans="1:41" s="267" customFormat="1" ht="15.75" thickBot="1" x14ac:dyDescent="0.3">
      <c r="A870" s="1059"/>
      <c r="B870" s="294" t="s">
        <v>3</v>
      </c>
      <c r="C870" s="305">
        <f t="shared" ref="C870:L870" si="304">C869/C868</f>
        <v>0.31243575348866404</v>
      </c>
      <c r="D870" s="343">
        <f t="shared" si="304"/>
        <v>0.52350735831970807</v>
      </c>
      <c r="E870" s="305">
        <f t="shared" si="304"/>
        <v>0.53335078433157246</v>
      </c>
      <c r="F870" s="371">
        <f t="shared" si="304"/>
        <v>0.79391402580676362</v>
      </c>
      <c r="G870" s="278">
        <f t="shared" si="304"/>
        <v>0.67790345928009987</v>
      </c>
      <c r="H870" s="278">
        <f t="shared" si="304"/>
        <v>0.45318160730597756</v>
      </c>
      <c r="I870" s="278">
        <f t="shared" si="304"/>
        <v>0.5273272402066812</v>
      </c>
      <c r="J870" s="315">
        <f t="shared" si="304"/>
        <v>0.13408178128598064</v>
      </c>
      <c r="K870" s="315">
        <f t="shared" si="304"/>
        <v>0.12026628691636114</v>
      </c>
      <c r="L870" s="292">
        <f t="shared" si="304"/>
        <v>2.8987325013413607E-4</v>
      </c>
      <c r="M870" s="372">
        <f>M869/M868</f>
        <v>0.81318153584096908</v>
      </c>
      <c r="N870" s="278">
        <f>N869/N868</f>
        <v>0.41888129300121318</v>
      </c>
      <c r="O870" s="315">
        <f>O869/O868</f>
        <v>0.69568917373613803</v>
      </c>
      <c r="P870" s="278">
        <f>P869/P868</f>
        <v>0.59514967996953816</v>
      </c>
      <c r="Q870" s="315">
        <f>Q869/Q868</f>
        <v>0.86044512889445468</v>
      </c>
      <c r="R870" s="315">
        <f t="shared" ref="R870:S870" si="305">R869/R868</f>
        <v>9.5354785862750646E-2</v>
      </c>
      <c r="S870" s="292">
        <f t="shared" si="305"/>
        <v>9.1727695670250603E-2</v>
      </c>
      <c r="T870" s="320">
        <f>T869/T868</f>
        <v>0.20761182934126307</v>
      </c>
      <c r="U870" s="292">
        <f>U869/U868</f>
        <v>0.16777322796573035</v>
      </c>
      <c r="V870" s="70"/>
      <c r="W870" s="70"/>
      <c r="X870" s="70"/>
      <c r="Y870" s="70"/>
      <c r="Z870" s="70"/>
      <c r="AA870" s="410"/>
      <c r="AB870" s="347" t="s">
        <v>3</v>
      </c>
      <c r="AC870" s="395">
        <f>AC869/AC868</f>
        <v>0.302678946274623</v>
      </c>
      <c r="AD870" s="635"/>
      <c r="AE870" s="635"/>
      <c r="AF870" s="635"/>
      <c r="AG870" s="635"/>
      <c r="AH870" s="635"/>
      <c r="AI870" s="635"/>
      <c r="AJ870" s="305">
        <f>AJ869/AJ868</f>
        <v>0.44421714648987376</v>
      </c>
      <c r="AK870" s="292">
        <f>AK869/AK868</f>
        <v>5.6493032726293656E-5</v>
      </c>
      <c r="AL870" s="399">
        <f>AL869/AL868</f>
        <v>0.41714964255495629</v>
      </c>
      <c r="AM870" s="343">
        <f>AM869/AM868</f>
        <v>5.4089073886876906E-5</v>
      </c>
      <c r="AN870" s="780"/>
      <c r="AO870" s="780"/>
    </row>
    <row r="871" spans="1:41" s="429" customFormat="1" ht="15" customHeight="1" x14ac:dyDescent="0.25">
      <c r="A871" s="1060" t="s">
        <v>6</v>
      </c>
      <c r="B871" s="418" t="s">
        <v>7</v>
      </c>
      <c r="C871" s="419">
        <v>5870</v>
      </c>
      <c r="D871" s="420">
        <v>3333</v>
      </c>
      <c r="E871" s="419">
        <v>3330</v>
      </c>
      <c r="F871" s="421">
        <v>9457</v>
      </c>
      <c r="G871" s="422">
        <v>8428</v>
      </c>
      <c r="H871" s="421">
        <v>15703</v>
      </c>
      <c r="I871" s="421">
        <v>7403</v>
      </c>
      <c r="J871" s="423">
        <v>9599</v>
      </c>
      <c r="K871" s="423">
        <v>4073</v>
      </c>
      <c r="L871" s="420">
        <v>6399</v>
      </c>
      <c r="M871" s="419">
        <v>9097</v>
      </c>
      <c r="N871" s="421">
        <v>12295</v>
      </c>
      <c r="O871" s="422">
        <v>4354</v>
      </c>
      <c r="P871" s="421">
        <v>10027</v>
      </c>
      <c r="Q871" s="423">
        <v>4799</v>
      </c>
      <c r="R871" s="423">
        <v>7192</v>
      </c>
      <c r="S871" s="420">
        <v>6399</v>
      </c>
      <c r="T871" s="424">
        <v>2000</v>
      </c>
      <c r="U871" s="420">
        <v>1250</v>
      </c>
      <c r="V871" s="425" t="s">
        <v>197</v>
      </c>
      <c r="W871" s="426"/>
      <c r="X871" s="427"/>
      <c r="Y871" s="427"/>
      <c r="Z871" s="427"/>
      <c r="AA871" s="428" t="s">
        <v>190</v>
      </c>
      <c r="AB871" s="418" t="s">
        <v>4</v>
      </c>
      <c r="AC871" s="430">
        <v>9191.7999999999993</v>
      </c>
      <c r="AD871" s="564"/>
      <c r="AE871" s="564"/>
      <c r="AF871" s="564"/>
      <c r="AG871" s="564"/>
      <c r="AH871" s="564"/>
      <c r="AI871" s="564"/>
      <c r="AJ871" s="431">
        <v>13787.7</v>
      </c>
      <c r="AK871" s="432">
        <v>8804.7999999999993</v>
      </c>
      <c r="AL871" s="433">
        <v>13787.7</v>
      </c>
      <c r="AM871" s="434">
        <v>8804.7999999999993</v>
      </c>
      <c r="AN871" s="781"/>
      <c r="AO871" s="781"/>
    </row>
    <row r="872" spans="1:41" s="267" customFormat="1" x14ac:dyDescent="0.25">
      <c r="A872" s="1061"/>
      <c r="B872" s="295" t="s">
        <v>11</v>
      </c>
      <c r="C872" s="302">
        <f t="shared" ref="C872:L872" si="306">C871*33.717</f>
        <v>197918.78999999998</v>
      </c>
      <c r="D872" s="263">
        <f t="shared" si="306"/>
        <v>112378.761</v>
      </c>
      <c r="E872" s="302">
        <f t="shared" si="306"/>
        <v>112277.61</v>
      </c>
      <c r="F872" s="355">
        <f t="shared" si="306"/>
        <v>318861.66899999999</v>
      </c>
      <c r="G872" s="308">
        <f t="shared" si="306"/>
        <v>284166.87599999999</v>
      </c>
      <c r="H872" s="354">
        <f t="shared" si="306"/>
        <v>529458.05099999998</v>
      </c>
      <c r="I872" s="354">
        <f t="shared" si="306"/>
        <v>249606.951</v>
      </c>
      <c r="J872" s="355">
        <f t="shared" si="306"/>
        <v>323649.48300000001</v>
      </c>
      <c r="K872" s="375">
        <f t="shared" si="306"/>
        <v>137329.34099999999</v>
      </c>
      <c r="L872" s="263">
        <f t="shared" si="306"/>
        <v>215755.08299999998</v>
      </c>
      <c r="M872" s="322">
        <f>M871*33.717</f>
        <v>306723.549</v>
      </c>
      <c r="N872" s="308">
        <f>N871*33.717</f>
        <v>414550.51499999996</v>
      </c>
      <c r="O872" s="308">
        <f>O871*33.717</f>
        <v>146803.818</v>
      </c>
      <c r="P872" s="354">
        <f>P871*33.717</f>
        <v>338080.359</v>
      </c>
      <c r="Q872" s="355">
        <f>Q871*33.717</f>
        <v>161807.883</v>
      </c>
      <c r="R872" s="375">
        <f t="shared" ref="R872:S872" si="307">R871*33.717</f>
        <v>242492.66399999999</v>
      </c>
      <c r="S872" s="263">
        <f t="shared" si="307"/>
        <v>215755.08299999998</v>
      </c>
      <c r="T872" s="302">
        <f>T871*33.717</f>
        <v>67434</v>
      </c>
      <c r="U872" s="354">
        <f>U871*33.717</f>
        <v>42146.25</v>
      </c>
      <c r="V872" s="70"/>
      <c r="W872" s="70"/>
      <c r="X872" s="70"/>
      <c r="Y872" s="70"/>
      <c r="Z872" s="70"/>
      <c r="AA872" s="409"/>
      <c r="AB872" s="293" t="s">
        <v>5</v>
      </c>
      <c r="AC872" s="319">
        <v>8835</v>
      </c>
      <c r="AD872" s="936"/>
      <c r="AE872" s="936"/>
      <c r="AF872" s="936"/>
      <c r="AG872" s="936"/>
      <c r="AH872" s="936"/>
      <c r="AI872" s="936"/>
      <c r="AJ872" s="300">
        <v>13648.9</v>
      </c>
      <c r="AK872" s="264">
        <v>0</v>
      </c>
      <c r="AL872" s="398">
        <v>13649.5</v>
      </c>
      <c r="AM872" s="394">
        <v>30</v>
      </c>
      <c r="AN872" s="779"/>
      <c r="AO872" s="779"/>
    </row>
    <row r="873" spans="1:41" s="267" customFormat="1" ht="15.75" thickBot="1" x14ac:dyDescent="0.3">
      <c r="A873" s="1061"/>
      <c r="B873" s="295" t="s">
        <v>79</v>
      </c>
      <c r="C873" s="302">
        <v>164000</v>
      </c>
      <c r="D873" s="263">
        <v>109880</v>
      </c>
      <c r="E873" s="302">
        <v>109880</v>
      </c>
      <c r="F873" s="308">
        <v>328000</v>
      </c>
      <c r="G873" s="308">
        <v>330905</v>
      </c>
      <c r="H873" s="308">
        <v>264264</v>
      </c>
      <c r="I873" s="308">
        <v>242663.6</v>
      </c>
      <c r="J873" s="375">
        <v>328000</v>
      </c>
      <c r="K873" s="375">
        <v>328000</v>
      </c>
      <c r="L873" s="263">
        <v>328000</v>
      </c>
      <c r="M873" s="302">
        <v>328000</v>
      </c>
      <c r="N873" s="308">
        <v>264264.40000000002</v>
      </c>
      <c r="O873" s="308">
        <v>328000</v>
      </c>
      <c r="P873" s="308">
        <v>352965.4</v>
      </c>
      <c r="Q873" s="375">
        <v>328000</v>
      </c>
      <c r="R873" s="375">
        <v>328000</v>
      </c>
      <c r="S873" s="263">
        <v>328000</v>
      </c>
      <c r="T873" s="322">
        <f>2*T868</f>
        <v>110302</v>
      </c>
      <c r="U873" s="263">
        <f>2*U868</f>
        <v>66181</v>
      </c>
      <c r="V873" s="70"/>
      <c r="W873" s="70"/>
      <c r="X873" s="70"/>
      <c r="Y873" s="70"/>
      <c r="Z873" s="70"/>
      <c r="AA873" s="410"/>
      <c r="AB873" s="344" t="s">
        <v>3</v>
      </c>
      <c r="AC873" s="395">
        <f>AC872/AC871</f>
        <v>0.96118279335929857</v>
      </c>
      <c r="AD873" s="635"/>
      <c r="AE873" s="635"/>
      <c r="AF873" s="635"/>
      <c r="AG873" s="635"/>
      <c r="AH873" s="635"/>
      <c r="AI873" s="635"/>
      <c r="AJ873" s="301">
        <f>AJ872/AJ871</f>
        <v>0.98993305627479555</v>
      </c>
      <c r="AK873" s="401">
        <f>AK872/AK871</f>
        <v>0</v>
      </c>
      <c r="AL873" s="400">
        <f>AL872/AL871</f>
        <v>0.98997657332259903</v>
      </c>
      <c r="AM873" s="348">
        <f>AM872/AM871</f>
        <v>3.4072324186807199E-3</v>
      </c>
      <c r="AN873" s="780"/>
      <c r="AO873" s="780"/>
    </row>
    <row r="874" spans="1:41" s="267" customFormat="1" ht="15" customHeight="1" x14ac:dyDescent="0.25">
      <c r="A874" s="1061"/>
      <c r="B874" s="293" t="s">
        <v>8</v>
      </c>
      <c r="C874" s="303">
        <f>SUM(C871-401)</f>
        <v>5469</v>
      </c>
      <c r="D874" s="262">
        <f>SUM(D871-551)</f>
        <v>2782</v>
      </c>
      <c r="E874" s="303">
        <f>SUM(E871-517)</f>
        <v>2813</v>
      </c>
      <c r="F874" s="309">
        <f>SUM(F871-1195)</f>
        <v>8262</v>
      </c>
      <c r="G874" s="309">
        <f>SUM(G871-4548)</f>
        <v>3880</v>
      </c>
      <c r="H874" s="309">
        <f>SUM(H871-2103)</f>
        <v>13600</v>
      </c>
      <c r="I874" s="309">
        <f>SUM(I871-(3203-2000))</f>
        <v>6200</v>
      </c>
      <c r="J874" s="316">
        <f>SUM(J871-9081)</f>
        <v>518</v>
      </c>
      <c r="K874" s="316">
        <f>SUM(K871-3475)</f>
        <v>598</v>
      </c>
      <c r="L874" s="262">
        <f>SUM(L871-6190)</f>
        <v>209</v>
      </c>
      <c r="M874" s="303">
        <f>SUM(M871-927)</f>
        <v>8170</v>
      </c>
      <c r="N874" s="309">
        <f>SUM(N871-1149)</f>
        <v>11146</v>
      </c>
      <c r="O874" s="316">
        <f>SUM(O871-327)</f>
        <v>4027</v>
      </c>
      <c r="P874" s="309">
        <f>SUM(P871-(5132-2614))</f>
        <v>7509</v>
      </c>
      <c r="Q874" s="316">
        <f>SUM(Q871-3839)</f>
        <v>960</v>
      </c>
      <c r="R874" s="316">
        <f>SUM(R871-6505)</f>
        <v>687</v>
      </c>
      <c r="S874" s="262">
        <f>SUM(S871-4940)</f>
        <v>1459</v>
      </c>
      <c r="T874" s="323">
        <f>SUM(T871-887)</f>
        <v>1113</v>
      </c>
      <c r="U874" s="262">
        <f>SUM(U871-752)</f>
        <v>498</v>
      </c>
      <c r="V874" s="12" t="s">
        <v>176</v>
      </c>
      <c r="W874" s="70"/>
      <c r="X874" s="70"/>
      <c r="Y874" s="70"/>
      <c r="Z874" s="70"/>
      <c r="AA874" s="408" t="s">
        <v>191</v>
      </c>
      <c r="AB874" s="19" t="s">
        <v>4</v>
      </c>
      <c r="AC874" s="318">
        <v>97433.600000000006</v>
      </c>
      <c r="AD874" s="544"/>
      <c r="AE874" s="544"/>
      <c r="AF874" s="544"/>
      <c r="AG874" s="544"/>
      <c r="AH874" s="544"/>
      <c r="AI874" s="544"/>
      <c r="AJ874" s="299">
        <v>243584.4</v>
      </c>
      <c r="AK874" s="265">
        <v>132070.29999999999</v>
      </c>
      <c r="AL874" s="397">
        <v>292299.3</v>
      </c>
      <c r="AM874" s="393">
        <v>132070.39999999999</v>
      </c>
      <c r="AN874" s="778"/>
      <c r="AO874" s="778"/>
    </row>
    <row r="875" spans="1:41" s="267" customFormat="1" x14ac:dyDescent="0.25">
      <c r="A875" s="1061"/>
      <c r="B875" s="296" t="s">
        <v>77</v>
      </c>
      <c r="C875" s="302">
        <f>(C874*33.717)</f>
        <v>184398.27299999999</v>
      </c>
      <c r="D875" s="338">
        <f>(D874*33.717)</f>
        <v>93800.694000000003</v>
      </c>
      <c r="E875" s="302">
        <f>(E874*33.717)</f>
        <v>94845.921000000002</v>
      </c>
      <c r="F875" s="338">
        <f>(F874*33.717)</f>
        <v>278569.85399999999</v>
      </c>
      <c r="G875" s="280">
        <f>(G874*33.717)*2</f>
        <v>261643.91999999998</v>
      </c>
      <c r="H875" s="280">
        <f>(H874*33.717)</f>
        <v>458551.2</v>
      </c>
      <c r="I875" s="280">
        <f>(I874*33.717)-(2000*33.717)</f>
        <v>141611.4</v>
      </c>
      <c r="J875" s="376">
        <f>J874*33.717</f>
        <v>17465.405999999999</v>
      </c>
      <c r="K875" s="376">
        <f>K874*33.717</f>
        <v>20162.766</v>
      </c>
      <c r="L875" s="261">
        <f>L874*33.717</f>
        <v>7046.8530000000001</v>
      </c>
      <c r="M875" s="304">
        <f>M874*33.717</f>
        <v>275467.89</v>
      </c>
      <c r="N875" s="280">
        <f>N874*33.717</f>
        <v>375809.68199999997</v>
      </c>
      <c r="O875" s="280">
        <f>(O874*33.717)</f>
        <v>135778.359</v>
      </c>
      <c r="P875" s="280">
        <f t="shared" ref="P875:U875" si="308">P874*33.717</f>
        <v>253180.95299999998</v>
      </c>
      <c r="Q875" s="376">
        <f t="shared" si="308"/>
        <v>32368.32</v>
      </c>
      <c r="R875" s="376">
        <f t="shared" si="308"/>
        <v>23163.578999999998</v>
      </c>
      <c r="S875" s="261">
        <f t="shared" si="308"/>
        <v>49193.102999999996</v>
      </c>
      <c r="T875" s="324">
        <f t="shared" si="308"/>
        <v>37527.021000000001</v>
      </c>
      <c r="U875" s="325">
        <f t="shared" si="308"/>
        <v>16791.065999999999</v>
      </c>
      <c r="V875" s="63">
        <f>344240-H875</f>
        <v>-114311.20000000001</v>
      </c>
      <c r="W875" s="70" t="s">
        <v>177</v>
      </c>
      <c r="X875" s="70"/>
      <c r="Y875" s="70"/>
      <c r="Z875" s="70"/>
      <c r="AA875" s="409"/>
      <c r="AB875" s="293" t="s">
        <v>5</v>
      </c>
      <c r="AC875" s="319">
        <v>38973.199999999997</v>
      </c>
      <c r="AD875" s="936"/>
      <c r="AE875" s="936"/>
      <c r="AF875" s="936"/>
      <c r="AG875" s="936"/>
      <c r="AH875" s="936"/>
      <c r="AI875" s="936"/>
      <c r="AJ875" s="300">
        <v>95895.7</v>
      </c>
      <c r="AK875" s="264">
        <v>0.1</v>
      </c>
      <c r="AL875" s="398">
        <v>93978.8</v>
      </c>
      <c r="AM875" s="394">
        <v>1</v>
      </c>
      <c r="AN875" s="779"/>
      <c r="AO875" s="779"/>
    </row>
    <row r="876" spans="1:41" s="267" customFormat="1" ht="15.75" thickBot="1" x14ac:dyDescent="0.3">
      <c r="A876" s="1062"/>
      <c r="B876" s="294" t="s">
        <v>10</v>
      </c>
      <c r="C876" s="305">
        <f>C875/C868</f>
        <v>1.2859642590642499</v>
      </c>
      <c r="D876" s="292">
        <f t="shared" ref="D876:U876" si="309">D875/D868</f>
        <v>0.6231912737922104</v>
      </c>
      <c r="E876" s="310">
        <f t="shared" si="309"/>
        <v>0.63013553313353265</v>
      </c>
      <c r="F876" s="282">
        <f t="shared" si="309"/>
        <v>1.5306136853649586</v>
      </c>
      <c r="G876" s="282">
        <f t="shared" si="309"/>
        <v>1.5813743438488759</v>
      </c>
      <c r="H876" s="282">
        <f t="shared" si="309"/>
        <v>3.4703786869129494</v>
      </c>
      <c r="I876" s="282">
        <f t="shared" si="309"/>
        <v>0.82828893726684305</v>
      </c>
      <c r="J876" s="377">
        <f t="shared" si="309"/>
        <v>0.10556081315898425</v>
      </c>
      <c r="K876" s="377">
        <f t="shared" si="309"/>
        <v>0.21818436213635517</v>
      </c>
      <c r="L876" s="311">
        <f t="shared" si="309"/>
        <v>3.273548369114563E-2</v>
      </c>
      <c r="M876" s="310">
        <f t="shared" si="309"/>
        <v>1.4270795957707931</v>
      </c>
      <c r="N876" s="282">
        <f t="shared" si="309"/>
        <v>2.8441794738479214</v>
      </c>
      <c r="O876" s="282">
        <f t="shared" si="309"/>
        <v>1.6412902137885514</v>
      </c>
      <c r="P876" s="260">
        <f t="shared" si="309"/>
        <v>0.9181373066671501</v>
      </c>
      <c r="Q876" s="377">
        <f t="shared" si="309"/>
        <v>0.39126858833797107</v>
      </c>
      <c r="R876" s="377">
        <f t="shared" si="309"/>
        <v>0.12257055184208408</v>
      </c>
      <c r="S876" s="311">
        <f t="shared" si="309"/>
        <v>0.22852186940373906</v>
      </c>
      <c r="T876" s="305">
        <f t="shared" si="309"/>
        <v>0.68044135192471578</v>
      </c>
      <c r="U876" s="292">
        <f t="shared" si="309"/>
        <v>0.50742859733156043</v>
      </c>
      <c r="V876" s="126"/>
      <c r="W876" s="70"/>
      <c r="X876" s="70"/>
      <c r="Y876" s="70"/>
      <c r="Z876" s="70"/>
      <c r="AA876" s="410"/>
      <c r="AB876" s="294" t="s">
        <v>3</v>
      </c>
      <c r="AC876" s="320">
        <f>AC875/AC874</f>
        <v>0.39999753678402516</v>
      </c>
      <c r="AD876" s="545"/>
      <c r="AE876" s="545"/>
      <c r="AF876" s="545"/>
      <c r="AG876" s="545"/>
      <c r="AH876" s="545"/>
      <c r="AI876" s="545"/>
      <c r="AJ876" s="305">
        <f>AJ875/AJ874</f>
        <v>0.39368572043201455</v>
      </c>
      <c r="AK876" s="292">
        <f>AK875/AK874</f>
        <v>7.5717250585483648E-7</v>
      </c>
      <c r="AL876" s="399">
        <f>AL875/AL874</f>
        <v>0.32151565193621745</v>
      </c>
      <c r="AM876" s="343">
        <f>AM875/AM874</f>
        <v>7.5717193254506694E-6</v>
      </c>
      <c r="AN876" s="780"/>
      <c r="AO876" s="780"/>
    </row>
    <row r="877" spans="1:41" s="267" customFormat="1" ht="15.75" thickBot="1" x14ac:dyDescent="0.3">
      <c r="A877" s="1048">
        <v>41464</v>
      </c>
      <c r="B877" s="1048"/>
      <c r="C877" s="1048"/>
      <c r="D877" s="276"/>
      <c r="E877" s="276"/>
      <c r="F877" s="276"/>
      <c r="G877" s="276"/>
      <c r="H877" s="276"/>
      <c r="I877" s="11"/>
      <c r="J877" s="281"/>
      <c r="K877" s="281"/>
      <c r="L877" s="276"/>
      <c r="M877" s="276"/>
      <c r="N877" s="13"/>
      <c r="R877" s="12"/>
      <c r="S877" s="70"/>
      <c r="T877" s="70"/>
      <c r="U877" s="70"/>
      <c r="V877" s="70"/>
      <c r="W877" s="70"/>
      <c r="X877" s="70"/>
      <c r="Y877" s="70"/>
      <c r="Z877" s="70"/>
      <c r="AA877" s="1063"/>
      <c r="AB877" s="1064"/>
      <c r="AD877" s="743"/>
      <c r="AE877" s="743"/>
      <c r="AF877" s="743"/>
      <c r="AG877" s="743"/>
      <c r="AH877" s="743"/>
      <c r="AI877" s="743"/>
      <c r="AN877" s="743"/>
      <c r="AO877" s="743"/>
    </row>
    <row r="878" spans="1:41" s="267" customFormat="1" x14ac:dyDescent="0.25">
      <c r="A878" s="1049" t="s">
        <v>1</v>
      </c>
      <c r="B878" s="1050"/>
      <c r="C878" s="297" t="s">
        <v>12</v>
      </c>
      <c r="D878" s="266" t="s">
        <v>12</v>
      </c>
      <c r="E878" s="297" t="s">
        <v>13</v>
      </c>
      <c r="F878" s="277" t="s">
        <v>13</v>
      </c>
      <c r="G878" s="277" t="s">
        <v>13</v>
      </c>
      <c r="H878" s="277" t="s">
        <v>13</v>
      </c>
      <c r="I878" s="277" t="s">
        <v>13</v>
      </c>
      <c r="J878" s="286" t="s">
        <v>13</v>
      </c>
      <c r="K878" s="286" t="s">
        <v>13</v>
      </c>
      <c r="L878" s="266" t="s">
        <v>13</v>
      </c>
      <c r="M878" s="297" t="s">
        <v>2</v>
      </c>
      <c r="N878" s="277" t="s">
        <v>2</v>
      </c>
      <c r="O878" s="286" t="s">
        <v>2</v>
      </c>
      <c r="P878" s="277" t="s">
        <v>2</v>
      </c>
      <c r="Q878" s="286" t="s">
        <v>2</v>
      </c>
      <c r="R878" s="286" t="s">
        <v>2</v>
      </c>
      <c r="S878" s="266" t="s">
        <v>2</v>
      </c>
      <c r="T878" s="328" t="s">
        <v>183</v>
      </c>
      <c r="U878" s="327" t="s">
        <v>183</v>
      </c>
      <c r="V878" s="12"/>
      <c r="W878" s="70"/>
      <c r="X878" s="70"/>
      <c r="Y878" s="70"/>
      <c r="Z878" s="70"/>
      <c r="AA878" s="1049" t="s">
        <v>1</v>
      </c>
      <c r="AB878" s="1051"/>
      <c r="AC878" s="416" t="s">
        <v>12</v>
      </c>
      <c r="AD878" s="912"/>
      <c r="AE878" s="912"/>
      <c r="AF878" s="912"/>
      <c r="AG878" s="912"/>
      <c r="AH878" s="912"/>
      <c r="AI878" s="912"/>
      <c r="AJ878" s="1052" t="s">
        <v>13</v>
      </c>
      <c r="AK878" s="1053"/>
      <c r="AL878" s="1052" t="s">
        <v>2</v>
      </c>
      <c r="AM878" s="1053"/>
      <c r="AN878" s="776"/>
      <c r="AO878" s="776"/>
    </row>
    <row r="879" spans="1:41" s="267" customFormat="1" ht="15.75" thickBot="1" x14ac:dyDescent="0.3">
      <c r="A879" s="1054" t="s">
        <v>0</v>
      </c>
      <c r="B879" s="1066"/>
      <c r="C879" s="298" t="s">
        <v>99</v>
      </c>
      <c r="D879" s="291" t="s">
        <v>100</v>
      </c>
      <c r="E879" s="298" t="s">
        <v>101</v>
      </c>
      <c r="F879" s="306" t="s">
        <v>102</v>
      </c>
      <c r="G879" s="306" t="s">
        <v>97</v>
      </c>
      <c r="H879" s="306" t="s">
        <v>104</v>
      </c>
      <c r="I879" s="306" t="s">
        <v>103</v>
      </c>
      <c r="J879" s="378" t="s">
        <v>178</v>
      </c>
      <c r="K879" s="378" t="s">
        <v>199</v>
      </c>
      <c r="L879" s="314" t="s">
        <v>206</v>
      </c>
      <c r="M879" s="298" t="s">
        <v>105</v>
      </c>
      <c r="N879" s="306" t="s">
        <v>107</v>
      </c>
      <c r="O879" s="312" t="s">
        <v>98</v>
      </c>
      <c r="P879" s="313" t="s">
        <v>106</v>
      </c>
      <c r="Q879" s="312" t="s">
        <v>179</v>
      </c>
      <c r="R879" s="312" t="s">
        <v>198</v>
      </c>
      <c r="S879" s="291" t="s">
        <v>207</v>
      </c>
      <c r="T879" s="317" t="s">
        <v>182</v>
      </c>
      <c r="U879" s="291" t="s">
        <v>184</v>
      </c>
      <c r="V879" s="12"/>
      <c r="W879" s="12"/>
      <c r="X879" s="12"/>
      <c r="Y879" s="12"/>
      <c r="Z879" s="12"/>
      <c r="AA879" s="1054" t="s">
        <v>0</v>
      </c>
      <c r="AB879" s="1067"/>
      <c r="AC879" s="317" t="s">
        <v>99</v>
      </c>
      <c r="AD879" s="621"/>
      <c r="AE879" s="621"/>
      <c r="AF879" s="621"/>
      <c r="AG879" s="621"/>
      <c r="AH879" s="621"/>
      <c r="AI879" s="621"/>
      <c r="AJ879" s="298" t="s">
        <v>104</v>
      </c>
      <c r="AK879" s="291" t="s">
        <v>206</v>
      </c>
      <c r="AL879" s="396" t="s">
        <v>107</v>
      </c>
      <c r="AM879" s="392" t="s">
        <v>207</v>
      </c>
      <c r="AN879" s="777"/>
      <c r="AO879" s="777"/>
    </row>
    <row r="880" spans="1:41" s="267" customFormat="1" ht="15" customHeight="1" x14ac:dyDescent="0.25">
      <c r="A880" s="1057" t="s">
        <v>9</v>
      </c>
      <c r="B880" s="19" t="s">
        <v>4</v>
      </c>
      <c r="C880" s="299">
        <v>143393</v>
      </c>
      <c r="D880" s="265">
        <v>150516.70000000001</v>
      </c>
      <c r="E880" s="299">
        <v>150516.70000000001</v>
      </c>
      <c r="F880" s="283">
        <v>181997.8</v>
      </c>
      <c r="G880" s="283">
        <v>165452.5</v>
      </c>
      <c r="H880" s="283">
        <v>132132.9</v>
      </c>
      <c r="I880" s="368">
        <v>170968.6</v>
      </c>
      <c r="J880" s="223">
        <v>165453.5</v>
      </c>
      <c r="K880" s="223">
        <v>92411.6</v>
      </c>
      <c r="L880" s="265">
        <v>132070</v>
      </c>
      <c r="M880" s="299">
        <v>193029.1</v>
      </c>
      <c r="N880" s="283">
        <v>132132.9</v>
      </c>
      <c r="O880" s="283">
        <v>82726.600000000006</v>
      </c>
      <c r="P880" s="283">
        <v>275755</v>
      </c>
      <c r="Q880" s="223">
        <v>82726.600000000006</v>
      </c>
      <c r="R880" s="223">
        <v>188981.6</v>
      </c>
      <c r="S880" s="265">
        <v>132070</v>
      </c>
      <c r="T880" s="318">
        <v>55151</v>
      </c>
      <c r="U880" s="265">
        <v>33090.5</v>
      </c>
      <c r="V880" s="70"/>
      <c r="W880" s="70"/>
      <c r="X880" s="70"/>
      <c r="Y880" s="70"/>
      <c r="Z880" s="70"/>
      <c r="AA880" s="413" t="s">
        <v>194</v>
      </c>
      <c r="AB880" s="2" t="s">
        <v>4</v>
      </c>
      <c r="AC880" s="318">
        <v>143392.20000000001</v>
      </c>
      <c r="AD880" s="544"/>
      <c r="AE880" s="544"/>
      <c r="AF880" s="544"/>
      <c r="AG880" s="544"/>
      <c r="AH880" s="544"/>
      <c r="AI880" s="544"/>
      <c r="AJ880" s="299">
        <v>132132</v>
      </c>
      <c r="AK880" s="265">
        <v>83196.100000000006</v>
      </c>
      <c r="AL880" s="397">
        <v>132132.20000000001</v>
      </c>
      <c r="AM880" s="393">
        <v>83196.100000000006</v>
      </c>
      <c r="AN880" s="778"/>
      <c r="AO880" s="778"/>
    </row>
    <row r="881" spans="1:41" s="267" customFormat="1" x14ac:dyDescent="0.25">
      <c r="A881" s="1058"/>
      <c r="B881" s="293" t="s">
        <v>5</v>
      </c>
      <c r="C881" s="300">
        <v>43401.8</v>
      </c>
      <c r="D881" s="264">
        <v>78692</v>
      </c>
      <c r="E881" s="300">
        <v>80175.199999999997</v>
      </c>
      <c r="F881" s="307">
        <v>143778.70000000001</v>
      </c>
      <c r="G881" s="307">
        <v>105546.8</v>
      </c>
      <c r="H881" s="307">
        <v>58695.3</v>
      </c>
      <c r="I881" s="307">
        <v>88567.8</v>
      </c>
      <c r="J881" s="374">
        <v>16941.3</v>
      </c>
      <c r="K881" s="374">
        <v>8319.5</v>
      </c>
      <c r="L881" s="264">
        <v>4.7</v>
      </c>
      <c r="M881" s="300">
        <v>162048</v>
      </c>
      <c r="N881" s="307">
        <v>55118.9</v>
      </c>
      <c r="O881" s="307">
        <v>54223.5</v>
      </c>
      <c r="P881" s="307">
        <v>161353</v>
      </c>
      <c r="Q881" s="374">
        <v>8704.6</v>
      </c>
      <c r="R881" s="374">
        <v>14096</v>
      </c>
      <c r="S881" s="264">
        <v>4.5</v>
      </c>
      <c r="T881" s="319">
        <v>8733.5</v>
      </c>
      <c r="U881" s="264">
        <v>5054</v>
      </c>
      <c r="V881" s="70"/>
      <c r="W881" s="70"/>
      <c r="X881" s="70"/>
      <c r="Y881" s="70"/>
      <c r="Z881" s="70"/>
      <c r="AA881" s="414"/>
      <c r="AB881" s="342" t="s">
        <v>5</v>
      </c>
      <c r="AC881" s="319">
        <v>43401.8</v>
      </c>
      <c r="AD881" s="936"/>
      <c r="AE881" s="936"/>
      <c r="AF881" s="936"/>
      <c r="AG881" s="936"/>
      <c r="AH881" s="936"/>
      <c r="AI881" s="936"/>
      <c r="AJ881" s="300">
        <v>58695.3</v>
      </c>
      <c r="AK881" s="264">
        <v>4.7</v>
      </c>
      <c r="AL881" s="398">
        <v>55118.9</v>
      </c>
      <c r="AM881" s="394">
        <v>4.5</v>
      </c>
      <c r="AN881" s="779"/>
      <c r="AO881" s="779"/>
    </row>
    <row r="882" spans="1:41" s="267" customFormat="1" ht="15.75" thickBot="1" x14ac:dyDescent="0.3">
      <c r="A882" s="1059"/>
      <c r="B882" s="294" t="s">
        <v>3</v>
      </c>
      <c r="C882" s="305">
        <f t="shared" ref="C882:L882" si="310">C881/C880</f>
        <v>0.30267725760671721</v>
      </c>
      <c r="D882" s="343">
        <f t="shared" si="310"/>
        <v>0.52281241882130014</v>
      </c>
      <c r="E882" s="305">
        <f t="shared" si="310"/>
        <v>0.53266647488285346</v>
      </c>
      <c r="F882" s="371">
        <f t="shared" si="310"/>
        <v>0.79000240662249777</v>
      </c>
      <c r="G882" s="278">
        <f t="shared" si="310"/>
        <v>0.63792810625406082</v>
      </c>
      <c r="H882" s="278">
        <f t="shared" si="310"/>
        <v>0.44421412078293904</v>
      </c>
      <c r="I882" s="278">
        <f t="shared" si="310"/>
        <v>0.51803547552006624</v>
      </c>
      <c r="J882" s="315">
        <f t="shared" si="310"/>
        <v>0.10239311951696398</v>
      </c>
      <c r="K882" s="315">
        <f t="shared" si="310"/>
        <v>9.0026576750104961E-2</v>
      </c>
      <c r="L882" s="292">
        <f t="shared" si="310"/>
        <v>3.5587188612099643E-5</v>
      </c>
      <c r="M882" s="372">
        <f>M881/M880</f>
        <v>0.83950036548893403</v>
      </c>
      <c r="N882" s="278">
        <f>N881/N880</f>
        <v>0.41714743262276088</v>
      </c>
      <c r="O882" s="315">
        <f>O881/O880</f>
        <v>0.65545423116627533</v>
      </c>
      <c r="P882" s="278">
        <f>P881/P880</f>
        <v>0.58513172925241608</v>
      </c>
      <c r="Q882" s="315">
        <f>Q881/Q880</f>
        <v>0.10522129520613684</v>
      </c>
      <c r="R882" s="315">
        <f t="shared" ref="R882:S882" si="311">R881/R880</f>
        <v>7.458927218311201E-2</v>
      </c>
      <c r="S882" s="292">
        <f t="shared" si="311"/>
        <v>3.4072840160520936E-5</v>
      </c>
      <c r="T882" s="320">
        <f>T881/T880</f>
        <v>0.15835614948051713</v>
      </c>
      <c r="U882" s="292">
        <f>U881/U880</f>
        <v>0.1527326574092262</v>
      </c>
      <c r="V882" s="70"/>
      <c r="W882" s="70"/>
      <c r="X882" s="70"/>
      <c r="Y882" s="70"/>
      <c r="Z882" s="70"/>
      <c r="AA882" s="415"/>
      <c r="AB882" s="347" t="s">
        <v>3</v>
      </c>
      <c r="AC882" s="395">
        <f>AC881/AC880</f>
        <v>0.302678946274623</v>
      </c>
      <c r="AD882" s="635"/>
      <c r="AE882" s="635"/>
      <c r="AF882" s="635"/>
      <c r="AG882" s="635"/>
      <c r="AH882" s="635"/>
      <c r="AI882" s="635"/>
      <c r="AJ882" s="305">
        <f>AJ881/AJ880</f>
        <v>0.44421714648987376</v>
      </c>
      <c r="AK882" s="292">
        <f>AK881/AK880</f>
        <v>5.6493032726293656E-5</v>
      </c>
      <c r="AL882" s="399">
        <f>AL881/AL880</f>
        <v>0.41714964255495629</v>
      </c>
      <c r="AM882" s="343">
        <f>AM881/AM880</f>
        <v>5.4089073886876906E-5</v>
      </c>
      <c r="AN882" s="780"/>
      <c r="AO882" s="780"/>
    </row>
    <row r="883" spans="1:41" s="267" customFormat="1" ht="15" customHeight="1" x14ac:dyDescent="0.25">
      <c r="A883" s="1060" t="s">
        <v>6</v>
      </c>
      <c r="B883" s="19" t="s">
        <v>7</v>
      </c>
      <c r="C883" s="297">
        <v>5870</v>
      </c>
      <c r="D883" s="266">
        <v>3333</v>
      </c>
      <c r="E883" s="297">
        <v>3330</v>
      </c>
      <c r="F883" s="277">
        <v>9457</v>
      </c>
      <c r="G883" s="357">
        <v>8428</v>
      </c>
      <c r="H883" s="277">
        <v>15703</v>
      </c>
      <c r="I883" s="277">
        <v>7403</v>
      </c>
      <c r="J883" s="286">
        <v>9599</v>
      </c>
      <c r="K883" s="286">
        <v>4073</v>
      </c>
      <c r="L883" s="266">
        <v>6399</v>
      </c>
      <c r="M883" s="297">
        <v>9289</v>
      </c>
      <c r="N883" s="277">
        <v>12295</v>
      </c>
      <c r="O883" s="357">
        <v>4354</v>
      </c>
      <c r="P883" s="277">
        <v>10027</v>
      </c>
      <c r="Q883" s="286">
        <v>4799</v>
      </c>
      <c r="R883" s="286">
        <v>7192</v>
      </c>
      <c r="S883" s="266">
        <v>6399</v>
      </c>
      <c r="T883" s="416">
        <v>2000</v>
      </c>
      <c r="U883" s="266">
        <v>1250</v>
      </c>
      <c r="V883" s="358" t="s">
        <v>197</v>
      </c>
      <c r="W883" s="126"/>
      <c r="X883" s="70"/>
      <c r="Y883" s="70"/>
      <c r="Z883" s="70"/>
      <c r="AA883" s="413" t="s">
        <v>190</v>
      </c>
      <c r="AB883" s="19" t="s">
        <v>4</v>
      </c>
      <c r="AC883" s="318">
        <v>9191.7999999999993</v>
      </c>
      <c r="AD883" s="544"/>
      <c r="AE883" s="544"/>
      <c r="AF883" s="544"/>
      <c r="AG883" s="544"/>
      <c r="AH883" s="544"/>
      <c r="AI883" s="544"/>
      <c r="AJ883" s="299">
        <v>13787.7</v>
      </c>
      <c r="AK883" s="265">
        <v>8804.7999999999993</v>
      </c>
      <c r="AL883" s="397">
        <v>13787.7</v>
      </c>
      <c r="AM883" s="393">
        <v>8804.7999999999993</v>
      </c>
      <c r="AN883" s="778"/>
      <c r="AO883" s="778"/>
    </row>
    <row r="884" spans="1:41" s="267" customFormat="1" x14ac:dyDescent="0.25">
      <c r="A884" s="1061"/>
      <c r="B884" s="295" t="s">
        <v>11</v>
      </c>
      <c r="C884" s="302">
        <f t="shared" ref="C884:L884" si="312">C883*33.717</f>
        <v>197918.78999999998</v>
      </c>
      <c r="D884" s="263">
        <f t="shared" si="312"/>
        <v>112378.761</v>
      </c>
      <c r="E884" s="302">
        <f t="shared" si="312"/>
        <v>112277.61</v>
      </c>
      <c r="F884" s="355">
        <f t="shared" si="312"/>
        <v>318861.66899999999</v>
      </c>
      <c r="G884" s="308">
        <f t="shared" si="312"/>
        <v>284166.87599999999</v>
      </c>
      <c r="H884" s="354">
        <f t="shared" si="312"/>
        <v>529458.05099999998</v>
      </c>
      <c r="I884" s="354">
        <f t="shared" si="312"/>
        <v>249606.951</v>
      </c>
      <c r="J884" s="355">
        <f t="shared" si="312"/>
        <v>323649.48300000001</v>
      </c>
      <c r="K884" s="375">
        <f t="shared" si="312"/>
        <v>137329.34099999999</v>
      </c>
      <c r="L884" s="263">
        <f t="shared" si="312"/>
        <v>215755.08299999998</v>
      </c>
      <c r="M884" s="322">
        <f>M883*33.717</f>
        <v>313197.21299999999</v>
      </c>
      <c r="N884" s="308">
        <f>N883*33.717</f>
        <v>414550.51499999996</v>
      </c>
      <c r="O884" s="308">
        <f>O883*33.717</f>
        <v>146803.818</v>
      </c>
      <c r="P884" s="354">
        <f>P883*33.717</f>
        <v>338080.359</v>
      </c>
      <c r="Q884" s="355">
        <f>Q883*33.717</f>
        <v>161807.883</v>
      </c>
      <c r="R884" s="375">
        <f t="shared" ref="R884:S884" si="313">R883*33.717</f>
        <v>242492.66399999999</v>
      </c>
      <c r="S884" s="263">
        <f t="shared" si="313"/>
        <v>215755.08299999998</v>
      </c>
      <c r="T884" s="302">
        <f>T883*33.717</f>
        <v>67434</v>
      </c>
      <c r="U884" s="354">
        <f>U883*33.717</f>
        <v>42146.25</v>
      </c>
      <c r="V884" s="70"/>
      <c r="W884" s="70"/>
      <c r="X884" s="70"/>
      <c r="Y884" s="70"/>
      <c r="Z884" s="70"/>
      <c r="AA884" s="414"/>
      <c r="AB884" s="293" t="s">
        <v>5</v>
      </c>
      <c r="AC884" s="319">
        <v>8835</v>
      </c>
      <c r="AD884" s="936"/>
      <c r="AE884" s="936"/>
      <c r="AF884" s="936"/>
      <c r="AG884" s="936"/>
      <c r="AH884" s="936"/>
      <c r="AI884" s="936"/>
      <c r="AJ884" s="300">
        <v>13648.9</v>
      </c>
      <c r="AK884" s="264">
        <v>0</v>
      </c>
      <c r="AL884" s="398">
        <v>13649.5</v>
      </c>
      <c r="AM884" s="394">
        <v>30</v>
      </c>
      <c r="AN884" s="779"/>
      <c r="AO884" s="779"/>
    </row>
    <row r="885" spans="1:41" s="267" customFormat="1" ht="15.75" thickBot="1" x14ac:dyDescent="0.3">
      <c r="A885" s="1061"/>
      <c r="B885" s="295" t="s">
        <v>79</v>
      </c>
      <c r="C885" s="302">
        <v>164000</v>
      </c>
      <c r="D885" s="263">
        <v>109880</v>
      </c>
      <c r="E885" s="302">
        <v>109880</v>
      </c>
      <c r="F885" s="308">
        <v>328000</v>
      </c>
      <c r="G885" s="308">
        <v>330905</v>
      </c>
      <c r="H885" s="308">
        <v>264264</v>
      </c>
      <c r="I885" s="308">
        <v>242663.6</v>
      </c>
      <c r="J885" s="375">
        <v>328000</v>
      </c>
      <c r="K885" s="375">
        <v>328000</v>
      </c>
      <c r="L885" s="263">
        <v>328000</v>
      </c>
      <c r="M885" s="302">
        <v>328000</v>
      </c>
      <c r="N885" s="308">
        <v>264264.40000000002</v>
      </c>
      <c r="O885" s="308">
        <v>328000</v>
      </c>
      <c r="P885" s="308">
        <v>352965.4</v>
      </c>
      <c r="Q885" s="375">
        <v>328000</v>
      </c>
      <c r="R885" s="375">
        <v>328000</v>
      </c>
      <c r="S885" s="263">
        <v>328000</v>
      </c>
      <c r="T885" s="322">
        <f>2*T880</f>
        <v>110302</v>
      </c>
      <c r="U885" s="263">
        <f>2*U880</f>
        <v>66181</v>
      </c>
      <c r="V885" s="70"/>
      <c r="W885" s="70"/>
      <c r="X885" s="70"/>
      <c r="Y885" s="70"/>
      <c r="Z885" s="70"/>
      <c r="AA885" s="415"/>
      <c r="AB885" s="344" t="s">
        <v>3</v>
      </c>
      <c r="AC885" s="395">
        <f>AC884/AC883</f>
        <v>0.96118279335929857</v>
      </c>
      <c r="AD885" s="635"/>
      <c r="AE885" s="635"/>
      <c r="AF885" s="635"/>
      <c r="AG885" s="635"/>
      <c r="AH885" s="635"/>
      <c r="AI885" s="635"/>
      <c r="AJ885" s="301">
        <f>AJ884/AJ883</f>
        <v>0.98993305627479555</v>
      </c>
      <c r="AK885" s="401">
        <f>AK884/AK883</f>
        <v>0</v>
      </c>
      <c r="AL885" s="400">
        <f>AL884/AL883</f>
        <v>0.98997657332259903</v>
      </c>
      <c r="AM885" s="348">
        <f>AM884/AM883</f>
        <v>3.4072324186807199E-3</v>
      </c>
      <c r="AN885" s="780"/>
      <c r="AO885" s="780"/>
    </row>
    <row r="886" spans="1:41" s="267" customFormat="1" ht="15" customHeight="1" x14ac:dyDescent="0.25">
      <c r="A886" s="1061"/>
      <c r="B886" s="293" t="s">
        <v>8</v>
      </c>
      <c r="C886" s="303">
        <f>SUM(C883-434)</f>
        <v>5436</v>
      </c>
      <c r="D886" s="262">
        <f>SUM(D883-579)</f>
        <v>2754</v>
      </c>
      <c r="E886" s="303">
        <f>SUM(E883-545)</f>
        <v>2785</v>
      </c>
      <c r="F886" s="309">
        <f>SUM(F883-1243)</f>
        <v>8214</v>
      </c>
      <c r="G886" s="309">
        <f>SUM(G883-4550)</f>
        <v>3878</v>
      </c>
      <c r="H886" s="309">
        <f>SUM(H883-1978)</f>
        <v>13725</v>
      </c>
      <c r="I886" s="309">
        <f>SUM(I883-(3214-2000))</f>
        <v>6189</v>
      </c>
      <c r="J886" s="316">
        <f>SUM(J883-9081)</f>
        <v>518</v>
      </c>
      <c r="K886" s="316">
        <f>SUM(K883-3566)</f>
        <v>507</v>
      </c>
      <c r="L886" s="262">
        <f>SUM(L883-6312)</f>
        <v>87</v>
      </c>
      <c r="M886" s="303">
        <f>SUM(M883-936)</f>
        <v>8353</v>
      </c>
      <c r="N886" s="309">
        <f>SUM(N883-1164)</f>
        <v>11131</v>
      </c>
      <c r="O886" s="316">
        <f>SUM(O883-329)</f>
        <v>4025</v>
      </c>
      <c r="P886" s="309">
        <f>SUM(P883-(5150-2614))</f>
        <v>7491</v>
      </c>
      <c r="Q886" s="316">
        <f>SUM(Q883-3839)</f>
        <v>960</v>
      </c>
      <c r="R886" s="316">
        <f>SUM(R883-6594)</f>
        <v>598</v>
      </c>
      <c r="S886" s="262">
        <f>SUM(S883-6199)</f>
        <v>200</v>
      </c>
      <c r="T886" s="323">
        <f>SUM(T883-911)</f>
        <v>1089</v>
      </c>
      <c r="U886" s="262">
        <f>SUM(U883-752)</f>
        <v>498</v>
      </c>
      <c r="V886" s="12" t="s">
        <v>176</v>
      </c>
      <c r="W886" s="70"/>
      <c r="X886" s="70"/>
      <c r="Y886" s="70"/>
      <c r="Z886" s="70"/>
      <c r="AA886" s="413" t="s">
        <v>191</v>
      </c>
      <c r="AB886" s="19" t="s">
        <v>4</v>
      </c>
      <c r="AC886" s="318">
        <v>97433.600000000006</v>
      </c>
      <c r="AD886" s="544"/>
      <c r="AE886" s="544"/>
      <c r="AF886" s="544"/>
      <c r="AG886" s="544"/>
      <c r="AH886" s="544"/>
      <c r="AI886" s="544"/>
      <c r="AJ886" s="299">
        <v>243584.4</v>
      </c>
      <c r="AK886" s="265">
        <v>132070.29999999999</v>
      </c>
      <c r="AL886" s="397">
        <v>292299.3</v>
      </c>
      <c r="AM886" s="393">
        <v>132070.39999999999</v>
      </c>
      <c r="AN886" s="778"/>
      <c r="AO886" s="778"/>
    </row>
    <row r="887" spans="1:41" s="267" customFormat="1" x14ac:dyDescent="0.25">
      <c r="A887" s="1061"/>
      <c r="B887" s="296" t="s">
        <v>77</v>
      </c>
      <c r="C887" s="302">
        <f>(C886*33.717)</f>
        <v>183285.61199999999</v>
      </c>
      <c r="D887" s="338">
        <f>(D886*33.717)</f>
        <v>92856.618000000002</v>
      </c>
      <c r="E887" s="302">
        <f>(E886*33.717)</f>
        <v>93901.845000000001</v>
      </c>
      <c r="F887" s="338">
        <f>(F886*33.717)</f>
        <v>276951.43799999997</v>
      </c>
      <c r="G887" s="280">
        <f>(G886*33.717)*2</f>
        <v>261509.052</v>
      </c>
      <c r="H887" s="280">
        <f>(H886*33.717)</f>
        <v>462765.82500000001</v>
      </c>
      <c r="I887" s="280">
        <f>(I886*33.717)-(2000*33.717)</f>
        <v>141240.51300000001</v>
      </c>
      <c r="J887" s="376">
        <f>J886*33.717</f>
        <v>17465.405999999999</v>
      </c>
      <c r="K887" s="376">
        <f>K886*33.717</f>
        <v>17094.519</v>
      </c>
      <c r="L887" s="261">
        <f>L886*33.717</f>
        <v>2933.3789999999999</v>
      </c>
      <c r="M887" s="304">
        <f>M886*33.717</f>
        <v>281638.10099999997</v>
      </c>
      <c r="N887" s="280">
        <f>N886*33.717</f>
        <v>375303.92699999997</v>
      </c>
      <c r="O887" s="280">
        <f>(O886*33.717)</f>
        <v>135710.92499999999</v>
      </c>
      <c r="P887" s="280">
        <f t="shared" ref="P887:U887" si="314">P886*33.717</f>
        <v>252574.04699999999</v>
      </c>
      <c r="Q887" s="376">
        <f t="shared" si="314"/>
        <v>32368.32</v>
      </c>
      <c r="R887" s="376">
        <f t="shared" si="314"/>
        <v>20162.766</v>
      </c>
      <c r="S887" s="261">
        <f t="shared" si="314"/>
        <v>6743.4</v>
      </c>
      <c r="T887" s="324">
        <f t="shared" si="314"/>
        <v>36717.813000000002</v>
      </c>
      <c r="U887" s="325">
        <f t="shared" si="314"/>
        <v>16791.065999999999</v>
      </c>
      <c r="V887" s="63">
        <f>344240-H887</f>
        <v>-118525.82500000001</v>
      </c>
      <c r="W887" s="70" t="s">
        <v>177</v>
      </c>
      <c r="X887" s="70"/>
      <c r="Y887" s="70"/>
      <c r="Z887" s="70"/>
      <c r="AA887" s="414"/>
      <c r="AB887" s="293" t="s">
        <v>5</v>
      </c>
      <c r="AC887" s="319">
        <v>38973.199999999997</v>
      </c>
      <c r="AD887" s="936"/>
      <c r="AE887" s="936"/>
      <c r="AF887" s="936"/>
      <c r="AG887" s="936"/>
      <c r="AH887" s="936"/>
      <c r="AI887" s="936"/>
      <c r="AJ887" s="300">
        <v>95895.7</v>
      </c>
      <c r="AK887" s="264">
        <v>0.1</v>
      </c>
      <c r="AL887" s="398">
        <v>93978.8</v>
      </c>
      <c r="AM887" s="394">
        <v>1</v>
      </c>
      <c r="AN887" s="779"/>
      <c r="AO887" s="779"/>
    </row>
    <row r="888" spans="1:41" s="267" customFormat="1" ht="15.75" thickBot="1" x14ac:dyDescent="0.3">
      <c r="A888" s="1062"/>
      <c r="B888" s="294" t="s">
        <v>10</v>
      </c>
      <c r="C888" s="305">
        <f>C887/C880</f>
        <v>1.2782047380276582</v>
      </c>
      <c r="D888" s="292">
        <f t="shared" ref="D888:U888" si="315">D887/D880</f>
        <v>0.61691903954843541</v>
      </c>
      <c r="E888" s="310">
        <f t="shared" si="315"/>
        <v>0.62386329888975767</v>
      </c>
      <c r="F888" s="282">
        <f t="shared" si="315"/>
        <v>1.5217295923357315</v>
      </c>
      <c r="G888" s="282">
        <f t="shared" si="315"/>
        <v>1.5805687553829648</v>
      </c>
      <c r="H888" s="282">
        <f t="shared" si="315"/>
        <v>3.5022755498441343</v>
      </c>
      <c r="I888" s="282">
        <f t="shared" si="315"/>
        <v>0.8261196090978109</v>
      </c>
      <c r="J888" s="377">
        <f t="shared" si="315"/>
        <v>0.10556081315898425</v>
      </c>
      <c r="K888" s="377">
        <f t="shared" si="315"/>
        <v>0.18498239398517069</v>
      </c>
      <c r="L888" s="311">
        <f t="shared" si="315"/>
        <v>2.2210789732717496E-2</v>
      </c>
      <c r="M888" s="310">
        <f t="shared" si="315"/>
        <v>1.4590447813308975</v>
      </c>
      <c r="N888" s="282">
        <f t="shared" si="315"/>
        <v>2.8403518502961789</v>
      </c>
      <c r="O888" s="282">
        <f t="shared" si="315"/>
        <v>1.6404750708961806</v>
      </c>
      <c r="P888" s="260">
        <f t="shared" si="315"/>
        <v>0.91593641819731275</v>
      </c>
      <c r="Q888" s="377">
        <f t="shared" si="315"/>
        <v>0.39126858833797107</v>
      </c>
      <c r="R888" s="377">
        <f t="shared" si="315"/>
        <v>0.1066916885030077</v>
      </c>
      <c r="S888" s="311">
        <f t="shared" si="315"/>
        <v>5.1059286741879303E-2</v>
      </c>
      <c r="T888" s="305">
        <f t="shared" si="315"/>
        <v>0.66576876212580016</v>
      </c>
      <c r="U888" s="292">
        <f t="shared" si="315"/>
        <v>0.50742859733156043</v>
      </c>
      <c r="V888" s="126"/>
      <c r="W888" s="70"/>
      <c r="X888" s="70"/>
      <c r="Y888" s="70"/>
      <c r="Z888" s="70"/>
      <c r="AA888" s="415"/>
      <c r="AB888" s="294" t="s">
        <v>3</v>
      </c>
      <c r="AC888" s="320">
        <f>AC887/AC886</f>
        <v>0.39999753678402516</v>
      </c>
      <c r="AD888" s="545"/>
      <c r="AE888" s="545"/>
      <c r="AF888" s="545"/>
      <c r="AG888" s="545"/>
      <c r="AH888" s="545"/>
      <c r="AI888" s="545"/>
      <c r="AJ888" s="305">
        <f>AJ887/AJ886</f>
        <v>0.39368572043201455</v>
      </c>
      <c r="AK888" s="292">
        <f>AK887/AK886</f>
        <v>7.5717250585483648E-7</v>
      </c>
      <c r="AL888" s="399">
        <f>AL887/AL886</f>
        <v>0.32151565193621745</v>
      </c>
      <c r="AM888" s="343">
        <f>AM887/AM886</f>
        <v>7.5717193254506694E-6</v>
      </c>
      <c r="AN888" s="780"/>
      <c r="AO888" s="780"/>
    </row>
    <row r="889" spans="1:41" s="267" customFormat="1" ht="15.75" thickBot="1" x14ac:dyDescent="0.3">
      <c r="A889" s="1048">
        <v>41449</v>
      </c>
      <c r="B889" s="1048"/>
      <c r="C889" s="1048"/>
      <c r="D889" s="276"/>
      <c r="E889" s="276"/>
      <c r="F889" s="276"/>
      <c r="G889" s="276"/>
      <c r="H889" s="276"/>
      <c r="I889" s="11"/>
      <c r="J889" s="281"/>
      <c r="K889" s="281"/>
      <c r="L889" s="276"/>
      <c r="M889" s="276"/>
      <c r="N889" s="13"/>
      <c r="R889" s="12"/>
      <c r="S889" s="70"/>
      <c r="T889" s="70"/>
      <c r="U889" s="70"/>
      <c r="V889" s="70"/>
      <c r="W889" s="70"/>
      <c r="X889" s="70"/>
      <c r="Y889" s="70"/>
      <c r="Z889" s="70"/>
      <c r="AA889" s="1063"/>
      <c r="AB889" s="1064"/>
      <c r="AD889" s="743"/>
      <c r="AE889" s="743"/>
      <c r="AF889" s="743"/>
      <c r="AG889" s="743"/>
      <c r="AH889" s="743"/>
      <c r="AI889" s="743"/>
      <c r="AN889" s="743"/>
      <c r="AO889" s="743"/>
    </row>
    <row r="890" spans="1:41" s="267" customFormat="1" x14ac:dyDescent="0.25">
      <c r="A890" s="1049" t="s">
        <v>1</v>
      </c>
      <c r="B890" s="1050"/>
      <c r="C890" s="297" t="s">
        <v>12</v>
      </c>
      <c r="D890" s="266" t="s">
        <v>12</v>
      </c>
      <c r="E890" s="297" t="s">
        <v>13</v>
      </c>
      <c r="F890" s="277" t="s">
        <v>13</v>
      </c>
      <c r="G890" s="277" t="s">
        <v>13</v>
      </c>
      <c r="H890" s="277" t="s">
        <v>13</v>
      </c>
      <c r="I890" s="277" t="s">
        <v>13</v>
      </c>
      <c r="J890" s="286" t="s">
        <v>13</v>
      </c>
      <c r="K890" s="286" t="s">
        <v>13</v>
      </c>
      <c r="L890" s="266" t="s">
        <v>13</v>
      </c>
      <c r="M890" s="297" t="s">
        <v>2</v>
      </c>
      <c r="N890" s="277" t="s">
        <v>2</v>
      </c>
      <c r="O890" s="286" t="s">
        <v>2</v>
      </c>
      <c r="P890" s="277" t="s">
        <v>2</v>
      </c>
      <c r="Q890" s="286" t="s">
        <v>2</v>
      </c>
      <c r="R890" s="286" t="s">
        <v>2</v>
      </c>
      <c r="S890" s="266" t="s">
        <v>2</v>
      </c>
      <c r="T890" s="328" t="s">
        <v>183</v>
      </c>
      <c r="U890" s="327" t="s">
        <v>183</v>
      </c>
      <c r="V890" s="12"/>
      <c r="W890" s="70"/>
      <c r="X890" s="70"/>
      <c r="Y890" s="70"/>
      <c r="Z890" s="70"/>
      <c r="AA890" s="1049" t="s">
        <v>1</v>
      </c>
      <c r="AB890" s="1051"/>
      <c r="AC890" s="403" t="s">
        <v>12</v>
      </c>
      <c r="AD890" s="912"/>
      <c r="AE890" s="912"/>
      <c r="AF890" s="912"/>
      <c r="AG890" s="912"/>
      <c r="AH890" s="912"/>
      <c r="AI890" s="912"/>
      <c r="AJ890" s="1052" t="s">
        <v>13</v>
      </c>
      <c r="AK890" s="1053"/>
      <c r="AL890" s="1052" t="s">
        <v>2</v>
      </c>
      <c r="AM890" s="1053"/>
      <c r="AN890" s="776"/>
      <c r="AO890" s="776"/>
    </row>
    <row r="891" spans="1:41" s="267" customFormat="1" ht="15.75" thickBot="1" x14ac:dyDescent="0.3">
      <c r="A891" s="1054" t="s">
        <v>0</v>
      </c>
      <c r="B891" s="1066"/>
      <c r="C891" s="298" t="s">
        <v>99</v>
      </c>
      <c r="D891" s="291" t="s">
        <v>100</v>
      </c>
      <c r="E891" s="298" t="s">
        <v>101</v>
      </c>
      <c r="F891" s="306" t="s">
        <v>102</v>
      </c>
      <c r="G891" s="306" t="s">
        <v>97</v>
      </c>
      <c r="H891" s="306" t="s">
        <v>104</v>
      </c>
      <c r="I891" s="306" t="s">
        <v>103</v>
      </c>
      <c r="J891" s="378" t="s">
        <v>178</v>
      </c>
      <c r="K891" s="378" t="s">
        <v>199</v>
      </c>
      <c r="L891" s="314" t="s">
        <v>206</v>
      </c>
      <c r="M891" s="298" t="s">
        <v>105</v>
      </c>
      <c r="N891" s="306" t="s">
        <v>107</v>
      </c>
      <c r="O891" s="312" t="s">
        <v>98</v>
      </c>
      <c r="P891" s="313" t="s">
        <v>106</v>
      </c>
      <c r="Q891" s="312" t="s">
        <v>179</v>
      </c>
      <c r="R891" s="312" t="s">
        <v>198</v>
      </c>
      <c r="S891" s="291" t="s">
        <v>207</v>
      </c>
      <c r="T891" s="317" t="s">
        <v>182</v>
      </c>
      <c r="U891" s="291" t="s">
        <v>184</v>
      </c>
      <c r="V891" s="12"/>
      <c r="W891" s="12"/>
      <c r="X891" s="12"/>
      <c r="Y891" s="12"/>
      <c r="Z891" s="12"/>
      <c r="AA891" s="1054" t="s">
        <v>0</v>
      </c>
      <c r="AB891" s="1067"/>
      <c r="AC891" s="317" t="s">
        <v>99</v>
      </c>
      <c r="AD891" s="621"/>
      <c r="AE891" s="621"/>
      <c r="AF891" s="621"/>
      <c r="AG891" s="621"/>
      <c r="AH891" s="621"/>
      <c r="AI891" s="621"/>
      <c r="AJ891" s="298" t="s">
        <v>104</v>
      </c>
      <c r="AK891" s="291" t="s">
        <v>206</v>
      </c>
      <c r="AL891" s="396" t="s">
        <v>107</v>
      </c>
      <c r="AM891" s="392" t="s">
        <v>207</v>
      </c>
      <c r="AN891" s="777"/>
      <c r="AO891" s="777"/>
    </row>
    <row r="892" spans="1:41" s="267" customFormat="1" ht="15" customHeight="1" x14ac:dyDescent="0.25">
      <c r="A892" s="1057" t="s">
        <v>9</v>
      </c>
      <c r="B892" s="19" t="s">
        <v>4</v>
      </c>
      <c r="C892" s="299">
        <v>143393</v>
      </c>
      <c r="D892" s="265">
        <v>150516.70000000001</v>
      </c>
      <c r="E892" s="299">
        <v>150516.70000000001</v>
      </c>
      <c r="F892" s="283">
        <v>181997.8</v>
      </c>
      <c r="G892" s="283">
        <v>165452.5</v>
      </c>
      <c r="H892" s="283">
        <v>132132.9</v>
      </c>
      <c r="I892" s="368">
        <v>170968.6</v>
      </c>
      <c r="J892" s="223">
        <v>165453.5</v>
      </c>
      <c r="K892" s="223">
        <v>92411.6</v>
      </c>
      <c r="L892" s="265">
        <v>132070</v>
      </c>
      <c r="M892" s="299">
        <v>193029.1</v>
      </c>
      <c r="N892" s="283">
        <v>132132.9</v>
      </c>
      <c r="O892" s="283">
        <v>82726.600000000006</v>
      </c>
      <c r="P892" s="283">
        <v>275755</v>
      </c>
      <c r="Q892" s="223">
        <v>82726.600000000006</v>
      </c>
      <c r="R892" s="223">
        <v>188981.6</v>
      </c>
      <c r="S892" s="265">
        <v>132070</v>
      </c>
      <c r="T892" s="318">
        <v>55151</v>
      </c>
      <c r="U892" s="265">
        <v>33090.5</v>
      </c>
      <c r="V892" s="70"/>
      <c r="W892" s="70"/>
      <c r="X892" s="70"/>
      <c r="Y892" s="70"/>
      <c r="Z892" s="70"/>
      <c r="AA892" s="404" t="s">
        <v>194</v>
      </c>
      <c r="AB892" s="2" t="s">
        <v>4</v>
      </c>
      <c r="AC892" s="318">
        <v>143392.20000000001</v>
      </c>
      <c r="AD892" s="544"/>
      <c r="AE892" s="544"/>
      <c r="AF892" s="544"/>
      <c r="AG892" s="544"/>
      <c r="AH892" s="544"/>
      <c r="AI892" s="544"/>
      <c r="AJ892" s="299">
        <v>132132</v>
      </c>
      <c r="AK892" s="265">
        <v>83196.100000000006</v>
      </c>
      <c r="AL892" s="397">
        <v>132132.20000000001</v>
      </c>
      <c r="AM892" s="393">
        <v>83196.100000000006</v>
      </c>
      <c r="AN892" s="778"/>
      <c r="AO892" s="778"/>
    </row>
    <row r="893" spans="1:41" s="267" customFormat="1" x14ac:dyDescent="0.25">
      <c r="A893" s="1058"/>
      <c r="B893" s="293" t="s">
        <v>5</v>
      </c>
      <c r="C893" s="300">
        <v>43401.8</v>
      </c>
      <c r="D893" s="264">
        <v>78692</v>
      </c>
      <c r="E893" s="300">
        <v>80175.199999999997</v>
      </c>
      <c r="F893" s="307">
        <v>143778.70000000001</v>
      </c>
      <c r="G893" s="307">
        <v>105546.8</v>
      </c>
      <c r="H893" s="307">
        <v>58695.3</v>
      </c>
      <c r="I893" s="307">
        <v>88567.8</v>
      </c>
      <c r="J893" s="374">
        <v>16941.3</v>
      </c>
      <c r="K893" s="374">
        <v>8319.5</v>
      </c>
      <c r="L893" s="264">
        <v>4.7</v>
      </c>
      <c r="M893" s="300">
        <v>162048</v>
      </c>
      <c r="N893" s="307">
        <v>55118.9</v>
      </c>
      <c r="O893" s="307">
        <v>54223.5</v>
      </c>
      <c r="P893" s="307">
        <v>161353</v>
      </c>
      <c r="Q893" s="374">
        <v>8704.6</v>
      </c>
      <c r="R893" s="374">
        <v>14096</v>
      </c>
      <c r="S893" s="264">
        <v>4.5</v>
      </c>
      <c r="T893" s="319">
        <v>8733.5</v>
      </c>
      <c r="U893" s="264">
        <v>5054</v>
      </c>
      <c r="V893" s="70"/>
      <c r="W893" s="70"/>
      <c r="X893" s="70"/>
      <c r="Y893" s="70"/>
      <c r="Z893" s="70"/>
      <c r="AA893" s="405"/>
      <c r="AB893" s="342" t="s">
        <v>5</v>
      </c>
      <c r="AC893" s="319">
        <v>43401.8</v>
      </c>
      <c r="AD893" s="936"/>
      <c r="AE893" s="936"/>
      <c r="AF893" s="936"/>
      <c r="AG893" s="936"/>
      <c r="AH893" s="936"/>
      <c r="AI893" s="936"/>
      <c r="AJ893" s="300">
        <v>58695.3</v>
      </c>
      <c r="AK893" s="264">
        <v>4.7</v>
      </c>
      <c r="AL893" s="398">
        <v>55118.9</v>
      </c>
      <c r="AM893" s="394">
        <v>4.5</v>
      </c>
      <c r="AN893" s="779"/>
      <c r="AO893" s="779"/>
    </row>
    <row r="894" spans="1:41" s="267" customFormat="1" ht="15.75" thickBot="1" x14ac:dyDescent="0.3">
      <c r="A894" s="1059"/>
      <c r="B894" s="294" t="s">
        <v>3</v>
      </c>
      <c r="C894" s="305">
        <f t="shared" ref="C894:L894" si="316">C893/C892</f>
        <v>0.30267725760671721</v>
      </c>
      <c r="D894" s="343">
        <f t="shared" si="316"/>
        <v>0.52281241882130014</v>
      </c>
      <c r="E894" s="305">
        <f t="shared" si="316"/>
        <v>0.53266647488285346</v>
      </c>
      <c r="F894" s="371">
        <f t="shared" si="316"/>
        <v>0.79000240662249777</v>
      </c>
      <c r="G894" s="278">
        <f t="shared" si="316"/>
        <v>0.63792810625406082</v>
      </c>
      <c r="H894" s="278">
        <f t="shared" si="316"/>
        <v>0.44421412078293904</v>
      </c>
      <c r="I894" s="278">
        <f t="shared" si="316"/>
        <v>0.51803547552006624</v>
      </c>
      <c r="J894" s="315">
        <f t="shared" si="316"/>
        <v>0.10239311951696398</v>
      </c>
      <c r="K894" s="315">
        <f t="shared" si="316"/>
        <v>9.0026576750104961E-2</v>
      </c>
      <c r="L894" s="292">
        <f t="shared" si="316"/>
        <v>3.5587188612099643E-5</v>
      </c>
      <c r="M894" s="372">
        <f>M893/M892</f>
        <v>0.83950036548893403</v>
      </c>
      <c r="N894" s="278">
        <f>N893/N892</f>
        <v>0.41714743262276088</v>
      </c>
      <c r="O894" s="315">
        <f>O893/O892</f>
        <v>0.65545423116627533</v>
      </c>
      <c r="P894" s="278">
        <f>P893/P892</f>
        <v>0.58513172925241608</v>
      </c>
      <c r="Q894" s="315">
        <f>Q893/Q892</f>
        <v>0.10522129520613684</v>
      </c>
      <c r="R894" s="315">
        <f t="shared" ref="R894:S894" si="317">R893/R892</f>
        <v>7.458927218311201E-2</v>
      </c>
      <c r="S894" s="292">
        <f t="shared" si="317"/>
        <v>3.4072840160520936E-5</v>
      </c>
      <c r="T894" s="320">
        <f>T893/T892</f>
        <v>0.15835614948051713</v>
      </c>
      <c r="U894" s="292">
        <f>U893/U892</f>
        <v>0.1527326574092262</v>
      </c>
      <c r="V894" s="70"/>
      <c r="W894" s="70"/>
      <c r="X894" s="70"/>
      <c r="Y894" s="70"/>
      <c r="Z894" s="70"/>
      <c r="AA894" s="406"/>
      <c r="AB894" s="347" t="s">
        <v>3</v>
      </c>
      <c r="AC894" s="395">
        <f>AC893/AC892</f>
        <v>0.302678946274623</v>
      </c>
      <c r="AD894" s="635"/>
      <c r="AE894" s="635"/>
      <c r="AF894" s="635"/>
      <c r="AG894" s="635"/>
      <c r="AH894" s="635"/>
      <c r="AI894" s="635"/>
      <c r="AJ894" s="305">
        <f>AJ893/AJ892</f>
        <v>0.44421714648987376</v>
      </c>
      <c r="AK894" s="292">
        <f>AK893/AK892</f>
        <v>5.6493032726293656E-5</v>
      </c>
      <c r="AL894" s="399">
        <f>AL893/AL892</f>
        <v>0.41714964255495629</v>
      </c>
      <c r="AM894" s="343">
        <f>AM893/AM892</f>
        <v>5.4089073886876906E-5</v>
      </c>
      <c r="AN894" s="780"/>
      <c r="AO894" s="780"/>
    </row>
    <row r="895" spans="1:41" s="267" customFormat="1" ht="15" customHeight="1" x14ac:dyDescent="0.25">
      <c r="A895" s="1060" t="s">
        <v>6</v>
      </c>
      <c r="B895" s="19" t="s">
        <v>7</v>
      </c>
      <c r="C895" s="297">
        <v>5870</v>
      </c>
      <c r="D895" s="266">
        <v>3333</v>
      </c>
      <c r="E895" s="297">
        <v>3330</v>
      </c>
      <c r="F895" s="277">
        <v>9457</v>
      </c>
      <c r="G895" s="357">
        <v>8428</v>
      </c>
      <c r="H895" s="277">
        <v>15703</v>
      </c>
      <c r="I895" s="277">
        <v>7403</v>
      </c>
      <c r="J895" s="286">
        <v>9599</v>
      </c>
      <c r="K895" s="286">
        <v>4073</v>
      </c>
      <c r="L895" s="266">
        <v>6399</v>
      </c>
      <c r="M895" s="297">
        <v>9289</v>
      </c>
      <c r="N895" s="277">
        <v>12295</v>
      </c>
      <c r="O895" s="357">
        <v>4354</v>
      </c>
      <c r="P895" s="277">
        <v>10027</v>
      </c>
      <c r="Q895" s="286">
        <v>4799</v>
      </c>
      <c r="R895" s="286">
        <v>7192</v>
      </c>
      <c r="S895" s="266">
        <v>6399</v>
      </c>
      <c r="T895" s="403">
        <v>2000</v>
      </c>
      <c r="U895" s="266">
        <v>1250</v>
      </c>
      <c r="V895" s="358" t="s">
        <v>197</v>
      </c>
      <c r="W895" s="126"/>
      <c r="X895" s="70"/>
      <c r="Y895" s="70"/>
      <c r="Z895" s="70"/>
      <c r="AA895" s="404" t="s">
        <v>190</v>
      </c>
      <c r="AB895" s="19" t="s">
        <v>4</v>
      </c>
      <c r="AC895" s="318">
        <v>9191.7999999999993</v>
      </c>
      <c r="AD895" s="544"/>
      <c r="AE895" s="544"/>
      <c r="AF895" s="544"/>
      <c r="AG895" s="544"/>
      <c r="AH895" s="544"/>
      <c r="AI895" s="544"/>
      <c r="AJ895" s="299">
        <v>13787.7</v>
      </c>
      <c r="AK895" s="265">
        <v>8804.7999999999993</v>
      </c>
      <c r="AL895" s="397">
        <v>13787.7</v>
      </c>
      <c r="AM895" s="393">
        <v>8804.7999999999993</v>
      </c>
      <c r="AN895" s="778"/>
      <c r="AO895" s="778"/>
    </row>
    <row r="896" spans="1:41" s="267" customFormat="1" x14ac:dyDescent="0.25">
      <c r="A896" s="1061"/>
      <c r="B896" s="295" t="s">
        <v>11</v>
      </c>
      <c r="C896" s="302">
        <f t="shared" ref="C896:L896" si="318">C895*33.717</f>
        <v>197918.78999999998</v>
      </c>
      <c r="D896" s="263">
        <f t="shared" si="318"/>
        <v>112378.761</v>
      </c>
      <c r="E896" s="302">
        <f t="shared" si="318"/>
        <v>112277.61</v>
      </c>
      <c r="F896" s="355">
        <f t="shared" si="318"/>
        <v>318861.66899999999</v>
      </c>
      <c r="G896" s="308">
        <f t="shared" si="318"/>
        <v>284166.87599999999</v>
      </c>
      <c r="H896" s="354">
        <f t="shared" si="318"/>
        <v>529458.05099999998</v>
      </c>
      <c r="I896" s="354">
        <f t="shared" si="318"/>
        <v>249606.951</v>
      </c>
      <c r="J896" s="355">
        <f t="shared" si="318"/>
        <v>323649.48300000001</v>
      </c>
      <c r="K896" s="375">
        <f t="shared" si="318"/>
        <v>137329.34099999999</v>
      </c>
      <c r="L896" s="263">
        <f t="shared" si="318"/>
        <v>215755.08299999998</v>
      </c>
      <c r="M896" s="322">
        <f>M895*33.717</f>
        <v>313197.21299999999</v>
      </c>
      <c r="N896" s="308">
        <f>N895*33.717</f>
        <v>414550.51499999996</v>
      </c>
      <c r="O896" s="308">
        <f>O895*33.717</f>
        <v>146803.818</v>
      </c>
      <c r="P896" s="354">
        <f>P895*33.717</f>
        <v>338080.359</v>
      </c>
      <c r="Q896" s="355">
        <f>Q895*33.717</f>
        <v>161807.883</v>
      </c>
      <c r="R896" s="375">
        <f t="shared" ref="R896:S896" si="319">R895*33.717</f>
        <v>242492.66399999999</v>
      </c>
      <c r="S896" s="263">
        <f t="shared" si="319"/>
        <v>215755.08299999998</v>
      </c>
      <c r="T896" s="302">
        <f>T895*33.717</f>
        <v>67434</v>
      </c>
      <c r="U896" s="354">
        <f>U895*33.717</f>
        <v>42146.25</v>
      </c>
      <c r="V896" s="70"/>
      <c r="W896" s="70"/>
      <c r="X896" s="70"/>
      <c r="Y896" s="70"/>
      <c r="Z896" s="70"/>
      <c r="AA896" s="405"/>
      <c r="AB896" s="293" t="s">
        <v>5</v>
      </c>
      <c r="AC896" s="319">
        <v>8835</v>
      </c>
      <c r="AD896" s="936"/>
      <c r="AE896" s="936"/>
      <c r="AF896" s="936"/>
      <c r="AG896" s="936"/>
      <c r="AH896" s="936"/>
      <c r="AI896" s="936"/>
      <c r="AJ896" s="300">
        <v>13648.9</v>
      </c>
      <c r="AK896" s="264">
        <v>0</v>
      </c>
      <c r="AL896" s="398">
        <v>13649.5</v>
      </c>
      <c r="AM896" s="394">
        <v>30</v>
      </c>
      <c r="AN896" s="779"/>
      <c r="AO896" s="779"/>
    </row>
    <row r="897" spans="1:41" s="267" customFormat="1" ht="15.75" thickBot="1" x14ac:dyDescent="0.3">
      <c r="A897" s="1061"/>
      <c r="B897" s="295" t="s">
        <v>79</v>
      </c>
      <c r="C897" s="302">
        <v>164000</v>
      </c>
      <c r="D897" s="263">
        <v>109880</v>
      </c>
      <c r="E897" s="302">
        <v>109880</v>
      </c>
      <c r="F897" s="308">
        <v>328000</v>
      </c>
      <c r="G897" s="308">
        <v>330905</v>
      </c>
      <c r="H897" s="308">
        <v>264264</v>
      </c>
      <c r="I897" s="308">
        <v>242663.6</v>
      </c>
      <c r="J897" s="375">
        <v>328000</v>
      </c>
      <c r="K897" s="375">
        <v>328000</v>
      </c>
      <c r="L897" s="263">
        <v>328000</v>
      </c>
      <c r="M897" s="302">
        <v>328000</v>
      </c>
      <c r="N897" s="308">
        <v>264264.40000000002</v>
      </c>
      <c r="O897" s="308">
        <v>328000</v>
      </c>
      <c r="P897" s="308">
        <v>352965.4</v>
      </c>
      <c r="Q897" s="375">
        <v>328000</v>
      </c>
      <c r="R897" s="375">
        <v>328000</v>
      </c>
      <c r="S897" s="263">
        <v>328000</v>
      </c>
      <c r="T897" s="322">
        <f>2*T892</f>
        <v>110302</v>
      </c>
      <c r="U897" s="263">
        <f>2*U892</f>
        <v>66181</v>
      </c>
      <c r="V897" s="70"/>
      <c r="W897" s="70"/>
      <c r="X897" s="70"/>
      <c r="Y897" s="70"/>
      <c r="Z897" s="70"/>
      <c r="AA897" s="406"/>
      <c r="AB897" s="344" t="s">
        <v>3</v>
      </c>
      <c r="AC897" s="395">
        <f>AC896/AC895</f>
        <v>0.96118279335929857</v>
      </c>
      <c r="AD897" s="635"/>
      <c r="AE897" s="635"/>
      <c r="AF897" s="635"/>
      <c r="AG897" s="635"/>
      <c r="AH897" s="635"/>
      <c r="AI897" s="635"/>
      <c r="AJ897" s="301">
        <f>AJ896/AJ895</f>
        <v>0.98993305627479555</v>
      </c>
      <c r="AK897" s="401">
        <f>AK896/AK895</f>
        <v>0</v>
      </c>
      <c r="AL897" s="400">
        <f>AL896/AL895</f>
        <v>0.98997657332259903</v>
      </c>
      <c r="AM897" s="348">
        <f>AM896/AM895</f>
        <v>3.4072324186807199E-3</v>
      </c>
      <c r="AN897" s="780"/>
      <c r="AO897" s="780"/>
    </row>
    <row r="898" spans="1:41" s="267" customFormat="1" ht="15" customHeight="1" x14ac:dyDescent="0.25">
      <c r="A898" s="1061"/>
      <c r="B898" s="293" t="s">
        <v>8</v>
      </c>
      <c r="C898" s="303">
        <f>SUM(C895-434)</f>
        <v>5436</v>
      </c>
      <c r="D898" s="262">
        <f>SUM(D895-579)</f>
        <v>2754</v>
      </c>
      <c r="E898" s="303">
        <f>SUM(E895-545)</f>
        <v>2785</v>
      </c>
      <c r="F898" s="309">
        <f>SUM(F895-1243)</f>
        <v>8214</v>
      </c>
      <c r="G898" s="309">
        <f>SUM(G895-4550)</f>
        <v>3878</v>
      </c>
      <c r="H898" s="309">
        <f>SUM(H895-1978)</f>
        <v>13725</v>
      </c>
      <c r="I898" s="309">
        <f>SUM(I895-(3214-2000))</f>
        <v>6189</v>
      </c>
      <c r="J898" s="316">
        <f>SUM(J895-9081)</f>
        <v>518</v>
      </c>
      <c r="K898" s="316">
        <f>SUM(K895-3566)</f>
        <v>507</v>
      </c>
      <c r="L898" s="262">
        <f>SUM(L895-6312)</f>
        <v>87</v>
      </c>
      <c r="M898" s="303">
        <f>SUM(M895-936)</f>
        <v>8353</v>
      </c>
      <c r="N898" s="309">
        <f>SUM(N895-1164)</f>
        <v>11131</v>
      </c>
      <c r="O898" s="316">
        <f>SUM(O895-329)</f>
        <v>4025</v>
      </c>
      <c r="P898" s="309">
        <f>SUM(P895-(5150-2614))</f>
        <v>7491</v>
      </c>
      <c r="Q898" s="316">
        <f>SUM(Q895-3839)</f>
        <v>960</v>
      </c>
      <c r="R898" s="316">
        <f>SUM(R895-6594)</f>
        <v>598</v>
      </c>
      <c r="S898" s="262">
        <f>SUM(S895-6199)</f>
        <v>200</v>
      </c>
      <c r="T898" s="323">
        <f>SUM(T895-911)</f>
        <v>1089</v>
      </c>
      <c r="U898" s="262">
        <f>SUM(U895-752)</f>
        <v>498</v>
      </c>
      <c r="V898" s="12" t="s">
        <v>176</v>
      </c>
      <c r="W898" s="70"/>
      <c r="X898" s="70"/>
      <c r="Y898" s="70"/>
      <c r="Z898" s="70"/>
      <c r="AA898" s="404" t="s">
        <v>191</v>
      </c>
      <c r="AB898" s="19" t="s">
        <v>4</v>
      </c>
      <c r="AC898" s="318">
        <v>97433.600000000006</v>
      </c>
      <c r="AD898" s="544"/>
      <c r="AE898" s="544"/>
      <c r="AF898" s="544"/>
      <c r="AG898" s="544"/>
      <c r="AH898" s="544"/>
      <c r="AI898" s="544"/>
      <c r="AJ898" s="299">
        <v>243584.4</v>
      </c>
      <c r="AK898" s="265">
        <v>132070.29999999999</v>
      </c>
      <c r="AL898" s="397">
        <v>292299.3</v>
      </c>
      <c r="AM898" s="393">
        <v>132070.39999999999</v>
      </c>
      <c r="AN898" s="778"/>
      <c r="AO898" s="778"/>
    </row>
    <row r="899" spans="1:41" s="267" customFormat="1" x14ac:dyDescent="0.25">
      <c r="A899" s="1061"/>
      <c r="B899" s="296" t="s">
        <v>77</v>
      </c>
      <c r="C899" s="302">
        <f>(C898*33.717)</f>
        <v>183285.61199999999</v>
      </c>
      <c r="D899" s="338">
        <f>(D898*33.717)</f>
        <v>92856.618000000002</v>
      </c>
      <c r="E899" s="302">
        <f>(E898*33.717)</f>
        <v>93901.845000000001</v>
      </c>
      <c r="F899" s="338">
        <f>(F898*33.717)</f>
        <v>276951.43799999997</v>
      </c>
      <c r="G899" s="280">
        <f>(G898*33.717)*2</f>
        <v>261509.052</v>
      </c>
      <c r="H899" s="280">
        <f>(H898*33.717)</f>
        <v>462765.82500000001</v>
      </c>
      <c r="I899" s="280">
        <f>(I898*33.717)-(2000*33.717)</f>
        <v>141240.51300000001</v>
      </c>
      <c r="J899" s="376">
        <f>J898*33.717</f>
        <v>17465.405999999999</v>
      </c>
      <c r="K899" s="376">
        <f>K898*33.717</f>
        <v>17094.519</v>
      </c>
      <c r="L899" s="261">
        <f>L898*33.717</f>
        <v>2933.3789999999999</v>
      </c>
      <c r="M899" s="304">
        <f>M898*33.717</f>
        <v>281638.10099999997</v>
      </c>
      <c r="N899" s="280">
        <f>N898*33.717</f>
        <v>375303.92699999997</v>
      </c>
      <c r="O899" s="280">
        <f>(O898*33.717)</f>
        <v>135710.92499999999</v>
      </c>
      <c r="P899" s="280">
        <f t="shared" ref="P899:U899" si="320">P898*33.717</f>
        <v>252574.04699999999</v>
      </c>
      <c r="Q899" s="376">
        <f t="shared" si="320"/>
        <v>32368.32</v>
      </c>
      <c r="R899" s="376">
        <f t="shared" si="320"/>
        <v>20162.766</v>
      </c>
      <c r="S899" s="261">
        <f t="shared" si="320"/>
        <v>6743.4</v>
      </c>
      <c r="T899" s="324">
        <f t="shared" si="320"/>
        <v>36717.813000000002</v>
      </c>
      <c r="U899" s="325">
        <f t="shared" si="320"/>
        <v>16791.065999999999</v>
      </c>
      <c r="V899" s="63">
        <f>344240-H899</f>
        <v>-118525.82500000001</v>
      </c>
      <c r="W899" s="70" t="s">
        <v>177</v>
      </c>
      <c r="X899" s="70"/>
      <c r="Y899" s="70"/>
      <c r="Z899" s="70"/>
      <c r="AA899" s="405"/>
      <c r="AB899" s="293" t="s">
        <v>5</v>
      </c>
      <c r="AC899" s="319">
        <v>38973.199999999997</v>
      </c>
      <c r="AD899" s="936"/>
      <c r="AE899" s="936"/>
      <c r="AF899" s="936"/>
      <c r="AG899" s="936"/>
      <c r="AH899" s="936"/>
      <c r="AI899" s="936"/>
      <c r="AJ899" s="300">
        <v>95895.7</v>
      </c>
      <c r="AK899" s="264">
        <v>0.1</v>
      </c>
      <c r="AL899" s="398">
        <v>93978.8</v>
      </c>
      <c r="AM899" s="394">
        <v>1</v>
      </c>
      <c r="AN899" s="779"/>
      <c r="AO899" s="779"/>
    </row>
    <row r="900" spans="1:41" s="267" customFormat="1" ht="15.75" thickBot="1" x14ac:dyDescent="0.3">
      <c r="A900" s="1062"/>
      <c r="B900" s="294" t="s">
        <v>10</v>
      </c>
      <c r="C900" s="305">
        <f>C899/C892</f>
        <v>1.2782047380276582</v>
      </c>
      <c r="D900" s="292">
        <f t="shared" ref="D900:U900" si="321">D899/D892</f>
        <v>0.61691903954843541</v>
      </c>
      <c r="E900" s="310">
        <f t="shared" si="321"/>
        <v>0.62386329888975767</v>
      </c>
      <c r="F900" s="282">
        <f t="shared" si="321"/>
        <v>1.5217295923357315</v>
      </c>
      <c r="G900" s="282">
        <f t="shared" si="321"/>
        <v>1.5805687553829648</v>
      </c>
      <c r="H900" s="282">
        <f t="shared" si="321"/>
        <v>3.5022755498441343</v>
      </c>
      <c r="I900" s="282">
        <f t="shared" si="321"/>
        <v>0.8261196090978109</v>
      </c>
      <c r="J900" s="377">
        <f t="shared" si="321"/>
        <v>0.10556081315898425</v>
      </c>
      <c r="K900" s="377">
        <f t="shared" si="321"/>
        <v>0.18498239398517069</v>
      </c>
      <c r="L900" s="311">
        <f t="shared" si="321"/>
        <v>2.2210789732717496E-2</v>
      </c>
      <c r="M900" s="310">
        <f t="shared" si="321"/>
        <v>1.4590447813308975</v>
      </c>
      <c r="N900" s="282">
        <f t="shared" si="321"/>
        <v>2.8403518502961789</v>
      </c>
      <c r="O900" s="282">
        <f t="shared" si="321"/>
        <v>1.6404750708961806</v>
      </c>
      <c r="P900" s="260">
        <f t="shared" si="321"/>
        <v>0.91593641819731275</v>
      </c>
      <c r="Q900" s="377">
        <f t="shared" si="321"/>
        <v>0.39126858833797107</v>
      </c>
      <c r="R900" s="377">
        <f t="shared" si="321"/>
        <v>0.1066916885030077</v>
      </c>
      <c r="S900" s="311">
        <f t="shared" si="321"/>
        <v>5.1059286741879303E-2</v>
      </c>
      <c r="T900" s="305">
        <f t="shared" si="321"/>
        <v>0.66576876212580016</v>
      </c>
      <c r="U900" s="292">
        <f t="shared" si="321"/>
        <v>0.50742859733156043</v>
      </c>
      <c r="V900" s="126"/>
      <c r="W900" s="70"/>
      <c r="X900" s="70"/>
      <c r="Y900" s="70"/>
      <c r="Z900" s="70"/>
      <c r="AA900" s="406"/>
      <c r="AB900" s="294" t="s">
        <v>3</v>
      </c>
      <c r="AC900" s="320">
        <f>AC899/AC898</f>
        <v>0.39999753678402516</v>
      </c>
      <c r="AD900" s="545"/>
      <c r="AE900" s="545"/>
      <c r="AF900" s="545"/>
      <c r="AG900" s="545"/>
      <c r="AH900" s="545"/>
      <c r="AI900" s="545"/>
      <c r="AJ900" s="305">
        <f>AJ899/AJ898</f>
        <v>0.39368572043201455</v>
      </c>
      <c r="AK900" s="292">
        <f>AK899/AK898</f>
        <v>7.5717250585483648E-7</v>
      </c>
      <c r="AL900" s="399">
        <f>AL899/AL898</f>
        <v>0.32151565193621745</v>
      </c>
      <c r="AM900" s="343">
        <f>AM899/AM898</f>
        <v>7.5717193254506694E-6</v>
      </c>
      <c r="AN900" s="780"/>
      <c r="AO900" s="780"/>
    </row>
    <row r="901" spans="1:41" s="267" customFormat="1" ht="15.75" thickBot="1" x14ac:dyDescent="0.3">
      <c r="A901" s="1048">
        <v>41445</v>
      </c>
      <c r="B901" s="1048"/>
      <c r="C901" s="1048"/>
      <c r="D901" s="276"/>
      <c r="E901" s="276"/>
      <c r="F901" s="276"/>
      <c r="G901" s="276"/>
      <c r="H901" s="276"/>
      <c r="I901" s="11"/>
      <c r="J901" s="281"/>
      <c r="K901" s="281"/>
      <c r="L901" s="276"/>
      <c r="M901" s="276"/>
      <c r="N901" s="13"/>
      <c r="R901" s="12"/>
      <c r="S901" s="70"/>
      <c r="T901" s="70"/>
      <c r="U901" s="70"/>
      <c r="V901" s="70"/>
      <c r="W901" s="70"/>
      <c r="X901" s="70"/>
      <c r="Y901" s="70"/>
      <c r="Z901" s="70"/>
      <c r="AA901" s="1063"/>
      <c r="AB901" s="1064"/>
      <c r="AD901" s="743"/>
      <c r="AE901" s="743"/>
      <c r="AF901" s="743"/>
      <c r="AG901" s="743"/>
      <c r="AH901" s="743"/>
      <c r="AI901" s="743"/>
      <c r="AN901" s="743"/>
      <c r="AO901" s="743"/>
    </row>
    <row r="902" spans="1:41" s="267" customFormat="1" x14ac:dyDescent="0.25">
      <c r="A902" s="1049" t="s">
        <v>1</v>
      </c>
      <c r="B902" s="1050"/>
      <c r="C902" s="297" t="s">
        <v>12</v>
      </c>
      <c r="D902" s="266" t="s">
        <v>12</v>
      </c>
      <c r="E902" s="297" t="s">
        <v>13</v>
      </c>
      <c r="F902" s="277" t="s">
        <v>13</v>
      </c>
      <c r="G902" s="277" t="s">
        <v>13</v>
      </c>
      <c r="H902" s="277" t="s">
        <v>13</v>
      </c>
      <c r="I902" s="277" t="s">
        <v>13</v>
      </c>
      <c r="J902" s="286" t="s">
        <v>13</v>
      </c>
      <c r="K902" s="286" t="s">
        <v>13</v>
      </c>
      <c r="L902" s="266" t="s">
        <v>13</v>
      </c>
      <c r="M902" s="297" t="s">
        <v>2</v>
      </c>
      <c r="N902" s="277" t="s">
        <v>2</v>
      </c>
      <c r="O902" s="286" t="s">
        <v>2</v>
      </c>
      <c r="P902" s="277" t="s">
        <v>2</v>
      </c>
      <c r="Q902" s="286" t="s">
        <v>2</v>
      </c>
      <c r="R902" s="286" t="s">
        <v>2</v>
      </c>
      <c r="S902" s="266" t="s">
        <v>2</v>
      </c>
      <c r="T902" s="328" t="s">
        <v>183</v>
      </c>
      <c r="U902" s="327" t="s">
        <v>183</v>
      </c>
      <c r="V902" s="12"/>
      <c r="W902" s="70"/>
      <c r="X902" s="70"/>
      <c r="Y902" s="70"/>
      <c r="Z902" s="70"/>
      <c r="AA902" s="1049" t="s">
        <v>1</v>
      </c>
      <c r="AB902" s="1051"/>
      <c r="AC902" s="402" t="s">
        <v>12</v>
      </c>
      <c r="AD902" s="912"/>
      <c r="AE902" s="912"/>
      <c r="AF902" s="912"/>
      <c r="AG902" s="912"/>
      <c r="AH902" s="912"/>
      <c r="AI902" s="912"/>
      <c r="AJ902" s="1052" t="s">
        <v>13</v>
      </c>
      <c r="AK902" s="1053"/>
      <c r="AL902" s="1052" t="s">
        <v>2</v>
      </c>
      <c r="AM902" s="1053"/>
      <c r="AN902" s="776"/>
      <c r="AO902" s="776"/>
    </row>
    <row r="903" spans="1:41" s="267" customFormat="1" ht="15.75" thickBot="1" x14ac:dyDescent="0.3">
      <c r="A903" s="1054" t="s">
        <v>0</v>
      </c>
      <c r="B903" s="1066"/>
      <c r="C903" s="298" t="s">
        <v>99</v>
      </c>
      <c r="D903" s="291" t="s">
        <v>100</v>
      </c>
      <c r="E903" s="298" t="s">
        <v>101</v>
      </c>
      <c r="F903" s="306" t="s">
        <v>102</v>
      </c>
      <c r="G903" s="306" t="s">
        <v>97</v>
      </c>
      <c r="H903" s="306" t="s">
        <v>104</v>
      </c>
      <c r="I903" s="306" t="s">
        <v>103</v>
      </c>
      <c r="J903" s="378" t="s">
        <v>178</v>
      </c>
      <c r="K903" s="378" t="s">
        <v>199</v>
      </c>
      <c r="L903" s="314" t="s">
        <v>206</v>
      </c>
      <c r="M903" s="298" t="s">
        <v>105</v>
      </c>
      <c r="N903" s="306" t="s">
        <v>107</v>
      </c>
      <c r="O903" s="312" t="s">
        <v>98</v>
      </c>
      <c r="P903" s="313" t="s">
        <v>106</v>
      </c>
      <c r="Q903" s="312" t="s">
        <v>179</v>
      </c>
      <c r="R903" s="312" t="s">
        <v>198</v>
      </c>
      <c r="S903" s="291" t="s">
        <v>207</v>
      </c>
      <c r="T903" s="317" t="s">
        <v>182</v>
      </c>
      <c r="U903" s="291" t="s">
        <v>184</v>
      </c>
      <c r="V903" s="12"/>
      <c r="W903" s="12"/>
      <c r="X903" s="12"/>
      <c r="Y903" s="12"/>
      <c r="Z903" s="12"/>
      <c r="AA903" s="1054" t="s">
        <v>0</v>
      </c>
      <c r="AB903" s="1067"/>
      <c r="AC903" s="317" t="s">
        <v>99</v>
      </c>
      <c r="AD903" s="621"/>
      <c r="AE903" s="621"/>
      <c r="AF903" s="621"/>
      <c r="AG903" s="621"/>
      <c r="AH903" s="621"/>
      <c r="AI903" s="621"/>
      <c r="AJ903" s="298" t="s">
        <v>104</v>
      </c>
      <c r="AK903" s="291" t="s">
        <v>206</v>
      </c>
      <c r="AL903" s="396" t="s">
        <v>107</v>
      </c>
      <c r="AM903" s="392" t="s">
        <v>207</v>
      </c>
      <c r="AN903" s="777"/>
      <c r="AO903" s="777"/>
    </row>
    <row r="904" spans="1:41" s="267" customFormat="1" ht="15" customHeight="1" x14ac:dyDescent="0.25">
      <c r="A904" s="1057" t="s">
        <v>9</v>
      </c>
      <c r="B904" s="19" t="s">
        <v>4</v>
      </c>
      <c r="C904" s="299">
        <v>143393</v>
      </c>
      <c r="D904" s="265">
        <v>150516.70000000001</v>
      </c>
      <c r="E904" s="299">
        <v>150516.70000000001</v>
      </c>
      <c r="F904" s="283">
        <v>181997.8</v>
      </c>
      <c r="G904" s="283">
        <v>165452.5</v>
      </c>
      <c r="H904" s="283">
        <v>132132.9</v>
      </c>
      <c r="I904" s="368">
        <v>170968.6</v>
      </c>
      <c r="J904" s="223">
        <v>165453.5</v>
      </c>
      <c r="K904" s="223">
        <v>92411.6</v>
      </c>
      <c r="L904" s="265">
        <v>132070</v>
      </c>
      <c r="M904" s="299">
        <v>193029.1</v>
      </c>
      <c r="N904" s="283">
        <v>132132.9</v>
      </c>
      <c r="O904" s="283">
        <v>82726.600000000006</v>
      </c>
      <c r="P904" s="283">
        <v>275755</v>
      </c>
      <c r="Q904" s="223">
        <v>82726.600000000006</v>
      </c>
      <c r="R904" s="223">
        <v>188981.6</v>
      </c>
      <c r="S904" s="265">
        <v>132070</v>
      </c>
      <c r="T904" s="318">
        <v>55151</v>
      </c>
      <c r="U904" s="265">
        <v>33090.5</v>
      </c>
      <c r="V904" s="70"/>
      <c r="W904" s="70"/>
      <c r="X904" s="70"/>
      <c r="Y904" s="70"/>
      <c r="Z904" s="70"/>
      <c r="AA904" s="389" t="s">
        <v>194</v>
      </c>
      <c r="AB904" s="2" t="s">
        <v>4</v>
      </c>
      <c r="AC904" s="318">
        <v>143392.20000000001</v>
      </c>
      <c r="AD904" s="544"/>
      <c r="AE904" s="544"/>
      <c r="AF904" s="544"/>
      <c r="AG904" s="544"/>
      <c r="AH904" s="544"/>
      <c r="AI904" s="544"/>
      <c r="AJ904" s="299">
        <v>132132</v>
      </c>
      <c r="AK904" s="265">
        <v>83196.100000000006</v>
      </c>
      <c r="AL904" s="397">
        <v>132132.20000000001</v>
      </c>
      <c r="AM904" s="393">
        <v>83196.100000000006</v>
      </c>
      <c r="AN904" s="778"/>
      <c r="AO904" s="778"/>
    </row>
    <row r="905" spans="1:41" s="267" customFormat="1" x14ac:dyDescent="0.25">
      <c r="A905" s="1058"/>
      <c r="B905" s="293" t="s">
        <v>5</v>
      </c>
      <c r="C905" s="300">
        <v>43563.9</v>
      </c>
      <c r="D905" s="264">
        <v>78591.199999999997</v>
      </c>
      <c r="E905" s="300">
        <v>80073.600000000006</v>
      </c>
      <c r="F905" s="307">
        <v>143653.20000000001</v>
      </c>
      <c r="G905" s="307">
        <v>105229.3</v>
      </c>
      <c r="H905" s="307">
        <v>57295.3</v>
      </c>
      <c r="I905" s="307">
        <v>87958.7</v>
      </c>
      <c r="J905" s="374">
        <v>16939.2</v>
      </c>
      <c r="K905" s="374">
        <v>833.6</v>
      </c>
      <c r="L905" s="264">
        <v>4.7</v>
      </c>
      <c r="M905" s="300">
        <v>161620.79999999999</v>
      </c>
      <c r="N905" s="307">
        <v>56417.599999999999</v>
      </c>
      <c r="O905" s="307">
        <v>54064.800000000003</v>
      </c>
      <c r="P905" s="307">
        <v>160114</v>
      </c>
      <c r="Q905" s="374">
        <v>8703.5</v>
      </c>
      <c r="R905" s="374">
        <v>1940.9</v>
      </c>
      <c r="S905" s="264">
        <v>4.5999999999999996</v>
      </c>
      <c r="T905" s="319">
        <v>8674.1</v>
      </c>
      <c r="U905" s="264">
        <v>5030.8</v>
      </c>
      <c r="V905" s="70"/>
      <c r="W905" s="70"/>
      <c r="X905" s="70"/>
      <c r="Y905" s="70"/>
      <c r="Z905" s="70"/>
      <c r="AA905" s="390"/>
      <c r="AB905" s="342" t="s">
        <v>5</v>
      </c>
      <c r="AC905" s="319">
        <v>43563.9</v>
      </c>
      <c r="AD905" s="936"/>
      <c r="AE905" s="936"/>
      <c r="AF905" s="936"/>
      <c r="AG905" s="936"/>
      <c r="AH905" s="936"/>
      <c r="AI905" s="936"/>
      <c r="AJ905" s="300">
        <v>57295.3</v>
      </c>
      <c r="AK905" s="264">
        <v>4.7</v>
      </c>
      <c r="AL905" s="398">
        <v>56417.599999999999</v>
      </c>
      <c r="AM905" s="394">
        <v>4.5999999999999996</v>
      </c>
      <c r="AN905" s="779"/>
      <c r="AO905" s="779"/>
    </row>
    <row r="906" spans="1:41" s="267" customFormat="1" ht="15.75" thickBot="1" x14ac:dyDescent="0.3">
      <c r="A906" s="1059"/>
      <c r="B906" s="294" t="s">
        <v>3</v>
      </c>
      <c r="C906" s="305">
        <f t="shared" ref="C906:L906" si="322">C905/C904</f>
        <v>0.30380771725258554</v>
      </c>
      <c r="D906" s="343">
        <f t="shared" si="322"/>
        <v>0.52214272569090336</v>
      </c>
      <c r="E906" s="305">
        <f t="shared" si="322"/>
        <v>0.53199146672761233</v>
      </c>
      <c r="F906" s="371">
        <f t="shared" si="322"/>
        <v>0.78931283784749062</v>
      </c>
      <c r="G906" s="278">
        <f t="shared" si="322"/>
        <v>0.6360091264864538</v>
      </c>
      <c r="H906" s="278">
        <f t="shared" si="322"/>
        <v>0.43361872781116589</v>
      </c>
      <c r="I906" s="278">
        <f t="shared" si="322"/>
        <v>0.51447283302313984</v>
      </c>
      <c r="J906" s="315">
        <f t="shared" si="322"/>
        <v>0.10238042712907253</v>
      </c>
      <c r="K906" s="315">
        <f t="shared" si="322"/>
        <v>9.0205125763432297E-3</v>
      </c>
      <c r="L906" s="292">
        <f t="shared" si="322"/>
        <v>3.5587188612099643E-5</v>
      </c>
      <c r="M906" s="372">
        <f>M905/M904</f>
        <v>0.83728722767707031</v>
      </c>
      <c r="N906" s="278">
        <f>N905/N904</f>
        <v>0.42697617323164783</v>
      </c>
      <c r="O906" s="315">
        <f>O905/O904</f>
        <v>0.65353586391801421</v>
      </c>
      <c r="P906" s="278">
        <f>P905/P904</f>
        <v>0.58063861036064623</v>
      </c>
      <c r="Q906" s="315">
        <f>Q905/Q904</f>
        <v>0.10520799839471222</v>
      </c>
      <c r="R906" s="315">
        <f t="shared" ref="R906:S906" si="323">R905/R904</f>
        <v>1.027031203037756E-2</v>
      </c>
      <c r="S906" s="292">
        <f t="shared" si="323"/>
        <v>3.4830014386310289E-5</v>
      </c>
      <c r="T906" s="320">
        <f>T905/T904</f>
        <v>0.15727910645319215</v>
      </c>
      <c r="U906" s="292">
        <f>U905/U904</f>
        <v>0.1520315498405887</v>
      </c>
      <c r="V906" s="70"/>
      <c r="W906" s="70"/>
      <c r="X906" s="70"/>
      <c r="Y906" s="70"/>
      <c r="Z906" s="70"/>
      <c r="AA906" s="391"/>
      <c r="AB906" s="347" t="s">
        <v>3</v>
      </c>
      <c r="AC906" s="395">
        <f>AC905/AC904</f>
        <v>0.30380941222744334</v>
      </c>
      <c r="AD906" s="635"/>
      <c r="AE906" s="635"/>
      <c r="AF906" s="635"/>
      <c r="AG906" s="635"/>
      <c r="AH906" s="635"/>
      <c r="AI906" s="635"/>
      <c r="AJ906" s="305">
        <f>AJ905/AJ904</f>
        <v>0.43362168134895412</v>
      </c>
      <c r="AK906" s="292">
        <f>AK905/AK904</f>
        <v>5.6493032726293656E-5</v>
      </c>
      <c r="AL906" s="399">
        <f>AL905/AL904</f>
        <v>0.42697843523380369</v>
      </c>
      <c r="AM906" s="343">
        <f>AM905/AM904</f>
        <v>5.5291053306585277E-5</v>
      </c>
      <c r="AN906" s="780"/>
      <c r="AO906" s="780"/>
    </row>
    <row r="907" spans="1:41" s="267" customFormat="1" ht="15" customHeight="1" x14ac:dyDescent="0.25">
      <c r="A907" s="1060" t="s">
        <v>6</v>
      </c>
      <c r="B907" s="19" t="s">
        <v>7</v>
      </c>
      <c r="C907" s="297">
        <v>5870</v>
      </c>
      <c r="D907" s="266">
        <v>3333</v>
      </c>
      <c r="E907" s="297">
        <v>3330</v>
      </c>
      <c r="F907" s="277">
        <v>9457</v>
      </c>
      <c r="G907" s="357">
        <v>8428</v>
      </c>
      <c r="H907" s="277">
        <v>15703</v>
      </c>
      <c r="I907" s="277">
        <v>7403</v>
      </c>
      <c r="J907" s="286">
        <v>9599</v>
      </c>
      <c r="K907" s="286">
        <v>4073</v>
      </c>
      <c r="L907" s="266">
        <v>6399</v>
      </c>
      <c r="M907" s="297">
        <v>9289</v>
      </c>
      <c r="N907" s="277">
        <v>12295</v>
      </c>
      <c r="O907" s="357">
        <v>4354</v>
      </c>
      <c r="P907" s="277">
        <v>10027</v>
      </c>
      <c r="Q907" s="286">
        <v>4799</v>
      </c>
      <c r="R907" s="286">
        <v>7192</v>
      </c>
      <c r="S907" s="266">
        <v>6399</v>
      </c>
      <c r="T907" s="402">
        <v>2000</v>
      </c>
      <c r="U907" s="266">
        <v>1250</v>
      </c>
      <c r="V907" s="358" t="s">
        <v>197</v>
      </c>
      <c r="W907" s="126"/>
      <c r="X907" s="70"/>
      <c r="Y907" s="70"/>
      <c r="Z907" s="70"/>
      <c r="AA907" s="389" t="s">
        <v>190</v>
      </c>
      <c r="AB907" s="19" t="s">
        <v>4</v>
      </c>
      <c r="AC907" s="318">
        <v>9191.7999999999993</v>
      </c>
      <c r="AD907" s="544"/>
      <c r="AE907" s="544"/>
      <c r="AF907" s="544"/>
      <c r="AG907" s="544"/>
      <c r="AH907" s="544"/>
      <c r="AI907" s="544"/>
      <c r="AJ907" s="299">
        <v>13787.7</v>
      </c>
      <c r="AK907" s="265">
        <v>8804.7999999999993</v>
      </c>
      <c r="AL907" s="397">
        <v>13787.7</v>
      </c>
      <c r="AM907" s="393">
        <v>8804.7999999999993</v>
      </c>
      <c r="AN907" s="778"/>
      <c r="AO907" s="778"/>
    </row>
    <row r="908" spans="1:41" s="267" customFormat="1" x14ac:dyDescent="0.25">
      <c r="A908" s="1061"/>
      <c r="B908" s="295" t="s">
        <v>11</v>
      </c>
      <c r="C908" s="302">
        <f t="shared" ref="C908:L908" si="324">C907*33.717</f>
        <v>197918.78999999998</v>
      </c>
      <c r="D908" s="263">
        <f t="shared" si="324"/>
        <v>112378.761</v>
      </c>
      <c r="E908" s="302">
        <f t="shared" si="324"/>
        <v>112277.61</v>
      </c>
      <c r="F908" s="355">
        <f t="shared" si="324"/>
        <v>318861.66899999999</v>
      </c>
      <c r="G908" s="308">
        <f t="shared" si="324"/>
        <v>284166.87599999999</v>
      </c>
      <c r="H908" s="354">
        <f t="shared" si="324"/>
        <v>529458.05099999998</v>
      </c>
      <c r="I908" s="354">
        <f t="shared" si="324"/>
        <v>249606.951</v>
      </c>
      <c r="J908" s="355">
        <f t="shared" si="324"/>
        <v>323649.48300000001</v>
      </c>
      <c r="K908" s="375">
        <f t="shared" si="324"/>
        <v>137329.34099999999</v>
      </c>
      <c r="L908" s="263">
        <f t="shared" si="324"/>
        <v>215755.08299999998</v>
      </c>
      <c r="M908" s="322">
        <f>M907*33.717</f>
        <v>313197.21299999999</v>
      </c>
      <c r="N908" s="308">
        <f>N907*33.717</f>
        <v>414550.51499999996</v>
      </c>
      <c r="O908" s="308">
        <f>O907*33.717</f>
        <v>146803.818</v>
      </c>
      <c r="P908" s="354">
        <f>P907*33.717</f>
        <v>338080.359</v>
      </c>
      <c r="Q908" s="355">
        <f>Q907*33.717</f>
        <v>161807.883</v>
      </c>
      <c r="R908" s="375">
        <f t="shared" ref="R908:S908" si="325">R907*33.717</f>
        <v>242492.66399999999</v>
      </c>
      <c r="S908" s="263">
        <f t="shared" si="325"/>
        <v>215755.08299999998</v>
      </c>
      <c r="T908" s="302">
        <f>T907*33.717</f>
        <v>67434</v>
      </c>
      <c r="U908" s="354">
        <f>U907*33.717</f>
        <v>42146.25</v>
      </c>
      <c r="V908" s="70"/>
      <c r="W908" s="70"/>
      <c r="X908" s="70"/>
      <c r="Y908" s="70"/>
      <c r="Z908" s="70"/>
      <c r="AA908" s="390"/>
      <c r="AB908" s="293" t="s">
        <v>5</v>
      </c>
      <c r="AC908" s="319">
        <v>8603.4</v>
      </c>
      <c r="AD908" s="936"/>
      <c r="AE908" s="936"/>
      <c r="AF908" s="936"/>
      <c r="AG908" s="936"/>
      <c r="AH908" s="936"/>
      <c r="AI908" s="936"/>
      <c r="AJ908" s="300">
        <v>13645.7</v>
      </c>
      <c r="AK908" s="264">
        <v>0</v>
      </c>
      <c r="AL908" s="398">
        <v>13649</v>
      </c>
      <c r="AM908" s="394">
        <v>0.5</v>
      </c>
      <c r="AN908" s="779"/>
      <c r="AO908" s="779"/>
    </row>
    <row r="909" spans="1:41" s="267" customFormat="1" ht="15.75" thickBot="1" x14ac:dyDescent="0.3">
      <c r="A909" s="1061"/>
      <c r="B909" s="295" t="s">
        <v>79</v>
      </c>
      <c r="C909" s="302">
        <v>164000</v>
      </c>
      <c r="D909" s="263">
        <v>109880</v>
      </c>
      <c r="E909" s="302">
        <v>109880</v>
      </c>
      <c r="F909" s="308">
        <v>328000</v>
      </c>
      <c r="G909" s="308">
        <v>330905</v>
      </c>
      <c r="H909" s="308">
        <v>264264</v>
      </c>
      <c r="I909" s="308">
        <v>242663.6</v>
      </c>
      <c r="J909" s="375">
        <v>328000</v>
      </c>
      <c r="K909" s="375">
        <v>328000</v>
      </c>
      <c r="L909" s="263">
        <v>328000</v>
      </c>
      <c r="M909" s="302">
        <v>328000</v>
      </c>
      <c r="N909" s="308">
        <v>264264.40000000002</v>
      </c>
      <c r="O909" s="308">
        <v>328000</v>
      </c>
      <c r="P909" s="308">
        <v>352965.4</v>
      </c>
      <c r="Q909" s="375">
        <v>328000</v>
      </c>
      <c r="R909" s="375">
        <v>328000</v>
      </c>
      <c r="S909" s="263">
        <v>328000</v>
      </c>
      <c r="T909" s="322">
        <f>2*T904</f>
        <v>110302</v>
      </c>
      <c r="U909" s="263">
        <f>2*U904</f>
        <v>66181</v>
      </c>
      <c r="V909" s="70"/>
      <c r="W909" s="70"/>
      <c r="X909" s="70"/>
      <c r="Y909" s="70"/>
      <c r="Z909" s="70"/>
      <c r="AA909" s="391"/>
      <c r="AB909" s="344" t="s">
        <v>3</v>
      </c>
      <c r="AC909" s="395">
        <f>AC908/AC907</f>
        <v>0.93598642268108534</v>
      </c>
      <c r="AD909" s="635"/>
      <c r="AE909" s="635"/>
      <c r="AF909" s="635"/>
      <c r="AG909" s="635"/>
      <c r="AH909" s="635"/>
      <c r="AI909" s="635"/>
      <c r="AJ909" s="301">
        <f>AJ908/AJ907</f>
        <v>0.98970096535317709</v>
      </c>
      <c r="AK909" s="401">
        <f>AK908/AK907</f>
        <v>0</v>
      </c>
      <c r="AL909" s="400">
        <f>AL908/AL907</f>
        <v>0.98994030911609621</v>
      </c>
      <c r="AM909" s="348">
        <f>AM908/AM907</f>
        <v>5.6787206978011997E-5</v>
      </c>
      <c r="AN909" s="780"/>
      <c r="AO909" s="780"/>
    </row>
    <row r="910" spans="1:41" s="267" customFormat="1" ht="15" customHeight="1" x14ac:dyDescent="0.25">
      <c r="A910" s="1061"/>
      <c r="B910" s="293" t="s">
        <v>8</v>
      </c>
      <c r="C910" s="303">
        <f>SUM(C907-464)</f>
        <v>5406</v>
      </c>
      <c r="D910" s="262">
        <f>SUM(D907-632)</f>
        <v>2701</v>
      </c>
      <c r="E910" s="303">
        <f>SUM(E907-598)</f>
        <v>2732</v>
      </c>
      <c r="F910" s="309">
        <f>SUM(F907-1243)</f>
        <v>8214</v>
      </c>
      <c r="G910" s="309">
        <f>SUM(G907-4550)</f>
        <v>3878</v>
      </c>
      <c r="H910" s="309">
        <f>SUM(H907-2046)</f>
        <v>13657</v>
      </c>
      <c r="I910" s="309">
        <f>SUM(I907-(3222-2000))</f>
        <v>6181</v>
      </c>
      <c r="J910" s="316">
        <f>SUM(J907-9081)</f>
        <v>518</v>
      </c>
      <c r="K910" s="316">
        <f>SUM(K907-3706)</f>
        <v>367</v>
      </c>
      <c r="L910" s="262">
        <f>SUM(L907-6312)</f>
        <v>87</v>
      </c>
      <c r="M910" s="303">
        <f>SUM(M907-936)</f>
        <v>8353</v>
      </c>
      <c r="N910" s="309">
        <f>SUM(N907-1164)</f>
        <v>11131</v>
      </c>
      <c r="O910" s="316">
        <f>SUM(O907-329)</f>
        <v>4025</v>
      </c>
      <c r="P910" s="309">
        <f>SUM(P907-(5151-2614))</f>
        <v>7490</v>
      </c>
      <c r="Q910" s="316">
        <f>SUM(Q907-3839)</f>
        <v>960</v>
      </c>
      <c r="R910" s="316">
        <f>SUM(R907-6815)</f>
        <v>377</v>
      </c>
      <c r="S910" s="262">
        <f>SUM(S907-6199)</f>
        <v>200</v>
      </c>
      <c r="T910" s="323">
        <f>SUM(T907-911)</f>
        <v>1089</v>
      </c>
      <c r="U910" s="262">
        <f>SUM(U907-752)</f>
        <v>498</v>
      </c>
      <c r="V910" s="12" t="s">
        <v>176</v>
      </c>
      <c r="W910" s="70"/>
      <c r="X910" s="70"/>
      <c r="Y910" s="70"/>
      <c r="Z910" s="70"/>
      <c r="AA910" s="389" t="s">
        <v>191</v>
      </c>
      <c r="AB910" s="19" t="s">
        <v>4</v>
      </c>
      <c r="AC910" s="318">
        <v>97433.600000000006</v>
      </c>
      <c r="AD910" s="544"/>
      <c r="AE910" s="544"/>
      <c r="AF910" s="544"/>
      <c r="AG910" s="544"/>
      <c r="AH910" s="544"/>
      <c r="AI910" s="544"/>
      <c r="AJ910" s="299">
        <v>243584.4</v>
      </c>
      <c r="AK910" s="265">
        <v>132070.29999999999</v>
      </c>
      <c r="AL910" s="397">
        <v>292299.3</v>
      </c>
      <c r="AM910" s="393">
        <v>132070.39999999999</v>
      </c>
      <c r="AN910" s="778"/>
      <c r="AO910" s="778"/>
    </row>
    <row r="911" spans="1:41" s="267" customFormat="1" x14ac:dyDescent="0.25">
      <c r="A911" s="1061"/>
      <c r="B911" s="296" t="s">
        <v>77</v>
      </c>
      <c r="C911" s="302">
        <f>(C910*33.717)</f>
        <v>182274.10199999998</v>
      </c>
      <c r="D911" s="338">
        <f>(D910*33.717)</f>
        <v>91069.616999999998</v>
      </c>
      <c r="E911" s="302">
        <f>(E910*33.717)</f>
        <v>92114.843999999997</v>
      </c>
      <c r="F911" s="338">
        <f>(F910*33.717)</f>
        <v>276951.43799999997</v>
      </c>
      <c r="G911" s="280">
        <f>(G910*33.717)*2</f>
        <v>261509.052</v>
      </c>
      <c r="H911" s="280">
        <f>(H910*33.717)</f>
        <v>460473.06899999996</v>
      </c>
      <c r="I911" s="280">
        <f>(I910*33.717)-(2000*33.717)</f>
        <v>140970.777</v>
      </c>
      <c r="J911" s="376">
        <f>J910*33.717</f>
        <v>17465.405999999999</v>
      </c>
      <c r="K911" s="376">
        <f>K910*33.717</f>
        <v>12374.138999999999</v>
      </c>
      <c r="L911" s="261">
        <f>L910*33.717</f>
        <v>2933.3789999999999</v>
      </c>
      <c r="M911" s="304">
        <f>M910*33.717</f>
        <v>281638.10099999997</v>
      </c>
      <c r="N911" s="280">
        <f>N910*33.717</f>
        <v>375303.92699999997</v>
      </c>
      <c r="O911" s="280">
        <f>(O910*33.717)</f>
        <v>135710.92499999999</v>
      </c>
      <c r="P911" s="280">
        <f t="shared" ref="P911:U911" si="326">P910*33.717</f>
        <v>252540.33</v>
      </c>
      <c r="Q911" s="376">
        <f t="shared" si="326"/>
        <v>32368.32</v>
      </c>
      <c r="R911" s="376">
        <f t="shared" si="326"/>
        <v>12711.308999999999</v>
      </c>
      <c r="S911" s="261">
        <f t="shared" si="326"/>
        <v>6743.4</v>
      </c>
      <c r="T911" s="324">
        <f t="shared" si="326"/>
        <v>36717.813000000002</v>
      </c>
      <c r="U911" s="325">
        <f t="shared" si="326"/>
        <v>16791.065999999999</v>
      </c>
      <c r="V911" s="63">
        <f>344240-H911</f>
        <v>-116233.06899999996</v>
      </c>
      <c r="W911" s="70" t="s">
        <v>177</v>
      </c>
      <c r="X911" s="70"/>
      <c r="Y911" s="70"/>
      <c r="Z911" s="70"/>
      <c r="AA911" s="390"/>
      <c r="AB911" s="293" t="s">
        <v>5</v>
      </c>
      <c r="AC911" s="319">
        <v>38973.199999999997</v>
      </c>
      <c r="AD911" s="936"/>
      <c r="AE911" s="936"/>
      <c r="AF911" s="936"/>
      <c r="AG911" s="936"/>
      <c r="AH911" s="936"/>
      <c r="AI911" s="936"/>
      <c r="AJ911" s="300">
        <v>96373.3</v>
      </c>
      <c r="AK911" s="264">
        <v>0.1</v>
      </c>
      <c r="AL911" s="398">
        <v>92010.4</v>
      </c>
      <c r="AM911" s="394">
        <v>0.3</v>
      </c>
      <c r="AN911" s="779"/>
      <c r="AO911" s="779"/>
    </row>
    <row r="912" spans="1:41" s="267" customFormat="1" ht="15.75" thickBot="1" x14ac:dyDescent="0.3">
      <c r="A912" s="1062"/>
      <c r="B912" s="294" t="s">
        <v>10</v>
      </c>
      <c r="C912" s="305">
        <f>C911/C904</f>
        <v>1.2711506279943929</v>
      </c>
      <c r="D912" s="292">
        <f t="shared" ref="D912:U912" si="327">D911/D904</f>
        <v>0.60504659615843281</v>
      </c>
      <c r="E912" s="310">
        <f t="shared" si="327"/>
        <v>0.61199085549975507</v>
      </c>
      <c r="F912" s="282">
        <f t="shared" si="327"/>
        <v>1.5217295923357315</v>
      </c>
      <c r="G912" s="282">
        <f t="shared" si="327"/>
        <v>1.5805687553829648</v>
      </c>
      <c r="H912" s="282">
        <f t="shared" si="327"/>
        <v>3.4849236564095691</v>
      </c>
      <c r="I912" s="282">
        <f t="shared" si="327"/>
        <v>0.8245419158839693</v>
      </c>
      <c r="J912" s="377">
        <f t="shared" si="327"/>
        <v>0.10556081315898425</v>
      </c>
      <c r="K912" s="377">
        <f t="shared" si="327"/>
        <v>0.13390244298334839</v>
      </c>
      <c r="L912" s="311">
        <f t="shared" si="327"/>
        <v>2.2210789732717496E-2</v>
      </c>
      <c r="M912" s="310">
        <f t="shared" si="327"/>
        <v>1.4590447813308975</v>
      </c>
      <c r="N912" s="282">
        <f t="shared" si="327"/>
        <v>2.8403518502961789</v>
      </c>
      <c r="O912" s="282">
        <f t="shared" si="327"/>
        <v>1.6404750708961806</v>
      </c>
      <c r="P912" s="260">
        <f t="shared" si="327"/>
        <v>0.91581414661565519</v>
      </c>
      <c r="Q912" s="377">
        <f t="shared" si="327"/>
        <v>0.39126858833797107</v>
      </c>
      <c r="R912" s="377">
        <f t="shared" si="327"/>
        <v>6.7262151447548324E-2</v>
      </c>
      <c r="S912" s="311">
        <f t="shared" si="327"/>
        <v>5.1059286741879303E-2</v>
      </c>
      <c r="T912" s="305">
        <f t="shared" si="327"/>
        <v>0.66576876212580016</v>
      </c>
      <c r="U912" s="292">
        <f t="shared" si="327"/>
        <v>0.50742859733156043</v>
      </c>
      <c r="V912" s="126"/>
      <c r="W912" s="70"/>
      <c r="X912" s="70"/>
      <c r="Y912" s="70"/>
      <c r="Z912" s="70"/>
      <c r="AA912" s="391"/>
      <c r="AB912" s="294" t="s">
        <v>3</v>
      </c>
      <c r="AC912" s="320">
        <f>AC911/AC910</f>
        <v>0.39999753678402516</v>
      </c>
      <c r="AD912" s="545"/>
      <c r="AE912" s="545"/>
      <c r="AF912" s="545"/>
      <c r="AG912" s="545"/>
      <c r="AH912" s="545"/>
      <c r="AI912" s="545"/>
      <c r="AJ912" s="305">
        <f>AJ911/AJ910</f>
        <v>0.39564643712815767</v>
      </c>
      <c r="AK912" s="292">
        <f>AK911/AK910</f>
        <v>7.5717250585483648E-7</v>
      </c>
      <c r="AL912" s="399">
        <f>AL911/AL910</f>
        <v>0.31478145859398227</v>
      </c>
      <c r="AM912" s="343">
        <f>AM911/AM910</f>
        <v>2.2715157976352008E-6</v>
      </c>
      <c r="AN912" s="780"/>
      <c r="AO912" s="780"/>
    </row>
    <row r="913" spans="1:41" s="267" customFormat="1" ht="15.75" thickBot="1" x14ac:dyDescent="0.3">
      <c r="A913" s="1048">
        <v>41443</v>
      </c>
      <c r="B913" s="1048"/>
      <c r="C913" s="1048"/>
      <c r="D913" s="276"/>
      <c r="E913" s="276"/>
      <c r="F913" s="276"/>
      <c r="G913" s="276"/>
      <c r="H913" s="276"/>
      <c r="I913" s="11"/>
      <c r="J913" s="281"/>
      <c r="K913" s="281"/>
      <c r="L913" s="276"/>
      <c r="M913" s="276"/>
      <c r="N913" s="13"/>
      <c r="R913" s="12"/>
      <c r="S913" s="70"/>
      <c r="T913" s="70"/>
      <c r="U913" s="70"/>
      <c r="V913" s="70"/>
      <c r="W913" s="70"/>
      <c r="X913" s="70"/>
      <c r="Y913" s="70"/>
      <c r="Z913" s="70"/>
      <c r="AA913" s="1063"/>
      <c r="AB913" s="1064"/>
      <c r="AD913" s="743"/>
      <c r="AE913" s="743"/>
      <c r="AF913" s="743"/>
      <c r="AG913" s="743"/>
      <c r="AH913" s="743"/>
      <c r="AI913" s="743"/>
      <c r="AN913" s="743"/>
      <c r="AO913" s="743"/>
    </row>
    <row r="914" spans="1:41" s="267" customFormat="1" x14ac:dyDescent="0.25">
      <c r="A914" s="1049" t="s">
        <v>1</v>
      </c>
      <c r="B914" s="1050"/>
      <c r="C914" s="297" t="s">
        <v>12</v>
      </c>
      <c r="D914" s="266" t="s">
        <v>12</v>
      </c>
      <c r="E914" s="297" t="s">
        <v>13</v>
      </c>
      <c r="F914" s="277" t="s">
        <v>13</v>
      </c>
      <c r="G914" s="277" t="s">
        <v>13</v>
      </c>
      <c r="H914" s="277" t="s">
        <v>13</v>
      </c>
      <c r="I914" s="277" t="s">
        <v>13</v>
      </c>
      <c r="J914" s="286" t="s">
        <v>13</v>
      </c>
      <c r="K914" s="286" t="s">
        <v>13</v>
      </c>
      <c r="L914" s="266" t="s">
        <v>13</v>
      </c>
      <c r="M914" s="297" t="s">
        <v>2</v>
      </c>
      <c r="N914" s="277" t="s">
        <v>2</v>
      </c>
      <c r="O914" s="286" t="s">
        <v>2</v>
      </c>
      <c r="P914" s="277" t="s">
        <v>2</v>
      </c>
      <c r="Q914" s="286" t="s">
        <v>2</v>
      </c>
      <c r="R914" s="286" t="s">
        <v>2</v>
      </c>
      <c r="S914" s="266" t="s">
        <v>2</v>
      </c>
      <c r="T914" s="328" t="s">
        <v>183</v>
      </c>
      <c r="U914" s="327" t="s">
        <v>183</v>
      </c>
      <c r="V914" s="12"/>
      <c r="W914" s="70"/>
      <c r="X914" s="70"/>
      <c r="Y914" s="70"/>
      <c r="Z914" s="70"/>
      <c r="AA914" s="1049" t="s">
        <v>1</v>
      </c>
      <c r="AB914" s="1051"/>
      <c r="AC914" s="321" t="s">
        <v>12</v>
      </c>
      <c r="AD914" s="912"/>
      <c r="AE914" s="912"/>
      <c r="AF914" s="912"/>
      <c r="AG914" s="912"/>
      <c r="AH914" s="912"/>
      <c r="AI914" s="912"/>
      <c r="AJ914" s="1052" t="s">
        <v>13</v>
      </c>
      <c r="AK914" s="1053"/>
      <c r="AL914" s="1052" t="s">
        <v>2</v>
      </c>
      <c r="AM914" s="1053"/>
      <c r="AN914" s="776"/>
      <c r="AO914" s="776"/>
    </row>
    <row r="915" spans="1:41" s="267" customFormat="1" ht="15.75" thickBot="1" x14ac:dyDescent="0.3">
      <c r="A915" s="1054" t="s">
        <v>0</v>
      </c>
      <c r="B915" s="1066"/>
      <c r="C915" s="298" t="s">
        <v>99</v>
      </c>
      <c r="D915" s="291" t="s">
        <v>100</v>
      </c>
      <c r="E915" s="298" t="s">
        <v>101</v>
      </c>
      <c r="F915" s="306" t="s">
        <v>102</v>
      </c>
      <c r="G915" s="306" t="s">
        <v>97</v>
      </c>
      <c r="H915" s="306" t="s">
        <v>104</v>
      </c>
      <c r="I915" s="306" t="s">
        <v>103</v>
      </c>
      <c r="J915" s="378" t="s">
        <v>178</v>
      </c>
      <c r="K915" s="378" t="s">
        <v>199</v>
      </c>
      <c r="L915" s="314" t="s">
        <v>206</v>
      </c>
      <c r="M915" s="298" t="s">
        <v>105</v>
      </c>
      <c r="N915" s="306" t="s">
        <v>107</v>
      </c>
      <c r="O915" s="312" t="s">
        <v>98</v>
      </c>
      <c r="P915" s="313" t="s">
        <v>106</v>
      </c>
      <c r="Q915" s="312" t="s">
        <v>179</v>
      </c>
      <c r="R915" s="312" t="s">
        <v>198</v>
      </c>
      <c r="S915" s="291" t="s">
        <v>207</v>
      </c>
      <c r="T915" s="317" t="s">
        <v>182</v>
      </c>
      <c r="U915" s="291" t="s">
        <v>184</v>
      </c>
      <c r="V915" s="12"/>
      <c r="W915" s="12"/>
      <c r="X915" s="12"/>
      <c r="Y915" s="12"/>
      <c r="Z915" s="12"/>
      <c r="AA915" s="1054" t="s">
        <v>0</v>
      </c>
      <c r="AB915" s="1067"/>
      <c r="AC915" s="317" t="s">
        <v>99</v>
      </c>
      <c r="AD915" s="621"/>
      <c r="AE915" s="621"/>
      <c r="AF915" s="621"/>
      <c r="AG915" s="621"/>
      <c r="AH915" s="621"/>
      <c r="AI915" s="621"/>
      <c r="AJ915" s="298" t="s">
        <v>104</v>
      </c>
      <c r="AK915" s="291" t="s">
        <v>206</v>
      </c>
      <c r="AL915" s="396" t="s">
        <v>107</v>
      </c>
      <c r="AM915" s="392" t="s">
        <v>207</v>
      </c>
      <c r="AN915" s="777"/>
      <c r="AO915" s="777"/>
    </row>
    <row r="916" spans="1:41" s="267" customFormat="1" ht="15" customHeight="1" x14ac:dyDescent="0.25">
      <c r="A916" s="1057" t="s">
        <v>9</v>
      </c>
      <c r="B916" s="19" t="s">
        <v>4</v>
      </c>
      <c r="C916" s="299">
        <v>143393</v>
      </c>
      <c r="D916" s="265">
        <v>150516.70000000001</v>
      </c>
      <c r="E916" s="299">
        <v>150516.70000000001</v>
      </c>
      <c r="F916" s="283">
        <v>181997.8</v>
      </c>
      <c r="G916" s="283">
        <v>165452.5</v>
      </c>
      <c r="H916" s="283">
        <v>132132.9</v>
      </c>
      <c r="I916" s="368">
        <v>170968.6</v>
      </c>
      <c r="J916" s="223">
        <v>165453.5</v>
      </c>
      <c r="K916" s="223">
        <v>92411.6</v>
      </c>
      <c r="L916" s="265">
        <v>132070</v>
      </c>
      <c r="M916" s="299">
        <v>193029.1</v>
      </c>
      <c r="N916" s="283">
        <v>132132.9</v>
      </c>
      <c r="O916" s="283">
        <v>82726.600000000006</v>
      </c>
      <c r="P916" s="283">
        <v>275755</v>
      </c>
      <c r="Q916" s="223">
        <v>82726.600000000006</v>
      </c>
      <c r="R916" s="223">
        <v>188981.6</v>
      </c>
      <c r="S916" s="265">
        <v>132070</v>
      </c>
      <c r="T916" s="318">
        <v>55151</v>
      </c>
      <c r="U916" s="265">
        <v>33090.5</v>
      </c>
      <c r="V916" s="70"/>
      <c r="W916" s="70"/>
      <c r="X916" s="70"/>
      <c r="Y916" s="70"/>
      <c r="Z916" s="70"/>
      <c r="AA916" s="385" t="s">
        <v>194</v>
      </c>
      <c r="AB916" s="2" t="s">
        <v>4</v>
      </c>
      <c r="AC916" s="318">
        <v>143392.20000000001</v>
      </c>
      <c r="AD916" s="544"/>
      <c r="AE916" s="544"/>
      <c r="AF916" s="544"/>
      <c r="AG916" s="544"/>
      <c r="AH916" s="544"/>
      <c r="AI916" s="544"/>
      <c r="AJ916" s="299">
        <v>132132</v>
      </c>
      <c r="AK916" s="265">
        <v>83196.100000000006</v>
      </c>
      <c r="AL916" s="397">
        <v>132132.20000000001</v>
      </c>
      <c r="AM916" s="393">
        <v>83196.100000000006</v>
      </c>
      <c r="AN916" s="778"/>
      <c r="AO916" s="778"/>
    </row>
    <row r="917" spans="1:41" s="267" customFormat="1" x14ac:dyDescent="0.25">
      <c r="A917" s="1058"/>
      <c r="B917" s="293" t="s">
        <v>5</v>
      </c>
      <c r="C917" s="300">
        <v>41869</v>
      </c>
      <c r="D917" s="264">
        <v>78586.399999999994</v>
      </c>
      <c r="E917" s="300">
        <v>80068.899999999994</v>
      </c>
      <c r="F917" s="307">
        <v>143499.70000000001</v>
      </c>
      <c r="G917" s="307">
        <v>104937</v>
      </c>
      <c r="H917" s="307">
        <v>57215.5</v>
      </c>
      <c r="I917" s="307">
        <v>87798.6</v>
      </c>
      <c r="J917" s="374">
        <v>16938.8</v>
      </c>
      <c r="K917" s="374">
        <v>831.1</v>
      </c>
      <c r="L917" s="264">
        <v>4.7</v>
      </c>
      <c r="M917" s="300">
        <v>161583.1</v>
      </c>
      <c r="N917" s="307">
        <v>57900.9</v>
      </c>
      <c r="O917" s="307">
        <v>53826.7</v>
      </c>
      <c r="P917" s="307">
        <v>159806.20000000001</v>
      </c>
      <c r="Q917" s="374">
        <v>8703.2999999999993</v>
      </c>
      <c r="R917" s="374">
        <v>1940.8</v>
      </c>
      <c r="S917" s="264">
        <v>4.7</v>
      </c>
      <c r="T917" s="319">
        <v>8546.7000000000007</v>
      </c>
      <c r="U917" s="264">
        <v>4963.7</v>
      </c>
      <c r="V917" s="70"/>
      <c r="W917" s="70"/>
      <c r="X917" s="70"/>
      <c r="Y917" s="70"/>
      <c r="Z917" s="70"/>
      <c r="AA917" s="386"/>
      <c r="AB917" s="342" t="s">
        <v>5</v>
      </c>
      <c r="AC917" s="319">
        <v>41869</v>
      </c>
      <c r="AD917" s="936"/>
      <c r="AE917" s="936"/>
      <c r="AF917" s="936"/>
      <c r="AG917" s="936"/>
      <c r="AH917" s="936"/>
      <c r="AI917" s="936"/>
      <c r="AJ917" s="300">
        <v>57215.5</v>
      </c>
      <c r="AK917" s="264">
        <v>4.7</v>
      </c>
      <c r="AL917" s="398">
        <v>57900.9</v>
      </c>
      <c r="AM917" s="394">
        <v>4.7</v>
      </c>
      <c r="AN917" s="779"/>
      <c r="AO917" s="779"/>
    </row>
    <row r="918" spans="1:41" s="267" customFormat="1" ht="15.75" thickBot="1" x14ac:dyDescent="0.3">
      <c r="A918" s="1059"/>
      <c r="B918" s="294" t="s">
        <v>3</v>
      </c>
      <c r="C918" s="305">
        <f t="shared" ref="C918:L918" si="328">C917/C916</f>
        <v>0.29198775393498988</v>
      </c>
      <c r="D918" s="343">
        <f t="shared" si="328"/>
        <v>0.52211083554183679</v>
      </c>
      <c r="E918" s="305">
        <f t="shared" si="328"/>
        <v>0.53196024095665129</v>
      </c>
      <c r="F918" s="371">
        <f t="shared" si="328"/>
        <v>0.78846942105893603</v>
      </c>
      <c r="G918" s="278">
        <f t="shared" si="328"/>
        <v>0.63424245629410259</v>
      </c>
      <c r="H918" s="278">
        <f t="shared" si="328"/>
        <v>0.43301479041177482</v>
      </c>
      <c r="I918" s="278">
        <f t="shared" si="328"/>
        <v>0.51353640376069054</v>
      </c>
      <c r="J918" s="315">
        <f t="shared" si="328"/>
        <v>0.10237800953137891</v>
      </c>
      <c r="K918" s="315">
        <f t="shared" si="328"/>
        <v>8.9934596955360581E-3</v>
      </c>
      <c r="L918" s="292">
        <f t="shared" si="328"/>
        <v>3.5587188612099643E-5</v>
      </c>
      <c r="M918" s="372">
        <f>M917/M916</f>
        <v>0.83709192033739988</v>
      </c>
      <c r="N918" s="278">
        <f>N917/N916</f>
        <v>0.43820199208524147</v>
      </c>
      <c r="O918" s="315">
        <f>O917/O916</f>
        <v>0.65065770864510319</v>
      </c>
      <c r="P918" s="278">
        <f>P917/P916</f>
        <v>0.57952240213232764</v>
      </c>
      <c r="Q918" s="315">
        <f>Q917/Q916</f>
        <v>0.10520558079263501</v>
      </c>
      <c r="R918" s="315">
        <f t="shared" ref="R918:S918" si="329">R917/R916</f>
        <v>1.0269782878333128E-2</v>
      </c>
      <c r="S918" s="292">
        <f t="shared" si="329"/>
        <v>3.5587188612099643E-5</v>
      </c>
      <c r="T918" s="320">
        <f>T917/T916</f>
        <v>0.15496908487606753</v>
      </c>
      <c r="U918" s="292">
        <f>U917/U916</f>
        <v>0.15000377751922755</v>
      </c>
      <c r="V918" s="70"/>
      <c r="W918" s="70"/>
      <c r="X918" s="70"/>
      <c r="Y918" s="70"/>
      <c r="Z918" s="70"/>
      <c r="AA918" s="387"/>
      <c r="AB918" s="347" t="s">
        <v>3</v>
      </c>
      <c r="AC918" s="395">
        <f>AC917/AC916</f>
        <v>0.29198938296504273</v>
      </c>
      <c r="AD918" s="635"/>
      <c r="AE918" s="635"/>
      <c r="AF918" s="635"/>
      <c r="AG918" s="635"/>
      <c r="AH918" s="635"/>
      <c r="AI918" s="635"/>
      <c r="AJ918" s="305">
        <f>AJ917/AJ916</f>
        <v>0.43301773983592168</v>
      </c>
      <c r="AK918" s="292">
        <f>AK917/AK916</f>
        <v>5.6493032726293656E-5</v>
      </c>
      <c r="AL918" s="399">
        <f>AL917/AL916</f>
        <v>0.43820431355869344</v>
      </c>
      <c r="AM918" s="343">
        <f>AM917/AM916</f>
        <v>5.6493032726293656E-5</v>
      </c>
      <c r="AN918" s="780"/>
      <c r="AO918" s="780"/>
    </row>
    <row r="919" spans="1:41" s="267" customFormat="1" ht="15" customHeight="1" x14ac:dyDescent="0.25">
      <c r="A919" s="1060" t="s">
        <v>6</v>
      </c>
      <c r="B919" s="19" t="s">
        <v>7</v>
      </c>
      <c r="C919" s="297">
        <v>5870</v>
      </c>
      <c r="D919" s="266">
        <v>3333</v>
      </c>
      <c r="E919" s="297">
        <v>3330</v>
      </c>
      <c r="F919" s="277">
        <v>9457</v>
      </c>
      <c r="G919" s="357">
        <v>8428</v>
      </c>
      <c r="H919" s="277">
        <v>15703</v>
      </c>
      <c r="I919" s="277">
        <v>7403</v>
      </c>
      <c r="J919" s="286">
        <v>9599</v>
      </c>
      <c r="K919" s="286">
        <v>4073</v>
      </c>
      <c r="L919" s="266">
        <v>6399</v>
      </c>
      <c r="M919" s="297">
        <v>9289</v>
      </c>
      <c r="N919" s="277">
        <v>12295</v>
      </c>
      <c r="O919" s="357">
        <v>4354</v>
      </c>
      <c r="P919" s="277">
        <v>10027</v>
      </c>
      <c r="Q919" s="286">
        <v>4799</v>
      </c>
      <c r="R919" s="286">
        <v>7192</v>
      </c>
      <c r="S919" s="266">
        <v>6399</v>
      </c>
      <c r="T919" s="321">
        <v>2000</v>
      </c>
      <c r="U919" s="266">
        <v>1250</v>
      </c>
      <c r="V919" s="358" t="s">
        <v>197</v>
      </c>
      <c r="W919" s="126"/>
      <c r="X919" s="70"/>
      <c r="Y919" s="70"/>
      <c r="Z919" s="70"/>
      <c r="AA919" s="385" t="s">
        <v>190</v>
      </c>
      <c r="AB919" s="19" t="s">
        <v>4</v>
      </c>
      <c r="AC919" s="318">
        <v>9191.7999999999993</v>
      </c>
      <c r="AD919" s="544"/>
      <c r="AE919" s="544"/>
      <c r="AF919" s="544"/>
      <c r="AG919" s="544"/>
      <c r="AH919" s="544"/>
      <c r="AI919" s="544"/>
      <c r="AJ919" s="299">
        <v>13787.7</v>
      </c>
      <c r="AK919" s="265">
        <v>8804.7999999999993</v>
      </c>
      <c r="AL919" s="397">
        <v>13787.7</v>
      </c>
      <c r="AM919" s="393">
        <v>8804.7999999999993</v>
      </c>
      <c r="AN919" s="778"/>
      <c r="AO919" s="778"/>
    </row>
    <row r="920" spans="1:41" s="267" customFormat="1" x14ac:dyDescent="0.25">
      <c r="A920" s="1061"/>
      <c r="B920" s="295" t="s">
        <v>11</v>
      </c>
      <c r="C920" s="302">
        <f t="shared" ref="C920:L920" si="330">C919*33.717</f>
        <v>197918.78999999998</v>
      </c>
      <c r="D920" s="263">
        <f t="shared" si="330"/>
        <v>112378.761</v>
      </c>
      <c r="E920" s="302">
        <f t="shared" si="330"/>
        <v>112277.61</v>
      </c>
      <c r="F920" s="355">
        <f t="shared" si="330"/>
        <v>318861.66899999999</v>
      </c>
      <c r="G920" s="308">
        <f t="shared" si="330"/>
        <v>284166.87599999999</v>
      </c>
      <c r="H920" s="354">
        <f t="shared" si="330"/>
        <v>529458.05099999998</v>
      </c>
      <c r="I920" s="354">
        <f t="shared" si="330"/>
        <v>249606.951</v>
      </c>
      <c r="J920" s="355">
        <f t="shared" si="330"/>
        <v>323649.48300000001</v>
      </c>
      <c r="K920" s="375">
        <f t="shared" si="330"/>
        <v>137329.34099999999</v>
      </c>
      <c r="L920" s="263">
        <f t="shared" si="330"/>
        <v>215755.08299999998</v>
      </c>
      <c r="M920" s="322">
        <f>M919*33.717</f>
        <v>313197.21299999999</v>
      </c>
      <c r="N920" s="308">
        <f>N919*33.717</f>
        <v>414550.51499999996</v>
      </c>
      <c r="O920" s="308">
        <f>O919*33.717</f>
        <v>146803.818</v>
      </c>
      <c r="P920" s="354">
        <f>P919*33.717</f>
        <v>338080.359</v>
      </c>
      <c r="Q920" s="355">
        <f>Q919*33.717</f>
        <v>161807.883</v>
      </c>
      <c r="R920" s="375">
        <f t="shared" ref="R920:S920" si="331">R919*33.717</f>
        <v>242492.66399999999</v>
      </c>
      <c r="S920" s="263">
        <f t="shared" si="331"/>
        <v>215755.08299999998</v>
      </c>
      <c r="T920" s="302">
        <f>T919*33.717</f>
        <v>67434</v>
      </c>
      <c r="U920" s="354">
        <f>U919*33.717</f>
        <v>42146.25</v>
      </c>
      <c r="V920" s="70"/>
      <c r="W920" s="70"/>
      <c r="X920" s="70"/>
      <c r="Y920" s="70"/>
      <c r="Z920" s="70"/>
      <c r="AA920" s="386"/>
      <c r="AB920" s="293" t="s">
        <v>5</v>
      </c>
      <c r="AC920" s="319">
        <v>8495.5</v>
      </c>
      <c r="AD920" s="936"/>
      <c r="AE920" s="936"/>
      <c r="AF920" s="936"/>
      <c r="AG920" s="936"/>
      <c r="AH920" s="936"/>
      <c r="AI920" s="936"/>
      <c r="AJ920" s="300">
        <v>13649.5</v>
      </c>
      <c r="AK920" s="264">
        <v>0</v>
      </c>
      <c r="AL920" s="398">
        <v>13644</v>
      </c>
      <c r="AM920" s="394">
        <v>0</v>
      </c>
      <c r="AN920" s="779"/>
      <c r="AO920" s="779"/>
    </row>
    <row r="921" spans="1:41" s="267" customFormat="1" ht="15.75" thickBot="1" x14ac:dyDescent="0.3">
      <c r="A921" s="1061"/>
      <c r="B921" s="295" t="s">
        <v>79</v>
      </c>
      <c r="C921" s="302">
        <v>164000</v>
      </c>
      <c r="D921" s="263">
        <v>109880</v>
      </c>
      <c r="E921" s="302">
        <v>109880</v>
      </c>
      <c r="F921" s="308">
        <v>328000</v>
      </c>
      <c r="G921" s="308">
        <v>330905</v>
      </c>
      <c r="H921" s="308">
        <v>264264</v>
      </c>
      <c r="I921" s="308">
        <v>242663.6</v>
      </c>
      <c r="J921" s="375">
        <v>328000</v>
      </c>
      <c r="K921" s="375">
        <v>328000</v>
      </c>
      <c r="L921" s="263">
        <v>328000</v>
      </c>
      <c r="M921" s="302">
        <v>328000</v>
      </c>
      <c r="N921" s="308">
        <v>264264.40000000002</v>
      </c>
      <c r="O921" s="308">
        <v>328000</v>
      </c>
      <c r="P921" s="308">
        <v>352965.4</v>
      </c>
      <c r="Q921" s="375">
        <v>328000</v>
      </c>
      <c r="R921" s="375">
        <v>328000</v>
      </c>
      <c r="S921" s="263">
        <v>328000</v>
      </c>
      <c r="T921" s="322">
        <f>2*T916</f>
        <v>110302</v>
      </c>
      <c r="U921" s="263">
        <f>2*U916</f>
        <v>66181</v>
      </c>
      <c r="V921" s="70"/>
      <c r="W921" s="70"/>
      <c r="X921" s="70"/>
      <c r="Y921" s="70"/>
      <c r="Z921" s="70"/>
      <c r="AA921" s="387"/>
      <c r="AB921" s="344" t="s">
        <v>3</v>
      </c>
      <c r="AC921" s="395">
        <f>AC920/AC919</f>
        <v>0.92424769903609749</v>
      </c>
      <c r="AD921" s="635"/>
      <c r="AE921" s="635"/>
      <c r="AF921" s="635"/>
      <c r="AG921" s="635"/>
      <c r="AH921" s="635"/>
      <c r="AI921" s="635"/>
      <c r="AJ921" s="301">
        <f>AJ920/AJ919</f>
        <v>0.98997657332259903</v>
      </c>
      <c r="AK921" s="401">
        <f>AK920/AK919</f>
        <v>0</v>
      </c>
      <c r="AL921" s="400">
        <f>AL920/AL919</f>
        <v>0.9895776670510672</v>
      </c>
      <c r="AM921" s="348">
        <f>AM920/AM919</f>
        <v>0</v>
      </c>
      <c r="AN921" s="780"/>
      <c r="AO921" s="780"/>
    </row>
    <row r="922" spans="1:41" s="267" customFormat="1" ht="15" customHeight="1" x14ac:dyDescent="0.25">
      <c r="A922" s="1061"/>
      <c r="B922" s="293" t="s">
        <v>8</v>
      </c>
      <c r="C922" s="303">
        <f>SUM(C919-464)</f>
        <v>5406</v>
      </c>
      <c r="D922" s="262">
        <f>SUM(D919-632)</f>
        <v>2701</v>
      </c>
      <c r="E922" s="303">
        <f>SUM(E919-598)</f>
        <v>2732</v>
      </c>
      <c r="F922" s="309">
        <f>SUM(F919-1243)</f>
        <v>8214</v>
      </c>
      <c r="G922" s="309">
        <f>SUM(G919-4550)</f>
        <v>3878</v>
      </c>
      <c r="H922" s="309">
        <f>SUM(H919-2046)</f>
        <v>13657</v>
      </c>
      <c r="I922" s="309">
        <f>SUM(I919-(3249-2000))</f>
        <v>6154</v>
      </c>
      <c r="J922" s="316">
        <f>SUM(J919-9172)</f>
        <v>427</v>
      </c>
      <c r="K922" s="316">
        <f>SUM(K919-3706)</f>
        <v>367</v>
      </c>
      <c r="L922" s="262">
        <f>SUM(L919-6312)</f>
        <v>87</v>
      </c>
      <c r="M922" s="303">
        <f>SUM(M919-936)</f>
        <v>8353</v>
      </c>
      <c r="N922" s="309">
        <f>SUM(N919-1164)</f>
        <v>11131</v>
      </c>
      <c r="O922" s="316">
        <f>SUM(O919-329)</f>
        <v>4025</v>
      </c>
      <c r="P922" s="309">
        <f>SUM(P919-(5201-2614))</f>
        <v>7440</v>
      </c>
      <c r="Q922" s="316">
        <f>SUM(Q919-3930)</f>
        <v>869</v>
      </c>
      <c r="R922" s="316">
        <f>SUM(R919-6815)</f>
        <v>377</v>
      </c>
      <c r="S922" s="262">
        <f>SUM(S919-6199)</f>
        <v>200</v>
      </c>
      <c r="T922" s="323">
        <f>SUM(T919-917)</f>
        <v>1083</v>
      </c>
      <c r="U922" s="262">
        <f>SUM(U919-752)</f>
        <v>498</v>
      </c>
      <c r="V922" s="12" t="s">
        <v>176</v>
      </c>
      <c r="W922" s="70"/>
      <c r="X922" s="70"/>
      <c r="Y922" s="70"/>
      <c r="Z922" s="70"/>
      <c r="AA922" s="385" t="s">
        <v>191</v>
      </c>
      <c r="AB922" s="19" t="s">
        <v>4</v>
      </c>
      <c r="AC922" s="318">
        <v>97433.600000000006</v>
      </c>
      <c r="AD922" s="544"/>
      <c r="AE922" s="544"/>
      <c r="AF922" s="544"/>
      <c r="AG922" s="544"/>
      <c r="AH922" s="544"/>
      <c r="AI922" s="544"/>
      <c r="AJ922" s="299">
        <v>243584.4</v>
      </c>
      <c r="AK922" s="265">
        <v>132070.29999999999</v>
      </c>
      <c r="AL922" s="397">
        <v>292299.3</v>
      </c>
      <c r="AM922" s="393">
        <v>132070.39999999999</v>
      </c>
      <c r="AN922" s="778"/>
      <c r="AO922" s="778"/>
    </row>
    <row r="923" spans="1:41" s="267" customFormat="1" x14ac:dyDescent="0.25">
      <c r="A923" s="1061"/>
      <c r="B923" s="296" t="s">
        <v>77</v>
      </c>
      <c r="C923" s="302">
        <f>(C922*33.717)</f>
        <v>182274.10199999998</v>
      </c>
      <c r="D923" s="338">
        <f>(D922*33.717)</f>
        <v>91069.616999999998</v>
      </c>
      <c r="E923" s="302">
        <f>(E922*33.717)</f>
        <v>92114.843999999997</v>
      </c>
      <c r="F923" s="338">
        <f>(F922*33.717)</f>
        <v>276951.43799999997</v>
      </c>
      <c r="G923" s="280">
        <f>(G922*33.717)*2</f>
        <v>261509.052</v>
      </c>
      <c r="H923" s="280">
        <f>(H922*33.717)</f>
        <v>460473.06899999996</v>
      </c>
      <c r="I923" s="280">
        <f>(I922*33.717)-(2000*33.717)</f>
        <v>140060.41800000001</v>
      </c>
      <c r="J923" s="376">
        <f>J922*33.717</f>
        <v>14397.159</v>
      </c>
      <c r="K923" s="376">
        <f>K922*33.717</f>
        <v>12374.138999999999</v>
      </c>
      <c r="L923" s="261">
        <f>L922*33.717</f>
        <v>2933.3789999999999</v>
      </c>
      <c r="M923" s="304">
        <f>M922*33.717</f>
        <v>281638.10099999997</v>
      </c>
      <c r="N923" s="280">
        <f>N922*33.717</f>
        <v>375303.92699999997</v>
      </c>
      <c r="O923" s="280">
        <f>(O922*33.717)</f>
        <v>135710.92499999999</v>
      </c>
      <c r="P923" s="280">
        <f t="shared" ref="P923:U923" si="332">P922*33.717</f>
        <v>250854.47999999998</v>
      </c>
      <c r="Q923" s="376">
        <f t="shared" si="332"/>
        <v>29300.073</v>
      </c>
      <c r="R923" s="376">
        <f t="shared" si="332"/>
        <v>12711.308999999999</v>
      </c>
      <c r="S923" s="261">
        <f t="shared" si="332"/>
        <v>6743.4</v>
      </c>
      <c r="T923" s="324">
        <f t="shared" si="332"/>
        <v>36515.510999999999</v>
      </c>
      <c r="U923" s="325">
        <f t="shared" si="332"/>
        <v>16791.065999999999</v>
      </c>
      <c r="V923" s="63">
        <f>344240-H923</f>
        <v>-116233.06899999996</v>
      </c>
      <c r="W923" s="70" t="s">
        <v>177</v>
      </c>
      <c r="X923" s="70"/>
      <c r="Y923" s="70"/>
      <c r="Z923" s="70"/>
      <c r="AA923" s="386"/>
      <c r="AB923" s="293" t="s">
        <v>5</v>
      </c>
      <c r="AC923" s="319">
        <v>38973.199999999997</v>
      </c>
      <c r="AD923" s="936"/>
      <c r="AE923" s="936"/>
      <c r="AF923" s="936"/>
      <c r="AG923" s="936"/>
      <c r="AH923" s="936"/>
      <c r="AI923" s="936"/>
      <c r="AJ923" s="300">
        <v>95835.1</v>
      </c>
      <c r="AK923" s="264">
        <v>0.1</v>
      </c>
      <c r="AL923" s="398">
        <v>90386.6</v>
      </c>
      <c r="AM923" s="394">
        <v>0</v>
      </c>
      <c r="AN923" s="779"/>
      <c r="AO923" s="779"/>
    </row>
    <row r="924" spans="1:41" s="267" customFormat="1" ht="15.75" thickBot="1" x14ac:dyDescent="0.3">
      <c r="A924" s="1062"/>
      <c r="B924" s="294" t="s">
        <v>10</v>
      </c>
      <c r="C924" s="305">
        <f>C923/C916</f>
        <v>1.2711506279943929</v>
      </c>
      <c r="D924" s="292">
        <f t="shared" ref="D924:U924" si="333">D923/D916</f>
        <v>0.60504659615843281</v>
      </c>
      <c r="E924" s="310">
        <f t="shared" si="333"/>
        <v>0.61199085549975507</v>
      </c>
      <c r="F924" s="282">
        <f t="shared" si="333"/>
        <v>1.5217295923357315</v>
      </c>
      <c r="G924" s="282">
        <f t="shared" si="333"/>
        <v>1.5805687553829648</v>
      </c>
      <c r="H924" s="282">
        <f t="shared" si="333"/>
        <v>3.4849236564095691</v>
      </c>
      <c r="I924" s="282">
        <f t="shared" si="333"/>
        <v>0.81921720128725395</v>
      </c>
      <c r="J924" s="377">
        <f t="shared" si="333"/>
        <v>8.7016345982405929E-2</v>
      </c>
      <c r="K924" s="377">
        <f t="shared" si="333"/>
        <v>0.13390244298334839</v>
      </c>
      <c r="L924" s="311">
        <f t="shared" si="333"/>
        <v>2.2210789732717496E-2</v>
      </c>
      <c r="M924" s="310">
        <f t="shared" si="333"/>
        <v>1.4590447813308975</v>
      </c>
      <c r="N924" s="282">
        <f t="shared" si="333"/>
        <v>2.8403518502961789</v>
      </c>
      <c r="O924" s="282">
        <f t="shared" si="333"/>
        <v>1.6404750708961806</v>
      </c>
      <c r="P924" s="260">
        <f t="shared" si="333"/>
        <v>0.90970056753277362</v>
      </c>
      <c r="Q924" s="377">
        <f t="shared" si="333"/>
        <v>0.35417958673510092</v>
      </c>
      <c r="R924" s="377">
        <f t="shared" si="333"/>
        <v>6.7262151447548324E-2</v>
      </c>
      <c r="S924" s="311">
        <f t="shared" si="333"/>
        <v>5.1059286741879303E-2</v>
      </c>
      <c r="T924" s="305">
        <f t="shared" si="333"/>
        <v>0.66210061467607118</v>
      </c>
      <c r="U924" s="292">
        <f t="shared" si="333"/>
        <v>0.50742859733156043</v>
      </c>
      <c r="V924" s="126"/>
      <c r="W924" s="70"/>
      <c r="X924" s="70"/>
      <c r="Y924" s="70"/>
      <c r="Z924" s="70"/>
      <c r="AA924" s="387"/>
      <c r="AB924" s="294" t="s">
        <v>3</v>
      </c>
      <c r="AC924" s="320">
        <f>AC923/AC922</f>
        <v>0.39999753678402516</v>
      </c>
      <c r="AD924" s="545"/>
      <c r="AE924" s="545"/>
      <c r="AF924" s="545"/>
      <c r="AG924" s="545"/>
      <c r="AH924" s="545"/>
      <c r="AI924" s="545"/>
      <c r="AJ924" s="305">
        <f>AJ923/AJ922</f>
        <v>0.39343693602710195</v>
      </c>
      <c r="AK924" s="292">
        <f>AK923/AK922</f>
        <v>7.5717250585483648E-7</v>
      </c>
      <c r="AL924" s="399">
        <f>AL923/AL922</f>
        <v>0.30922619383624939</v>
      </c>
      <c r="AM924" s="343">
        <f>AM923/AM922</f>
        <v>0</v>
      </c>
      <c r="AN924" s="780"/>
      <c r="AO924" s="780"/>
    </row>
    <row r="925" spans="1:41" s="267" customFormat="1" ht="15.75" thickBot="1" x14ac:dyDescent="0.3">
      <c r="A925" s="1048">
        <v>41437</v>
      </c>
      <c r="B925" s="1048"/>
      <c r="C925" s="1048"/>
      <c r="D925" s="276"/>
      <c r="E925" s="276"/>
      <c r="F925" s="276"/>
      <c r="G925" s="276"/>
      <c r="H925" s="276"/>
      <c r="I925" s="11"/>
      <c r="J925" s="281"/>
      <c r="K925" s="281"/>
      <c r="L925" s="276"/>
      <c r="M925" s="276"/>
      <c r="N925" s="13"/>
      <c r="R925" s="12"/>
      <c r="S925" s="70"/>
      <c r="T925" s="70"/>
      <c r="U925" s="70"/>
      <c r="V925" s="70"/>
      <c r="W925" s="70"/>
      <c r="X925" s="70"/>
      <c r="Y925" s="70"/>
      <c r="Z925" s="70"/>
      <c r="AA925" s="1063"/>
      <c r="AB925" s="1064"/>
      <c r="AD925" s="743"/>
      <c r="AE925" s="743"/>
      <c r="AF925" s="743"/>
      <c r="AG925" s="743"/>
      <c r="AH925" s="743"/>
      <c r="AI925" s="743"/>
      <c r="AN925" s="743"/>
      <c r="AO925" s="743"/>
    </row>
    <row r="926" spans="1:41" s="267" customFormat="1" x14ac:dyDescent="0.25">
      <c r="A926" s="1049" t="s">
        <v>1</v>
      </c>
      <c r="B926" s="1050"/>
      <c r="C926" s="297" t="s">
        <v>12</v>
      </c>
      <c r="D926" s="266" t="s">
        <v>12</v>
      </c>
      <c r="E926" s="297" t="s">
        <v>13</v>
      </c>
      <c r="F926" s="277" t="s">
        <v>13</v>
      </c>
      <c r="G926" s="277" t="s">
        <v>13</v>
      </c>
      <c r="H926" s="277" t="s">
        <v>13</v>
      </c>
      <c r="I926" s="277" t="s">
        <v>13</v>
      </c>
      <c r="J926" s="286" t="s">
        <v>13</v>
      </c>
      <c r="K926" s="286" t="s">
        <v>13</v>
      </c>
      <c r="L926" s="266" t="s">
        <v>13</v>
      </c>
      <c r="M926" s="297" t="s">
        <v>2</v>
      </c>
      <c r="N926" s="277" t="s">
        <v>2</v>
      </c>
      <c r="O926" s="286" t="s">
        <v>2</v>
      </c>
      <c r="P926" s="277" t="s">
        <v>2</v>
      </c>
      <c r="Q926" s="286" t="s">
        <v>2</v>
      </c>
      <c r="R926" s="286" t="s">
        <v>2</v>
      </c>
      <c r="S926" s="266" t="s">
        <v>2</v>
      </c>
      <c r="T926" s="328" t="s">
        <v>183</v>
      </c>
      <c r="U926" s="327" t="s">
        <v>183</v>
      </c>
      <c r="V926" s="12"/>
      <c r="W926" s="70"/>
      <c r="X926" s="70"/>
      <c r="Y926" s="70"/>
      <c r="Z926" s="70"/>
      <c r="AA926" s="1049" t="s">
        <v>1</v>
      </c>
      <c r="AB926" s="1051"/>
      <c r="AC926" s="297" t="s">
        <v>12</v>
      </c>
      <c r="AD926" s="937"/>
      <c r="AE926" s="937"/>
      <c r="AF926" s="937"/>
      <c r="AG926" s="937"/>
      <c r="AH926" s="937"/>
      <c r="AI926" s="937"/>
      <c r="AJ926" s="277" t="s">
        <v>13</v>
      </c>
      <c r="AK926" s="266" t="s">
        <v>2</v>
      </c>
      <c r="AN926" s="743"/>
      <c r="AO926" s="743"/>
    </row>
    <row r="927" spans="1:41" s="267" customFormat="1" ht="15.75" thickBot="1" x14ac:dyDescent="0.3">
      <c r="A927" s="1054" t="s">
        <v>0</v>
      </c>
      <c r="B927" s="1066"/>
      <c r="C927" s="298" t="s">
        <v>99</v>
      </c>
      <c r="D927" s="291" t="s">
        <v>100</v>
      </c>
      <c r="E927" s="298" t="s">
        <v>101</v>
      </c>
      <c r="F927" s="306" t="s">
        <v>102</v>
      </c>
      <c r="G927" s="306" t="s">
        <v>97</v>
      </c>
      <c r="H927" s="306" t="s">
        <v>104</v>
      </c>
      <c r="I927" s="306" t="s">
        <v>103</v>
      </c>
      <c r="J927" s="378" t="s">
        <v>178</v>
      </c>
      <c r="K927" s="378" t="s">
        <v>199</v>
      </c>
      <c r="L927" s="314" t="s">
        <v>206</v>
      </c>
      <c r="M927" s="298" t="s">
        <v>105</v>
      </c>
      <c r="N927" s="306" t="s">
        <v>107</v>
      </c>
      <c r="O927" s="312" t="s">
        <v>98</v>
      </c>
      <c r="P927" s="313" t="s">
        <v>106</v>
      </c>
      <c r="Q927" s="312" t="s">
        <v>179</v>
      </c>
      <c r="R927" s="312" t="s">
        <v>198</v>
      </c>
      <c r="S927" s="291" t="s">
        <v>207</v>
      </c>
      <c r="T927" s="317" t="s">
        <v>182</v>
      </c>
      <c r="U927" s="291" t="s">
        <v>184</v>
      </c>
      <c r="V927" s="12"/>
      <c r="W927" s="12"/>
      <c r="X927" s="12"/>
      <c r="Y927" s="12"/>
      <c r="Z927" s="12"/>
      <c r="AA927" s="1054" t="s">
        <v>0</v>
      </c>
      <c r="AB927" s="1067"/>
      <c r="AC927" s="298" t="s">
        <v>99</v>
      </c>
      <c r="AD927" s="938"/>
      <c r="AE927" s="938"/>
      <c r="AF927" s="938"/>
      <c r="AG927" s="938"/>
      <c r="AH927" s="938"/>
      <c r="AI927" s="938"/>
      <c r="AJ927" s="306" t="s">
        <v>104</v>
      </c>
      <c r="AK927" s="291" t="s">
        <v>107</v>
      </c>
      <c r="AN927" s="743"/>
      <c r="AO927" s="743"/>
    </row>
    <row r="928" spans="1:41" s="267" customFormat="1" ht="15" customHeight="1" x14ac:dyDescent="0.25">
      <c r="A928" s="1057" t="s">
        <v>9</v>
      </c>
      <c r="B928" s="19" t="s">
        <v>4</v>
      </c>
      <c r="C928" s="299">
        <v>143393</v>
      </c>
      <c r="D928" s="265">
        <v>150516.70000000001</v>
      </c>
      <c r="E928" s="299">
        <v>150516.70000000001</v>
      </c>
      <c r="F928" s="283">
        <v>181997.8</v>
      </c>
      <c r="G928" s="283">
        <v>165452.5</v>
      </c>
      <c r="H928" s="283">
        <v>132132.9</v>
      </c>
      <c r="I928" s="368">
        <v>170968.6</v>
      </c>
      <c r="J928" s="223">
        <v>165453.5</v>
      </c>
      <c r="K928" s="223">
        <v>92411.6</v>
      </c>
      <c r="L928" s="265">
        <v>132070</v>
      </c>
      <c r="M928" s="299">
        <v>193029.1</v>
      </c>
      <c r="N928" s="283">
        <v>132132.9</v>
      </c>
      <c r="O928" s="283">
        <v>82726.600000000006</v>
      </c>
      <c r="P928" s="283">
        <v>275755</v>
      </c>
      <c r="Q928" s="223">
        <v>82726.600000000006</v>
      </c>
      <c r="R928" s="223">
        <v>188981.6</v>
      </c>
      <c r="S928" s="265">
        <v>132070</v>
      </c>
      <c r="T928" s="318">
        <v>55151</v>
      </c>
      <c r="U928" s="265">
        <v>33090.5</v>
      </c>
      <c r="V928" s="70"/>
      <c r="W928" s="70"/>
      <c r="X928" s="70"/>
      <c r="Y928" s="70"/>
      <c r="Z928" s="70"/>
      <c r="AA928" s="381" t="s">
        <v>194</v>
      </c>
      <c r="AB928" s="2" t="s">
        <v>4</v>
      </c>
      <c r="AC928" s="299">
        <v>143392.20000000001</v>
      </c>
      <c r="AD928" s="552"/>
      <c r="AE928" s="552"/>
      <c r="AF928" s="552"/>
      <c r="AG928" s="552"/>
      <c r="AH928" s="552"/>
      <c r="AI928" s="552"/>
      <c r="AJ928" s="283">
        <v>132132</v>
      </c>
      <c r="AK928" s="265">
        <v>132132.20000000001</v>
      </c>
      <c r="AN928" s="743"/>
      <c r="AO928" s="743"/>
    </row>
    <row r="929" spans="1:41" s="267" customFormat="1" x14ac:dyDescent="0.25">
      <c r="A929" s="1058"/>
      <c r="B929" s="293" t="s">
        <v>5</v>
      </c>
      <c r="C929" s="300">
        <v>41671.5</v>
      </c>
      <c r="D929" s="264">
        <v>78563.7</v>
      </c>
      <c r="E929" s="300">
        <v>80046.600000000006</v>
      </c>
      <c r="F929" s="307">
        <v>161154.20000000001</v>
      </c>
      <c r="G929" s="307">
        <v>103958.2</v>
      </c>
      <c r="H929" s="307">
        <v>55020.1</v>
      </c>
      <c r="I929" s="307">
        <v>87561.9</v>
      </c>
      <c r="J929" s="374">
        <v>16517.900000000001</v>
      </c>
      <c r="K929" s="374">
        <v>2.7</v>
      </c>
      <c r="L929" s="264">
        <v>4.7</v>
      </c>
      <c r="M929" s="300">
        <v>161405.79999999999</v>
      </c>
      <c r="N929" s="307">
        <v>56132.5</v>
      </c>
      <c r="O929" s="307">
        <v>53380.2</v>
      </c>
      <c r="P929" s="307">
        <v>160058.20000000001</v>
      </c>
      <c r="Q929" s="374">
        <v>8492.9</v>
      </c>
      <c r="R929" s="374">
        <v>5.4</v>
      </c>
      <c r="S929" s="264">
        <v>4.7</v>
      </c>
      <c r="T929" s="319">
        <v>8183.4</v>
      </c>
      <c r="U929" s="264">
        <v>4698.2</v>
      </c>
      <c r="V929" s="70"/>
      <c r="W929" s="70"/>
      <c r="X929" s="70"/>
      <c r="Y929" s="70"/>
      <c r="Z929" s="70"/>
      <c r="AA929" s="382"/>
      <c r="AB929" s="342" t="s">
        <v>5</v>
      </c>
      <c r="AC929" s="300">
        <v>41815.599999999999</v>
      </c>
      <c r="AD929" s="631"/>
      <c r="AE929" s="631"/>
      <c r="AF929" s="631"/>
      <c r="AG929" s="631"/>
      <c r="AH929" s="631"/>
      <c r="AI929" s="631"/>
      <c r="AJ929" s="307">
        <v>55035.3</v>
      </c>
      <c r="AK929" s="264">
        <v>55997</v>
      </c>
      <c r="AN929" s="743"/>
      <c r="AO929" s="743"/>
    </row>
    <row r="930" spans="1:41" s="267" customFormat="1" ht="15.75" thickBot="1" x14ac:dyDescent="0.3">
      <c r="A930" s="1059"/>
      <c r="B930" s="294" t="s">
        <v>3</v>
      </c>
      <c r="C930" s="305">
        <f t="shared" ref="C930:K930" si="334">C929/C928</f>
        <v>0.29061042031340439</v>
      </c>
      <c r="D930" s="343">
        <f t="shared" si="334"/>
        <v>0.52196002171187639</v>
      </c>
      <c r="E930" s="305">
        <f t="shared" si="334"/>
        <v>0.53181208463911311</v>
      </c>
      <c r="F930" s="371">
        <f t="shared" si="334"/>
        <v>0.88547334088653828</v>
      </c>
      <c r="G930" s="278">
        <f t="shared" si="334"/>
        <v>0.62832655898218526</v>
      </c>
      <c r="H930" s="278">
        <f t="shared" si="334"/>
        <v>0.41639970060446718</v>
      </c>
      <c r="I930" s="278">
        <f t="shared" si="334"/>
        <v>0.51215193901102307</v>
      </c>
      <c r="J930" s="315">
        <f t="shared" si="334"/>
        <v>9.9834092358275894E-2</v>
      </c>
      <c r="K930" s="315">
        <f t="shared" si="334"/>
        <v>2.9217111271745105E-5</v>
      </c>
      <c r="L930" s="292">
        <f t="shared" ref="L930" si="335">L929/L928</f>
        <v>3.5587188612099643E-5</v>
      </c>
      <c r="M930" s="372">
        <f>M929/M928</f>
        <v>0.83617340597868395</v>
      </c>
      <c r="N930" s="278">
        <f>N929/N928</f>
        <v>0.42481849713432462</v>
      </c>
      <c r="O930" s="315">
        <f>O929/O928</f>
        <v>0.64526041200774586</v>
      </c>
      <c r="P930" s="278">
        <f>P929/P928</f>
        <v>0.58043625682217914</v>
      </c>
      <c r="Q930" s="315">
        <f>Q929/Q928</f>
        <v>0.1026622634074167</v>
      </c>
      <c r="R930" s="315">
        <f t="shared" ref="R930:S930" si="336">R929/R928</f>
        <v>2.8574210399319299E-5</v>
      </c>
      <c r="S930" s="292">
        <f t="shared" si="336"/>
        <v>3.5587188612099643E-5</v>
      </c>
      <c r="T930" s="320">
        <f>T929/T928</f>
        <v>0.14838171565338795</v>
      </c>
      <c r="U930" s="292">
        <f>U929/U928</f>
        <v>0.14198032667986279</v>
      </c>
      <c r="V930" s="70"/>
      <c r="W930" s="70"/>
      <c r="X930" s="70"/>
      <c r="Y930" s="70"/>
      <c r="Z930" s="70"/>
      <c r="AA930" s="383"/>
      <c r="AB930" s="347" t="s">
        <v>3</v>
      </c>
      <c r="AC930" s="301">
        <f>AC929/AC928</f>
        <v>0.29161697777145473</v>
      </c>
      <c r="AD930" s="939"/>
      <c r="AE930" s="939"/>
      <c r="AF930" s="939"/>
      <c r="AG930" s="939"/>
      <c r="AH930" s="939"/>
      <c r="AI930" s="939"/>
      <c r="AJ930" s="278">
        <f>AJ929/AJ928</f>
        <v>0.41651757333575518</v>
      </c>
      <c r="AK930" s="292">
        <f>AK929/AK928</f>
        <v>0.42379525959607117</v>
      </c>
      <c r="AN930" s="743"/>
      <c r="AO930" s="743"/>
    </row>
    <row r="931" spans="1:41" s="267" customFormat="1" ht="15" customHeight="1" x14ac:dyDescent="0.25">
      <c r="A931" s="1060" t="s">
        <v>6</v>
      </c>
      <c r="B931" s="19" t="s">
        <v>7</v>
      </c>
      <c r="C931" s="297">
        <v>5870</v>
      </c>
      <c r="D931" s="266">
        <v>3333</v>
      </c>
      <c r="E931" s="297">
        <v>3330</v>
      </c>
      <c r="F931" s="277">
        <v>9457</v>
      </c>
      <c r="G931" s="357">
        <v>8428</v>
      </c>
      <c r="H931" s="277">
        <v>15703</v>
      </c>
      <c r="I931" s="277">
        <v>7403</v>
      </c>
      <c r="J931" s="286">
        <v>9599</v>
      </c>
      <c r="K931" s="286">
        <v>3593</v>
      </c>
      <c r="L931" s="266">
        <v>6399</v>
      </c>
      <c r="M931" s="297">
        <v>9289</v>
      </c>
      <c r="N931" s="277">
        <v>12295</v>
      </c>
      <c r="O931" s="357">
        <v>4354</v>
      </c>
      <c r="P931" s="277">
        <v>10027</v>
      </c>
      <c r="Q931" s="286">
        <v>4799</v>
      </c>
      <c r="R931" s="286">
        <v>7192</v>
      </c>
      <c r="S931" s="266">
        <v>6399</v>
      </c>
      <c r="T931" s="321">
        <v>2000</v>
      </c>
      <c r="U931" s="266">
        <v>1250</v>
      </c>
      <c r="V931" s="358" t="s">
        <v>197</v>
      </c>
      <c r="W931" s="126"/>
      <c r="X931" s="70"/>
      <c r="Y931" s="70"/>
      <c r="Z931" s="70"/>
      <c r="AA931" s="381" t="s">
        <v>190</v>
      </c>
      <c r="AB931" s="19" t="s">
        <v>4</v>
      </c>
      <c r="AC931" s="299">
        <v>9191.7999999999993</v>
      </c>
      <c r="AD931" s="552"/>
      <c r="AE931" s="552"/>
      <c r="AF931" s="552"/>
      <c r="AG931" s="552"/>
      <c r="AH931" s="552"/>
      <c r="AI931" s="552"/>
      <c r="AJ931" s="283">
        <v>13787.7</v>
      </c>
      <c r="AK931" s="265">
        <v>13787.7</v>
      </c>
      <c r="AN931" s="743"/>
      <c r="AO931" s="743"/>
    </row>
    <row r="932" spans="1:41" s="267" customFormat="1" x14ac:dyDescent="0.25">
      <c r="A932" s="1061"/>
      <c r="B932" s="295" t="s">
        <v>11</v>
      </c>
      <c r="C932" s="302">
        <f t="shared" ref="C932:K932" si="337">C931*33.717</f>
        <v>197918.78999999998</v>
      </c>
      <c r="D932" s="263">
        <f t="shared" si="337"/>
        <v>112378.761</v>
      </c>
      <c r="E932" s="302">
        <f t="shared" si="337"/>
        <v>112277.61</v>
      </c>
      <c r="F932" s="355">
        <f t="shared" si="337"/>
        <v>318861.66899999999</v>
      </c>
      <c r="G932" s="308">
        <f t="shared" si="337"/>
        <v>284166.87599999999</v>
      </c>
      <c r="H932" s="354">
        <f t="shared" si="337"/>
        <v>529458.05099999998</v>
      </c>
      <c r="I932" s="354">
        <f t="shared" si="337"/>
        <v>249606.951</v>
      </c>
      <c r="J932" s="355">
        <f t="shared" si="337"/>
        <v>323649.48300000001</v>
      </c>
      <c r="K932" s="375">
        <f t="shared" si="337"/>
        <v>121145.181</v>
      </c>
      <c r="L932" s="263">
        <f t="shared" ref="L932" si="338">L931*33.717</f>
        <v>215755.08299999998</v>
      </c>
      <c r="M932" s="322">
        <f>M931*33.717</f>
        <v>313197.21299999999</v>
      </c>
      <c r="N932" s="308">
        <f>N931*33.717</f>
        <v>414550.51499999996</v>
      </c>
      <c r="O932" s="308">
        <f>O931*33.717</f>
        <v>146803.818</v>
      </c>
      <c r="P932" s="354">
        <f>P931*33.717</f>
        <v>338080.359</v>
      </c>
      <c r="Q932" s="355">
        <f>Q931*33.717</f>
        <v>161807.883</v>
      </c>
      <c r="R932" s="375">
        <f t="shared" ref="R932:S932" si="339">R931*33.717</f>
        <v>242492.66399999999</v>
      </c>
      <c r="S932" s="263">
        <f t="shared" si="339"/>
        <v>215755.08299999998</v>
      </c>
      <c r="T932" s="302">
        <f>T931*33.717</f>
        <v>67434</v>
      </c>
      <c r="U932" s="354">
        <f>U931*33.717</f>
        <v>42146.25</v>
      </c>
      <c r="V932" s="70"/>
      <c r="W932" s="70"/>
      <c r="X932" s="70"/>
      <c r="Y932" s="70"/>
      <c r="Z932" s="70"/>
      <c r="AA932" s="382"/>
      <c r="AB932" s="293" t="s">
        <v>5</v>
      </c>
      <c r="AC932" s="300">
        <v>8299.9</v>
      </c>
      <c r="AD932" s="631"/>
      <c r="AE932" s="631"/>
      <c r="AF932" s="631"/>
      <c r="AG932" s="631"/>
      <c r="AH932" s="631"/>
      <c r="AI932" s="631"/>
      <c r="AJ932" s="307">
        <v>13646</v>
      </c>
      <c r="AK932" s="264">
        <v>13645.8</v>
      </c>
      <c r="AN932" s="743"/>
      <c r="AO932" s="743"/>
    </row>
    <row r="933" spans="1:41" s="267" customFormat="1" ht="15.75" thickBot="1" x14ac:dyDescent="0.3">
      <c r="A933" s="1061"/>
      <c r="B933" s="295" t="s">
        <v>79</v>
      </c>
      <c r="C933" s="302">
        <v>164000</v>
      </c>
      <c r="D933" s="263">
        <v>109880</v>
      </c>
      <c r="E933" s="302">
        <v>109880</v>
      </c>
      <c r="F933" s="308">
        <v>328000</v>
      </c>
      <c r="G933" s="308">
        <v>330905</v>
      </c>
      <c r="H933" s="308">
        <v>264264</v>
      </c>
      <c r="I933" s="308">
        <v>242663.6</v>
      </c>
      <c r="J933" s="375">
        <v>328000</v>
      </c>
      <c r="K933" s="375">
        <v>328000</v>
      </c>
      <c r="L933" s="263">
        <v>328000</v>
      </c>
      <c r="M933" s="302">
        <v>328000</v>
      </c>
      <c r="N933" s="308">
        <v>264264.40000000002</v>
      </c>
      <c r="O933" s="308">
        <v>328000</v>
      </c>
      <c r="P933" s="308">
        <v>352965.4</v>
      </c>
      <c r="Q933" s="375">
        <v>328000</v>
      </c>
      <c r="R933" s="375">
        <v>328000</v>
      </c>
      <c r="S933" s="263">
        <v>328000</v>
      </c>
      <c r="T933" s="322">
        <f>2*T928</f>
        <v>110302</v>
      </c>
      <c r="U933" s="263">
        <f>2*U928</f>
        <v>66181</v>
      </c>
      <c r="V933" s="70"/>
      <c r="W933" s="70"/>
      <c r="X933" s="70"/>
      <c r="Y933" s="70"/>
      <c r="Z933" s="70"/>
      <c r="AA933" s="383"/>
      <c r="AB933" s="344" t="s">
        <v>3</v>
      </c>
      <c r="AC933" s="301">
        <f>AC932/AC931</f>
        <v>0.90296786266019713</v>
      </c>
      <c r="AD933" s="939"/>
      <c r="AE933" s="939"/>
      <c r="AF933" s="939"/>
      <c r="AG933" s="939"/>
      <c r="AH933" s="939"/>
      <c r="AI933" s="939"/>
      <c r="AJ933" s="249">
        <f>AJ932/AJ931</f>
        <v>0.98972272387707882</v>
      </c>
      <c r="AK933" s="348">
        <f>AK932/AK931</f>
        <v>0.98970821819447763</v>
      </c>
      <c r="AN933" s="743"/>
      <c r="AO933" s="743"/>
    </row>
    <row r="934" spans="1:41" s="267" customFormat="1" ht="15" customHeight="1" x14ac:dyDescent="0.25">
      <c r="A934" s="1061"/>
      <c r="B934" s="293" t="s">
        <v>8</v>
      </c>
      <c r="C934" s="303">
        <f>SUM(C931-531)</f>
        <v>5339</v>
      </c>
      <c r="D934" s="262">
        <f>SUM(D931-646)</f>
        <v>2687</v>
      </c>
      <c r="E934" s="303">
        <f>SUM(E931-612)</f>
        <v>2718</v>
      </c>
      <c r="F934" s="309">
        <f>SUM(F931-1211)</f>
        <v>8246</v>
      </c>
      <c r="G934" s="309">
        <f>SUM(G931-4550)</f>
        <v>3878</v>
      </c>
      <c r="H934" s="309">
        <f>SUM(H931-2076)</f>
        <v>13627</v>
      </c>
      <c r="I934" s="309">
        <f>SUM(I931-(3249-2000))</f>
        <v>6154</v>
      </c>
      <c r="J934" s="316">
        <f>SUM(J931-9172)</f>
        <v>427</v>
      </c>
      <c r="K934" s="316">
        <f>SUM(K931-3504)</f>
        <v>89</v>
      </c>
      <c r="L934" s="262">
        <f>SUM(L931-6312)</f>
        <v>87</v>
      </c>
      <c r="M934" s="303">
        <f>SUM(M931-909)</f>
        <v>8380</v>
      </c>
      <c r="N934" s="309">
        <f>SUM(N931-1164)</f>
        <v>11131</v>
      </c>
      <c r="O934" s="316">
        <f>SUM(O931-329)</f>
        <v>4025</v>
      </c>
      <c r="P934" s="309">
        <f>SUM(P931-(5201-2614))</f>
        <v>7440</v>
      </c>
      <c r="Q934" s="316">
        <f>SUM(Q931-3930)</f>
        <v>869</v>
      </c>
      <c r="R934" s="316">
        <f>SUM(R931-7032)</f>
        <v>160</v>
      </c>
      <c r="S934" s="262">
        <f>SUM(S931-6378)</f>
        <v>21</v>
      </c>
      <c r="T934" s="323">
        <f>SUM(T931-1024)</f>
        <v>976</v>
      </c>
      <c r="U934" s="262">
        <f>SUM(U931-752)</f>
        <v>498</v>
      </c>
      <c r="V934" s="12" t="s">
        <v>176</v>
      </c>
      <c r="W934" s="70"/>
      <c r="X934" s="70"/>
      <c r="Y934" s="70"/>
      <c r="Z934" s="70"/>
      <c r="AA934" s="381" t="s">
        <v>191</v>
      </c>
      <c r="AB934" s="19" t="s">
        <v>4</v>
      </c>
      <c r="AC934" s="299">
        <v>97433.600000000006</v>
      </c>
      <c r="AD934" s="552"/>
      <c r="AE934" s="552"/>
      <c r="AF934" s="552"/>
      <c r="AG934" s="552"/>
      <c r="AH934" s="552"/>
      <c r="AI934" s="552"/>
      <c r="AJ934" s="283">
        <v>243584.4</v>
      </c>
      <c r="AK934" s="265">
        <v>292299.3</v>
      </c>
      <c r="AN934" s="743"/>
      <c r="AO934" s="743"/>
    </row>
    <row r="935" spans="1:41" s="267" customFormat="1" x14ac:dyDescent="0.25">
      <c r="A935" s="1061"/>
      <c r="B935" s="296" t="s">
        <v>77</v>
      </c>
      <c r="C935" s="302">
        <f>(C934*33.717)</f>
        <v>180015.06299999999</v>
      </c>
      <c r="D935" s="338">
        <f>(D934*33.717)</f>
        <v>90597.578999999998</v>
      </c>
      <c r="E935" s="302">
        <f>(E934*33.717)</f>
        <v>91642.805999999997</v>
      </c>
      <c r="F935" s="338">
        <f>(F934*33.717)</f>
        <v>278030.38199999998</v>
      </c>
      <c r="G935" s="280">
        <f>(G934*33.717)*2</f>
        <v>261509.052</v>
      </c>
      <c r="H935" s="280">
        <f>(H934*33.717)</f>
        <v>459461.55900000001</v>
      </c>
      <c r="I935" s="280">
        <f>(I934*33.717)-(2000*33.717)</f>
        <v>140060.41800000001</v>
      </c>
      <c r="J935" s="376">
        <f>J934*33.717</f>
        <v>14397.159</v>
      </c>
      <c r="K935" s="376">
        <f>K934*33.717</f>
        <v>3000.8130000000001</v>
      </c>
      <c r="L935" s="261">
        <f>L934*33.717</f>
        <v>2933.3789999999999</v>
      </c>
      <c r="M935" s="304">
        <f>M934*33.717</f>
        <v>282548.45999999996</v>
      </c>
      <c r="N935" s="280">
        <f>N934*33.717</f>
        <v>375303.92699999997</v>
      </c>
      <c r="O935" s="280">
        <f>(O934*33.717)</f>
        <v>135710.92499999999</v>
      </c>
      <c r="P935" s="280">
        <f t="shared" ref="P935:U935" si="340">P934*33.717</f>
        <v>250854.47999999998</v>
      </c>
      <c r="Q935" s="376">
        <f t="shared" si="340"/>
        <v>29300.073</v>
      </c>
      <c r="R935" s="376">
        <f t="shared" si="340"/>
        <v>5394.7199999999993</v>
      </c>
      <c r="S935" s="261">
        <f t="shared" si="340"/>
        <v>708.05700000000002</v>
      </c>
      <c r="T935" s="324">
        <f t="shared" si="340"/>
        <v>32907.792000000001</v>
      </c>
      <c r="U935" s="325">
        <f t="shared" si="340"/>
        <v>16791.065999999999</v>
      </c>
      <c r="V935" s="63">
        <f>344240-H935</f>
        <v>-115221.55900000001</v>
      </c>
      <c r="W935" s="70" t="s">
        <v>177</v>
      </c>
      <c r="X935" s="70"/>
      <c r="Y935" s="70"/>
      <c r="Z935" s="70"/>
      <c r="AA935" s="382"/>
      <c r="AB935" s="293" t="s">
        <v>5</v>
      </c>
      <c r="AC935" s="300">
        <v>38973.199999999997</v>
      </c>
      <c r="AD935" s="631"/>
      <c r="AE935" s="631"/>
      <c r="AF935" s="631"/>
      <c r="AG935" s="631"/>
      <c r="AH935" s="631"/>
      <c r="AI935" s="631"/>
      <c r="AJ935" s="307">
        <v>96614.9</v>
      </c>
      <c r="AK935" s="264">
        <v>91250.3</v>
      </c>
      <c r="AN935" s="743"/>
      <c r="AO935" s="743"/>
    </row>
    <row r="936" spans="1:41" s="267" customFormat="1" ht="15.75" thickBot="1" x14ac:dyDescent="0.3">
      <c r="A936" s="1062"/>
      <c r="B936" s="294" t="s">
        <v>10</v>
      </c>
      <c r="C936" s="305">
        <f t="shared" ref="C936:K936" si="341">C935/C928</f>
        <v>1.2553964489201006</v>
      </c>
      <c r="D936" s="292">
        <f t="shared" si="341"/>
        <v>0.60191047903654538</v>
      </c>
      <c r="E936" s="310">
        <f t="shared" si="341"/>
        <v>0.60885473837786763</v>
      </c>
      <c r="F936" s="282">
        <f t="shared" si="341"/>
        <v>1.5276579277331923</v>
      </c>
      <c r="G936" s="282">
        <f t="shared" si="341"/>
        <v>1.5805687553829648</v>
      </c>
      <c r="H936" s="282">
        <f t="shared" si="341"/>
        <v>3.4772684093060851</v>
      </c>
      <c r="I936" s="282">
        <f t="shared" si="341"/>
        <v>0.81921720128725395</v>
      </c>
      <c r="J936" s="377">
        <f t="shared" si="341"/>
        <v>8.7016345982405929E-2</v>
      </c>
      <c r="K936" s="377">
        <f t="shared" si="341"/>
        <v>3.2472254565444163E-2</v>
      </c>
      <c r="L936" s="311">
        <f t="shared" ref="L936" si="342">L935/L928</f>
        <v>2.2210789732717496E-2</v>
      </c>
      <c r="M936" s="310">
        <f t="shared" ref="M936:U936" si="343">M935/M928</f>
        <v>1.4637609562496015</v>
      </c>
      <c r="N936" s="282">
        <f t="shared" si="343"/>
        <v>2.8403518502961789</v>
      </c>
      <c r="O936" s="282">
        <f t="shared" si="343"/>
        <v>1.6404750708961806</v>
      </c>
      <c r="P936" s="260">
        <f t="shared" si="343"/>
        <v>0.90970056753277362</v>
      </c>
      <c r="Q936" s="377">
        <f t="shared" si="343"/>
        <v>0.35417958673510092</v>
      </c>
      <c r="R936" s="377">
        <f t="shared" si="343"/>
        <v>2.8546271171373292E-2</v>
      </c>
      <c r="S936" s="311">
        <f t="shared" si="343"/>
        <v>5.3612251078973272E-3</v>
      </c>
      <c r="T936" s="305">
        <f t="shared" si="343"/>
        <v>0.59668531848923867</v>
      </c>
      <c r="U936" s="292">
        <f t="shared" si="343"/>
        <v>0.50742859733156043</v>
      </c>
      <c r="V936" s="126"/>
      <c r="W936" s="70"/>
      <c r="X936" s="70"/>
      <c r="Y936" s="70"/>
      <c r="Z936" s="70"/>
      <c r="AA936" s="383"/>
      <c r="AB936" s="294" t="s">
        <v>3</v>
      </c>
      <c r="AC936" s="305">
        <f>AC935/AC934</f>
        <v>0.39999753678402516</v>
      </c>
      <c r="AD936" s="636"/>
      <c r="AE936" s="636"/>
      <c r="AF936" s="636"/>
      <c r="AG936" s="636"/>
      <c r="AH936" s="636"/>
      <c r="AI936" s="636"/>
      <c r="AJ936" s="278">
        <f>AJ935/AJ934</f>
        <v>0.39663829046523502</v>
      </c>
      <c r="AK936" s="343">
        <f>AK935/AK934</f>
        <v>0.31218104182938516</v>
      </c>
      <c r="AN936" s="743"/>
      <c r="AO936" s="743"/>
    </row>
    <row r="937" spans="1:41" s="267" customFormat="1" ht="15.75" thickBot="1" x14ac:dyDescent="0.3">
      <c r="A937" s="1048">
        <v>41430</v>
      </c>
      <c r="B937" s="1048"/>
      <c r="C937" s="1048"/>
      <c r="D937" s="276"/>
      <c r="E937" s="276"/>
      <c r="F937" s="276"/>
      <c r="G937" s="276"/>
      <c r="H937" s="276"/>
      <c r="I937" s="11"/>
      <c r="J937" s="281"/>
      <c r="K937" s="281"/>
      <c r="L937" s="276"/>
      <c r="M937" s="276"/>
      <c r="N937" s="13"/>
      <c r="R937" s="12"/>
      <c r="S937" s="70"/>
      <c r="T937" s="70"/>
      <c r="U937" s="70"/>
      <c r="V937" s="70"/>
      <c r="W937" s="70"/>
      <c r="X937" s="70"/>
      <c r="Y937" s="70"/>
      <c r="Z937" s="70"/>
      <c r="AA937" s="1063"/>
      <c r="AB937" s="1064"/>
      <c r="AD937" s="743"/>
      <c r="AE937" s="743"/>
      <c r="AF937" s="743"/>
      <c r="AG937" s="743"/>
      <c r="AH937" s="743"/>
      <c r="AI937" s="743"/>
      <c r="AN937" s="743"/>
      <c r="AO937" s="743"/>
    </row>
    <row r="938" spans="1:41" s="267" customFormat="1" x14ac:dyDescent="0.25">
      <c r="A938" s="1049" t="s">
        <v>1</v>
      </c>
      <c r="B938" s="1050"/>
      <c r="C938" s="297" t="s">
        <v>12</v>
      </c>
      <c r="D938" s="266" t="s">
        <v>12</v>
      </c>
      <c r="E938" s="297" t="s">
        <v>13</v>
      </c>
      <c r="F938" s="277" t="s">
        <v>13</v>
      </c>
      <c r="G938" s="277" t="s">
        <v>13</v>
      </c>
      <c r="H938" s="277" t="s">
        <v>13</v>
      </c>
      <c r="I938" s="277" t="s">
        <v>13</v>
      </c>
      <c r="J938" s="286" t="s">
        <v>13</v>
      </c>
      <c r="K938" s="266" t="s">
        <v>13</v>
      </c>
      <c r="L938" s="297" t="s">
        <v>2</v>
      </c>
      <c r="M938" s="277" t="s">
        <v>2</v>
      </c>
      <c r="N938" s="286" t="s">
        <v>2</v>
      </c>
      <c r="O938" s="277" t="s">
        <v>2</v>
      </c>
      <c r="P938" s="286" t="s">
        <v>2</v>
      </c>
      <c r="Q938" s="266" t="s">
        <v>2</v>
      </c>
      <c r="R938" s="328" t="s">
        <v>183</v>
      </c>
      <c r="S938" s="327" t="s">
        <v>183</v>
      </c>
      <c r="T938" s="12"/>
      <c r="U938" s="70"/>
      <c r="V938" s="70"/>
      <c r="W938" s="70"/>
      <c r="X938" s="70"/>
      <c r="Y938" s="70"/>
      <c r="Z938" s="70"/>
      <c r="AA938" s="1049" t="s">
        <v>1</v>
      </c>
      <c r="AB938" s="1050"/>
      <c r="AC938" s="297" t="s">
        <v>12</v>
      </c>
      <c r="AD938" s="937"/>
      <c r="AE938" s="937"/>
      <c r="AF938" s="937"/>
      <c r="AG938" s="937"/>
      <c r="AH938" s="937"/>
      <c r="AI938" s="937"/>
      <c r="AJ938" s="277" t="s">
        <v>13</v>
      </c>
      <c r="AK938" s="266" t="s">
        <v>2</v>
      </c>
      <c r="AN938" s="743"/>
      <c r="AO938" s="743"/>
    </row>
    <row r="939" spans="1:41" s="267" customFormat="1" ht="15.75" thickBot="1" x14ac:dyDescent="0.3">
      <c r="A939" s="1054" t="s">
        <v>0</v>
      </c>
      <c r="B939" s="1066"/>
      <c r="C939" s="298" t="s">
        <v>99</v>
      </c>
      <c r="D939" s="291" t="s">
        <v>100</v>
      </c>
      <c r="E939" s="298" t="s">
        <v>101</v>
      </c>
      <c r="F939" s="306" t="s">
        <v>102</v>
      </c>
      <c r="G939" s="306" t="s">
        <v>97</v>
      </c>
      <c r="H939" s="306" t="s">
        <v>104</v>
      </c>
      <c r="I939" s="306" t="s">
        <v>103</v>
      </c>
      <c r="J939" s="378" t="s">
        <v>178</v>
      </c>
      <c r="K939" s="314" t="s">
        <v>199</v>
      </c>
      <c r="L939" s="298" t="s">
        <v>105</v>
      </c>
      <c r="M939" s="306" t="s">
        <v>107</v>
      </c>
      <c r="N939" s="312" t="s">
        <v>98</v>
      </c>
      <c r="O939" s="313" t="s">
        <v>106</v>
      </c>
      <c r="P939" s="312" t="s">
        <v>179</v>
      </c>
      <c r="Q939" s="291" t="s">
        <v>198</v>
      </c>
      <c r="R939" s="317" t="s">
        <v>182</v>
      </c>
      <c r="S939" s="291" t="s">
        <v>184</v>
      </c>
      <c r="T939" s="12"/>
      <c r="U939" s="12"/>
      <c r="V939" s="12"/>
      <c r="W939" s="12"/>
      <c r="X939" s="12"/>
      <c r="Y939" s="12"/>
      <c r="Z939" s="12"/>
      <c r="AA939" s="1054" t="s">
        <v>0</v>
      </c>
      <c r="AB939" s="1066"/>
      <c r="AC939" s="298" t="s">
        <v>99</v>
      </c>
      <c r="AD939" s="938"/>
      <c r="AE939" s="938"/>
      <c r="AF939" s="938"/>
      <c r="AG939" s="938"/>
      <c r="AH939" s="938"/>
      <c r="AI939" s="938"/>
      <c r="AJ939" s="306" t="s">
        <v>104</v>
      </c>
      <c r="AK939" s="291" t="s">
        <v>107</v>
      </c>
      <c r="AN939" s="743"/>
      <c r="AO939" s="743"/>
    </row>
    <row r="940" spans="1:41" s="267" customFormat="1" ht="15" customHeight="1" x14ac:dyDescent="0.25">
      <c r="A940" s="1057" t="s">
        <v>9</v>
      </c>
      <c r="B940" s="19" t="s">
        <v>4</v>
      </c>
      <c r="C940" s="299">
        <v>143392.20000000001</v>
      </c>
      <c r="D940" s="265">
        <v>150515.79999999999</v>
      </c>
      <c r="E940" s="299">
        <v>150515.79999999999</v>
      </c>
      <c r="F940" s="283">
        <v>181997.8</v>
      </c>
      <c r="G940" s="283">
        <v>165452.5</v>
      </c>
      <c r="H940" s="283">
        <v>132132</v>
      </c>
      <c r="I940" s="368">
        <v>170968.6</v>
      </c>
      <c r="J940" s="223">
        <v>166077.9</v>
      </c>
      <c r="K940" s="265">
        <v>95044.2</v>
      </c>
      <c r="L940" s="299">
        <v>193027</v>
      </c>
      <c r="M940" s="283">
        <v>132132.20000000001</v>
      </c>
      <c r="N940" s="283">
        <v>82726.3</v>
      </c>
      <c r="O940" s="283">
        <v>275755</v>
      </c>
      <c r="P940" s="223">
        <v>83039</v>
      </c>
      <c r="Q940" s="265">
        <v>188981.6</v>
      </c>
      <c r="R940" s="318">
        <v>55151</v>
      </c>
      <c r="S940" s="265">
        <v>33090.5</v>
      </c>
      <c r="T940" s="70"/>
      <c r="U940" s="70"/>
      <c r="V940" s="70"/>
      <c r="W940" s="70"/>
      <c r="X940" s="70"/>
      <c r="Y940" s="70"/>
      <c r="Z940" s="70"/>
      <c r="AA940" s="1060" t="s">
        <v>194</v>
      </c>
      <c r="AB940" s="2" t="s">
        <v>4</v>
      </c>
      <c r="AC940" s="299">
        <v>143392.20000000001</v>
      </c>
      <c r="AD940" s="552"/>
      <c r="AE940" s="552"/>
      <c r="AF940" s="552"/>
      <c r="AG940" s="552"/>
      <c r="AH940" s="552"/>
      <c r="AI940" s="552"/>
      <c r="AJ940" s="283">
        <v>132132</v>
      </c>
      <c r="AK940" s="265">
        <v>132132.20000000001</v>
      </c>
      <c r="AN940" s="743"/>
      <c r="AO940" s="743"/>
    </row>
    <row r="941" spans="1:41" s="267" customFormat="1" x14ac:dyDescent="0.25">
      <c r="A941" s="1058"/>
      <c r="B941" s="293" t="s">
        <v>5</v>
      </c>
      <c r="C941" s="300">
        <v>41815.599999999999</v>
      </c>
      <c r="D941" s="264">
        <v>78524.100000000006</v>
      </c>
      <c r="E941" s="300">
        <v>80027.3</v>
      </c>
      <c r="F941" s="307">
        <v>160942.6</v>
      </c>
      <c r="G941" s="307">
        <v>103219.7</v>
      </c>
      <c r="H941" s="307">
        <v>52145.5</v>
      </c>
      <c r="I941" s="307">
        <v>87357</v>
      </c>
      <c r="J941" s="374">
        <v>15903.5</v>
      </c>
      <c r="K941" s="264">
        <v>2.7</v>
      </c>
      <c r="L941" s="300">
        <v>160867.5</v>
      </c>
      <c r="M941" s="307">
        <v>60681.2</v>
      </c>
      <c r="N941" s="307">
        <v>52956.3</v>
      </c>
      <c r="O941" s="307">
        <v>159742.29999999999</v>
      </c>
      <c r="P941" s="374">
        <v>8053.7</v>
      </c>
      <c r="Q941" s="264">
        <v>5.4</v>
      </c>
      <c r="R941" s="319">
        <v>8116.8</v>
      </c>
      <c r="S941" s="264">
        <v>4670.6000000000004</v>
      </c>
      <c r="T941" s="70"/>
      <c r="U941" s="70"/>
      <c r="V941" s="70"/>
      <c r="W941" s="70"/>
      <c r="X941" s="70"/>
      <c r="Y941" s="70"/>
      <c r="Z941" s="70"/>
      <c r="AA941" s="1061"/>
      <c r="AB941" s="342" t="s">
        <v>5</v>
      </c>
      <c r="AC941" s="300">
        <v>41815.599999999999</v>
      </c>
      <c r="AD941" s="631"/>
      <c r="AE941" s="631"/>
      <c r="AF941" s="631"/>
      <c r="AG941" s="631"/>
      <c r="AH941" s="631"/>
      <c r="AI941" s="631"/>
      <c r="AJ941" s="307">
        <v>52145.5</v>
      </c>
      <c r="AK941" s="264">
        <v>60861.2</v>
      </c>
      <c r="AN941" s="743"/>
      <c r="AO941" s="743"/>
    </row>
    <row r="942" spans="1:41" s="267" customFormat="1" ht="15.75" thickBot="1" x14ac:dyDescent="0.3">
      <c r="A942" s="1059"/>
      <c r="B942" s="294" t="s">
        <v>3</v>
      </c>
      <c r="C942" s="305">
        <f t="shared" ref="C942:K942" si="344">C941/C940</f>
        <v>0.29161697777145473</v>
      </c>
      <c r="D942" s="343">
        <f t="shared" si="344"/>
        <v>0.52170004743688048</v>
      </c>
      <c r="E942" s="305">
        <f t="shared" si="344"/>
        <v>0.53168703883579005</v>
      </c>
      <c r="F942" s="371">
        <f t="shared" si="344"/>
        <v>0.88431068946987279</v>
      </c>
      <c r="G942" s="278">
        <f t="shared" si="344"/>
        <v>0.62386304226288514</v>
      </c>
      <c r="H942" s="278">
        <f t="shared" si="344"/>
        <v>0.39464701964701965</v>
      </c>
      <c r="I942" s="278">
        <f t="shared" si="344"/>
        <v>0.51095347332785079</v>
      </c>
      <c r="J942" s="315">
        <f t="shared" si="344"/>
        <v>9.5759279229807218E-2</v>
      </c>
      <c r="K942" s="292">
        <f t="shared" si="344"/>
        <v>2.8407835512319535E-5</v>
      </c>
      <c r="L942" s="372">
        <f>L941/L940</f>
        <v>0.83339377392799974</v>
      </c>
      <c r="M942" s="278">
        <f>M941/M940</f>
        <v>0.45924611865994808</v>
      </c>
      <c r="N942" s="315">
        <f>N941/N940</f>
        <v>0.64013862580581993</v>
      </c>
      <c r="O942" s="278">
        <f>O941/O940</f>
        <v>0.57929067469311524</v>
      </c>
      <c r="P942" s="315">
        <f>P941/P940</f>
        <v>9.6986957935427928E-2</v>
      </c>
      <c r="Q942" s="292">
        <f t="shared" ref="Q942" si="345">Q941/Q940</f>
        <v>2.8574210399319299E-5</v>
      </c>
      <c r="R942" s="320">
        <f>R941/R940</f>
        <v>0.1471741219560842</v>
      </c>
      <c r="S942" s="292">
        <f>S941/S940</f>
        <v>0.14114625043441473</v>
      </c>
      <c r="T942" s="70"/>
      <c r="U942" s="70"/>
      <c r="V942" s="70"/>
      <c r="W942" s="70"/>
      <c r="X942" s="70"/>
      <c r="Y942" s="70"/>
      <c r="Z942" s="70"/>
      <c r="AA942" s="1062"/>
      <c r="AB942" s="347" t="s">
        <v>3</v>
      </c>
      <c r="AC942" s="301">
        <f>AC941/AC940</f>
        <v>0.29161697777145473</v>
      </c>
      <c r="AD942" s="939"/>
      <c r="AE942" s="939"/>
      <c r="AF942" s="939"/>
      <c r="AG942" s="939"/>
      <c r="AH942" s="939"/>
      <c r="AI942" s="939"/>
      <c r="AJ942" s="278">
        <f>AJ941/AJ940</f>
        <v>0.39464701964701965</v>
      </c>
      <c r="AK942" s="292">
        <f>AK941/AK940</f>
        <v>0.46060839068750836</v>
      </c>
      <c r="AN942" s="743"/>
      <c r="AO942" s="743"/>
    </row>
    <row r="943" spans="1:41" s="267" customFormat="1" ht="15" customHeight="1" x14ac:dyDescent="0.25">
      <c r="A943" s="1060" t="s">
        <v>6</v>
      </c>
      <c r="B943" s="19" t="s">
        <v>7</v>
      </c>
      <c r="C943" s="297">
        <v>5870</v>
      </c>
      <c r="D943" s="266">
        <v>3333</v>
      </c>
      <c r="E943" s="297">
        <v>3330</v>
      </c>
      <c r="F943" s="277">
        <v>9457</v>
      </c>
      <c r="G943" s="357">
        <v>8428</v>
      </c>
      <c r="H943" s="277">
        <v>15703</v>
      </c>
      <c r="I943" s="277">
        <v>7403</v>
      </c>
      <c r="J943" s="286">
        <v>9599</v>
      </c>
      <c r="K943" s="266">
        <v>3593</v>
      </c>
      <c r="L943" s="297">
        <v>9289</v>
      </c>
      <c r="M943" s="277">
        <v>12295</v>
      </c>
      <c r="N943" s="357">
        <v>4354</v>
      </c>
      <c r="O943" s="277">
        <v>10027</v>
      </c>
      <c r="P943" s="286">
        <v>4799</v>
      </c>
      <c r="Q943" s="266">
        <v>7192</v>
      </c>
      <c r="R943" s="321">
        <v>2000</v>
      </c>
      <c r="S943" s="266">
        <v>1250</v>
      </c>
      <c r="T943" s="358"/>
      <c r="U943" s="126"/>
      <c r="V943" s="70"/>
      <c r="W943" s="70"/>
      <c r="X943" s="70"/>
      <c r="Y943" s="70"/>
      <c r="Z943" s="70"/>
      <c r="AA943" s="1060" t="s">
        <v>190</v>
      </c>
      <c r="AB943" s="19" t="s">
        <v>4</v>
      </c>
      <c r="AC943" s="299">
        <v>9191.7999999999993</v>
      </c>
      <c r="AD943" s="552"/>
      <c r="AE943" s="552"/>
      <c r="AF943" s="552"/>
      <c r="AG943" s="552"/>
      <c r="AH943" s="552"/>
      <c r="AI943" s="552"/>
      <c r="AJ943" s="283">
        <v>13787.7</v>
      </c>
      <c r="AK943" s="265">
        <v>13787.7</v>
      </c>
      <c r="AN943" s="743"/>
      <c r="AO943" s="743"/>
    </row>
    <row r="944" spans="1:41" s="267" customFormat="1" x14ac:dyDescent="0.25">
      <c r="A944" s="1061"/>
      <c r="B944" s="295" t="s">
        <v>11</v>
      </c>
      <c r="C944" s="302">
        <f t="shared" ref="C944:K944" si="346">C943*33.717</f>
        <v>197918.78999999998</v>
      </c>
      <c r="D944" s="263">
        <f t="shared" si="346"/>
        <v>112378.761</v>
      </c>
      <c r="E944" s="302">
        <f t="shared" si="346"/>
        <v>112277.61</v>
      </c>
      <c r="F944" s="355">
        <f t="shared" si="346"/>
        <v>318861.66899999999</v>
      </c>
      <c r="G944" s="308">
        <f t="shared" si="346"/>
        <v>284166.87599999999</v>
      </c>
      <c r="H944" s="354">
        <f t="shared" si="346"/>
        <v>529458.05099999998</v>
      </c>
      <c r="I944" s="354">
        <f t="shared" si="346"/>
        <v>249606.951</v>
      </c>
      <c r="J944" s="355">
        <f t="shared" si="346"/>
        <v>323649.48300000001</v>
      </c>
      <c r="K944" s="263">
        <f t="shared" si="346"/>
        <v>121145.181</v>
      </c>
      <c r="L944" s="322">
        <f>L943*33.717</f>
        <v>313197.21299999999</v>
      </c>
      <c r="M944" s="308">
        <f>M943*33.717</f>
        <v>414550.51499999996</v>
      </c>
      <c r="N944" s="308">
        <f>N943*33.717</f>
        <v>146803.818</v>
      </c>
      <c r="O944" s="354">
        <f>O943*33.717</f>
        <v>338080.359</v>
      </c>
      <c r="P944" s="355">
        <f>P943*33.717</f>
        <v>161807.883</v>
      </c>
      <c r="Q944" s="263">
        <f t="shared" ref="Q944" si="347">Q943*33.717</f>
        <v>242492.66399999999</v>
      </c>
      <c r="R944" s="302">
        <f>R943*33.717</f>
        <v>67434</v>
      </c>
      <c r="S944" s="354">
        <f>S943*33.717</f>
        <v>42146.25</v>
      </c>
      <c r="T944" s="70"/>
      <c r="U944" s="70"/>
      <c r="V944" s="70"/>
      <c r="W944" s="70"/>
      <c r="X944" s="70"/>
      <c r="Y944" s="70"/>
      <c r="Z944" s="70"/>
      <c r="AA944" s="1061"/>
      <c r="AB944" s="293" t="s">
        <v>5</v>
      </c>
      <c r="AC944" s="300">
        <v>8299.9</v>
      </c>
      <c r="AD944" s="631"/>
      <c r="AE944" s="631"/>
      <c r="AF944" s="631"/>
      <c r="AG944" s="631"/>
      <c r="AH944" s="631"/>
      <c r="AI944" s="631"/>
      <c r="AJ944" s="307">
        <v>13646.7</v>
      </c>
      <c r="AK944" s="264">
        <v>13649.1</v>
      </c>
      <c r="AN944" s="743"/>
      <c r="AO944" s="743"/>
    </row>
    <row r="945" spans="1:41" s="267" customFormat="1" ht="15.75" thickBot="1" x14ac:dyDescent="0.3">
      <c r="A945" s="1061"/>
      <c r="B945" s="295" t="s">
        <v>79</v>
      </c>
      <c r="C945" s="302">
        <v>164000</v>
      </c>
      <c r="D945" s="263">
        <v>109880</v>
      </c>
      <c r="E945" s="302">
        <v>109880</v>
      </c>
      <c r="F945" s="308">
        <v>328000</v>
      </c>
      <c r="G945" s="308">
        <v>330905</v>
      </c>
      <c r="H945" s="308">
        <v>264264</v>
      </c>
      <c r="I945" s="308">
        <v>242663.6</v>
      </c>
      <c r="J945" s="375">
        <v>328000</v>
      </c>
      <c r="K945" s="263">
        <v>328000</v>
      </c>
      <c r="L945" s="302">
        <v>328000</v>
      </c>
      <c r="M945" s="308">
        <v>264264.40000000002</v>
      </c>
      <c r="N945" s="308">
        <v>328000</v>
      </c>
      <c r="O945" s="308">
        <v>352965.4</v>
      </c>
      <c r="P945" s="375">
        <v>328000</v>
      </c>
      <c r="Q945" s="263">
        <v>328000</v>
      </c>
      <c r="R945" s="322">
        <f>2*R940</f>
        <v>110302</v>
      </c>
      <c r="S945" s="263">
        <f>2*S940</f>
        <v>66181</v>
      </c>
      <c r="T945" s="70"/>
      <c r="U945" s="70"/>
      <c r="V945" s="70"/>
      <c r="W945" s="70"/>
      <c r="X945" s="70"/>
      <c r="Y945" s="70"/>
      <c r="Z945" s="70"/>
      <c r="AA945" s="1062"/>
      <c r="AB945" s="344" t="s">
        <v>3</v>
      </c>
      <c r="AC945" s="301">
        <f>AC944/AC943</f>
        <v>0.90296786266019713</v>
      </c>
      <c r="AD945" s="939"/>
      <c r="AE945" s="939"/>
      <c r="AF945" s="939"/>
      <c r="AG945" s="939"/>
      <c r="AH945" s="939"/>
      <c r="AI945" s="939"/>
      <c r="AJ945" s="249">
        <f>AJ944/AJ943</f>
        <v>0.98977349376618295</v>
      </c>
      <c r="AK945" s="348">
        <f>AK944/AK943</f>
        <v>0.98994756195739675</v>
      </c>
      <c r="AN945" s="743"/>
      <c r="AO945" s="743"/>
    </row>
    <row r="946" spans="1:41" s="267" customFormat="1" ht="15" customHeight="1" x14ac:dyDescent="0.25">
      <c r="A946" s="1061"/>
      <c r="B946" s="293" t="s">
        <v>8</v>
      </c>
      <c r="C946" s="303">
        <f>SUM(C943-531)</f>
        <v>5339</v>
      </c>
      <c r="D946" s="262">
        <f>SUM(D943-650)</f>
        <v>2683</v>
      </c>
      <c r="E946" s="303">
        <f>SUM(E943-616)</f>
        <v>2714</v>
      </c>
      <c r="F946" s="309">
        <f>SUM(F943-1211)</f>
        <v>8246</v>
      </c>
      <c r="G946" s="309">
        <f>SUM(G943-4559)</f>
        <v>3869</v>
      </c>
      <c r="H946" s="309">
        <f>SUM(H943-2079)</f>
        <v>13624</v>
      </c>
      <c r="I946" s="309">
        <f>SUM(I943-(3249-2000))</f>
        <v>6154</v>
      </c>
      <c r="J946" s="316">
        <f>SUM(J943-9172)</f>
        <v>427</v>
      </c>
      <c r="K946" s="262">
        <f>SUM(K943-3504)</f>
        <v>89</v>
      </c>
      <c r="L946" s="303">
        <f>SUM(L943-909)</f>
        <v>8380</v>
      </c>
      <c r="M946" s="309">
        <f>SUM(M943-1185)</f>
        <v>11110</v>
      </c>
      <c r="N946" s="316">
        <f>SUM(N943-338)</f>
        <v>4016</v>
      </c>
      <c r="O946" s="309">
        <f>SUM(O943-(5201-2614))</f>
        <v>7440</v>
      </c>
      <c r="P946" s="316">
        <f>SUM(P943-3930)</f>
        <v>869</v>
      </c>
      <c r="Q946" s="262">
        <f>SUM(Q943-7032)</f>
        <v>160</v>
      </c>
      <c r="R946" s="323">
        <f>SUM(R943-1033)</f>
        <v>967</v>
      </c>
      <c r="S946" s="262">
        <f>SUM(S943-752)</f>
        <v>498</v>
      </c>
      <c r="T946" s="12"/>
      <c r="U946" s="70"/>
      <c r="V946" s="70"/>
      <c r="W946" s="70"/>
      <c r="X946" s="70"/>
      <c r="Y946" s="70"/>
      <c r="Z946" s="70"/>
      <c r="AA946" s="1060" t="s">
        <v>191</v>
      </c>
      <c r="AB946" s="19" t="s">
        <v>4</v>
      </c>
      <c r="AC946" s="299">
        <v>97433.600000000006</v>
      </c>
      <c r="AD946" s="552"/>
      <c r="AE946" s="552"/>
      <c r="AF946" s="552"/>
      <c r="AG946" s="552"/>
      <c r="AH946" s="552"/>
      <c r="AI946" s="552"/>
      <c r="AJ946" s="283">
        <v>243584.4</v>
      </c>
      <c r="AK946" s="265">
        <v>292299.3</v>
      </c>
      <c r="AN946" s="743"/>
      <c r="AO946" s="743"/>
    </row>
    <row r="947" spans="1:41" s="267" customFormat="1" x14ac:dyDescent="0.25">
      <c r="A947" s="1061"/>
      <c r="B947" s="296" t="s">
        <v>77</v>
      </c>
      <c r="C947" s="302">
        <f>(C946*33.717)</f>
        <v>180015.06299999999</v>
      </c>
      <c r="D947" s="338">
        <f>(D946*33.717)</f>
        <v>90462.710999999996</v>
      </c>
      <c r="E947" s="302">
        <f>(E946*33.717)</f>
        <v>91507.937999999995</v>
      </c>
      <c r="F947" s="338">
        <f>(F946*33.717)</f>
        <v>278030.38199999998</v>
      </c>
      <c r="G947" s="280">
        <f>(G946*33.717)*2</f>
        <v>260902.14599999998</v>
      </c>
      <c r="H947" s="280">
        <f>(H946*33.717)</f>
        <v>459360.408</v>
      </c>
      <c r="I947" s="280">
        <f>(I946*33.717)-(2000*33.717)</f>
        <v>140060.41800000001</v>
      </c>
      <c r="J947" s="376">
        <f>J946*33.717</f>
        <v>14397.159</v>
      </c>
      <c r="K947" s="261">
        <f>K946*33.717</f>
        <v>3000.8130000000001</v>
      </c>
      <c r="L947" s="304">
        <f>L946*33.717</f>
        <v>282548.45999999996</v>
      </c>
      <c r="M947" s="280">
        <f>M946*33.717</f>
        <v>374595.87</v>
      </c>
      <c r="N947" s="280">
        <f>(N946*33.717)</f>
        <v>135407.47200000001</v>
      </c>
      <c r="O947" s="280">
        <f>O946*33.717</f>
        <v>250854.47999999998</v>
      </c>
      <c r="P947" s="376">
        <f>P946*33.717</f>
        <v>29300.073</v>
      </c>
      <c r="Q947" s="261">
        <f>Q946*33.717</f>
        <v>5394.7199999999993</v>
      </c>
      <c r="R947" s="324">
        <f>R946*33.717</f>
        <v>32604.339</v>
      </c>
      <c r="S947" s="325">
        <f>S946*33.717</f>
        <v>16791.065999999999</v>
      </c>
      <c r="T947" s="63"/>
      <c r="U947" s="70" t="s">
        <v>177</v>
      </c>
      <c r="V947" s="70"/>
      <c r="W947" s="70"/>
      <c r="X947" s="70"/>
      <c r="Y947" s="70"/>
      <c r="Z947" s="70"/>
      <c r="AA947" s="1061"/>
      <c r="AB947" s="293" t="s">
        <v>5</v>
      </c>
      <c r="AC947" s="300">
        <v>38973.199999999997</v>
      </c>
      <c r="AD947" s="631"/>
      <c r="AE947" s="631"/>
      <c r="AF947" s="631"/>
      <c r="AG947" s="631"/>
      <c r="AH947" s="631"/>
      <c r="AI947" s="631"/>
      <c r="AJ947" s="307">
        <v>98820.2</v>
      </c>
      <c r="AK947" s="264">
        <v>85901.5</v>
      </c>
      <c r="AN947" s="743"/>
      <c r="AO947" s="743"/>
    </row>
    <row r="948" spans="1:41" s="267" customFormat="1" ht="15.75" thickBot="1" x14ac:dyDescent="0.3">
      <c r="A948" s="1062"/>
      <c r="B948" s="294" t="s">
        <v>10</v>
      </c>
      <c r="C948" s="305">
        <f t="shared" ref="C948:K948" si="348">C947/C940</f>
        <v>1.2554034529074802</v>
      </c>
      <c r="D948" s="292">
        <f t="shared" si="348"/>
        <v>0.60101803930218622</v>
      </c>
      <c r="E948" s="310">
        <f t="shared" si="348"/>
        <v>0.60796234016628159</v>
      </c>
      <c r="F948" s="282">
        <f t="shared" si="348"/>
        <v>1.5276579277331923</v>
      </c>
      <c r="G948" s="282">
        <f t="shared" si="348"/>
        <v>1.5769005968480378</v>
      </c>
      <c r="H948" s="282">
        <f t="shared" si="348"/>
        <v>3.4765265643447463</v>
      </c>
      <c r="I948" s="282">
        <f t="shared" si="348"/>
        <v>0.81921720128725395</v>
      </c>
      <c r="J948" s="377">
        <f t="shared" si="348"/>
        <v>8.6689192240508819E-2</v>
      </c>
      <c r="K948" s="311">
        <f t="shared" si="348"/>
        <v>3.1572815595270413E-2</v>
      </c>
      <c r="L948" s="310">
        <f>L947/L940</f>
        <v>1.4637768809544778</v>
      </c>
      <c r="M948" s="282">
        <f>M947/M940</f>
        <v>2.8350081963366986</v>
      </c>
      <c r="N948" s="282">
        <f>N947/N940</f>
        <v>1.6368128636237811</v>
      </c>
      <c r="O948" s="260">
        <f>O947/O940</f>
        <v>0.90970056753277362</v>
      </c>
      <c r="P948" s="377">
        <f>P947/P940</f>
        <v>0.35284713207047291</v>
      </c>
      <c r="Q948" s="311">
        <f t="shared" ref="Q948" si="349">Q947/Q940</f>
        <v>2.8546271171373292E-2</v>
      </c>
      <c r="R948" s="305">
        <f>R947/R940</f>
        <v>0.59118309731464525</v>
      </c>
      <c r="S948" s="292">
        <f>S947/S940</f>
        <v>0.50742859733156043</v>
      </c>
      <c r="T948" s="126"/>
      <c r="U948" s="70"/>
      <c r="V948" s="70"/>
      <c r="W948" s="70"/>
      <c r="X948" s="70"/>
      <c r="Y948" s="70"/>
      <c r="Z948" s="70"/>
      <c r="AA948" s="1062"/>
      <c r="AB948" s="294" t="s">
        <v>3</v>
      </c>
      <c r="AC948" s="305">
        <f>AC947/AC946</f>
        <v>0.39999753678402516</v>
      </c>
      <c r="AD948" s="636"/>
      <c r="AE948" s="636"/>
      <c r="AF948" s="636"/>
      <c r="AG948" s="636"/>
      <c r="AH948" s="636"/>
      <c r="AI948" s="636"/>
      <c r="AJ948" s="278">
        <f>AJ947/AJ946</f>
        <v>0.40569182591331793</v>
      </c>
      <c r="AK948" s="343">
        <f>AK947/AK946</f>
        <v>0.29388199013819055</v>
      </c>
      <c r="AN948" s="743"/>
      <c r="AO948" s="743"/>
    </row>
    <row r="949" spans="1:41" s="267" customFormat="1" ht="15.75" thickBot="1" x14ac:dyDescent="0.3">
      <c r="A949" s="1048">
        <v>41428</v>
      </c>
      <c r="B949" s="1048"/>
      <c r="C949" s="1048"/>
      <c r="D949" s="276"/>
      <c r="E949" s="276"/>
      <c r="F949" s="276"/>
      <c r="G949" s="276"/>
      <c r="H949" s="276"/>
      <c r="I949" s="11"/>
      <c r="J949" s="281"/>
      <c r="K949" s="281"/>
      <c r="L949" s="276"/>
      <c r="M949" s="276"/>
      <c r="N949" s="13"/>
      <c r="R949" s="12"/>
      <c r="S949" s="70"/>
      <c r="T949" s="70"/>
      <c r="U949" s="70"/>
      <c r="V949" s="70"/>
      <c r="W949" s="70"/>
      <c r="X949" s="70"/>
      <c r="Y949" s="70"/>
      <c r="Z949" s="70"/>
      <c r="AA949" s="1063"/>
      <c r="AB949" s="1064"/>
      <c r="AD949" s="743"/>
      <c r="AE949" s="743"/>
      <c r="AF949" s="743"/>
      <c r="AG949" s="743"/>
      <c r="AH949" s="743"/>
      <c r="AI949" s="743"/>
      <c r="AN949" s="743"/>
      <c r="AO949" s="743"/>
    </row>
    <row r="950" spans="1:41" s="267" customFormat="1" x14ac:dyDescent="0.25">
      <c r="A950" s="1049" t="s">
        <v>1</v>
      </c>
      <c r="B950" s="1050"/>
      <c r="C950" s="297" t="s">
        <v>12</v>
      </c>
      <c r="D950" s="266" t="s">
        <v>12</v>
      </c>
      <c r="E950" s="297" t="s">
        <v>13</v>
      </c>
      <c r="F950" s="277" t="s">
        <v>13</v>
      </c>
      <c r="G950" s="277" t="s">
        <v>13</v>
      </c>
      <c r="H950" s="277" t="s">
        <v>13</v>
      </c>
      <c r="I950" s="277" t="s">
        <v>13</v>
      </c>
      <c r="J950" s="286" t="s">
        <v>13</v>
      </c>
      <c r="K950" s="266" t="s">
        <v>13</v>
      </c>
      <c r="L950" s="297" t="s">
        <v>2</v>
      </c>
      <c r="M950" s="277" t="s">
        <v>2</v>
      </c>
      <c r="N950" s="286" t="s">
        <v>2</v>
      </c>
      <c r="O950" s="277" t="s">
        <v>2</v>
      </c>
      <c r="P950" s="286" t="s">
        <v>2</v>
      </c>
      <c r="Q950" s="266" t="s">
        <v>2</v>
      </c>
      <c r="R950" s="328" t="s">
        <v>183</v>
      </c>
      <c r="S950" s="327" t="s">
        <v>183</v>
      </c>
      <c r="T950" s="12"/>
      <c r="U950" s="70"/>
      <c r="V950" s="70"/>
      <c r="W950" s="70"/>
      <c r="X950" s="70"/>
      <c r="Y950" s="70"/>
      <c r="Z950" s="70"/>
      <c r="AA950" s="1049" t="s">
        <v>1</v>
      </c>
      <c r="AB950" s="1050"/>
      <c r="AC950" s="297" t="s">
        <v>12</v>
      </c>
      <c r="AD950" s="937"/>
      <c r="AE950" s="937"/>
      <c r="AF950" s="937"/>
      <c r="AG950" s="937"/>
      <c r="AH950" s="937"/>
      <c r="AI950" s="937"/>
      <c r="AJ950" s="277" t="s">
        <v>13</v>
      </c>
      <c r="AK950" s="266" t="s">
        <v>2</v>
      </c>
      <c r="AN950" s="743"/>
      <c r="AO950" s="743"/>
    </row>
    <row r="951" spans="1:41" s="267" customFormat="1" ht="15.75" thickBot="1" x14ac:dyDescent="0.3">
      <c r="A951" s="1054" t="s">
        <v>0</v>
      </c>
      <c r="B951" s="1066"/>
      <c r="C951" s="298" t="s">
        <v>99</v>
      </c>
      <c r="D951" s="291" t="s">
        <v>100</v>
      </c>
      <c r="E951" s="298" t="s">
        <v>101</v>
      </c>
      <c r="F951" s="306" t="s">
        <v>102</v>
      </c>
      <c r="G951" s="306" t="s">
        <v>97</v>
      </c>
      <c r="H951" s="306" t="s">
        <v>104</v>
      </c>
      <c r="I951" s="306" t="s">
        <v>103</v>
      </c>
      <c r="J951" s="378" t="s">
        <v>178</v>
      </c>
      <c r="K951" s="314" t="s">
        <v>199</v>
      </c>
      <c r="L951" s="298" t="s">
        <v>105</v>
      </c>
      <c r="M951" s="306" t="s">
        <v>107</v>
      </c>
      <c r="N951" s="312" t="s">
        <v>98</v>
      </c>
      <c r="O951" s="313" t="s">
        <v>106</v>
      </c>
      <c r="P951" s="312" t="s">
        <v>179</v>
      </c>
      <c r="Q951" s="291" t="s">
        <v>198</v>
      </c>
      <c r="R951" s="317" t="s">
        <v>182</v>
      </c>
      <c r="S951" s="291" t="s">
        <v>184</v>
      </c>
      <c r="T951" s="12"/>
      <c r="U951" s="12"/>
      <c r="V951" s="12"/>
      <c r="W951" s="12"/>
      <c r="X951" s="12"/>
      <c r="Y951" s="12"/>
      <c r="Z951" s="12"/>
      <c r="AA951" s="1054" t="s">
        <v>0</v>
      </c>
      <c r="AB951" s="1066"/>
      <c r="AC951" s="298" t="s">
        <v>99</v>
      </c>
      <c r="AD951" s="938"/>
      <c r="AE951" s="938"/>
      <c r="AF951" s="938"/>
      <c r="AG951" s="938"/>
      <c r="AH951" s="938"/>
      <c r="AI951" s="938"/>
      <c r="AJ951" s="306" t="s">
        <v>104</v>
      </c>
      <c r="AK951" s="291" t="s">
        <v>107</v>
      </c>
      <c r="AN951" s="743"/>
      <c r="AO951" s="743"/>
    </row>
    <row r="952" spans="1:41" s="267" customFormat="1" ht="15" customHeight="1" x14ac:dyDescent="0.25">
      <c r="A952" s="1057" t="s">
        <v>9</v>
      </c>
      <c r="B952" s="19" t="s">
        <v>4</v>
      </c>
      <c r="C952" s="299">
        <v>143392.20000000001</v>
      </c>
      <c r="D952" s="265">
        <v>150515.79999999999</v>
      </c>
      <c r="E952" s="299">
        <v>150515.79999999999</v>
      </c>
      <c r="F952" s="283">
        <v>181997.8</v>
      </c>
      <c r="G952" s="283">
        <v>165452.5</v>
      </c>
      <c r="H952" s="283">
        <v>132132</v>
      </c>
      <c r="I952" s="368">
        <v>170968.6</v>
      </c>
      <c r="J952" s="223">
        <v>166077.9</v>
      </c>
      <c r="K952" s="265">
        <v>95044.2</v>
      </c>
      <c r="L952" s="299">
        <v>193027</v>
      </c>
      <c r="M952" s="283">
        <v>132132.20000000001</v>
      </c>
      <c r="N952" s="283">
        <v>82726.3</v>
      </c>
      <c r="O952" s="283">
        <v>275755</v>
      </c>
      <c r="P952" s="223">
        <v>83039</v>
      </c>
      <c r="Q952" s="265">
        <v>191818.2</v>
      </c>
      <c r="R952" s="318">
        <v>55151</v>
      </c>
      <c r="S952" s="265">
        <v>33090.5</v>
      </c>
      <c r="T952" s="70"/>
      <c r="U952" s="70"/>
      <c r="V952" s="70"/>
      <c r="W952" s="70"/>
      <c r="X952" s="70"/>
      <c r="Y952" s="70"/>
      <c r="Z952" s="70"/>
      <c r="AA952" s="1060" t="s">
        <v>194</v>
      </c>
      <c r="AB952" s="2" t="s">
        <v>4</v>
      </c>
      <c r="AC952" s="299">
        <v>143392.20000000001</v>
      </c>
      <c r="AD952" s="552"/>
      <c r="AE952" s="552"/>
      <c r="AF952" s="552"/>
      <c r="AG952" s="552"/>
      <c r="AH952" s="552"/>
      <c r="AI952" s="552"/>
      <c r="AJ952" s="283">
        <v>132132</v>
      </c>
      <c r="AK952" s="265">
        <v>132132.20000000001</v>
      </c>
      <c r="AN952" s="743"/>
      <c r="AO952" s="743"/>
    </row>
    <row r="953" spans="1:41" s="267" customFormat="1" x14ac:dyDescent="0.25">
      <c r="A953" s="1058"/>
      <c r="B953" s="293" t="s">
        <v>5</v>
      </c>
      <c r="C953" s="300">
        <v>41390</v>
      </c>
      <c r="D953" s="264">
        <v>78520</v>
      </c>
      <c r="E953" s="300">
        <v>80023.3</v>
      </c>
      <c r="F953" s="307">
        <v>160905.4</v>
      </c>
      <c r="G953" s="307">
        <v>103032.9</v>
      </c>
      <c r="H953" s="307">
        <v>53612.800000000003</v>
      </c>
      <c r="I953" s="307">
        <v>87082</v>
      </c>
      <c r="J953" s="374">
        <v>15883.8</v>
      </c>
      <c r="K953" s="264">
        <v>2.7</v>
      </c>
      <c r="L953" s="300">
        <v>160821.4</v>
      </c>
      <c r="M953" s="307">
        <v>61608.7</v>
      </c>
      <c r="N953" s="307">
        <v>52880.7</v>
      </c>
      <c r="O953" s="307">
        <v>159452.5</v>
      </c>
      <c r="P953" s="374">
        <v>8043.9</v>
      </c>
      <c r="Q953" s="264">
        <v>5.4</v>
      </c>
      <c r="R953" s="319">
        <v>8039.2</v>
      </c>
      <c r="S953" s="264">
        <v>4660.6000000000004</v>
      </c>
      <c r="T953" s="70"/>
      <c r="U953" s="70"/>
      <c r="V953" s="70"/>
      <c r="W953" s="70"/>
      <c r="X953" s="70"/>
      <c r="Y953" s="70"/>
      <c r="Z953" s="70"/>
      <c r="AA953" s="1061"/>
      <c r="AB953" s="342" t="s">
        <v>5</v>
      </c>
      <c r="AC953" s="300">
        <v>41390</v>
      </c>
      <c r="AD953" s="631"/>
      <c r="AE953" s="631"/>
      <c r="AF953" s="631"/>
      <c r="AG953" s="631"/>
      <c r="AH953" s="631"/>
      <c r="AI953" s="631"/>
      <c r="AJ953" s="307">
        <v>53612.800000000003</v>
      </c>
      <c r="AK953" s="264">
        <v>61608.7</v>
      </c>
      <c r="AN953" s="743"/>
      <c r="AO953" s="743"/>
    </row>
    <row r="954" spans="1:41" s="267" customFormat="1" ht="15.75" thickBot="1" x14ac:dyDescent="0.3">
      <c r="A954" s="1059"/>
      <c r="B954" s="294" t="s">
        <v>3</v>
      </c>
      <c r="C954" s="305">
        <f t="shared" ref="C954:K954" si="350">C953/C952</f>
        <v>0.28864889443079889</v>
      </c>
      <c r="D954" s="343">
        <f t="shared" si="350"/>
        <v>0.52167280777167579</v>
      </c>
      <c r="E954" s="305">
        <f t="shared" si="350"/>
        <v>0.53166046355266361</v>
      </c>
      <c r="F954" s="371">
        <f t="shared" si="350"/>
        <v>0.88410629139473118</v>
      </c>
      <c r="G954" s="278">
        <f t="shared" si="350"/>
        <v>0.62273401731614808</v>
      </c>
      <c r="H954" s="278">
        <f t="shared" si="350"/>
        <v>0.40575182393364212</v>
      </c>
      <c r="I954" s="278">
        <f t="shared" si="350"/>
        <v>0.5093449908345743</v>
      </c>
      <c r="J954" s="315">
        <f t="shared" si="350"/>
        <v>9.5640660196209121E-2</v>
      </c>
      <c r="K954" s="292">
        <f t="shared" si="350"/>
        <v>2.8407835512319535E-5</v>
      </c>
      <c r="L954" s="372">
        <f>L953/L952</f>
        <v>0.83315494723536088</v>
      </c>
      <c r="M954" s="278">
        <f>M953/M952</f>
        <v>0.46626560369084896</v>
      </c>
      <c r="N954" s="315">
        <f>N953/N952</f>
        <v>0.63922476890662339</v>
      </c>
      <c r="O954" s="278">
        <f>O953/O952</f>
        <v>0.57823974179978599</v>
      </c>
      <c r="P954" s="315">
        <f>P953/P952</f>
        <v>9.6868941099965078E-2</v>
      </c>
      <c r="Q954" s="292">
        <f t="shared" ref="Q954" si="351">Q953/Q952</f>
        <v>2.8151656099369091E-5</v>
      </c>
      <c r="R954" s="320">
        <f>R953/R952</f>
        <v>0.14576707584631285</v>
      </c>
      <c r="S954" s="292">
        <f>S953/S952</f>
        <v>0.14084404889620888</v>
      </c>
      <c r="T954" s="70"/>
      <c r="U954" s="70"/>
      <c r="V954" s="70"/>
      <c r="W954" s="70"/>
      <c r="X954" s="70"/>
      <c r="Y954" s="70"/>
      <c r="Z954" s="70"/>
      <c r="AA954" s="1062"/>
      <c r="AB954" s="347" t="s">
        <v>3</v>
      </c>
      <c r="AC954" s="301">
        <f>AC953/AC952</f>
        <v>0.28864889443079889</v>
      </c>
      <c r="AD954" s="939"/>
      <c r="AE954" s="939"/>
      <c r="AF954" s="939"/>
      <c r="AG954" s="939"/>
      <c r="AH954" s="939"/>
      <c r="AI954" s="939"/>
      <c r="AJ954" s="278">
        <f>AJ953/AJ952</f>
        <v>0.40575182393364212</v>
      </c>
      <c r="AK954" s="292">
        <f>AK953/AK952</f>
        <v>0.46626560369084896</v>
      </c>
      <c r="AN954" s="743"/>
      <c r="AO954" s="743"/>
    </row>
    <row r="955" spans="1:41" s="267" customFormat="1" ht="15" customHeight="1" x14ac:dyDescent="0.25">
      <c r="A955" s="1060" t="s">
        <v>6</v>
      </c>
      <c r="B955" s="19" t="s">
        <v>7</v>
      </c>
      <c r="C955" s="297">
        <v>5870</v>
      </c>
      <c r="D955" s="266">
        <v>3333</v>
      </c>
      <c r="E955" s="297">
        <v>3330</v>
      </c>
      <c r="F955" s="277">
        <v>9457</v>
      </c>
      <c r="G955" s="357">
        <v>8428</v>
      </c>
      <c r="H955" s="277">
        <v>15703</v>
      </c>
      <c r="I955" s="277">
        <v>7403</v>
      </c>
      <c r="J955" s="286">
        <v>9599</v>
      </c>
      <c r="K955" s="266">
        <v>3522</v>
      </c>
      <c r="L955" s="297">
        <v>9289</v>
      </c>
      <c r="M955" s="277">
        <v>12295</v>
      </c>
      <c r="N955" s="357">
        <v>4354</v>
      </c>
      <c r="O955" s="277">
        <v>10027</v>
      </c>
      <c r="P955" s="286">
        <v>4799</v>
      </c>
      <c r="Q955" s="266">
        <v>7200</v>
      </c>
      <c r="R955" s="321">
        <v>2000</v>
      </c>
      <c r="S955" s="266">
        <v>1250</v>
      </c>
      <c r="T955" s="358"/>
      <c r="U955" s="126"/>
      <c r="V955" s="70"/>
      <c r="W955" s="70"/>
      <c r="X955" s="70"/>
      <c r="Y955" s="70"/>
      <c r="Z955" s="70"/>
      <c r="AA955" s="1060" t="s">
        <v>190</v>
      </c>
      <c r="AB955" s="19" t="s">
        <v>4</v>
      </c>
      <c r="AC955" s="299">
        <v>9191.7999999999993</v>
      </c>
      <c r="AD955" s="552"/>
      <c r="AE955" s="552"/>
      <c r="AF955" s="552"/>
      <c r="AG955" s="552"/>
      <c r="AH955" s="552"/>
      <c r="AI955" s="552"/>
      <c r="AJ955" s="283">
        <v>13787.7</v>
      </c>
      <c r="AK955" s="265">
        <v>13787.7</v>
      </c>
      <c r="AN955" s="743"/>
      <c r="AO955" s="743"/>
    </row>
    <row r="956" spans="1:41" s="267" customFormat="1" x14ac:dyDescent="0.25">
      <c r="A956" s="1061"/>
      <c r="B956" s="295" t="s">
        <v>11</v>
      </c>
      <c r="C956" s="302">
        <f t="shared" ref="C956:K956" si="352">C955*33.717</f>
        <v>197918.78999999998</v>
      </c>
      <c r="D956" s="263">
        <f t="shared" si="352"/>
        <v>112378.761</v>
      </c>
      <c r="E956" s="302">
        <f t="shared" si="352"/>
        <v>112277.61</v>
      </c>
      <c r="F956" s="355">
        <f t="shared" si="352"/>
        <v>318861.66899999999</v>
      </c>
      <c r="G956" s="308">
        <f t="shared" si="352"/>
        <v>284166.87599999999</v>
      </c>
      <c r="H956" s="354">
        <f t="shared" si="352"/>
        <v>529458.05099999998</v>
      </c>
      <c r="I956" s="354">
        <f t="shared" si="352"/>
        <v>249606.951</v>
      </c>
      <c r="J956" s="355">
        <f t="shared" si="352"/>
        <v>323649.48300000001</v>
      </c>
      <c r="K956" s="263">
        <f t="shared" si="352"/>
        <v>118751.27399999999</v>
      </c>
      <c r="L956" s="322">
        <f>L955*33.717</f>
        <v>313197.21299999999</v>
      </c>
      <c r="M956" s="308">
        <f>M955*33.717</f>
        <v>414550.51499999996</v>
      </c>
      <c r="N956" s="308">
        <f>N955*33.717</f>
        <v>146803.818</v>
      </c>
      <c r="O956" s="354">
        <f>O955*33.717</f>
        <v>338080.359</v>
      </c>
      <c r="P956" s="355">
        <f>P955*33.717</f>
        <v>161807.883</v>
      </c>
      <c r="Q956" s="263">
        <f t="shared" ref="Q956" si="353">Q955*33.717</f>
        <v>242762.4</v>
      </c>
      <c r="R956" s="302">
        <f>R955*33.717</f>
        <v>67434</v>
      </c>
      <c r="S956" s="354">
        <f>S955*33.717</f>
        <v>42146.25</v>
      </c>
      <c r="T956" s="70"/>
      <c r="U956" s="70"/>
      <c r="V956" s="70"/>
      <c r="W956" s="70"/>
      <c r="X956" s="70"/>
      <c r="Y956" s="70"/>
      <c r="Z956" s="70"/>
      <c r="AA956" s="1061"/>
      <c r="AB956" s="293" t="s">
        <v>5</v>
      </c>
      <c r="AC956" s="300">
        <v>8676.2999999999993</v>
      </c>
      <c r="AD956" s="631"/>
      <c r="AE956" s="631"/>
      <c r="AF956" s="631"/>
      <c r="AG956" s="631"/>
      <c r="AH956" s="631"/>
      <c r="AI956" s="631"/>
      <c r="AJ956" s="307">
        <v>13648.2</v>
      </c>
      <c r="AK956" s="264">
        <v>13648.4</v>
      </c>
      <c r="AN956" s="743"/>
      <c r="AO956" s="743"/>
    </row>
    <row r="957" spans="1:41" s="267" customFormat="1" ht="15.75" thickBot="1" x14ac:dyDescent="0.3">
      <c r="A957" s="1061"/>
      <c r="B957" s="295" t="s">
        <v>79</v>
      </c>
      <c r="C957" s="302">
        <v>164000</v>
      </c>
      <c r="D957" s="263">
        <v>109880</v>
      </c>
      <c r="E957" s="302">
        <v>109880</v>
      </c>
      <c r="F957" s="308">
        <v>328000</v>
      </c>
      <c r="G957" s="308">
        <v>330905</v>
      </c>
      <c r="H957" s="308">
        <v>264264</v>
      </c>
      <c r="I957" s="308">
        <v>242663.6</v>
      </c>
      <c r="J957" s="375">
        <v>328000</v>
      </c>
      <c r="K957" s="263">
        <v>328000</v>
      </c>
      <c r="L957" s="302">
        <v>328000</v>
      </c>
      <c r="M957" s="308">
        <v>264264.40000000002</v>
      </c>
      <c r="N957" s="308">
        <v>328000</v>
      </c>
      <c r="O957" s="308">
        <v>352965.4</v>
      </c>
      <c r="P957" s="375">
        <v>328000</v>
      </c>
      <c r="Q957" s="263">
        <v>328000</v>
      </c>
      <c r="R957" s="322">
        <f>2*R952</f>
        <v>110302</v>
      </c>
      <c r="S957" s="263">
        <f>2*S952</f>
        <v>66181</v>
      </c>
      <c r="T957" s="70"/>
      <c r="U957" s="70"/>
      <c r="V957" s="70"/>
      <c r="W957" s="70"/>
      <c r="X957" s="70"/>
      <c r="Y957" s="70"/>
      <c r="Z957" s="70"/>
      <c r="AA957" s="1062"/>
      <c r="AB957" s="344" t="s">
        <v>3</v>
      </c>
      <c r="AC957" s="301">
        <f>AC956/AC955</f>
        <v>0.94391740464326901</v>
      </c>
      <c r="AD957" s="939"/>
      <c r="AE957" s="939"/>
      <c r="AF957" s="939"/>
      <c r="AG957" s="939"/>
      <c r="AH957" s="939"/>
      <c r="AI957" s="939"/>
      <c r="AJ957" s="249">
        <f>AJ956/AJ955</f>
        <v>0.98988228638569165</v>
      </c>
      <c r="AK957" s="348">
        <f>AK956/AK955</f>
        <v>0.98989679206829273</v>
      </c>
      <c r="AN957" s="743"/>
      <c r="AO957" s="743"/>
    </row>
    <row r="958" spans="1:41" s="267" customFormat="1" ht="15" customHeight="1" x14ac:dyDescent="0.25">
      <c r="A958" s="1061"/>
      <c r="B958" s="293" t="s">
        <v>8</v>
      </c>
      <c r="C958" s="303">
        <f>SUM(C955-531)</f>
        <v>5339</v>
      </c>
      <c r="D958" s="262">
        <f>SUM(D955-650)</f>
        <v>2683</v>
      </c>
      <c r="E958" s="303">
        <f>SUM(E955-616)</f>
        <v>2714</v>
      </c>
      <c r="F958" s="309">
        <f>SUM(F955-1211)</f>
        <v>8246</v>
      </c>
      <c r="G958" s="309">
        <f>SUM(G955-4580)</f>
        <v>3848</v>
      </c>
      <c r="H958" s="309">
        <f>SUM(H955-2081)</f>
        <v>13622</v>
      </c>
      <c r="I958" s="309">
        <f>SUM(I955-(3272-2000))</f>
        <v>6131</v>
      </c>
      <c r="J958" s="316">
        <f>SUM(J955-9219)</f>
        <v>380</v>
      </c>
      <c r="K958" s="262">
        <f>SUM(K955-3522)</f>
        <v>0</v>
      </c>
      <c r="L958" s="303">
        <f>SUM(L955-909)</f>
        <v>8380</v>
      </c>
      <c r="M958" s="309">
        <f>SUM(M955-1185)</f>
        <v>11110</v>
      </c>
      <c r="N958" s="316">
        <f>SUM(N955-359)</f>
        <v>3995</v>
      </c>
      <c r="O958" s="309">
        <f>SUM(O955-(5224-2614))</f>
        <v>7417</v>
      </c>
      <c r="P958" s="316">
        <f>SUM(P955-3943)</f>
        <v>856</v>
      </c>
      <c r="Q958" s="262">
        <f>SUM(Q955-7200)</f>
        <v>0</v>
      </c>
      <c r="R958" s="323">
        <f>SUM(R955-1033)</f>
        <v>967</v>
      </c>
      <c r="S958" s="262">
        <f>SUM(S955-752)</f>
        <v>498</v>
      </c>
      <c r="T958" s="12"/>
      <c r="U958" s="70"/>
      <c r="V958" s="70"/>
      <c r="W958" s="70"/>
      <c r="X958" s="70"/>
      <c r="Y958" s="70"/>
      <c r="Z958" s="70"/>
      <c r="AA958" s="1060" t="s">
        <v>191</v>
      </c>
      <c r="AB958" s="19" t="s">
        <v>4</v>
      </c>
      <c r="AC958" s="299">
        <v>97433.600000000006</v>
      </c>
      <c r="AD958" s="552"/>
      <c r="AE958" s="552"/>
      <c r="AF958" s="552"/>
      <c r="AG958" s="552"/>
      <c r="AH958" s="552"/>
      <c r="AI958" s="552"/>
      <c r="AJ958" s="283">
        <v>243584.4</v>
      </c>
      <c r="AK958" s="265">
        <v>292299.3</v>
      </c>
      <c r="AN958" s="743"/>
      <c r="AO958" s="743"/>
    </row>
    <row r="959" spans="1:41" s="267" customFormat="1" x14ac:dyDescent="0.25">
      <c r="A959" s="1061"/>
      <c r="B959" s="296" t="s">
        <v>77</v>
      </c>
      <c r="C959" s="302">
        <f>(C958*33.717)</f>
        <v>180015.06299999999</v>
      </c>
      <c r="D959" s="338">
        <f>(D958*33.717)</f>
        <v>90462.710999999996</v>
      </c>
      <c r="E959" s="302">
        <f>(E958*33.717)</f>
        <v>91507.937999999995</v>
      </c>
      <c r="F959" s="338">
        <f>(F958*33.717)</f>
        <v>278030.38199999998</v>
      </c>
      <c r="G959" s="280">
        <f>(G958*33.717)*2</f>
        <v>259486.03199999998</v>
      </c>
      <c r="H959" s="280">
        <f>(H958*33.717)</f>
        <v>459292.97399999999</v>
      </c>
      <c r="I959" s="280">
        <f>(I958*33.717)-(2000*33.717)</f>
        <v>139284.927</v>
      </c>
      <c r="J959" s="376">
        <f>J958*33.717</f>
        <v>12812.46</v>
      </c>
      <c r="K959" s="261">
        <f>K958*33.717</f>
        <v>0</v>
      </c>
      <c r="L959" s="304">
        <f>L958*33.717</f>
        <v>282548.45999999996</v>
      </c>
      <c r="M959" s="280">
        <f>M958*33.717</f>
        <v>374595.87</v>
      </c>
      <c r="N959" s="280">
        <f>(N958*33.717)</f>
        <v>134699.41500000001</v>
      </c>
      <c r="O959" s="280">
        <f>O958*33.717</f>
        <v>250078.989</v>
      </c>
      <c r="P959" s="376">
        <f>P958*33.717</f>
        <v>28861.752</v>
      </c>
      <c r="Q959" s="261">
        <f>Q958*33.717</f>
        <v>0</v>
      </c>
      <c r="R959" s="324">
        <f>R958*33.717</f>
        <v>32604.339</v>
      </c>
      <c r="S959" s="325">
        <f>S958*33.717</f>
        <v>16791.065999999999</v>
      </c>
      <c r="T959" s="63"/>
      <c r="U959" s="70" t="s">
        <v>177</v>
      </c>
      <c r="V959" s="70"/>
      <c r="W959" s="70"/>
      <c r="X959" s="70"/>
      <c r="Y959" s="70"/>
      <c r="Z959" s="70"/>
      <c r="AA959" s="1061"/>
      <c r="AB959" s="293" t="s">
        <v>5</v>
      </c>
      <c r="AC959" s="300">
        <v>38973.199999999997</v>
      </c>
      <c r="AD959" s="631"/>
      <c r="AE959" s="631"/>
      <c r="AF959" s="631"/>
      <c r="AG959" s="631"/>
      <c r="AH959" s="631"/>
      <c r="AI959" s="631"/>
      <c r="AJ959" s="307">
        <v>96777.4</v>
      </c>
      <c r="AK959" s="264">
        <v>84331.1</v>
      </c>
      <c r="AN959" s="743"/>
      <c r="AO959" s="743"/>
    </row>
    <row r="960" spans="1:41" s="267" customFormat="1" ht="15.75" thickBot="1" x14ac:dyDescent="0.3">
      <c r="A960" s="1062"/>
      <c r="B960" s="294" t="s">
        <v>10</v>
      </c>
      <c r="C960" s="305">
        <f t="shared" ref="C960:K960" si="354">C959/C952</f>
        <v>1.2554034529074802</v>
      </c>
      <c r="D960" s="292">
        <f t="shared" si="354"/>
        <v>0.60101803930218622</v>
      </c>
      <c r="E960" s="310">
        <f t="shared" si="354"/>
        <v>0.60796234016628159</v>
      </c>
      <c r="F960" s="282">
        <f t="shared" si="354"/>
        <v>1.5276579277331923</v>
      </c>
      <c r="G960" s="282">
        <f t="shared" si="354"/>
        <v>1.5683415602665416</v>
      </c>
      <c r="H960" s="282">
        <f t="shared" si="354"/>
        <v>3.4760162110616655</v>
      </c>
      <c r="I960" s="282">
        <f t="shared" si="354"/>
        <v>0.81468133329745929</v>
      </c>
      <c r="J960" s="377">
        <f t="shared" si="354"/>
        <v>7.7147290518485595E-2</v>
      </c>
      <c r="K960" s="311">
        <f t="shared" si="354"/>
        <v>0</v>
      </c>
      <c r="L960" s="310">
        <f>L959/L952</f>
        <v>1.4637768809544778</v>
      </c>
      <c r="M960" s="282">
        <f>M959/M952</f>
        <v>2.8350081963366986</v>
      </c>
      <c r="N960" s="282">
        <f>N959/N952</f>
        <v>1.6282538322153899</v>
      </c>
      <c r="O960" s="260">
        <f>O959/O952</f>
        <v>0.90688832115464812</v>
      </c>
      <c r="P960" s="377">
        <f>P959/P952</f>
        <v>0.34756863642384905</v>
      </c>
      <c r="Q960" s="311">
        <f t="shared" ref="Q960" si="355">Q959/Q952</f>
        <v>0</v>
      </c>
      <c r="R960" s="305">
        <f>R959/R952</f>
        <v>0.59118309731464525</v>
      </c>
      <c r="S960" s="292">
        <f>S959/S952</f>
        <v>0.50742859733156043</v>
      </c>
      <c r="T960" s="126"/>
      <c r="U960" s="70"/>
      <c r="V960" s="70"/>
      <c r="W960" s="70"/>
      <c r="X960" s="70"/>
      <c r="Y960" s="70"/>
      <c r="Z960" s="70"/>
      <c r="AA960" s="1062"/>
      <c r="AB960" s="294" t="s">
        <v>3</v>
      </c>
      <c r="AC960" s="305">
        <f>AC959/AC958</f>
        <v>0.39999753678402516</v>
      </c>
      <c r="AD960" s="636"/>
      <c r="AE960" s="636"/>
      <c r="AF960" s="636"/>
      <c r="AG960" s="636"/>
      <c r="AH960" s="636"/>
      <c r="AI960" s="636"/>
      <c r="AJ960" s="278">
        <f>AJ959/AJ958</f>
        <v>0.39730541036289679</v>
      </c>
      <c r="AK960" s="343">
        <f>AK959/AK958</f>
        <v>0.28850941483609438</v>
      </c>
      <c r="AN960" s="743"/>
      <c r="AO960" s="743"/>
    </row>
    <row r="961" spans="1:41" s="267" customFormat="1" ht="15.75" thickBot="1" x14ac:dyDescent="0.3">
      <c r="A961" s="1048">
        <v>41423</v>
      </c>
      <c r="B961" s="1048"/>
      <c r="C961" s="1048"/>
      <c r="D961" s="276"/>
      <c r="E961" s="276"/>
      <c r="F961" s="276"/>
      <c r="G961" s="276"/>
      <c r="H961" s="276"/>
      <c r="I961" s="11"/>
      <c r="J961" s="281"/>
      <c r="K961" s="281"/>
      <c r="L961" s="276"/>
      <c r="M961" s="276"/>
      <c r="N961" s="13"/>
      <c r="R961" s="12"/>
      <c r="S961" s="70"/>
      <c r="T961" s="70"/>
      <c r="U961" s="70"/>
      <c r="V961" s="70"/>
      <c r="W961" s="70"/>
      <c r="X961" s="70"/>
      <c r="Y961" s="70"/>
      <c r="Z961" s="70"/>
      <c r="AA961" s="1063"/>
      <c r="AB961" s="1064"/>
      <c r="AD961" s="743"/>
      <c r="AE961" s="743"/>
      <c r="AF961" s="743"/>
      <c r="AG961" s="743"/>
      <c r="AH961" s="743"/>
      <c r="AI961" s="743"/>
      <c r="AN961" s="743"/>
      <c r="AO961" s="743"/>
    </row>
    <row r="962" spans="1:41" s="267" customFormat="1" x14ac:dyDescent="0.25">
      <c r="A962" s="1049" t="s">
        <v>1</v>
      </c>
      <c r="B962" s="1050"/>
      <c r="C962" s="297" t="s">
        <v>12</v>
      </c>
      <c r="D962" s="266" t="s">
        <v>12</v>
      </c>
      <c r="E962" s="297" t="s">
        <v>13</v>
      </c>
      <c r="F962" s="277" t="s">
        <v>13</v>
      </c>
      <c r="G962" s="277" t="s">
        <v>13</v>
      </c>
      <c r="H962" s="277" t="s">
        <v>13</v>
      </c>
      <c r="I962" s="277" t="s">
        <v>13</v>
      </c>
      <c r="J962" s="286" t="s">
        <v>13</v>
      </c>
      <c r="K962" s="266" t="s">
        <v>13</v>
      </c>
      <c r="L962" s="297" t="s">
        <v>2</v>
      </c>
      <c r="M962" s="277" t="s">
        <v>2</v>
      </c>
      <c r="N962" s="286" t="s">
        <v>2</v>
      </c>
      <c r="O962" s="277" t="s">
        <v>2</v>
      </c>
      <c r="P962" s="286" t="s">
        <v>2</v>
      </c>
      <c r="Q962" s="266" t="s">
        <v>2</v>
      </c>
      <c r="R962" s="328" t="s">
        <v>183</v>
      </c>
      <c r="S962" s="327" t="s">
        <v>183</v>
      </c>
      <c r="T962" s="12"/>
      <c r="U962" s="70"/>
      <c r="V962" s="70"/>
      <c r="W962" s="70"/>
      <c r="X962" s="70"/>
      <c r="Y962" s="70"/>
      <c r="Z962" s="70"/>
      <c r="AA962" s="1049" t="s">
        <v>1</v>
      </c>
      <c r="AB962" s="1050"/>
      <c r="AC962" s="297" t="s">
        <v>12</v>
      </c>
      <c r="AD962" s="937"/>
      <c r="AE962" s="937"/>
      <c r="AF962" s="937"/>
      <c r="AG962" s="937"/>
      <c r="AH962" s="937"/>
      <c r="AI962" s="937"/>
      <c r="AJ962" s="277" t="s">
        <v>13</v>
      </c>
      <c r="AK962" s="266" t="s">
        <v>2</v>
      </c>
      <c r="AN962" s="743"/>
      <c r="AO962" s="743"/>
    </row>
    <row r="963" spans="1:41" s="267" customFormat="1" ht="15.75" thickBot="1" x14ac:dyDescent="0.3">
      <c r="A963" s="1054" t="s">
        <v>0</v>
      </c>
      <c r="B963" s="1066"/>
      <c r="C963" s="298" t="s">
        <v>99</v>
      </c>
      <c r="D963" s="291" t="s">
        <v>100</v>
      </c>
      <c r="E963" s="298" t="s">
        <v>101</v>
      </c>
      <c r="F963" s="306" t="s">
        <v>102</v>
      </c>
      <c r="G963" s="306" t="s">
        <v>97</v>
      </c>
      <c r="H963" s="306" t="s">
        <v>104</v>
      </c>
      <c r="I963" s="306" t="s">
        <v>103</v>
      </c>
      <c r="J963" s="378" t="s">
        <v>178</v>
      </c>
      <c r="K963" s="314" t="s">
        <v>199</v>
      </c>
      <c r="L963" s="298" t="s">
        <v>105</v>
      </c>
      <c r="M963" s="306" t="s">
        <v>107</v>
      </c>
      <c r="N963" s="312" t="s">
        <v>98</v>
      </c>
      <c r="O963" s="313" t="s">
        <v>106</v>
      </c>
      <c r="P963" s="312" t="s">
        <v>179</v>
      </c>
      <c r="Q963" s="291" t="s">
        <v>198</v>
      </c>
      <c r="R963" s="317" t="s">
        <v>182</v>
      </c>
      <c r="S963" s="291" t="s">
        <v>184</v>
      </c>
      <c r="T963" s="12"/>
      <c r="U963" s="12"/>
      <c r="V963" s="12"/>
      <c r="W963" s="12"/>
      <c r="X963" s="12"/>
      <c r="Y963" s="12"/>
      <c r="Z963" s="12"/>
      <c r="AA963" s="1054" t="s">
        <v>0</v>
      </c>
      <c r="AB963" s="1066"/>
      <c r="AC963" s="298" t="s">
        <v>99</v>
      </c>
      <c r="AD963" s="938"/>
      <c r="AE963" s="938"/>
      <c r="AF963" s="938"/>
      <c r="AG963" s="938"/>
      <c r="AH963" s="938"/>
      <c r="AI963" s="938"/>
      <c r="AJ963" s="306" t="s">
        <v>104</v>
      </c>
      <c r="AK963" s="291" t="s">
        <v>107</v>
      </c>
      <c r="AN963" s="743"/>
      <c r="AO963" s="743"/>
    </row>
    <row r="964" spans="1:41" s="267" customFormat="1" ht="15" customHeight="1" x14ac:dyDescent="0.25">
      <c r="A964" s="1057" t="s">
        <v>9</v>
      </c>
      <c r="B964" s="19" t="s">
        <v>4</v>
      </c>
      <c r="C964" s="299">
        <v>143392.20000000001</v>
      </c>
      <c r="D964" s="265">
        <v>150515.79999999999</v>
      </c>
      <c r="E964" s="299">
        <v>150515.79999999999</v>
      </c>
      <c r="F964" s="283">
        <v>181997.8</v>
      </c>
      <c r="G964" s="283">
        <v>165452.5</v>
      </c>
      <c r="H964" s="283">
        <v>132132</v>
      </c>
      <c r="I964" s="368">
        <v>170968.6</v>
      </c>
      <c r="J964" s="223">
        <v>166077.9</v>
      </c>
      <c r="K964" s="265">
        <v>95044.2</v>
      </c>
      <c r="L964" s="299">
        <v>193027</v>
      </c>
      <c r="M964" s="283">
        <v>132132.20000000001</v>
      </c>
      <c r="N964" s="283">
        <v>82726.3</v>
      </c>
      <c r="O964" s="283">
        <v>275755</v>
      </c>
      <c r="P964" s="223">
        <v>83039</v>
      </c>
      <c r="Q964" s="265">
        <v>191818.2</v>
      </c>
      <c r="R964" s="318">
        <v>55151</v>
      </c>
      <c r="S964" s="265">
        <v>33090.5</v>
      </c>
      <c r="T964" s="70"/>
      <c r="U964" s="70"/>
      <c r="V964" s="70"/>
      <c r="W964" s="70"/>
      <c r="X964" s="70"/>
      <c r="Y964" s="70"/>
      <c r="Z964" s="70"/>
      <c r="AA964" s="1060" t="s">
        <v>194</v>
      </c>
      <c r="AB964" s="2" t="s">
        <v>4</v>
      </c>
      <c r="AC964" s="299">
        <v>143392.20000000001</v>
      </c>
      <c r="AD964" s="552"/>
      <c r="AE964" s="552"/>
      <c r="AF964" s="552"/>
      <c r="AG964" s="552"/>
      <c r="AH964" s="552"/>
      <c r="AI964" s="552"/>
      <c r="AJ964" s="283">
        <v>132132</v>
      </c>
      <c r="AK964" s="265">
        <v>132132.20000000001</v>
      </c>
      <c r="AN964" s="743"/>
      <c r="AO964" s="743"/>
    </row>
    <row r="965" spans="1:41" s="267" customFormat="1" x14ac:dyDescent="0.25">
      <c r="A965" s="1058"/>
      <c r="B965" s="293" t="s">
        <v>5</v>
      </c>
      <c r="C965" s="300">
        <v>41700</v>
      </c>
      <c r="D965" s="264">
        <v>78275.899999999994</v>
      </c>
      <c r="E965" s="300">
        <v>79779.3</v>
      </c>
      <c r="F965" s="307">
        <v>160731.29999999999</v>
      </c>
      <c r="G965" s="307">
        <v>102212.1</v>
      </c>
      <c r="H965" s="307">
        <v>54390.5</v>
      </c>
      <c r="I965" s="307">
        <v>86568.9</v>
      </c>
      <c r="J965" s="374">
        <v>15867.7</v>
      </c>
      <c r="K965" s="264">
        <v>2.7</v>
      </c>
      <c r="L965" s="300">
        <v>160717.9</v>
      </c>
      <c r="M965" s="307">
        <v>63216.3</v>
      </c>
      <c r="N965" s="307">
        <v>52488.1</v>
      </c>
      <c r="O965" s="307">
        <v>157564.20000000001</v>
      </c>
      <c r="P965" s="374">
        <v>8035.8</v>
      </c>
      <c r="Q965" s="264">
        <v>5.4</v>
      </c>
      <c r="R965" s="319">
        <v>8022</v>
      </c>
      <c r="S965" s="264">
        <v>4641.8999999999996</v>
      </c>
      <c r="T965" s="70"/>
      <c r="U965" s="70"/>
      <c r="V965" s="70"/>
      <c r="W965" s="70"/>
      <c r="X965" s="70"/>
      <c r="Y965" s="70"/>
      <c r="Z965" s="70"/>
      <c r="AA965" s="1061"/>
      <c r="AB965" s="342" t="s">
        <v>5</v>
      </c>
      <c r="AC965" s="300">
        <v>41700</v>
      </c>
      <c r="AD965" s="631"/>
      <c r="AE965" s="631"/>
      <c r="AF965" s="631"/>
      <c r="AG965" s="631"/>
      <c r="AH965" s="631"/>
      <c r="AI965" s="631"/>
      <c r="AJ965" s="307">
        <v>54390.5</v>
      </c>
      <c r="AK965" s="264">
        <v>63216.3</v>
      </c>
      <c r="AN965" s="743"/>
      <c r="AO965" s="743"/>
    </row>
    <row r="966" spans="1:41" s="267" customFormat="1" ht="15.75" thickBot="1" x14ac:dyDescent="0.3">
      <c r="A966" s="1059"/>
      <c r="B966" s="294" t="s">
        <v>3</v>
      </c>
      <c r="C966" s="305">
        <f t="shared" ref="C966:K966" si="356">C965/C964</f>
        <v>0.29081079724001724</v>
      </c>
      <c r="D966" s="343">
        <f t="shared" si="356"/>
        <v>0.52005105111888583</v>
      </c>
      <c r="E966" s="305">
        <f t="shared" si="356"/>
        <v>0.53003937128195189</v>
      </c>
      <c r="F966" s="371">
        <f t="shared" si="356"/>
        <v>0.88314968642478098</v>
      </c>
      <c r="G966" s="278">
        <f t="shared" si="356"/>
        <v>0.6177730768649613</v>
      </c>
      <c r="H966" s="278">
        <f t="shared" si="356"/>
        <v>0.41163760481942302</v>
      </c>
      <c r="I966" s="278">
        <f t="shared" si="356"/>
        <v>0.50634385495348266</v>
      </c>
      <c r="J966" s="315">
        <f t="shared" si="356"/>
        <v>9.5543717737278724E-2</v>
      </c>
      <c r="K966" s="292">
        <f t="shared" si="356"/>
        <v>2.8407835512319535E-5</v>
      </c>
      <c r="L966" s="372">
        <f>L965/L964</f>
        <v>0.8326187528169634</v>
      </c>
      <c r="M966" s="278">
        <f>M965/M964</f>
        <v>0.47843220653254842</v>
      </c>
      <c r="N966" s="315">
        <f>N965/N964</f>
        <v>0.63447899881899705</v>
      </c>
      <c r="O966" s="278">
        <f>O965/O964</f>
        <v>0.5713919965186488</v>
      </c>
      <c r="P966" s="315">
        <f>P965/P964</f>
        <v>9.6771396572694762E-2</v>
      </c>
      <c r="Q966" s="292">
        <f t="shared" ref="Q966" si="357">Q965/Q964</f>
        <v>2.8151656099369091E-5</v>
      </c>
      <c r="R966" s="320">
        <f>R965/R964</f>
        <v>0.14545520480136354</v>
      </c>
      <c r="S966" s="292">
        <f>S965/S964</f>
        <v>0.14027893201976396</v>
      </c>
      <c r="T966" s="70"/>
      <c r="U966" s="70"/>
      <c r="V966" s="70"/>
      <c r="W966" s="70"/>
      <c r="X966" s="70"/>
      <c r="Y966" s="70"/>
      <c r="Z966" s="70"/>
      <c r="AA966" s="1062"/>
      <c r="AB966" s="347" t="s">
        <v>3</v>
      </c>
      <c r="AC966" s="301">
        <f>AC965/AC964</f>
        <v>0.29081079724001724</v>
      </c>
      <c r="AD966" s="939"/>
      <c r="AE966" s="939"/>
      <c r="AF966" s="939"/>
      <c r="AG966" s="939"/>
      <c r="AH966" s="939"/>
      <c r="AI966" s="939"/>
      <c r="AJ966" s="278">
        <f>AJ965/AJ964</f>
        <v>0.41163760481942302</v>
      </c>
      <c r="AK966" s="292">
        <f>AK965/AK964</f>
        <v>0.47843220653254842</v>
      </c>
      <c r="AN966" s="743"/>
      <c r="AO966" s="743"/>
    </row>
    <row r="967" spans="1:41" s="267" customFormat="1" ht="15" customHeight="1" x14ac:dyDescent="0.25">
      <c r="A967" s="1060" t="s">
        <v>6</v>
      </c>
      <c r="B967" s="19" t="s">
        <v>7</v>
      </c>
      <c r="C967" s="297">
        <v>5870</v>
      </c>
      <c r="D967" s="266">
        <v>3333</v>
      </c>
      <c r="E967" s="297">
        <v>3330</v>
      </c>
      <c r="F967" s="277">
        <v>9457</v>
      </c>
      <c r="G967" s="357">
        <v>8428</v>
      </c>
      <c r="H967" s="277">
        <v>15703</v>
      </c>
      <c r="I967" s="277">
        <v>7403</v>
      </c>
      <c r="J967" s="286">
        <v>9599</v>
      </c>
      <c r="K967" s="266">
        <v>3600</v>
      </c>
      <c r="L967" s="297">
        <v>9289</v>
      </c>
      <c r="M967" s="277">
        <v>12295</v>
      </c>
      <c r="N967" s="357">
        <v>4354</v>
      </c>
      <c r="O967" s="277">
        <v>10027</v>
      </c>
      <c r="P967" s="286">
        <v>4799</v>
      </c>
      <c r="Q967" s="266">
        <v>7200</v>
      </c>
      <c r="R967" s="321">
        <v>2000</v>
      </c>
      <c r="S967" s="266">
        <v>1250</v>
      </c>
      <c r="T967" s="358"/>
      <c r="U967" s="126"/>
      <c r="V967" s="70"/>
      <c r="W967" s="70"/>
      <c r="X967" s="70"/>
      <c r="Y967" s="70"/>
      <c r="Z967" s="70"/>
      <c r="AA967" s="1060" t="s">
        <v>190</v>
      </c>
      <c r="AB967" s="19" t="s">
        <v>4</v>
      </c>
      <c r="AC967" s="299">
        <v>9191.7999999999993</v>
      </c>
      <c r="AD967" s="552"/>
      <c r="AE967" s="552"/>
      <c r="AF967" s="552"/>
      <c r="AG967" s="552"/>
      <c r="AH967" s="552"/>
      <c r="AI967" s="552"/>
      <c r="AJ967" s="283">
        <v>13787.7</v>
      </c>
      <c r="AK967" s="265">
        <v>13787.7</v>
      </c>
      <c r="AN967" s="743"/>
      <c r="AO967" s="743"/>
    </row>
    <row r="968" spans="1:41" s="267" customFormat="1" x14ac:dyDescent="0.25">
      <c r="A968" s="1061"/>
      <c r="B968" s="295" t="s">
        <v>11</v>
      </c>
      <c r="C968" s="302">
        <f t="shared" ref="C968:K968" si="358">C967*33.717</f>
        <v>197918.78999999998</v>
      </c>
      <c r="D968" s="263">
        <f t="shared" si="358"/>
        <v>112378.761</v>
      </c>
      <c r="E968" s="302">
        <f t="shared" si="358"/>
        <v>112277.61</v>
      </c>
      <c r="F968" s="355">
        <f t="shared" si="358"/>
        <v>318861.66899999999</v>
      </c>
      <c r="G968" s="308">
        <f t="shared" si="358"/>
        <v>284166.87599999999</v>
      </c>
      <c r="H968" s="354">
        <f t="shared" si="358"/>
        <v>529458.05099999998</v>
      </c>
      <c r="I968" s="354">
        <f t="shared" si="358"/>
        <v>249606.951</v>
      </c>
      <c r="J968" s="355">
        <f t="shared" si="358"/>
        <v>323649.48300000001</v>
      </c>
      <c r="K968" s="263">
        <f t="shared" si="358"/>
        <v>121381.2</v>
      </c>
      <c r="L968" s="322">
        <f>L967*33.717</f>
        <v>313197.21299999999</v>
      </c>
      <c r="M968" s="308">
        <f>M967*33.717</f>
        <v>414550.51499999996</v>
      </c>
      <c r="N968" s="308">
        <f>N967*33.717</f>
        <v>146803.818</v>
      </c>
      <c r="O968" s="354">
        <f>O967*33.717</f>
        <v>338080.359</v>
      </c>
      <c r="P968" s="355">
        <f>P967*33.717</f>
        <v>161807.883</v>
      </c>
      <c r="Q968" s="263">
        <f t="shared" ref="Q968" si="359">Q967*33.717</f>
        <v>242762.4</v>
      </c>
      <c r="R968" s="302">
        <f>R967*33.717</f>
        <v>67434</v>
      </c>
      <c r="S968" s="354">
        <f>S967*33.717</f>
        <v>42146.25</v>
      </c>
      <c r="T968" s="70"/>
      <c r="U968" s="70"/>
      <c r="V968" s="70"/>
      <c r="W968" s="70"/>
      <c r="X968" s="70"/>
      <c r="Y968" s="70"/>
      <c r="Z968" s="70"/>
      <c r="AA968" s="1061"/>
      <c r="AB968" s="293" t="s">
        <v>5</v>
      </c>
      <c r="AC968" s="300">
        <v>8118.2</v>
      </c>
      <c r="AD968" s="631"/>
      <c r="AE968" s="631"/>
      <c r="AF968" s="631"/>
      <c r="AG968" s="631"/>
      <c r="AH968" s="631"/>
      <c r="AI968" s="631"/>
      <c r="AJ968" s="307">
        <v>13637.4</v>
      </c>
      <c r="AK968" s="264">
        <v>13649</v>
      </c>
      <c r="AN968" s="743"/>
      <c r="AO968" s="743"/>
    </row>
    <row r="969" spans="1:41" s="267" customFormat="1" ht="15.75" thickBot="1" x14ac:dyDescent="0.3">
      <c r="A969" s="1061"/>
      <c r="B969" s="295" t="s">
        <v>79</v>
      </c>
      <c r="C969" s="302">
        <v>164000</v>
      </c>
      <c r="D969" s="263">
        <v>109880</v>
      </c>
      <c r="E969" s="302">
        <v>109880</v>
      </c>
      <c r="F969" s="308">
        <v>328000</v>
      </c>
      <c r="G969" s="308">
        <v>330905</v>
      </c>
      <c r="H969" s="308">
        <v>264264</v>
      </c>
      <c r="I969" s="308">
        <v>242663.6</v>
      </c>
      <c r="J969" s="375">
        <v>328000</v>
      </c>
      <c r="K969" s="263">
        <v>328000</v>
      </c>
      <c r="L969" s="302">
        <v>328000</v>
      </c>
      <c r="M969" s="308">
        <v>264264.40000000002</v>
      </c>
      <c r="N969" s="308">
        <v>328000</v>
      </c>
      <c r="O969" s="308">
        <v>352965.4</v>
      </c>
      <c r="P969" s="375">
        <v>328000</v>
      </c>
      <c r="Q969" s="263">
        <v>328000</v>
      </c>
      <c r="R969" s="322">
        <f>2*R964</f>
        <v>110302</v>
      </c>
      <c r="S969" s="263">
        <f>2*S964</f>
        <v>66181</v>
      </c>
      <c r="T969" s="70"/>
      <c r="U969" s="70"/>
      <c r="V969" s="70"/>
      <c r="W969" s="70"/>
      <c r="X969" s="70"/>
      <c r="Y969" s="70"/>
      <c r="Z969" s="70"/>
      <c r="AA969" s="1062"/>
      <c r="AB969" s="344" t="s">
        <v>3</v>
      </c>
      <c r="AC969" s="301">
        <f>AC968/AC967</f>
        <v>0.88320024369546779</v>
      </c>
      <c r="AD969" s="939"/>
      <c r="AE969" s="939"/>
      <c r="AF969" s="939"/>
      <c r="AG969" s="939"/>
      <c r="AH969" s="939"/>
      <c r="AI969" s="939"/>
      <c r="AJ969" s="249">
        <f>AJ968/AJ967</f>
        <v>0.98909897952522896</v>
      </c>
      <c r="AK969" s="348">
        <f>AK968/AK967</f>
        <v>0.98994030911609621</v>
      </c>
      <c r="AN969" s="743"/>
      <c r="AO969" s="743"/>
    </row>
    <row r="970" spans="1:41" s="267" customFormat="1" ht="15" customHeight="1" x14ac:dyDescent="0.25">
      <c r="A970" s="1061"/>
      <c r="B970" s="293" t="s">
        <v>8</v>
      </c>
      <c r="C970" s="303">
        <f>SUM(C967-531)</f>
        <v>5339</v>
      </c>
      <c r="D970" s="262">
        <f>SUM(D967-650)</f>
        <v>2683</v>
      </c>
      <c r="E970" s="303">
        <f>SUM(E967-616)</f>
        <v>2714</v>
      </c>
      <c r="F970" s="309">
        <f>SUM(F967-1211)</f>
        <v>8246</v>
      </c>
      <c r="G970" s="309">
        <f>SUM(G967-4580)</f>
        <v>3848</v>
      </c>
      <c r="H970" s="309">
        <f>SUM(H967-2081)</f>
        <v>13622</v>
      </c>
      <c r="I970" s="309">
        <f>SUM(I967-(3272-2000))</f>
        <v>6131</v>
      </c>
      <c r="J970" s="316">
        <f>SUM(J967-9219)</f>
        <v>380</v>
      </c>
      <c r="K970" s="262">
        <f>SUM(K967-3600)</f>
        <v>0</v>
      </c>
      <c r="L970" s="303">
        <f>SUM(L967-909)</f>
        <v>8380</v>
      </c>
      <c r="M970" s="309">
        <f>SUM(M967-1185)</f>
        <v>11110</v>
      </c>
      <c r="N970" s="316">
        <f>SUM(N967-359)</f>
        <v>3995</v>
      </c>
      <c r="O970" s="309">
        <f>SUM(O967-(5224-2614))</f>
        <v>7417</v>
      </c>
      <c r="P970" s="316">
        <f>SUM(P967-3943)</f>
        <v>856</v>
      </c>
      <c r="Q970" s="262">
        <f>SUM(Q967-7200)</f>
        <v>0</v>
      </c>
      <c r="R970" s="323">
        <f>SUM(R967-1033)</f>
        <v>967</v>
      </c>
      <c r="S970" s="262">
        <f>SUM(S967-752)</f>
        <v>498</v>
      </c>
      <c r="T970" s="12"/>
      <c r="U970" s="70"/>
      <c r="V970" s="70"/>
      <c r="W970" s="70"/>
      <c r="X970" s="70"/>
      <c r="Y970" s="70"/>
      <c r="Z970" s="70"/>
      <c r="AA970" s="1060" t="s">
        <v>191</v>
      </c>
      <c r="AB970" s="19" t="s">
        <v>4</v>
      </c>
      <c r="AC970" s="299">
        <v>97433.600000000006</v>
      </c>
      <c r="AD970" s="552"/>
      <c r="AE970" s="552"/>
      <c r="AF970" s="552"/>
      <c r="AG970" s="552"/>
      <c r="AH970" s="552"/>
      <c r="AI970" s="552"/>
      <c r="AJ970" s="283">
        <v>243584.4</v>
      </c>
      <c r="AK970" s="265">
        <v>292299.3</v>
      </c>
      <c r="AN970" s="743"/>
      <c r="AO970" s="743"/>
    </row>
    <row r="971" spans="1:41" s="267" customFormat="1" x14ac:dyDescent="0.25">
      <c r="A971" s="1061"/>
      <c r="B971" s="296" t="s">
        <v>77</v>
      </c>
      <c r="C971" s="302">
        <f>(C970*33.717)</f>
        <v>180015.06299999999</v>
      </c>
      <c r="D971" s="338">
        <f>(D970*33.717)</f>
        <v>90462.710999999996</v>
      </c>
      <c r="E971" s="302">
        <f>(E970*33.717)</f>
        <v>91507.937999999995</v>
      </c>
      <c r="F971" s="338">
        <f>(F970*33.717)</f>
        <v>278030.38199999998</v>
      </c>
      <c r="G971" s="280">
        <f>(G970*33.717)*2</f>
        <v>259486.03199999998</v>
      </c>
      <c r="H971" s="280">
        <f>(H970*33.717)</f>
        <v>459292.97399999999</v>
      </c>
      <c r="I971" s="280">
        <f>(I970*33.717)-(2000*33.717)</f>
        <v>139284.927</v>
      </c>
      <c r="J971" s="376">
        <f>J970*33.717</f>
        <v>12812.46</v>
      </c>
      <c r="K971" s="261">
        <f>K970*33.717</f>
        <v>0</v>
      </c>
      <c r="L971" s="304">
        <f>L970*33.717</f>
        <v>282548.45999999996</v>
      </c>
      <c r="M971" s="280">
        <f>M970*33.717</f>
        <v>374595.87</v>
      </c>
      <c r="N971" s="280">
        <f>(N970*33.717)</f>
        <v>134699.41500000001</v>
      </c>
      <c r="O971" s="280">
        <f>O970*33.717</f>
        <v>250078.989</v>
      </c>
      <c r="P971" s="376">
        <f>P970*33.717</f>
        <v>28861.752</v>
      </c>
      <c r="Q971" s="261">
        <f>Q970*33.717</f>
        <v>0</v>
      </c>
      <c r="R971" s="324">
        <f>R970*33.717</f>
        <v>32604.339</v>
      </c>
      <c r="S971" s="325">
        <f>S970*33.717</f>
        <v>16791.065999999999</v>
      </c>
      <c r="T971" s="63"/>
      <c r="U971" s="70" t="s">
        <v>177</v>
      </c>
      <c r="V971" s="70"/>
      <c r="W971" s="70"/>
      <c r="X971" s="70"/>
      <c r="Y971" s="70"/>
      <c r="Z971" s="70"/>
      <c r="AA971" s="1061"/>
      <c r="AB971" s="293" t="s">
        <v>5</v>
      </c>
      <c r="AC971" s="300">
        <v>38973.199999999997</v>
      </c>
      <c r="AD971" s="631"/>
      <c r="AE971" s="631"/>
      <c r="AF971" s="631"/>
      <c r="AG971" s="631"/>
      <c r="AH971" s="631"/>
      <c r="AI971" s="631"/>
      <c r="AJ971" s="307">
        <v>95672.4</v>
      </c>
      <c r="AK971" s="264">
        <v>82255.600000000006</v>
      </c>
      <c r="AN971" s="743"/>
      <c r="AO971" s="743"/>
    </row>
    <row r="972" spans="1:41" s="267" customFormat="1" ht="15.75" thickBot="1" x14ac:dyDescent="0.3">
      <c r="A972" s="1062"/>
      <c r="B972" s="294" t="s">
        <v>10</v>
      </c>
      <c r="C972" s="305">
        <f t="shared" ref="C972:K972" si="360">C971/C964</f>
        <v>1.2554034529074802</v>
      </c>
      <c r="D972" s="292">
        <f t="shared" si="360"/>
        <v>0.60101803930218622</v>
      </c>
      <c r="E972" s="310">
        <f t="shared" si="360"/>
        <v>0.60796234016628159</v>
      </c>
      <c r="F972" s="282">
        <f t="shared" si="360"/>
        <v>1.5276579277331923</v>
      </c>
      <c r="G972" s="282">
        <f t="shared" si="360"/>
        <v>1.5683415602665416</v>
      </c>
      <c r="H972" s="282">
        <f t="shared" si="360"/>
        <v>3.4760162110616655</v>
      </c>
      <c r="I972" s="282">
        <f t="shared" si="360"/>
        <v>0.81468133329745929</v>
      </c>
      <c r="J972" s="377">
        <f t="shared" si="360"/>
        <v>7.7147290518485595E-2</v>
      </c>
      <c r="K972" s="311">
        <f t="shared" si="360"/>
        <v>0</v>
      </c>
      <c r="L972" s="310">
        <f>L971/L964</f>
        <v>1.4637768809544778</v>
      </c>
      <c r="M972" s="282">
        <f>M971/M964</f>
        <v>2.8350081963366986</v>
      </c>
      <c r="N972" s="282">
        <f>N971/N964</f>
        <v>1.6282538322153899</v>
      </c>
      <c r="O972" s="260">
        <f>O971/O964</f>
        <v>0.90688832115464812</v>
      </c>
      <c r="P972" s="377">
        <f>P971/P964</f>
        <v>0.34756863642384905</v>
      </c>
      <c r="Q972" s="311">
        <f t="shared" ref="Q972" si="361">Q971/Q964</f>
        <v>0</v>
      </c>
      <c r="R972" s="305">
        <f>R971/R964</f>
        <v>0.59118309731464525</v>
      </c>
      <c r="S972" s="292">
        <f>S971/S964</f>
        <v>0.50742859733156043</v>
      </c>
      <c r="T972" s="126"/>
      <c r="U972" s="70"/>
      <c r="V972" s="70"/>
      <c r="W972" s="70"/>
      <c r="X972" s="70"/>
      <c r="Y972" s="70"/>
      <c r="Z972" s="70"/>
      <c r="AA972" s="1062"/>
      <c r="AB972" s="294" t="s">
        <v>3</v>
      </c>
      <c r="AC972" s="305">
        <f>AC971/AC970</f>
        <v>0.39999753678402516</v>
      </c>
      <c r="AD972" s="636"/>
      <c r="AE972" s="636"/>
      <c r="AF972" s="636"/>
      <c r="AG972" s="636"/>
      <c r="AH972" s="636"/>
      <c r="AI972" s="636"/>
      <c r="AJ972" s="278">
        <f>AJ971/AJ970</f>
        <v>0.39276899505879687</v>
      </c>
      <c r="AK972" s="343">
        <f>AK971/AK970</f>
        <v>0.28140881623732938</v>
      </c>
      <c r="AN972" s="743"/>
      <c r="AO972" s="743"/>
    </row>
    <row r="973" spans="1:41" s="267" customFormat="1" ht="15.75" thickBot="1" x14ac:dyDescent="0.3">
      <c r="A973" s="1048">
        <v>41422</v>
      </c>
      <c r="B973" s="1048"/>
      <c r="C973" s="1048"/>
      <c r="D973" s="276"/>
      <c r="E973" s="276"/>
      <c r="F973" s="276"/>
      <c r="G973" s="276"/>
      <c r="H973" s="276"/>
      <c r="I973" s="11"/>
      <c r="J973" s="281"/>
      <c r="K973" s="281"/>
      <c r="L973" s="276"/>
      <c r="M973" s="276"/>
      <c r="N973" s="13"/>
      <c r="R973" s="12"/>
      <c r="S973" s="70"/>
      <c r="T973" s="70"/>
      <c r="U973" s="70"/>
      <c r="V973" s="70"/>
      <c r="W973" s="70"/>
      <c r="X973" s="70"/>
      <c r="Y973" s="70"/>
      <c r="Z973" s="70"/>
      <c r="AA973" s="1063"/>
      <c r="AB973" s="1064"/>
      <c r="AD973" s="743"/>
      <c r="AE973" s="743"/>
      <c r="AF973" s="743"/>
      <c r="AG973" s="743"/>
      <c r="AH973" s="743"/>
      <c r="AI973" s="743"/>
      <c r="AN973" s="743"/>
      <c r="AO973" s="743"/>
    </row>
    <row r="974" spans="1:41" s="267" customFormat="1" x14ac:dyDescent="0.25">
      <c r="A974" s="1049" t="s">
        <v>1</v>
      </c>
      <c r="B974" s="1050"/>
      <c r="C974" s="297" t="s">
        <v>12</v>
      </c>
      <c r="D974" s="266" t="s">
        <v>12</v>
      </c>
      <c r="E974" s="297" t="s">
        <v>13</v>
      </c>
      <c r="F974" s="277" t="s">
        <v>13</v>
      </c>
      <c r="G974" s="277" t="s">
        <v>13</v>
      </c>
      <c r="H974" s="277" t="s">
        <v>13</v>
      </c>
      <c r="I974" s="277" t="s">
        <v>13</v>
      </c>
      <c r="J974" s="286" t="s">
        <v>13</v>
      </c>
      <c r="K974" s="266" t="s">
        <v>13</v>
      </c>
      <c r="L974" s="297" t="s">
        <v>2</v>
      </c>
      <c r="M974" s="277" t="s">
        <v>2</v>
      </c>
      <c r="N974" s="286" t="s">
        <v>2</v>
      </c>
      <c r="O974" s="277" t="s">
        <v>2</v>
      </c>
      <c r="P974" s="286" t="s">
        <v>2</v>
      </c>
      <c r="Q974" s="266" t="s">
        <v>2</v>
      </c>
      <c r="R974" s="328" t="s">
        <v>183</v>
      </c>
      <c r="S974" s="327" t="s">
        <v>183</v>
      </c>
      <c r="T974" s="12"/>
      <c r="U974" s="70"/>
      <c r="V974" s="70"/>
      <c r="W974" s="70"/>
      <c r="X974" s="70"/>
      <c r="Y974" s="70"/>
      <c r="Z974" s="70"/>
      <c r="AA974" s="1049" t="s">
        <v>1</v>
      </c>
      <c r="AB974" s="1050"/>
      <c r="AC974" s="297" t="s">
        <v>12</v>
      </c>
      <c r="AD974" s="937"/>
      <c r="AE974" s="937"/>
      <c r="AF974" s="937"/>
      <c r="AG974" s="937"/>
      <c r="AH974" s="937"/>
      <c r="AI974" s="937"/>
      <c r="AJ974" s="277" t="s">
        <v>13</v>
      </c>
      <c r="AK974" s="266" t="s">
        <v>2</v>
      </c>
      <c r="AN974" s="743"/>
      <c r="AO974" s="743"/>
    </row>
    <row r="975" spans="1:41" s="267" customFormat="1" ht="15.75" thickBot="1" x14ac:dyDescent="0.3">
      <c r="A975" s="1054" t="s">
        <v>0</v>
      </c>
      <c r="B975" s="1066"/>
      <c r="C975" s="298" t="s">
        <v>99</v>
      </c>
      <c r="D975" s="291" t="s">
        <v>100</v>
      </c>
      <c r="E975" s="298" t="s">
        <v>101</v>
      </c>
      <c r="F975" s="306" t="s">
        <v>102</v>
      </c>
      <c r="G975" s="306" t="s">
        <v>97</v>
      </c>
      <c r="H975" s="306" t="s">
        <v>104</v>
      </c>
      <c r="I975" s="306" t="s">
        <v>103</v>
      </c>
      <c r="J975" s="378" t="s">
        <v>178</v>
      </c>
      <c r="K975" s="314" t="s">
        <v>199</v>
      </c>
      <c r="L975" s="298" t="s">
        <v>105</v>
      </c>
      <c r="M975" s="306" t="s">
        <v>107</v>
      </c>
      <c r="N975" s="312" t="s">
        <v>98</v>
      </c>
      <c r="O975" s="313" t="s">
        <v>106</v>
      </c>
      <c r="P975" s="312" t="s">
        <v>179</v>
      </c>
      <c r="Q975" s="291" t="s">
        <v>198</v>
      </c>
      <c r="R975" s="317" t="s">
        <v>182</v>
      </c>
      <c r="S975" s="291" t="s">
        <v>184</v>
      </c>
      <c r="T975" s="12"/>
      <c r="U975" s="12"/>
      <c r="V975" s="12"/>
      <c r="W975" s="12"/>
      <c r="X975" s="12"/>
      <c r="Y975" s="12"/>
      <c r="Z975" s="12"/>
      <c r="AA975" s="1054" t="s">
        <v>0</v>
      </c>
      <c r="AB975" s="1066"/>
      <c r="AC975" s="298" t="s">
        <v>99</v>
      </c>
      <c r="AD975" s="938"/>
      <c r="AE975" s="938"/>
      <c r="AF975" s="938"/>
      <c r="AG975" s="938"/>
      <c r="AH975" s="938"/>
      <c r="AI975" s="938"/>
      <c r="AJ975" s="306" t="s">
        <v>104</v>
      </c>
      <c r="AK975" s="291" t="s">
        <v>107</v>
      </c>
      <c r="AN975" s="743"/>
      <c r="AO975" s="743"/>
    </row>
    <row r="976" spans="1:41" s="267" customFormat="1" ht="15" customHeight="1" x14ac:dyDescent="0.25">
      <c r="A976" s="1057" t="s">
        <v>9</v>
      </c>
      <c r="B976" s="19" t="s">
        <v>4</v>
      </c>
      <c r="C976" s="299">
        <v>143392.20000000001</v>
      </c>
      <c r="D976" s="265">
        <v>150515.79999999999</v>
      </c>
      <c r="E976" s="299">
        <v>150515.79999999999</v>
      </c>
      <c r="F976" s="283">
        <v>181997.8</v>
      </c>
      <c r="G976" s="283">
        <v>165452.5</v>
      </c>
      <c r="H976" s="283">
        <v>132132</v>
      </c>
      <c r="I976" s="368">
        <v>170968.6</v>
      </c>
      <c r="J976" s="223">
        <v>166077.9</v>
      </c>
      <c r="K976" s="265">
        <v>95044.2</v>
      </c>
      <c r="L976" s="299">
        <v>193027</v>
      </c>
      <c r="M976" s="283">
        <v>132132.20000000001</v>
      </c>
      <c r="N976" s="283">
        <v>82726.3</v>
      </c>
      <c r="O976" s="283">
        <v>275755</v>
      </c>
      <c r="P976" s="223">
        <v>83039</v>
      </c>
      <c r="Q976" s="265">
        <v>191818.2</v>
      </c>
      <c r="R976" s="318">
        <v>55151</v>
      </c>
      <c r="S976" s="265">
        <v>33090.5</v>
      </c>
      <c r="T976" s="70"/>
      <c r="U976" s="70"/>
      <c r="V976" s="70"/>
      <c r="W976" s="70"/>
      <c r="X976" s="70"/>
      <c r="Y976" s="70"/>
      <c r="Z976" s="70"/>
      <c r="AA976" s="1060" t="s">
        <v>194</v>
      </c>
      <c r="AB976" s="2" t="s">
        <v>4</v>
      </c>
      <c r="AC976" s="299">
        <v>143392.20000000001</v>
      </c>
      <c r="AD976" s="552"/>
      <c r="AE976" s="552"/>
      <c r="AF976" s="552"/>
      <c r="AG976" s="552"/>
      <c r="AH976" s="552"/>
      <c r="AI976" s="552"/>
      <c r="AJ976" s="283">
        <v>132132</v>
      </c>
      <c r="AK976" s="265">
        <v>132132.20000000001</v>
      </c>
      <c r="AN976" s="743"/>
      <c r="AO976" s="743"/>
    </row>
    <row r="977" spans="1:41" s="267" customFormat="1" x14ac:dyDescent="0.25">
      <c r="A977" s="1058"/>
      <c r="B977" s="293" t="s">
        <v>5</v>
      </c>
      <c r="C977" s="300">
        <v>41320.199999999997</v>
      </c>
      <c r="D977" s="264">
        <v>78271.7</v>
      </c>
      <c r="E977" s="300">
        <v>79775.100000000006</v>
      </c>
      <c r="F977" s="307">
        <v>160698.5</v>
      </c>
      <c r="G977" s="307">
        <v>101991.9</v>
      </c>
      <c r="H977" s="307">
        <v>54996.1</v>
      </c>
      <c r="I977" s="307">
        <v>86350.9</v>
      </c>
      <c r="J977" s="374">
        <v>15867.2</v>
      </c>
      <c r="K977" s="264">
        <v>2.7</v>
      </c>
      <c r="L977" s="300">
        <v>160673.70000000001</v>
      </c>
      <c r="M977" s="307">
        <v>63698.1</v>
      </c>
      <c r="N977" s="307">
        <v>52377.9</v>
      </c>
      <c r="O977" s="307">
        <v>157441</v>
      </c>
      <c r="P977" s="374">
        <v>7253.4</v>
      </c>
      <c r="Q977" s="264">
        <v>5.4</v>
      </c>
      <c r="R977" s="319">
        <v>7963.2</v>
      </c>
      <c r="S977" s="264">
        <v>4625.8999999999996</v>
      </c>
      <c r="T977" s="70"/>
      <c r="U977" s="70"/>
      <c r="V977" s="70"/>
      <c r="W977" s="70"/>
      <c r="X977" s="70"/>
      <c r="Y977" s="70"/>
      <c r="Z977" s="70"/>
      <c r="AA977" s="1061"/>
      <c r="AB977" s="342" t="s">
        <v>5</v>
      </c>
      <c r="AC977" s="300">
        <v>41302.199999999997</v>
      </c>
      <c r="AD977" s="631"/>
      <c r="AE977" s="631"/>
      <c r="AF977" s="631"/>
      <c r="AG977" s="631"/>
      <c r="AH977" s="631"/>
      <c r="AI977" s="631"/>
      <c r="AJ977" s="307">
        <v>54996.1</v>
      </c>
      <c r="AK977" s="264">
        <v>63698.1</v>
      </c>
      <c r="AN977" s="743"/>
      <c r="AO977" s="743"/>
    </row>
    <row r="978" spans="1:41" s="267" customFormat="1" ht="15.75" thickBot="1" x14ac:dyDescent="0.3">
      <c r="A978" s="1059"/>
      <c r="B978" s="294" t="s">
        <v>3</v>
      </c>
      <c r="C978" s="305">
        <f t="shared" ref="C978:J978" si="362">C977/C976</f>
        <v>0.28816211760472321</v>
      </c>
      <c r="D978" s="343">
        <f t="shared" si="362"/>
        <v>0.52002314707160313</v>
      </c>
      <c r="E978" s="305">
        <f t="shared" si="362"/>
        <v>0.53001146723466908</v>
      </c>
      <c r="F978" s="371">
        <f t="shared" si="362"/>
        <v>0.88296946446605407</v>
      </c>
      <c r="G978" s="278">
        <f t="shared" si="362"/>
        <v>0.61644218129070272</v>
      </c>
      <c r="H978" s="278">
        <f t="shared" si="362"/>
        <v>0.41622090031180942</v>
      </c>
      <c r="I978" s="278">
        <f t="shared" si="362"/>
        <v>0.50506876701335801</v>
      </c>
      <c r="J978" s="315">
        <f t="shared" si="362"/>
        <v>9.5540707101908207E-2</v>
      </c>
      <c r="K978" s="292">
        <f t="shared" ref="K978" si="363">K977/K976</f>
        <v>2.8407835512319535E-5</v>
      </c>
      <c r="L978" s="372">
        <f>L977/L976</f>
        <v>0.83238976930688457</v>
      </c>
      <c r="M978" s="278">
        <f>M977/M976</f>
        <v>0.48207855465965144</v>
      </c>
      <c r="N978" s="315">
        <f>N977/N976</f>
        <v>0.63314689524371326</v>
      </c>
      <c r="O978" s="278">
        <f>O977/O976</f>
        <v>0.5709452231147214</v>
      </c>
      <c r="P978" s="315">
        <f>P977/P976</f>
        <v>8.734931779043581E-2</v>
      </c>
      <c r="Q978" s="292">
        <f t="shared" ref="Q978" si="364">Q977/Q976</f>
        <v>2.8151656099369091E-5</v>
      </c>
      <c r="R978" s="320">
        <f>R977/R976</f>
        <v>0.14438904099653677</v>
      </c>
      <c r="S978" s="292">
        <f>S977/S976</f>
        <v>0.13979540955863465</v>
      </c>
      <c r="T978" s="70"/>
      <c r="U978" s="70"/>
      <c r="V978" s="70"/>
      <c r="W978" s="70"/>
      <c r="X978" s="70"/>
      <c r="Y978" s="70"/>
      <c r="Z978" s="70"/>
      <c r="AA978" s="1062"/>
      <c r="AB978" s="347" t="s">
        <v>3</v>
      </c>
      <c r="AC978" s="301">
        <f>AC977/AC976</f>
        <v>0.28803658776418795</v>
      </c>
      <c r="AD978" s="939"/>
      <c r="AE978" s="939"/>
      <c r="AF978" s="939"/>
      <c r="AG978" s="939"/>
      <c r="AH978" s="939"/>
      <c r="AI978" s="939"/>
      <c r="AJ978" s="278">
        <f>AJ977/AJ976</f>
        <v>0.41622090031180942</v>
      </c>
      <c r="AK978" s="292">
        <f>AK977/AK976</f>
        <v>0.48207855465965144</v>
      </c>
      <c r="AN978" s="743"/>
      <c r="AO978" s="743"/>
    </row>
    <row r="979" spans="1:41" s="267" customFormat="1" ht="15" customHeight="1" x14ac:dyDescent="0.25">
      <c r="A979" s="1060" t="s">
        <v>6</v>
      </c>
      <c r="B979" s="19" t="s">
        <v>7</v>
      </c>
      <c r="C979" s="297">
        <v>5870</v>
      </c>
      <c r="D979" s="266">
        <v>3333</v>
      </c>
      <c r="E979" s="297">
        <v>3330</v>
      </c>
      <c r="F979" s="277">
        <v>9457</v>
      </c>
      <c r="G979" s="357">
        <v>8428</v>
      </c>
      <c r="H979" s="277">
        <v>15703</v>
      </c>
      <c r="I979" s="277">
        <v>7403</v>
      </c>
      <c r="J979" s="286">
        <v>9599</v>
      </c>
      <c r="K979" s="266">
        <v>3600</v>
      </c>
      <c r="L979" s="297">
        <v>9289</v>
      </c>
      <c r="M979" s="277">
        <v>12295</v>
      </c>
      <c r="N979" s="357">
        <v>4354</v>
      </c>
      <c r="O979" s="277">
        <v>10027</v>
      </c>
      <c r="P979" s="286">
        <v>4799</v>
      </c>
      <c r="Q979" s="266">
        <v>7200</v>
      </c>
      <c r="R979" s="321">
        <v>2000</v>
      </c>
      <c r="S979" s="266">
        <v>1250</v>
      </c>
      <c r="T979" s="358"/>
      <c r="U979" s="126"/>
      <c r="V979" s="70"/>
      <c r="W979" s="70"/>
      <c r="X979" s="70"/>
      <c r="Y979" s="70"/>
      <c r="Z979" s="70"/>
      <c r="AA979" s="1060" t="s">
        <v>190</v>
      </c>
      <c r="AB979" s="19" t="s">
        <v>4</v>
      </c>
      <c r="AC979" s="299">
        <v>9191.7999999999993</v>
      </c>
      <c r="AD979" s="552"/>
      <c r="AE979" s="552"/>
      <c r="AF979" s="552"/>
      <c r="AG979" s="552"/>
      <c r="AH979" s="552"/>
      <c r="AI979" s="552"/>
      <c r="AJ979" s="283">
        <v>13787.7</v>
      </c>
      <c r="AK979" s="265">
        <v>13787.7</v>
      </c>
      <c r="AN979" s="743"/>
      <c r="AO979" s="743"/>
    </row>
    <row r="980" spans="1:41" s="267" customFormat="1" x14ac:dyDescent="0.25">
      <c r="A980" s="1061"/>
      <c r="B980" s="295" t="s">
        <v>11</v>
      </c>
      <c r="C980" s="302">
        <f t="shared" ref="C980:J980" si="365">C979*33.717</f>
        <v>197918.78999999998</v>
      </c>
      <c r="D980" s="263">
        <f t="shared" si="365"/>
        <v>112378.761</v>
      </c>
      <c r="E980" s="302">
        <f t="shared" si="365"/>
        <v>112277.61</v>
      </c>
      <c r="F980" s="355">
        <f t="shared" si="365"/>
        <v>318861.66899999999</v>
      </c>
      <c r="G980" s="308">
        <f t="shared" si="365"/>
        <v>284166.87599999999</v>
      </c>
      <c r="H980" s="354">
        <f t="shared" si="365"/>
        <v>529458.05099999998</v>
      </c>
      <c r="I980" s="354">
        <f t="shared" si="365"/>
        <v>249606.951</v>
      </c>
      <c r="J980" s="355">
        <f t="shared" si="365"/>
        <v>323649.48300000001</v>
      </c>
      <c r="K980" s="263">
        <f t="shared" ref="K980" si="366">K979*33.717</f>
        <v>121381.2</v>
      </c>
      <c r="L980" s="322">
        <f>L979*33.717</f>
        <v>313197.21299999999</v>
      </c>
      <c r="M980" s="308">
        <f>M979*33.717</f>
        <v>414550.51499999996</v>
      </c>
      <c r="N980" s="308">
        <f>N979*33.717</f>
        <v>146803.818</v>
      </c>
      <c r="O980" s="354">
        <f>O979*33.717</f>
        <v>338080.359</v>
      </c>
      <c r="P980" s="355">
        <f>P979*33.717</f>
        <v>161807.883</v>
      </c>
      <c r="Q980" s="263">
        <f t="shared" ref="Q980" si="367">Q979*33.717</f>
        <v>242762.4</v>
      </c>
      <c r="R980" s="302">
        <f>R979*33.717</f>
        <v>67434</v>
      </c>
      <c r="S980" s="354">
        <f>S979*33.717</f>
        <v>42146.25</v>
      </c>
      <c r="T980" s="70"/>
      <c r="U980" s="70"/>
      <c r="V980" s="70"/>
      <c r="W980" s="70"/>
      <c r="X980" s="70"/>
      <c r="Y980" s="70"/>
      <c r="Z980" s="70"/>
      <c r="AA980" s="1061"/>
      <c r="AB980" s="293" t="s">
        <v>5</v>
      </c>
      <c r="AC980" s="300">
        <v>8492.7000000000007</v>
      </c>
      <c r="AD980" s="631"/>
      <c r="AE980" s="631"/>
      <c r="AF980" s="631"/>
      <c r="AG980" s="631"/>
      <c r="AH980" s="631"/>
      <c r="AI980" s="631"/>
      <c r="AJ980" s="307">
        <v>13609.7</v>
      </c>
      <c r="AK980" s="264">
        <v>13649.2</v>
      </c>
      <c r="AN980" s="743"/>
      <c r="AO980" s="743"/>
    </row>
    <row r="981" spans="1:41" s="267" customFormat="1" ht="15.75" thickBot="1" x14ac:dyDescent="0.3">
      <c r="A981" s="1061"/>
      <c r="B981" s="295" t="s">
        <v>79</v>
      </c>
      <c r="C981" s="302">
        <v>164000</v>
      </c>
      <c r="D981" s="263">
        <v>109880</v>
      </c>
      <c r="E981" s="302">
        <v>109880</v>
      </c>
      <c r="F981" s="308">
        <v>328000</v>
      </c>
      <c r="G981" s="308">
        <v>330905</v>
      </c>
      <c r="H981" s="308">
        <v>264264</v>
      </c>
      <c r="I981" s="308">
        <v>242663.6</v>
      </c>
      <c r="J981" s="375">
        <v>328000</v>
      </c>
      <c r="K981" s="263">
        <v>328000</v>
      </c>
      <c r="L981" s="302">
        <v>328000</v>
      </c>
      <c r="M981" s="308">
        <v>264264.40000000002</v>
      </c>
      <c r="N981" s="308">
        <v>328000</v>
      </c>
      <c r="O981" s="308">
        <v>352965.4</v>
      </c>
      <c r="P981" s="375">
        <v>328000</v>
      </c>
      <c r="Q981" s="263">
        <v>328000</v>
      </c>
      <c r="R981" s="322">
        <f>2*R976</f>
        <v>110302</v>
      </c>
      <c r="S981" s="263">
        <f>2*S976</f>
        <v>66181</v>
      </c>
      <c r="T981" s="70"/>
      <c r="U981" s="70"/>
      <c r="V981" s="70"/>
      <c r="W981" s="70"/>
      <c r="X981" s="70"/>
      <c r="Y981" s="70"/>
      <c r="Z981" s="70"/>
      <c r="AA981" s="1062"/>
      <c r="AB981" s="344" t="s">
        <v>3</v>
      </c>
      <c r="AC981" s="301">
        <f>AC980/AC979</f>
        <v>0.92394307970147316</v>
      </c>
      <c r="AD981" s="939"/>
      <c r="AE981" s="939"/>
      <c r="AF981" s="939"/>
      <c r="AG981" s="939"/>
      <c r="AH981" s="939"/>
      <c r="AI981" s="939"/>
      <c r="AJ981" s="249">
        <f>AJ980/AJ979</f>
        <v>0.98708994248496851</v>
      </c>
      <c r="AK981" s="348">
        <f>AK980/AK979</f>
        <v>0.9899548147986974</v>
      </c>
      <c r="AN981" s="743"/>
      <c r="AO981" s="743"/>
    </row>
    <row r="982" spans="1:41" s="267" customFormat="1" ht="15" customHeight="1" x14ac:dyDescent="0.25">
      <c r="A982" s="1061"/>
      <c r="B982" s="293" t="s">
        <v>8</v>
      </c>
      <c r="C982" s="303">
        <f>SUM(C979-531)</f>
        <v>5339</v>
      </c>
      <c r="D982" s="262">
        <f>SUM(D979-650)</f>
        <v>2683</v>
      </c>
      <c r="E982" s="303">
        <f>SUM(E979-616)</f>
        <v>2714</v>
      </c>
      <c r="F982" s="309">
        <f>SUM(F979-1211)</f>
        <v>8246</v>
      </c>
      <c r="G982" s="309">
        <f>SUM(G979-4580)</f>
        <v>3848</v>
      </c>
      <c r="H982" s="309">
        <f>SUM(H979-2081)</f>
        <v>13622</v>
      </c>
      <c r="I982" s="309">
        <f>SUM(I979-(3272-2000))</f>
        <v>6131</v>
      </c>
      <c r="J982" s="316">
        <f>SUM(J979-9219)</f>
        <v>380</v>
      </c>
      <c r="K982" s="262">
        <f>SUM(K979-3600)</f>
        <v>0</v>
      </c>
      <c r="L982" s="303">
        <f>SUM(L979-909)</f>
        <v>8380</v>
      </c>
      <c r="M982" s="309">
        <f>SUM(M979-1185)</f>
        <v>11110</v>
      </c>
      <c r="N982" s="316">
        <f>SUM(N979-359)</f>
        <v>3995</v>
      </c>
      <c r="O982" s="309">
        <f>SUM(O979-(5224-2614))</f>
        <v>7417</v>
      </c>
      <c r="P982" s="316">
        <f>SUM(P979-3943)</f>
        <v>856</v>
      </c>
      <c r="Q982" s="262">
        <f>SUM(Q979-7200)</f>
        <v>0</v>
      </c>
      <c r="R982" s="323">
        <f>SUM(R979-1033)</f>
        <v>967</v>
      </c>
      <c r="S982" s="262">
        <f>SUM(S979-752)</f>
        <v>498</v>
      </c>
      <c r="T982" s="12"/>
      <c r="U982" s="70"/>
      <c r="V982" s="70"/>
      <c r="W982" s="70"/>
      <c r="X982" s="70"/>
      <c r="Y982" s="70"/>
      <c r="Z982" s="70"/>
      <c r="AA982" s="1060" t="s">
        <v>191</v>
      </c>
      <c r="AB982" s="19" t="s">
        <v>4</v>
      </c>
      <c r="AC982" s="299">
        <v>97433.600000000006</v>
      </c>
      <c r="AD982" s="552"/>
      <c r="AE982" s="552"/>
      <c r="AF982" s="552"/>
      <c r="AG982" s="552"/>
      <c r="AH982" s="552"/>
      <c r="AI982" s="552"/>
      <c r="AJ982" s="283">
        <v>243584.4</v>
      </c>
      <c r="AK982" s="265">
        <v>292299.3</v>
      </c>
      <c r="AN982" s="743"/>
      <c r="AO982" s="743"/>
    </row>
    <row r="983" spans="1:41" s="267" customFormat="1" x14ac:dyDescent="0.25">
      <c r="A983" s="1061"/>
      <c r="B983" s="296" t="s">
        <v>77</v>
      </c>
      <c r="C983" s="302">
        <f>(C982*33.717)</f>
        <v>180015.06299999999</v>
      </c>
      <c r="D983" s="338">
        <f>(D982*33.717)</f>
        <v>90462.710999999996</v>
      </c>
      <c r="E983" s="302">
        <f>(E982*33.717)</f>
        <v>91507.937999999995</v>
      </c>
      <c r="F983" s="338">
        <f>(F982*33.717)</f>
        <v>278030.38199999998</v>
      </c>
      <c r="G983" s="280">
        <f>(G982*33.717)*2</f>
        <v>259486.03199999998</v>
      </c>
      <c r="H983" s="280">
        <f>(H982*33.717)</f>
        <v>459292.97399999999</v>
      </c>
      <c r="I983" s="280">
        <f>(I982*33.717)-(2000*33.717)</f>
        <v>139284.927</v>
      </c>
      <c r="J983" s="376">
        <f>J982*33.717</f>
        <v>12812.46</v>
      </c>
      <c r="K983" s="261">
        <f>K982*33.717</f>
        <v>0</v>
      </c>
      <c r="L983" s="304">
        <f>L982*33.717</f>
        <v>282548.45999999996</v>
      </c>
      <c r="M983" s="280">
        <f>M982*33.717</f>
        <v>374595.87</v>
      </c>
      <c r="N983" s="280">
        <f>(N982*33.717)</f>
        <v>134699.41500000001</v>
      </c>
      <c r="O983" s="280">
        <f>O982*33.717</f>
        <v>250078.989</v>
      </c>
      <c r="P983" s="376">
        <f>P982*33.717</f>
        <v>28861.752</v>
      </c>
      <c r="Q983" s="261">
        <f>Q982*33.717</f>
        <v>0</v>
      </c>
      <c r="R983" s="324">
        <f>R982*33.717</f>
        <v>32604.339</v>
      </c>
      <c r="S983" s="325">
        <f>S982*33.717</f>
        <v>16791.065999999999</v>
      </c>
      <c r="T983" s="63"/>
      <c r="U983" s="70" t="s">
        <v>177</v>
      </c>
      <c r="V983" s="70"/>
      <c r="W983" s="70"/>
      <c r="X983" s="70"/>
      <c r="Y983" s="70"/>
      <c r="Z983" s="70"/>
      <c r="AA983" s="1061"/>
      <c r="AB983" s="293" t="s">
        <v>5</v>
      </c>
      <c r="AC983" s="300">
        <v>38973.199999999997</v>
      </c>
      <c r="AD983" s="631"/>
      <c r="AE983" s="631"/>
      <c r="AF983" s="631"/>
      <c r="AG983" s="631"/>
      <c r="AH983" s="631"/>
      <c r="AI983" s="631"/>
      <c r="AJ983" s="307">
        <v>95002.9</v>
      </c>
      <c r="AK983" s="264">
        <v>81481.3</v>
      </c>
      <c r="AN983" s="743"/>
      <c r="AO983" s="743"/>
    </row>
    <row r="984" spans="1:41" s="267" customFormat="1" ht="15.75" thickBot="1" x14ac:dyDescent="0.3">
      <c r="A984" s="1062"/>
      <c r="B984" s="294" t="s">
        <v>10</v>
      </c>
      <c r="C984" s="305">
        <f t="shared" ref="C984:J984" si="368">C983/C976</f>
        <v>1.2554034529074802</v>
      </c>
      <c r="D984" s="292">
        <f t="shared" si="368"/>
        <v>0.60101803930218622</v>
      </c>
      <c r="E984" s="310">
        <f t="shared" si="368"/>
        <v>0.60796234016628159</v>
      </c>
      <c r="F984" s="282">
        <f t="shared" si="368"/>
        <v>1.5276579277331923</v>
      </c>
      <c r="G984" s="282">
        <f t="shared" si="368"/>
        <v>1.5683415602665416</v>
      </c>
      <c r="H984" s="282">
        <f t="shared" si="368"/>
        <v>3.4760162110616655</v>
      </c>
      <c r="I984" s="282">
        <f t="shared" si="368"/>
        <v>0.81468133329745929</v>
      </c>
      <c r="J984" s="377">
        <f t="shared" si="368"/>
        <v>7.7147290518485595E-2</v>
      </c>
      <c r="K984" s="311">
        <f t="shared" ref="K984" si="369">K983/K976</f>
        <v>0</v>
      </c>
      <c r="L984" s="310">
        <f>L983/L976</f>
        <v>1.4637768809544778</v>
      </c>
      <c r="M984" s="282">
        <f>M983/M976</f>
        <v>2.8350081963366986</v>
      </c>
      <c r="N984" s="282">
        <f>N983/N976</f>
        <v>1.6282538322153899</v>
      </c>
      <c r="O984" s="260">
        <f>O983/O976</f>
        <v>0.90688832115464812</v>
      </c>
      <c r="P984" s="377">
        <f>P983/P976</f>
        <v>0.34756863642384905</v>
      </c>
      <c r="Q984" s="311">
        <f t="shared" ref="Q984" si="370">Q983/Q976</f>
        <v>0</v>
      </c>
      <c r="R984" s="305">
        <f>R983/R976</f>
        <v>0.59118309731464525</v>
      </c>
      <c r="S984" s="292">
        <f>S983/S976</f>
        <v>0.50742859733156043</v>
      </c>
      <c r="T984" s="126"/>
      <c r="U984" s="70"/>
      <c r="V984" s="70"/>
      <c r="W984" s="70"/>
      <c r="X984" s="70"/>
      <c r="Y984" s="70"/>
      <c r="Z984" s="70"/>
      <c r="AA984" s="1062"/>
      <c r="AB984" s="294" t="s">
        <v>3</v>
      </c>
      <c r="AC984" s="305">
        <f>AC983/AC982</f>
        <v>0.39999753678402516</v>
      </c>
      <c r="AD984" s="636"/>
      <c r="AE984" s="636"/>
      <c r="AF984" s="636"/>
      <c r="AG984" s="636"/>
      <c r="AH984" s="636"/>
      <c r="AI984" s="636"/>
      <c r="AJ984" s="278">
        <f>AJ983/AJ982</f>
        <v>0.39002046108043043</v>
      </c>
      <c r="AK984" s="343">
        <f>AK983/AK982</f>
        <v>0.27875981913059666</v>
      </c>
      <c r="AN984" s="743"/>
      <c r="AO984" s="743"/>
    </row>
    <row r="985" spans="1:41" s="267" customFormat="1" ht="15.75" thickBot="1" x14ac:dyDescent="0.3">
      <c r="A985" s="1048">
        <v>41414</v>
      </c>
      <c r="B985" s="1048"/>
      <c r="C985" s="1048"/>
      <c r="D985" s="276"/>
      <c r="E985" s="276"/>
      <c r="F985" s="276"/>
      <c r="G985" s="276"/>
      <c r="H985" s="276"/>
      <c r="I985" s="11"/>
      <c r="J985" s="281"/>
      <c r="K985" s="281"/>
      <c r="L985" s="276"/>
      <c r="M985" s="276"/>
      <c r="N985" s="13"/>
      <c r="R985" s="12"/>
      <c r="S985" s="70"/>
      <c r="T985" s="70"/>
      <c r="U985" s="70"/>
      <c r="V985" s="70"/>
      <c r="W985" s="70"/>
      <c r="X985" s="70"/>
      <c r="Y985" s="70"/>
      <c r="Z985" s="70"/>
      <c r="AA985" s="1063"/>
      <c r="AB985" s="1064"/>
      <c r="AD985" s="743"/>
      <c r="AE985" s="743"/>
      <c r="AF985" s="743"/>
      <c r="AG985" s="743"/>
      <c r="AH985" s="743"/>
      <c r="AI985" s="743"/>
      <c r="AN985" s="743"/>
      <c r="AO985" s="743"/>
    </row>
    <row r="986" spans="1:41" s="267" customFormat="1" x14ac:dyDescent="0.25">
      <c r="A986" s="1049" t="s">
        <v>1</v>
      </c>
      <c r="B986" s="1050"/>
      <c r="C986" s="297" t="s">
        <v>12</v>
      </c>
      <c r="D986" s="266" t="s">
        <v>12</v>
      </c>
      <c r="E986" s="297" t="s">
        <v>13</v>
      </c>
      <c r="F986" s="277" t="s">
        <v>13</v>
      </c>
      <c r="G986" s="277" t="s">
        <v>13</v>
      </c>
      <c r="H986" s="277" t="s">
        <v>13</v>
      </c>
      <c r="I986" s="277" t="s">
        <v>13</v>
      </c>
      <c r="J986" s="266" t="s">
        <v>13</v>
      </c>
      <c r="K986" s="297" t="s">
        <v>2</v>
      </c>
      <c r="L986" s="277" t="s">
        <v>2</v>
      </c>
      <c r="M986" s="286" t="s">
        <v>2</v>
      </c>
      <c r="N986" s="277" t="s">
        <v>2</v>
      </c>
      <c r="O986" s="266" t="s">
        <v>2</v>
      </c>
      <c r="P986" s="328" t="s">
        <v>183</v>
      </c>
      <c r="Q986" s="327" t="s">
        <v>183</v>
      </c>
      <c r="R986" s="12"/>
      <c r="S986" s="70"/>
      <c r="T986" s="70"/>
      <c r="U986" s="70"/>
      <c r="V986" s="70"/>
      <c r="W986" s="70"/>
      <c r="X986" s="70"/>
      <c r="Y986" s="70"/>
      <c r="Z986" s="70"/>
      <c r="AA986" s="1049" t="s">
        <v>1</v>
      </c>
      <c r="AB986" s="1050"/>
      <c r="AC986" s="297" t="s">
        <v>12</v>
      </c>
      <c r="AD986" s="937"/>
      <c r="AE986" s="937"/>
      <c r="AF986" s="937"/>
      <c r="AG986" s="937"/>
      <c r="AH986" s="937"/>
      <c r="AI986" s="937"/>
      <c r="AJ986" s="277" t="s">
        <v>13</v>
      </c>
      <c r="AK986" s="266" t="s">
        <v>2</v>
      </c>
      <c r="AN986" s="743"/>
      <c r="AO986" s="743"/>
    </row>
    <row r="987" spans="1:41" s="267" customFormat="1" ht="15.75" thickBot="1" x14ac:dyDescent="0.3">
      <c r="A987" s="1054" t="s">
        <v>0</v>
      </c>
      <c r="B987" s="1066"/>
      <c r="C987" s="298" t="s">
        <v>99</v>
      </c>
      <c r="D987" s="291" t="s">
        <v>100</v>
      </c>
      <c r="E987" s="298" t="s">
        <v>101</v>
      </c>
      <c r="F987" s="306" t="s">
        <v>102</v>
      </c>
      <c r="G987" s="306" t="s">
        <v>97</v>
      </c>
      <c r="H987" s="306" t="s">
        <v>104</v>
      </c>
      <c r="I987" s="306" t="s">
        <v>103</v>
      </c>
      <c r="J987" s="314" t="s">
        <v>178</v>
      </c>
      <c r="K987" s="298" t="s">
        <v>105</v>
      </c>
      <c r="L987" s="306" t="s">
        <v>107</v>
      </c>
      <c r="M987" s="312" t="s">
        <v>98</v>
      </c>
      <c r="N987" s="313" t="s">
        <v>106</v>
      </c>
      <c r="O987" s="291" t="s">
        <v>179</v>
      </c>
      <c r="P987" s="317" t="s">
        <v>182</v>
      </c>
      <c r="Q987" s="291" t="s">
        <v>184</v>
      </c>
      <c r="R987" s="12"/>
      <c r="S987" s="12"/>
      <c r="T987" s="12"/>
      <c r="U987" s="12"/>
      <c r="V987" s="12"/>
      <c r="W987" s="12"/>
      <c r="X987" s="12"/>
      <c r="Y987" s="12"/>
      <c r="Z987" s="12"/>
      <c r="AA987" s="1054" t="s">
        <v>0</v>
      </c>
      <c r="AB987" s="1066"/>
      <c r="AC987" s="298" t="s">
        <v>99</v>
      </c>
      <c r="AD987" s="938"/>
      <c r="AE987" s="938"/>
      <c r="AF987" s="938"/>
      <c r="AG987" s="938"/>
      <c r="AH987" s="938"/>
      <c r="AI987" s="938"/>
      <c r="AJ987" s="306" t="s">
        <v>104</v>
      </c>
      <c r="AK987" s="291" t="s">
        <v>107</v>
      </c>
      <c r="AN987" s="743"/>
      <c r="AO987" s="743"/>
    </row>
    <row r="988" spans="1:41" s="267" customFormat="1" ht="15" customHeight="1" x14ac:dyDescent="0.25">
      <c r="A988" s="1057" t="s">
        <v>9</v>
      </c>
      <c r="B988" s="19" t="s">
        <v>4</v>
      </c>
      <c r="C988" s="299">
        <v>143392.20000000001</v>
      </c>
      <c r="D988" s="265">
        <v>150515.79999999999</v>
      </c>
      <c r="E988" s="299">
        <v>150515.79999999999</v>
      </c>
      <c r="F988" s="283">
        <v>181997.8</v>
      </c>
      <c r="G988" s="283">
        <v>165452.5</v>
      </c>
      <c r="H988" s="283">
        <v>132132</v>
      </c>
      <c r="I988" s="368">
        <v>170968.6</v>
      </c>
      <c r="J988" s="265">
        <v>166077.9</v>
      </c>
      <c r="K988" s="299">
        <v>193027</v>
      </c>
      <c r="L988" s="283">
        <v>132132.20000000001</v>
      </c>
      <c r="M988" s="283">
        <v>82726.3</v>
      </c>
      <c r="N988" s="283">
        <v>275755</v>
      </c>
      <c r="O988" s="265">
        <v>83039</v>
      </c>
      <c r="P988" s="318">
        <v>55151</v>
      </c>
      <c r="Q988" s="265">
        <v>33090.5</v>
      </c>
      <c r="R988" s="70"/>
      <c r="S988" s="70"/>
      <c r="T988" s="70"/>
      <c r="U988" s="70"/>
      <c r="V988" s="70"/>
      <c r="W988" s="70"/>
      <c r="X988" s="70"/>
      <c r="Y988" s="70"/>
      <c r="Z988" s="70"/>
      <c r="AA988" s="1060" t="s">
        <v>194</v>
      </c>
      <c r="AB988" s="2" t="s">
        <v>4</v>
      </c>
      <c r="AC988" s="299">
        <v>143392.20000000001</v>
      </c>
      <c r="AD988" s="552"/>
      <c r="AE988" s="552"/>
      <c r="AF988" s="552"/>
      <c r="AG988" s="552"/>
      <c r="AH988" s="552"/>
      <c r="AI988" s="552"/>
      <c r="AJ988" s="283">
        <v>132132</v>
      </c>
      <c r="AK988" s="265">
        <v>132132.20000000001</v>
      </c>
      <c r="AN988" s="743"/>
      <c r="AO988" s="743"/>
    </row>
    <row r="989" spans="1:41" s="267" customFormat="1" x14ac:dyDescent="0.25">
      <c r="A989" s="1058"/>
      <c r="B989" s="293" t="s">
        <v>5</v>
      </c>
      <c r="C989" s="300">
        <v>40480.199999999997</v>
      </c>
      <c r="D989" s="264">
        <v>78195.600000000006</v>
      </c>
      <c r="E989" s="300">
        <v>79699.600000000006</v>
      </c>
      <c r="F989" s="307">
        <v>159448.1</v>
      </c>
      <c r="G989" s="307">
        <v>100240</v>
      </c>
      <c r="H989" s="307">
        <v>55881.2</v>
      </c>
      <c r="I989" s="307">
        <v>85757.7</v>
      </c>
      <c r="J989" s="264">
        <v>14302.9</v>
      </c>
      <c r="K989" s="300">
        <v>159820</v>
      </c>
      <c r="L989" s="307">
        <v>63928.2</v>
      </c>
      <c r="M989" s="307">
        <v>51501.3</v>
      </c>
      <c r="N989" s="307">
        <v>156601.79999999999</v>
      </c>
      <c r="O989" s="264">
        <v>7253.4</v>
      </c>
      <c r="P989" s="319">
        <v>7383.1</v>
      </c>
      <c r="Q989" s="264">
        <v>4454.3</v>
      </c>
      <c r="R989" s="70"/>
      <c r="S989" s="70"/>
      <c r="T989" s="70"/>
      <c r="U989" s="70"/>
      <c r="V989" s="70"/>
      <c r="W989" s="70"/>
      <c r="X989" s="70"/>
      <c r="Y989" s="70"/>
      <c r="Z989" s="70"/>
      <c r="AA989" s="1061"/>
      <c r="AB989" s="342" t="s">
        <v>5</v>
      </c>
      <c r="AC989" s="300">
        <v>43218.8</v>
      </c>
      <c r="AD989" s="631"/>
      <c r="AE989" s="631"/>
      <c r="AF989" s="631"/>
      <c r="AG989" s="631"/>
      <c r="AH989" s="631"/>
      <c r="AI989" s="631"/>
      <c r="AJ989" s="307">
        <v>50784</v>
      </c>
      <c r="AK989" s="264">
        <v>65202.6</v>
      </c>
      <c r="AN989" s="743"/>
      <c r="AO989" s="743"/>
    </row>
    <row r="990" spans="1:41" s="267" customFormat="1" ht="15.75" thickBot="1" x14ac:dyDescent="0.3">
      <c r="A990" s="1059"/>
      <c r="B990" s="294" t="s">
        <v>3</v>
      </c>
      <c r="C990" s="305">
        <f t="shared" ref="C990" si="371">C989/C988</f>
        <v>0.28230405837974448</v>
      </c>
      <c r="D990" s="343">
        <f t="shared" ref="D990" si="372">D989/D988</f>
        <v>0.51951755231012298</v>
      </c>
      <c r="E990" s="305">
        <f t="shared" ref="E990" si="373">E989/E988</f>
        <v>0.52950985876565793</v>
      </c>
      <c r="F990" s="371">
        <f t="shared" ref="F990" si="374">F989/F988</f>
        <v>0.87609905174677949</v>
      </c>
      <c r="G990" s="278">
        <f t="shared" ref="G990" si="375">G989/G988</f>
        <v>0.60585364379504691</v>
      </c>
      <c r="H990" s="278">
        <f t="shared" ref="H990" si="376">H989/H988</f>
        <v>0.42291950473768652</v>
      </c>
      <c r="I990" s="278">
        <f t="shared" ref="I990" si="377">I989/I988</f>
        <v>0.50159912404967921</v>
      </c>
      <c r="J990" s="292">
        <f t="shared" ref="J990" si="378">J989/J988</f>
        <v>8.6121633281731044E-2</v>
      </c>
      <c r="K990" s="372">
        <f t="shared" ref="K990" si="379">K989/K988</f>
        <v>0.82796707196402575</v>
      </c>
      <c r="L990" s="278">
        <f t="shared" ref="L990" si="380">L989/L988</f>
        <v>0.48381999240154927</v>
      </c>
      <c r="M990" s="315">
        <f t="shared" ref="M990" si="381">M989/M988</f>
        <v>0.62255050691255387</v>
      </c>
      <c r="N990" s="278">
        <f t="shared" ref="N990" si="382">N989/N988</f>
        <v>0.5679019419412159</v>
      </c>
      <c r="O990" s="292">
        <f t="shared" ref="O990" si="383">O989/O988</f>
        <v>8.734931779043581E-2</v>
      </c>
      <c r="P990" s="320">
        <f t="shared" ref="P990" si="384">P989/P988</f>
        <v>0.13387064604449603</v>
      </c>
      <c r="Q990" s="292">
        <f t="shared" ref="Q990" si="385">Q989/Q988</f>
        <v>0.13460963116302263</v>
      </c>
      <c r="R990" s="70"/>
      <c r="S990" s="70"/>
      <c r="T990" s="70"/>
      <c r="U990" s="70"/>
      <c r="V990" s="70"/>
      <c r="W990" s="70"/>
      <c r="X990" s="70"/>
      <c r="Y990" s="70"/>
      <c r="Z990" s="70"/>
      <c r="AA990" s="1062"/>
      <c r="AB990" s="347" t="s">
        <v>3</v>
      </c>
      <c r="AC990" s="301">
        <f>AC989/AC988</f>
        <v>0.30140272622918124</v>
      </c>
      <c r="AD990" s="939"/>
      <c r="AE990" s="939"/>
      <c r="AF990" s="939"/>
      <c r="AG990" s="939"/>
      <c r="AH990" s="939"/>
      <c r="AI990" s="939"/>
      <c r="AJ990" s="278">
        <f>AJ989/AJ988</f>
        <v>0.38434292979747525</v>
      </c>
      <c r="AK990" s="292">
        <f>AK989/AK988</f>
        <v>0.49346487835667607</v>
      </c>
      <c r="AN990" s="743"/>
      <c r="AO990" s="743"/>
    </row>
    <row r="991" spans="1:41" s="267" customFormat="1" ht="15" customHeight="1" x14ac:dyDescent="0.25">
      <c r="A991" s="1060" t="s">
        <v>6</v>
      </c>
      <c r="B991" s="19" t="s">
        <v>7</v>
      </c>
      <c r="C991" s="297">
        <v>5870</v>
      </c>
      <c r="D991" s="266">
        <v>3333</v>
      </c>
      <c r="E991" s="297">
        <v>3330</v>
      </c>
      <c r="F991" s="277">
        <v>9457</v>
      </c>
      <c r="G991" s="357">
        <v>8428</v>
      </c>
      <c r="H991" s="277">
        <v>15703</v>
      </c>
      <c r="I991" s="277">
        <v>7403</v>
      </c>
      <c r="J991" s="266">
        <v>9599</v>
      </c>
      <c r="K991" s="297">
        <v>9289</v>
      </c>
      <c r="L991" s="277">
        <v>12295</v>
      </c>
      <c r="M991" s="357">
        <v>4354</v>
      </c>
      <c r="N991" s="277">
        <v>10027</v>
      </c>
      <c r="O991" s="266">
        <v>4799</v>
      </c>
      <c r="P991" s="321">
        <v>2000</v>
      </c>
      <c r="Q991" s="266">
        <v>1250</v>
      </c>
      <c r="R991" s="358" t="s">
        <v>197</v>
      </c>
      <c r="S991" s="126"/>
      <c r="T991" s="70"/>
      <c r="U991" s="70"/>
      <c r="V991" s="70"/>
      <c r="W991" s="70"/>
      <c r="X991" s="70"/>
      <c r="Y991" s="70"/>
      <c r="Z991" s="70"/>
      <c r="AA991" s="1060" t="s">
        <v>190</v>
      </c>
      <c r="AB991" s="19" t="s">
        <v>4</v>
      </c>
      <c r="AC991" s="299">
        <v>9191.7999999999993</v>
      </c>
      <c r="AD991" s="552"/>
      <c r="AE991" s="552"/>
      <c r="AF991" s="552"/>
      <c r="AG991" s="552"/>
      <c r="AH991" s="552"/>
      <c r="AI991" s="552"/>
      <c r="AJ991" s="283">
        <v>13787.7</v>
      </c>
      <c r="AK991" s="265">
        <v>13787.7</v>
      </c>
      <c r="AN991" s="743"/>
      <c r="AO991" s="743"/>
    </row>
    <row r="992" spans="1:41" s="267" customFormat="1" x14ac:dyDescent="0.25">
      <c r="A992" s="1061"/>
      <c r="B992" s="295" t="s">
        <v>11</v>
      </c>
      <c r="C992" s="302">
        <f t="shared" ref="C992:Q992" si="386">C991*33.717</f>
        <v>197918.78999999998</v>
      </c>
      <c r="D992" s="263">
        <f t="shared" si="386"/>
        <v>112378.761</v>
      </c>
      <c r="E992" s="302">
        <f t="shared" si="386"/>
        <v>112277.61</v>
      </c>
      <c r="F992" s="355">
        <f t="shared" si="386"/>
        <v>318861.66899999999</v>
      </c>
      <c r="G992" s="308">
        <f t="shared" si="386"/>
        <v>284166.87599999999</v>
      </c>
      <c r="H992" s="354">
        <f t="shared" si="386"/>
        <v>529458.05099999998</v>
      </c>
      <c r="I992" s="354">
        <f t="shared" si="386"/>
        <v>249606.951</v>
      </c>
      <c r="J992" s="354">
        <f t="shared" si="386"/>
        <v>323649.48300000001</v>
      </c>
      <c r="K992" s="322">
        <f t="shared" si="386"/>
        <v>313197.21299999999</v>
      </c>
      <c r="L992" s="308">
        <f t="shared" si="386"/>
        <v>414550.51499999996</v>
      </c>
      <c r="M992" s="308">
        <f t="shared" si="386"/>
        <v>146803.818</v>
      </c>
      <c r="N992" s="354">
        <f t="shared" si="386"/>
        <v>338080.359</v>
      </c>
      <c r="O992" s="354">
        <f t="shared" si="386"/>
        <v>161807.883</v>
      </c>
      <c r="P992" s="302">
        <f t="shared" si="386"/>
        <v>67434</v>
      </c>
      <c r="Q992" s="354">
        <f t="shared" si="386"/>
        <v>42146.25</v>
      </c>
      <c r="R992" s="70"/>
      <c r="S992" s="70"/>
      <c r="T992" s="70"/>
      <c r="U992" s="70"/>
      <c r="V992" s="70"/>
      <c r="W992" s="70"/>
      <c r="X992" s="70"/>
      <c r="Y992" s="70"/>
      <c r="Z992" s="70"/>
      <c r="AA992" s="1061"/>
      <c r="AB992" s="293" t="s">
        <v>5</v>
      </c>
      <c r="AC992" s="300">
        <v>8148.7</v>
      </c>
      <c r="AD992" s="631"/>
      <c r="AE992" s="631"/>
      <c r="AF992" s="631"/>
      <c r="AG992" s="631"/>
      <c r="AH992" s="631"/>
      <c r="AI992" s="631"/>
      <c r="AJ992" s="307">
        <v>13638.2</v>
      </c>
      <c r="AK992" s="264">
        <v>13648.9</v>
      </c>
      <c r="AN992" s="743"/>
      <c r="AO992" s="743"/>
    </row>
    <row r="993" spans="1:41" s="267" customFormat="1" ht="15.75" thickBot="1" x14ac:dyDescent="0.3">
      <c r="A993" s="1061"/>
      <c r="B993" s="295" t="s">
        <v>79</v>
      </c>
      <c r="C993" s="302">
        <v>164000</v>
      </c>
      <c r="D993" s="263">
        <v>109880</v>
      </c>
      <c r="E993" s="302">
        <v>109880</v>
      </c>
      <c r="F993" s="308">
        <v>328000</v>
      </c>
      <c r="G993" s="308">
        <v>330905</v>
      </c>
      <c r="H993" s="308">
        <v>264264</v>
      </c>
      <c r="I993" s="308">
        <v>242663.6</v>
      </c>
      <c r="J993" s="263">
        <v>328000</v>
      </c>
      <c r="K993" s="302">
        <v>328000</v>
      </c>
      <c r="L993" s="308">
        <v>264264.40000000002</v>
      </c>
      <c r="M993" s="308">
        <v>328000</v>
      </c>
      <c r="N993" s="308">
        <v>352965.4</v>
      </c>
      <c r="O993" s="263">
        <v>328000</v>
      </c>
      <c r="P993" s="322">
        <f>2*P988</f>
        <v>110302</v>
      </c>
      <c r="Q993" s="263">
        <f>2*Q988</f>
        <v>66181</v>
      </c>
      <c r="R993" s="70"/>
      <c r="S993" s="70"/>
      <c r="T993" s="70"/>
      <c r="U993" s="70"/>
      <c r="V993" s="70"/>
      <c r="W993" s="70"/>
      <c r="X993" s="70"/>
      <c r="Y993" s="70"/>
      <c r="Z993" s="70"/>
      <c r="AA993" s="1062"/>
      <c r="AB993" s="344" t="s">
        <v>3</v>
      </c>
      <c r="AC993" s="301">
        <f>AC992/AC991</f>
        <v>0.88651841859048286</v>
      </c>
      <c r="AD993" s="939"/>
      <c r="AE993" s="939"/>
      <c r="AF993" s="939"/>
      <c r="AG993" s="939"/>
      <c r="AH993" s="939"/>
      <c r="AI993" s="939"/>
      <c r="AJ993" s="249">
        <f>AJ992/AJ991</f>
        <v>0.98915700225563363</v>
      </c>
      <c r="AK993" s="348">
        <f>AK992/AK991</f>
        <v>0.98993305627479555</v>
      </c>
      <c r="AN993" s="743"/>
      <c r="AO993" s="743"/>
    </row>
    <row r="994" spans="1:41" s="267" customFormat="1" ht="15" customHeight="1" x14ac:dyDescent="0.25">
      <c r="A994" s="1061"/>
      <c r="B994" s="293" t="s">
        <v>8</v>
      </c>
      <c r="C994" s="303">
        <f>SUM(C991-533)</f>
        <v>5337</v>
      </c>
      <c r="D994" s="262">
        <f>SUM(D991-680)</f>
        <v>2653</v>
      </c>
      <c r="E994" s="303">
        <f>SUM(E991-646)</f>
        <v>2684</v>
      </c>
      <c r="F994" s="309">
        <f>SUM(F991-1211)</f>
        <v>8246</v>
      </c>
      <c r="G994" s="309">
        <f>SUM(G991-4603)</f>
        <v>3825</v>
      </c>
      <c r="H994" s="309">
        <f>SUM(H991-2081)</f>
        <v>13622</v>
      </c>
      <c r="I994" s="309">
        <f>SUM(I991-(3272-2000))</f>
        <v>6131</v>
      </c>
      <c r="J994" s="262">
        <f>SUM(J991-9219)</f>
        <v>380</v>
      </c>
      <c r="K994" s="303">
        <f>SUM(K991-909)</f>
        <v>8380</v>
      </c>
      <c r="L994" s="309">
        <f>SUM(L991-1248)</f>
        <v>11047</v>
      </c>
      <c r="M994" s="316">
        <f>SUM(M991-382)</f>
        <v>3972</v>
      </c>
      <c r="N994" s="309">
        <f>SUM(N991-(5224-2614))</f>
        <v>7417</v>
      </c>
      <c r="O994" s="262">
        <f>SUM(O991-3944)</f>
        <v>855</v>
      </c>
      <c r="P994" s="323">
        <f>SUM(P991-1033)</f>
        <v>967</v>
      </c>
      <c r="Q994" s="262">
        <f>SUM(Q991-752)</f>
        <v>498</v>
      </c>
      <c r="R994" s="12" t="s">
        <v>176</v>
      </c>
      <c r="S994" s="70"/>
      <c r="T994" s="70"/>
      <c r="U994" s="70"/>
      <c r="V994" s="70"/>
      <c r="W994" s="70"/>
      <c r="X994" s="70"/>
      <c r="Y994" s="70"/>
      <c r="Z994" s="70"/>
      <c r="AA994" s="1060" t="s">
        <v>191</v>
      </c>
      <c r="AB994" s="19" t="s">
        <v>4</v>
      </c>
      <c r="AC994" s="299">
        <v>97433.600000000006</v>
      </c>
      <c r="AD994" s="552"/>
      <c r="AE994" s="552"/>
      <c r="AF994" s="552"/>
      <c r="AG994" s="552"/>
      <c r="AH994" s="552"/>
      <c r="AI994" s="552"/>
      <c r="AJ994" s="283">
        <v>243584.4</v>
      </c>
      <c r="AK994" s="265">
        <v>292299.3</v>
      </c>
      <c r="AN994" s="743"/>
      <c r="AO994" s="743"/>
    </row>
    <row r="995" spans="1:41" s="267" customFormat="1" x14ac:dyDescent="0.25">
      <c r="A995" s="1061"/>
      <c r="B995" s="296" t="s">
        <v>77</v>
      </c>
      <c r="C995" s="302">
        <f>(C994*33.717)</f>
        <v>179947.62899999999</v>
      </c>
      <c r="D995" s="338">
        <f>(D994*33.717)</f>
        <v>89451.201000000001</v>
      </c>
      <c r="E995" s="302">
        <f>(E994*33.717)</f>
        <v>90496.428</v>
      </c>
      <c r="F995" s="338">
        <f>(F994*33.717)</f>
        <v>278030.38199999998</v>
      </c>
      <c r="G995" s="280">
        <f>(G994*33.717)*2</f>
        <v>257935.05</v>
      </c>
      <c r="H995" s="280">
        <f>(H994*33.717)</f>
        <v>459292.97399999999</v>
      </c>
      <c r="I995" s="280">
        <f>(I994*33.717)-(2000*33.717)</f>
        <v>139284.927</v>
      </c>
      <c r="J995" s="261">
        <f>J994*33.717</f>
        <v>12812.46</v>
      </c>
      <c r="K995" s="304">
        <f>K994*33.717</f>
        <v>282548.45999999996</v>
      </c>
      <c r="L995" s="280">
        <f>L994*33.717</f>
        <v>372471.69899999996</v>
      </c>
      <c r="M995" s="280">
        <f>(M994*33.717)</f>
        <v>133923.924</v>
      </c>
      <c r="N995" s="280">
        <f>N994*33.717</f>
        <v>250078.989</v>
      </c>
      <c r="O995" s="261">
        <f>O994*33.717</f>
        <v>28828.035</v>
      </c>
      <c r="P995" s="324">
        <f>P994*33.717</f>
        <v>32604.339</v>
      </c>
      <c r="Q995" s="325">
        <f>Q994*33.717</f>
        <v>16791.065999999999</v>
      </c>
      <c r="R995" s="63">
        <f>344240-H995</f>
        <v>-115052.97399999999</v>
      </c>
      <c r="S995" s="70" t="s">
        <v>177</v>
      </c>
      <c r="T995" s="70"/>
      <c r="U995" s="70"/>
      <c r="V995" s="70"/>
      <c r="W995" s="70"/>
      <c r="X995" s="70"/>
      <c r="Y995" s="70"/>
      <c r="Z995" s="70"/>
      <c r="AA995" s="1061"/>
      <c r="AB995" s="293" t="s">
        <v>5</v>
      </c>
      <c r="AC995" s="300">
        <v>70245.5</v>
      </c>
      <c r="AD995" s="631"/>
      <c r="AE995" s="631"/>
      <c r="AF995" s="631"/>
      <c r="AG995" s="631"/>
      <c r="AH995" s="631"/>
      <c r="AI995" s="631"/>
      <c r="AJ995" s="307">
        <v>90695.9</v>
      </c>
      <c r="AK995" s="264">
        <v>76505.7</v>
      </c>
      <c r="AN995" s="743"/>
      <c r="AO995" s="743"/>
    </row>
    <row r="996" spans="1:41" s="267" customFormat="1" ht="15.75" thickBot="1" x14ac:dyDescent="0.3">
      <c r="A996" s="1062"/>
      <c r="B996" s="294" t="s">
        <v>10</v>
      </c>
      <c r="C996" s="305">
        <f t="shared" ref="C996:Q996" si="387">C995/C988</f>
        <v>1.2549331762815548</v>
      </c>
      <c r="D996" s="292">
        <f t="shared" si="387"/>
        <v>0.59429774814338432</v>
      </c>
      <c r="E996" s="310">
        <f t="shared" si="387"/>
        <v>0.60124204900747968</v>
      </c>
      <c r="F996" s="282">
        <f t="shared" si="387"/>
        <v>1.5276579277331923</v>
      </c>
      <c r="G996" s="282">
        <f t="shared" si="387"/>
        <v>1.5589673773439505</v>
      </c>
      <c r="H996" s="282">
        <f t="shared" si="387"/>
        <v>3.4760162110616655</v>
      </c>
      <c r="I996" s="282">
        <f t="shared" si="387"/>
        <v>0.81468133329745929</v>
      </c>
      <c r="J996" s="311">
        <f t="shared" si="387"/>
        <v>7.7147290518485595E-2</v>
      </c>
      <c r="K996" s="310">
        <f t="shared" si="387"/>
        <v>1.4637768809544778</v>
      </c>
      <c r="L996" s="282">
        <f t="shared" si="387"/>
        <v>2.8189320922530614</v>
      </c>
      <c r="M996" s="282">
        <f t="shared" si="387"/>
        <v>1.6188796549585802</v>
      </c>
      <c r="N996" s="260">
        <f t="shared" si="387"/>
        <v>0.90688832115464812</v>
      </c>
      <c r="O996" s="311">
        <f t="shared" si="387"/>
        <v>0.34716259829718565</v>
      </c>
      <c r="P996" s="305">
        <f t="shared" si="387"/>
        <v>0.59118309731464525</v>
      </c>
      <c r="Q996" s="292">
        <f t="shared" si="387"/>
        <v>0.50742859733156043</v>
      </c>
      <c r="R996" s="126"/>
      <c r="S996" s="70"/>
      <c r="T996" s="70"/>
      <c r="U996" s="70"/>
      <c r="V996" s="70"/>
      <c r="W996" s="70"/>
      <c r="X996" s="70"/>
      <c r="Y996" s="70"/>
      <c r="Z996" s="70"/>
      <c r="AA996" s="1062"/>
      <c r="AB996" s="294" t="s">
        <v>3</v>
      </c>
      <c r="AC996" s="305">
        <f>AC995/AC994</f>
        <v>0.72095765731739359</v>
      </c>
      <c r="AD996" s="636"/>
      <c r="AE996" s="636"/>
      <c r="AF996" s="636"/>
      <c r="AG996" s="636"/>
      <c r="AH996" s="636"/>
      <c r="AI996" s="636"/>
      <c r="AJ996" s="278">
        <f>AJ995/AJ994</f>
        <v>0.37233870477748165</v>
      </c>
      <c r="AK996" s="343">
        <f>AK995/AK994</f>
        <v>0.26173754093834639</v>
      </c>
      <c r="AN996" s="743"/>
      <c r="AO996" s="743"/>
    </row>
    <row r="997" spans="1:41" s="267" customFormat="1" ht="15.75" thickBot="1" x14ac:dyDescent="0.3">
      <c r="A997" s="1048">
        <v>41408</v>
      </c>
      <c r="B997" s="1048"/>
      <c r="C997" s="1048"/>
      <c r="D997" s="276"/>
      <c r="E997" s="276"/>
      <c r="F997" s="276"/>
      <c r="G997" s="276"/>
      <c r="H997" s="276"/>
      <c r="I997" s="11"/>
      <c r="J997" s="281"/>
      <c r="K997" s="281"/>
      <c r="L997" s="276"/>
      <c r="M997" s="276"/>
      <c r="N997" s="13"/>
      <c r="R997" s="12"/>
      <c r="S997" s="70"/>
      <c r="T997" s="70"/>
      <c r="U997" s="70"/>
      <c r="V997" s="70"/>
      <c r="W997" s="70"/>
      <c r="X997" s="70"/>
      <c r="Y997" s="70"/>
      <c r="Z997" s="70"/>
      <c r="AA997" s="1063"/>
      <c r="AB997" s="1064"/>
      <c r="AD997" s="743"/>
      <c r="AE997" s="743"/>
      <c r="AF997" s="743"/>
      <c r="AG997" s="743"/>
      <c r="AH997" s="743"/>
      <c r="AI997" s="743"/>
      <c r="AN997" s="743"/>
      <c r="AO997" s="743"/>
    </row>
    <row r="998" spans="1:41" s="267" customFormat="1" x14ac:dyDescent="0.25">
      <c r="A998" s="1049" t="s">
        <v>1</v>
      </c>
      <c r="B998" s="1050"/>
      <c r="C998" s="297" t="s">
        <v>12</v>
      </c>
      <c r="D998" s="266" t="s">
        <v>12</v>
      </c>
      <c r="E998" s="297" t="s">
        <v>13</v>
      </c>
      <c r="F998" s="277" t="s">
        <v>13</v>
      </c>
      <c r="G998" s="277" t="s">
        <v>13</v>
      </c>
      <c r="H998" s="277" t="s">
        <v>13</v>
      </c>
      <c r="I998" s="277" t="s">
        <v>13</v>
      </c>
      <c r="J998" s="266" t="s">
        <v>13</v>
      </c>
      <c r="K998" s="297" t="s">
        <v>2</v>
      </c>
      <c r="L998" s="277" t="s">
        <v>2</v>
      </c>
      <c r="M998" s="286" t="s">
        <v>2</v>
      </c>
      <c r="N998" s="277" t="s">
        <v>2</v>
      </c>
      <c r="O998" s="266" t="s">
        <v>2</v>
      </c>
      <c r="P998" s="328" t="s">
        <v>183</v>
      </c>
      <c r="Q998" s="327" t="s">
        <v>183</v>
      </c>
      <c r="R998" s="12"/>
      <c r="S998" s="70"/>
      <c r="T998" s="70"/>
      <c r="U998" s="70"/>
      <c r="V998" s="70"/>
      <c r="W998" s="70"/>
      <c r="X998" s="70"/>
      <c r="Y998" s="70"/>
      <c r="Z998" s="70"/>
      <c r="AA998" s="1049" t="s">
        <v>1</v>
      </c>
      <c r="AB998" s="1050"/>
      <c r="AC998" s="297" t="s">
        <v>12</v>
      </c>
      <c r="AD998" s="937"/>
      <c r="AE998" s="937"/>
      <c r="AF998" s="937"/>
      <c r="AG998" s="937"/>
      <c r="AH998" s="937"/>
      <c r="AI998" s="937"/>
      <c r="AJ998" s="277" t="s">
        <v>13</v>
      </c>
      <c r="AK998" s="266" t="s">
        <v>2</v>
      </c>
      <c r="AN998" s="743"/>
      <c r="AO998" s="743"/>
    </row>
    <row r="999" spans="1:41" s="267" customFormat="1" ht="15.75" thickBot="1" x14ac:dyDescent="0.3">
      <c r="A999" s="1054" t="s">
        <v>0</v>
      </c>
      <c r="B999" s="1066"/>
      <c r="C999" s="298" t="s">
        <v>99</v>
      </c>
      <c r="D999" s="291" t="s">
        <v>100</v>
      </c>
      <c r="E999" s="298" t="s">
        <v>101</v>
      </c>
      <c r="F999" s="306" t="s">
        <v>102</v>
      </c>
      <c r="G999" s="306" t="s">
        <v>97</v>
      </c>
      <c r="H999" s="306" t="s">
        <v>104</v>
      </c>
      <c r="I999" s="306" t="s">
        <v>103</v>
      </c>
      <c r="J999" s="314" t="s">
        <v>178</v>
      </c>
      <c r="K999" s="298" t="s">
        <v>105</v>
      </c>
      <c r="L999" s="306" t="s">
        <v>107</v>
      </c>
      <c r="M999" s="312" t="s">
        <v>98</v>
      </c>
      <c r="N999" s="313" t="s">
        <v>106</v>
      </c>
      <c r="O999" s="291" t="s">
        <v>179</v>
      </c>
      <c r="P999" s="317" t="s">
        <v>182</v>
      </c>
      <c r="Q999" s="291" t="s">
        <v>184</v>
      </c>
      <c r="R999" s="12"/>
      <c r="S999" s="12"/>
      <c r="T999" s="12"/>
      <c r="U999" s="12"/>
      <c r="V999" s="12"/>
      <c r="W999" s="12"/>
      <c r="X999" s="12"/>
      <c r="Y999" s="12"/>
      <c r="Z999" s="12"/>
      <c r="AA999" s="1054" t="s">
        <v>0</v>
      </c>
      <c r="AB999" s="1066"/>
      <c r="AC999" s="298" t="s">
        <v>99</v>
      </c>
      <c r="AD999" s="938"/>
      <c r="AE999" s="938"/>
      <c r="AF999" s="938"/>
      <c r="AG999" s="938"/>
      <c r="AH999" s="938"/>
      <c r="AI999" s="938"/>
      <c r="AJ999" s="306" t="s">
        <v>104</v>
      </c>
      <c r="AK999" s="291" t="s">
        <v>107</v>
      </c>
      <c r="AN999" s="743"/>
      <c r="AO999" s="743"/>
    </row>
    <row r="1000" spans="1:41" s="267" customFormat="1" ht="15" customHeight="1" x14ac:dyDescent="0.25">
      <c r="A1000" s="1057" t="s">
        <v>9</v>
      </c>
      <c r="B1000" s="19" t="s">
        <v>4</v>
      </c>
      <c r="C1000" s="299">
        <v>143392.20000000001</v>
      </c>
      <c r="D1000" s="265">
        <v>150515.79999999999</v>
      </c>
      <c r="E1000" s="299">
        <v>150515.79999999999</v>
      </c>
      <c r="F1000" s="283">
        <v>181997.8</v>
      </c>
      <c r="G1000" s="283">
        <v>165452.5</v>
      </c>
      <c r="H1000" s="283">
        <v>132132</v>
      </c>
      <c r="I1000" s="368">
        <v>170968.6</v>
      </c>
      <c r="J1000" s="265">
        <v>166077.9</v>
      </c>
      <c r="K1000" s="299">
        <v>193027</v>
      </c>
      <c r="L1000" s="283">
        <v>132132.20000000001</v>
      </c>
      <c r="M1000" s="283">
        <v>82726.3</v>
      </c>
      <c r="N1000" s="283">
        <v>275755</v>
      </c>
      <c r="O1000" s="265">
        <v>83039</v>
      </c>
      <c r="P1000" s="318">
        <v>55151</v>
      </c>
      <c r="Q1000" s="265">
        <v>33090.5</v>
      </c>
      <c r="R1000" s="70"/>
      <c r="S1000" s="70"/>
      <c r="T1000" s="70"/>
      <c r="U1000" s="70"/>
      <c r="V1000" s="70"/>
      <c r="W1000" s="70"/>
      <c r="X1000" s="70"/>
      <c r="Y1000" s="70"/>
      <c r="Z1000" s="70"/>
      <c r="AA1000" s="1060" t="s">
        <v>194</v>
      </c>
      <c r="AB1000" s="2" t="s">
        <v>4</v>
      </c>
      <c r="AC1000" s="299">
        <v>143392.20000000001</v>
      </c>
      <c r="AD1000" s="552"/>
      <c r="AE1000" s="552"/>
      <c r="AF1000" s="552"/>
      <c r="AG1000" s="552"/>
      <c r="AH1000" s="552"/>
      <c r="AI1000" s="552"/>
      <c r="AJ1000" s="283">
        <v>132132</v>
      </c>
      <c r="AK1000" s="265">
        <v>132132.20000000001</v>
      </c>
      <c r="AN1000" s="743"/>
      <c r="AO1000" s="743"/>
    </row>
    <row r="1001" spans="1:41" s="267" customFormat="1" x14ac:dyDescent="0.25">
      <c r="A1001" s="1058"/>
      <c r="B1001" s="293" t="s">
        <v>5</v>
      </c>
      <c r="C1001" s="300">
        <v>39928.699999999997</v>
      </c>
      <c r="D1001" s="264">
        <v>78104.2</v>
      </c>
      <c r="E1001" s="300">
        <v>79624.899999999994</v>
      </c>
      <c r="F1001" s="307">
        <v>159191.29999999999</v>
      </c>
      <c r="G1001" s="307">
        <v>99448.8</v>
      </c>
      <c r="H1001" s="307">
        <v>55753.4</v>
      </c>
      <c r="I1001" s="307">
        <v>85361.2</v>
      </c>
      <c r="J1001" s="264">
        <v>14178.6</v>
      </c>
      <c r="K1001" s="300">
        <v>159241.29999999999</v>
      </c>
      <c r="L1001" s="307">
        <v>64008.2</v>
      </c>
      <c r="M1001" s="307">
        <v>51122.2</v>
      </c>
      <c r="N1001" s="307">
        <v>155906.6</v>
      </c>
      <c r="O1001" s="264">
        <v>7191.3</v>
      </c>
      <c r="P1001" s="319">
        <v>7051.7</v>
      </c>
      <c r="Q1001" s="264">
        <v>3991</v>
      </c>
      <c r="R1001" s="70"/>
      <c r="S1001" s="70"/>
      <c r="T1001" s="70"/>
      <c r="U1001" s="70"/>
      <c r="V1001" s="70"/>
      <c r="W1001" s="70"/>
      <c r="X1001" s="70"/>
      <c r="Y1001" s="70"/>
      <c r="Z1001" s="70"/>
      <c r="AA1001" s="1061"/>
      <c r="AB1001" s="342" t="s">
        <v>5</v>
      </c>
      <c r="AC1001" s="300">
        <v>43218.8</v>
      </c>
      <c r="AD1001" s="631"/>
      <c r="AE1001" s="631"/>
      <c r="AF1001" s="631"/>
      <c r="AG1001" s="631"/>
      <c r="AH1001" s="631"/>
      <c r="AI1001" s="631"/>
      <c r="AJ1001" s="307">
        <v>50784</v>
      </c>
      <c r="AK1001" s="264">
        <v>65202.6</v>
      </c>
      <c r="AN1001" s="743"/>
      <c r="AO1001" s="743"/>
    </row>
    <row r="1002" spans="1:41" s="267" customFormat="1" ht="15.75" thickBot="1" x14ac:dyDescent="0.3">
      <c r="A1002" s="1059"/>
      <c r="B1002" s="294" t="s">
        <v>3</v>
      </c>
      <c r="C1002" s="305">
        <f t="shared" ref="C1002:Q1002" si="388">C1001/C1000</f>
        <v>0.27845796354334473</v>
      </c>
      <c r="D1002" s="343">
        <f t="shared" si="388"/>
        <v>0.5189103070906842</v>
      </c>
      <c r="E1002" s="305">
        <f t="shared" si="388"/>
        <v>0.52901356535327193</v>
      </c>
      <c r="F1002" s="278">
        <f t="shared" si="388"/>
        <v>0.87468804567967307</v>
      </c>
      <c r="G1002" s="278">
        <f t="shared" si="388"/>
        <v>0.6010716066544779</v>
      </c>
      <c r="H1002" s="278">
        <f t="shared" si="388"/>
        <v>0.42195229013410834</v>
      </c>
      <c r="I1002" s="278">
        <f t="shared" si="388"/>
        <v>0.49927998474573693</v>
      </c>
      <c r="J1002" s="292">
        <f t="shared" si="388"/>
        <v>8.5373189328622298E-2</v>
      </c>
      <c r="K1002" s="305">
        <f t="shared" si="388"/>
        <v>0.82496904578116004</v>
      </c>
      <c r="L1002" s="278">
        <f t="shared" si="388"/>
        <v>0.48442544663602055</v>
      </c>
      <c r="M1002" s="315">
        <f t="shared" si="388"/>
        <v>0.61796792555692681</v>
      </c>
      <c r="N1002" s="278">
        <f t="shared" si="388"/>
        <v>0.56538086344762561</v>
      </c>
      <c r="O1002" s="292">
        <f t="shared" si="388"/>
        <v>8.6601476414696704E-2</v>
      </c>
      <c r="P1002" s="320">
        <f t="shared" si="388"/>
        <v>0.12786168881797247</v>
      </c>
      <c r="Q1002" s="292">
        <f t="shared" si="388"/>
        <v>0.12060863389794654</v>
      </c>
      <c r="R1002" s="70"/>
      <c r="S1002" s="70"/>
      <c r="T1002" s="70"/>
      <c r="U1002" s="70"/>
      <c r="V1002" s="70"/>
      <c r="W1002" s="70"/>
      <c r="X1002" s="70"/>
      <c r="Y1002" s="70"/>
      <c r="Z1002" s="70"/>
      <c r="AA1002" s="1062"/>
      <c r="AB1002" s="347" t="s">
        <v>3</v>
      </c>
      <c r="AC1002" s="301">
        <f>AC1001/AC1000</f>
        <v>0.30140272622918124</v>
      </c>
      <c r="AD1002" s="939"/>
      <c r="AE1002" s="939"/>
      <c r="AF1002" s="939"/>
      <c r="AG1002" s="939"/>
      <c r="AH1002" s="939"/>
      <c r="AI1002" s="939"/>
      <c r="AJ1002" s="278">
        <f>AJ1001/AJ1000</f>
        <v>0.38434292979747525</v>
      </c>
      <c r="AK1002" s="292">
        <f>AK1001/AK1000</f>
        <v>0.49346487835667607</v>
      </c>
      <c r="AN1002" s="743"/>
      <c r="AO1002" s="743"/>
    </row>
    <row r="1003" spans="1:41" s="267" customFormat="1" ht="15" customHeight="1" x14ac:dyDescent="0.25">
      <c r="A1003" s="1060" t="s">
        <v>6</v>
      </c>
      <c r="B1003" s="19" t="s">
        <v>7</v>
      </c>
      <c r="C1003" s="297">
        <v>5870</v>
      </c>
      <c r="D1003" s="266">
        <v>3333</v>
      </c>
      <c r="E1003" s="297">
        <v>3330</v>
      </c>
      <c r="F1003" s="277">
        <v>9457</v>
      </c>
      <c r="G1003" s="277">
        <v>8210</v>
      </c>
      <c r="H1003" s="277">
        <v>15703</v>
      </c>
      <c r="I1003" s="277">
        <v>7403</v>
      </c>
      <c r="J1003" s="266">
        <v>9599</v>
      </c>
      <c r="K1003" s="297">
        <v>9289</v>
      </c>
      <c r="L1003" s="277">
        <v>12295</v>
      </c>
      <c r="M1003" s="277">
        <v>4145</v>
      </c>
      <c r="N1003" s="277">
        <v>10027</v>
      </c>
      <c r="O1003" s="266">
        <v>4799</v>
      </c>
      <c r="P1003" s="321">
        <v>2000</v>
      </c>
      <c r="Q1003" s="266">
        <v>1250</v>
      </c>
      <c r="R1003" s="358" t="s">
        <v>197</v>
      </c>
      <c r="S1003" s="126"/>
      <c r="T1003" s="70"/>
      <c r="U1003" s="70"/>
      <c r="V1003" s="70"/>
      <c r="W1003" s="70"/>
      <c r="X1003" s="70"/>
      <c r="Y1003" s="70"/>
      <c r="Z1003" s="70"/>
      <c r="AA1003" s="1060" t="s">
        <v>190</v>
      </c>
      <c r="AB1003" s="19" t="s">
        <v>4</v>
      </c>
      <c r="AC1003" s="299">
        <v>9191.7999999999993</v>
      </c>
      <c r="AD1003" s="552"/>
      <c r="AE1003" s="552"/>
      <c r="AF1003" s="552"/>
      <c r="AG1003" s="552"/>
      <c r="AH1003" s="552"/>
      <c r="AI1003" s="552"/>
      <c r="AJ1003" s="283">
        <v>13787.7</v>
      </c>
      <c r="AK1003" s="265">
        <v>13787.7</v>
      </c>
      <c r="AN1003" s="743"/>
      <c r="AO1003" s="743"/>
    </row>
    <row r="1004" spans="1:41" s="267" customFormat="1" x14ac:dyDescent="0.25">
      <c r="A1004" s="1061"/>
      <c r="B1004" s="295" t="s">
        <v>11</v>
      </c>
      <c r="C1004" s="302">
        <f t="shared" ref="C1004:Q1004" si="389">C1003*33.717</f>
        <v>197918.78999999998</v>
      </c>
      <c r="D1004" s="263">
        <f t="shared" si="389"/>
        <v>112378.761</v>
      </c>
      <c r="E1004" s="302">
        <f t="shared" si="389"/>
        <v>112277.61</v>
      </c>
      <c r="F1004" s="355">
        <f t="shared" si="389"/>
        <v>318861.66899999999</v>
      </c>
      <c r="G1004" s="308">
        <f t="shared" si="389"/>
        <v>276816.57</v>
      </c>
      <c r="H1004" s="354">
        <f t="shared" si="389"/>
        <v>529458.05099999998</v>
      </c>
      <c r="I1004" s="354">
        <f t="shared" si="389"/>
        <v>249606.951</v>
      </c>
      <c r="J1004" s="354">
        <f t="shared" si="389"/>
        <v>323649.48300000001</v>
      </c>
      <c r="K1004" s="322">
        <f t="shared" si="389"/>
        <v>313197.21299999999</v>
      </c>
      <c r="L1004" s="308">
        <f t="shared" si="389"/>
        <v>414550.51499999996</v>
      </c>
      <c r="M1004" s="308">
        <f t="shared" si="389"/>
        <v>139756.965</v>
      </c>
      <c r="N1004" s="354">
        <f t="shared" si="389"/>
        <v>338080.359</v>
      </c>
      <c r="O1004" s="354">
        <f t="shared" si="389"/>
        <v>161807.883</v>
      </c>
      <c r="P1004" s="302">
        <f t="shared" si="389"/>
        <v>67434</v>
      </c>
      <c r="Q1004" s="354">
        <f t="shared" si="389"/>
        <v>42146.25</v>
      </c>
      <c r="R1004" s="70"/>
      <c r="S1004" s="70"/>
      <c r="T1004" s="70"/>
      <c r="U1004" s="70"/>
      <c r="V1004" s="70"/>
      <c r="W1004" s="70"/>
      <c r="X1004" s="70"/>
      <c r="Y1004" s="70"/>
      <c r="Z1004" s="70"/>
      <c r="AA1004" s="1061"/>
      <c r="AB1004" s="293" t="s">
        <v>5</v>
      </c>
      <c r="AC1004" s="300">
        <v>8148.7</v>
      </c>
      <c r="AD1004" s="631"/>
      <c r="AE1004" s="631"/>
      <c r="AF1004" s="631"/>
      <c r="AG1004" s="631"/>
      <c r="AH1004" s="631"/>
      <c r="AI1004" s="631"/>
      <c r="AJ1004" s="307">
        <v>13638.2</v>
      </c>
      <c r="AK1004" s="264">
        <v>13648.9</v>
      </c>
      <c r="AN1004" s="743"/>
      <c r="AO1004" s="743"/>
    </row>
    <row r="1005" spans="1:41" s="267" customFormat="1" ht="15.75" thickBot="1" x14ac:dyDescent="0.3">
      <c r="A1005" s="1061"/>
      <c r="B1005" s="295" t="s">
        <v>79</v>
      </c>
      <c r="C1005" s="302">
        <v>164000</v>
      </c>
      <c r="D1005" s="263">
        <v>109880</v>
      </c>
      <c r="E1005" s="302">
        <v>109880</v>
      </c>
      <c r="F1005" s="308">
        <v>328000</v>
      </c>
      <c r="G1005" s="308">
        <v>330905</v>
      </c>
      <c r="H1005" s="308">
        <v>264264</v>
      </c>
      <c r="I1005" s="308">
        <v>242663.6</v>
      </c>
      <c r="J1005" s="263">
        <v>328000</v>
      </c>
      <c r="K1005" s="302">
        <v>328000</v>
      </c>
      <c r="L1005" s="308">
        <v>264264.40000000002</v>
      </c>
      <c r="M1005" s="308">
        <v>328000</v>
      </c>
      <c r="N1005" s="308">
        <v>352965.4</v>
      </c>
      <c r="O1005" s="263">
        <v>328000</v>
      </c>
      <c r="P1005" s="322">
        <f>2*P1000</f>
        <v>110302</v>
      </c>
      <c r="Q1005" s="263">
        <f>2*Q1000</f>
        <v>66181</v>
      </c>
      <c r="R1005" s="70"/>
      <c r="S1005" s="70"/>
      <c r="T1005" s="70"/>
      <c r="U1005" s="70"/>
      <c r="V1005" s="70"/>
      <c r="W1005" s="70"/>
      <c r="X1005" s="70"/>
      <c r="Y1005" s="70"/>
      <c r="Z1005" s="70"/>
      <c r="AA1005" s="1062"/>
      <c r="AB1005" s="344" t="s">
        <v>3</v>
      </c>
      <c r="AC1005" s="301">
        <f>AC1004/AC1003</f>
        <v>0.88651841859048286</v>
      </c>
      <c r="AD1005" s="939"/>
      <c r="AE1005" s="939"/>
      <c r="AF1005" s="939"/>
      <c r="AG1005" s="939"/>
      <c r="AH1005" s="939"/>
      <c r="AI1005" s="939"/>
      <c r="AJ1005" s="249">
        <f>AJ1004/AJ1003</f>
        <v>0.98915700225563363</v>
      </c>
      <c r="AK1005" s="348">
        <f>AK1004/AK1003</f>
        <v>0.98993305627479555</v>
      </c>
      <c r="AN1005" s="743"/>
      <c r="AO1005" s="743"/>
    </row>
    <row r="1006" spans="1:41" s="267" customFormat="1" ht="15" customHeight="1" x14ac:dyDescent="0.25">
      <c r="A1006" s="1061"/>
      <c r="B1006" s="293" t="s">
        <v>8</v>
      </c>
      <c r="C1006" s="303">
        <f>SUM(C1003-575)</f>
        <v>5295</v>
      </c>
      <c r="D1006" s="262">
        <f>SUM(D1003-680)</f>
        <v>2653</v>
      </c>
      <c r="E1006" s="303">
        <f>SUM(E1003-646)</f>
        <v>2684</v>
      </c>
      <c r="F1006" s="309">
        <f>SUM(F1003-1211)</f>
        <v>8246</v>
      </c>
      <c r="G1006" s="309">
        <f>SUM(G1003-4410)</f>
        <v>3800</v>
      </c>
      <c r="H1006" s="309">
        <f>SUM(H1003-2087)</f>
        <v>13616</v>
      </c>
      <c r="I1006" s="309">
        <f>SUM(I1003-(3272-2000))</f>
        <v>6131</v>
      </c>
      <c r="J1006" s="262">
        <f>SUM(J1003-9229)</f>
        <v>370</v>
      </c>
      <c r="K1006" s="303">
        <f>SUM(K1003-909)</f>
        <v>8380</v>
      </c>
      <c r="L1006" s="309">
        <f>SUM(L1003-1251)</f>
        <v>11044</v>
      </c>
      <c r="M1006" s="316">
        <f>SUM(M1003-198)</f>
        <v>3947</v>
      </c>
      <c r="N1006" s="309">
        <f>SUM(N1003-(5224-2614))</f>
        <v>7417</v>
      </c>
      <c r="O1006" s="262">
        <f>SUM(O1003-3960)</f>
        <v>839</v>
      </c>
      <c r="P1006" s="323">
        <f>SUM(P1003-1033)</f>
        <v>967</v>
      </c>
      <c r="Q1006" s="262">
        <f>SUM(Q1003-752)</f>
        <v>498</v>
      </c>
      <c r="R1006" s="12" t="s">
        <v>176</v>
      </c>
      <c r="S1006" s="70"/>
      <c r="T1006" s="70"/>
      <c r="U1006" s="70"/>
      <c r="V1006" s="70"/>
      <c r="W1006" s="70"/>
      <c r="X1006" s="70"/>
      <c r="Y1006" s="70"/>
      <c r="Z1006" s="70"/>
      <c r="AA1006" s="1060" t="s">
        <v>191</v>
      </c>
      <c r="AB1006" s="19" t="s">
        <v>4</v>
      </c>
      <c r="AC1006" s="299">
        <v>97433.600000000006</v>
      </c>
      <c r="AD1006" s="552"/>
      <c r="AE1006" s="552"/>
      <c r="AF1006" s="552"/>
      <c r="AG1006" s="552"/>
      <c r="AH1006" s="552"/>
      <c r="AI1006" s="552"/>
      <c r="AJ1006" s="283">
        <v>243584.4</v>
      </c>
      <c r="AK1006" s="265">
        <v>292299.3</v>
      </c>
      <c r="AN1006" s="743"/>
      <c r="AO1006" s="743"/>
    </row>
    <row r="1007" spans="1:41" s="267" customFormat="1" x14ac:dyDescent="0.25">
      <c r="A1007" s="1061"/>
      <c r="B1007" s="296" t="s">
        <v>77</v>
      </c>
      <c r="C1007" s="302">
        <f>(C1006*33.717)</f>
        <v>178531.51499999998</v>
      </c>
      <c r="D1007" s="338">
        <f>(D1006*33.717)</f>
        <v>89451.201000000001</v>
      </c>
      <c r="E1007" s="302">
        <f>(E1006*33.717)</f>
        <v>90496.428</v>
      </c>
      <c r="F1007" s="338">
        <f>(F1006*33.717)</f>
        <v>278030.38199999998</v>
      </c>
      <c r="G1007" s="280">
        <f>(G1006*33.717)*2</f>
        <v>256249.19999999998</v>
      </c>
      <c r="H1007" s="280">
        <f>(H1006*33.717)</f>
        <v>459090.67199999996</v>
      </c>
      <c r="I1007" s="280">
        <f>(I1006*33.717)-(2000*33.717)</f>
        <v>139284.927</v>
      </c>
      <c r="J1007" s="261">
        <f>J1006*33.717</f>
        <v>12475.289999999999</v>
      </c>
      <c r="K1007" s="304">
        <f>K1006*33.717</f>
        <v>282548.45999999996</v>
      </c>
      <c r="L1007" s="280">
        <f>L1006*33.717</f>
        <v>372370.54800000001</v>
      </c>
      <c r="M1007" s="280">
        <f>(M1006*33.717)</f>
        <v>133080.99899999998</v>
      </c>
      <c r="N1007" s="280">
        <f>N1006*33.717</f>
        <v>250078.989</v>
      </c>
      <c r="O1007" s="261">
        <f>O1006*33.717</f>
        <v>28288.562999999998</v>
      </c>
      <c r="P1007" s="324">
        <f>P1006*33.717</f>
        <v>32604.339</v>
      </c>
      <c r="Q1007" s="325">
        <f>Q1006*33.717</f>
        <v>16791.065999999999</v>
      </c>
      <c r="R1007" s="63">
        <f>344240-H1007</f>
        <v>-114850.67199999996</v>
      </c>
      <c r="S1007" s="70" t="s">
        <v>177</v>
      </c>
      <c r="T1007" s="70"/>
      <c r="U1007" s="70"/>
      <c r="V1007" s="70"/>
      <c r="W1007" s="70"/>
      <c r="X1007" s="70"/>
      <c r="Y1007" s="70"/>
      <c r="Z1007" s="70"/>
      <c r="AA1007" s="1061"/>
      <c r="AB1007" s="293" t="s">
        <v>5</v>
      </c>
      <c r="AC1007" s="300">
        <v>70245.5</v>
      </c>
      <c r="AD1007" s="631"/>
      <c r="AE1007" s="631"/>
      <c r="AF1007" s="631"/>
      <c r="AG1007" s="631"/>
      <c r="AH1007" s="631"/>
      <c r="AI1007" s="631"/>
      <c r="AJ1007" s="307">
        <v>90695.9</v>
      </c>
      <c r="AK1007" s="264">
        <v>76505.7</v>
      </c>
      <c r="AN1007" s="743"/>
      <c r="AO1007" s="743"/>
    </row>
    <row r="1008" spans="1:41" s="267" customFormat="1" ht="15.75" thickBot="1" x14ac:dyDescent="0.3">
      <c r="A1008" s="1062"/>
      <c r="B1008" s="294" t="s">
        <v>10</v>
      </c>
      <c r="C1008" s="305">
        <f t="shared" ref="C1008:Q1008" si="390">C1007/C1000</f>
        <v>1.2450573671371243</v>
      </c>
      <c r="D1008" s="292">
        <f t="shared" si="390"/>
        <v>0.59429774814338432</v>
      </c>
      <c r="E1008" s="310">
        <f t="shared" si="390"/>
        <v>0.60124204900747968</v>
      </c>
      <c r="F1008" s="282">
        <f t="shared" si="390"/>
        <v>1.5276579277331923</v>
      </c>
      <c r="G1008" s="282">
        <f t="shared" si="390"/>
        <v>1.5487780480802646</v>
      </c>
      <c r="H1008" s="282">
        <f t="shared" si="390"/>
        <v>3.4744851512124235</v>
      </c>
      <c r="I1008" s="282">
        <f t="shared" si="390"/>
        <v>0.81468133329745929</v>
      </c>
      <c r="J1008" s="311">
        <f t="shared" si="390"/>
        <v>7.5117098662735984E-2</v>
      </c>
      <c r="K1008" s="310">
        <f t="shared" si="390"/>
        <v>1.4637768809544778</v>
      </c>
      <c r="L1008" s="282">
        <f t="shared" si="390"/>
        <v>2.818166563487174</v>
      </c>
      <c r="M1008" s="282">
        <f t="shared" si="390"/>
        <v>1.6086903318533523</v>
      </c>
      <c r="N1008" s="260">
        <f t="shared" si="390"/>
        <v>0.90688832115464812</v>
      </c>
      <c r="O1008" s="311">
        <f t="shared" si="390"/>
        <v>0.34066598827057165</v>
      </c>
      <c r="P1008" s="305">
        <f t="shared" si="390"/>
        <v>0.59118309731464525</v>
      </c>
      <c r="Q1008" s="292">
        <f t="shared" si="390"/>
        <v>0.50742859733156043</v>
      </c>
      <c r="R1008" s="126"/>
      <c r="S1008" s="70"/>
      <c r="T1008" s="70"/>
      <c r="U1008" s="70"/>
      <c r="V1008" s="70"/>
      <c r="W1008" s="70"/>
      <c r="X1008" s="70"/>
      <c r="Y1008" s="70"/>
      <c r="Z1008" s="70"/>
      <c r="AA1008" s="1062"/>
      <c r="AB1008" s="294" t="s">
        <v>3</v>
      </c>
      <c r="AC1008" s="305">
        <f>AC1007/AC1006</f>
        <v>0.72095765731739359</v>
      </c>
      <c r="AD1008" s="636"/>
      <c r="AE1008" s="636"/>
      <c r="AF1008" s="636"/>
      <c r="AG1008" s="636"/>
      <c r="AH1008" s="636"/>
      <c r="AI1008" s="636"/>
      <c r="AJ1008" s="278">
        <f>AJ1007/AJ1006</f>
        <v>0.37233870477748165</v>
      </c>
      <c r="AK1008" s="343">
        <f>AK1007/AK1006</f>
        <v>0.26173754093834639</v>
      </c>
      <c r="AN1008" s="743"/>
      <c r="AO1008" s="743"/>
    </row>
    <row r="1009" spans="1:41" s="267" customFormat="1" ht="15.75" thickBot="1" x14ac:dyDescent="0.3">
      <c r="A1009" s="1048">
        <v>41401</v>
      </c>
      <c r="B1009" s="1048"/>
      <c r="C1009" s="1048"/>
      <c r="D1009" s="276"/>
      <c r="E1009" s="276"/>
      <c r="F1009" s="276"/>
      <c r="G1009" s="276"/>
      <c r="H1009" s="276"/>
      <c r="I1009" s="11"/>
      <c r="J1009" s="281"/>
      <c r="K1009" s="281"/>
      <c r="L1009" s="276"/>
      <c r="M1009" s="276"/>
      <c r="N1009" s="13"/>
      <c r="R1009" s="12"/>
      <c r="S1009" s="70"/>
      <c r="T1009" s="70"/>
      <c r="U1009" s="70"/>
      <c r="V1009" s="70"/>
      <c r="W1009" s="70"/>
      <c r="X1009" s="70"/>
      <c r="Y1009" s="70"/>
      <c r="Z1009" s="70"/>
      <c r="AA1009" s="1063"/>
      <c r="AB1009" s="1064"/>
      <c r="AD1009" s="743"/>
      <c r="AE1009" s="743"/>
      <c r="AF1009" s="743"/>
      <c r="AG1009" s="743"/>
      <c r="AH1009" s="743"/>
      <c r="AI1009" s="743"/>
      <c r="AN1009" s="743"/>
      <c r="AO1009" s="743"/>
    </row>
    <row r="1010" spans="1:41" s="267" customFormat="1" x14ac:dyDescent="0.25">
      <c r="A1010" s="1049" t="s">
        <v>1</v>
      </c>
      <c r="B1010" s="1050"/>
      <c r="C1010" s="297" t="s">
        <v>12</v>
      </c>
      <c r="D1010" s="266" t="s">
        <v>12</v>
      </c>
      <c r="E1010" s="297" t="s">
        <v>13</v>
      </c>
      <c r="F1010" s="277" t="s">
        <v>13</v>
      </c>
      <c r="G1010" s="277" t="s">
        <v>13</v>
      </c>
      <c r="H1010" s="277" t="s">
        <v>13</v>
      </c>
      <c r="I1010" s="277" t="s">
        <v>13</v>
      </c>
      <c r="J1010" s="266" t="s">
        <v>13</v>
      </c>
      <c r="K1010" s="297" t="s">
        <v>2</v>
      </c>
      <c r="L1010" s="277" t="s">
        <v>2</v>
      </c>
      <c r="M1010" s="286" t="s">
        <v>2</v>
      </c>
      <c r="N1010" s="277" t="s">
        <v>2</v>
      </c>
      <c r="O1010" s="266" t="s">
        <v>2</v>
      </c>
      <c r="P1010" s="328" t="s">
        <v>183</v>
      </c>
      <c r="Q1010" s="327" t="s">
        <v>183</v>
      </c>
      <c r="R1010" s="12"/>
      <c r="S1010" s="70"/>
      <c r="T1010" s="70"/>
      <c r="U1010" s="70"/>
      <c r="V1010" s="70"/>
      <c r="W1010" s="70"/>
      <c r="X1010" s="70"/>
      <c r="Y1010" s="70"/>
      <c r="Z1010" s="70"/>
      <c r="AA1010" s="1049" t="s">
        <v>1</v>
      </c>
      <c r="AB1010" s="1050"/>
      <c r="AC1010" s="297" t="s">
        <v>12</v>
      </c>
      <c r="AD1010" s="937"/>
      <c r="AE1010" s="937"/>
      <c r="AF1010" s="937"/>
      <c r="AG1010" s="937"/>
      <c r="AH1010" s="937"/>
      <c r="AI1010" s="937"/>
      <c r="AJ1010" s="277" t="s">
        <v>13</v>
      </c>
      <c r="AK1010" s="266" t="s">
        <v>2</v>
      </c>
      <c r="AN1010" s="743"/>
      <c r="AO1010" s="743"/>
    </row>
    <row r="1011" spans="1:41" s="267" customFormat="1" ht="15.75" thickBot="1" x14ac:dyDescent="0.3">
      <c r="A1011" s="1054" t="s">
        <v>0</v>
      </c>
      <c r="B1011" s="1066"/>
      <c r="C1011" s="298" t="s">
        <v>99</v>
      </c>
      <c r="D1011" s="291" t="s">
        <v>100</v>
      </c>
      <c r="E1011" s="298" t="s">
        <v>101</v>
      </c>
      <c r="F1011" s="306" t="s">
        <v>102</v>
      </c>
      <c r="G1011" s="306" t="s">
        <v>97</v>
      </c>
      <c r="H1011" s="306" t="s">
        <v>104</v>
      </c>
      <c r="I1011" s="306" t="s">
        <v>103</v>
      </c>
      <c r="J1011" s="314" t="s">
        <v>178</v>
      </c>
      <c r="K1011" s="298" t="s">
        <v>105</v>
      </c>
      <c r="L1011" s="306" t="s">
        <v>107</v>
      </c>
      <c r="M1011" s="312" t="s">
        <v>98</v>
      </c>
      <c r="N1011" s="313" t="s">
        <v>106</v>
      </c>
      <c r="O1011" s="291" t="s">
        <v>179</v>
      </c>
      <c r="P1011" s="317" t="s">
        <v>182</v>
      </c>
      <c r="Q1011" s="291" t="s">
        <v>184</v>
      </c>
      <c r="R1011" s="12"/>
      <c r="S1011" s="12"/>
      <c r="T1011" s="12"/>
      <c r="U1011" s="12"/>
      <c r="V1011" s="12"/>
      <c r="W1011" s="12"/>
      <c r="X1011" s="12"/>
      <c r="Y1011" s="12"/>
      <c r="Z1011" s="12"/>
      <c r="AA1011" s="1054" t="s">
        <v>0</v>
      </c>
      <c r="AB1011" s="1066"/>
      <c r="AC1011" s="298" t="s">
        <v>99</v>
      </c>
      <c r="AD1011" s="938"/>
      <c r="AE1011" s="938"/>
      <c r="AF1011" s="938"/>
      <c r="AG1011" s="938"/>
      <c r="AH1011" s="938"/>
      <c r="AI1011" s="938"/>
      <c r="AJ1011" s="306" t="s">
        <v>104</v>
      </c>
      <c r="AK1011" s="291" t="s">
        <v>107</v>
      </c>
      <c r="AN1011" s="743"/>
      <c r="AO1011" s="743"/>
    </row>
    <row r="1012" spans="1:41" s="267" customFormat="1" ht="15" customHeight="1" x14ac:dyDescent="0.25">
      <c r="A1012" s="1057" t="s">
        <v>9</v>
      </c>
      <c r="B1012" s="19" t="s">
        <v>4</v>
      </c>
      <c r="C1012" s="299">
        <v>143392.20000000001</v>
      </c>
      <c r="D1012" s="265">
        <v>150515.79999999999</v>
      </c>
      <c r="E1012" s="299">
        <v>150515.79999999999</v>
      </c>
      <c r="F1012" s="283">
        <v>181997.8</v>
      </c>
      <c r="G1012" s="283">
        <v>165452.5</v>
      </c>
      <c r="H1012" s="283">
        <v>132132</v>
      </c>
      <c r="I1012" s="283">
        <v>121331.8</v>
      </c>
      <c r="J1012" s="265">
        <v>166077.9</v>
      </c>
      <c r="K1012" s="299">
        <v>193027</v>
      </c>
      <c r="L1012" s="283">
        <v>132132.20000000001</v>
      </c>
      <c r="M1012" s="283">
        <v>82726.3</v>
      </c>
      <c r="N1012" s="283">
        <v>176482.7</v>
      </c>
      <c r="O1012" s="265">
        <v>83039</v>
      </c>
      <c r="P1012" s="318">
        <v>55151</v>
      </c>
      <c r="Q1012" s="265">
        <v>33090.5</v>
      </c>
      <c r="R1012" s="70"/>
      <c r="S1012" s="70"/>
      <c r="T1012" s="70"/>
      <c r="U1012" s="70"/>
      <c r="V1012" s="70"/>
      <c r="W1012" s="70"/>
      <c r="X1012" s="70"/>
      <c r="Y1012" s="70"/>
      <c r="Z1012" s="70"/>
      <c r="AA1012" s="1060" t="s">
        <v>194</v>
      </c>
      <c r="AB1012" s="2" t="s">
        <v>4</v>
      </c>
      <c r="AC1012" s="299">
        <v>143392.20000000001</v>
      </c>
      <c r="AD1012" s="552"/>
      <c r="AE1012" s="552"/>
      <c r="AF1012" s="552"/>
      <c r="AG1012" s="552"/>
      <c r="AH1012" s="552"/>
      <c r="AI1012" s="552"/>
      <c r="AJ1012" s="283">
        <v>132132</v>
      </c>
      <c r="AK1012" s="265">
        <v>132132.20000000001</v>
      </c>
      <c r="AN1012" s="743"/>
      <c r="AO1012" s="743"/>
    </row>
    <row r="1013" spans="1:41" s="267" customFormat="1" x14ac:dyDescent="0.25">
      <c r="A1013" s="1058"/>
      <c r="B1013" s="293" t="s">
        <v>5</v>
      </c>
      <c r="C1013" s="300">
        <v>39748.1</v>
      </c>
      <c r="D1013" s="264">
        <v>78060.399999999994</v>
      </c>
      <c r="E1013" s="300">
        <v>79602.8</v>
      </c>
      <c r="F1013" s="307">
        <v>158581.29999999999</v>
      </c>
      <c r="G1013" s="307">
        <v>98363.5</v>
      </c>
      <c r="H1013" s="307">
        <v>51009.5</v>
      </c>
      <c r="I1013" s="307">
        <v>84365.5</v>
      </c>
      <c r="J1013" s="264">
        <v>13782.4</v>
      </c>
      <c r="K1013" s="300">
        <v>158963</v>
      </c>
      <c r="L1013" s="307">
        <v>63268.3</v>
      </c>
      <c r="M1013" s="307">
        <v>50687.3</v>
      </c>
      <c r="N1013" s="307">
        <v>154723.79999999999</v>
      </c>
      <c r="O1013" s="264">
        <v>6993.2</v>
      </c>
      <c r="P1013" s="319">
        <v>7016.2</v>
      </c>
      <c r="Q1013" s="264">
        <v>3466.6</v>
      </c>
      <c r="R1013" s="70"/>
      <c r="S1013" s="70"/>
      <c r="T1013" s="70"/>
      <c r="U1013" s="70"/>
      <c r="V1013" s="70"/>
      <c r="W1013" s="70"/>
      <c r="X1013" s="70"/>
      <c r="Y1013" s="70"/>
      <c r="Z1013" s="70"/>
      <c r="AA1013" s="1061"/>
      <c r="AB1013" s="342" t="s">
        <v>5</v>
      </c>
      <c r="AC1013" s="300">
        <v>43218.8</v>
      </c>
      <c r="AD1013" s="631"/>
      <c r="AE1013" s="631"/>
      <c r="AF1013" s="631"/>
      <c r="AG1013" s="631"/>
      <c r="AH1013" s="631"/>
      <c r="AI1013" s="631"/>
      <c r="AJ1013" s="307">
        <v>50784</v>
      </c>
      <c r="AK1013" s="264">
        <v>65202.6</v>
      </c>
      <c r="AN1013" s="743"/>
      <c r="AO1013" s="743"/>
    </row>
    <row r="1014" spans="1:41" s="267" customFormat="1" ht="15.75" thickBot="1" x14ac:dyDescent="0.3">
      <c r="A1014" s="1059"/>
      <c r="B1014" s="294" t="s">
        <v>3</v>
      </c>
      <c r="C1014" s="305">
        <f t="shared" ref="C1014:Q1014" si="391">C1013/C1012</f>
        <v>0.27719848080997428</v>
      </c>
      <c r="D1014" s="343">
        <f t="shared" si="391"/>
        <v>0.51861930774044984</v>
      </c>
      <c r="E1014" s="305">
        <f t="shared" si="391"/>
        <v>0.52886673691399844</v>
      </c>
      <c r="F1014" s="278">
        <f t="shared" si="391"/>
        <v>0.87133635681310428</v>
      </c>
      <c r="G1014" s="278">
        <f t="shared" si="391"/>
        <v>0.59451202006618209</v>
      </c>
      <c r="H1014" s="278">
        <f t="shared" si="391"/>
        <v>0.38604955650410194</v>
      </c>
      <c r="I1014" s="278">
        <f t="shared" si="391"/>
        <v>0.69532884206778434</v>
      </c>
      <c r="J1014" s="292">
        <f t="shared" si="391"/>
        <v>8.2987561861030276E-2</v>
      </c>
      <c r="K1014" s="305">
        <f t="shared" si="391"/>
        <v>0.82352727856724706</v>
      </c>
      <c r="L1014" s="278">
        <f t="shared" si="391"/>
        <v>0.47882575178495473</v>
      </c>
      <c r="M1014" s="315">
        <f t="shared" si="391"/>
        <v>0.61271083077570254</v>
      </c>
      <c r="N1014" s="278">
        <f t="shared" si="391"/>
        <v>0.87670802860563657</v>
      </c>
      <c r="O1014" s="292">
        <f t="shared" si="391"/>
        <v>8.4215850383554711E-2</v>
      </c>
      <c r="P1014" s="320">
        <f t="shared" si="391"/>
        <v>0.12721800148682708</v>
      </c>
      <c r="Q1014" s="292">
        <f t="shared" si="391"/>
        <v>0.10476118523443284</v>
      </c>
      <c r="R1014" s="70"/>
      <c r="S1014" s="70"/>
      <c r="T1014" s="70"/>
      <c r="U1014" s="70"/>
      <c r="V1014" s="70"/>
      <c r="W1014" s="70"/>
      <c r="X1014" s="70"/>
      <c r="Y1014" s="70"/>
      <c r="Z1014" s="70"/>
      <c r="AA1014" s="1062"/>
      <c r="AB1014" s="347" t="s">
        <v>3</v>
      </c>
      <c r="AC1014" s="301">
        <f>AC1013/AC1012</f>
        <v>0.30140272622918124</v>
      </c>
      <c r="AD1014" s="939"/>
      <c r="AE1014" s="939"/>
      <c r="AF1014" s="939"/>
      <c r="AG1014" s="939"/>
      <c r="AH1014" s="939"/>
      <c r="AI1014" s="939"/>
      <c r="AJ1014" s="278">
        <f>AJ1013/AJ1012</f>
        <v>0.38434292979747525</v>
      </c>
      <c r="AK1014" s="292">
        <f>AK1013/AK1012</f>
        <v>0.49346487835667607</v>
      </c>
      <c r="AN1014" s="743"/>
      <c r="AO1014" s="743"/>
    </row>
    <row r="1015" spans="1:41" s="267" customFormat="1" ht="15" customHeight="1" x14ac:dyDescent="0.25">
      <c r="A1015" s="1060" t="s">
        <v>6</v>
      </c>
      <c r="B1015" s="19" t="s">
        <v>7</v>
      </c>
      <c r="C1015" s="297">
        <v>5870</v>
      </c>
      <c r="D1015" s="266">
        <v>3333</v>
      </c>
      <c r="E1015" s="297">
        <v>3330</v>
      </c>
      <c r="F1015" s="277">
        <v>9457</v>
      </c>
      <c r="G1015" s="277">
        <v>8210</v>
      </c>
      <c r="H1015" s="277">
        <v>15703</v>
      </c>
      <c r="I1015" s="277">
        <v>7403</v>
      </c>
      <c r="J1015" s="266">
        <v>9599</v>
      </c>
      <c r="K1015" s="297">
        <v>9289</v>
      </c>
      <c r="L1015" s="277">
        <v>12295</v>
      </c>
      <c r="M1015" s="277">
        <v>4133</v>
      </c>
      <c r="N1015" s="277">
        <v>10027</v>
      </c>
      <c r="O1015" s="266">
        <v>4799</v>
      </c>
      <c r="P1015" s="321">
        <v>2000</v>
      </c>
      <c r="Q1015" s="266">
        <v>1250</v>
      </c>
      <c r="R1015" s="358" t="s">
        <v>197</v>
      </c>
      <c r="S1015" s="126"/>
      <c r="T1015" s="70"/>
      <c r="U1015" s="70"/>
      <c r="V1015" s="70"/>
      <c r="W1015" s="70"/>
      <c r="X1015" s="70"/>
      <c r="Y1015" s="70"/>
      <c r="Z1015" s="70"/>
      <c r="AA1015" s="1060" t="s">
        <v>190</v>
      </c>
      <c r="AB1015" s="19" t="s">
        <v>4</v>
      </c>
      <c r="AC1015" s="299">
        <v>9191.7999999999993</v>
      </c>
      <c r="AD1015" s="552"/>
      <c r="AE1015" s="552"/>
      <c r="AF1015" s="552"/>
      <c r="AG1015" s="552"/>
      <c r="AH1015" s="552"/>
      <c r="AI1015" s="552"/>
      <c r="AJ1015" s="283">
        <v>13787.7</v>
      </c>
      <c r="AK1015" s="265">
        <v>13787.7</v>
      </c>
      <c r="AN1015" s="743"/>
      <c r="AO1015" s="743"/>
    </row>
    <row r="1016" spans="1:41" s="267" customFormat="1" x14ac:dyDescent="0.25">
      <c r="A1016" s="1061"/>
      <c r="B1016" s="295" t="s">
        <v>11</v>
      </c>
      <c r="C1016" s="302">
        <f t="shared" ref="C1016:Q1016" si="392">C1015*33.717</f>
        <v>197918.78999999998</v>
      </c>
      <c r="D1016" s="263">
        <f t="shared" si="392"/>
        <v>112378.761</v>
      </c>
      <c r="E1016" s="302">
        <f t="shared" si="392"/>
        <v>112277.61</v>
      </c>
      <c r="F1016" s="355">
        <f t="shared" si="392"/>
        <v>318861.66899999999</v>
      </c>
      <c r="G1016" s="308">
        <f t="shared" si="392"/>
        <v>276816.57</v>
      </c>
      <c r="H1016" s="354">
        <f t="shared" si="392"/>
        <v>529458.05099999998</v>
      </c>
      <c r="I1016" s="354">
        <f t="shared" si="392"/>
        <v>249606.951</v>
      </c>
      <c r="J1016" s="354">
        <f t="shared" si="392"/>
        <v>323649.48300000001</v>
      </c>
      <c r="K1016" s="322">
        <f t="shared" si="392"/>
        <v>313197.21299999999</v>
      </c>
      <c r="L1016" s="308">
        <f t="shared" si="392"/>
        <v>414550.51499999996</v>
      </c>
      <c r="M1016" s="308">
        <f t="shared" si="392"/>
        <v>139352.361</v>
      </c>
      <c r="N1016" s="354">
        <f t="shared" si="392"/>
        <v>338080.359</v>
      </c>
      <c r="O1016" s="354">
        <f t="shared" si="392"/>
        <v>161807.883</v>
      </c>
      <c r="P1016" s="302">
        <f t="shared" si="392"/>
        <v>67434</v>
      </c>
      <c r="Q1016" s="354">
        <f t="shared" si="392"/>
        <v>42146.25</v>
      </c>
      <c r="R1016" s="70"/>
      <c r="S1016" s="70"/>
      <c r="T1016" s="70"/>
      <c r="U1016" s="70"/>
      <c r="V1016" s="70"/>
      <c r="W1016" s="70"/>
      <c r="X1016" s="70"/>
      <c r="Y1016" s="70"/>
      <c r="Z1016" s="70"/>
      <c r="AA1016" s="1061"/>
      <c r="AB1016" s="293" t="s">
        <v>5</v>
      </c>
      <c r="AC1016" s="300">
        <v>8148.7</v>
      </c>
      <c r="AD1016" s="631"/>
      <c r="AE1016" s="631"/>
      <c r="AF1016" s="631"/>
      <c r="AG1016" s="631"/>
      <c r="AH1016" s="631"/>
      <c r="AI1016" s="631"/>
      <c r="AJ1016" s="307">
        <v>13638.2</v>
      </c>
      <c r="AK1016" s="264">
        <v>13648.9</v>
      </c>
      <c r="AN1016" s="743"/>
      <c r="AO1016" s="743"/>
    </row>
    <row r="1017" spans="1:41" s="267" customFormat="1" ht="15.75" thickBot="1" x14ac:dyDescent="0.3">
      <c r="A1017" s="1061"/>
      <c r="B1017" s="295" t="s">
        <v>79</v>
      </c>
      <c r="C1017" s="302">
        <v>164000</v>
      </c>
      <c r="D1017" s="263">
        <v>109880</v>
      </c>
      <c r="E1017" s="302">
        <v>109880</v>
      </c>
      <c r="F1017" s="308">
        <v>328000</v>
      </c>
      <c r="G1017" s="308">
        <v>330905</v>
      </c>
      <c r="H1017" s="308">
        <v>264264</v>
      </c>
      <c r="I1017" s="308">
        <v>242663.6</v>
      </c>
      <c r="J1017" s="263">
        <v>328000</v>
      </c>
      <c r="K1017" s="302">
        <v>328000</v>
      </c>
      <c r="L1017" s="308">
        <v>264264.40000000002</v>
      </c>
      <c r="M1017" s="308">
        <v>328000</v>
      </c>
      <c r="N1017" s="308">
        <v>352965.4</v>
      </c>
      <c r="O1017" s="263">
        <v>328000</v>
      </c>
      <c r="P1017" s="322">
        <f>2*P1012</f>
        <v>110302</v>
      </c>
      <c r="Q1017" s="263">
        <f>2*Q1012</f>
        <v>66181</v>
      </c>
      <c r="R1017" s="70"/>
      <c r="S1017" s="70"/>
      <c r="T1017" s="70"/>
      <c r="U1017" s="70"/>
      <c r="V1017" s="70"/>
      <c r="W1017" s="70"/>
      <c r="X1017" s="70"/>
      <c r="Y1017" s="70"/>
      <c r="Z1017" s="70"/>
      <c r="AA1017" s="1062"/>
      <c r="AB1017" s="344" t="s">
        <v>3</v>
      </c>
      <c r="AC1017" s="301">
        <f>AC1016/AC1015</f>
        <v>0.88651841859048286</v>
      </c>
      <c r="AD1017" s="939"/>
      <c r="AE1017" s="939"/>
      <c r="AF1017" s="939"/>
      <c r="AG1017" s="939"/>
      <c r="AH1017" s="939"/>
      <c r="AI1017" s="939"/>
      <c r="AJ1017" s="249">
        <f>AJ1016/AJ1015</f>
        <v>0.98915700225563363</v>
      </c>
      <c r="AK1017" s="348">
        <f>AK1016/AK1015</f>
        <v>0.98993305627479555</v>
      </c>
      <c r="AN1017" s="743"/>
      <c r="AO1017" s="743"/>
    </row>
    <row r="1018" spans="1:41" s="267" customFormat="1" ht="15" customHeight="1" x14ac:dyDescent="0.25">
      <c r="A1018" s="1061"/>
      <c r="B1018" s="293" t="s">
        <v>8</v>
      </c>
      <c r="C1018" s="303">
        <f>SUM(C1015-642)</f>
        <v>5228</v>
      </c>
      <c r="D1018" s="262">
        <f>SUM(D1015-686)</f>
        <v>2647</v>
      </c>
      <c r="E1018" s="303">
        <f>SUM(E1015-652)</f>
        <v>2678</v>
      </c>
      <c r="F1018" s="309">
        <f>SUM(F1015-1211)</f>
        <v>8246</v>
      </c>
      <c r="G1018" s="309">
        <f>SUM(G1015-4417)</f>
        <v>3793</v>
      </c>
      <c r="H1018" s="309">
        <f>SUM(H1015-2129)</f>
        <v>13574</v>
      </c>
      <c r="I1018" s="309">
        <f>SUM(I1015-(3166-2000))</f>
        <v>6237</v>
      </c>
      <c r="J1018" s="262">
        <f>SUM(J1015-9230)</f>
        <v>369</v>
      </c>
      <c r="K1018" s="303">
        <f>SUM(K1015-909)</f>
        <v>8380</v>
      </c>
      <c r="L1018" s="309">
        <f>SUM(L1015-1241)</f>
        <v>11054</v>
      </c>
      <c r="M1018" s="316">
        <f>SUM(M1015-198)</f>
        <v>3935</v>
      </c>
      <c r="N1018" s="309">
        <f>SUM(N1015-(5053-2614))</f>
        <v>7588</v>
      </c>
      <c r="O1018" s="262">
        <f>SUM(O1015-3961)</f>
        <v>838</v>
      </c>
      <c r="P1018" s="323">
        <f>SUM(P1015-1057)</f>
        <v>943</v>
      </c>
      <c r="Q1018" s="262">
        <f>SUM(Q1015-767)</f>
        <v>483</v>
      </c>
      <c r="R1018" s="12" t="s">
        <v>176</v>
      </c>
      <c r="S1018" s="70"/>
      <c r="T1018" s="70"/>
      <c r="U1018" s="70"/>
      <c r="V1018" s="70"/>
      <c r="W1018" s="70"/>
      <c r="X1018" s="70"/>
      <c r="Y1018" s="70"/>
      <c r="Z1018" s="70"/>
      <c r="AA1018" s="1060" t="s">
        <v>191</v>
      </c>
      <c r="AB1018" s="19" t="s">
        <v>4</v>
      </c>
      <c r="AC1018" s="299">
        <v>97433.600000000006</v>
      </c>
      <c r="AD1018" s="552"/>
      <c r="AE1018" s="552"/>
      <c r="AF1018" s="552"/>
      <c r="AG1018" s="552"/>
      <c r="AH1018" s="552"/>
      <c r="AI1018" s="552"/>
      <c r="AJ1018" s="283">
        <v>243584.4</v>
      </c>
      <c r="AK1018" s="265">
        <v>292299.3</v>
      </c>
      <c r="AN1018" s="743"/>
      <c r="AO1018" s="743"/>
    </row>
    <row r="1019" spans="1:41" s="267" customFormat="1" x14ac:dyDescent="0.25">
      <c r="A1019" s="1061"/>
      <c r="B1019" s="296" t="s">
        <v>77</v>
      </c>
      <c r="C1019" s="302">
        <f>(C1018*33.717)</f>
        <v>176272.476</v>
      </c>
      <c r="D1019" s="338">
        <f>(D1018*33.717)</f>
        <v>89248.89899999999</v>
      </c>
      <c r="E1019" s="302">
        <f>(E1018*33.717)</f>
        <v>90294.126000000004</v>
      </c>
      <c r="F1019" s="338">
        <f>(F1018*33.717)</f>
        <v>278030.38199999998</v>
      </c>
      <c r="G1019" s="280">
        <f>(G1018*33.717)*2</f>
        <v>255777.16199999998</v>
      </c>
      <c r="H1019" s="280">
        <f>(H1018*33.717)</f>
        <v>457674.55799999996</v>
      </c>
      <c r="I1019" s="280">
        <f>(I1018*33.717)-(2000*33.717)</f>
        <v>142858.929</v>
      </c>
      <c r="J1019" s="261">
        <f>J1018*33.717</f>
        <v>12441.573</v>
      </c>
      <c r="K1019" s="304">
        <f>K1018*33.717</f>
        <v>282548.45999999996</v>
      </c>
      <c r="L1019" s="280">
        <f>L1018*33.717</f>
        <v>372707.71799999999</v>
      </c>
      <c r="M1019" s="280">
        <f>(M1018*33.717)</f>
        <v>132676.39499999999</v>
      </c>
      <c r="N1019" s="280">
        <f>N1018*33.717</f>
        <v>255844.59599999999</v>
      </c>
      <c r="O1019" s="261">
        <f>O1018*33.717</f>
        <v>28254.845999999998</v>
      </c>
      <c r="P1019" s="324">
        <f>P1018*33.717</f>
        <v>31795.130999999998</v>
      </c>
      <c r="Q1019" s="325">
        <f>Q1018*33.717</f>
        <v>16285.311</v>
      </c>
      <c r="R1019" s="63">
        <f>344240-H1019</f>
        <v>-113434.55799999996</v>
      </c>
      <c r="S1019" s="70" t="s">
        <v>177</v>
      </c>
      <c r="T1019" s="70"/>
      <c r="U1019" s="70"/>
      <c r="V1019" s="70"/>
      <c r="W1019" s="70"/>
      <c r="X1019" s="70"/>
      <c r="Y1019" s="70"/>
      <c r="Z1019" s="70"/>
      <c r="AA1019" s="1061"/>
      <c r="AB1019" s="293" t="s">
        <v>5</v>
      </c>
      <c r="AC1019" s="300">
        <v>70245.5</v>
      </c>
      <c r="AD1019" s="631"/>
      <c r="AE1019" s="631"/>
      <c r="AF1019" s="631"/>
      <c r="AG1019" s="631"/>
      <c r="AH1019" s="631"/>
      <c r="AI1019" s="631"/>
      <c r="AJ1019" s="307">
        <v>90695.9</v>
      </c>
      <c r="AK1019" s="264">
        <v>76505.7</v>
      </c>
      <c r="AN1019" s="743"/>
      <c r="AO1019" s="743"/>
    </row>
    <row r="1020" spans="1:41" s="267" customFormat="1" ht="15.75" thickBot="1" x14ac:dyDescent="0.3">
      <c r="A1020" s="1062"/>
      <c r="B1020" s="294" t="s">
        <v>10</v>
      </c>
      <c r="C1020" s="305">
        <f t="shared" ref="C1020:Q1020" si="393">C1019/C1012</f>
        <v>1.2293031001686283</v>
      </c>
      <c r="D1020" s="292">
        <f t="shared" si="393"/>
        <v>0.59295368991162389</v>
      </c>
      <c r="E1020" s="310">
        <f t="shared" si="393"/>
        <v>0.59989799077571926</v>
      </c>
      <c r="F1020" s="282">
        <f t="shared" si="393"/>
        <v>1.5276579277331923</v>
      </c>
      <c r="G1020" s="282">
        <f t="shared" si="393"/>
        <v>1.5459250358864325</v>
      </c>
      <c r="H1020" s="282">
        <f t="shared" si="393"/>
        <v>3.463767732267732</v>
      </c>
      <c r="I1020" s="282">
        <f t="shared" si="393"/>
        <v>1.1774236350239591</v>
      </c>
      <c r="J1020" s="311">
        <f t="shared" si="393"/>
        <v>7.4914079477161027E-2</v>
      </c>
      <c r="K1020" s="310">
        <f t="shared" si="393"/>
        <v>1.4637768809544778</v>
      </c>
      <c r="L1020" s="282">
        <f t="shared" si="393"/>
        <v>2.8207183260401321</v>
      </c>
      <c r="M1020" s="282">
        <f t="shared" si="393"/>
        <v>1.6037994567628431</v>
      </c>
      <c r="N1020" s="260">
        <f t="shared" si="393"/>
        <v>1.4496865471799785</v>
      </c>
      <c r="O1020" s="311">
        <f t="shared" si="393"/>
        <v>0.34025995014390825</v>
      </c>
      <c r="P1020" s="305">
        <f t="shared" si="393"/>
        <v>0.57651050751572952</v>
      </c>
      <c r="Q1020" s="292">
        <f t="shared" si="393"/>
        <v>0.4921446034360315</v>
      </c>
      <c r="R1020" s="126"/>
      <c r="S1020" s="70"/>
      <c r="T1020" s="70"/>
      <c r="U1020" s="70"/>
      <c r="V1020" s="70"/>
      <c r="W1020" s="70"/>
      <c r="X1020" s="70"/>
      <c r="Y1020" s="70"/>
      <c r="Z1020" s="70"/>
      <c r="AA1020" s="1062"/>
      <c r="AB1020" s="294" t="s">
        <v>3</v>
      </c>
      <c r="AC1020" s="305">
        <f>AC1019/AC1018</f>
        <v>0.72095765731739359</v>
      </c>
      <c r="AD1020" s="636"/>
      <c r="AE1020" s="636"/>
      <c r="AF1020" s="636"/>
      <c r="AG1020" s="636"/>
      <c r="AH1020" s="636"/>
      <c r="AI1020" s="636"/>
      <c r="AJ1020" s="278">
        <f>AJ1019/AJ1018</f>
        <v>0.37233870477748165</v>
      </c>
      <c r="AK1020" s="343">
        <f>AK1019/AK1018</f>
        <v>0.26173754093834639</v>
      </c>
      <c r="AN1020" s="743"/>
      <c r="AO1020" s="743"/>
    </row>
    <row r="1021" spans="1:41" s="267" customFormat="1" ht="15.75" thickBot="1" x14ac:dyDescent="0.3">
      <c r="A1021" s="1048">
        <v>41395</v>
      </c>
      <c r="B1021" s="1048"/>
      <c r="C1021" s="1048"/>
      <c r="D1021" s="276"/>
      <c r="E1021" s="276"/>
      <c r="F1021" s="276"/>
      <c r="G1021" s="276"/>
      <c r="H1021" s="276"/>
      <c r="I1021" s="11"/>
      <c r="J1021" s="281"/>
      <c r="K1021" s="281"/>
      <c r="L1021" s="276"/>
      <c r="M1021" s="276"/>
      <c r="N1021" s="13"/>
      <c r="R1021" s="12"/>
      <c r="S1021" s="70"/>
      <c r="T1021" s="70"/>
      <c r="U1021" s="70"/>
      <c r="V1021" s="70"/>
      <c r="W1021" s="70"/>
      <c r="X1021" s="70"/>
      <c r="Y1021" s="70"/>
      <c r="Z1021" s="70"/>
      <c r="AA1021" s="1063"/>
      <c r="AB1021" s="1064"/>
      <c r="AD1021" s="743"/>
      <c r="AE1021" s="743"/>
      <c r="AF1021" s="743"/>
      <c r="AG1021" s="743"/>
      <c r="AH1021" s="743"/>
      <c r="AI1021" s="743"/>
      <c r="AN1021" s="743"/>
      <c r="AO1021" s="743"/>
    </row>
    <row r="1022" spans="1:41" s="267" customFormat="1" x14ac:dyDescent="0.25">
      <c r="A1022" s="1049" t="s">
        <v>1</v>
      </c>
      <c r="B1022" s="1050"/>
      <c r="C1022" s="297" t="s">
        <v>12</v>
      </c>
      <c r="D1022" s="266" t="s">
        <v>12</v>
      </c>
      <c r="E1022" s="297" t="s">
        <v>13</v>
      </c>
      <c r="F1022" s="277" t="s">
        <v>13</v>
      </c>
      <c r="G1022" s="277" t="s">
        <v>13</v>
      </c>
      <c r="H1022" s="277" t="s">
        <v>13</v>
      </c>
      <c r="I1022" s="277" t="s">
        <v>13</v>
      </c>
      <c r="J1022" s="266" t="s">
        <v>13</v>
      </c>
      <c r="K1022" s="297" t="s">
        <v>2</v>
      </c>
      <c r="L1022" s="277" t="s">
        <v>2</v>
      </c>
      <c r="M1022" s="286" t="s">
        <v>2</v>
      </c>
      <c r="N1022" s="277" t="s">
        <v>2</v>
      </c>
      <c r="O1022" s="266" t="s">
        <v>2</v>
      </c>
      <c r="P1022" s="328" t="s">
        <v>183</v>
      </c>
      <c r="Q1022" s="327" t="s">
        <v>183</v>
      </c>
      <c r="R1022" s="12"/>
      <c r="S1022" s="70"/>
      <c r="T1022" s="70"/>
      <c r="U1022" s="70"/>
      <c r="V1022" s="70"/>
      <c r="W1022" s="70"/>
      <c r="X1022" s="70"/>
      <c r="Y1022" s="70"/>
      <c r="Z1022" s="70"/>
      <c r="AA1022" s="1049" t="s">
        <v>1</v>
      </c>
      <c r="AB1022" s="1050"/>
      <c r="AC1022" s="297" t="s">
        <v>12</v>
      </c>
      <c r="AD1022" s="937"/>
      <c r="AE1022" s="937"/>
      <c r="AF1022" s="937"/>
      <c r="AG1022" s="937"/>
      <c r="AH1022" s="937"/>
      <c r="AI1022" s="937"/>
      <c r="AJ1022" s="277" t="s">
        <v>13</v>
      </c>
      <c r="AK1022" s="266" t="s">
        <v>2</v>
      </c>
      <c r="AN1022" s="743"/>
      <c r="AO1022" s="743"/>
    </row>
    <row r="1023" spans="1:41" s="267" customFormat="1" ht="15.75" thickBot="1" x14ac:dyDescent="0.3">
      <c r="A1023" s="1054" t="s">
        <v>0</v>
      </c>
      <c r="B1023" s="1066"/>
      <c r="C1023" s="298" t="s">
        <v>99</v>
      </c>
      <c r="D1023" s="291" t="s">
        <v>100</v>
      </c>
      <c r="E1023" s="298" t="s">
        <v>101</v>
      </c>
      <c r="F1023" s="306" t="s">
        <v>102</v>
      </c>
      <c r="G1023" s="306" t="s">
        <v>97</v>
      </c>
      <c r="H1023" s="306" t="s">
        <v>104</v>
      </c>
      <c r="I1023" s="306" t="s">
        <v>103</v>
      </c>
      <c r="J1023" s="314" t="s">
        <v>178</v>
      </c>
      <c r="K1023" s="298" t="s">
        <v>105</v>
      </c>
      <c r="L1023" s="306" t="s">
        <v>107</v>
      </c>
      <c r="M1023" s="312" t="s">
        <v>98</v>
      </c>
      <c r="N1023" s="313" t="s">
        <v>106</v>
      </c>
      <c r="O1023" s="291" t="s">
        <v>179</v>
      </c>
      <c r="P1023" s="317" t="s">
        <v>182</v>
      </c>
      <c r="Q1023" s="291" t="s">
        <v>184</v>
      </c>
      <c r="R1023" s="12"/>
      <c r="S1023" s="12"/>
      <c r="T1023" s="12"/>
      <c r="U1023" s="12"/>
      <c r="V1023" s="12"/>
      <c r="W1023" s="12"/>
      <c r="X1023" s="12"/>
      <c r="Y1023" s="12"/>
      <c r="Z1023" s="12"/>
      <c r="AA1023" s="1054" t="s">
        <v>0</v>
      </c>
      <c r="AB1023" s="1066"/>
      <c r="AC1023" s="298" t="s">
        <v>99</v>
      </c>
      <c r="AD1023" s="938"/>
      <c r="AE1023" s="938"/>
      <c r="AF1023" s="938"/>
      <c r="AG1023" s="938"/>
      <c r="AH1023" s="938"/>
      <c r="AI1023" s="938"/>
      <c r="AJ1023" s="306" t="s">
        <v>104</v>
      </c>
      <c r="AK1023" s="291" t="s">
        <v>107</v>
      </c>
      <c r="AN1023" s="743"/>
      <c r="AO1023" s="743"/>
    </row>
    <row r="1024" spans="1:41" s="267" customFormat="1" ht="15" customHeight="1" x14ac:dyDescent="0.25">
      <c r="A1024" s="1057" t="s">
        <v>9</v>
      </c>
      <c r="B1024" s="19" t="s">
        <v>4</v>
      </c>
      <c r="C1024" s="299">
        <v>143392.20000000001</v>
      </c>
      <c r="D1024" s="265">
        <v>150515.79999999999</v>
      </c>
      <c r="E1024" s="299">
        <v>150515.79999999999</v>
      </c>
      <c r="F1024" s="283">
        <v>181997.8</v>
      </c>
      <c r="G1024" s="283">
        <v>165452.5</v>
      </c>
      <c r="H1024" s="283">
        <v>132132</v>
      </c>
      <c r="I1024" s="283">
        <v>121331.8</v>
      </c>
      <c r="J1024" s="265">
        <v>166077.9</v>
      </c>
      <c r="K1024" s="299">
        <v>193027</v>
      </c>
      <c r="L1024" s="283">
        <v>132132.20000000001</v>
      </c>
      <c r="M1024" s="283">
        <v>82726.3</v>
      </c>
      <c r="N1024" s="283">
        <v>176482.7</v>
      </c>
      <c r="O1024" s="265">
        <v>83039</v>
      </c>
      <c r="P1024" s="318">
        <v>55151</v>
      </c>
      <c r="Q1024" s="265">
        <v>33090.5</v>
      </c>
      <c r="R1024" s="70"/>
      <c r="S1024" s="70"/>
      <c r="T1024" s="70"/>
      <c r="U1024" s="70"/>
      <c r="V1024" s="70"/>
      <c r="W1024" s="70"/>
      <c r="X1024" s="70"/>
      <c r="Y1024" s="70"/>
      <c r="Z1024" s="70"/>
      <c r="AA1024" s="1060" t="s">
        <v>194</v>
      </c>
      <c r="AB1024" s="2" t="s">
        <v>4</v>
      </c>
      <c r="AC1024" s="299">
        <v>143392.20000000001</v>
      </c>
      <c r="AD1024" s="552"/>
      <c r="AE1024" s="552"/>
      <c r="AF1024" s="552"/>
      <c r="AG1024" s="552"/>
      <c r="AH1024" s="552"/>
      <c r="AI1024" s="552"/>
      <c r="AJ1024" s="283">
        <v>132132</v>
      </c>
      <c r="AK1024" s="265">
        <v>132132.20000000001</v>
      </c>
      <c r="AN1024" s="743"/>
      <c r="AO1024" s="743"/>
    </row>
    <row r="1025" spans="1:41" s="267" customFormat="1" x14ac:dyDescent="0.25">
      <c r="A1025" s="1058"/>
      <c r="B1025" s="293" t="s">
        <v>5</v>
      </c>
      <c r="C1025" s="300">
        <v>43218.8</v>
      </c>
      <c r="D1025" s="264">
        <v>77807.3</v>
      </c>
      <c r="E1025" s="300">
        <v>79376.7</v>
      </c>
      <c r="F1025" s="307">
        <v>157905</v>
      </c>
      <c r="G1025" s="307">
        <v>97600.7</v>
      </c>
      <c r="H1025" s="307">
        <v>50784</v>
      </c>
      <c r="I1025" s="307">
        <v>84147.7</v>
      </c>
      <c r="J1025" s="264">
        <v>13757.3</v>
      </c>
      <c r="K1025" s="300">
        <v>158636.5</v>
      </c>
      <c r="L1025" s="307">
        <v>65202.6</v>
      </c>
      <c r="M1025" s="307">
        <v>50310.9</v>
      </c>
      <c r="N1025" s="307">
        <v>154492.6</v>
      </c>
      <c r="O1025" s="264">
        <v>6979.2</v>
      </c>
      <c r="P1025" s="319">
        <v>6999.8</v>
      </c>
      <c r="Q1025" s="264">
        <v>3453.4</v>
      </c>
      <c r="R1025" s="70"/>
      <c r="S1025" s="70"/>
      <c r="T1025" s="70"/>
      <c r="U1025" s="70"/>
      <c r="V1025" s="70"/>
      <c r="W1025" s="70"/>
      <c r="X1025" s="70"/>
      <c r="Y1025" s="70"/>
      <c r="Z1025" s="70"/>
      <c r="AA1025" s="1061"/>
      <c r="AB1025" s="342" t="s">
        <v>5</v>
      </c>
      <c r="AC1025" s="300">
        <v>43218.8</v>
      </c>
      <c r="AD1025" s="631"/>
      <c r="AE1025" s="631"/>
      <c r="AF1025" s="631"/>
      <c r="AG1025" s="631"/>
      <c r="AH1025" s="631"/>
      <c r="AI1025" s="631"/>
      <c r="AJ1025" s="307">
        <v>50784</v>
      </c>
      <c r="AK1025" s="264">
        <v>65202.6</v>
      </c>
      <c r="AN1025" s="743"/>
      <c r="AO1025" s="743"/>
    </row>
    <row r="1026" spans="1:41" s="267" customFormat="1" ht="15.75" thickBot="1" x14ac:dyDescent="0.3">
      <c r="A1026" s="1059"/>
      <c r="B1026" s="294" t="s">
        <v>3</v>
      </c>
      <c r="C1026" s="305">
        <f t="shared" ref="C1026:Q1026" si="394">C1025/C1024</f>
        <v>0.30140272622918124</v>
      </c>
      <c r="D1026" s="343">
        <f t="shared" si="394"/>
        <v>0.51693775670062547</v>
      </c>
      <c r="E1026" s="305">
        <f t="shared" si="394"/>
        <v>0.5273645690352774</v>
      </c>
      <c r="F1026" s="278">
        <f t="shared" si="394"/>
        <v>0.86762037782874302</v>
      </c>
      <c r="G1026" s="278">
        <f t="shared" si="394"/>
        <v>0.58990163339931401</v>
      </c>
      <c r="H1026" s="278">
        <f t="shared" si="394"/>
        <v>0.38434292979747525</v>
      </c>
      <c r="I1026" s="278">
        <f t="shared" si="394"/>
        <v>0.69353376443768244</v>
      </c>
      <c r="J1026" s="292">
        <f t="shared" si="394"/>
        <v>8.2836427965430684E-2</v>
      </c>
      <c r="K1026" s="305">
        <f t="shared" si="394"/>
        <v>0.82183580535365519</v>
      </c>
      <c r="L1026" s="278">
        <f t="shared" si="394"/>
        <v>0.49346487835667607</v>
      </c>
      <c r="M1026" s="315">
        <f t="shared" si="394"/>
        <v>0.60816088716647543</v>
      </c>
      <c r="N1026" s="278">
        <f t="shared" si="394"/>
        <v>0.87539798518495016</v>
      </c>
      <c r="O1026" s="292">
        <f t="shared" si="394"/>
        <v>8.4047254904322063E-2</v>
      </c>
      <c r="P1026" s="320">
        <f t="shared" si="394"/>
        <v>0.1269206360718754</v>
      </c>
      <c r="Q1026" s="292">
        <f t="shared" si="394"/>
        <v>0.10436227920400115</v>
      </c>
      <c r="R1026" s="70"/>
      <c r="S1026" s="70"/>
      <c r="T1026" s="70"/>
      <c r="U1026" s="70"/>
      <c r="V1026" s="70"/>
      <c r="W1026" s="70"/>
      <c r="X1026" s="70"/>
      <c r="Y1026" s="70"/>
      <c r="Z1026" s="70"/>
      <c r="AA1026" s="1062"/>
      <c r="AB1026" s="347" t="s">
        <v>3</v>
      </c>
      <c r="AC1026" s="301">
        <f>AC1025/AC1024</f>
        <v>0.30140272622918124</v>
      </c>
      <c r="AD1026" s="939"/>
      <c r="AE1026" s="939"/>
      <c r="AF1026" s="939"/>
      <c r="AG1026" s="939"/>
      <c r="AH1026" s="939"/>
      <c r="AI1026" s="939"/>
      <c r="AJ1026" s="278">
        <f>AJ1025/AJ1024</f>
        <v>0.38434292979747525</v>
      </c>
      <c r="AK1026" s="292">
        <f>AK1025/AK1024</f>
        <v>0.49346487835667607</v>
      </c>
      <c r="AN1026" s="743"/>
      <c r="AO1026" s="743"/>
    </row>
    <row r="1027" spans="1:41" s="267" customFormat="1" ht="15" customHeight="1" x14ac:dyDescent="0.25">
      <c r="A1027" s="1060" t="s">
        <v>6</v>
      </c>
      <c r="B1027" s="19" t="s">
        <v>7</v>
      </c>
      <c r="C1027" s="297">
        <v>5870</v>
      </c>
      <c r="D1027" s="266">
        <v>3333</v>
      </c>
      <c r="E1027" s="297">
        <v>3330</v>
      </c>
      <c r="F1027" s="277">
        <v>9457</v>
      </c>
      <c r="G1027" s="277">
        <v>8210</v>
      </c>
      <c r="H1027" s="277">
        <v>15543</v>
      </c>
      <c r="I1027" s="277">
        <v>7403</v>
      </c>
      <c r="J1027" s="266">
        <v>9599</v>
      </c>
      <c r="K1027" s="297">
        <v>9289</v>
      </c>
      <c r="L1027" s="277">
        <v>12295</v>
      </c>
      <c r="M1027" s="277">
        <v>4145</v>
      </c>
      <c r="N1027" s="277">
        <v>10027</v>
      </c>
      <c r="O1027" s="266">
        <v>4799</v>
      </c>
      <c r="P1027" s="321">
        <v>2000</v>
      </c>
      <c r="Q1027" s="266">
        <v>1250</v>
      </c>
      <c r="R1027" s="358" t="s">
        <v>197</v>
      </c>
      <c r="S1027" s="126"/>
      <c r="T1027" s="70"/>
      <c r="U1027" s="70"/>
      <c r="V1027" s="70"/>
      <c r="W1027" s="70"/>
      <c r="X1027" s="70"/>
      <c r="Y1027" s="70"/>
      <c r="Z1027" s="70"/>
      <c r="AA1027" s="1060" t="s">
        <v>190</v>
      </c>
      <c r="AB1027" s="19" t="s">
        <v>4</v>
      </c>
      <c r="AC1027" s="299">
        <v>9191.7999999999993</v>
      </c>
      <c r="AD1027" s="552"/>
      <c r="AE1027" s="552"/>
      <c r="AF1027" s="552"/>
      <c r="AG1027" s="552"/>
      <c r="AH1027" s="552"/>
      <c r="AI1027" s="552"/>
      <c r="AJ1027" s="283">
        <v>13787.7</v>
      </c>
      <c r="AK1027" s="265">
        <v>13787.7</v>
      </c>
      <c r="AN1027" s="743"/>
      <c r="AO1027" s="743"/>
    </row>
    <row r="1028" spans="1:41" s="267" customFormat="1" x14ac:dyDescent="0.25">
      <c r="A1028" s="1061"/>
      <c r="B1028" s="295" t="s">
        <v>11</v>
      </c>
      <c r="C1028" s="302">
        <f t="shared" ref="C1028:Q1028" si="395">C1027*33.717</f>
        <v>197918.78999999998</v>
      </c>
      <c r="D1028" s="263">
        <f t="shared" si="395"/>
        <v>112378.761</v>
      </c>
      <c r="E1028" s="302">
        <f t="shared" si="395"/>
        <v>112277.61</v>
      </c>
      <c r="F1028" s="355">
        <f t="shared" si="395"/>
        <v>318861.66899999999</v>
      </c>
      <c r="G1028" s="308">
        <f t="shared" si="395"/>
        <v>276816.57</v>
      </c>
      <c r="H1028" s="354">
        <f t="shared" si="395"/>
        <v>524063.33100000001</v>
      </c>
      <c r="I1028" s="354">
        <f t="shared" si="395"/>
        <v>249606.951</v>
      </c>
      <c r="J1028" s="354">
        <f t="shared" si="395"/>
        <v>323649.48300000001</v>
      </c>
      <c r="K1028" s="322">
        <f t="shared" si="395"/>
        <v>313197.21299999999</v>
      </c>
      <c r="L1028" s="308">
        <f t="shared" si="395"/>
        <v>414550.51499999996</v>
      </c>
      <c r="M1028" s="308">
        <f t="shared" si="395"/>
        <v>139756.965</v>
      </c>
      <c r="N1028" s="354">
        <f t="shared" si="395"/>
        <v>338080.359</v>
      </c>
      <c r="O1028" s="354">
        <f t="shared" si="395"/>
        <v>161807.883</v>
      </c>
      <c r="P1028" s="302">
        <f t="shared" si="395"/>
        <v>67434</v>
      </c>
      <c r="Q1028" s="354">
        <f t="shared" si="395"/>
        <v>42146.25</v>
      </c>
      <c r="R1028" s="70"/>
      <c r="S1028" s="70"/>
      <c r="T1028" s="70"/>
      <c r="U1028" s="70"/>
      <c r="V1028" s="70"/>
      <c r="W1028" s="70"/>
      <c r="X1028" s="70"/>
      <c r="Y1028" s="70"/>
      <c r="Z1028" s="70"/>
      <c r="AA1028" s="1061"/>
      <c r="AB1028" s="293" t="s">
        <v>5</v>
      </c>
      <c r="AC1028" s="300">
        <v>8148.7</v>
      </c>
      <c r="AD1028" s="631"/>
      <c r="AE1028" s="631"/>
      <c r="AF1028" s="631"/>
      <c r="AG1028" s="631"/>
      <c r="AH1028" s="631"/>
      <c r="AI1028" s="631"/>
      <c r="AJ1028" s="307">
        <v>13638.2</v>
      </c>
      <c r="AK1028" s="264">
        <v>13648.9</v>
      </c>
      <c r="AN1028" s="743"/>
      <c r="AO1028" s="743"/>
    </row>
    <row r="1029" spans="1:41" s="267" customFormat="1" ht="15.75" thickBot="1" x14ac:dyDescent="0.3">
      <c r="A1029" s="1061"/>
      <c r="B1029" s="295" t="s">
        <v>79</v>
      </c>
      <c r="C1029" s="302">
        <v>164000</v>
      </c>
      <c r="D1029" s="263">
        <v>109880</v>
      </c>
      <c r="E1029" s="302">
        <v>109880</v>
      </c>
      <c r="F1029" s="308">
        <v>328000</v>
      </c>
      <c r="G1029" s="308">
        <v>330905</v>
      </c>
      <c r="H1029" s="308">
        <v>264264</v>
      </c>
      <c r="I1029" s="308">
        <v>242663.6</v>
      </c>
      <c r="J1029" s="263">
        <v>328000</v>
      </c>
      <c r="K1029" s="302">
        <v>328000</v>
      </c>
      <c r="L1029" s="308">
        <v>264264.40000000002</v>
      </c>
      <c r="M1029" s="308">
        <v>328000</v>
      </c>
      <c r="N1029" s="308">
        <v>352965.4</v>
      </c>
      <c r="O1029" s="263">
        <v>328000</v>
      </c>
      <c r="P1029" s="322">
        <f>2*P1024</f>
        <v>110302</v>
      </c>
      <c r="Q1029" s="263">
        <f>2*Q1024</f>
        <v>66181</v>
      </c>
      <c r="R1029" s="70"/>
      <c r="S1029" s="70"/>
      <c r="T1029" s="70"/>
      <c r="U1029" s="70"/>
      <c r="V1029" s="70"/>
      <c r="W1029" s="70"/>
      <c r="X1029" s="70"/>
      <c r="Y1029" s="70"/>
      <c r="Z1029" s="70"/>
      <c r="AA1029" s="1062"/>
      <c r="AB1029" s="344" t="s">
        <v>3</v>
      </c>
      <c r="AC1029" s="301">
        <f>AC1028/AC1027</f>
        <v>0.88651841859048286</v>
      </c>
      <c r="AD1029" s="939"/>
      <c r="AE1029" s="939"/>
      <c r="AF1029" s="939"/>
      <c r="AG1029" s="939"/>
      <c r="AH1029" s="939"/>
      <c r="AI1029" s="939"/>
      <c r="AJ1029" s="249">
        <f>AJ1028/AJ1027</f>
        <v>0.98915700225563363</v>
      </c>
      <c r="AK1029" s="348">
        <f>AK1028/AK1027</f>
        <v>0.98993305627479555</v>
      </c>
      <c r="AN1029" s="743"/>
      <c r="AO1029" s="743"/>
    </row>
    <row r="1030" spans="1:41" s="267" customFormat="1" ht="15" customHeight="1" x14ac:dyDescent="0.25">
      <c r="A1030" s="1061"/>
      <c r="B1030" s="293" t="s">
        <v>8</v>
      </c>
      <c r="C1030" s="303">
        <f>SUM(C1027-159)</f>
        <v>5711</v>
      </c>
      <c r="D1030" s="262">
        <f>SUM(D1027-686)</f>
        <v>2647</v>
      </c>
      <c r="E1030" s="303">
        <f>SUM(E1027-652)</f>
        <v>2678</v>
      </c>
      <c r="F1030" s="309">
        <f>SUM(F1027-1211)</f>
        <v>8246</v>
      </c>
      <c r="G1030" s="309">
        <f>SUM(G1027-4446)</f>
        <v>3764</v>
      </c>
      <c r="H1030" s="309">
        <f>SUM(H1027-2089)</f>
        <v>13454</v>
      </c>
      <c r="I1030" s="309">
        <f>SUM(I1027-(3166-2000))</f>
        <v>6237</v>
      </c>
      <c r="J1030" s="262">
        <f>SUM(J1027-9230)</f>
        <v>369</v>
      </c>
      <c r="K1030" s="303">
        <f>SUM(K1027-909)</f>
        <v>8380</v>
      </c>
      <c r="L1030" s="309">
        <f>SUM(L1027-1256)</f>
        <v>11039</v>
      </c>
      <c r="M1030" s="316">
        <f>SUM(M1027-234)</f>
        <v>3911</v>
      </c>
      <c r="N1030" s="309">
        <f>SUM(N1027-(5053-2614))</f>
        <v>7588</v>
      </c>
      <c r="O1030" s="262">
        <f>SUM(O1027-3961)</f>
        <v>838</v>
      </c>
      <c r="P1030" s="323">
        <f>SUM(P1027-1057)</f>
        <v>943</v>
      </c>
      <c r="Q1030" s="262">
        <f>SUM(Q1027-767)</f>
        <v>483</v>
      </c>
      <c r="R1030" s="12" t="s">
        <v>176</v>
      </c>
      <c r="S1030" s="70"/>
      <c r="T1030" s="70"/>
      <c r="U1030" s="70"/>
      <c r="V1030" s="70"/>
      <c r="W1030" s="70"/>
      <c r="X1030" s="70"/>
      <c r="Y1030" s="70"/>
      <c r="Z1030" s="70"/>
      <c r="AA1030" s="1060" t="s">
        <v>191</v>
      </c>
      <c r="AB1030" s="19" t="s">
        <v>4</v>
      </c>
      <c r="AC1030" s="299">
        <v>97433.600000000006</v>
      </c>
      <c r="AD1030" s="552"/>
      <c r="AE1030" s="552"/>
      <c r="AF1030" s="552"/>
      <c r="AG1030" s="552"/>
      <c r="AH1030" s="552"/>
      <c r="AI1030" s="552"/>
      <c r="AJ1030" s="283">
        <v>243584.4</v>
      </c>
      <c r="AK1030" s="265">
        <v>292299.3</v>
      </c>
      <c r="AN1030" s="743"/>
      <c r="AO1030" s="743"/>
    </row>
    <row r="1031" spans="1:41" s="267" customFormat="1" x14ac:dyDescent="0.25">
      <c r="A1031" s="1061"/>
      <c r="B1031" s="296" t="s">
        <v>77</v>
      </c>
      <c r="C1031" s="302">
        <f>(C1030*33.717)</f>
        <v>192557.78699999998</v>
      </c>
      <c r="D1031" s="338">
        <f>(D1030*33.717)</f>
        <v>89248.89899999999</v>
      </c>
      <c r="E1031" s="302">
        <f>(E1030*33.717)</f>
        <v>90294.126000000004</v>
      </c>
      <c r="F1031" s="338">
        <f>(F1030*33.717)</f>
        <v>278030.38199999998</v>
      </c>
      <c r="G1031" s="280">
        <f>(G1030*33.717)*2</f>
        <v>253821.576</v>
      </c>
      <c r="H1031" s="280">
        <f>(H1030*33.717)</f>
        <v>453628.51799999998</v>
      </c>
      <c r="I1031" s="280">
        <f>(I1030*33.717)-(2000*33.717)</f>
        <v>142858.929</v>
      </c>
      <c r="J1031" s="261">
        <f>J1030*33.717</f>
        <v>12441.573</v>
      </c>
      <c r="K1031" s="304">
        <f>K1030*33.717</f>
        <v>282548.45999999996</v>
      </c>
      <c r="L1031" s="280">
        <f>L1030*33.717</f>
        <v>372201.96299999999</v>
      </c>
      <c r="M1031" s="280">
        <f>(M1030*33.717)</f>
        <v>131867.18700000001</v>
      </c>
      <c r="N1031" s="280">
        <f>N1030*33.717</f>
        <v>255844.59599999999</v>
      </c>
      <c r="O1031" s="261">
        <f>O1030*33.717</f>
        <v>28254.845999999998</v>
      </c>
      <c r="P1031" s="324">
        <f>P1030*33.717</f>
        <v>31795.130999999998</v>
      </c>
      <c r="Q1031" s="325">
        <f>Q1030*33.717</f>
        <v>16285.311</v>
      </c>
      <c r="R1031" s="63">
        <f>344240-H1031</f>
        <v>-109388.51799999998</v>
      </c>
      <c r="S1031" s="70" t="s">
        <v>177</v>
      </c>
      <c r="T1031" s="70"/>
      <c r="U1031" s="70"/>
      <c r="V1031" s="70"/>
      <c r="W1031" s="70"/>
      <c r="X1031" s="70"/>
      <c r="Y1031" s="70"/>
      <c r="Z1031" s="70"/>
      <c r="AA1031" s="1061"/>
      <c r="AB1031" s="293" t="s">
        <v>5</v>
      </c>
      <c r="AC1031" s="300">
        <v>70245.5</v>
      </c>
      <c r="AD1031" s="631"/>
      <c r="AE1031" s="631"/>
      <c r="AF1031" s="631"/>
      <c r="AG1031" s="631"/>
      <c r="AH1031" s="631"/>
      <c r="AI1031" s="631"/>
      <c r="AJ1031" s="307">
        <v>90695.9</v>
      </c>
      <c r="AK1031" s="264">
        <v>76505.7</v>
      </c>
      <c r="AN1031" s="743"/>
      <c r="AO1031" s="743"/>
    </row>
    <row r="1032" spans="1:41" s="267" customFormat="1" ht="15.75" thickBot="1" x14ac:dyDescent="0.3">
      <c r="A1032" s="1062"/>
      <c r="B1032" s="294" t="s">
        <v>10</v>
      </c>
      <c r="C1032" s="305">
        <f t="shared" ref="C1032:Q1032" si="396">C1031/C1024</f>
        <v>1.3428749053295783</v>
      </c>
      <c r="D1032" s="292">
        <f t="shared" si="396"/>
        <v>0.59295368991162389</v>
      </c>
      <c r="E1032" s="310">
        <f t="shared" si="396"/>
        <v>0.59989799077571926</v>
      </c>
      <c r="F1032" s="282">
        <f t="shared" si="396"/>
        <v>1.5276579277331923</v>
      </c>
      <c r="G1032" s="282">
        <f t="shared" si="396"/>
        <v>1.534105413940557</v>
      </c>
      <c r="H1032" s="282">
        <f t="shared" si="396"/>
        <v>3.4331465352828987</v>
      </c>
      <c r="I1032" s="282">
        <f t="shared" si="396"/>
        <v>1.1774236350239591</v>
      </c>
      <c r="J1032" s="311">
        <f t="shared" si="396"/>
        <v>7.4914079477161027E-2</v>
      </c>
      <c r="K1032" s="310">
        <f t="shared" si="396"/>
        <v>1.4637768809544778</v>
      </c>
      <c r="L1032" s="282">
        <f t="shared" si="396"/>
        <v>2.8168906822106945</v>
      </c>
      <c r="M1032" s="282">
        <f t="shared" si="396"/>
        <v>1.5940177065818246</v>
      </c>
      <c r="N1032" s="260">
        <f t="shared" si="396"/>
        <v>1.4496865471799785</v>
      </c>
      <c r="O1032" s="311">
        <f t="shared" si="396"/>
        <v>0.34025995014390825</v>
      </c>
      <c r="P1032" s="305">
        <f t="shared" si="396"/>
        <v>0.57651050751572952</v>
      </c>
      <c r="Q1032" s="292">
        <f t="shared" si="396"/>
        <v>0.4921446034360315</v>
      </c>
      <c r="R1032" s="126"/>
      <c r="S1032" s="70"/>
      <c r="T1032" s="70"/>
      <c r="U1032" s="70"/>
      <c r="V1032" s="70"/>
      <c r="W1032" s="70"/>
      <c r="X1032" s="70"/>
      <c r="Y1032" s="70"/>
      <c r="Z1032" s="70"/>
      <c r="AA1032" s="1062"/>
      <c r="AB1032" s="294" t="s">
        <v>3</v>
      </c>
      <c r="AC1032" s="305">
        <f>AC1031/AC1030</f>
        <v>0.72095765731739359</v>
      </c>
      <c r="AD1032" s="636"/>
      <c r="AE1032" s="636"/>
      <c r="AF1032" s="636"/>
      <c r="AG1032" s="636"/>
      <c r="AH1032" s="636"/>
      <c r="AI1032" s="636"/>
      <c r="AJ1032" s="278">
        <f>AJ1031/AJ1030</f>
        <v>0.37233870477748165</v>
      </c>
      <c r="AK1032" s="343">
        <f>AK1031/AK1030</f>
        <v>0.26173754093834639</v>
      </c>
      <c r="AN1032" s="743"/>
      <c r="AO1032" s="743"/>
    </row>
    <row r="1033" spans="1:41" s="267" customFormat="1" ht="15.75" thickBot="1" x14ac:dyDescent="0.3">
      <c r="A1033" s="1048">
        <v>41393</v>
      </c>
      <c r="B1033" s="1048"/>
      <c r="C1033" s="1048"/>
      <c r="D1033" s="276"/>
      <c r="E1033" s="276"/>
      <c r="F1033" s="276"/>
      <c r="G1033" s="276"/>
      <c r="H1033" s="276"/>
      <c r="I1033" s="11"/>
      <c r="J1033" s="281"/>
      <c r="K1033" s="281"/>
      <c r="L1033" s="276"/>
      <c r="M1033" s="276"/>
      <c r="N1033" s="13"/>
      <c r="R1033" s="12"/>
      <c r="S1033" s="70"/>
      <c r="T1033" s="70"/>
      <c r="U1033" s="70"/>
      <c r="V1033" s="70"/>
      <c r="W1033" s="70"/>
      <c r="X1033" s="70"/>
      <c r="Y1033" s="70"/>
      <c r="Z1033" s="70"/>
      <c r="AA1033" s="1063"/>
      <c r="AB1033" s="1064"/>
      <c r="AD1033" s="743"/>
      <c r="AE1033" s="743"/>
      <c r="AF1033" s="743"/>
      <c r="AG1033" s="743"/>
      <c r="AH1033" s="743"/>
      <c r="AI1033" s="743"/>
      <c r="AN1033" s="743"/>
      <c r="AO1033" s="743"/>
    </row>
    <row r="1034" spans="1:41" s="267" customFormat="1" x14ac:dyDescent="0.25">
      <c r="A1034" s="1049" t="s">
        <v>1</v>
      </c>
      <c r="B1034" s="1050"/>
      <c r="C1034" s="297" t="s">
        <v>12</v>
      </c>
      <c r="D1034" s="266" t="s">
        <v>12</v>
      </c>
      <c r="E1034" s="297" t="s">
        <v>13</v>
      </c>
      <c r="F1034" s="277" t="s">
        <v>13</v>
      </c>
      <c r="G1034" s="277" t="s">
        <v>13</v>
      </c>
      <c r="H1034" s="277" t="s">
        <v>13</v>
      </c>
      <c r="I1034" s="277" t="s">
        <v>13</v>
      </c>
      <c r="J1034" s="266" t="s">
        <v>13</v>
      </c>
      <c r="K1034" s="297" t="s">
        <v>2</v>
      </c>
      <c r="L1034" s="277" t="s">
        <v>2</v>
      </c>
      <c r="M1034" s="286" t="s">
        <v>2</v>
      </c>
      <c r="N1034" s="277" t="s">
        <v>2</v>
      </c>
      <c r="O1034" s="266" t="s">
        <v>2</v>
      </c>
      <c r="P1034" s="328" t="s">
        <v>183</v>
      </c>
      <c r="Q1034" s="327" t="s">
        <v>183</v>
      </c>
      <c r="R1034" s="12"/>
      <c r="S1034" s="70"/>
      <c r="T1034" s="70"/>
      <c r="U1034" s="70"/>
      <c r="V1034" s="70"/>
      <c r="W1034" s="70"/>
      <c r="X1034" s="70"/>
      <c r="Y1034" s="70"/>
      <c r="Z1034" s="70"/>
      <c r="AA1034" s="1049" t="s">
        <v>1</v>
      </c>
      <c r="AB1034" s="1050"/>
      <c r="AC1034" s="297" t="s">
        <v>12</v>
      </c>
      <c r="AD1034" s="937"/>
      <c r="AE1034" s="937"/>
      <c r="AF1034" s="937"/>
      <c r="AG1034" s="937"/>
      <c r="AH1034" s="937"/>
      <c r="AI1034" s="937"/>
      <c r="AJ1034" s="277" t="s">
        <v>13</v>
      </c>
      <c r="AK1034" s="266" t="s">
        <v>2</v>
      </c>
      <c r="AN1034" s="743"/>
      <c r="AO1034" s="743"/>
    </row>
    <row r="1035" spans="1:41" s="267" customFormat="1" ht="15.75" thickBot="1" x14ac:dyDescent="0.3">
      <c r="A1035" s="1054" t="s">
        <v>0</v>
      </c>
      <c r="B1035" s="1066"/>
      <c r="C1035" s="298" t="s">
        <v>99</v>
      </c>
      <c r="D1035" s="291" t="s">
        <v>100</v>
      </c>
      <c r="E1035" s="298" t="s">
        <v>101</v>
      </c>
      <c r="F1035" s="306" t="s">
        <v>102</v>
      </c>
      <c r="G1035" s="306" t="s">
        <v>97</v>
      </c>
      <c r="H1035" s="306" t="s">
        <v>104</v>
      </c>
      <c r="I1035" s="306" t="s">
        <v>103</v>
      </c>
      <c r="J1035" s="314" t="s">
        <v>178</v>
      </c>
      <c r="K1035" s="298" t="s">
        <v>105</v>
      </c>
      <c r="L1035" s="306" t="s">
        <v>107</v>
      </c>
      <c r="M1035" s="312" t="s">
        <v>98</v>
      </c>
      <c r="N1035" s="313" t="s">
        <v>106</v>
      </c>
      <c r="O1035" s="291" t="s">
        <v>179</v>
      </c>
      <c r="P1035" s="317" t="s">
        <v>182</v>
      </c>
      <c r="Q1035" s="291" t="s">
        <v>184</v>
      </c>
      <c r="R1035" s="12"/>
      <c r="S1035" s="12"/>
      <c r="T1035" s="12"/>
      <c r="U1035" s="12"/>
      <c r="V1035" s="12"/>
      <c r="W1035" s="12"/>
      <c r="X1035" s="12"/>
      <c r="Y1035" s="12"/>
      <c r="Z1035" s="12"/>
      <c r="AA1035" s="1054" t="s">
        <v>0</v>
      </c>
      <c r="AB1035" s="1066"/>
      <c r="AC1035" s="298" t="s">
        <v>99</v>
      </c>
      <c r="AD1035" s="938"/>
      <c r="AE1035" s="938"/>
      <c r="AF1035" s="938"/>
      <c r="AG1035" s="938"/>
      <c r="AH1035" s="938"/>
      <c r="AI1035" s="938"/>
      <c r="AJ1035" s="306" t="s">
        <v>104</v>
      </c>
      <c r="AK1035" s="291" t="s">
        <v>107</v>
      </c>
      <c r="AN1035" s="743"/>
      <c r="AO1035" s="743"/>
    </row>
    <row r="1036" spans="1:41" s="267" customFormat="1" ht="15" customHeight="1" x14ac:dyDescent="0.25">
      <c r="A1036" s="1057" t="s">
        <v>9</v>
      </c>
      <c r="B1036" s="19" t="s">
        <v>4</v>
      </c>
      <c r="C1036" s="299">
        <v>143392.20000000001</v>
      </c>
      <c r="D1036" s="265">
        <v>150515.79999999999</v>
      </c>
      <c r="E1036" s="299">
        <v>150515.79999999999</v>
      </c>
      <c r="F1036" s="283">
        <v>181997.8</v>
      </c>
      <c r="G1036" s="283">
        <v>165452.5</v>
      </c>
      <c r="H1036" s="283">
        <v>132132</v>
      </c>
      <c r="I1036" s="283">
        <v>121331.8</v>
      </c>
      <c r="J1036" s="265">
        <v>166077.9</v>
      </c>
      <c r="K1036" s="299">
        <v>193027</v>
      </c>
      <c r="L1036" s="283">
        <v>132132.20000000001</v>
      </c>
      <c r="M1036" s="283">
        <v>82726.3</v>
      </c>
      <c r="N1036" s="283">
        <v>176482.7</v>
      </c>
      <c r="O1036" s="265">
        <v>83039</v>
      </c>
      <c r="P1036" s="318">
        <v>55151</v>
      </c>
      <c r="Q1036" s="265">
        <v>33090.5</v>
      </c>
      <c r="R1036" s="70"/>
      <c r="S1036" s="70"/>
      <c r="T1036" s="70"/>
      <c r="U1036" s="70"/>
      <c r="V1036" s="70"/>
      <c r="W1036" s="70"/>
      <c r="X1036" s="70"/>
      <c r="Y1036" s="70"/>
      <c r="Z1036" s="70"/>
      <c r="AA1036" s="1060" t="s">
        <v>194</v>
      </c>
      <c r="AB1036" s="2" t="s">
        <v>4</v>
      </c>
      <c r="AC1036" s="299">
        <v>143392.20000000001</v>
      </c>
      <c r="AD1036" s="552"/>
      <c r="AE1036" s="552"/>
      <c r="AF1036" s="552"/>
      <c r="AG1036" s="552"/>
      <c r="AH1036" s="552"/>
      <c r="AI1036" s="552"/>
      <c r="AJ1036" s="283">
        <v>132132</v>
      </c>
      <c r="AK1036" s="265">
        <v>132132.20000000001</v>
      </c>
      <c r="AN1036" s="743"/>
      <c r="AO1036" s="743"/>
    </row>
    <row r="1037" spans="1:41" s="267" customFormat="1" x14ac:dyDescent="0.25">
      <c r="A1037" s="1058"/>
      <c r="B1037" s="293" t="s">
        <v>5</v>
      </c>
      <c r="C1037" s="300">
        <v>42452.9</v>
      </c>
      <c r="D1037" s="264">
        <v>77798.5</v>
      </c>
      <c r="E1037" s="300">
        <v>79368</v>
      </c>
      <c r="F1037" s="307">
        <v>157790.20000000001</v>
      </c>
      <c r="G1037" s="307">
        <v>97448.1</v>
      </c>
      <c r="H1037" s="307">
        <v>51518.3</v>
      </c>
      <c r="I1037" s="307">
        <v>84056.7</v>
      </c>
      <c r="J1037" s="264">
        <v>13757.2</v>
      </c>
      <c r="K1037" s="300">
        <v>158575.20000000001</v>
      </c>
      <c r="L1037" s="307">
        <v>64981.5</v>
      </c>
      <c r="M1037" s="307">
        <v>50227.5</v>
      </c>
      <c r="N1037" s="307">
        <v>154514.9</v>
      </c>
      <c r="O1037" s="264">
        <v>6979.2</v>
      </c>
      <c r="P1037" s="319">
        <v>6996.7</v>
      </c>
      <c r="Q1037" s="264">
        <v>3446.7</v>
      </c>
      <c r="R1037" s="70"/>
      <c r="S1037" s="70"/>
      <c r="T1037" s="70"/>
      <c r="U1037" s="70"/>
      <c r="V1037" s="70"/>
      <c r="W1037" s="70"/>
      <c r="X1037" s="70"/>
      <c r="Y1037" s="70"/>
      <c r="Z1037" s="70"/>
      <c r="AA1037" s="1061"/>
      <c r="AB1037" s="342" t="s">
        <v>5</v>
      </c>
      <c r="AC1037" s="300">
        <v>42452.9</v>
      </c>
      <c r="AD1037" s="631"/>
      <c r="AE1037" s="631"/>
      <c r="AF1037" s="631"/>
      <c r="AG1037" s="631"/>
      <c r="AH1037" s="631"/>
      <c r="AI1037" s="631"/>
      <c r="AJ1037" s="307">
        <v>51518.3</v>
      </c>
      <c r="AK1037" s="264">
        <v>64981.5</v>
      </c>
      <c r="AN1037" s="743"/>
      <c r="AO1037" s="743"/>
    </row>
    <row r="1038" spans="1:41" s="267" customFormat="1" ht="15.75" thickBot="1" x14ac:dyDescent="0.3">
      <c r="A1038" s="1059"/>
      <c r="B1038" s="294" t="s">
        <v>3</v>
      </c>
      <c r="C1038" s="305">
        <f t="shared" ref="C1038:Q1038" si="397">C1037/C1036</f>
        <v>0.29606143151440595</v>
      </c>
      <c r="D1038" s="343">
        <f t="shared" si="397"/>
        <v>0.51687929107774733</v>
      </c>
      <c r="E1038" s="305">
        <f t="shared" si="397"/>
        <v>0.52730676779447738</v>
      </c>
      <c r="F1038" s="278">
        <f t="shared" si="397"/>
        <v>0.86698960097319866</v>
      </c>
      <c r="G1038" s="278">
        <f t="shared" si="397"/>
        <v>0.58897931430470984</v>
      </c>
      <c r="H1038" s="278">
        <f t="shared" si="397"/>
        <v>0.38990025126388766</v>
      </c>
      <c r="I1038" s="278">
        <f t="shared" si="397"/>
        <v>0.6927837549595407</v>
      </c>
      <c r="J1038" s="292">
        <f t="shared" si="397"/>
        <v>8.283582583835658E-2</v>
      </c>
      <c r="K1038" s="305">
        <f t="shared" si="397"/>
        <v>0.82151823320053674</v>
      </c>
      <c r="L1038" s="278">
        <f t="shared" si="397"/>
        <v>0.49179155421615622</v>
      </c>
      <c r="M1038" s="315">
        <f t="shared" si="397"/>
        <v>0.607152743444346</v>
      </c>
      <c r="N1038" s="278">
        <f t="shared" si="397"/>
        <v>0.87552434317924632</v>
      </c>
      <c r="O1038" s="292">
        <f t="shared" si="397"/>
        <v>8.4047254904322063E-2</v>
      </c>
      <c r="P1038" s="320">
        <f t="shared" si="397"/>
        <v>0.12686442675563453</v>
      </c>
      <c r="Q1038" s="292">
        <f t="shared" si="397"/>
        <v>0.10415980417340323</v>
      </c>
      <c r="R1038" s="70"/>
      <c r="S1038" s="70"/>
      <c r="T1038" s="70"/>
      <c r="U1038" s="70"/>
      <c r="V1038" s="70"/>
      <c r="W1038" s="70"/>
      <c r="X1038" s="70"/>
      <c r="Y1038" s="70"/>
      <c r="Z1038" s="70"/>
      <c r="AA1038" s="1062"/>
      <c r="AB1038" s="347" t="s">
        <v>3</v>
      </c>
      <c r="AC1038" s="301">
        <f>AC1037/AC1036</f>
        <v>0.29606143151440595</v>
      </c>
      <c r="AD1038" s="939"/>
      <c r="AE1038" s="939"/>
      <c r="AF1038" s="939"/>
      <c r="AG1038" s="939"/>
      <c r="AH1038" s="939"/>
      <c r="AI1038" s="939"/>
      <c r="AJ1038" s="278">
        <f>AJ1037/AJ1036</f>
        <v>0.38990025126388766</v>
      </c>
      <c r="AK1038" s="292">
        <f>AK1037/AK1036</f>
        <v>0.49179155421615622</v>
      </c>
      <c r="AN1038" s="743"/>
      <c r="AO1038" s="743"/>
    </row>
    <row r="1039" spans="1:41" s="267" customFormat="1" ht="15" customHeight="1" x14ac:dyDescent="0.25">
      <c r="A1039" s="1060" t="s">
        <v>6</v>
      </c>
      <c r="B1039" s="19" t="s">
        <v>7</v>
      </c>
      <c r="C1039" s="297">
        <v>5870</v>
      </c>
      <c r="D1039" s="266">
        <v>3333</v>
      </c>
      <c r="E1039" s="297">
        <v>3330</v>
      </c>
      <c r="F1039" s="277">
        <v>9457</v>
      </c>
      <c r="G1039" s="277">
        <v>8210</v>
      </c>
      <c r="H1039" s="277">
        <v>15543</v>
      </c>
      <c r="I1039" s="277">
        <v>7403</v>
      </c>
      <c r="J1039" s="266">
        <v>9599</v>
      </c>
      <c r="K1039" s="297">
        <v>9289</v>
      </c>
      <c r="L1039" s="277">
        <v>12295</v>
      </c>
      <c r="M1039" s="277">
        <v>4145</v>
      </c>
      <c r="N1039" s="277">
        <v>10027</v>
      </c>
      <c r="O1039" s="266">
        <v>4799</v>
      </c>
      <c r="P1039" s="321">
        <v>2000</v>
      </c>
      <c r="Q1039" s="266">
        <v>1250</v>
      </c>
      <c r="R1039" s="358" t="s">
        <v>197</v>
      </c>
      <c r="S1039" s="126"/>
      <c r="T1039" s="70"/>
      <c r="U1039" s="70"/>
      <c r="V1039" s="70"/>
      <c r="W1039" s="70"/>
      <c r="X1039" s="70"/>
      <c r="Y1039" s="70"/>
      <c r="Z1039" s="70"/>
      <c r="AA1039" s="1060" t="s">
        <v>190</v>
      </c>
      <c r="AB1039" s="19" t="s">
        <v>4</v>
      </c>
      <c r="AC1039" s="299">
        <v>9191.7999999999993</v>
      </c>
      <c r="AD1039" s="552"/>
      <c r="AE1039" s="552"/>
      <c r="AF1039" s="552"/>
      <c r="AG1039" s="552"/>
      <c r="AH1039" s="552"/>
      <c r="AI1039" s="552"/>
      <c r="AJ1039" s="283">
        <v>13787.7</v>
      </c>
      <c r="AK1039" s="265">
        <v>13787.7</v>
      </c>
      <c r="AN1039" s="743"/>
      <c r="AO1039" s="743"/>
    </row>
    <row r="1040" spans="1:41" s="267" customFormat="1" x14ac:dyDescent="0.25">
      <c r="A1040" s="1061"/>
      <c r="B1040" s="295" t="s">
        <v>11</v>
      </c>
      <c r="C1040" s="302">
        <f t="shared" ref="C1040:Q1040" si="398">C1039*33.717</f>
        <v>197918.78999999998</v>
      </c>
      <c r="D1040" s="263">
        <f t="shared" si="398"/>
        <v>112378.761</v>
      </c>
      <c r="E1040" s="302">
        <f t="shared" si="398"/>
        <v>112277.61</v>
      </c>
      <c r="F1040" s="355">
        <f t="shared" si="398"/>
        <v>318861.66899999999</v>
      </c>
      <c r="G1040" s="308">
        <f t="shared" si="398"/>
        <v>276816.57</v>
      </c>
      <c r="H1040" s="354">
        <f t="shared" si="398"/>
        <v>524063.33100000001</v>
      </c>
      <c r="I1040" s="354">
        <f t="shared" si="398"/>
        <v>249606.951</v>
      </c>
      <c r="J1040" s="354">
        <f t="shared" si="398"/>
        <v>323649.48300000001</v>
      </c>
      <c r="K1040" s="322">
        <f t="shared" si="398"/>
        <v>313197.21299999999</v>
      </c>
      <c r="L1040" s="308">
        <f t="shared" si="398"/>
        <v>414550.51499999996</v>
      </c>
      <c r="M1040" s="308">
        <f t="shared" si="398"/>
        <v>139756.965</v>
      </c>
      <c r="N1040" s="354">
        <f t="shared" si="398"/>
        <v>338080.359</v>
      </c>
      <c r="O1040" s="354">
        <f t="shared" si="398"/>
        <v>161807.883</v>
      </c>
      <c r="P1040" s="302">
        <f t="shared" si="398"/>
        <v>67434</v>
      </c>
      <c r="Q1040" s="354">
        <f t="shared" si="398"/>
        <v>42146.25</v>
      </c>
      <c r="R1040" s="70"/>
      <c r="S1040" s="70"/>
      <c r="T1040" s="70"/>
      <c r="U1040" s="70"/>
      <c r="V1040" s="70"/>
      <c r="W1040" s="70"/>
      <c r="X1040" s="70"/>
      <c r="Y1040" s="70"/>
      <c r="Z1040" s="70"/>
      <c r="AA1040" s="1061"/>
      <c r="AB1040" s="293" t="s">
        <v>5</v>
      </c>
      <c r="AC1040" s="300">
        <v>8517.7000000000007</v>
      </c>
      <c r="AD1040" s="631"/>
      <c r="AE1040" s="631"/>
      <c r="AF1040" s="631"/>
      <c r="AG1040" s="631"/>
      <c r="AH1040" s="631"/>
      <c r="AI1040" s="631"/>
      <c r="AJ1040" s="307">
        <v>13649.2</v>
      </c>
      <c r="AK1040" s="264">
        <v>13649.1</v>
      </c>
      <c r="AN1040" s="743"/>
      <c r="AO1040" s="743"/>
    </row>
    <row r="1041" spans="1:41" s="267" customFormat="1" ht="15.75" thickBot="1" x14ac:dyDescent="0.3">
      <c r="A1041" s="1061"/>
      <c r="B1041" s="295" t="s">
        <v>79</v>
      </c>
      <c r="C1041" s="302">
        <v>164000</v>
      </c>
      <c r="D1041" s="263">
        <v>109880</v>
      </c>
      <c r="E1041" s="302">
        <v>109880</v>
      </c>
      <c r="F1041" s="308">
        <v>328000</v>
      </c>
      <c r="G1041" s="308">
        <v>330905</v>
      </c>
      <c r="H1041" s="308">
        <v>264264</v>
      </c>
      <c r="I1041" s="308">
        <v>242663.6</v>
      </c>
      <c r="J1041" s="263">
        <v>328000</v>
      </c>
      <c r="K1041" s="302">
        <v>328000</v>
      </c>
      <c r="L1041" s="308">
        <v>264264.40000000002</v>
      </c>
      <c r="M1041" s="308">
        <v>328000</v>
      </c>
      <c r="N1041" s="308">
        <v>352965.4</v>
      </c>
      <c r="O1041" s="263">
        <v>328000</v>
      </c>
      <c r="P1041" s="322">
        <f>2*P1036</f>
        <v>110302</v>
      </c>
      <c r="Q1041" s="263">
        <f>2*Q1036</f>
        <v>66181</v>
      </c>
      <c r="R1041" s="70"/>
      <c r="S1041" s="70"/>
      <c r="T1041" s="70"/>
      <c r="U1041" s="70"/>
      <c r="V1041" s="70"/>
      <c r="W1041" s="70"/>
      <c r="X1041" s="70"/>
      <c r="Y1041" s="70"/>
      <c r="Z1041" s="70"/>
      <c r="AA1041" s="1062"/>
      <c r="AB1041" s="344" t="s">
        <v>3</v>
      </c>
      <c r="AC1041" s="301">
        <f>AC1040/AC1039</f>
        <v>0.92666289518919054</v>
      </c>
      <c r="AD1041" s="939"/>
      <c r="AE1041" s="939"/>
      <c r="AF1041" s="939"/>
      <c r="AG1041" s="939"/>
      <c r="AH1041" s="939"/>
      <c r="AI1041" s="939"/>
      <c r="AJ1041" s="249">
        <f>AJ1040/AJ1039</f>
        <v>0.9899548147986974</v>
      </c>
      <c r="AK1041" s="348">
        <f>AK1040/AK1039</f>
        <v>0.98994756195739675</v>
      </c>
      <c r="AN1041" s="743"/>
      <c r="AO1041" s="743"/>
    </row>
    <row r="1042" spans="1:41" s="267" customFormat="1" ht="15" customHeight="1" x14ac:dyDescent="0.25">
      <c r="A1042" s="1061"/>
      <c r="B1042" s="293" t="s">
        <v>8</v>
      </c>
      <c r="C1042" s="303">
        <f>SUM(C1039-159)</f>
        <v>5711</v>
      </c>
      <c r="D1042" s="262">
        <f>SUM(D1039-686)</f>
        <v>2647</v>
      </c>
      <c r="E1042" s="303">
        <f>SUM(E1039-652)</f>
        <v>2678</v>
      </c>
      <c r="F1042" s="309">
        <f>SUM(F1039-1211)</f>
        <v>8246</v>
      </c>
      <c r="G1042" s="309">
        <f>SUM(G1039-4446)</f>
        <v>3764</v>
      </c>
      <c r="H1042" s="309">
        <f>SUM(H1039-2089)</f>
        <v>13454</v>
      </c>
      <c r="I1042" s="309">
        <f>SUM(I1039-(3174-2000))</f>
        <v>6229</v>
      </c>
      <c r="J1042" s="262">
        <f>SUM(J1039-9230)</f>
        <v>369</v>
      </c>
      <c r="K1042" s="303">
        <f>SUM(K1039-909)</f>
        <v>8380</v>
      </c>
      <c r="L1042" s="309">
        <f>SUM(L1039-1265)</f>
        <v>11030</v>
      </c>
      <c r="M1042" s="316">
        <f>SUM(M1039-234)</f>
        <v>3911</v>
      </c>
      <c r="N1042" s="309">
        <f>SUM(N1039-(5061-2614))</f>
        <v>7580</v>
      </c>
      <c r="O1042" s="262">
        <f>SUM(O1039-3991)</f>
        <v>808</v>
      </c>
      <c r="P1042" s="323">
        <f>SUM(P1039-1057)</f>
        <v>943</v>
      </c>
      <c r="Q1042" s="262">
        <f>SUM(Q1039-767)</f>
        <v>483</v>
      </c>
      <c r="R1042" s="12" t="s">
        <v>176</v>
      </c>
      <c r="S1042" s="70"/>
      <c r="T1042" s="70"/>
      <c r="U1042" s="70"/>
      <c r="V1042" s="70"/>
      <c r="W1042" s="70"/>
      <c r="X1042" s="70"/>
      <c r="Y1042" s="70"/>
      <c r="Z1042" s="70"/>
      <c r="AA1042" s="1060" t="s">
        <v>191</v>
      </c>
      <c r="AB1042" s="19" t="s">
        <v>4</v>
      </c>
      <c r="AC1042" s="299">
        <v>97433.600000000006</v>
      </c>
      <c r="AD1042" s="552"/>
      <c r="AE1042" s="552"/>
      <c r="AF1042" s="552"/>
      <c r="AG1042" s="552"/>
      <c r="AH1042" s="552"/>
      <c r="AI1042" s="552"/>
      <c r="AJ1042" s="283">
        <v>243584.4</v>
      </c>
      <c r="AK1042" s="265">
        <v>292299.3</v>
      </c>
      <c r="AN1042" s="743"/>
      <c r="AO1042" s="743"/>
    </row>
    <row r="1043" spans="1:41" s="267" customFormat="1" x14ac:dyDescent="0.25">
      <c r="A1043" s="1061"/>
      <c r="B1043" s="296" t="s">
        <v>77</v>
      </c>
      <c r="C1043" s="302">
        <f>(C1042*33.717)</f>
        <v>192557.78699999998</v>
      </c>
      <c r="D1043" s="338">
        <f>(D1042*33.717)</f>
        <v>89248.89899999999</v>
      </c>
      <c r="E1043" s="302">
        <f>(E1042*33.717)</f>
        <v>90294.126000000004</v>
      </c>
      <c r="F1043" s="338">
        <f>(F1042*33.717)</f>
        <v>278030.38199999998</v>
      </c>
      <c r="G1043" s="280">
        <f>(G1042*33.717)*2</f>
        <v>253821.576</v>
      </c>
      <c r="H1043" s="280">
        <f>(H1042*33.717)</f>
        <v>453628.51799999998</v>
      </c>
      <c r="I1043" s="280">
        <f>(I1042*33.717)-(2000*33.717)</f>
        <v>142589.193</v>
      </c>
      <c r="J1043" s="261">
        <f>J1042*33.717</f>
        <v>12441.573</v>
      </c>
      <c r="K1043" s="304">
        <f>K1042*33.717</f>
        <v>282548.45999999996</v>
      </c>
      <c r="L1043" s="280">
        <f>L1042*33.717</f>
        <v>371898.51</v>
      </c>
      <c r="M1043" s="280">
        <f>(M1042*33.717)</f>
        <v>131867.18700000001</v>
      </c>
      <c r="N1043" s="280">
        <f>N1042*33.717</f>
        <v>255574.86</v>
      </c>
      <c r="O1043" s="261">
        <f>O1042*33.717</f>
        <v>27243.335999999999</v>
      </c>
      <c r="P1043" s="324">
        <f>P1042*33.717</f>
        <v>31795.130999999998</v>
      </c>
      <c r="Q1043" s="325">
        <f>Q1042*33.717</f>
        <v>16285.311</v>
      </c>
      <c r="R1043" s="63">
        <f>344240-H1043</f>
        <v>-109388.51799999998</v>
      </c>
      <c r="S1043" s="70" t="s">
        <v>177</v>
      </c>
      <c r="T1043" s="70"/>
      <c r="U1043" s="70"/>
      <c r="V1043" s="70"/>
      <c r="W1043" s="70"/>
      <c r="X1043" s="70"/>
      <c r="Y1043" s="70"/>
      <c r="Z1043" s="70"/>
      <c r="AA1043" s="1061"/>
      <c r="AB1043" s="293" t="s">
        <v>5</v>
      </c>
      <c r="AC1043" s="300">
        <v>70623.3</v>
      </c>
      <c r="AD1043" s="631"/>
      <c r="AE1043" s="631"/>
      <c r="AF1043" s="631"/>
      <c r="AG1043" s="631"/>
      <c r="AH1043" s="631"/>
      <c r="AI1043" s="631"/>
      <c r="AJ1043" s="307">
        <v>89776.7</v>
      </c>
      <c r="AK1043" s="264">
        <v>76475</v>
      </c>
      <c r="AN1043" s="743"/>
      <c r="AO1043" s="743"/>
    </row>
    <row r="1044" spans="1:41" s="267" customFormat="1" ht="15.75" thickBot="1" x14ac:dyDescent="0.3">
      <c r="A1044" s="1062"/>
      <c r="B1044" s="294" t="s">
        <v>10</v>
      </c>
      <c r="C1044" s="305">
        <f t="shared" ref="C1044:Q1044" si="399">C1043/C1036</f>
        <v>1.3428749053295783</v>
      </c>
      <c r="D1044" s="292">
        <f t="shared" si="399"/>
        <v>0.59295368991162389</v>
      </c>
      <c r="E1044" s="310">
        <f t="shared" si="399"/>
        <v>0.59989799077571926</v>
      </c>
      <c r="F1044" s="282">
        <f t="shared" si="399"/>
        <v>1.5276579277331923</v>
      </c>
      <c r="G1044" s="282">
        <f t="shared" si="399"/>
        <v>1.534105413940557</v>
      </c>
      <c r="H1044" s="282">
        <f t="shared" si="399"/>
        <v>3.4331465352828987</v>
      </c>
      <c r="I1044" s="282">
        <f t="shared" si="399"/>
        <v>1.175200508028398</v>
      </c>
      <c r="J1044" s="311">
        <f t="shared" si="399"/>
        <v>7.4914079477161027E-2</v>
      </c>
      <c r="K1044" s="310">
        <f t="shared" si="399"/>
        <v>1.4637768809544778</v>
      </c>
      <c r="L1044" s="282">
        <f t="shared" si="399"/>
        <v>2.8145940959130322</v>
      </c>
      <c r="M1044" s="282">
        <f t="shared" si="399"/>
        <v>1.5940177065818246</v>
      </c>
      <c r="N1044" s="260">
        <f t="shared" si="399"/>
        <v>1.4481581480791033</v>
      </c>
      <c r="O1044" s="311">
        <f t="shared" si="399"/>
        <v>0.32807880634400705</v>
      </c>
      <c r="P1044" s="305">
        <f t="shared" si="399"/>
        <v>0.57651050751572952</v>
      </c>
      <c r="Q1044" s="292">
        <f t="shared" si="399"/>
        <v>0.4921446034360315</v>
      </c>
      <c r="R1044" s="126"/>
      <c r="S1044" s="70"/>
      <c r="T1044" s="70"/>
      <c r="U1044" s="70"/>
      <c r="V1044" s="70"/>
      <c r="W1044" s="70"/>
      <c r="X1044" s="70"/>
      <c r="Y1044" s="70"/>
      <c r="Z1044" s="70"/>
      <c r="AA1044" s="1062"/>
      <c r="AB1044" s="294" t="s">
        <v>3</v>
      </c>
      <c r="AC1044" s="305">
        <f>AC1043/AC1042</f>
        <v>0.72483516979768781</v>
      </c>
      <c r="AD1044" s="636"/>
      <c r="AE1044" s="636"/>
      <c r="AF1044" s="636"/>
      <c r="AG1044" s="636"/>
      <c r="AH1044" s="636"/>
      <c r="AI1044" s="636"/>
      <c r="AJ1044" s="278">
        <f>AJ1043/AJ1042</f>
        <v>0.36856506410098511</v>
      </c>
      <c r="AK1044" s="343">
        <f>AK1043/AK1042</f>
        <v>0.2616325116071096</v>
      </c>
      <c r="AN1044" s="743"/>
      <c r="AO1044" s="743"/>
    </row>
    <row r="1045" spans="1:41" s="267" customFormat="1" ht="15.75" thickBot="1" x14ac:dyDescent="0.3">
      <c r="A1045" s="1048">
        <v>41390</v>
      </c>
      <c r="B1045" s="1048"/>
      <c r="C1045" s="1048"/>
      <c r="D1045" s="276"/>
      <c r="E1045" s="276"/>
      <c r="F1045" s="276"/>
      <c r="G1045" s="276"/>
      <c r="H1045" s="276"/>
      <c r="I1045" s="11"/>
      <c r="J1045" s="281"/>
      <c r="K1045" s="281"/>
      <c r="L1045" s="276"/>
      <c r="M1045" s="276"/>
      <c r="N1045" s="13"/>
      <c r="R1045" s="12"/>
      <c r="S1045" s="70"/>
      <c r="T1045" s="70"/>
      <c r="U1045" s="70"/>
      <c r="V1045" s="70"/>
      <c r="W1045" s="70"/>
      <c r="X1045" s="70"/>
      <c r="Y1045" s="70"/>
      <c r="Z1045" s="70"/>
      <c r="AA1045" s="1063"/>
      <c r="AB1045" s="1064"/>
      <c r="AD1045" s="743"/>
      <c r="AE1045" s="743"/>
      <c r="AF1045" s="743"/>
      <c r="AG1045" s="743"/>
      <c r="AH1045" s="743"/>
      <c r="AI1045" s="743"/>
      <c r="AN1045" s="743"/>
      <c r="AO1045" s="743"/>
    </row>
    <row r="1046" spans="1:41" s="267" customFormat="1" x14ac:dyDescent="0.25">
      <c r="A1046" s="1049" t="s">
        <v>1</v>
      </c>
      <c r="B1046" s="1050"/>
      <c r="C1046" s="297" t="s">
        <v>12</v>
      </c>
      <c r="D1046" s="266" t="s">
        <v>12</v>
      </c>
      <c r="E1046" s="297" t="s">
        <v>13</v>
      </c>
      <c r="F1046" s="277" t="s">
        <v>13</v>
      </c>
      <c r="G1046" s="277" t="s">
        <v>13</v>
      </c>
      <c r="H1046" s="277" t="s">
        <v>13</v>
      </c>
      <c r="I1046" s="277" t="s">
        <v>13</v>
      </c>
      <c r="J1046" s="266" t="s">
        <v>13</v>
      </c>
      <c r="K1046" s="297" t="s">
        <v>2</v>
      </c>
      <c r="L1046" s="277" t="s">
        <v>2</v>
      </c>
      <c r="M1046" s="286" t="s">
        <v>2</v>
      </c>
      <c r="N1046" s="277" t="s">
        <v>2</v>
      </c>
      <c r="O1046" s="266" t="s">
        <v>2</v>
      </c>
      <c r="P1046" s="328" t="s">
        <v>183</v>
      </c>
      <c r="Q1046" s="327" t="s">
        <v>183</v>
      </c>
      <c r="R1046" s="12"/>
      <c r="S1046" s="70"/>
      <c r="T1046" s="70"/>
      <c r="U1046" s="70"/>
      <c r="V1046" s="70"/>
      <c r="W1046" s="70"/>
      <c r="X1046" s="70"/>
      <c r="Y1046" s="70"/>
      <c r="Z1046" s="70"/>
      <c r="AA1046" s="1049" t="s">
        <v>1</v>
      </c>
      <c r="AB1046" s="1050"/>
      <c r="AC1046" s="297" t="s">
        <v>12</v>
      </c>
      <c r="AD1046" s="937"/>
      <c r="AE1046" s="937"/>
      <c r="AF1046" s="937"/>
      <c r="AG1046" s="937"/>
      <c r="AH1046" s="937"/>
      <c r="AI1046" s="937"/>
      <c r="AJ1046" s="277" t="s">
        <v>13</v>
      </c>
      <c r="AK1046" s="266" t="s">
        <v>2</v>
      </c>
      <c r="AN1046" s="743"/>
      <c r="AO1046" s="743"/>
    </row>
    <row r="1047" spans="1:41" s="267" customFormat="1" ht="15.75" thickBot="1" x14ac:dyDescent="0.3">
      <c r="A1047" s="1054" t="s">
        <v>0</v>
      </c>
      <c r="B1047" s="1066"/>
      <c r="C1047" s="298" t="s">
        <v>99</v>
      </c>
      <c r="D1047" s="291" t="s">
        <v>100</v>
      </c>
      <c r="E1047" s="298" t="s">
        <v>101</v>
      </c>
      <c r="F1047" s="306" t="s">
        <v>102</v>
      </c>
      <c r="G1047" s="306" t="s">
        <v>97</v>
      </c>
      <c r="H1047" s="306" t="s">
        <v>104</v>
      </c>
      <c r="I1047" s="306" t="s">
        <v>103</v>
      </c>
      <c r="J1047" s="314" t="s">
        <v>178</v>
      </c>
      <c r="K1047" s="298" t="s">
        <v>105</v>
      </c>
      <c r="L1047" s="306" t="s">
        <v>107</v>
      </c>
      <c r="M1047" s="312" t="s">
        <v>98</v>
      </c>
      <c r="N1047" s="313" t="s">
        <v>106</v>
      </c>
      <c r="O1047" s="291" t="s">
        <v>179</v>
      </c>
      <c r="P1047" s="317" t="s">
        <v>182</v>
      </c>
      <c r="Q1047" s="291" t="s">
        <v>184</v>
      </c>
      <c r="R1047" s="12"/>
      <c r="S1047" s="12"/>
      <c r="T1047" s="12"/>
      <c r="U1047" s="12"/>
      <c r="V1047" s="12"/>
      <c r="W1047" s="12"/>
      <c r="X1047" s="12"/>
      <c r="Y1047" s="12"/>
      <c r="Z1047" s="12"/>
      <c r="AA1047" s="1054" t="s">
        <v>0</v>
      </c>
      <c r="AB1047" s="1066"/>
      <c r="AC1047" s="298" t="s">
        <v>99</v>
      </c>
      <c r="AD1047" s="938"/>
      <c r="AE1047" s="938"/>
      <c r="AF1047" s="938"/>
      <c r="AG1047" s="938"/>
      <c r="AH1047" s="938"/>
      <c r="AI1047" s="938"/>
      <c r="AJ1047" s="306" t="s">
        <v>104</v>
      </c>
      <c r="AK1047" s="291" t="s">
        <v>107</v>
      </c>
      <c r="AN1047" s="743"/>
      <c r="AO1047" s="743"/>
    </row>
    <row r="1048" spans="1:41" s="267" customFormat="1" ht="15" customHeight="1" x14ac:dyDescent="0.25">
      <c r="A1048" s="1057" t="s">
        <v>9</v>
      </c>
      <c r="B1048" s="19" t="s">
        <v>4</v>
      </c>
      <c r="C1048" s="299">
        <v>143392.20000000001</v>
      </c>
      <c r="D1048" s="265">
        <v>150515.79999999999</v>
      </c>
      <c r="E1048" s="299">
        <v>150515.79999999999</v>
      </c>
      <c r="F1048" s="283">
        <v>181997.8</v>
      </c>
      <c r="G1048" s="283">
        <v>165452.5</v>
      </c>
      <c r="H1048" s="283">
        <v>132132</v>
      </c>
      <c r="I1048" s="283">
        <v>121331.8</v>
      </c>
      <c r="J1048" s="265">
        <v>166077.9</v>
      </c>
      <c r="K1048" s="299">
        <v>193027</v>
      </c>
      <c r="L1048" s="283">
        <v>132132.20000000001</v>
      </c>
      <c r="M1048" s="283">
        <v>82726.3</v>
      </c>
      <c r="N1048" s="283">
        <v>176482.7</v>
      </c>
      <c r="O1048" s="265">
        <v>83039</v>
      </c>
      <c r="P1048" s="318">
        <v>55151</v>
      </c>
      <c r="Q1048" s="265">
        <v>33090.5</v>
      </c>
      <c r="R1048" s="70"/>
      <c r="S1048" s="70"/>
      <c r="T1048" s="70"/>
      <c r="U1048" s="70"/>
      <c r="V1048" s="70"/>
      <c r="W1048" s="70"/>
      <c r="X1048" s="70"/>
      <c r="Y1048" s="70"/>
      <c r="Z1048" s="70"/>
      <c r="AA1048" s="1060" t="s">
        <v>194</v>
      </c>
      <c r="AB1048" s="2" t="s">
        <v>4</v>
      </c>
      <c r="AC1048" s="299">
        <v>143392.20000000001</v>
      </c>
      <c r="AD1048" s="552"/>
      <c r="AE1048" s="552"/>
      <c r="AF1048" s="552"/>
      <c r="AG1048" s="552"/>
      <c r="AH1048" s="552"/>
      <c r="AI1048" s="552"/>
      <c r="AJ1048" s="283">
        <v>132132</v>
      </c>
      <c r="AK1048" s="265">
        <v>132132.20000000001</v>
      </c>
      <c r="AN1048" s="743"/>
      <c r="AO1048" s="743"/>
    </row>
    <row r="1049" spans="1:41" s="267" customFormat="1" x14ac:dyDescent="0.25">
      <c r="A1049" s="1058"/>
      <c r="B1049" s="293" t="s">
        <v>5</v>
      </c>
      <c r="C1049" s="300">
        <v>42193.1</v>
      </c>
      <c r="D1049" s="264">
        <v>77748</v>
      </c>
      <c r="E1049" s="300">
        <v>79318.100000000006</v>
      </c>
      <c r="F1049" s="307">
        <v>157726.39999999999</v>
      </c>
      <c r="G1049" s="307">
        <v>97137.2</v>
      </c>
      <c r="H1049" s="307">
        <v>49681.1</v>
      </c>
      <c r="I1049" s="307">
        <v>83148.600000000006</v>
      </c>
      <c r="J1049" s="264">
        <v>13750.2</v>
      </c>
      <c r="K1049" s="300">
        <v>158475</v>
      </c>
      <c r="L1049" s="307">
        <v>62395.9</v>
      </c>
      <c r="M1049" s="307">
        <v>50045.599999999999</v>
      </c>
      <c r="N1049" s="307">
        <v>152521.60000000001</v>
      </c>
      <c r="O1049" s="264">
        <v>6973.9</v>
      </c>
      <c r="P1049" s="319">
        <v>6993.1</v>
      </c>
      <c r="Q1049" s="264">
        <v>3442</v>
      </c>
      <c r="R1049" s="70"/>
      <c r="S1049" s="70"/>
      <c r="T1049" s="70"/>
      <c r="U1049" s="70"/>
      <c r="V1049" s="70"/>
      <c r="W1049" s="70"/>
      <c r="X1049" s="70"/>
      <c r="Y1049" s="70"/>
      <c r="Z1049" s="70"/>
      <c r="AA1049" s="1061"/>
      <c r="AB1049" s="342" t="s">
        <v>5</v>
      </c>
      <c r="AC1049" s="300">
        <v>42041.3</v>
      </c>
      <c r="AD1049" s="631"/>
      <c r="AE1049" s="631"/>
      <c r="AF1049" s="631"/>
      <c r="AG1049" s="631"/>
      <c r="AH1049" s="631"/>
      <c r="AI1049" s="631"/>
      <c r="AJ1049" s="307">
        <v>46836.6</v>
      </c>
      <c r="AK1049" s="264">
        <v>54552.5</v>
      </c>
      <c r="AN1049" s="743"/>
      <c r="AO1049" s="743"/>
    </row>
    <row r="1050" spans="1:41" s="267" customFormat="1" ht="15.75" thickBot="1" x14ac:dyDescent="0.3">
      <c r="A1050" s="1059"/>
      <c r="B1050" s="294" t="s">
        <v>3</v>
      </c>
      <c r="C1050" s="305">
        <f>C1049/C1048</f>
        <v>0.29424961748268036</v>
      </c>
      <c r="D1050" s="343">
        <v>7.0000000000000007E-2</v>
      </c>
      <c r="E1050" s="305">
        <f t="shared" ref="E1050:Q1050" si="400">E1049/E1048</f>
        <v>0.5269752411374754</v>
      </c>
      <c r="F1050" s="278">
        <f t="shared" si="400"/>
        <v>0.86663904728518704</v>
      </c>
      <c r="G1050" s="278">
        <f t="shared" si="400"/>
        <v>0.58710022514014593</v>
      </c>
      <c r="H1050" s="278">
        <f t="shared" si="400"/>
        <v>0.37599597372324645</v>
      </c>
      <c r="I1050" s="278">
        <f t="shared" si="400"/>
        <v>0.68529931971667779</v>
      </c>
      <c r="J1050" s="292">
        <f t="shared" si="400"/>
        <v>8.2793676943169442E-2</v>
      </c>
      <c r="K1050" s="305">
        <f t="shared" si="400"/>
        <v>0.82099913483605924</v>
      </c>
      <c r="L1050" s="278">
        <f t="shared" si="400"/>
        <v>0.47222327335804593</v>
      </c>
      <c r="M1050" s="315">
        <f t="shared" si="400"/>
        <v>0.60495392638133216</v>
      </c>
      <c r="N1050" s="278">
        <f t="shared" si="400"/>
        <v>0.86422975169804173</v>
      </c>
      <c r="O1050" s="292">
        <f t="shared" si="400"/>
        <v>8.3983429472898274E-2</v>
      </c>
      <c r="P1050" s="320">
        <f t="shared" si="400"/>
        <v>0.12679915142064516</v>
      </c>
      <c r="Q1050" s="292">
        <f t="shared" si="400"/>
        <v>0.10401776945044651</v>
      </c>
      <c r="R1050" s="70"/>
      <c r="S1050" s="70"/>
      <c r="T1050" s="70"/>
      <c r="U1050" s="70"/>
      <c r="V1050" s="70"/>
      <c r="W1050" s="70"/>
      <c r="X1050" s="70"/>
      <c r="Y1050" s="70"/>
      <c r="Z1050" s="70"/>
      <c r="AA1050" s="1062"/>
      <c r="AB1050" s="347" t="s">
        <v>3</v>
      </c>
      <c r="AC1050" s="301">
        <f>AC1049/AC1048</f>
        <v>0.29319098249416636</v>
      </c>
      <c r="AD1050" s="939"/>
      <c r="AE1050" s="939"/>
      <c r="AF1050" s="939"/>
      <c r="AG1050" s="939"/>
      <c r="AH1050" s="939"/>
      <c r="AI1050" s="939"/>
      <c r="AJ1050" s="278">
        <f>AJ1049/AJ1048</f>
        <v>0.35446825901371354</v>
      </c>
      <c r="AK1050" s="292">
        <f>AK1049/AK1048</f>
        <v>0.41286302657489993</v>
      </c>
      <c r="AN1050" s="743"/>
      <c r="AO1050" s="743"/>
    </row>
    <row r="1051" spans="1:41" s="267" customFormat="1" ht="15" customHeight="1" x14ac:dyDescent="0.25">
      <c r="A1051" s="1060" t="s">
        <v>6</v>
      </c>
      <c r="B1051" s="19" t="s">
        <v>7</v>
      </c>
      <c r="C1051" s="297">
        <v>5870</v>
      </c>
      <c r="D1051" s="266">
        <v>3333</v>
      </c>
      <c r="E1051" s="297">
        <v>3330</v>
      </c>
      <c r="F1051" s="277">
        <v>9457</v>
      </c>
      <c r="G1051" s="277">
        <v>8210</v>
      </c>
      <c r="H1051" s="277">
        <v>15543</v>
      </c>
      <c r="I1051" s="277">
        <v>7403</v>
      </c>
      <c r="J1051" s="266">
        <v>9599</v>
      </c>
      <c r="K1051" s="297">
        <v>9289</v>
      </c>
      <c r="L1051" s="277">
        <v>12295</v>
      </c>
      <c r="M1051" s="277">
        <v>4145</v>
      </c>
      <c r="N1051" s="277">
        <v>10027</v>
      </c>
      <c r="O1051" s="266">
        <v>4799</v>
      </c>
      <c r="P1051" s="321">
        <v>2000</v>
      </c>
      <c r="Q1051" s="266">
        <v>1250</v>
      </c>
      <c r="R1051" s="358" t="s">
        <v>197</v>
      </c>
      <c r="S1051" s="126"/>
      <c r="T1051" s="70"/>
      <c r="U1051" s="70"/>
      <c r="V1051" s="70"/>
      <c r="W1051" s="70"/>
      <c r="X1051" s="70"/>
      <c r="Y1051" s="70"/>
      <c r="Z1051" s="70"/>
      <c r="AA1051" s="1060" t="s">
        <v>190</v>
      </c>
      <c r="AB1051" s="19" t="s">
        <v>4</v>
      </c>
      <c r="AC1051" s="299">
        <v>9191.7999999999993</v>
      </c>
      <c r="AD1051" s="552"/>
      <c r="AE1051" s="552"/>
      <c r="AF1051" s="552"/>
      <c r="AG1051" s="552"/>
      <c r="AH1051" s="552"/>
      <c r="AI1051" s="552"/>
      <c r="AJ1051" s="283">
        <v>13787.7</v>
      </c>
      <c r="AK1051" s="265">
        <v>13787.7</v>
      </c>
      <c r="AN1051" s="743"/>
      <c r="AO1051" s="743"/>
    </row>
    <row r="1052" spans="1:41" s="267" customFormat="1" x14ac:dyDescent="0.25">
      <c r="A1052" s="1061"/>
      <c r="B1052" s="295" t="s">
        <v>11</v>
      </c>
      <c r="C1052" s="302">
        <f t="shared" ref="C1052:Q1052" si="401">C1051*33.717</f>
        <v>197918.78999999998</v>
      </c>
      <c r="D1052" s="263">
        <f t="shared" si="401"/>
        <v>112378.761</v>
      </c>
      <c r="E1052" s="302">
        <f t="shared" si="401"/>
        <v>112277.61</v>
      </c>
      <c r="F1052" s="355">
        <f t="shared" si="401"/>
        <v>318861.66899999999</v>
      </c>
      <c r="G1052" s="308">
        <f t="shared" si="401"/>
        <v>276816.57</v>
      </c>
      <c r="H1052" s="354">
        <f t="shared" si="401"/>
        <v>524063.33100000001</v>
      </c>
      <c r="I1052" s="354">
        <f t="shared" si="401"/>
        <v>249606.951</v>
      </c>
      <c r="J1052" s="354">
        <f t="shared" si="401"/>
        <v>323649.48300000001</v>
      </c>
      <c r="K1052" s="322">
        <f t="shared" si="401"/>
        <v>313197.21299999999</v>
      </c>
      <c r="L1052" s="308">
        <f t="shared" si="401"/>
        <v>414550.51499999996</v>
      </c>
      <c r="M1052" s="308">
        <f t="shared" si="401"/>
        <v>139756.965</v>
      </c>
      <c r="N1052" s="354">
        <f t="shared" si="401"/>
        <v>338080.359</v>
      </c>
      <c r="O1052" s="354">
        <f t="shared" si="401"/>
        <v>161807.883</v>
      </c>
      <c r="P1052" s="302">
        <f t="shared" si="401"/>
        <v>67434</v>
      </c>
      <c r="Q1052" s="354">
        <f t="shared" si="401"/>
        <v>42146.25</v>
      </c>
      <c r="R1052" s="70"/>
      <c r="S1052" s="70"/>
      <c r="T1052" s="70"/>
      <c r="U1052" s="70"/>
      <c r="V1052" s="70"/>
      <c r="W1052" s="70"/>
      <c r="X1052" s="70"/>
      <c r="Y1052" s="70"/>
      <c r="Z1052" s="70"/>
      <c r="AA1052" s="1061"/>
      <c r="AB1052" s="293" t="s">
        <v>5</v>
      </c>
      <c r="AC1052" s="300">
        <v>8882</v>
      </c>
      <c r="AD1052" s="631"/>
      <c r="AE1052" s="631"/>
      <c r="AF1052" s="631"/>
      <c r="AG1052" s="631"/>
      <c r="AH1052" s="631"/>
      <c r="AI1052" s="631"/>
      <c r="AJ1052" s="307">
        <v>13644.7</v>
      </c>
      <c r="AK1052" s="264">
        <v>13649.8</v>
      </c>
      <c r="AN1052" s="743"/>
      <c r="AO1052" s="743"/>
    </row>
    <row r="1053" spans="1:41" s="267" customFormat="1" ht="15.75" thickBot="1" x14ac:dyDescent="0.3">
      <c r="A1053" s="1061"/>
      <c r="B1053" s="295" t="s">
        <v>79</v>
      </c>
      <c r="C1053" s="302">
        <v>164000</v>
      </c>
      <c r="D1053" s="263">
        <v>109880</v>
      </c>
      <c r="E1053" s="302">
        <v>109880</v>
      </c>
      <c r="F1053" s="308">
        <v>328000</v>
      </c>
      <c r="G1053" s="308">
        <v>330905</v>
      </c>
      <c r="H1053" s="308">
        <v>264264</v>
      </c>
      <c r="I1053" s="308">
        <v>242663.6</v>
      </c>
      <c r="J1053" s="263">
        <v>328000</v>
      </c>
      <c r="K1053" s="302">
        <v>328000</v>
      </c>
      <c r="L1053" s="308">
        <v>264264.40000000002</v>
      </c>
      <c r="M1053" s="308">
        <v>328000</v>
      </c>
      <c r="N1053" s="308">
        <v>352965.4</v>
      </c>
      <c r="O1053" s="263">
        <v>328000</v>
      </c>
      <c r="P1053" s="322">
        <f>2*P1048</f>
        <v>110302</v>
      </c>
      <c r="Q1053" s="263">
        <f>2*Q1048</f>
        <v>66181</v>
      </c>
      <c r="R1053" s="70"/>
      <c r="S1053" s="70"/>
      <c r="T1053" s="70"/>
      <c r="U1053" s="70"/>
      <c r="V1053" s="70"/>
      <c r="W1053" s="70"/>
      <c r="X1053" s="70"/>
      <c r="Y1053" s="70"/>
      <c r="Z1053" s="70"/>
      <c r="AA1053" s="1062"/>
      <c r="AB1053" s="344" t="s">
        <v>3</v>
      </c>
      <c r="AC1053" s="301">
        <f>AC1052/AC1051</f>
        <v>0.96629604647620715</v>
      </c>
      <c r="AD1053" s="939"/>
      <c r="AE1053" s="939"/>
      <c r="AF1053" s="939"/>
      <c r="AG1053" s="939"/>
      <c r="AH1053" s="939"/>
      <c r="AI1053" s="939"/>
      <c r="AJ1053" s="249">
        <f>AJ1052/AJ1051</f>
        <v>0.98962843694017133</v>
      </c>
      <c r="AK1053" s="348">
        <f>AK1052/AK1051</f>
        <v>0.98999833184650077</v>
      </c>
      <c r="AN1053" s="743"/>
      <c r="AO1053" s="743"/>
    </row>
    <row r="1054" spans="1:41" s="267" customFormat="1" ht="15" customHeight="1" x14ac:dyDescent="0.25">
      <c r="A1054" s="1061"/>
      <c r="B1054" s="293" t="s">
        <v>8</v>
      </c>
      <c r="C1054" s="303">
        <f>SUM(C1051-159)</f>
        <v>5711</v>
      </c>
      <c r="D1054" s="262">
        <f>SUM(D1051-686)</f>
        <v>2647</v>
      </c>
      <c r="E1054" s="303">
        <f>SUM(E1051-652)</f>
        <v>2678</v>
      </c>
      <c r="F1054" s="309">
        <f>SUM(F1051-1211)</f>
        <v>8246</v>
      </c>
      <c r="G1054" s="309">
        <f>SUM(G1051-4446)</f>
        <v>3764</v>
      </c>
      <c r="H1054" s="309">
        <f>SUM(H1051-2089)</f>
        <v>13454</v>
      </c>
      <c r="I1054" s="309">
        <f>SUM(I1051-(3186-2000))</f>
        <v>6217</v>
      </c>
      <c r="J1054" s="262">
        <f>SUM(J1051-9230)</f>
        <v>369</v>
      </c>
      <c r="K1054" s="303">
        <f>SUM(K1051-909)</f>
        <v>8380</v>
      </c>
      <c r="L1054" s="309">
        <f>SUM(L1051-1100)</f>
        <v>11195</v>
      </c>
      <c r="M1054" s="316">
        <f>SUM(M1051-234)</f>
        <v>3911</v>
      </c>
      <c r="N1054" s="309">
        <f>SUM(N1051-(5073-2614))</f>
        <v>7568</v>
      </c>
      <c r="O1054" s="262">
        <f>SUM(O1051-3991)</f>
        <v>808</v>
      </c>
      <c r="P1054" s="323">
        <f>SUM(P1051-1057)</f>
        <v>943</v>
      </c>
      <c r="Q1054" s="262">
        <f>SUM(Q1051-767)</f>
        <v>483</v>
      </c>
      <c r="R1054" s="12" t="s">
        <v>176</v>
      </c>
      <c r="S1054" s="70"/>
      <c r="T1054" s="70"/>
      <c r="U1054" s="70"/>
      <c r="V1054" s="70"/>
      <c r="W1054" s="70"/>
      <c r="X1054" s="70"/>
      <c r="Y1054" s="70"/>
      <c r="Z1054" s="70"/>
      <c r="AA1054" s="1060" t="s">
        <v>191</v>
      </c>
      <c r="AB1054" s="19" t="s">
        <v>4</v>
      </c>
      <c r="AC1054" s="299">
        <v>97433.600000000006</v>
      </c>
      <c r="AD1054" s="552"/>
      <c r="AE1054" s="552"/>
      <c r="AF1054" s="552"/>
      <c r="AG1054" s="552"/>
      <c r="AH1054" s="552"/>
      <c r="AI1054" s="552"/>
      <c r="AJ1054" s="283">
        <v>243584.4</v>
      </c>
      <c r="AK1054" s="265">
        <v>292299.3</v>
      </c>
      <c r="AN1054" s="743"/>
      <c r="AO1054" s="743"/>
    </row>
    <row r="1055" spans="1:41" s="267" customFormat="1" x14ac:dyDescent="0.25">
      <c r="A1055" s="1061"/>
      <c r="B1055" s="296" t="s">
        <v>77</v>
      </c>
      <c r="C1055" s="302">
        <f>(C1054*33.717)</f>
        <v>192557.78699999998</v>
      </c>
      <c r="D1055" s="338">
        <f>(D1054*33.717)</f>
        <v>89248.89899999999</v>
      </c>
      <c r="E1055" s="302">
        <f>(E1054*33.717)</f>
        <v>90294.126000000004</v>
      </c>
      <c r="F1055" s="338">
        <f>(F1054*33.717)</f>
        <v>278030.38199999998</v>
      </c>
      <c r="G1055" s="280">
        <f>(G1054*33.717)*2</f>
        <v>253821.576</v>
      </c>
      <c r="H1055" s="280">
        <f>(H1054*33.717)</f>
        <v>453628.51799999998</v>
      </c>
      <c r="I1055" s="280">
        <f>(I1054*33.717)-(2000*33.717)</f>
        <v>142184.58899999998</v>
      </c>
      <c r="J1055" s="261">
        <f>J1054*33.717</f>
        <v>12441.573</v>
      </c>
      <c r="K1055" s="304">
        <f>K1054*33.717</f>
        <v>282548.45999999996</v>
      </c>
      <c r="L1055" s="280">
        <f>L1054*33.717</f>
        <v>377461.815</v>
      </c>
      <c r="M1055" s="280">
        <f>(M1054*33.717)</f>
        <v>131867.18700000001</v>
      </c>
      <c r="N1055" s="280">
        <f>N1054*33.717</f>
        <v>255170.25599999999</v>
      </c>
      <c r="O1055" s="261">
        <f>O1054*33.717</f>
        <v>27243.335999999999</v>
      </c>
      <c r="P1055" s="324">
        <f>P1054*33.717</f>
        <v>31795.130999999998</v>
      </c>
      <c r="Q1055" s="325">
        <f>Q1054*33.717</f>
        <v>16285.311</v>
      </c>
      <c r="R1055" s="63">
        <f>344240-H1055</f>
        <v>-109388.51799999998</v>
      </c>
      <c r="S1055" s="70" t="s">
        <v>177</v>
      </c>
      <c r="T1055" s="70"/>
      <c r="U1055" s="70"/>
      <c r="V1055" s="70"/>
      <c r="W1055" s="70"/>
      <c r="X1055" s="70"/>
      <c r="Y1055" s="70"/>
      <c r="Z1055" s="70"/>
      <c r="AA1055" s="1061"/>
      <c r="AB1055" s="293" t="s">
        <v>5</v>
      </c>
      <c r="AC1055" s="300">
        <v>64490.9</v>
      </c>
      <c r="AD1055" s="631"/>
      <c r="AE1055" s="631"/>
      <c r="AF1055" s="631"/>
      <c r="AG1055" s="631"/>
      <c r="AH1055" s="631"/>
      <c r="AI1055" s="631"/>
      <c r="AJ1055" s="307">
        <v>79989.3</v>
      </c>
      <c r="AK1055" s="264">
        <v>62980.6</v>
      </c>
      <c r="AN1055" s="743"/>
      <c r="AO1055" s="743"/>
    </row>
    <row r="1056" spans="1:41" s="267" customFormat="1" ht="15.75" thickBot="1" x14ac:dyDescent="0.3">
      <c r="A1056" s="1062"/>
      <c r="B1056" s="294" t="s">
        <v>10</v>
      </c>
      <c r="C1056" s="305">
        <f t="shared" ref="C1056:Q1056" si="402">C1055/C1048</f>
        <v>1.3428749053295783</v>
      </c>
      <c r="D1056" s="292">
        <f t="shared" si="402"/>
        <v>0.59295368991162389</v>
      </c>
      <c r="E1056" s="310">
        <f t="shared" si="402"/>
        <v>0.59989799077571926</v>
      </c>
      <c r="F1056" s="282">
        <f t="shared" si="402"/>
        <v>1.5276579277331923</v>
      </c>
      <c r="G1056" s="282">
        <f t="shared" si="402"/>
        <v>1.534105413940557</v>
      </c>
      <c r="H1056" s="282">
        <f t="shared" si="402"/>
        <v>3.4331465352828987</v>
      </c>
      <c r="I1056" s="282">
        <f t="shared" si="402"/>
        <v>1.1718658175350565</v>
      </c>
      <c r="J1056" s="311">
        <f t="shared" si="402"/>
        <v>7.4914079477161027E-2</v>
      </c>
      <c r="K1056" s="310">
        <f t="shared" si="402"/>
        <v>1.4637768809544778</v>
      </c>
      <c r="L1056" s="282">
        <f t="shared" si="402"/>
        <v>2.8566981780368446</v>
      </c>
      <c r="M1056" s="282">
        <f t="shared" si="402"/>
        <v>1.5940177065818246</v>
      </c>
      <c r="N1056" s="260">
        <f t="shared" si="402"/>
        <v>1.4458655494277908</v>
      </c>
      <c r="O1056" s="311">
        <f t="shared" si="402"/>
        <v>0.32807880634400705</v>
      </c>
      <c r="P1056" s="305">
        <f t="shared" si="402"/>
        <v>0.57651050751572952</v>
      </c>
      <c r="Q1056" s="292">
        <f t="shared" si="402"/>
        <v>0.4921446034360315</v>
      </c>
      <c r="R1056" s="126"/>
      <c r="S1056" s="70"/>
      <c r="T1056" s="70"/>
      <c r="U1056" s="70"/>
      <c r="V1056" s="70"/>
      <c r="W1056" s="70"/>
      <c r="X1056" s="70"/>
      <c r="Y1056" s="70"/>
      <c r="Z1056" s="70"/>
      <c r="AA1056" s="1062"/>
      <c r="AB1056" s="294" t="s">
        <v>3</v>
      </c>
      <c r="AC1056" s="305">
        <f>AC1055/AC1054</f>
        <v>0.66189589628218604</v>
      </c>
      <c r="AD1056" s="636"/>
      <c r="AE1056" s="636"/>
      <c r="AF1056" s="636"/>
      <c r="AG1056" s="636"/>
      <c r="AH1056" s="636"/>
      <c r="AI1056" s="636"/>
      <c r="AJ1056" s="278">
        <f>AJ1055/AJ1054</f>
        <v>0.32838433003098721</v>
      </c>
      <c r="AK1056" s="343">
        <f>AK1055/AK1054</f>
        <v>0.21546613351451749</v>
      </c>
      <c r="AN1056" s="743"/>
      <c r="AO1056" s="743"/>
    </row>
    <row r="1057" spans="1:41" s="267" customFormat="1" ht="15.75" thickBot="1" x14ac:dyDescent="0.3">
      <c r="A1057" s="1048">
        <v>41387</v>
      </c>
      <c r="B1057" s="1048"/>
      <c r="C1057" s="1048"/>
      <c r="D1057" s="276"/>
      <c r="E1057" s="276"/>
      <c r="F1057" s="276"/>
      <c r="G1057" s="276"/>
      <c r="H1057" s="276"/>
      <c r="I1057" s="11"/>
      <c r="J1057" s="281"/>
      <c r="K1057" s="281"/>
      <c r="L1057" s="276"/>
      <c r="M1057" s="276"/>
      <c r="N1057" s="13"/>
      <c r="R1057" s="12"/>
      <c r="S1057" s="70"/>
      <c r="T1057" s="70"/>
      <c r="U1057" s="70"/>
      <c r="V1057" s="70"/>
      <c r="W1057" s="70"/>
      <c r="X1057" s="70"/>
      <c r="Y1057" s="70"/>
      <c r="Z1057" s="70"/>
      <c r="AA1057" s="1068"/>
      <c r="AB1057" s="1069"/>
      <c r="AD1057" s="743"/>
      <c r="AE1057" s="743"/>
      <c r="AF1057" s="743"/>
      <c r="AG1057" s="743"/>
      <c r="AH1057" s="743"/>
      <c r="AI1057" s="743"/>
      <c r="AN1057" s="743"/>
      <c r="AO1057" s="743"/>
    </row>
    <row r="1058" spans="1:41" s="267" customFormat="1" x14ac:dyDescent="0.25">
      <c r="A1058" s="1049" t="s">
        <v>1</v>
      </c>
      <c r="B1058" s="1070"/>
      <c r="C1058" s="297" t="s">
        <v>12</v>
      </c>
      <c r="D1058" s="266" t="s">
        <v>12</v>
      </c>
      <c r="E1058" s="297" t="s">
        <v>13</v>
      </c>
      <c r="F1058" s="277" t="s">
        <v>13</v>
      </c>
      <c r="G1058" s="277" t="s">
        <v>13</v>
      </c>
      <c r="H1058" s="277" t="s">
        <v>13</v>
      </c>
      <c r="I1058" s="277" t="s">
        <v>13</v>
      </c>
      <c r="J1058" s="266" t="s">
        <v>13</v>
      </c>
      <c r="K1058" s="297" t="s">
        <v>2</v>
      </c>
      <c r="L1058" s="277" t="s">
        <v>2</v>
      </c>
      <c r="M1058" s="286" t="s">
        <v>2</v>
      </c>
      <c r="N1058" s="277" t="s">
        <v>2</v>
      </c>
      <c r="O1058" s="266" t="s">
        <v>2</v>
      </c>
      <c r="P1058" s="328" t="s">
        <v>183</v>
      </c>
      <c r="Q1058" s="327" t="s">
        <v>183</v>
      </c>
      <c r="R1058" s="12"/>
      <c r="S1058" s="70"/>
      <c r="T1058" s="70"/>
      <c r="U1058" s="70"/>
      <c r="V1058" s="70"/>
      <c r="W1058" s="70"/>
      <c r="X1058" s="70"/>
      <c r="Y1058" s="70"/>
      <c r="Z1058" s="70"/>
      <c r="AA1058" s="1049" t="s">
        <v>1</v>
      </c>
      <c r="AB1058" s="1071"/>
      <c r="AC1058" s="297" t="s">
        <v>12</v>
      </c>
      <c r="AD1058" s="937"/>
      <c r="AE1058" s="937"/>
      <c r="AF1058" s="937"/>
      <c r="AG1058" s="937"/>
      <c r="AH1058" s="937"/>
      <c r="AI1058" s="937"/>
      <c r="AJ1058" s="277" t="s">
        <v>13</v>
      </c>
      <c r="AK1058" s="266" t="s">
        <v>2</v>
      </c>
      <c r="AN1058" s="743"/>
      <c r="AO1058" s="743"/>
    </row>
    <row r="1059" spans="1:41" s="267" customFormat="1" ht="15.75" thickBot="1" x14ac:dyDescent="0.3">
      <c r="A1059" s="1054" t="s">
        <v>0</v>
      </c>
      <c r="B1059" s="1072"/>
      <c r="C1059" s="298" t="s">
        <v>99</v>
      </c>
      <c r="D1059" s="291" t="s">
        <v>100</v>
      </c>
      <c r="E1059" s="298" t="s">
        <v>101</v>
      </c>
      <c r="F1059" s="306" t="s">
        <v>102</v>
      </c>
      <c r="G1059" s="306" t="s">
        <v>97</v>
      </c>
      <c r="H1059" s="306" t="s">
        <v>104</v>
      </c>
      <c r="I1059" s="306" t="s">
        <v>103</v>
      </c>
      <c r="J1059" s="314" t="s">
        <v>178</v>
      </c>
      <c r="K1059" s="298" t="s">
        <v>105</v>
      </c>
      <c r="L1059" s="306" t="s">
        <v>107</v>
      </c>
      <c r="M1059" s="312" t="s">
        <v>98</v>
      </c>
      <c r="N1059" s="313" t="s">
        <v>106</v>
      </c>
      <c r="O1059" s="291" t="s">
        <v>179</v>
      </c>
      <c r="P1059" s="317" t="s">
        <v>182</v>
      </c>
      <c r="Q1059" s="291" t="s">
        <v>184</v>
      </c>
      <c r="R1059" s="12"/>
      <c r="S1059" s="12"/>
      <c r="T1059" s="12"/>
      <c r="U1059" s="12"/>
      <c r="V1059" s="12"/>
      <c r="W1059" s="12"/>
      <c r="X1059" s="12"/>
      <c r="Y1059" s="12"/>
      <c r="Z1059" s="12"/>
      <c r="AA1059" s="1054" t="s">
        <v>0</v>
      </c>
      <c r="AB1059" s="1073"/>
      <c r="AC1059" s="298" t="s">
        <v>99</v>
      </c>
      <c r="AD1059" s="938"/>
      <c r="AE1059" s="938"/>
      <c r="AF1059" s="938"/>
      <c r="AG1059" s="938"/>
      <c r="AH1059" s="938"/>
      <c r="AI1059" s="938"/>
      <c r="AJ1059" s="306" t="s">
        <v>104</v>
      </c>
      <c r="AK1059" s="291" t="s">
        <v>107</v>
      </c>
      <c r="AN1059" s="743"/>
      <c r="AO1059" s="743"/>
    </row>
    <row r="1060" spans="1:41" s="267" customFormat="1" ht="15" customHeight="1" x14ac:dyDescent="0.25">
      <c r="A1060" s="1057" t="s">
        <v>9</v>
      </c>
      <c r="B1060" s="19" t="s">
        <v>4</v>
      </c>
      <c r="C1060" s="299">
        <v>143392.20000000001</v>
      </c>
      <c r="D1060" s="265">
        <v>150515.79999999999</v>
      </c>
      <c r="E1060" s="299">
        <v>150515.79999999999</v>
      </c>
      <c r="F1060" s="283">
        <v>181997.8</v>
      </c>
      <c r="G1060" s="283">
        <v>165452.5</v>
      </c>
      <c r="H1060" s="283">
        <v>132132</v>
      </c>
      <c r="I1060" s="283">
        <v>121331.8</v>
      </c>
      <c r="J1060" s="265">
        <v>166077.9</v>
      </c>
      <c r="K1060" s="299">
        <v>193027</v>
      </c>
      <c r="L1060" s="283">
        <v>132132.20000000001</v>
      </c>
      <c r="M1060" s="283">
        <v>82726.3</v>
      </c>
      <c r="N1060" s="283">
        <v>176482.7</v>
      </c>
      <c r="O1060" s="265">
        <v>83039</v>
      </c>
      <c r="P1060" s="318">
        <v>55151</v>
      </c>
      <c r="Q1060" s="265">
        <v>33090.5</v>
      </c>
      <c r="R1060" s="70"/>
      <c r="S1060" s="70"/>
      <c r="T1060" s="70"/>
      <c r="U1060" s="70"/>
      <c r="V1060" s="70"/>
      <c r="W1060" s="70"/>
      <c r="X1060" s="70"/>
      <c r="Y1060" s="70"/>
      <c r="Z1060" s="70"/>
      <c r="AA1060" s="1060" t="s">
        <v>194</v>
      </c>
      <c r="AB1060" s="2" t="s">
        <v>4</v>
      </c>
      <c r="AC1060" s="299">
        <v>143392.20000000001</v>
      </c>
      <c r="AD1060" s="552"/>
      <c r="AE1060" s="552"/>
      <c r="AF1060" s="552"/>
      <c r="AG1060" s="552"/>
      <c r="AH1060" s="552"/>
      <c r="AI1060" s="552"/>
      <c r="AJ1060" s="283">
        <v>132132</v>
      </c>
      <c r="AK1060" s="265">
        <v>132132.20000000001</v>
      </c>
      <c r="AN1060" s="743"/>
      <c r="AO1060" s="743"/>
    </row>
    <row r="1061" spans="1:41" s="267" customFormat="1" x14ac:dyDescent="0.25">
      <c r="A1061" s="1058"/>
      <c r="B1061" s="293" t="s">
        <v>5</v>
      </c>
      <c r="C1061" s="300">
        <v>38916.6</v>
      </c>
      <c r="D1061" s="264">
        <v>77721.899999999994</v>
      </c>
      <c r="E1061" s="300">
        <v>79291.5</v>
      </c>
      <c r="F1061" s="307">
        <v>157589.1</v>
      </c>
      <c r="G1061" s="307">
        <v>96438.2</v>
      </c>
      <c r="H1061" s="307">
        <v>53243.7</v>
      </c>
      <c r="I1061" s="307">
        <v>83021.3</v>
      </c>
      <c r="J1061" s="264">
        <v>13452.5</v>
      </c>
      <c r="K1061" s="300">
        <v>158249.9</v>
      </c>
      <c r="L1061" s="307">
        <v>64444.7</v>
      </c>
      <c r="M1061" s="307">
        <v>49676.9</v>
      </c>
      <c r="N1061" s="307">
        <v>151193.29999999999</v>
      </c>
      <c r="O1061" s="264">
        <v>6825</v>
      </c>
      <c r="P1061" s="319">
        <v>6992.2</v>
      </c>
      <c r="Q1061" s="264">
        <v>3438.6</v>
      </c>
      <c r="R1061" s="70"/>
      <c r="S1061" s="70"/>
      <c r="T1061" s="70"/>
      <c r="U1061" s="70"/>
      <c r="V1061" s="70"/>
      <c r="W1061" s="70"/>
      <c r="X1061" s="70"/>
      <c r="Y1061" s="70"/>
      <c r="Z1061" s="70"/>
      <c r="AA1061" s="1061"/>
      <c r="AB1061" s="342" t="s">
        <v>5</v>
      </c>
      <c r="AC1061" s="300">
        <v>42041.3</v>
      </c>
      <c r="AD1061" s="631"/>
      <c r="AE1061" s="631"/>
      <c r="AF1061" s="631"/>
      <c r="AG1061" s="631"/>
      <c r="AH1061" s="631"/>
      <c r="AI1061" s="631"/>
      <c r="AJ1061" s="307">
        <v>46836.6</v>
      </c>
      <c r="AK1061" s="264">
        <v>54552.5</v>
      </c>
      <c r="AN1061" s="743"/>
      <c r="AO1061" s="743"/>
    </row>
    <row r="1062" spans="1:41" s="267" customFormat="1" ht="15.75" thickBot="1" x14ac:dyDescent="0.3">
      <c r="A1062" s="1059"/>
      <c r="B1062" s="294" t="s">
        <v>3</v>
      </c>
      <c r="C1062" s="305">
        <f t="shared" ref="C1062:Q1062" si="403">C1061/C1060</f>
        <v>0.27139969956524829</v>
      </c>
      <c r="D1062" s="343">
        <f t="shared" si="403"/>
        <v>0.5163703744058763</v>
      </c>
      <c r="E1062" s="305">
        <f t="shared" si="403"/>
        <v>0.52679851550468459</v>
      </c>
      <c r="F1062" s="278">
        <f t="shared" si="403"/>
        <v>0.86588464256161346</v>
      </c>
      <c r="G1062" s="278">
        <f t="shared" si="403"/>
        <v>0.5828754476360285</v>
      </c>
      <c r="H1062" s="278">
        <f t="shared" si="403"/>
        <v>0.40295840523113247</v>
      </c>
      <c r="I1062" s="278">
        <f t="shared" si="403"/>
        <v>0.68425013063351903</v>
      </c>
      <c r="J1062" s="292">
        <f t="shared" si="403"/>
        <v>8.1001144643567877E-2</v>
      </c>
      <c r="K1062" s="305">
        <f t="shared" si="403"/>
        <v>0.81983297673382483</v>
      </c>
      <c r="L1062" s="278">
        <f t="shared" si="403"/>
        <v>0.48772895630285418</v>
      </c>
      <c r="M1062" s="315">
        <f t="shared" si="403"/>
        <v>0.60049706078961584</v>
      </c>
      <c r="N1062" s="278">
        <f t="shared" si="403"/>
        <v>0.85670323493464218</v>
      </c>
      <c r="O1062" s="292">
        <f t="shared" si="403"/>
        <v>8.2190296125916731E-2</v>
      </c>
      <c r="P1062" s="320">
        <f t="shared" si="403"/>
        <v>0.12678283258689779</v>
      </c>
      <c r="Q1062" s="292">
        <f t="shared" si="403"/>
        <v>0.10391502092745651</v>
      </c>
      <c r="R1062" s="70"/>
      <c r="S1062" s="70"/>
      <c r="T1062" s="70"/>
      <c r="U1062" s="70"/>
      <c r="V1062" s="70"/>
      <c r="W1062" s="70"/>
      <c r="X1062" s="70"/>
      <c r="Y1062" s="70"/>
      <c r="Z1062" s="70"/>
      <c r="AA1062" s="1061"/>
      <c r="AB1062" s="347" t="s">
        <v>3</v>
      </c>
      <c r="AC1062" s="301">
        <f>AC1061/AC1060</f>
        <v>0.29319098249416636</v>
      </c>
      <c r="AD1062" s="939"/>
      <c r="AE1062" s="939"/>
      <c r="AF1062" s="939"/>
      <c r="AG1062" s="939"/>
      <c r="AH1062" s="939"/>
      <c r="AI1062" s="939"/>
      <c r="AJ1062" s="278">
        <f>AJ1061/AJ1060</f>
        <v>0.35446825901371354</v>
      </c>
      <c r="AK1062" s="292">
        <f>AK1061/AK1060</f>
        <v>0.41286302657489993</v>
      </c>
      <c r="AN1062" s="743"/>
      <c r="AO1062" s="743"/>
    </row>
    <row r="1063" spans="1:41" s="267" customFormat="1" ht="15" customHeight="1" x14ac:dyDescent="0.25">
      <c r="A1063" s="1060" t="s">
        <v>6</v>
      </c>
      <c r="B1063" s="19" t="s">
        <v>7</v>
      </c>
      <c r="C1063" s="297">
        <v>5870</v>
      </c>
      <c r="D1063" s="266">
        <v>3333</v>
      </c>
      <c r="E1063" s="297">
        <v>3330</v>
      </c>
      <c r="F1063" s="277">
        <v>9457</v>
      </c>
      <c r="G1063" s="277">
        <v>8210</v>
      </c>
      <c r="H1063" s="277">
        <v>15543</v>
      </c>
      <c r="I1063" s="277">
        <v>7403</v>
      </c>
      <c r="J1063" s="266">
        <v>9599</v>
      </c>
      <c r="K1063" s="297">
        <v>9289</v>
      </c>
      <c r="L1063" s="277">
        <v>12295</v>
      </c>
      <c r="M1063" s="277">
        <v>4145</v>
      </c>
      <c r="N1063" s="277">
        <v>10027</v>
      </c>
      <c r="O1063" s="266">
        <v>4799</v>
      </c>
      <c r="P1063" s="321">
        <v>2000</v>
      </c>
      <c r="Q1063" s="266">
        <v>1250</v>
      </c>
      <c r="R1063" s="358" t="s">
        <v>197</v>
      </c>
      <c r="S1063" s="126"/>
      <c r="T1063" s="70"/>
      <c r="U1063" s="70"/>
      <c r="V1063" s="70"/>
      <c r="W1063" s="70"/>
      <c r="X1063" s="70"/>
      <c r="Y1063" s="70"/>
      <c r="Z1063" s="70"/>
      <c r="AA1063" s="1074" t="s">
        <v>190</v>
      </c>
      <c r="AB1063" s="19" t="s">
        <v>4</v>
      </c>
      <c r="AC1063" s="299">
        <v>9191.7999999999993</v>
      </c>
      <c r="AD1063" s="552"/>
      <c r="AE1063" s="552"/>
      <c r="AF1063" s="552"/>
      <c r="AG1063" s="552"/>
      <c r="AH1063" s="552"/>
      <c r="AI1063" s="552"/>
      <c r="AJ1063" s="283">
        <v>13787.7</v>
      </c>
      <c r="AK1063" s="265">
        <v>13787.7</v>
      </c>
      <c r="AN1063" s="743"/>
      <c r="AO1063" s="743"/>
    </row>
    <row r="1064" spans="1:41" s="267" customFormat="1" x14ac:dyDescent="0.25">
      <c r="A1064" s="1061"/>
      <c r="B1064" s="295" t="s">
        <v>11</v>
      </c>
      <c r="C1064" s="302">
        <f t="shared" ref="C1064:Q1064" si="404">C1063*33.717</f>
        <v>197918.78999999998</v>
      </c>
      <c r="D1064" s="263">
        <f t="shared" si="404"/>
        <v>112378.761</v>
      </c>
      <c r="E1064" s="302">
        <f t="shared" si="404"/>
        <v>112277.61</v>
      </c>
      <c r="F1064" s="355">
        <f t="shared" si="404"/>
        <v>318861.66899999999</v>
      </c>
      <c r="G1064" s="308">
        <f t="shared" si="404"/>
        <v>276816.57</v>
      </c>
      <c r="H1064" s="354">
        <f t="shared" si="404"/>
        <v>524063.33100000001</v>
      </c>
      <c r="I1064" s="354">
        <f t="shared" si="404"/>
        <v>249606.951</v>
      </c>
      <c r="J1064" s="354">
        <f t="shared" si="404"/>
        <v>323649.48300000001</v>
      </c>
      <c r="K1064" s="322">
        <f t="shared" si="404"/>
        <v>313197.21299999999</v>
      </c>
      <c r="L1064" s="308">
        <f t="shared" si="404"/>
        <v>414550.51499999996</v>
      </c>
      <c r="M1064" s="308">
        <f t="shared" si="404"/>
        <v>139756.965</v>
      </c>
      <c r="N1064" s="354">
        <f t="shared" si="404"/>
        <v>338080.359</v>
      </c>
      <c r="O1064" s="354">
        <f t="shared" si="404"/>
        <v>161807.883</v>
      </c>
      <c r="P1064" s="302">
        <f t="shared" si="404"/>
        <v>67434</v>
      </c>
      <c r="Q1064" s="354">
        <f t="shared" si="404"/>
        <v>42146.25</v>
      </c>
      <c r="R1064" s="70"/>
      <c r="S1064" s="70"/>
      <c r="T1064" s="70"/>
      <c r="U1064" s="70"/>
      <c r="V1064" s="70"/>
      <c r="W1064" s="70"/>
      <c r="X1064" s="70"/>
      <c r="Y1064" s="70"/>
      <c r="Z1064" s="70"/>
      <c r="AA1064" s="1075"/>
      <c r="AB1064" s="293" t="s">
        <v>5</v>
      </c>
      <c r="AC1064" s="300">
        <v>8882</v>
      </c>
      <c r="AD1064" s="631"/>
      <c r="AE1064" s="631"/>
      <c r="AF1064" s="631"/>
      <c r="AG1064" s="631"/>
      <c r="AH1064" s="631"/>
      <c r="AI1064" s="631"/>
      <c r="AJ1064" s="307">
        <v>13644.7</v>
      </c>
      <c r="AK1064" s="264">
        <v>13649.8</v>
      </c>
      <c r="AN1064" s="743"/>
      <c r="AO1064" s="743"/>
    </row>
    <row r="1065" spans="1:41" s="267" customFormat="1" ht="15.75" thickBot="1" x14ac:dyDescent="0.3">
      <c r="A1065" s="1061"/>
      <c r="B1065" s="295" t="s">
        <v>79</v>
      </c>
      <c r="C1065" s="302">
        <v>164000</v>
      </c>
      <c r="D1065" s="263">
        <v>109880</v>
      </c>
      <c r="E1065" s="302">
        <v>109880</v>
      </c>
      <c r="F1065" s="308">
        <v>328000</v>
      </c>
      <c r="G1065" s="308">
        <v>330905</v>
      </c>
      <c r="H1065" s="308">
        <v>264264</v>
      </c>
      <c r="I1065" s="308">
        <v>242663.6</v>
      </c>
      <c r="J1065" s="263">
        <v>328000</v>
      </c>
      <c r="K1065" s="302">
        <v>328000</v>
      </c>
      <c r="L1065" s="308">
        <v>264264.40000000002</v>
      </c>
      <c r="M1065" s="308">
        <v>328000</v>
      </c>
      <c r="N1065" s="308">
        <v>352965.4</v>
      </c>
      <c r="O1065" s="263">
        <v>328000</v>
      </c>
      <c r="P1065" s="322">
        <f>2*P1060</f>
        <v>110302</v>
      </c>
      <c r="Q1065" s="263">
        <f>2*Q1060</f>
        <v>66181</v>
      </c>
      <c r="R1065" s="70"/>
      <c r="S1065" s="70"/>
      <c r="T1065" s="70"/>
      <c r="U1065" s="70"/>
      <c r="V1065" s="70"/>
      <c r="W1065" s="70"/>
      <c r="X1065" s="70"/>
      <c r="Y1065" s="70"/>
      <c r="Z1065" s="70"/>
      <c r="AA1065" s="1076"/>
      <c r="AB1065" s="344" t="s">
        <v>3</v>
      </c>
      <c r="AC1065" s="301">
        <f>AC1064/AC1063</f>
        <v>0.96629604647620715</v>
      </c>
      <c r="AD1065" s="939"/>
      <c r="AE1065" s="939"/>
      <c r="AF1065" s="939"/>
      <c r="AG1065" s="939"/>
      <c r="AH1065" s="939"/>
      <c r="AI1065" s="939"/>
      <c r="AJ1065" s="249">
        <f>AJ1064/AJ1063</f>
        <v>0.98962843694017133</v>
      </c>
      <c r="AK1065" s="348">
        <f>AK1064/AK1063</f>
        <v>0.98999833184650077</v>
      </c>
      <c r="AN1065" s="743"/>
      <c r="AO1065" s="743"/>
    </row>
    <row r="1066" spans="1:41" s="267" customFormat="1" x14ac:dyDescent="0.25">
      <c r="A1066" s="1061"/>
      <c r="B1066" s="293" t="s">
        <v>8</v>
      </c>
      <c r="C1066" s="303">
        <f>SUM(C1063-168)</f>
        <v>5702</v>
      </c>
      <c r="D1066" s="262">
        <f>SUM(D1063-686)</f>
        <v>2647</v>
      </c>
      <c r="E1066" s="303">
        <f>SUM(E1063-652)</f>
        <v>2678</v>
      </c>
      <c r="F1066" s="309">
        <f>SUM(F1063-1211)</f>
        <v>8246</v>
      </c>
      <c r="G1066" s="309">
        <f>SUM(G1063-4446)</f>
        <v>3764</v>
      </c>
      <c r="H1066" s="309">
        <f>SUM(H1063-2089)</f>
        <v>13454</v>
      </c>
      <c r="I1066" s="309">
        <f>SUM(I1063-(3190-2000))</f>
        <v>6213</v>
      </c>
      <c r="J1066" s="262">
        <f>SUM(J1063-9230)</f>
        <v>369</v>
      </c>
      <c r="K1066" s="303">
        <f>SUM(K1063-909)</f>
        <v>8380</v>
      </c>
      <c r="L1066" s="309">
        <f>SUM(L1063-1100)</f>
        <v>11195</v>
      </c>
      <c r="M1066" s="316">
        <f>SUM(M1063-234)</f>
        <v>3911</v>
      </c>
      <c r="N1066" s="309">
        <f>SUM(N1063-(5077-2614))</f>
        <v>7564</v>
      </c>
      <c r="O1066" s="262">
        <f>SUM(O1063-3991)</f>
        <v>808</v>
      </c>
      <c r="P1066" s="323">
        <f>SUM(P1063-1261)</f>
        <v>739</v>
      </c>
      <c r="Q1066" s="262">
        <f>SUM(Q1063-869)</f>
        <v>381</v>
      </c>
      <c r="R1066" s="12" t="s">
        <v>176</v>
      </c>
      <c r="S1066" s="70"/>
      <c r="T1066" s="70"/>
      <c r="U1066" s="70"/>
      <c r="V1066" s="70"/>
      <c r="W1066" s="70"/>
      <c r="X1066" s="70"/>
      <c r="Y1066" s="70"/>
      <c r="Z1066" s="70"/>
      <c r="AA1066" s="1074" t="s">
        <v>191</v>
      </c>
      <c r="AB1066" s="19" t="s">
        <v>4</v>
      </c>
      <c r="AC1066" s="299">
        <v>97433.600000000006</v>
      </c>
      <c r="AD1066" s="552"/>
      <c r="AE1066" s="552"/>
      <c r="AF1066" s="552"/>
      <c r="AG1066" s="552"/>
      <c r="AH1066" s="552"/>
      <c r="AI1066" s="552"/>
      <c r="AJ1066" s="283">
        <v>243584.4</v>
      </c>
      <c r="AK1066" s="265">
        <v>292299.3</v>
      </c>
      <c r="AN1066" s="743"/>
      <c r="AO1066" s="743"/>
    </row>
    <row r="1067" spans="1:41" s="267" customFormat="1" x14ac:dyDescent="0.25">
      <c r="A1067" s="1061"/>
      <c r="B1067" s="296" t="s">
        <v>77</v>
      </c>
      <c r="C1067" s="302">
        <f>(C1066*33.717)</f>
        <v>192254.334</v>
      </c>
      <c r="D1067" s="338">
        <f>(D1066*33.717)</f>
        <v>89248.89899999999</v>
      </c>
      <c r="E1067" s="302">
        <f>(E1066*33.717)</f>
        <v>90294.126000000004</v>
      </c>
      <c r="F1067" s="338">
        <f>(F1066*33.717)</f>
        <v>278030.38199999998</v>
      </c>
      <c r="G1067" s="280">
        <f>(G1066*33.717)*2</f>
        <v>253821.576</v>
      </c>
      <c r="H1067" s="280">
        <f>(H1066*33.717)</f>
        <v>453628.51799999998</v>
      </c>
      <c r="I1067" s="280">
        <f>(I1066*33.717)-(2000*33.717)</f>
        <v>142049.72099999999</v>
      </c>
      <c r="J1067" s="261">
        <f>J1066*33.717</f>
        <v>12441.573</v>
      </c>
      <c r="K1067" s="304">
        <f>K1066*33.717</f>
        <v>282548.45999999996</v>
      </c>
      <c r="L1067" s="280">
        <f>L1066*33.717</f>
        <v>377461.815</v>
      </c>
      <c r="M1067" s="280">
        <f>(M1066*33.717)</f>
        <v>131867.18700000001</v>
      </c>
      <c r="N1067" s="280">
        <f>N1066*33.717</f>
        <v>255035.38799999998</v>
      </c>
      <c r="O1067" s="261">
        <f>O1066*33.717</f>
        <v>27243.335999999999</v>
      </c>
      <c r="P1067" s="324">
        <f>P1066*33.717</f>
        <v>24916.862999999998</v>
      </c>
      <c r="Q1067" s="325">
        <f>Q1066*33.717</f>
        <v>12846.177</v>
      </c>
      <c r="R1067" s="63">
        <f>344240-H1067</f>
        <v>-109388.51799999998</v>
      </c>
      <c r="S1067" s="70" t="s">
        <v>177</v>
      </c>
      <c r="T1067" s="70"/>
      <c r="U1067" s="70"/>
      <c r="V1067" s="70"/>
      <c r="W1067" s="70"/>
      <c r="X1067" s="70"/>
      <c r="Y1067" s="70"/>
      <c r="Z1067" s="70"/>
      <c r="AA1067" s="1075"/>
      <c r="AB1067" s="293" t="s">
        <v>5</v>
      </c>
      <c r="AC1067" s="300">
        <v>64490.9</v>
      </c>
      <c r="AD1067" s="631"/>
      <c r="AE1067" s="631"/>
      <c r="AF1067" s="631"/>
      <c r="AG1067" s="631"/>
      <c r="AH1067" s="631"/>
      <c r="AI1067" s="631"/>
      <c r="AJ1067" s="307">
        <v>79989.3</v>
      </c>
      <c r="AK1067" s="264">
        <v>62980.6</v>
      </c>
      <c r="AN1067" s="743"/>
      <c r="AO1067" s="743"/>
    </row>
    <row r="1068" spans="1:41" s="267" customFormat="1" ht="15.75" thickBot="1" x14ac:dyDescent="0.3">
      <c r="A1068" s="1062"/>
      <c r="B1068" s="294" t="s">
        <v>10</v>
      </c>
      <c r="C1068" s="305">
        <f t="shared" ref="C1068:Q1068" si="405">C1067/C1060</f>
        <v>1.3407586605129149</v>
      </c>
      <c r="D1068" s="292">
        <f t="shared" si="405"/>
        <v>0.59295368991162389</v>
      </c>
      <c r="E1068" s="310">
        <f t="shared" si="405"/>
        <v>0.59989799077571926</v>
      </c>
      <c r="F1068" s="282">
        <f t="shared" si="405"/>
        <v>1.5276579277331923</v>
      </c>
      <c r="G1068" s="282">
        <f t="shared" si="405"/>
        <v>1.534105413940557</v>
      </c>
      <c r="H1068" s="282">
        <f t="shared" si="405"/>
        <v>3.4331465352828987</v>
      </c>
      <c r="I1068" s="282">
        <f t="shared" si="405"/>
        <v>1.1707542540372762</v>
      </c>
      <c r="J1068" s="311">
        <f t="shared" si="405"/>
        <v>7.4914079477161027E-2</v>
      </c>
      <c r="K1068" s="310">
        <f t="shared" si="405"/>
        <v>1.4637768809544778</v>
      </c>
      <c r="L1068" s="282">
        <f t="shared" si="405"/>
        <v>2.8566981780368446</v>
      </c>
      <c r="M1068" s="282">
        <f t="shared" si="405"/>
        <v>1.5940177065818246</v>
      </c>
      <c r="N1068" s="260">
        <f t="shared" si="405"/>
        <v>1.4451013498773533</v>
      </c>
      <c r="O1068" s="311">
        <f t="shared" si="405"/>
        <v>0.32807880634400705</v>
      </c>
      <c r="P1068" s="305">
        <f t="shared" si="405"/>
        <v>0.45179349422494602</v>
      </c>
      <c r="Q1068" s="292">
        <f t="shared" si="405"/>
        <v>0.38821344494643478</v>
      </c>
      <c r="R1068" s="126"/>
      <c r="S1068" s="70"/>
      <c r="T1068" s="70"/>
      <c r="U1068" s="70"/>
      <c r="V1068" s="70"/>
      <c r="W1068" s="70"/>
      <c r="X1068" s="70"/>
      <c r="Y1068" s="70"/>
      <c r="Z1068" s="70"/>
      <c r="AA1068" s="1077"/>
      <c r="AB1068" s="294" t="s">
        <v>3</v>
      </c>
      <c r="AC1068" s="305">
        <f>AC1067/AC1066</f>
        <v>0.66189589628218604</v>
      </c>
      <c r="AD1068" s="636"/>
      <c r="AE1068" s="636"/>
      <c r="AF1068" s="636"/>
      <c r="AG1068" s="636"/>
      <c r="AH1068" s="636"/>
      <c r="AI1068" s="636"/>
      <c r="AJ1068" s="278">
        <f>AJ1067/AJ1066</f>
        <v>0.32838433003098721</v>
      </c>
      <c r="AK1068" s="343">
        <f>AK1067/AK1066</f>
        <v>0.21546613351451749</v>
      </c>
      <c r="AN1068" s="743"/>
      <c r="AO1068" s="743"/>
    </row>
    <row r="1069" spans="1:41" s="267" customFormat="1" ht="15.75" thickBot="1" x14ac:dyDescent="0.3">
      <c r="A1069" s="1048">
        <v>41383</v>
      </c>
      <c r="B1069" s="1048"/>
      <c r="C1069" s="1048"/>
      <c r="D1069" s="276"/>
      <c r="E1069" s="276"/>
      <c r="F1069" s="276"/>
      <c r="G1069" s="276"/>
      <c r="H1069" s="276"/>
      <c r="I1069" s="11"/>
      <c r="J1069" s="281"/>
      <c r="K1069" s="281"/>
      <c r="L1069" s="276"/>
      <c r="M1069" s="276"/>
      <c r="N1069" s="13"/>
      <c r="R1069" s="12"/>
      <c r="S1069" s="70"/>
      <c r="T1069" s="70"/>
      <c r="U1069" s="70"/>
      <c r="V1069" s="70"/>
      <c r="W1069" s="70"/>
      <c r="X1069" s="70"/>
      <c r="Y1069" s="70"/>
      <c r="Z1069" s="70"/>
      <c r="AA1069" s="1068"/>
      <c r="AB1069" s="1069"/>
      <c r="AD1069" s="743"/>
      <c r="AE1069" s="743"/>
      <c r="AF1069" s="743"/>
      <c r="AG1069" s="743"/>
      <c r="AH1069" s="743"/>
      <c r="AI1069" s="743"/>
      <c r="AN1069" s="743"/>
      <c r="AO1069" s="743"/>
    </row>
    <row r="1070" spans="1:41" s="267" customFormat="1" x14ac:dyDescent="0.25">
      <c r="A1070" s="1049" t="s">
        <v>1</v>
      </c>
      <c r="B1070" s="1070"/>
      <c r="C1070" s="297" t="s">
        <v>12</v>
      </c>
      <c r="D1070" s="266" t="s">
        <v>12</v>
      </c>
      <c r="E1070" s="297" t="s">
        <v>13</v>
      </c>
      <c r="F1070" s="277" t="s">
        <v>13</v>
      </c>
      <c r="G1070" s="277" t="s">
        <v>13</v>
      </c>
      <c r="H1070" s="277" t="s">
        <v>13</v>
      </c>
      <c r="I1070" s="277" t="s">
        <v>13</v>
      </c>
      <c r="J1070" s="266" t="s">
        <v>13</v>
      </c>
      <c r="K1070" s="297" t="s">
        <v>2</v>
      </c>
      <c r="L1070" s="277" t="s">
        <v>2</v>
      </c>
      <c r="M1070" s="286" t="s">
        <v>2</v>
      </c>
      <c r="N1070" s="277" t="s">
        <v>2</v>
      </c>
      <c r="O1070" s="266" t="s">
        <v>2</v>
      </c>
      <c r="P1070" s="328" t="s">
        <v>183</v>
      </c>
      <c r="Q1070" s="327" t="s">
        <v>183</v>
      </c>
      <c r="R1070" s="12"/>
      <c r="S1070" s="70"/>
      <c r="T1070" s="70"/>
      <c r="U1070" s="70"/>
      <c r="V1070" s="70"/>
      <c r="W1070" s="70"/>
      <c r="X1070" s="70"/>
      <c r="Y1070" s="70"/>
      <c r="Z1070" s="70"/>
      <c r="AA1070" s="1049" t="s">
        <v>1</v>
      </c>
      <c r="AB1070" s="1071"/>
      <c r="AC1070" s="297" t="s">
        <v>12</v>
      </c>
      <c r="AD1070" s="937"/>
      <c r="AE1070" s="937"/>
      <c r="AF1070" s="937"/>
      <c r="AG1070" s="937"/>
      <c r="AH1070" s="937"/>
      <c r="AI1070" s="937"/>
      <c r="AJ1070" s="277" t="s">
        <v>13</v>
      </c>
      <c r="AK1070" s="266" t="s">
        <v>2</v>
      </c>
      <c r="AN1070" s="743"/>
      <c r="AO1070" s="743"/>
    </row>
    <row r="1071" spans="1:41" s="267" customFormat="1" ht="15.75" thickBot="1" x14ac:dyDescent="0.3">
      <c r="A1071" s="1054" t="s">
        <v>0</v>
      </c>
      <c r="B1071" s="1072"/>
      <c r="C1071" s="298" t="s">
        <v>99</v>
      </c>
      <c r="D1071" s="291" t="s">
        <v>100</v>
      </c>
      <c r="E1071" s="298" t="s">
        <v>101</v>
      </c>
      <c r="F1071" s="306" t="s">
        <v>102</v>
      </c>
      <c r="G1071" s="306" t="s">
        <v>97</v>
      </c>
      <c r="H1071" s="306" t="s">
        <v>104</v>
      </c>
      <c r="I1071" s="306" t="s">
        <v>103</v>
      </c>
      <c r="J1071" s="314" t="s">
        <v>178</v>
      </c>
      <c r="K1071" s="298" t="s">
        <v>105</v>
      </c>
      <c r="L1071" s="306" t="s">
        <v>107</v>
      </c>
      <c r="M1071" s="312" t="s">
        <v>98</v>
      </c>
      <c r="N1071" s="313" t="s">
        <v>106</v>
      </c>
      <c r="O1071" s="291" t="s">
        <v>179</v>
      </c>
      <c r="P1071" s="317" t="s">
        <v>182</v>
      </c>
      <c r="Q1071" s="291" t="s">
        <v>184</v>
      </c>
      <c r="R1071" s="12"/>
      <c r="S1071" s="12"/>
      <c r="T1071" s="12"/>
      <c r="U1071" s="12"/>
      <c r="V1071" s="12"/>
      <c r="W1071" s="12"/>
      <c r="X1071" s="12"/>
      <c r="Y1071" s="12"/>
      <c r="Z1071" s="12"/>
      <c r="AA1071" s="1054" t="s">
        <v>0</v>
      </c>
      <c r="AB1071" s="1073"/>
      <c r="AC1071" s="298" t="s">
        <v>99</v>
      </c>
      <c r="AD1071" s="938"/>
      <c r="AE1071" s="938"/>
      <c r="AF1071" s="938"/>
      <c r="AG1071" s="938"/>
      <c r="AH1071" s="938"/>
      <c r="AI1071" s="938"/>
      <c r="AJ1071" s="306" t="s">
        <v>104</v>
      </c>
      <c r="AK1071" s="291" t="s">
        <v>107</v>
      </c>
      <c r="AN1071" s="743"/>
      <c r="AO1071" s="743"/>
    </row>
    <row r="1072" spans="1:41" s="267" customFormat="1" ht="15" customHeight="1" x14ac:dyDescent="0.25">
      <c r="A1072" s="1057" t="s">
        <v>9</v>
      </c>
      <c r="B1072" s="19" t="s">
        <v>4</v>
      </c>
      <c r="C1072" s="299">
        <v>143392.20000000001</v>
      </c>
      <c r="D1072" s="265">
        <v>150515.79999999999</v>
      </c>
      <c r="E1072" s="299">
        <v>150515.79999999999</v>
      </c>
      <c r="F1072" s="283">
        <v>181997.8</v>
      </c>
      <c r="G1072" s="283">
        <v>165452.5</v>
      </c>
      <c r="H1072" s="283">
        <v>132132</v>
      </c>
      <c r="I1072" s="283">
        <v>121331.8</v>
      </c>
      <c r="J1072" s="265">
        <v>166077.9</v>
      </c>
      <c r="K1072" s="299">
        <v>193027</v>
      </c>
      <c r="L1072" s="283">
        <v>132132.20000000001</v>
      </c>
      <c r="M1072" s="283">
        <v>82726.3</v>
      </c>
      <c r="N1072" s="283">
        <v>176482.7</v>
      </c>
      <c r="O1072" s="265">
        <v>83039</v>
      </c>
      <c r="P1072" s="318">
        <v>55151</v>
      </c>
      <c r="Q1072" s="265">
        <v>33090.5</v>
      </c>
      <c r="R1072" s="70"/>
      <c r="S1072" s="70"/>
      <c r="T1072" s="70"/>
      <c r="U1072" s="70"/>
      <c r="V1072" s="70"/>
      <c r="W1072" s="70"/>
      <c r="X1072" s="70"/>
      <c r="Y1072" s="70"/>
      <c r="Z1072" s="70"/>
      <c r="AA1072" s="1060" t="s">
        <v>194</v>
      </c>
      <c r="AB1072" s="2" t="s">
        <v>4</v>
      </c>
      <c r="AC1072" s="299">
        <v>143392.20000000001</v>
      </c>
      <c r="AD1072" s="552"/>
      <c r="AE1072" s="552"/>
      <c r="AF1072" s="552"/>
      <c r="AG1072" s="552"/>
      <c r="AH1072" s="552"/>
      <c r="AI1072" s="552"/>
      <c r="AJ1072" s="283">
        <v>132132</v>
      </c>
      <c r="AK1072" s="265">
        <v>132132.20000000001</v>
      </c>
      <c r="AN1072" s="743"/>
      <c r="AO1072" s="743"/>
    </row>
    <row r="1073" spans="1:41" s="267" customFormat="1" x14ac:dyDescent="0.25">
      <c r="A1073" s="1058"/>
      <c r="B1073" s="293" t="s">
        <v>5</v>
      </c>
      <c r="C1073" s="300">
        <v>37643.300000000003</v>
      </c>
      <c r="D1073" s="264">
        <v>77685.100000000006</v>
      </c>
      <c r="E1073" s="300">
        <v>79095.600000000006</v>
      </c>
      <c r="F1073" s="307">
        <v>157487.70000000001</v>
      </c>
      <c r="G1073" s="307">
        <v>95917.5</v>
      </c>
      <c r="H1073" s="307">
        <v>50505.3</v>
      </c>
      <c r="I1073" s="307">
        <v>78099.8</v>
      </c>
      <c r="J1073" s="264">
        <v>13432.1</v>
      </c>
      <c r="K1073" s="300">
        <v>156772.79999999999</v>
      </c>
      <c r="L1073" s="307">
        <v>55253.8</v>
      </c>
      <c r="M1073" s="307">
        <v>49203.9</v>
      </c>
      <c r="N1073" s="307">
        <v>143303.6</v>
      </c>
      <c r="O1073" s="264">
        <v>6814.8</v>
      </c>
      <c r="P1073" s="319">
        <v>6991</v>
      </c>
      <c r="Q1073" s="264">
        <v>3438.6</v>
      </c>
      <c r="R1073" s="70"/>
      <c r="S1073" s="70"/>
      <c r="T1073" s="70"/>
      <c r="U1073" s="70"/>
      <c r="V1073" s="70"/>
      <c r="W1073" s="70"/>
      <c r="X1073" s="70"/>
      <c r="Y1073" s="70"/>
      <c r="Z1073" s="70"/>
      <c r="AA1073" s="1061"/>
      <c r="AB1073" s="342" t="s">
        <v>5</v>
      </c>
      <c r="AC1073" s="300">
        <v>42041.3</v>
      </c>
      <c r="AD1073" s="631"/>
      <c r="AE1073" s="631"/>
      <c r="AF1073" s="631"/>
      <c r="AG1073" s="631"/>
      <c r="AH1073" s="631"/>
      <c r="AI1073" s="631"/>
      <c r="AJ1073" s="307">
        <v>46836.6</v>
      </c>
      <c r="AK1073" s="264">
        <v>54552.5</v>
      </c>
      <c r="AN1073" s="743"/>
      <c r="AO1073" s="743"/>
    </row>
    <row r="1074" spans="1:41" s="267" customFormat="1" ht="15.75" thickBot="1" x14ac:dyDescent="0.3">
      <c r="A1074" s="1059"/>
      <c r="B1074" s="294" t="s">
        <v>3</v>
      </c>
      <c r="C1074" s="305">
        <f t="shared" ref="C1074:Q1074" si="406">C1073/C1072</f>
        <v>0.26251985812338469</v>
      </c>
      <c r="D1074" s="343">
        <f t="shared" si="406"/>
        <v>0.5161258818011133</v>
      </c>
      <c r="E1074" s="305">
        <f t="shared" si="406"/>
        <v>0.52549699101356806</v>
      </c>
      <c r="F1074" s="278">
        <f t="shared" si="406"/>
        <v>0.86532749296969536</v>
      </c>
      <c r="G1074" s="278">
        <f t="shared" si="406"/>
        <v>0.57972832081715298</v>
      </c>
      <c r="H1074" s="278">
        <f t="shared" si="406"/>
        <v>0.38223367541549363</v>
      </c>
      <c r="I1074" s="278">
        <f t="shared" si="406"/>
        <v>0.64368780484588539</v>
      </c>
      <c r="J1074" s="292">
        <f t="shared" si="406"/>
        <v>8.0878310720451069E-2</v>
      </c>
      <c r="K1074" s="305">
        <f t="shared" si="406"/>
        <v>0.81218067938682148</v>
      </c>
      <c r="L1074" s="278">
        <f t="shared" si="406"/>
        <v>0.41817058975783344</v>
      </c>
      <c r="M1074" s="315">
        <f t="shared" si="406"/>
        <v>0.59477941114252664</v>
      </c>
      <c r="N1074" s="278">
        <f t="shared" si="406"/>
        <v>0.8119980032037134</v>
      </c>
      <c r="O1074" s="292">
        <f t="shared" si="406"/>
        <v>8.2067462276761524E-2</v>
      </c>
      <c r="P1074" s="320">
        <f t="shared" si="406"/>
        <v>0.12676107414190133</v>
      </c>
      <c r="Q1074" s="292">
        <f t="shared" si="406"/>
        <v>0.10391502092745651</v>
      </c>
      <c r="R1074" s="70"/>
      <c r="S1074" s="70"/>
      <c r="T1074" s="70"/>
      <c r="U1074" s="70"/>
      <c r="V1074" s="70"/>
      <c r="W1074" s="70"/>
      <c r="X1074" s="70"/>
      <c r="Y1074" s="70"/>
      <c r="Z1074" s="70"/>
      <c r="AA1074" s="1061"/>
      <c r="AB1074" s="347" t="s">
        <v>3</v>
      </c>
      <c r="AC1074" s="301">
        <f>AC1073/AC1072</f>
        <v>0.29319098249416636</v>
      </c>
      <c r="AD1074" s="939"/>
      <c r="AE1074" s="939"/>
      <c r="AF1074" s="939"/>
      <c r="AG1074" s="939"/>
      <c r="AH1074" s="939"/>
      <c r="AI1074" s="939"/>
      <c r="AJ1074" s="278">
        <f>AJ1073/AJ1072</f>
        <v>0.35446825901371354</v>
      </c>
      <c r="AK1074" s="292">
        <f>AK1073/AK1072</f>
        <v>0.41286302657489993</v>
      </c>
      <c r="AN1074" s="743"/>
      <c r="AO1074" s="743"/>
    </row>
    <row r="1075" spans="1:41" s="267" customFormat="1" ht="15" customHeight="1" x14ac:dyDescent="0.25">
      <c r="A1075" s="1060" t="s">
        <v>6</v>
      </c>
      <c r="B1075" s="19" t="s">
        <v>7</v>
      </c>
      <c r="C1075" s="297">
        <v>5870</v>
      </c>
      <c r="D1075" s="266">
        <v>3333</v>
      </c>
      <c r="E1075" s="297">
        <v>3330</v>
      </c>
      <c r="F1075" s="277">
        <v>9457</v>
      </c>
      <c r="G1075" s="277">
        <v>8210</v>
      </c>
      <c r="H1075" s="277">
        <v>15543</v>
      </c>
      <c r="I1075" s="277">
        <v>7403</v>
      </c>
      <c r="J1075" s="266">
        <v>9599</v>
      </c>
      <c r="K1075" s="297">
        <v>9289</v>
      </c>
      <c r="L1075" s="277">
        <v>12295</v>
      </c>
      <c r="M1075" s="277">
        <v>4145</v>
      </c>
      <c r="N1075" s="277">
        <v>10027</v>
      </c>
      <c r="O1075" s="266">
        <v>4799</v>
      </c>
      <c r="P1075" s="321">
        <v>2000</v>
      </c>
      <c r="Q1075" s="266">
        <v>1250</v>
      </c>
      <c r="R1075" s="358" t="s">
        <v>197</v>
      </c>
      <c r="S1075" s="126"/>
      <c r="T1075" s="70"/>
      <c r="U1075" s="70"/>
      <c r="V1075" s="70"/>
      <c r="W1075" s="70"/>
      <c r="X1075" s="70"/>
      <c r="Y1075" s="70"/>
      <c r="Z1075" s="70"/>
      <c r="AA1075" s="1074" t="s">
        <v>190</v>
      </c>
      <c r="AB1075" s="19" t="s">
        <v>4</v>
      </c>
      <c r="AC1075" s="299">
        <v>9191.7999999999993</v>
      </c>
      <c r="AD1075" s="552"/>
      <c r="AE1075" s="552"/>
      <c r="AF1075" s="552"/>
      <c r="AG1075" s="552"/>
      <c r="AH1075" s="552"/>
      <c r="AI1075" s="552"/>
      <c r="AJ1075" s="283">
        <v>13787.7</v>
      </c>
      <c r="AK1075" s="265">
        <v>13787.7</v>
      </c>
      <c r="AN1075" s="743"/>
      <c r="AO1075" s="743"/>
    </row>
    <row r="1076" spans="1:41" s="267" customFormat="1" x14ac:dyDescent="0.25">
      <c r="A1076" s="1061"/>
      <c r="B1076" s="295" t="s">
        <v>11</v>
      </c>
      <c r="C1076" s="302">
        <f t="shared" ref="C1076:Q1076" si="407">C1075*33.717</f>
        <v>197918.78999999998</v>
      </c>
      <c r="D1076" s="263">
        <f t="shared" si="407"/>
        <v>112378.761</v>
      </c>
      <c r="E1076" s="302">
        <f t="shared" si="407"/>
        <v>112277.61</v>
      </c>
      <c r="F1076" s="355">
        <f t="shared" si="407"/>
        <v>318861.66899999999</v>
      </c>
      <c r="G1076" s="308">
        <f t="shared" si="407"/>
        <v>276816.57</v>
      </c>
      <c r="H1076" s="354">
        <f t="shared" si="407"/>
        <v>524063.33100000001</v>
      </c>
      <c r="I1076" s="354">
        <f t="shared" si="407"/>
        <v>249606.951</v>
      </c>
      <c r="J1076" s="354">
        <f t="shared" si="407"/>
        <v>323649.48300000001</v>
      </c>
      <c r="K1076" s="322">
        <f t="shared" si="407"/>
        <v>313197.21299999999</v>
      </c>
      <c r="L1076" s="308">
        <f t="shared" si="407"/>
        <v>414550.51499999996</v>
      </c>
      <c r="M1076" s="308">
        <f t="shared" si="407"/>
        <v>139756.965</v>
      </c>
      <c r="N1076" s="354">
        <f t="shared" si="407"/>
        <v>338080.359</v>
      </c>
      <c r="O1076" s="354">
        <f t="shared" si="407"/>
        <v>161807.883</v>
      </c>
      <c r="P1076" s="302">
        <f t="shared" si="407"/>
        <v>67434</v>
      </c>
      <c r="Q1076" s="354">
        <f t="shared" si="407"/>
        <v>42146.25</v>
      </c>
      <c r="R1076" s="70"/>
      <c r="S1076" s="70"/>
      <c r="T1076" s="70"/>
      <c r="U1076" s="70"/>
      <c r="V1076" s="70"/>
      <c r="W1076" s="70"/>
      <c r="X1076" s="70"/>
      <c r="Y1076" s="70"/>
      <c r="Z1076" s="70"/>
      <c r="AA1076" s="1075"/>
      <c r="AB1076" s="293" t="s">
        <v>5</v>
      </c>
      <c r="AC1076" s="300">
        <v>8882</v>
      </c>
      <c r="AD1076" s="631"/>
      <c r="AE1076" s="631"/>
      <c r="AF1076" s="631"/>
      <c r="AG1076" s="631"/>
      <c r="AH1076" s="631"/>
      <c r="AI1076" s="631"/>
      <c r="AJ1076" s="307">
        <v>13644.7</v>
      </c>
      <c r="AK1076" s="264">
        <v>13649.8</v>
      </c>
      <c r="AN1076" s="743"/>
      <c r="AO1076" s="743"/>
    </row>
    <row r="1077" spans="1:41" s="267" customFormat="1" ht="15.75" thickBot="1" x14ac:dyDescent="0.3">
      <c r="A1077" s="1061"/>
      <c r="B1077" s="295" t="s">
        <v>79</v>
      </c>
      <c r="C1077" s="302">
        <v>164000</v>
      </c>
      <c r="D1077" s="263">
        <v>109880</v>
      </c>
      <c r="E1077" s="302">
        <v>109880</v>
      </c>
      <c r="F1077" s="308">
        <v>328000</v>
      </c>
      <c r="G1077" s="308">
        <v>330905</v>
      </c>
      <c r="H1077" s="308">
        <v>264264</v>
      </c>
      <c r="I1077" s="308">
        <v>242663.6</v>
      </c>
      <c r="J1077" s="263">
        <v>328000</v>
      </c>
      <c r="K1077" s="302">
        <v>328000</v>
      </c>
      <c r="L1077" s="308">
        <v>264264.40000000002</v>
      </c>
      <c r="M1077" s="308">
        <v>328000</v>
      </c>
      <c r="N1077" s="308">
        <v>352965.4</v>
      </c>
      <c r="O1077" s="263">
        <v>328000</v>
      </c>
      <c r="P1077" s="322">
        <f>2*P1072</f>
        <v>110302</v>
      </c>
      <c r="Q1077" s="263">
        <f>2*Q1072</f>
        <v>66181</v>
      </c>
      <c r="R1077" s="70"/>
      <c r="S1077" s="70"/>
      <c r="T1077" s="70"/>
      <c r="U1077" s="70"/>
      <c r="V1077" s="70"/>
      <c r="W1077" s="70"/>
      <c r="X1077" s="70"/>
      <c r="Y1077" s="70"/>
      <c r="Z1077" s="70"/>
      <c r="AA1077" s="1076"/>
      <c r="AB1077" s="344" t="s">
        <v>3</v>
      </c>
      <c r="AC1077" s="301">
        <f>AC1076/AC1075</f>
        <v>0.96629604647620715</v>
      </c>
      <c r="AD1077" s="939"/>
      <c r="AE1077" s="939"/>
      <c r="AF1077" s="939"/>
      <c r="AG1077" s="939"/>
      <c r="AH1077" s="939"/>
      <c r="AI1077" s="939"/>
      <c r="AJ1077" s="249">
        <f>AJ1076/AJ1075</f>
        <v>0.98962843694017133</v>
      </c>
      <c r="AK1077" s="348">
        <f>AK1076/AK1075</f>
        <v>0.98999833184650077</v>
      </c>
      <c r="AN1077" s="743"/>
      <c r="AO1077" s="743"/>
    </row>
    <row r="1078" spans="1:41" s="267" customFormat="1" x14ac:dyDescent="0.25">
      <c r="A1078" s="1061"/>
      <c r="B1078" s="293" t="s">
        <v>8</v>
      </c>
      <c r="C1078" s="303">
        <f>SUM(C1075-168)</f>
        <v>5702</v>
      </c>
      <c r="D1078" s="262">
        <f>SUM(D1075-686)</f>
        <v>2647</v>
      </c>
      <c r="E1078" s="303">
        <f>SUM(E1075-652)</f>
        <v>2678</v>
      </c>
      <c r="F1078" s="309">
        <f>SUM(F1075-1211)</f>
        <v>8246</v>
      </c>
      <c r="G1078" s="309">
        <f>SUM(G1075-4446)</f>
        <v>3764</v>
      </c>
      <c r="H1078" s="309">
        <f>SUM(H1075-2089)</f>
        <v>13454</v>
      </c>
      <c r="I1078" s="309">
        <f>SUM(I1075-(3223-2000))</f>
        <v>6180</v>
      </c>
      <c r="J1078" s="262">
        <f>SUM(J1075-9230)</f>
        <v>369</v>
      </c>
      <c r="K1078" s="303">
        <f>SUM(K1075-909)</f>
        <v>8380</v>
      </c>
      <c r="L1078" s="309">
        <f>SUM(L1075-1244)</f>
        <v>11051</v>
      </c>
      <c r="M1078" s="316">
        <f>SUM(M1075-242)</f>
        <v>3903</v>
      </c>
      <c r="N1078" s="309">
        <f>SUM(N1075-(5253-2614))</f>
        <v>7388</v>
      </c>
      <c r="O1078" s="262">
        <f>SUM(O1075-3991)</f>
        <v>808</v>
      </c>
      <c r="P1078" s="323">
        <f>SUM(P1075-1261)</f>
        <v>739</v>
      </c>
      <c r="Q1078" s="262">
        <f>SUM(Q1075-869)</f>
        <v>381</v>
      </c>
      <c r="R1078" s="12" t="s">
        <v>176</v>
      </c>
      <c r="S1078" s="70"/>
      <c r="T1078" s="70"/>
      <c r="U1078" s="70"/>
      <c r="V1078" s="70"/>
      <c r="W1078" s="70"/>
      <c r="X1078" s="70"/>
      <c r="Y1078" s="70"/>
      <c r="Z1078" s="70"/>
      <c r="AA1078" s="1074" t="s">
        <v>191</v>
      </c>
      <c r="AB1078" s="19" t="s">
        <v>4</v>
      </c>
      <c r="AC1078" s="299">
        <v>97433.600000000006</v>
      </c>
      <c r="AD1078" s="552"/>
      <c r="AE1078" s="552"/>
      <c r="AF1078" s="552"/>
      <c r="AG1078" s="552"/>
      <c r="AH1078" s="552"/>
      <c r="AI1078" s="552"/>
      <c r="AJ1078" s="283">
        <v>243584.4</v>
      </c>
      <c r="AK1078" s="265">
        <v>292299.3</v>
      </c>
      <c r="AN1078" s="743"/>
      <c r="AO1078" s="743"/>
    </row>
    <row r="1079" spans="1:41" s="267" customFormat="1" x14ac:dyDescent="0.25">
      <c r="A1079" s="1061"/>
      <c r="B1079" s="296" t="s">
        <v>77</v>
      </c>
      <c r="C1079" s="302">
        <f>(C1078*33.717)</f>
        <v>192254.334</v>
      </c>
      <c r="D1079" s="338">
        <f>(D1078*33.717)</f>
        <v>89248.89899999999</v>
      </c>
      <c r="E1079" s="302">
        <f>(E1078*33.717)</f>
        <v>90294.126000000004</v>
      </c>
      <c r="F1079" s="338">
        <f>(F1078*33.717)</f>
        <v>278030.38199999998</v>
      </c>
      <c r="G1079" s="280">
        <f>(G1078*33.717)*2</f>
        <v>253821.576</v>
      </c>
      <c r="H1079" s="280">
        <f>(H1078*33.717)</f>
        <v>453628.51799999998</v>
      </c>
      <c r="I1079" s="280">
        <f>(I1078*33.717)-(2000*33.717)</f>
        <v>140937.06</v>
      </c>
      <c r="J1079" s="261">
        <f>J1078*33.717</f>
        <v>12441.573</v>
      </c>
      <c r="K1079" s="304">
        <f>K1078*33.717</f>
        <v>282548.45999999996</v>
      </c>
      <c r="L1079" s="280">
        <f>L1078*33.717</f>
        <v>372606.56699999998</v>
      </c>
      <c r="M1079" s="280">
        <f>(M1078*33.717)</f>
        <v>131597.451</v>
      </c>
      <c r="N1079" s="280">
        <f>N1078*33.717</f>
        <v>249101.196</v>
      </c>
      <c r="O1079" s="261">
        <f>O1078*33.717</f>
        <v>27243.335999999999</v>
      </c>
      <c r="P1079" s="324">
        <f>P1078*33.717</f>
        <v>24916.862999999998</v>
      </c>
      <c r="Q1079" s="325">
        <f>Q1078*33.717</f>
        <v>12846.177</v>
      </c>
      <c r="R1079" s="63">
        <f>344240-H1079</f>
        <v>-109388.51799999998</v>
      </c>
      <c r="S1079" s="70" t="s">
        <v>177</v>
      </c>
      <c r="T1079" s="70"/>
      <c r="U1079" s="70"/>
      <c r="V1079" s="70"/>
      <c r="W1079" s="70"/>
      <c r="X1079" s="70"/>
      <c r="Y1079" s="70"/>
      <c r="Z1079" s="70"/>
      <c r="AA1079" s="1075"/>
      <c r="AB1079" s="293" t="s">
        <v>5</v>
      </c>
      <c r="AC1079" s="300">
        <v>64490.9</v>
      </c>
      <c r="AD1079" s="631"/>
      <c r="AE1079" s="631"/>
      <c r="AF1079" s="631"/>
      <c r="AG1079" s="631"/>
      <c r="AH1079" s="631"/>
      <c r="AI1079" s="631"/>
      <c r="AJ1079" s="307">
        <v>79989.3</v>
      </c>
      <c r="AK1079" s="264">
        <v>62980.6</v>
      </c>
      <c r="AN1079" s="743"/>
      <c r="AO1079" s="743"/>
    </row>
    <row r="1080" spans="1:41" s="267" customFormat="1" ht="15.75" thickBot="1" x14ac:dyDescent="0.3">
      <c r="A1080" s="1062"/>
      <c r="B1080" s="294" t="s">
        <v>10</v>
      </c>
      <c r="C1080" s="305">
        <f t="shared" ref="C1080:Q1080" si="408">C1079/C1072</f>
        <v>1.3407586605129149</v>
      </c>
      <c r="D1080" s="292">
        <f t="shared" si="408"/>
        <v>0.59295368991162389</v>
      </c>
      <c r="E1080" s="310">
        <f t="shared" si="408"/>
        <v>0.59989799077571926</v>
      </c>
      <c r="F1080" s="282">
        <f t="shared" si="408"/>
        <v>1.5276579277331923</v>
      </c>
      <c r="G1080" s="282">
        <f t="shared" si="408"/>
        <v>1.534105413940557</v>
      </c>
      <c r="H1080" s="282">
        <f t="shared" si="408"/>
        <v>3.4331465352828987</v>
      </c>
      <c r="I1080" s="282">
        <f t="shared" si="408"/>
        <v>1.1615838551805875</v>
      </c>
      <c r="J1080" s="311">
        <f t="shared" si="408"/>
        <v>7.4914079477161027E-2</v>
      </c>
      <c r="K1080" s="310">
        <f t="shared" si="408"/>
        <v>1.4637768809544778</v>
      </c>
      <c r="L1080" s="282">
        <f t="shared" si="408"/>
        <v>2.8199527972742446</v>
      </c>
      <c r="M1080" s="282">
        <f t="shared" si="408"/>
        <v>1.5907571231881517</v>
      </c>
      <c r="N1080" s="260">
        <f t="shared" si="408"/>
        <v>1.4114765696581024</v>
      </c>
      <c r="O1080" s="311">
        <f t="shared" si="408"/>
        <v>0.32807880634400705</v>
      </c>
      <c r="P1080" s="305">
        <f t="shared" si="408"/>
        <v>0.45179349422494602</v>
      </c>
      <c r="Q1080" s="292">
        <f t="shared" si="408"/>
        <v>0.38821344494643478</v>
      </c>
      <c r="R1080" s="126"/>
      <c r="S1080" s="70"/>
      <c r="T1080" s="70"/>
      <c r="U1080" s="70"/>
      <c r="V1080" s="70"/>
      <c r="W1080" s="70"/>
      <c r="X1080" s="70"/>
      <c r="Y1080" s="70"/>
      <c r="Z1080" s="70"/>
      <c r="AA1080" s="1077"/>
      <c r="AB1080" s="294" t="s">
        <v>3</v>
      </c>
      <c r="AC1080" s="305">
        <f>AC1079/AC1078</f>
        <v>0.66189589628218604</v>
      </c>
      <c r="AD1080" s="636"/>
      <c r="AE1080" s="636"/>
      <c r="AF1080" s="636"/>
      <c r="AG1080" s="636"/>
      <c r="AH1080" s="636"/>
      <c r="AI1080" s="636"/>
      <c r="AJ1080" s="278">
        <f>AJ1079/AJ1078</f>
        <v>0.32838433003098721</v>
      </c>
      <c r="AK1080" s="343">
        <f>AK1079/AK1078</f>
        <v>0.21546613351451749</v>
      </c>
      <c r="AN1080" s="743"/>
      <c r="AO1080" s="743"/>
    </row>
    <row r="1081" spans="1:41" s="267" customFormat="1" ht="15.75" thickBot="1" x14ac:dyDescent="0.3">
      <c r="A1081" s="1048">
        <v>41379</v>
      </c>
      <c r="B1081" s="1048"/>
      <c r="C1081" s="1048"/>
      <c r="D1081" s="276"/>
      <c r="E1081" s="276"/>
      <c r="F1081" s="276"/>
      <c r="G1081" s="276"/>
      <c r="H1081" s="276"/>
      <c r="I1081" s="11"/>
      <c r="J1081" s="281"/>
      <c r="K1081" s="281"/>
      <c r="L1081" s="276"/>
      <c r="M1081" s="276"/>
      <c r="N1081" s="13"/>
      <c r="R1081" s="12"/>
      <c r="S1081" s="70"/>
      <c r="T1081" s="70"/>
      <c r="U1081" s="70"/>
      <c r="V1081" s="70"/>
      <c r="W1081" s="70"/>
      <c r="X1081" s="70"/>
      <c r="Y1081" s="70"/>
      <c r="Z1081" s="70"/>
      <c r="AA1081" s="1068"/>
      <c r="AB1081" s="1069"/>
      <c r="AD1081" s="743"/>
      <c r="AE1081" s="743"/>
      <c r="AF1081" s="743"/>
      <c r="AG1081" s="743"/>
      <c r="AH1081" s="743"/>
      <c r="AI1081" s="743"/>
      <c r="AN1081" s="743"/>
      <c r="AO1081" s="743"/>
    </row>
    <row r="1082" spans="1:41" s="267" customFormat="1" x14ac:dyDescent="0.25">
      <c r="A1082" s="1049" t="s">
        <v>1</v>
      </c>
      <c r="B1082" s="1070"/>
      <c r="C1082" s="297" t="s">
        <v>12</v>
      </c>
      <c r="D1082" s="266" t="s">
        <v>12</v>
      </c>
      <c r="E1082" s="297" t="s">
        <v>13</v>
      </c>
      <c r="F1082" s="277" t="s">
        <v>13</v>
      </c>
      <c r="G1082" s="277" t="s">
        <v>13</v>
      </c>
      <c r="H1082" s="277" t="s">
        <v>13</v>
      </c>
      <c r="I1082" s="277" t="s">
        <v>13</v>
      </c>
      <c r="J1082" s="266" t="s">
        <v>13</v>
      </c>
      <c r="K1082" s="297" t="s">
        <v>2</v>
      </c>
      <c r="L1082" s="277" t="s">
        <v>2</v>
      </c>
      <c r="M1082" s="286" t="s">
        <v>2</v>
      </c>
      <c r="N1082" s="277" t="s">
        <v>2</v>
      </c>
      <c r="O1082" s="266" t="s">
        <v>2</v>
      </c>
      <c r="P1082" s="328" t="s">
        <v>183</v>
      </c>
      <c r="Q1082" s="327" t="s">
        <v>183</v>
      </c>
      <c r="R1082" s="12"/>
      <c r="S1082" s="70"/>
      <c r="T1082" s="70"/>
      <c r="U1082" s="70"/>
      <c r="V1082" s="70"/>
      <c r="W1082" s="70"/>
      <c r="X1082" s="70"/>
      <c r="Y1082" s="70"/>
      <c r="Z1082" s="70"/>
      <c r="AA1082" s="1049" t="s">
        <v>1</v>
      </c>
      <c r="AB1082" s="1071"/>
      <c r="AC1082" s="297" t="s">
        <v>12</v>
      </c>
      <c r="AD1082" s="937"/>
      <c r="AE1082" s="937"/>
      <c r="AF1082" s="937"/>
      <c r="AG1082" s="937"/>
      <c r="AH1082" s="937"/>
      <c r="AI1082" s="937"/>
      <c r="AJ1082" s="277" t="s">
        <v>13</v>
      </c>
      <c r="AK1082" s="266" t="s">
        <v>2</v>
      </c>
      <c r="AN1082" s="743"/>
      <c r="AO1082" s="743"/>
    </row>
    <row r="1083" spans="1:41" s="267" customFormat="1" ht="15.75" thickBot="1" x14ac:dyDescent="0.3">
      <c r="A1083" s="1054" t="s">
        <v>0</v>
      </c>
      <c r="B1083" s="1072"/>
      <c r="C1083" s="298" t="s">
        <v>99</v>
      </c>
      <c r="D1083" s="291" t="s">
        <v>100</v>
      </c>
      <c r="E1083" s="298" t="s">
        <v>101</v>
      </c>
      <c r="F1083" s="306" t="s">
        <v>102</v>
      </c>
      <c r="G1083" s="306" t="s">
        <v>97</v>
      </c>
      <c r="H1083" s="306" t="s">
        <v>104</v>
      </c>
      <c r="I1083" s="306" t="s">
        <v>103</v>
      </c>
      <c r="J1083" s="314" t="s">
        <v>178</v>
      </c>
      <c r="K1083" s="298" t="s">
        <v>105</v>
      </c>
      <c r="L1083" s="306" t="s">
        <v>107</v>
      </c>
      <c r="M1083" s="312" t="s">
        <v>98</v>
      </c>
      <c r="N1083" s="313" t="s">
        <v>106</v>
      </c>
      <c r="O1083" s="291" t="s">
        <v>179</v>
      </c>
      <c r="P1083" s="317" t="s">
        <v>182</v>
      </c>
      <c r="Q1083" s="291" t="s">
        <v>184</v>
      </c>
      <c r="R1083" s="12"/>
      <c r="S1083" s="12"/>
      <c r="T1083" s="12"/>
      <c r="U1083" s="12"/>
      <c r="V1083" s="12"/>
      <c r="W1083" s="12"/>
      <c r="X1083" s="12"/>
      <c r="Y1083" s="12"/>
      <c r="Z1083" s="12"/>
      <c r="AA1083" s="1054" t="s">
        <v>0</v>
      </c>
      <c r="AB1083" s="1073"/>
      <c r="AC1083" s="298" t="s">
        <v>99</v>
      </c>
      <c r="AD1083" s="938"/>
      <c r="AE1083" s="938"/>
      <c r="AF1083" s="938"/>
      <c r="AG1083" s="938"/>
      <c r="AH1083" s="938"/>
      <c r="AI1083" s="938"/>
      <c r="AJ1083" s="306" t="s">
        <v>104</v>
      </c>
      <c r="AK1083" s="291" t="s">
        <v>107</v>
      </c>
      <c r="AN1083" s="743"/>
      <c r="AO1083" s="743"/>
    </row>
    <row r="1084" spans="1:41" s="267" customFormat="1" ht="15" customHeight="1" x14ac:dyDescent="0.25">
      <c r="A1084" s="1057" t="s">
        <v>9</v>
      </c>
      <c r="B1084" s="19" t="s">
        <v>4</v>
      </c>
      <c r="C1084" s="299">
        <v>143392.20000000001</v>
      </c>
      <c r="D1084" s="265">
        <v>150515.79999999999</v>
      </c>
      <c r="E1084" s="299">
        <v>150515.79999999999</v>
      </c>
      <c r="F1084" s="283">
        <v>181997.8</v>
      </c>
      <c r="G1084" s="283">
        <v>165452.5</v>
      </c>
      <c r="H1084" s="283">
        <v>132132</v>
      </c>
      <c r="I1084" s="283">
        <v>121331.8</v>
      </c>
      <c r="J1084" s="265">
        <v>166077.9</v>
      </c>
      <c r="K1084" s="299">
        <v>193027</v>
      </c>
      <c r="L1084" s="283">
        <v>132132.20000000001</v>
      </c>
      <c r="M1084" s="283">
        <v>82726.3</v>
      </c>
      <c r="N1084" s="283">
        <v>176482.7</v>
      </c>
      <c r="O1084" s="265">
        <v>83039</v>
      </c>
      <c r="P1084" s="318">
        <v>55151</v>
      </c>
      <c r="Q1084" s="265">
        <v>33090.5</v>
      </c>
      <c r="R1084" s="70"/>
      <c r="S1084" s="70"/>
      <c r="T1084" s="70"/>
      <c r="U1084" s="70"/>
      <c r="V1084" s="70"/>
      <c r="W1084" s="70"/>
      <c r="X1084" s="70"/>
      <c r="Y1084" s="70"/>
      <c r="Z1084" s="70"/>
      <c r="AA1084" s="1060" t="s">
        <v>194</v>
      </c>
      <c r="AB1084" s="2" t="s">
        <v>4</v>
      </c>
      <c r="AC1084" s="299">
        <v>143392.20000000001</v>
      </c>
      <c r="AD1084" s="552"/>
      <c r="AE1084" s="552"/>
      <c r="AF1084" s="552"/>
      <c r="AG1084" s="552"/>
      <c r="AH1084" s="552"/>
      <c r="AI1084" s="552"/>
      <c r="AJ1084" s="283">
        <v>132132</v>
      </c>
      <c r="AK1084" s="265">
        <v>132132.20000000001</v>
      </c>
      <c r="AN1084" s="743"/>
      <c r="AO1084" s="743"/>
    </row>
    <row r="1085" spans="1:41" s="267" customFormat="1" x14ac:dyDescent="0.25">
      <c r="A1085" s="1058"/>
      <c r="B1085" s="293" t="s">
        <v>5</v>
      </c>
      <c r="C1085" s="300">
        <v>37799.300000000003</v>
      </c>
      <c r="D1085" s="264">
        <v>77614.8</v>
      </c>
      <c r="E1085" s="300">
        <v>79025.399999999994</v>
      </c>
      <c r="F1085" s="307">
        <v>157350</v>
      </c>
      <c r="G1085" s="307">
        <v>93859.7</v>
      </c>
      <c r="H1085" s="307">
        <v>51713.8</v>
      </c>
      <c r="I1085" s="307">
        <v>78000.2</v>
      </c>
      <c r="J1085" s="264">
        <v>13226.5</v>
      </c>
      <c r="K1085" s="300">
        <v>156772.79999999999</v>
      </c>
      <c r="L1085" s="307">
        <v>55253.8</v>
      </c>
      <c r="M1085" s="307">
        <v>49203.9</v>
      </c>
      <c r="N1085" s="307">
        <v>143303.6</v>
      </c>
      <c r="O1085" s="264">
        <v>6706.3</v>
      </c>
      <c r="P1085" s="319">
        <v>6976.4</v>
      </c>
      <c r="Q1085" s="264">
        <v>3435.2</v>
      </c>
      <c r="R1085" s="70"/>
      <c r="S1085" s="70"/>
      <c r="T1085" s="70"/>
      <c r="U1085" s="70"/>
      <c r="V1085" s="70"/>
      <c r="W1085" s="70"/>
      <c r="X1085" s="70"/>
      <c r="Y1085" s="70"/>
      <c r="Z1085" s="70"/>
      <c r="AA1085" s="1061"/>
      <c r="AB1085" s="342" t="s">
        <v>5</v>
      </c>
      <c r="AC1085" s="300">
        <v>42041.3</v>
      </c>
      <c r="AD1085" s="631"/>
      <c r="AE1085" s="631"/>
      <c r="AF1085" s="631"/>
      <c r="AG1085" s="631"/>
      <c r="AH1085" s="631"/>
      <c r="AI1085" s="631"/>
      <c r="AJ1085" s="307">
        <v>46836.6</v>
      </c>
      <c r="AK1085" s="264">
        <v>54552.5</v>
      </c>
      <c r="AN1085" s="743"/>
      <c r="AO1085" s="743"/>
    </row>
    <row r="1086" spans="1:41" s="267" customFormat="1" ht="15.75" thickBot="1" x14ac:dyDescent="0.3">
      <c r="A1086" s="1059"/>
      <c r="B1086" s="294" t="s">
        <v>3</v>
      </c>
      <c r="C1086" s="305">
        <f t="shared" ref="C1086:Q1086" si="409">C1085/C1084</f>
        <v>0.2636077834080236</v>
      </c>
      <c r="D1086" s="343">
        <f t="shared" si="409"/>
        <v>0.51565882120016637</v>
      </c>
      <c r="E1086" s="305">
        <f t="shared" si="409"/>
        <v>0.52503059479469927</v>
      </c>
      <c r="F1086" s="278">
        <f t="shared" si="409"/>
        <v>0.8645708904173568</v>
      </c>
      <c r="G1086" s="278">
        <f t="shared" si="409"/>
        <v>0.56729091431075385</v>
      </c>
      <c r="H1086" s="278">
        <f t="shared" si="409"/>
        <v>0.3913798322889232</v>
      </c>
      <c r="I1086" s="278">
        <f t="shared" si="409"/>
        <v>0.64286691535112805</v>
      </c>
      <c r="J1086" s="292">
        <f t="shared" si="409"/>
        <v>7.9640337456097415E-2</v>
      </c>
      <c r="K1086" s="305">
        <f t="shared" si="409"/>
        <v>0.81218067938682148</v>
      </c>
      <c r="L1086" s="278">
        <f t="shared" si="409"/>
        <v>0.41817058975783344</v>
      </c>
      <c r="M1086" s="315">
        <f t="shared" si="409"/>
        <v>0.59477941114252664</v>
      </c>
      <c r="N1086" s="278">
        <f t="shared" si="409"/>
        <v>0.8119980032037134</v>
      </c>
      <c r="O1086" s="292">
        <f t="shared" si="409"/>
        <v>8.0760847312708495E-2</v>
      </c>
      <c r="P1086" s="320">
        <f t="shared" si="409"/>
        <v>0.12649634639444435</v>
      </c>
      <c r="Q1086" s="292">
        <f t="shared" si="409"/>
        <v>0.10381227240446653</v>
      </c>
      <c r="R1086" s="70"/>
      <c r="S1086" s="70"/>
      <c r="T1086" s="70"/>
      <c r="U1086" s="70"/>
      <c r="V1086" s="70"/>
      <c r="W1086" s="70"/>
      <c r="X1086" s="70"/>
      <c r="Y1086" s="70"/>
      <c r="Z1086" s="70"/>
      <c r="AA1086" s="1061"/>
      <c r="AB1086" s="347" t="s">
        <v>3</v>
      </c>
      <c r="AC1086" s="301">
        <f>AC1085/AC1084</f>
        <v>0.29319098249416636</v>
      </c>
      <c r="AD1086" s="939"/>
      <c r="AE1086" s="939"/>
      <c r="AF1086" s="939"/>
      <c r="AG1086" s="939"/>
      <c r="AH1086" s="939"/>
      <c r="AI1086" s="939"/>
      <c r="AJ1086" s="278">
        <f>AJ1085/AJ1084</f>
        <v>0.35446825901371354</v>
      </c>
      <c r="AK1086" s="292">
        <f>AK1085/AK1084</f>
        <v>0.41286302657489993</v>
      </c>
      <c r="AN1086" s="743"/>
      <c r="AO1086" s="743"/>
    </row>
    <row r="1087" spans="1:41" s="267" customFormat="1" ht="15" customHeight="1" x14ac:dyDescent="0.25">
      <c r="A1087" s="1060" t="s">
        <v>6</v>
      </c>
      <c r="B1087" s="19" t="s">
        <v>7</v>
      </c>
      <c r="C1087" s="297">
        <v>5870</v>
      </c>
      <c r="D1087" s="266">
        <v>3333</v>
      </c>
      <c r="E1087" s="297">
        <v>3330</v>
      </c>
      <c r="F1087" s="277">
        <v>9457</v>
      </c>
      <c r="G1087" s="277">
        <v>8210</v>
      </c>
      <c r="H1087" s="277">
        <v>15543</v>
      </c>
      <c r="I1087" s="277">
        <v>7403</v>
      </c>
      <c r="J1087" s="266">
        <v>9599</v>
      </c>
      <c r="K1087" s="297">
        <v>9289</v>
      </c>
      <c r="L1087" s="277">
        <v>12295</v>
      </c>
      <c r="M1087" s="277">
        <v>4145</v>
      </c>
      <c r="N1087" s="277">
        <v>10027</v>
      </c>
      <c r="O1087" s="266">
        <v>4799</v>
      </c>
      <c r="P1087" s="321">
        <v>2000</v>
      </c>
      <c r="Q1087" s="266">
        <v>1250</v>
      </c>
      <c r="R1087" s="358" t="s">
        <v>197</v>
      </c>
      <c r="S1087" s="126"/>
      <c r="T1087" s="70"/>
      <c r="U1087" s="70"/>
      <c r="V1087" s="70"/>
      <c r="W1087" s="70"/>
      <c r="X1087" s="70"/>
      <c r="Y1087" s="70"/>
      <c r="Z1087" s="70"/>
      <c r="AA1087" s="1074" t="s">
        <v>190</v>
      </c>
      <c r="AB1087" s="19" t="s">
        <v>4</v>
      </c>
      <c r="AC1087" s="299">
        <v>9191.7999999999993</v>
      </c>
      <c r="AD1087" s="552"/>
      <c r="AE1087" s="552"/>
      <c r="AF1087" s="552"/>
      <c r="AG1087" s="552"/>
      <c r="AH1087" s="552"/>
      <c r="AI1087" s="552"/>
      <c r="AJ1087" s="283">
        <v>13787.7</v>
      </c>
      <c r="AK1087" s="265">
        <v>13787.7</v>
      </c>
      <c r="AN1087" s="743"/>
      <c r="AO1087" s="743"/>
    </row>
    <row r="1088" spans="1:41" s="267" customFormat="1" x14ac:dyDescent="0.25">
      <c r="A1088" s="1061"/>
      <c r="B1088" s="295" t="s">
        <v>11</v>
      </c>
      <c r="C1088" s="302">
        <f t="shared" ref="C1088:Q1088" si="410">C1087*33.717</f>
        <v>197918.78999999998</v>
      </c>
      <c r="D1088" s="263">
        <f t="shared" si="410"/>
        <v>112378.761</v>
      </c>
      <c r="E1088" s="302">
        <f t="shared" si="410"/>
        <v>112277.61</v>
      </c>
      <c r="F1088" s="355">
        <f t="shared" si="410"/>
        <v>318861.66899999999</v>
      </c>
      <c r="G1088" s="308">
        <f t="shared" si="410"/>
        <v>276816.57</v>
      </c>
      <c r="H1088" s="354">
        <f t="shared" si="410"/>
        <v>524063.33100000001</v>
      </c>
      <c r="I1088" s="354">
        <f t="shared" si="410"/>
        <v>249606.951</v>
      </c>
      <c r="J1088" s="354">
        <f t="shared" si="410"/>
        <v>323649.48300000001</v>
      </c>
      <c r="K1088" s="322">
        <f t="shared" si="410"/>
        <v>313197.21299999999</v>
      </c>
      <c r="L1088" s="308">
        <f t="shared" si="410"/>
        <v>414550.51499999996</v>
      </c>
      <c r="M1088" s="308">
        <f t="shared" si="410"/>
        <v>139756.965</v>
      </c>
      <c r="N1088" s="354">
        <f t="shared" si="410"/>
        <v>338080.359</v>
      </c>
      <c r="O1088" s="354">
        <f t="shared" si="410"/>
        <v>161807.883</v>
      </c>
      <c r="P1088" s="302">
        <f t="shared" si="410"/>
        <v>67434</v>
      </c>
      <c r="Q1088" s="354">
        <f t="shared" si="410"/>
        <v>42146.25</v>
      </c>
      <c r="R1088" s="70"/>
      <c r="S1088" s="70"/>
      <c r="T1088" s="70"/>
      <c r="U1088" s="70"/>
      <c r="V1088" s="70"/>
      <c r="W1088" s="70"/>
      <c r="X1088" s="70"/>
      <c r="Y1088" s="70"/>
      <c r="Z1088" s="70"/>
      <c r="AA1088" s="1075"/>
      <c r="AB1088" s="293" t="s">
        <v>5</v>
      </c>
      <c r="AC1088" s="300">
        <v>8882</v>
      </c>
      <c r="AD1088" s="631"/>
      <c r="AE1088" s="631"/>
      <c r="AF1088" s="631"/>
      <c r="AG1088" s="631"/>
      <c r="AH1088" s="631"/>
      <c r="AI1088" s="631"/>
      <c r="AJ1088" s="307">
        <v>13644.7</v>
      </c>
      <c r="AK1088" s="264">
        <v>13649.8</v>
      </c>
      <c r="AN1088" s="743"/>
      <c r="AO1088" s="743"/>
    </row>
    <row r="1089" spans="1:41" s="267" customFormat="1" ht="15.75" thickBot="1" x14ac:dyDescent="0.3">
      <c r="A1089" s="1061"/>
      <c r="B1089" s="295" t="s">
        <v>79</v>
      </c>
      <c r="C1089" s="302">
        <v>164000</v>
      </c>
      <c r="D1089" s="263">
        <v>109880</v>
      </c>
      <c r="E1089" s="302">
        <v>109880</v>
      </c>
      <c r="F1089" s="308">
        <v>328000</v>
      </c>
      <c r="G1089" s="308">
        <v>330905</v>
      </c>
      <c r="H1089" s="308">
        <v>264264</v>
      </c>
      <c r="I1089" s="308">
        <v>242663.6</v>
      </c>
      <c r="J1089" s="263">
        <v>328000</v>
      </c>
      <c r="K1089" s="302">
        <v>328000</v>
      </c>
      <c r="L1089" s="308">
        <v>264264.40000000002</v>
      </c>
      <c r="M1089" s="308">
        <v>328000</v>
      </c>
      <c r="N1089" s="308">
        <v>352965.4</v>
      </c>
      <c r="O1089" s="263">
        <v>328000</v>
      </c>
      <c r="P1089" s="322">
        <f>2*P1084</f>
        <v>110302</v>
      </c>
      <c r="Q1089" s="263">
        <f>2*Q1084</f>
        <v>66181</v>
      </c>
      <c r="R1089" s="70"/>
      <c r="S1089" s="70"/>
      <c r="T1089" s="70"/>
      <c r="U1089" s="70"/>
      <c r="V1089" s="70"/>
      <c r="W1089" s="70"/>
      <c r="X1089" s="70"/>
      <c r="Y1089" s="70"/>
      <c r="Z1089" s="70"/>
      <c r="AA1089" s="1076"/>
      <c r="AB1089" s="344" t="s">
        <v>3</v>
      </c>
      <c r="AC1089" s="301">
        <f>AC1088/AC1087</f>
        <v>0.96629604647620715</v>
      </c>
      <c r="AD1089" s="939"/>
      <c r="AE1089" s="939"/>
      <c r="AF1089" s="939"/>
      <c r="AG1089" s="939"/>
      <c r="AH1089" s="939"/>
      <c r="AI1089" s="939"/>
      <c r="AJ1089" s="249">
        <f>AJ1088/AJ1087</f>
        <v>0.98962843694017133</v>
      </c>
      <c r="AK1089" s="348">
        <f>AK1088/AK1087</f>
        <v>0.98999833184650077</v>
      </c>
      <c r="AN1089" s="743"/>
      <c r="AO1089" s="743"/>
    </row>
    <row r="1090" spans="1:41" s="267" customFormat="1" x14ac:dyDescent="0.25">
      <c r="A1090" s="1061"/>
      <c r="B1090" s="293" t="s">
        <v>8</v>
      </c>
      <c r="C1090" s="303">
        <f>SUM(C1087-168)</f>
        <v>5702</v>
      </c>
      <c r="D1090" s="262">
        <f>SUM(D1087-686)</f>
        <v>2647</v>
      </c>
      <c r="E1090" s="303">
        <f>SUM(E1087-652)</f>
        <v>2678</v>
      </c>
      <c r="F1090" s="309">
        <f>SUM(F1087-1247)</f>
        <v>8210</v>
      </c>
      <c r="G1090" s="309">
        <f>SUM(G1087-4454)</f>
        <v>3756</v>
      </c>
      <c r="H1090" s="309">
        <f>SUM(H1087-2098)</f>
        <v>13445</v>
      </c>
      <c r="I1090" s="309">
        <f>SUM(I1087-(3366-2000))</f>
        <v>6037</v>
      </c>
      <c r="J1090" s="262">
        <f>SUM(J1087-9230)</f>
        <v>369</v>
      </c>
      <c r="K1090" s="303">
        <f>SUM(K1087-909)</f>
        <v>8380</v>
      </c>
      <c r="L1090" s="309">
        <f>SUM(L1087-1244)</f>
        <v>11051</v>
      </c>
      <c r="M1090" s="316">
        <f>SUM(M1087-242)</f>
        <v>3903</v>
      </c>
      <c r="N1090" s="309">
        <f>SUM(N1087-(5253-2614))</f>
        <v>7388</v>
      </c>
      <c r="O1090" s="262">
        <f>SUM(O1087-3991)</f>
        <v>808</v>
      </c>
      <c r="P1090" s="323">
        <f>SUM(P1087-1261)</f>
        <v>739</v>
      </c>
      <c r="Q1090" s="262">
        <f>SUM(Q1087-869)</f>
        <v>381</v>
      </c>
      <c r="R1090" s="12" t="s">
        <v>176</v>
      </c>
      <c r="S1090" s="70"/>
      <c r="T1090" s="70"/>
      <c r="U1090" s="70"/>
      <c r="V1090" s="70"/>
      <c r="W1090" s="70"/>
      <c r="X1090" s="70"/>
      <c r="Y1090" s="70"/>
      <c r="Z1090" s="70"/>
      <c r="AA1090" s="1074" t="s">
        <v>191</v>
      </c>
      <c r="AB1090" s="19" t="s">
        <v>4</v>
      </c>
      <c r="AC1090" s="299">
        <v>97433.600000000006</v>
      </c>
      <c r="AD1090" s="552"/>
      <c r="AE1090" s="552"/>
      <c r="AF1090" s="552"/>
      <c r="AG1090" s="552"/>
      <c r="AH1090" s="552"/>
      <c r="AI1090" s="552"/>
      <c r="AJ1090" s="283">
        <v>243584.4</v>
      </c>
      <c r="AK1090" s="265">
        <v>292299.3</v>
      </c>
      <c r="AN1090" s="743"/>
      <c r="AO1090" s="743"/>
    </row>
    <row r="1091" spans="1:41" s="267" customFormat="1" x14ac:dyDescent="0.25">
      <c r="A1091" s="1061"/>
      <c r="B1091" s="296" t="s">
        <v>77</v>
      </c>
      <c r="C1091" s="302">
        <f>(C1090*33.717)</f>
        <v>192254.334</v>
      </c>
      <c r="D1091" s="338">
        <f>(D1090*33.717)</f>
        <v>89248.89899999999</v>
      </c>
      <c r="E1091" s="302">
        <f>(E1090*33.717)</f>
        <v>90294.126000000004</v>
      </c>
      <c r="F1091" s="338">
        <f>(F1090*33.717)</f>
        <v>276816.57</v>
      </c>
      <c r="G1091" s="280">
        <f>(G1090*33.717)*2</f>
        <v>253282.10399999999</v>
      </c>
      <c r="H1091" s="280">
        <f>(H1090*33.717)</f>
        <v>453325.065</v>
      </c>
      <c r="I1091" s="280">
        <f>(I1090*33.717)-(2000*33.717)</f>
        <v>136115.52899999998</v>
      </c>
      <c r="J1091" s="261">
        <f>J1090*33.717</f>
        <v>12441.573</v>
      </c>
      <c r="K1091" s="304">
        <f>K1090*33.717</f>
        <v>282548.45999999996</v>
      </c>
      <c r="L1091" s="280">
        <f>L1090*33.717</f>
        <v>372606.56699999998</v>
      </c>
      <c r="M1091" s="280">
        <f>(M1090*33.717)</f>
        <v>131597.451</v>
      </c>
      <c r="N1091" s="280">
        <f>N1090*33.717</f>
        <v>249101.196</v>
      </c>
      <c r="O1091" s="261">
        <f>O1090*33.717</f>
        <v>27243.335999999999</v>
      </c>
      <c r="P1091" s="324">
        <f>P1090*33.717</f>
        <v>24916.862999999998</v>
      </c>
      <c r="Q1091" s="325">
        <f>Q1090*33.717</f>
        <v>12846.177</v>
      </c>
      <c r="R1091" s="63">
        <f>344240-H1091</f>
        <v>-109085.065</v>
      </c>
      <c r="S1091" s="70" t="s">
        <v>177</v>
      </c>
      <c r="T1091" s="70"/>
      <c r="U1091" s="70"/>
      <c r="V1091" s="70"/>
      <c r="W1091" s="70"/>
      <c r="X1091" s="70"/>
      <c r="Y1091" s="70"/>
      <c r="Z1091" s="70"/>
      <c r="AA1091" s="1075"/>
      <c r="AB1091" s="293" t="s">
        <v>5</v>
      </c>
      <c r="AC1091" s="300">
        <v>64490.9</v>
      </c>
      <c r="AD1091" s="631"/>
      <c r="AE1091" s="631"/>
      <c r="AF1091" s="631"/>
      <c r="AG1091" s="631"/>
      <c r="AH1091" s="631"/>
      <c r="AI1091" s="631"/>
      <c r="AJ1091" s="307">
        <v>79989.3</v>
      </c>
      <c r="AK1091" s="264">
        <v>62980.6</v>
      </c>
      <c r="AN1091" s="743"/>
      <c r="AO1091" s="743"/>
    </row>
    <row r="1092" spans="1:41" s="267" customFormat="1" ht="15.75" thickBot="1" x14ac:dyDescent="0.3">
      <c r="A1092" s="1062"/>
      <c r="B1092" s="294" t="s">
        <v>10</v>
      </c>
      <c r="C1092" s="305">
        <f t="shared" ref="C1092:Q1092" si="411">C1091/C1084</f>
        <v>1.3407586605129149</v>
      </c>
      <c r="D1092" s="292">
        <f t="shared" si="411"/>
        <v>0.59295368991162389</v>
      </c>
      <c r="E1092" s="310">
        <f t="shared" si="411"/>
        <v>0.59989799077571926</v>
      </c>
      <c r="F1092" s="282">
        <f t="shared" si="411"/>
        <v>1.520988550411049</v>
      </c>
      <c r="G1092" s="282">
        <f t="shared" si="411"/>
        <v>1.5308448285761773</v>
      </c>
      <c r="H1092" s="282">
        <f t="shared" si="411"/>
        <v>3.4308499455090362</v>
      </c>
      <c r="I1092" s="282">
        <f t="shared" si="411"/>
        <v>1.1218454601349357</v>
      </c>
      <c r="J1092" s="311">
        <f t="shared" si="411"/>
        <v>7.4914079477161027E-2</v>
      </c>
      <c r="K1092" s="310">
        <f t="shared" si="411"/>
        <v>1.4637768809544778</v>
      </c>
      <c r="L1092" s="282">
        <f t="shared" si="411"/>
        <v>2.8199527972742446</v>
      </c>
      <c r="M1092" s="282">
        <f t="shared" si="411"/>
        <v>1.5907571231881517</v>
      </c>
      <c r="N1092" s="260">
        <f t="shared" si="411"/>
        <v>1.4114765696581024</v>
      </c>
      <c r="O1092" s="311">
        <f t="shared" si="411"/>
        <v>0.32807880634400705</v>
      </c>
      <c r="P1092" s="305">
        <f t="shared" si="411"/>
        <v>0.45179349422494602</v>
      </c>
      <c r="Q1092" s="292">
        <f t="shared" si="411"/>
        <v>0.38821344494643478</v>
      </c>
      <c r="R1092" s="126"/>
      <c r="S1092" s="70"/>
      <c r="T1092" s="70"/>
      <c r="U1092" s="70"/>
      <c r="V1092" s="70"/>
      <c r="W1092" s="70"/>
      <c r="X1092" s="70"/>
      <c r="Y1092" s="70"/>
      <c r="Z1092" s="70"/>
      <c r="AA1092" s="1077"/>
      <c r="AB1092" s="294" t="s">
        <v>3</v>
      </c>
      <c r="AC1092" s="305">
        <f>AC1091/AC1090</f>
        <v>0.66189589628218604</v>
      </c>
      <c r="AD1092" s="636"/>
      <c r="AE1092" s="636"/>
      <c r="AF1092" s="636"/>
      <c r="AG1092" s="636"/>
      <c r="AH1092" s="636"/>
      <c r="AI1092" s="636"/>
      <c r="AJ1092" s="278">
        <f>AJ1091/AJ1090</f>
        <v>0.32838433003098721</v>
      </c>
      <c r="AK1092" s="343">
        <f>AK1091/AK1090</f>
        <v>0.21546613351451749</v>
      </c>
      <c r="AN1092" s="743"/>
      <c r="AO1092" s="743"/>
    </row>
    <row r="1093" spans="1:41" s="267" customFormat="1" ht="15.75" thickBot="1" x14ac:dyDescent="0.3">
      <c r="A1093" s="1048">
        <v>41374</v>
      </c>
      <c r="B1093" s="1048"/>
      <c r="C1093" s="1048"/>
      <c r="D1093" s="276"/>
      <c r="E1093" s="276"/>
      <c r="F1093" s="276"/>
      <c r="G1093" s="276"/>
      <c r="H1093" s="276"/>
      <c r="I1093" s="11"/>
      <c r="J1093" s="281"/>
      <c r="K1093" s="281"/>
      <c r="L1093" s="276"/>
      <c r="M1093" s="276"/>
      <c r="N1093" s="13"/>
      <c r="R1093" s="12"/>
      <c r="S1093" s="70"/>
      <c r="T1093" s="70"/>
      <c r="U1093" s="70"/>
      <c r="V1093" s="70"/>
      <c r="W1093" s="70"/>
      <c r="X1093" s="70"/>
      <c r="Y1093" s="70"/>
      <c r="Z1093" s="70"/>
      <c r="AA1093" s="1068"/>
      <c r="AB1093" s="1069"/>
      <c r="AD1093" s="743"/>
      <c r="AE1093" s="743"/>
      <c r="AF1093" s="743"/>
      <c r="AG1093" s="743"/>
      <c r="AH1093" s="743"/>
      <c r="AI1093" s="743"/>
      <c r="AN1093" s="743"/>
      <c r="AO1093" s="743"/>
    </row>
    <row r="1094" spans="1:41" s="267" customFormat="1" x14ac:dyDescent="0.25">
      <c r="A1094" s="1049" t="s">
        <v>1</v>
      </c>
      <c r="B1094" s="1070"/>
      <c r="C1094" s="297" t="s">
        <v>12</v>
      </c>
      <c r="D1094" s="266" t="s">
        <v>12</v>
      </c>
      <c r="E1094" s="297" t="s">
        <v>13</v>
      </c>
      <c r="F1094" s="277" t="s">
        <v>13</v>
      </c>
      <c r="G1094" s="277" t="s">
        <v>13</v>
      </c>
      <c r="H1094" s="277" t="s">
        <v>13</v>
      </c>
      <c r="I1094" s="277" t="s">
        <v>13</v>
      </c>
      <c r="J1094" s="266" t="s">
        <v>13</v>
      </c>
      <c r="K1094" s="297" t="s">
        <v>2</v>
      </c>
      <c r="L1094" s="277" t="s">
        <v>2</v>
      </c>
      <c r="M1094" s="286" t="s">
        <v>2</v>
      </c>
      <c r="N1094" s="277" t="s">
        <v>2</v>
      </c>
      <c r="O1094" s="266" t="s">
        <v>2</v>
      </c>
      <c r="P1094" s="328" t="s">
        <v>183</v>
      </c>
      <c r="Q1094" s="327" t="s">
        <v>183</v>
      </c>
      <c r="R1094" s="12"/>
      <c r="S1094" s="70"/>
      <c r="T1094" s="70"/>
      <c r="U1094" s="70"/>
      <c r="V1094" s="70"/>
      <c r="W1094" s="70"/>
      <c r="X1094" s="70"/>
      <c r="Y1094" s="70"/>
      <c r="Z1094" s="70"/>
      <c r="AA1094" s="1049" t="s">
        <v>1</v>
      </c>
      <c r="AB1094" s="1071"/>
      <c r="AC1094" s="297" t="s">
        <v>12</v>
      </c>
      <c r="AD1094" s="937"/>
      <c r="AE1094" s="937"/>
      <c r="AF1094" s="937"/>
      <c r="AG1094" s="937"/>
      <c r="AH1094" s="937"/>
      <c r="AI1094" s="937"/>
      <c r="AJ1094" s="277" t="s">
        <v>13</v>
      </c>
      <c r="AK1094" s="266" t="s">
        <v>2</v>
      </c>
      <c r="AN1094" s="743"/>
      <c r="AO1094" s="743"/>
    </row>
    <row r="1095" spans="1:41" s="267" customFormat="1" ht="15.75" thickBot="1" x14ac:dyDescent="0.3">
      <c r="A1095" s="1054" t="s">
        <v>0</v>
      </c>
      <c r="B1095" s="1072"/>
      <c r="C1095" s="298" t="s">
        <v>99</v>
      </c>
      <c r="D1095" s="291" t="s">
        <v>100</v>
      </c>
      <c r="E1095" s="298" t="s">
        <v>101</v>
      </c>
      <c r="F1095" s="306" t="s">
        <v>102</v>
      </c>
      <c r="G1095" s="306" t="s">
        <v>97</v>
      </c>
      <c r="H1095" s="306" t="s">
        <v>104</v>
      </c>
      <c r="I1095" s="306" t="s">
        <v>103</v>
      </c>
      <c r="J1095" s="314" t="s">
        <v>178</v>
      </c>
      <c r="K1095" s="298" t="s">
        <v>105</v>
      </c>
      <c r="L1095" s="306" t="s">
        <v>107</v>
      </c>
      <c r="M1095" s="312" t="s">
        <v>98</v>
      </c>
      <c r="N1095" s="313" t="s">
        <v>106</v>
      </c>
      <c r="O1095" s="291" t="s">
        <v>179</v>
      </c>
      <c r="P1095" s="317" t="s">
        <v>182</v>
      </c>
      <c r="Q1095" s="291" t="s">
        <v>184</v>
      </c>
      <c r="R1095" s="12"/>
      <c r="S1095" s="12"/>
      <c r="T1095" s="12"/>
      <c r="U1095" s="12"/>
      <c r="V1095" s="12"/>
      <c r="W1095" s="12"/>
      <c r="X1095" s="12"/>
      <c r="Y1095" s="12"/>
      <c r="Z1095" s="12"/>
      <c r="AA1095" s="1054" t="s">
        <v>0</v>
      </c>
      <c r="AB1095" s="1073"/>
      <c r="AC1095" s="298" t="s">
        <v>99</v>
      </c>
      <c r="AD1095" s="938"/>
      <c r="AE1095" s="938"/>
      <c r="AF1095" s="938"/>
      <c r="AG1095" s="938"/>
      <c r="AH1095" s="938"/>
      <c r="AI1095" s="938"/>
      <c r="AJ1095" s="306" t="s">
        <v>104</v>
      </c>
      <c r="AK1095" s="291" t="s">
        <v>107</v>
      </c>
      <c r="AN1095" s="743"/>
      <c r="AO1095" s="743"/>
    </row>
    <row r="1096" spans="1:41" s="267" customFormat="1" ht="15" customHeight="1" x14ac:dyDescent="0.25">
      <c r="A1096" s="1057" t="s">
        <v>9</v>
      </c>
      <c r="B1096" s="19" t="s">
        <v>4</v>
      </c>
      <c r="C1096" s="299">
        <v>143392.20000000001</v>
      </c>
      <c r="D1096" s="265">
        <v>150515.79999999999</v>
      </c>
      <c r="E1096" s="299">
        <v>150515.79999999999</v>
      </c>
      <c r="F1096" s="283">
        <v>181997.8</v>
      </c>
      <c r="G1096" s="283">
        <v>165452.5</v>
      </c>
      <c r="H1096" s="283">
        <v>132132</v>
      </c>
      <c r="I1096" s="283">
        <v>121331.8</v>
      </c>
      <c r="J1096" s="265">
        <v>166077.9</v>
      </c>
      <c r="K1096" s="299">
        <v>193027</v>
      </c>
      <c r="L1096" s="283">
        <v>132132.20000000001</v>
      </c>
      <c r="M1096" s="283">
        <v>82726.3</v>
      </c>
      <c r="N1096" s="283">
        <v>176482.7</v>
      </c>
      <c r="O1096" s="265">
        <v>83039</v>
      </c>
      <c r="P1096" s="318">
        <v>55151</v>
      </c>
      <c r="Q1096" s="265">
        <v>33090.5</v>
      </c>
      <c r="R1096" s="70"/>
      <c r="S1096" s="70"/>
      <c r="T1096" s="70"/>
      <c r="U1096" s="70"/>
      <c r="V1096" s="70"/>
      <c r="W1096" s="70"/>
      <c r="X1096" s="70"/>
      <c r="Y1096" s="70"/>
      <c r="Z1096" s="70"/>
      <c r="AA1096" s="1060" t="s">
        <v>194</v>
      </c>
      <c r="AB1096" s="2" t="s">
        <v>4</v>
      </c>
      <c r="AC1096" s="299">
        <v>143392.20000000001</v>
      </c>
      <c r="AD1096" s="552"/>
      <c r="AE1096" s="552"/>
      <c r="AF1096" s="552"/>
      <c r="AG1096" s="552"/>
      <c r="AH1096" s="552"/>
      <c r="AI1096" s="552"/>
      <c r="AJ1096" s="283">
        <v>132132</v>
      </c>
      <c r="AK1096" s="265">
        <v>132132.20000000001</v>
      </c>
      <c r="AN1096" s="743"/>
      <c r="AO1096" s="743"/>
    </row>
    <row r="1097" spans="1:41" s="267" customFormat="1" x14ac:dyDescent="0.25">
      <c r="A1097" s="1058"/>
      <c r="B1097" s="293" t="s">
        <v>5</v>
      </c>
      <c r="C1097" s="300">
        <v>39080.800000000003</v>
      </c>
      <c r="D1097" s="264">
        <v>77587.600000000006</v>
      </c>
      <c r="E1097" s="300">
        <v>78998.600000000006</v>
      </c>
      <c r="F1097" s="307">
        <v>158294.6</v>
      </c>
      <c r="G1097" s="307">
        <v>93859.7</v>
      </c>
      <c r="H1097" s="307">
        <v>50262</v>
      </c>
      <c r="I1097" s="307">
        <v>76413</v>
      </c>
      <c r="J1097" s="264">
        <v>12958.5</v>
      </c>
      <c r="K1097" s="300">
        <v>156851.20000000001</v>
      </c>
      <c r="L1097" s="307">
        <v>55901</v>
      </c>
      <c r="M1097" s="307">
        <v>48632.9</v>
      </c>
      <c r="N1097" s="307">
        <v>138263.29999999999</v>
      </c>
      <c r="O1097" s="264">
        <v>6752.2</v>
      </c>
      <c r="P1097" s="319">
        <v>6936.2</v>
      </c>
      <c r="Q1097" s="264">
        <v>3328.7</v>
      </c>
      <c r="R1097" s="70"/>
      <c r="S1097" s="70"/>
      <c r="T1097" s="70"/>
      <c r="U1097" s="70"/>
      <c r="V1097" s="70"/>
      <c r="W1097" s="70"/>
      <c r="X1097" s="70"/>
      <c r="Y1097" s="70"/>
      <c r="Z1097" s="70"/>
      <c r="AA1097" s="1061"/>
      <c r="AB1097" s="342" t="s">
        <v>5</v>
      </c>
      <c r="AC1097" s="300">
        <v>42041.3</v>
      </c>
      <c r="AD1097" s="631"/>
      <c r="AE1097" s="631"/>
      <c r="AF1097" s="631"/>
      <c r="AG1097" s="631"/>
      <c r="AH1097" s="631"/>
      <c r="AI1097" s="631"/>
      <c r="AJ1097" s="307">
        <v>46836.6</v>
      </c>
      <c r="AK1097" s="264">
        <v>54552.5</v>
      </c>
      <c r="AN1097" s="743"/>
      <c r="AO1097" s="743"/>
    </row>
    <row r="1098" spans="1:41" s="267" customFormat="1" ht="15.75" thickBot="1" x14ac:dyDescent="0.3">
      <c r="A1098" s="1059"/>
      <c r="B1098" s="294" t="s">
        <v>3</v>
      </c>
      <c r="C1098" s="305">
        <f t="shared" ref="C1098:Q1098" si="412">C1097/C1096</f>
        <v>0.27254481066613107</v>
      </c>
      <c r="D1098" s="343">
        <f t="shared" si="412"/>
        <v>0.51547810927490678</v>
      </c>
      <c r="E1098" s="305">
        <f t="shared" si="412"/>
        <v>0.52485254039775231</v>
      </c>
      <c r="F1098" s="278">
        <f t="shared" si="412"/>
        <v>0.86976106304581713</v>
      </c>
      <c r="G1098" s="278">
        <f t="shared" si="412"/>
        <v>0.56729091431075385</v>
      </c>
      <c r="H1098" s="278">
        <f t="shared" si="412"/>
        <v>0.38039233493778946</v>
      </c>
      <c r="I1098" s="278">
        <f t="shared" si="412"/>
        <v>0.62978543135435228</v>
      </c>
      <c r="J1098" s="292">
        <f t="shared" si="412"/>
        <v>7.8026636897504123E-2</v>
      </c>
      <c r="K1098" s="305">
        <f t="shared" si="412"/>
        <v>0.81258684018297966</v>
      </c>
      <c r="L1098" s="278">
        <f t="shared" si="412"/>
        <v>0.42306871451470568</v>
      </c>
      <c r="M1098" s="315">
        <f t="shared" si="412"/>
        <v>0.58787713218166415</v>
      </c>
      <c r="N1098" s="278">
        <f t="shared" si="412"/>
        <v>0.78343826335385836</v>
      </c>
      <c r="O1098" s="292">
        <f t="shared" si="412"/>
        <v>8.1313599633906955E-2</v>
      </c>
      <c r="P1098" s="320">
        <f t="shared" si="412"/>
        <v>0.12576743848706279</v>
      </c>
      <c r="Q1098" s="292">
        <f t="shared" si="412"/>
        <v>0.10059382602257445</v>
      </c>
      <c r="R1098" s="70"/>
      <c r="S1098" s="70"/>
      <c r="T1098" s="70"/>
      <c r="U1098" s="70"/>
      <c r="V1098" s="70"/>
      <c r="W1098" s="70"/>
      <c r="X1098" s="70"/>
      <c r="Y1098" s="70"/>
      <c r="Z1098" s="70"/>
      <c r="AA1098" s="1061"/>
      <c r="AB1098" s="347" t="s">
        <v>3</v>
      </c>
      <c r="AC1098" s="301">
        <f>AC1097/AC1096</f>
        <v>0.29319098249416636</v>
      </c>
      <c r="AD1098" s="939"/>
      <c r="AE1098" s="939"/>
      <c r="AF1098" s="939"/>
      <c r="AG1098" s="939"/>
      <c r="AH1098" s="939"/>
      <c r="AI1098" s="939"/>
      <c r="AJ1098" s="278">
        <f>AJ1097/AJ1096</f>
        <v>0.35446825901371354</v>
      </c>
      <c r="AK1098" s="292">
        <f>AK1097/AK1096</f>
        <v>0.41286302657489993</v>
      </c>
      <c r="AN1098" s="743"/>
      <c r="AO1098" s="743"/>
    </row>
    <row r="1099" spans="1:41" s="267" customFormat="1" ht="15" customHeight="1" x14ac:dyDescent="0.25">
      <c r="A1099" s="1060" t="s">
        <v>6</v>
      </c>
      <c r="B1099" s="19" t="s">
        <v>7</v>
      </c>
      <c r="C1099" s="297">
        <v>5870</v>
      </c>
      <c r="D1099" s="266">
        <v>3333</v>
      </c>
      <c r="E1099" s="297">
        <v>3330</v>
      </c>
      <c r="F1099" s="277">
        <v>9457</v>
      </c>
      <c r="G1099" s="277">
        <v>7870</v>
      </c>
      <c r="H1099" s="277">
        <v>15543</v>
      </c>
      <c r="I1099" s="277">
        <v>7403</v>
      </c>
      <c r="J1099" s="266">
        <v>9599</v>
      </c>
      <c r="K1099" s="297">
        <v>9289</v>
      </c>
      <c r="L1099" s="277">
        <v>12295</v>
      </c>
      <c r="M1099" s="277">
        <v>4133</v>
      </c>
      <c r="N1099" s="277">
        <v>10027</v>
      </c>
      <c r="O1099" s="266">
        <v>4799</v>
      </c>
      <c r="P1099" s="321">
        <v>2000</v>
      </c>
      <c r="Q1099" s="266">
        <v>1250</v>
      </c>
      <c r="R1099" s="358" t="s">
        <v>197</v>
      </c>
      <c r="S1099" s="126"/>
      <c r="T1099" s="70"/>
      <c r="U1099" s="70"/>
      <c r="V1099" s="70"/>
      <c r="W1099" s="70"/>
      <c r="X1099" s="70"/>
      <c r="Y1099" s="70"/>
      <c r="Z1099" s="70"/>
      <c r="AA1099" s="1074" t="s">
        <v>190</v>
      </c>
      <c r="AB1099" s="19" t="s">
        <v>4</v>
      </c>
      <c r="AC1099" s="299">
        <v>9191.7999999999993</v>
      </c>
      <c r="AD1099" s="552"/>
      <c r="AE1099" s="552"/>
      <c r="AF1099" s="552"/>
      <c r="AG1099" s="552"/>
      <c r="AH1099" s="552"/>
      <c r="AI1099" s="552"/>
      <c r="AJ1099" s="283">
        <v>13787.7</v>
      </c>
      <c r="AK1099" s="265">
        <v>13787.7</v>
      </c>
      <c r="AN1099" s="743"/>
      <c r="AO1099" s="743"/>
    </row>
    <row r="1100" spans="1:41" s="267" customFormat="1" x14ac:dyDescent="0.25">
      <c r="A1100" s="1061"/>
      <c r="B1100" s="295" t="s">
        <v>11</v>
      </c>
      <c r="C1100" s="302">
        <f t="shared" ref="C1100:Q1100" si="413">C1099*33.717</f>
        <v>197918.78999999998</v>
      </c>
      <c r="D1100" s="263">
        <f t="shared" si="413"/>
        <v>112378.761</v>
      </c>
      <c r="E1100" s="302">
        <f t="shared" si="413"/>
        <v>112277.61</v>
      </c>
      <c r="F1100" s="355">
        <f t="shared" si="413"/>
        <v>318861.66899999999</v>
      </c>
      <c r="G1100" s="308">
        <f t="shared" si="413"/>
        <v>265352.78999999998</v>
      </c>
      <c r="H1100" s="354">
        <f t="shared" si="413"/>
        <v>524063.33100000001</v>
      </c>
      <c r="I1100" s="354">
        <f t="shared" si="413"/>
        <v>249606.951</v>
      </c>
      <c r="J1100" s="354">
        <f t="shared" si="413"/>
        <v>323649.48300000001</v>
      </c>
      <c r="K1100" s="322">
        <f t="shared" si="413"/>
        <v>313197.21299999999</v>
      </c>
      <c r="L1100" s="308">
        <f t="shared" si="413"/>
        <v>414550.51499999996</v>
      </c>
      <c r="M1100" s="308">
        <f t="shared" si="413"/>
        <v>139352.361</v>
      </c>
      <c r="N1100" s="354">
        <f t="shared" si="413"/>
        <v>338080.359</v>
      </c>
      <c r="O1100" s="354">
        <f t="shared" si="413"/>
        <v>161807.883</v>
      </c>
      <c r="P1100" s="302">
        <f t="shared" si="413"/>
        <v>67434</v>
      </c>
      <c r="Q1100" s="354">
        <f t="shared" si="413"/>
        <v>42146.25</v>
      </c>
      <c r="R1100" s="70"/>
      <c r="S1100" s="70"/>
      <c r="T1100" s="70"/>
      <c r="U1100" s="70"/>
      <c r="V1100" s="70"/>
      <c r="W1100" s="70"/>
      <c r="X1100" s="70"/>
      <c r="Y1100" s="70"/>
      <c r="Z1100" s="70"/>
      <c r="AA1100" s="1075"/>
      <c r="AB1100" s="293" t="s">
        <v>5</v>
      </c>
      <c r="AC1100" s="300">
        <v>8882</v>
      </c>
      <c r="AD1100" s="631"/>
      <c r="AE1100" s="631"/>
      <c r="AF1100" s="631"/>
      <c r="AG1100" s="631"/>
      <c r="AH1100" s="631"/>
      <c r="AI1100" s="631"/>
      <c r="AJ1100" s="307">
        <v>13644.7</v>
      </c>
      <c r="AK1100" s="264">
        <v>13649.8</v>
      </c>
      <c r="AN1100" s="743"/>
      <c r="AO1100" s="743"/>
    </row>
    <row r="1101" spans="1:41" s="267" customFormat="1" ht="15.75" thickBot="1" x14ac:dyDescent="0.3">
      <c r="A1101" s="1061"/>
      <c r="B1101" s="295" t="s">
        <v>79</v>
      </c>
      <c r="C1101" s="302">
        <v>164000</v>
      </c>
      <c r="D1101" s="263">
        <v>109880</v>
      </c>
      <c r="E1101" s="302">
        <v>109880</v>
      </c>
      <c r="F1101" s="308">
        <v>328000</v>
      </c>
      <c r="G1101" s="308">
        <v>330905</v>
      </c>
      <c r="H1101" s="308">
        <v>264264</v>
      </c>
      <c r="I1101" s="308">
        <v>242663.6</v>
      </c>
      <c r="J1101" s="263">
        <v>328000</v>
      </c>
      <c r="K1101" s="302">
        <v>328000</v>
      </c>
      <c r="L1101" s="308">
        <v>264264.40000000002</v>
      </c>
      <c r="M1101" s="308">
        <v>328000</v>
      </c>
      <c r="N1101" s="308">
        <v>352965.4</v>
      </c>
      <c r="O1101" s="263">
        <v>328000</v>
      </c>
      <c r="P1101" s="322">
        <f>2*P1096</f>
        <v>110302</v>
      </c>
      <c r="Q1101" s="263">
        <f>2*Q1096</f>
        <v>66181</v>
      </c>
      <c r="R1101" s="70"/>
      <c r="S1101" s="70"/>
      <c r="T1101" s="70"/>
      <c r="U1101" s="70"/>
      <c r="V1101" s="70"/>
      <c r="W1101" s="70"/>
      <c r="X1101" s="70"/>
      <c r="Y1101" s="70"/>
      <c r="Z1101" s="70"/>
      <c r="AA1101" s="1076"/>
      <c r="AB1101" s="344" t="s">
        <v>3</v>
      </c>
      <c r="AC1101" s="301">
        <f>AC1100/AC1099</f>
        <v>0.96629604647620715</v>
      </c>
      <c r="AD1101" s="939"/>
      <c r="AE1101" s="939"/>
      <c r="AF1101" s="939"/>
      <c r="AG1101" s="939"/>
      <c r="AH1101" s="939"/>
      <c r="AI1101" s="939"/>
      <c r="AJ1101" s="249">
        <f>AJ1100/AJ1099</f>
        <v>0.98962843694017133</v>
      </c>
      <c r="AK1101" s="348">
        <f>AK1100/AK1099</f>
        <v>0.98999833184650077</v>
      </c>
      <c r="AN1101" s="743"/>
      <c r="AO1101" s="743"/>
    </row>
    <row r="1102" spans="1:41" s="267" customFormat="1" x14ac:dyDescent="0.25">
      <c r="A1102" s="1061"/>
      <c r="B1102" s="293" t="s">
        <v>8</v>
      </c>
      <c r="C1102" s="303">
        <f>SUM(C1099-168)</f>
        <v>5702</v>
      </c>
      <c r="D1102" s="262">
        <f>SUM(D1099-686)</f>
        <v>2647</v>
      </c>
      <c r="E1102" s="303">
        <f>SUM(E1099-652)</f>
        <v>2678</v>
      </c>
      <c r="F1102" s="309">
        <f>SUM(F1099-1211)</f>
        <v>8246</v>
      </c>
      <c r="G1102" s="309">
        <f>SUM(G1099-4109)</f>
        <v>3761</v>
      </c>
      <c r="H1102" s="309">
        <f>SUM(H1099-2129)</f>
        <v>13414</v>
      </c>
      <c r="I1102" s="309">
        <f>SUM(I1099-(3437-2000))</f>
        <v>5966</v>
      </c>
      <c r="J1102" s="262">
        <f>SUM(J1099-9288)</f>
        <v>311</v>
      </c>
      <c r="K1102" s="303">
        <f>SUM(K1099-887)</f>
        <v>8402</v>
      </c>
      <c r="L1102" s="309">
        <f>SUM(L1099-1241)</f>
        <v>11054</v>
      </c>
      <c r="M1102" s="316">
        <f>SUM(M1099-213)</f>
        <v>3920</v>
      </c>
      <c r="N1102" s="309">
        <f>SUM(N1099-(5357-2614))</f>
        <v>7284</v>
      </c>
      <c r="O1102" s="262">
        <f>SUM(O1099-3991)</f>
        <v>808</v>
      </c>
      <c r="P1102" s="323">
        <f>SUM(P1099-1261)</f>
        <v>739</v>
      </c>
      <c r="Q1102" s="262">
        <f>SUM(Q1099-869)</f>
        <v>381</v>
      </c>
      <c r="R1102" s="12" t="s">
        <v>176</v>
      </c>
      <c r="S1102" s="70"/>
      <c r="T1102" s="70"/>
      <c r="U1102" s="70"/>
      <c r="V1102" s="70"/>
      <c r="W1102" s="70"/>
      <c r="X1102" s="70"/>
      <c r="Y1102" s="70"/>
      <c r="Z1102" s="70"/>
      <c r="AA1102" s="1074" t="s">
        <v>191</v>
      </c>
      <c r="AB1102" s="19" t="s">
        <v>4</v>
      </c>
      <c r="AC1102" s="299">
        <v>97433.600000000006</v>
      </c>
      <c r="AD1102" s="552"/>
      <c r="AE1102" s="552"/>
      <c r="AF1102" s="552"/>
      <c r="AG1102" s="552"/>
      <c r="AH1102" s="552"/>
      <c r="AI1102" s="552"/>
      <c r="AJ1102" s="283">
        <v>243584.4</v>
      </c>
      <c r="AK1102" s="265">
        <v>292299.3</v>
      </c>
      <c r="AN1102" s="743"/>
      <c r="AO1102" s="743"/>
    </row>
    <row r="1103" spans="1:41" s="267" customFormat="1" x14ac:dyDescent="0.25">
      <c r="A1103" s="1061"/>
      <c r="B1103" s="296" t="s">
        <v>77</v>
      </c>
      <c r="C1103" s="302">
        <f>(C1102*33.717)</f>
        <v>192254.334</v>
      </c>
      <c r="D1103" s="338">
        <f>(D1102*33.717)</f>
        <v>89248.89899999999</v>
      </c>
      <c r="E1103" s="302">
        <f>(E1102*33.717)</f>
        <v>90294.126000000004</v>
      </c>
      <c r="F1103" s="338">
        <f>(F1102*33.717)</f>
        <v>278030.38199999998</v>
      </c>
      <c r="G1103" s="280">
        <f>(G1102*33.717)*2</f>
        <v>253619.274</v>
      </c>
      <c r="H1103" s="280">
        <f>(H1102*33.717)</f>
        <v>452279.83799999999</v>
      </c>
      <c r="I1103" s="280">
        <f>(I1102*33.717)-(2000*33.717)</f>
        <v>133721.622</v>
      </c>
      <c r="J1103" s="261">
        <f>J1102*33.717</f>
        <v>10485.986999999999</v>
      </c>
      <c r="K1103" s="304">
        <f>K1102*33.717</f>
        <v>283290.234</v>
      </c>
      <c r="L1103" s="280">
        <f>L1102*33.717</f>
        <v>372707.71799999999</v>
      </c>
      <c r="M1103" s="280">
        <f>(M1102*33.717)</f>
        <v>132170.63999999998</v>
      </c>
      <c r="N1103" s="280">
        <f>N1102*33.717</f>
        <v>245594.628</v>
      </c>
      <c r="O1103" s="261">
        <f>O1102*33.717</f>
        <v>27243.335999999999</v>
      </c>
      <c r="P1103" s="324">
        <f>P1102*33.717</f>
        <v>24916.862999999998</v>
      </c>
      <c r="Q1103" s="325">
        <f>Q1102*33.717</f>
        <v>12846.177</v>
      </c>
      <c r="R1103" s="63">
        <f>344240-H1103</f>
        <v>-108039.83799999999</v>
      </c>
      <c r="S1103" s="70" t="s">
        <v>177</v>
      </c>
      <c r="T1103" s="70"/>
      <c r="U1103" s="70"/>
      <c r="V1103" s="70"/>
      <c r="W1103" s="70"/>
      <c r="X1103" s="70"/>
      <c r="Y1103" s="70"/>
      <c r="Z1103" s="70"/>
      <c r="AA1103" s="1075"/>
      <c r="AB1103" s="293" t="s">
        <v>5</v>
      </c>
      <c r="AC1103" s="300">
        <v>64490.9</v>
      </c>
      <c r="AD1103" s="631"/>
      <c r="AE1103" s="631"/>
      <c r="AF1103" s="631"/>
      <c r="AG1103" s="631"/>
      <c r="AH1103" s="631"/>
      <c r="AI1103" s="631"/>
      <c r="AJ1103" s="307">
        <v>79989.3</v>
      </c>
      <c r="AK1103" s="264">
        <v>62980.6</v>
      </c>
      <c r="AN1103" s="743"/>
      <c r="AO1103" s="743"/>
    </row>
    <row r="1104" spans="1:41" s="267" customFormat="1" ht="15.75" thickBot="1" x14ac:dyDescent="0.3">
      <c r="A1104" s="1062"/>
      <c r="B1104" s="294" t="s">
        <v>10</v>
      </c>
      <c r="C1104" s="305">
        <f t="shared" ref="C1104:Q1104" si="414">C1103/C1096</f>
        <v>1.3407586605129149</v>
      </c>
      <c r="D1104" s="292">
        <f t="shared" si="414"/>
        <v>0.59295368991162389</v>
      </c>
      <c r="E1104" s="310">
        <f t="shared" si="414"/>
        <v>0.59989799077571926</v>
      </c>
      <c r="F1104" s="282">
        <f t="shared" si="414"/>
        <v>1.5276579277331923</v>
      </c>
      <c r="G1104" s="282">
        <f t="shared" si="414"/>
        <v>1.5328826944289147</v>
      </c>
      <c r="H1104" s="282">
        <f t="shared" si="414"/>
        <v>3.4229394696212876</v>
      </c>
      <c r="I1104" s="282">
        <f t="shared" si="414"/>
        <v>1.1021152080493324</v>
      </c>
      <c r="J1104" s="311">
        <f t="shared" si="414"/>
        <v>6.3138966713813208E-2</v>
      </c>
      <c r="K1104" s="310">
        <f t="shared" si="414"/>
        <v>1.4676197319545969</v>
      </c>
      <c r="L1104" s="282">
        <f t="shared" si="414"/>
        <v>2.8207183260401321</v>
      </c>
      <c r="M1104" s="282">
        <f t="shared" si="414"/>
        <v>1.5976858628997064</v>
      </c>
      <c r="N1104" s="260">
        <f t="shared" si="414"/>
        <v>1.3916073813467269</v>
      </c>
      <c r="O1104" s="311">
        <f t="shared" si="414"/>
        <v>0.32807880634400705</v>
      </c>
      <c r="P1104" s="305">
        <f t="shared" si="414"/>
        <v>0.45179349422494602</v>
      </c>
      <c r="Q1104" s="292">
        <f t="shared" si="414"/>
        <v>0.38821344494643478</v>
      </c>
      <c r="R1104" s="126"/>
      <c r="S1104" s="70"/>
      <c r="T1104" s="70"/>
      <c r="U1104" s="70"/>
      <c r="V1104" s="70"/>
      <c r="W1104" s="70"/>
      <c r="X1104" s="70"/>
      <c r="Y1104" s="70"/>
      <c r="Z1104" s="70"/>
      <c r="AA1104" s="1077"/>
      <c r="AB1104" s="294" t="s">
        <v>3</v>
      </c>
      <c r="AC1104" s="305">
        <f>AC1103/AC1102</f>
        <v>0.66189589628218604</v>
      </c>
      <c r="AD1104" s="636"/>
      <c r="AE1104" s="636"/>
      <c r="AF1104" s="636"/>
      <c r="AG1104" s="636"/>
      <c r="AH1104" s="636"/>
      <c r="AI1104" s="636"/>
      <c r="AJ1104" s="278">
        <f>AJ1103/AJ1102</f>
        <v>0.32838433003098721</v>
      </c>
      <c r="AK1104" s="343">
        <f>AK1103/AK1102</f>
        <v>0.21546613351451749</v>
      </c>
      <c r="AN1104" s="743"/>
      <c r="AO1104" s="743"/>
    </row>
    <row r="1105" spans="1:41" s="267" customFormat="1" ht="15.75" thickBot="1" x14ac:dyDescent="0.3">
      <c r="A1105" s="1048">
        <v>41373</v>
      </c>
      <c r="B1105" s="1048"/>
      <c r="C1105" s="1048"/>
      <c r="D1105" s="276"/>
      <c r="E1105" s="276"/>
      <c r="F1105" s="276"/>
      <c r="G1105" s="276"/>
      <c r="H1105" s="276"/>
      <c r="I1105" s="11"/>
      <c r="J1105" s="281"/>
      <c r="K1105" s="281"/>
      <c r="L1105" s="276"/>
      <c r="M1105" s="276"/>
      <c r="N1105" s="13"/>
      <c r="R1105" s="12"/>
      <c r="S1105" s="70"/>
      <c r="T1105" s="70"/>
      <c r="U1105" s="70"/>
      <c r="V1105" s="70"/>
      <c r="W1105" s="70"/>
      <c r="X1105" s="70"/>
      <c r="Y1105" s="70"/>
      <c r="Z1105" s="70"/>
      <c r="AA1105" s="1068"/>
      <c r="AB1105" s="1069"/>
      <c r="AD1105" s="743"/>
      <c r="AE1105" s="743"/>
      <c r="AF1105" s="743"/>
      <c r="AG1105" s="743"/>
      <c r="AH1105" s="743"/>
      <c r="AI1105" s="743"/>
      <c r="AN1105" s="743"/>
      <c r="AO1105" s="743"/>
    </row>
    <row r="1106" spans="1:41" s="267" customFormat="1" x14ac:dyDescent="0.25">
      <c r="A1106" s="1049" t="s">
        <v>1</v>
      </c>
      <c r="B1106" s="1070"/>
      <c r="C1106" s="297" t="s">
        <v>12</v>
      </c>
      <c r="D1106" s="266" t="s">
        <v>12</v>
      </c>
      <c r="E1106" s="297" t="s">
        <v>13</v>
      </c>
      <c r="F1106" s="277" t="s">
        <v>13</v>
      </c>
      <c r="G1106" s="277" t="s">
        <v>13</v>
      </c>
      <c r="H1106" s="277" t="s">
        <v>13</v>
      </c>
      <c r="I1106" s="277" t="s">
        <v>13</v>
      </c>
      <c r="J1106" s="266" t="s">
        <v>13</v>
      </c>
      <c r="K1106" s="297" t="s">
        <v>2</v>
      </c>
      <c r="L1106" s="277" t="s">
        <v>2</v>
      </c>
      <c r="M1106" s="286" t="s">
        <v>2</v>
      </c>
      <c r="N1106" s="277" t="s">
        <v>2</v>
      </c>
      <c r="O1106" s="266" t="s">
        <v>2</v>
      </c>
      <c r="P1106" s="328" t="s">
        <v>183</v>
      </c>
      <c r="Q1106" s="327" t="s">
        <v>183</v>
      </c>
      <c r="R1106" s="12"/>
      <c r="S1106" s="70"/>
      <c r="T1106" s="70"/>
      <c r="U1106" s="70"/>
      <c r="V1106" s="70"/>
      <c r="W1106" s="70"/>
      <c r="X1106" s="70"/>
      <c r="Y1106" s="70"/>
      <c r="Z1106" s="70"/>
      <c r="AA1106" s="1049" t="s">
        <v>1</v>
      </c>
      <c r="AB1106" s="1071"/>
      <c r="AC1106" s="297" t="s">
        <v>12</v>
      </c>
      <c r="AD1106" s="937"/>
      <c r="AE1106" s="937"/>
      <c r="AF1106" s="937"/>
      <c r="AG1106" s="937"/>
      <c r="AH1106" s="937"/>
      <c r="AI1106" s="937"/>
      <c r="AJ1106" s="277" t="s">
        <v>13</v>
      </c>
      <c r="AK1106" s="266" t="s">
        <v>2</v>
      </c>
      <c r="AN1106" s="743"/>
      <c r="AO1106" s="743"/>
    </row>
    <row r="1107" spans="1:41" s="267" customFormat="1" ht="15.75" thickBot="1" x14ac:dyDescent="0.3">
      <c r="A1107" s="1054" t="s">
        <v>0</v>
      </c>
      <c r="B1107" s="1072"/>
      <c r="C1107" s="298" t="s">
        <v>99</v>
      </c>
      <c r="D1107" s="291" t="s">
        <v>100</v>
      </c>
      <c r="E1107" s="298" t="s">
        <v>101</v>
      </c>
      <c r="F1107" s="306" t="s">
        <v>102</v>
      </c>
      <c r="G1107" s="306" t="s">
        <v>97</v>
      </c>
      <c r="H1107" s="306" t="s">
        <v>104</v>
      </c>
      <c r="I1107" s="306" t="s">
        <v>103</v>
      </c>
      <c r="J1107" s="314" t="s">
        <v>178</v>
      </c>
      <c r="K1107" s="298" t="s">
        <v>105</v>
      </c>
      <c r="L1107" s="306" t="s">
        <v>107</v>
      </c>
      <c r="M1107" s="312" t="s">
        <v>98</v>
      </c>
      <c r="N1107" s="313" t="s">
        <v>106</v>
      </c>
      <c r="O1107" s="291" t="s">
        <v>179</v>
      </c>
      <c r="P1107" s="317" t="s">
        <v>182</v>
      </c>
      <c r="Q1107" s="291" t="s">
        <v>184</v>
      </c>
      <c r="R1107" s="12"/>
      <c r="S1107" s="12"/>
      <c r="T1107" s="12"/>
      <c r="U1107" s="12"/>
      <c r="V1107" s="12"/>
      <c r="W1107" s="12"/>
      <c r="X1107" s="12"/>
      <c r="Y1107" s="12"/>
      <c r="Z1107" s="12"/>
      <c r="AA1107" s="1054" t="s">
        <v>0</v>
      </c>
      <c r="AB1107" s="1073"/>
      <c r="AC1107" s="298" t="s">
        <v>99</v>
      </c>
      <c r="AD1107" s="938"/>
      <c r="AE1107" s="938"/>
      <c r="AF1107" s="938"/>
      <c r="AG1107" s="938"/>
      <c r="AH1107" s="938"/>
      <c r="AI1107" s="938"/>
      <c r="AJ1107" s="306" t="s">
        <v>104</v>
      </c>
      <c r="AK1107" s="291" t="s">
        <v>107</v>
      </c>
      <c r="AN1107" s="743"/>
      <c r="AO1107" s="743"/>
    </row>
    <row r="1108" spans="1:41" s="267" customFormat="1" ht="15" customHeight="1" x14ac:dyDescent="0.25">
      <c r="A1108" s="1057" t="s">
        <v>9</v>
      </c>
      <c r="B1108" s="19" t="s">
        <v>4</v>
      </c>
      <c r="C1108" s="299">
        <v>143392.20000000001</v>
      </c>
      <c r="D1108" s="265">
        <v>150515.79999999999</v>
      </c>
      <c r="E1108" s="299">
        <v>150515.79999999999</v>
      </c>
      <c r="F1108" s="283">
        <v>181997.8</v>
      </c>
      <c r="G1108" s="283">
        <v>165452.5</v>
      </c>
      <c r="H1108" s="283">
        <v>132132</v>
      </c>
      <c r="I1108" s="283">
        <v>121331.8</v>
      </c>
      <c r="J1108" s="265">
        <v>166077.9</v>
      </c>
      <c r="K1108" s="299">
        <v>193027</v>
      </c>
      <c r="L1108" s="283">
        <v>132132.20000000001</v>
      </c>
      <c r="M1108" s="283">
        <v>82726.3</v>
      </c>
      <c r="N1108" s="283">
        <v>176482.7</v>
      </c>
      <c r="O1108" s="265">
        <v>83039</v>
      </c>
      <c r="P1108" s="318">
        <v>55151</v>
      </c>
      <c r="Q1108" s="265">
        <v>33090.5</v>
      </c>
      <c r="R1108" s="70"/>
      <c r="S1108" s="70"/>
      <c r="T1108" s="70"/>
      <c r="U1108" s="70"/>
      <c r="V1108" s="70"/>
      <c r="W1108" s="70"/>
      <c r="X1108" s="70"/>
      <c r="Y1108" s="70"/>
      <c r="Z1108" s="70"/>
      <c r="AA1108" s="1060" t="s">
        <v>194</v>
      </c>
      <c r="AB1108" s="2" t="s">
        <v>4</v>
      </c>
      <c r="AC1108" s="299">
        <v>143392.20000000001</v>
      </c>
      <c r="AD1108" s="552"/>
      <c r="AE1108" s="552"/>
      <c r="AF1108" s="552"/>
      <c r="AG1108" s="552"/>
      <c r="AH1108" s="552"/>
      <c r="AI1108" s="552"/>
      <c r="AJ1108" s="283">
        <v>132132</v>
      </c>
      <c r="AK1108" s="265">
        <v>132132.20000000001</v>
      </c>
      <c r="AN1108" s="743"/>
      <c r="AO1108" s="743"/>
    </row>
    <row r="1109" spans="1:41" s="267" customFormat="1" x14ac:dyDescent="0.25">
      <c r="A1109" s="1058"/>
      <c r="B1109" s="293" t="s">
        <v>5</v>
      </c>
      <c r="C1109" s="300">
        <v>40044.699999999997</v>
      </c>
      <c r="D1109" s="264">
        <v>77577.600000000006</v>
      </c>
      <c r="E1109" s="300">
        <v>78988.7</v>
      </c>
      <c r="F1109" s="307">
        <v>158224.4</v>
      </c>
      <c r="G1109" s="307">
        <v>93711.3</v>
      </c>
      <c r="H1109" s="307">
        <v>50742.2</v>
      </c>
      <c r="I1109" s="307">
        <v>75904.800000000003</v>
      </c>
      <c r="J1109" s="264">
        <v>8904</v>
      </c>
      <c r="K1109" s="300">
        <v>156789.4</v>
      </c>
      <c r="L1109" s="307">
        <v>56743.199999999997</v>
      </c>
      <c r="M1109" s="307">
        <v>48558.400000000001</v>
      </c>
      <c r="N1109" s="307">
        <v>138251.9</v>
      </c>
      <c r="O1109" s="264">
        <v>6519.2</v>
      </c>
      <c r="P1109" s="319">
        <v>4493</v>
      </c>
      <c r="Q1109" s="264">
        <v>3149.3</v>
      </c>
      <c r="R1109" s="70"/>
      <c r="S1109" s="70"/>
      <c r="T1109" s="70"/>
      <c r="U1109" s="70"/>
      <c r="V1109" s="70"/>
      <c r="W1109" s="70"/>
      <c r="X1109" s="70"/>
      <c r="Y1109" s="70"/>
      <c r="Z1109" s="70"/>
      <c r="AA1109" s="1061"/>
      <c r="AB1109" s="342" t="s">
        <v>5</v>
      </c>
      <c r="AC1109" s="300">
        <v>42041.3</v>
      </c>
      <c r="AD1109" s="631"/>
      <c r="AE1109" s="631"/>
      <c r="AF1109" s="631"/>
      <c r="AG1109" s="631"/>
      <c r="AH1109" s="631"/>
      <c r="AI1109" s="631"/>
      <c r="AJ1109" s="307">
        <v>46836.6</v>
      </c>
      <c r="AK1109" s="264">
        <v>54552.5</v>
      </c>
      <c r="AN1109" s="743"/>
      <c r="AO1109" s="743"/>
    </row>
    <row r="1110" spans="1:41" s="267" customFormat="1" ht="15.75" thickBot="1" x14ac:dyDescent="0.3">
      <c r="A1110" s="1059"/>
      <c r="B1110" s="294" t="s">
        <v>3</v>
      </c>
      <c r="C1110" s="305">
        <f t="shared" ref="C1110:Q1110" si="415">C1109/C1108</f>
        <v>0.27926693362679417</v>
      </c>
      <c r="D1110" s="343">
        <f t="shared" si="415"/>
        <v>0.51541167106709074</v>
      </c>
      <c r="E1110" s="305">
        <f t="shared" si="415"/>
        <v>0.5247867665720144</v>
      </c>
      <c r="F1110" s="278">
        <f t="shared" si="415"/>
        <v>0.86937534409756601</v>
      </c>
      <c r="G1110" s="278">
        <f t="shared" si="415"/>
        <v>0.56639398014535891</v>
      </c>
      <c r="H1110" s="278">
        <f t="shared" si="415"/>
        <v>0.3840265794811249</v>
      </c>
      <c r="I1110" s="278">
        <f t="shared" si="415"/>
        <v>0.62559691688411445</v>
      </c>
      <c r="J1110" s="292">
        <f t="shared" si="415"/>
        <v>5.3613394678039647E-2</v>
      </c>
      <c r="K1110" s="305">
        <f t="shared" si="415"/>
        <v>0.81226667771866112</v>
      </c>
      <c r="L1110" s="278">
        <f t="shared" si="415"/>
        <v>0.42944263396810156</v>
      </c>
      <c r="M1110" s="315">
        <f t="shared" si="415"/>
        <v>0.58697657214211196</v>
      </c>
      <c r="N1110" s="278">
        <f t="shared" si="415"/>
        <v>0.78337366778726747</v>
      </c>
      <c r="O1110" s="292">
        <f t="shared" si="415"/>
        <v>7.8507689158106436E-2</v>
      </c>
      <c r="P1110" s="320">
        <f t="shared" si="415"/>
        <v>8.1467244474261569E-2</v>
      </c>
      <c r="Q1110" s="292">
        <f t="shared" si="415"/>
        <v>9.5172330427161875E-2</v>
      </c>
      <c r="R1110" s="70"/>
      <c r="S1110" s="70"/>
      <c r="T1110" s="70"/>
      <c r="U1110" s="70"/>
      <c r="V1110" s="70"/>
      <c r="W1110" s="70"/>
      <c r="X1110" s="70"/>
      <c r="Y1110" s="70"/>
      <c r="Z1110" s="70"/>
      <c r="AA1110" s="1061"/>
      <c r="AB1110" s="347" t="s">
        <v>3</v>
      </c>
      <c r="AC1110" s="301">
        <f>AC1109/AC1108</f>
        <v>0.29319098249416636</v>
      </c>
      <c r="AD1110" s="939"/>
      <c r="AE1110" s="939"/>
      <c r="AF1110" s="939"/>
      <c r="AG1110" s="939"/>
      <c r="AH1110" s="939"/>
      <c r="AI1110" s="939"/>
      <c r="AJ1110" s="278">
        <f>AJ1109/AJ1108</f>
        <v>0.35446825901371354</v>
      </c>
      <c r="AK1110" s="292">
        <f>AK1109/AK1108</f>
        <v>0.41286302657489993</v>
      </c>
      <c r="AN1110" s="743"/>
      <c r="AO1110" s="743"/>
    </row>
    <row r="1111" spans="1:41" s="267" customFormat="1" ht="15" customHeight="1" x14ac:dyDescent="0.25">
      <c r="A1111" s="1060" t="s">
        <v>6</v>
      </c>
      <c r="B1111" s="19" t="s">
        <v>7</v>
      </c>
      <c r="C1111" s="297">
        <v>5870</v>
      </c>
      <c r="D1111" s="266">
        <v>3333</v>
      </c>
      <c r="E1111" s="297">
        <v>3330</v>
      </c>
      <c r="F1111" s="277">
        <v>9457</v>
      </c>
      <c r="G1111" s="277">
        <v>7853</v>
      </c>
      <c r="H1111" s="277">
        <v>15543</v>
      </c>
      <c r="I1111" s="277">
        <v>7386</v>
      </c>
      <c r="J1111" s="266">
        <v>9599</v>
      </c>
      <c r="K1111" s="297">
        <v>9289</v>
      </c>
      <c r="L1111" s="277">
        <v>12263</v>
      </c>
      <c r="M1111" s="277">
        <v>4133</v>
      </c>
      <c r="N1111" s="357">
        <v>9900</v>
      </c>
      <c r="O1111" s="266">
        <v>4799</v>
      </c>
      <c r="P1111" s="321">
        <v>2000</v>
      </c>
      <c r="Q1111" s="266">
        <v>1250</v>
      </c>
      <c r="R1111" s="358" t="s">
        <v>197</v>
      </c>
      <c r="S1111" s="126"/>
      <c r="T1111" s="70"/>
      <c r="U1111" s="70"/>
      <c r="V1111" s="70"/>
      <c r="W1111" s="70"/>
      <c r="X1111" s="70"/>
      <c r="Y1111" s="70"/>
      <c r="Z1111" s="70"/>
      <c r="AA1111" s="1074" t="s">
        <v>190</v>
      </c>
      <c r="AB1111" s="19" t="s">
        <v>4</v>
      </c>
      <c r="AC1111" s="299">
        <v>9191.7999999999993</v>
      </c>
      <c r="AD1111" s="552"/>
      <c r="AE1111" s="552"/>
      <c r="AF1111" s="552"/>
      <c r="AG1111" s="552"/>
      <c r="AH1111" s="552"/>
      <c r="AI1111" s="552"/>
      <c r="AJ1111" s="283">
        <v>13787.7</v>
      </c>
      <c r="AK1111" s="265">
        <v>13787.7</v>
      </c>
      <c r="AN1111" s="743"/>
      <c r="AO1111" s="743"/>
    </row>
    <row r="1112" spans="1:41" s="267" customFormat="1" x14ac:dyDescent="0.25">
      <c r="A1112" s="1061"/>
      <c r="B1112" s="295" t="s">
        <v>11</v>
      </c>
      <c r="C1112" s="302">
        <f t="shared" ref="C1112:Q1112" si="416">C1111*33.717</f>
        <v>197918.78999999998</v>
      </c>
      <c r="D1112" s="263">
        <f t="shared" si="416"/>
        <v>112378.761</v>
      </c>
      <c r="E1112" s="302">
        <f t="shared" si="416"/>
        <v>112277.61</v>
      </c>
      <c r="F1112" s="355">
        <f t="shared" si="416"/>
        <v>318861.66899999999</v>
      </c>
      <c r="G1112" s="308">
        <f t="shared" si="416"/>
        <v>264779.60099999997</v>
      </c>
      <c r="H1112" s="354">
        <f t="shared" si="416"/>
        <v>524063.33100000001</v>
      </c>
      <c r="I1112" s="354">
        <f t="shared" si="416"/>
        <v>249033.76199999999</v>
      </c>
      <c r="J1112" s="354">
        <f t="shared" si="416"/>
        <v>323649.48300000001</v>
      </c>
      <c r="K1112" s="322">
        <f t="shared" si="416"/>
        <v>313197.21299999999</v>
      </c>
      <c r="L1112" s="308">
        <f t="shared" si="416"/>
        <v>413471.571</v>
      </c>
      <c r="M1112" s="308">
        <f t="shared" si="416"/>
        <v>139352.361</v>
      </c>
      <c r="N1112" s="354">
        <f t="shared" si="416"/>
        <v>333798.3</v>
      </c>
      <c r="O1112" s="354">
        <f t="shared" si="416"/>
        <v>161807.883</v>
      </c>
      <c r="P1112" s="302">
        <f t="shared" si="416"/>
        <v>67434</v>
      </c>
      <c r="Q1112" s="354">
        <f t="shared" si="416"/>
        <v>42146.25</v>
      </c>
      <c r="R1112" s="70"/>
      <c r="S1112" s="70"/>
      <c r="T1112" s="70"/>
      <c r="U1112" s="70"/>
      <c r="V1112" s="70"/>
      <c r="W1112" s="70"/>
      <c r="X1112" s="70"/>
      <c r="Y1112" s="70"/>
      <c r="Z1112" s="70"/>
      <c r="AA1112" s="1075"/>
      <c r="AB1112" s="293" t="s">
        <v>5</v>
      </c>
      <c r="AC1112" s="300">
        <v>8882</v>
      </c>
      <c r="AD1112" s="631"/>
      <c r="AE1112" s="631"/>
      <c r="AF1112" s="631"/>
      <c r="AG1112" s="631"/>
      <c r="AH1112" s="631"/>
      <c r="AI1112" s="631"/>
      <c r="AJ1112" s="307">
        <v>13644.7</v>
      </c>
      <c r="AK1112" s="264">
        <v>13649.8</v>
      </c>
      <c r="AN1112" s="743"/>
      <c r="AO1112" s="743"/>
    </row>
    <row r="1113" spans="1:41" s="267" customFormat="1" ht="15.75" thickBot="1" x14ac:dyDescent="0.3">
      <c r="A1113" s="1061"/>
      <c r="B1113" s="295" t="s">
        <v>79</v>
      </c>
      <c r="C1113" s="302">
        <v>164000</v>
      </c>
      <c r="D1113" s="263">
        <v>109880</v>
      </c>
      <c r="E1113" s="302">
        <v>109880</v>
      </c>
      <c r="F1113" s="308">
        <v>328000</v>
      </c>
      <c r="G1113" s="308">
        <v>330905</v>
      </c>
      <c r="H1113" s="308">
        <v>264264</v>
      </c>
      <c r="I1113" s="308">
        <v>242663.6</v>
      </c>
      <c r="J1113" s="263">
        <v>328000</v>
      </c>
      <c r="K1113" s="302">
        <v>328000</v>
      </c>
      <c r="L1113" s="308">
        <v>264264.40000000002</v>
      </c>
      <c r="M1113" s="308">
        <v>328000</v>
      </c>
      <c r="N1113" s="308">
        <v>352965.4</v>
      </c>
      <c r="O1113" s="263">
        <v>328000</v>
      </c>
      <c r="P1113" s="322">
        <f>2*P1108</f>
        <v>110302</v>
      </c>
      <c r="Q1113" s="263">
        <f>2*Q1108</f>
        <v>66181</v>
      </c>
      <c r="R1113" s="70"/>
      <c r="S1113" s="70"/>
      <c r="T1113" s="70"/>
      <c r="U1113" s="70"/>
      <c r="V1113" s="70"/>
      <c r="W1113" s="70"/>
      <c r="X1113" s="70"/>
      <c r="Y1113" s="70"/>
      <c r="Z1113" s="70"/>
      <c r="AA1113" s="1076"/>
      <c r="AB1113" s="344" t="s">
        <v>3</v>
      </c>
      <c r="AC1113" s="301">
        <f>AC1112/AC1111</f>
        <v>0.96629604647620715</v>
      </c>
      <c r="AD1113" s="939"/>
      <c r="AE1113" s="939"/>
      <c r="AF1113" s="939"/>
      <c r="AG1113" s="939"/>
      <c r="AH1113" s="939"/>
      <c r="AI1113" s="939"/>
      <c r="AJ1113" s="249">
        <f>AJ1112/AJ1111</f>
        <v>0.98962843694017133</v>
      </c>
      <c r="AK1113" s="348">
        <f>AK1112/AK1111</f>
        <v>0.98999833184650077</v>
      </c>
      <c r="AN1113" s="743"/>
      <c r="AO1113" s="743"/>
    </row>
    <row r="1114" spans="1:41" s="267" customFormat="1" x14ac:dyDescent="0.25">
      <c r="A1114" s="1061"/>
      <c r="B1114" s="293" t="s">
        <v>8</v>
      </c>
      <c r="C1114" s="303">
        <f>SUM(C1111-168)</f>
        <v>5702</v>
      </c>
      <c r="D1114" s="262">
        <f>SUM(D1111-686)</f>
        <v>2647</v>
      </c>
      <c r="E1114" s="303">
        <f>SUM(E1111-652)</f>
        <v>2678</v>
      </c>
      <c r="F1114" s="309">
        <f>SUM(F1111-1211)</f>
        <v>8246</v>
      </c>
      <c r="G1114" s="309">
        <f>SUM(G1111-4107)</f>
        <v>3746</v>
      </c>
      <c r="H1114" s="309">
        <f>SUM(H1111-2129)</f>
        <v>13414</v>
      </c>
      <c r="I1114" s="309">
        <f>SUM(I1111-(3437-2000))</f>
        <v>5949</v>
      </c>
      <c r="J1114" s="262">
        <f>SUM(J1111-9313)</f>
        <v>286</v>
      </c>
      <c r="K1114" s="303">
        <f>SUM(K1111-887)</f>
        <v>8402</v>
      </c>
      <c r="L1114" s="309">
        <f>SUM(L1111-1241)</f>
        <v>11022</v>
      </c>
      <c r="M1114" s="316">
        <f>SUM(M1111-214)</f>
        <v>3919</v>
      </c>
      <c r="N1114" s="309">
        <f>SUM(N1111-(5357-2614))</f>
        <v>7157</v>
      </c>
      <c r="O1114" s="262">
        <f>SUM(O1111-3991)</f>
        <v>808</v>
      </c>
      <c r="P1114" s="323">
        <f>SUM(P1111-1261)</f>
        <v>739</v>
      </c>
      <c r="Q1114" s="262">
        <f>SUM(Q1111-869)</f>
        <v>381</v>
      </c>
      <c r="R1114" s="12" t="s">
        <v>176</v>
      </c>
      <c r="S1114" s="70"/>
      <c r="T1114" s="70"/>
      <c r="U1114" s="70"/>
      <c r="V1114" s="70"/>
      <c r="W1114" s="70"/>
      <c r="X1114" s="70"/>
      <c r="Y1114" s="70"/>
      <c r="Z1114" s="70"/>
      <c r="AA1114" s="1074" t="s">
        <v>191</v>
      </c>
      <c r="AB1114" s="19" t="s">
        <v>4</v>
      </c>
      <c r="AC1114" s="299">
        <v>97433.600000000006</v>
      </c>
      <c r="AD1114" s="552"/>
      <c r="AE1114" s="552"/>
      <c r="AF1114" s="552"/>
      <c r="AG1114" s="552"/>
      <c r="AH1114" s="552"/>
      <c r="AI1114" s="552"/>
      <c r="AJ1114" s="283">
        <v>243584.4</v>
      </c>
      <c r="AK1114" s="265">
        <v>292299.3</v>
      </c>
      <c r="AN1114" s="743"/>
      <c r="AO1114" s="743"/>
    </row>
    <row r="1115" spans="1:41" s="267" customFormat="1" x14ac:dyDescent="0.25">
      <c r="A1115" s="1061"/>
      <c r="B1115" s="296" t="s">
        <v>77</v>
      </c>
      <c r="C1115" s="302">
        <f>(C1114*33.717)</f>
        <v>192254.334</v>
      </c>
      <c r="D1115" s="338">
        <f>(D1114*33.717)</f>
        <v>89248.89899999999</v>
      </c>
      <c r="E1115" s="302">
        <f>(E1114*33.717)</f>
        <v>90294.126000000004</v>
      </c>
      <c r="F1115" s="338">
        <f>(F1114*33.717)</f>
        <v>278030.38199999998</v>
      </c>
      <c r="G1115" s="280">
        <f>(G1114*33.717)*2</f>
        <v>252607.764</v>
      </c>
      <c r="H1115" s="280">
        <f>(H1114*33.717)</f>
        <v>452279.83799999999</v>
      </c>
      <c r="I1115" s="280">
        <f>(I1114*33.717)-(2000*33.717)</f>
        <v>133148.43299999999</v>
      </c>
      <c r="J1115" s="261">
        <f>J1114*33.717</f>
        <v>9643.0619999999999</v>
      </c>
      <c r="K1115" s="304">
        <f>K1114*33.717</f>
        <v>283290.234</v>
      </c>
      <c r="L1115" s="280">
        <f>L1114*33.717</f>
        <v>371628.77399999998</v>
      </c>
      <c r="M1115" s="280">
        <f>(M1114*33.717)</f>
        <v>132136.92299999998</v>
      </c>
      <c r="N1115" s="280">
        <f>N1114*33.717</f>
        <v>241312.56899999999</v>
      </c>
      <c r="O1115" s="261">
        <f>O1114*33.717</f>
        <v>27243.335999999999</v>
      </c>
      <c r="P1115" s="324">
        <f>P1114*33.717</f>
        <v>24916.862999999998</v>
      </c>
      <c r="Q1115" s="325">
        <f>Q1114*33.717</f>
        <v>12846.177</v>
      </c>
      <c r="R1115" s="63">
        <f>344240-H1115</f>
        <v>-108039.83799999999</v>
      </c>
      <c r="S1115" s="70" t="s">
        <v>177</v>
      </c>
      <c r="T1115" s="70"/>
      <c r="U1115" s="70"/>
      <c r="V1115" s="70"/>
      <c r="W1115" s="70"/>
      <c r="X1115" s="70"/>
      <c r="Y1115" s="70"/>
      <c r="Z1115" s="70"/>
      <c r="AA1115" s="1075"/>
      <c r="AB1115" s="293" t="s">
        <v>5</v>
      </c>
      <c r="AC1115" s="300">
        <v>64490.9</v>
      </c>
      <c r="AD1115" s="631"/>
      <c r="AE1115" s="631"/>
      <c r="AF1115" s="631"/>
      <c r="AG1115" s="631"/>
      <c r="AH1115" s="631"/>
      <c r="AI1115" s="631"/>
      <c r="AJ1115" s="307">
        <v>79989.3</v>
      </c>
      <c r="AK1115" s="264">
        <v>62980.6</v>
      </c>
      <c r="AN1115" s="743"/>
      <c r="AO1115" s="743"/>
    </row>
    <row r="1116" spans="1:41" s="267" customFormat="1" ht="15.75" thickBot="1" x14ac:dyDescent="0.3">
      <c r="A1116" s="1062"/>
      <c r="B1116" s="294" t="s">
        <v>10</v>
      </c>
      <c r="C1116" s="305">
        <f t="shared" ref="C1116:Q1116" si="417">C1115/C1108</f>
        <v>1.3407586605129149</v>
      </c>
      <c r="D1116" s="292">
        <f t="shared" si="417"/>
        <v>0.59295368991162389</v>
      </c>
      <c r="E1116" s="310">
        <f t="shared" si="417"/>
        <v>0.59989799077571926</v>
      </c>
      <c r="F1116" s="282">
        <f t="shared" si="417"/>
        <v>1.5276579277331923</v>
      </c>
      <c r="G1116" s="282">
        <f t="shared" si="417"/>
        <v>1.5267690968707031</v>
      </c>
      <c r="H1116" s="282">
        <f t="shared" si="417"/>
        <v>3.4229394696212876</v>
      </c>
      <c r="I1116" s="282">
        <f t="shared" si="417"/>
        <v>1.0973910631837653</v>
      </c>
      <c r="J1116" s="311">
        <f t="shared" si="417"/>
        <v>5.8063487074439167E-2</v>
      </c>
      <c r="K1116" s="310">
        <f t="shared" si="417"/>
        <v>1.4676197319545969</v>
      </c>
      <c r="L1116" s="282">
        <f t="shared" si="417"/>
        <v>2.8125526858706653</v>
      </c>
      <c r="M1116" s="282">
        <f t="shared" si="417"/>
        <v>1.5972782899754971</v>
      </c>
      <c r="N1116" s="260">
        <f t="shared" si="417"/>
        <v>1.3673440456203354</v>
      </c>
      <c r="O1116" s="311">
        <f t="shared" si="417"/>
        <v>0.32807880634400705</v>
      </c>
      <c r="P1116" s="305">
        <f t="shared" si="417"/>
        <v>0.45179349422494602</v>
      </c>
      <c r="Q1116" s="292">
        <f t="shared" si="417"/>
        <v>0.38821344494643478</v>
      </c>
      <c r="R1116" s="126"/>
      <c r="S1116" s="70"/>
      <c r="T1116" s="70"/>
      <c r="U1116" s="70"/>
      <c r="V1116" s="70"/>
      <c r="W1116" s="70"/>
      <c r="X1116" s="70"/>
      <c r="Y1116" s="70"/>
      <c r="Z1116" s="70"/>
      <c r="AA1116" s="1077"/>
      <c r="AB1116" s="294" t="s">
        <v>3</v>
      </c>
      <c r="AC1116" s="305">
        <f>AC1115/AC1114</f>
        <v>0.66189589628218604</v>
      </c>
      <c r="AD1116" s="636"/>
      <c r="AE1116" s="636"/>
      <c r="AF1116" s="636"/>
      <c r="AG1116" s="636"/>
      <c r="AH1116" s="636"/>
      <c r="AI1116" s="636"/>
      <c r="AJ1116" s="278">
        <f>AJ1115/AJ1114</f>
        <v>0.32838433003098721</v>
      </c>
      <c r="AK1116" s="343">
        <f>AK1115/AK1114</f>
        <v>0.21546613351451749</v>
      </c>
      <c r="AN1116" s="743"/>
      <c r="AO1116" s="743"/>
    </row>
    <row r="1117" spans="1:41" s="267" customFormat="1" ht="15.75" thickBot="1" x14ac:dyDescent="0.3">
      <c r="A1117" s="1048">
        <v>41361</v>
      </c>
      <c r="B1117" s="1048"/>
      <c r="C1117" s="1048"/>
      <c r="D1117" s="276"/>
      <c r="E1117" s="276"/>
      <c r="F1117" s="276"/>
      <c r="G1117" s="276"/>
      <c r="H1117" s="276"/>
      <c r="I1117" s="11"/>
      <c r="J1117" s="281"/>
      <c r="K1117" s="281"/>
      <c r="L1117" s="276"/>
      <c r="M1117" s="276"/>
      <c r="N1117" s="13"/>
      <c r="R1117" s="12"/>
      <c r="S1117" s="70"/>
      <c r="T1117" s="70"/>
      <c r="U1117" s="70"/>
      <c r="V1117" s="70"/>
      <c r="W1117" s="70"/>
      <c r="X1117" s="70"/>
      <c r="Y1117" s="70"/>
      <c r="Z1117" s="70"/>
      <c r="AA1117" s="1068"/>
      <c r="AB1117" s="1069"/>
      <c r="AD1117" s="743"/>
      <c r="AE1117" s="743"/>
      <c r="AF1117" s="743"/>
      <c r="AG1117" s="743"/>
      <c r="AH1117" s="743"/>
      <c r="AI1117" s="743"/>
      <c r="AN1117" s="743"/>
      <c r="AO1117" s="743"/>
    </row>
    <row r="1118" spans="1:41" s="267" customFormat="1" x14ac:dyDescent="0.25">
      <c r="A1118" s="1049" t="s">
        <v>1</v>
      </c>
      <c r="B1118" s="1070"/>
      <c r="C1118" s="297" t="s">
        <v>12</v>
      </c>
      <c r="D1118" s="266" t="s">
        <v>12</v>
      </c>
      <c r="E1118" s="297" t="s">
        <v>13</v>
      </c>
      <c r="F1118" s="277" t="s">
        <v>13</v>
      </c>
      <c r="G1118" s="277" t="s">
        <v>13</v>
      </c>
      <c r="H1118" s="277" t="s">
        <v>13</v>
      </c>
      <c r="I1118" s="277" t="s">
        <v>13</v>
      </c>
      <c r="J1118" s="266" t="s">
        <v>13</v>
      </c>
      <c r="K1118" s="297" t="s">
        <v>2</v>
      </c>
      <c r="L1118" s="277" t="s">
        <v>2</v>
      </c>
      <c r="M1118" s="286" t="s">
        <v>2</v>
      </c>
      <c r="N1118" s="277" t="s">
        <v>2</v>
      </c>
      <c r="O1118" s="266" t="s">
        <v>2</v>
      </c>
      <c r="P1118" s="328" t="s">
        <v>183</v>
      </c>
      <c r="Q1118" s="327" t="s">
        <v>183</v>
      </c>
      <c r="R1118" s="12"/>
      <c r="S1118" s="70"/>
      <c r="T1118" s="70"/>
      <c r="U1118" s="70"/>
      <c r="V1118" s="70"/>
      <c r="W1118" s="70"/>
      <c r="X1118" s="70"/>
      <c r="Y1118" s="70"/>
      <c r="Z1118" s="70"/>
      <c r="AA1118" s="1049" t="s">
        <v>1</v>
      </c>
      <c r="AB1118" s="1071"/>
      <c r="AC1118" s="297" t="s">
        <v>12</v>
      </c>
      <c r="AD1118" s="937"/>
      <c r="AE1118" s="937"/>
      <c r="AF1118" s="937"/>
      <c r="AG1118" s="937"/>
      <c r="AH1118" s="937"/>
      <c r="AI1118" s="937"/>
      <c r="AJ1118" s="277" t="s">
        <v>13</v>
      </c>
      <c r="AK1118" s="266" t="s">
        <v>2</v>
      </c>
      <c r="AN1118" s="743"/>
      <c r="AO1118" s="743"/>
    </row>
    <row r="1119" spans="1:41" s="267" customFormat="1" ht="15.75" thickBot="1" x14ac:dyDescent="0.3">
      <c r="A1119" s="1054" t="s">
        <v>0</v>
      </c>
      <c r="B1119" s="1072"/>
      <c r="C1119" s="298" t="s">
        <v>99</v>
      </c>
      <c r="D1119" s="291" t="s">
        <v>100</v>
      </c>
      <c r="E1119" s="298" t="s">
        <v>101</v>
      </c>
      <c r="F1119" s="306" t="s">
        <v>102</v>
      </c>
      <c r="G1119" s="306" t="s">
        <v>97</v>
      </c>
      <c r="H1119" s="306" t="s">
        <v>104</v>
      </c>
      <c r="I1119" s="306" t="s">
        <v>103</v>
      </c>
      <c r="J1119" s="314" t="s">
        <v>178</v>
      </c>
      <c r="K1119" s="298" t="s">
        <v>105</v>
      </c>
      <c r="L1119" s="306" t="s">
        <v>107</v>
      </c>
      <c r="M1119" s="312" t="s">
        <v>98</v>
      </c>
      <c r="N1119" s="313" t="s">
        <v>106</v>
      </c>
      <c r="O1119" s="291" t="s">
        <v>179</v>
      </c>
      <c r="P1119" s="317" t="s">
        <v>182</v>
      </c>
      <c r="Q1119" s="291" t="s">
        <v>184</v>
      </c>
      <c r="R1119" s="12"/>
      <c r="S1119" s="12"/>
      <c r="T1119" s="12"/>
      <c r="U1119" s="12"/>
      <c r="V1119" s="12"/>
      <c r="W1119" s="12"/>
      <c r="X1119" s="12"/>
      <c r="Y1119" s="12"/>
      <c r="Z1119" s="12"/>
      <c r="AA1119" s="1054" t="s">
        <v>0</v>
      </c>
      <c r="AB1119" s="1073"/>
      <c r="AC1119" s="298" t="s">
        <v>99</v>
      </c>
      <c r="AD1119" s="938"/>
      <c r="AE1119" s="938"/>
      <c r="AF1119" s="938"/>
      <c r="AG1119" s="938"/>
      <c r="AH1119" s="938"/>
      <c r="AI1119" s="938"/>
      <c r="AJ1119" s="306" t="s">
        <v>104</v>
      </c>
      <c r="AK1119" s="291" t="s">
        <v>107</v>
      </c>
      <c r="AN1119" s="743"/>
      <c r="AO1119" s="743"/>
    </row>
    <row r="1120" spans="1:41" s="267" customFormat="1" ht="15" customHeight="1" x14ac:dyDescent="0.25">
      <c r="A1120" s="1057" t="s">
        <v>9</v>
      </c>
      <c r="B1120" s="19" t="s">
        <v>4</v>
      </c>
      <c r="C1120" s="299">
        <v>143392.20000000001</v>
      </c>
      <c r="D1120" s="265">
        <v>150515.79999999999</v>
      </c>
      <c r="E1120" s="299">
        <v>150515.79999999999</v>
      </c>
      <c r="F1120" s="283">
        <v>181997.8</v>
      </c>
      <c r="G1120" s="283">
        <v>165452.5</v>
      </c>
      <c r="H1120" s="283">
        <v>132132</v>
      </c>
      <c r="I1120" s="283">
        <v>121331.8</v>
      </c>
      <c r="J1120" s="265">
        <v>166077.9</v>
      </c>
      <c r="K1120" s="299">
        <v>193027</v>
      </c>
      <c r="L1120" s="283">
        <v>132132.20000000001</v>
      </c>
      <c r="M1120" s="283">
        <v>82726.3</v>
      </c>
      <c r="N1120" s="283">
        <v>176482.7</v>
      </c>
      <c r="O1120" s="265">
        <v>83039</v>
      </c>
      <c r="P1120" s="318">
        <v>55151</v>
      </c>
      <c r="Q1120" s="265">
        <v>33090.5</v>
      </c>
      <c r="R1120" s="70"/>
      <c r="S1120" s="70"/>
      <c r="T1120" s="70"/>
      <c r="U1120" s="70"/>
      <c r="V1120" s="70"/>
      <c r="W1120" s="70"/>
      <c r="X1120" s="70"/>
      <c r="Y1120" s="70"/>
      <c r="Z1120" s="70"/>
      <c r="AA1120" s="1060" t="s">
        <v>194</v>
      </c>
      <c r="AB1120" s="2" t="s">
        <v>4</v>
      </c>
      <c r="AC1120" s="299">
        <v>143392.20000000001</v>
      </c>
      <c r="AD1120" s="552"/>
      <c r="AE1120" s="552"/>
      <c r="AF1120" s="552"/>
      <c r="AG1120" s="552"/>
      <c r="AH1120" s="552"/>
      <c r="AI1120" s="552"/>
      <c r="AJ1120" s="283">
        <v>132132</v>
      </c>
      <c r="AK1120" s="265">
        <v>132132.20000000001</v>
      </c>
      <c r="AN1120" s="743"/>
      <c r="AO1120" s="743"/>
    </row>
    <row r="1121" spans="1:41" s="267" customFormat="1" x14ac:dyDescent="0.25">
      <c r="A1121" s="1058"/>
      <c r="B1121" s="293" t="s">
        <v>5</v>
      </c>
      <c r="C1121" s="300">
        <v>47009.8</v>
      </c>
      <c r="D1121" s="264">
        <v>77541</v>
      </c>
      <c r="E1121" s="300">
        <v>78952.600000000006</v>
      </c>
      <c r="F1121" s="307">
        <v>157611.9</v>
      </c>
      <c r="G1121" s="307">
        <v>88712.3</v>
      </c>
      <c r="H1121" s="307">
        <v>48496.800000000003</v>
      </c>
      <c r="I1121" s="307">
        <v>72365</v>
      </c>
      <c r="J1121" s="264">
        <v>8904</v>
      </c>
      <c r="K1121" s="300">
        <v>155967.1</v>
      </c>
      <c r="L1121" s="307">
        <v>65005.4</v>
      </c>
      <c r="M1121" s="307">
        <v>46019.5</v>
      </c>
      <c r="N1121" s="307">
        <v>136586.5</v>
      </c>
      <c r="O1121" s="264">
        <v>4545.3</v>
      </c>
      <c r="P1121" s="319">
        <v>4493</v>
      </c>
      <c r="Q1121" s="264">
        <v>3149.3</v>
      </c>
      <c r="R1121" s="70"/>
      <c r="S1121" s="70"/>
      <c r="T1121" s="70"/>
      <c r="U1121" s="70"/>
      <c r="V1121" s="70"/>
      <c r="W1121" s="70"/>
      <c r="X1121" s="70"/>
      <c r="Y1121" s="70"/>
      <c r="Z1121" s="70"/>
      <c r="AA1121" s="1061"/>
      <c r="AB1121" s="342" t="s">
        <v>5</v>
      </c>
      <c r="AC1121" s="300">
        <v>42041.3</v>
      </c>
      <c r="AD1121" s="631"/>
      <c r="AE1121" s="631"/>
      <c r="AF1121" s="631"/>
      <c r="AG1121" s="631"/>
      <c r="AH1121" s="631"/>
      <c r="AI1121" s="631"/>
      <c r="AJ1121" s="307">
        <v>46836.6</v>
      </c>
      <c r="AK1121" s="264">
        <v>54552.5</v>
      </c>
      <c r="AN1121" s="743"/>
      <c r="AO1121" s="743"/>
    </row>
    <row r="1122" spans="1:41" s="267" customFormat="1" ht="15.75" thickBot="1" x14ac:dyDescent="0.3">
      <c r="A1122" s="1059"/>
      <c r="B1122" s="294" t="s">
        <v>3</v>
      </c>
      <c r="C1122" s="305">
        <f t="shared" ref="C1122:Q1122" si="418">C1121/C1120</f>
        <v>0.32784070542191274</v>
      </c>
      <c r="D1122" s="343">
        <f t="shared" si="418"/>
        <v>0.51516850722648388</v>
      </c>
      <c r="E1122" s="305">
        <f t="shared" si="418"/>
        <v>0.52454692464179853</v>
      </c>
      <c r="F1122" s="278">
        <f t="shared" si="418"/>
        <v>0.86600991880121625</v>
      </c>
      <c r="G1122" s="278">
        <f t="shared" si="418"/>
        <v>0.53617987035554016</v>
      </c>
      <c r="H1122" s="278">
        <f t="shared" si="418"/>
        <v>0.36703296703296706</v>
      </c>
      <c r="I1122" s="278">
        <f t="shared" si="418"/>
        <v>0.59642237237063989</v>
      </c>
      <c r="J1122" s="292">
        <f t="shared" si="418"/>
        <v>5.3613394678039647E-2</v>
      </c>
      <c r="K1122" s="305">
        <f t="shared" si="418"/>
        <v>0.80800665191916154</v>
      </c>
      <c r="L1122" s="278">
        <f t="shared" si="418"/>
        <v>0.49197243366870447</v>
      </c>
      <c r="M1122" s="315">
        <f t="shared" si="418"/>
        <v>0.55628621127742928</v>
      </c>
      <c r="N1122" s="278">
        <f t="shared" si="418"/>
        <v>0.77393704878721814</v>
      </c>
      <c r="O1122" s="292">
        <f t="shared" si="418"/>
        <v>5.4736930839725917E-2</v>
      </c>
      <c r="P1122" s="320">
        <f t="shared" si="418"/>
        <v>8.1467244474261569E-2</v>
      </c>
      <c r="Q1122" s="292">
        <f t="shared" si="418"/>
        <v>9.5172330427161875E-2</v>
      </c>
      <c r="R1122" s="70"/>
      <c r="S1122" s="70"/>
      <c r="T1122" s="70"/>
      <c r="U1122" s="70"/>
      <c r="V1122" s="70"/>
      <c r="W1122" s="70"/>
      <c r="X1122" s="70"/>
      <c r="Y1122" s="70"/>
      <c r="Z1122" s="70"/>
      <c r="AA1122" s="1061"/>
      <c r="AB1122" s="347" t="s">
        <v>3</v>
      </c>
      <c r="AC1122" s="301">
        <f>AC1121/AC1120</f>
        <v>0.29319098249416636</v>
      </c>
      <c r="AD1122" s="939"/>
      <c r="AE1122" s="939"/>
      <c r="AF1122" s="939"/>
      <c r="AG1122" s="939"/>
      <c r="AH1122" s="939"/>
      <c r="AI1122" s="939"/>
      <c r="AJ1122" s="278">
        <f>AJ1121/AJ1120</f>
        <v>0.35446825901371354</v>
      </c>
      <c r="AK1122" s="292">
        <f>AK1121/AK1120</f>
        <v>0.41286302657489993</v>
      </c>
      <c r="AN1122" s="743"/>
      <c r="AO1122" s="743"/>
    </row>
    <row r="1123" spans="1:41" s="267" customFormat="1" ht="15" customHeight="1" x14ac:dyDescent="0.25">
      <c r="A1123" s="1060" t="s">
        <v>6</v>
      </c>
      <c r="B1123" s="19" t="s">
        <v>7</v>
      </c>
      <c r="C1123" s="297">
        <v>5870</v>
      </c>
      <c r="D1123" s="266">
        <v>3333</v>
      </c>
      <c r="E1123" s="297">
        <v>3330</v>
      </c>
      <c r="F1123" s="277">
        <v>9457</v>
      </c>
      <c r="G1123" s="277">
        <v>7853</v>
      </c>
      <c r="H1123" s="277">
        <v>15543</v>
      </c>
      <c r="I1123" s="277">
        <v>7386</v>
      </c>
      <c r="J1123" s="266">
        <v>9599</v>
      </c>
      <c r="K1123" s="297">
        <v>9289</v>
      </c>
      <c r="L1123" s="277">
        <v>12263</v>
      </c>
      <c r="M1123" s="277">
        <v>4133</v>
      </c>
      <c r="N1123" s="277">
        <v>9900</v>
      </c>
      <c r="O1123" s="266">
        <v>4799</v>
      </c>
      <c r="P1123" s="321">
        <v>2000</v>
      </c>
      <c r="Q1123" s="266">
        <v>1250</v>
      </c>
      <c r="R1123" s="70"/>
      <c r="S1123" s="70"/>
      <c r="T1123" s="70"/>
      <c r="U1123" s="70"/>
      <c r="V1123" s="70"/>
      <c r="W1123" s="70"/>
      <c r="X1123" s="70"/>
      <c r="Y1123" s="70"/>
      <c r="Z1123" s="70"/>
      <c r="AA1123" s="1074" t="s">
        <v>190</v>
      </c>
      <c r="AB1123" s="19" t="s">
        <v>4</v>
      </c>
      <c r="AC1123" s="299">
        <v>9191.7999999999993</v>
      </c>
      <c r="AD1123" s="552"/>
      <c r="AE1123" s="552"/>
      <c r="AF1123" s="552"/>
      <c r="AG1123" s="552"/>
      <c r="AH1123" s="552"/>
      <c r="AI1123" s="552"/>
      <c r="AJ1123" s="283">
        <v>13787.7</v>
      </c>
      <c r="AK1123" s="265">
        <v>13787.7</v>
      </c>
      <c r="AN1123" s="743"/>
      <c r="AO1123" s="743"/>
    </row>
    <row r="1124" spans="1:41" s="267" customFormat="1" x14ac:dyDescent="0.25">
      <c r="A1124" s="1061"/>
      <c r="B1124" s="295" t="s">
        <v>11</v>
      </c>
      <c r="C1124" s="302">
        <f t="shared" ref="C1124:Q1124" si="419">C1123*33.717</f>
        <v>197918.78999999998</v>
      </c>
      <c r="D1124" s="263">
        <f t="shared" si="419"/>
        <v>112378.761</v>
      </c>
      <c r="E1124" s="302">
        <f t="shared" si="419"/>
        <v>112277.61</v>
      </c>
      <c r="F1124" s="355">
        <f t="shared" si="419"/>
        <v>318861.66899999999</v>
      </c>
      <c r="G1124" s="308">
        <f t="shared" si="419"/>
        <v>264779.60099999997</v>
      </c>
      <c r="H1124" s="354">
        <f t="shared" si="419"/>
        <v>524063.33100000001</v>
      </c>
      <c r="I1124" s="354">
        <f t="shared" si="419"/>
        <v>249033.76199999999</v>
      </c>
      <c r="J1124" s="354">
        <f t="shared" si="419"/>
        <v>323649.48300000001</v>
      </c>
      <c r="K1124" s="322">
        <f t="shared" si="419"/>
        <v>313197.21299999999</v>
      </c>
      <c r="L1124" s="308">
        <f t="shared" si="419"/>
        <v>413471.571</v>
      </c>
      <c r="M1124" s="308">
        <f t="shared" si="419"/>
        <v>139352.361</v>
      </c>
      <c r="N1124" s="354">
        <f t="shared" si="419"/>
        <v>333798.3</v>
      </c>
      <c r="O1124" s="354">
        <f t="shared" si="419"/>
        <v>161807.883</v>
      </c>
      <c r="P1124" s="302">
        <f t="shared" si="419"/>
        <v>67434</v>
      </c>
      <c r="Q1124" s="354">
        <f t="shared" si="419"/>
        <v>42146.25</v>
      </c>
      <c r="R1124" s="70"/>
      <c r="S1124" s="70"/>
      <c r="T1124" s="70"/>
      <c r="U1124" s="70"/>
      <c r="V1124" s="70"/>
      <c r="W1124" s="70"/>
      <c r="X1124" s="70"/>
      <c r="Y1124" s="70"/>
      <c r="Z1124" s="70"/>
      <c r="AA1124" s="1075"/>
      <c r="AB1124" s="293" t="s">
        <v>5</v>
      </c>
      <c r="AC1124" s="300">
        <v>8882</v>
      </c>
      <c r="AD1124" s="631"/>
      <c r="AE1124" s="631"/>
      <c r="AF1124" s="631"/>
      <c r="AG1124" s="631"/>
      <c r="AH1124" s="631"/>
      <c r="AI1124" s="631"/>
      <c r="AJ1124" s="307">
        <v>13644.7</v>
      </c>
      <c r="AK1124" s="264">
        <v>13649.8</v>
      </c>
      <c r="AN1124" s="743"/>
      <c r="AO1124" s="743"/>
    </row>
    <row r="1125" spans="1:41" s="267" customFormat="1" ht="15.75" thickBot="1" x14ac:dyDescent="0.3">
      <c r="A1125" s="1061"/>
      <c r="B1125" s="295" t="s">
        <v>79</v>
      </c>
      <c r="C1125" s="302">
        <v>164000</v>
      </c>
      <c r="D1125" s="263">
        <v>109880</v>
      </c>
      <c r="E1125" s="302">
        <v>109880</v>
      </c>
      <c r="F1125" s="308">
        <v>328000</v>
      </c>
      <c r="G1125" s="308">
        <v>330905</v>
      </c>
      <c r="H1125" s="308">
        <v>264264</v>
      </c>
      <c r="I1125" s="308">
        <v>242663.6</v>
      </c>
      <c r="J1125" s="263">
        <v>328000</v>
      </c>
      <c r="K1125" s="302">
        <v>328000</v>
      </c>
      <c r="L1125" s="308">
        <v>264264.40000000002</v>
      </c>
      <c r="M1125" s="308">
        <v>328000</v>
      </c>
      <c r="N1125" s="308">
        <v>352965.4</v>
      </c>
      <c r="O1125" s="263">
        <v>328000</v>
      </c>
      <c r="P1125" s="322">
        <f>2*P1120</f>
        <v>110302</v>
      </c>
      <c r="Q1125" s="263">
        <f>2*Q1120</f>
        <v>66181</v>
      </c>
      <c r="R1125" s="70"/>
      <c r="S1125" s="70"/>
      <c r="T1125" s="70"/>
      <c r="U1125" s="70"/>
      <c r="V1125" s="70"/>
      <c r="W1125" s="70"/>
      <c r="X1125" s="70"/>
      <c r="Y1125" s="70"/>
      <c r="Z1125" s="70"/>
      <c r="AA1125" s="1076"/>
      <c r="AB1125" s="344" t="s">
        <v>3</v>
      </c>
      <c r="AC1125" s="301">
        <f>AC1124/AC1123</f>
        <v>0.96629604647620715</v>
      </c>
      <c r="AD1125" s="939"/>
      <c r="AE1125" s="939"/>
      <c r="AF1125" s="939"/>
      <c r="AG1125" s="939"/>
      <c r="AH1125" s="939"/>
      <c r="AI1125" s="939"/>
      <c r="AJ1125" s="249">
        <f>AJ1124/AJ1123</f>
        <v>0.98962843694017133</v>
      </c>
      <c r="AK1125" s="348">
        <f>AK1124/AK1123</f>
        <v>0.98999833184650077</v>
      </c>
      <c r="AN1125" s="743"/>
      <c r="AO1125" s="743"/>
    </row>
    <row r="1126" spans="1:41" s="267" customFormat="1" x14ac:dyDescent="0.25">
      <c r="A1126" s="1061"/>
      <c r="B1126" s="293" t="s">
        <v>8</v>
      </c>
      <c r="C1126" s="303">
        <f>SUM(C1123-168)</f>
        <v>5702</v>
      </c>
      <c r="D1126" s="262">
        <f>SUM(D1123-686)</f>
        <v>2647</v>
      </c>
      <c r="E1126" s="303">
        <f>SUM(E1123-652)</f>
        <v>2678</v>
      </c>
      <c r="F1126" s="309">
        <f>SUM(F1123-1211)</f>
        <v>8246</v>
      </c>
      <c r="G1126" s="309">
        <f>SUM(G1123-4137)</f>
        <v>3716</v>
      </c>
      <c r="H1126" s="309">
        <f>SUM(H1123-2129)</f>
        <v>13414</v>
      </c>
      <c r="I1126" s="309">
        <f>SUM(I1123-(3578-2000))</f>
        <v>5808</v>
      </c>
      <c r="J1126" s="262">
        <f>SUM(J1123-9313)</f>
        <v>286</v>
      </c>
      <c r="K1126" s="303">
        <f>SUM(K1123-887)</f>
        <v>8402</v>
      </c>
      <c r="L1126" s="309">
        <f>SUM(L1123-1241)</f>
        <v>11022</v>
      </c>
      <c r="M1126" s="316">
        <f>SUM(M1123-247)</f>
        <v>3886</v>
      </c>
      <c r="N1126" s="309">
        <f>SUM(N1123-(5408-2614))</f>
        <v>7106</v>
      </c>
      <c r="O1126" s="262">
        <f>SUM(O1123-4074)</f>
        <v>725</v>
      </c>
      <c r="P1126" s="323">
        <f>SUM(P1123-1261)</f>
        <v>739</v>
      </c>
      <c r="Q1126" s="262">
        <f>SUM(Q1123-869)</f>
        <v>381</v>
      </c>
      <c r="R1126" s="12" t="s">
        <v>176</v>
      </c>
      <c r="S1126" s="70"/>
      <c r="T1126" s="70"/>
      <c r="U1126" s="70"/>
      <c r="V1126" s="70"/>
      <c r="W1126" s="70"/>
      <c r="X1126" s="70"/>
      <c r="Y1126" s="70"/>
      <c r="Z1126" s="70"/>
      <c r="AA1126" s="1074" t="s">
        <v>191</v>
      </c>
      <c r="AB1126" s="19" t="s">
        <v>4</v>
      </c>
      <c r="AC1126" s="299">
        <v>97433.600000000006</v>
      </c>
      <c r="AD1126" s="552"/>
      <c r="AE1126" s="552"/>
      <c r="AF1126" s="552"/>
      <c r="AG1126" s="552"/>
      <c r="AH1126" s="552"/>
      <c r="AI1126" s="552"/>
      <c r="AJ1126" s="283">
        <v>243584.4</v>
      </c>
      <c r="AK1126" s="265">
        <v>292299.3</v>
      </c>
      <c r="AN1126" s="743"/>
      <c r="AO1126" s="743"/>
    </row>
    <row r="1127" spans="1:41" s="267" customFormat="1" x14ac:dyDescent="0.25">
      <c r="A1127" s="1061"/>
      <c r="B1127" s="296" t="s">
        <v>77</v>
      </c>
      <c r="C1127" s="302">
        <f>(C1126*33.717)</f>
        <v>192254.334</v>
      </c>
      <c r="D1127" s="338">
        <f>(D1126*33.717)</f>
        <v>89248.89899999999</v>
      </c>
      <c r="E1127" s="302">
        <f>(E1126*33.717)</f>
        <v>90294.126000000004</v>
      </c>
      <c r="F1127" s="338">
        <f>(F1126*33.717)</f>
        <v>278030.38199999998</v>
      </c>
      <c r="G1127" s="280">
        <f>(G1126*33.717)*2</f>
        <v>250584.74399999998</v>
      </c>
      <c r="H1127" s="280">
        <f>(H1126*33.717)</f>
        <v>452279.83799999999</v>
      </c>
      <c r="I1127" s="280">
        <f>(I1126*33.717)-(2000*33.717)</f>
        <v>128394.33599999998</v>
      </c>
      <c r="J1127" s="261">
        <f>J1126*33.717</f>
        <v>9643.0619999999999</v>
      </c>
      <c r="K1127" s="304">
        <f>K1126*33.717</f>
        <v>283290.234</v>
      </c>
      <c r="L1127" s="280">
        <f>L1126*33.717</f>
        <v>371628.77399999998</v>
      </c>
      <c r="M1127" s="280">
        <f>(M1126*33.717)</f>
        <v>131024.26199999999</v>
      </c>
      <c r="N1127" s="280">
        <f>N1126*33.717</f>
        <v>239593.00199999998</v>
      </c>
      <c r="O1127" s="261">
        <f>O1126*33.717</f>
        <v>24444.825000000001</v>
      </c>
      <c r="P1127" s="324">
        <f>P1126*33.717</f>
        <v>24916.862999999998</v>
      </c>
      <c r="Q1127" s="325">
        <f>Q1126*33.717</f>
        <v>12846.177</v>
      </c>
      <c r="R1127" s="63">
        <f>344240-H1127</f>
        <v>-108039.83799999999</v>
      </c>
      <c r="S1127" s="70" t="s">
        <v>177</v>
      </c>
      <c r="T1127" s="70"/>
      <c r="U1127" s="70"/>
      <c r="V1127" s="70"/>
      <c r="W1127" s="70"/>
      <c r="X1127" s="70"/>
      <c r="Y1127" s="70"/>
      <c r="Z1127" s="70"/>
      <c r="AA1127" s="1075"/>
      <c r="AB1127" s="293" t="s">
        <v>5</v>
      </c>
      <c r="AC1127" s="300">
        <v>64490.9</v>
      </c>
      <c r="AD1127" s="631"/>
      <c r="AE1127" s="631"/>
      <c r="AF1127" s="631"/>
      <c r="AG1127" s="631"/>
      <c r="AH1127" s="631"/>
      <c r="AI1127" s="631"/>
      <c r="AJ1127" s="307">
        <v>79989.3</v>
      </c>
      <c r="AK1127" s="264">
        <v>62980.6</v>
      </c>
      <c r="AN1127" s="743"/>
      <c r="AO1127" s="743"/>
    </row>
    <row r="1128" spans="1:41" s="267" customFormat="1" ht="15.75" thickBot="1" x14ac:dyDescent="0.3">
      <c r="A1128" s="1062"/>
      <c r="B1128" s="294" t="s">
        <v>10</v>
      </c>
      <c r="C1128" s="305">
        <f t="shared" ref="C1128:Q1128" si="420">C1127/C1120</f>
        <v>1.3407586605129149</v>
      </c>
      <c r="D1128" s="292">
        <f t="shared" si="420"/>
        <v>0.59295368991162389</v>
      </c>
      <c r="E1128" s="310">
        <f t="shared" si="420"/>
        <v>0.59989799077571926</v>
      </c>
      <c r="F1128" s="282">
        <f t="shared" si="420"/>
        <v>1.5276579277331923</v>
      </c>
      <c r="G1128" s="282">
        <f t="shared" si="420"/>
        <v>1.5145419017542798</v>
      </c>
      <c r="H1128" s="282">
        <f t="shared" si="420"/>
        <v>3.4229394696212876</v>
      </c>
      <c r="I1128" s="282">
        <f t="shared" si="420"/>
        <v>1.0582084498870039</v>
      </c>
      <c r="J1128" s="311">
        <f t="shared" si="420"/>
        <v>5.8063487074439167E-2</v>
      </c>
      <c r="K1128" s="310">
        <f t="shared" si="420"/>
        <v>1.4676197319545969</v>
      </c>
      <c r="L1128" s="282">
        <f t="shared" si="420"/>
        <v>2.8125526858706653</v>
      </c>
      <c r="M1128" s="282">
        <f t="shared" si="420"/>
        <v>1.5838283834765967</v>
      </c>
      <c r="N1128" s="260">
        <f t="shared" si="420"/>
        <v>1.357600501352257</v>
      </c>
      <c r="O1128" s="311">
        <f t="shared" si="420"/>
        <v>0.29437764183094689</v>
      </c>
      <c r="P1128" s="305">
        <f t="shared" si="420"/>
        <v>0.45179349422494602</v>
      </c>
      <c r="Q1128" s="292">
        <f t="shared" si="420"/>
        <v>0.38821344494643478</v>
      </c>
      <c r="R1128" s="126"/>
      <c r="S1128" s="70"/>
      <c r="T1128" s="70"/>
      <c r="U1128" s="70"/>
      <c r="V1128" s="70"/>
      <c r="W1128" s="70"/>
      <c r="X1128" s="70"/>
      <c r="Y1128" s="70"/>
      <c r="Z1128" s="70"/>
      <c r="AA1128" s="1077"/>
      <c r="AB1128" s="294" t="s">
        <v>3</v>
      </c>
      <c r="AC1128" s="305">
        <f>AC1127/AC1126</f>
        <v>0.66189589628218604</v>
      </c>
      <c r="AD1128" s="636"/>
      <c r="AE1128" s="636"/>
      <c r="AF1128" s="636"/>
      <c r="AG1128" s="636"/>
      <c r="AH1128" s="636"/>
      <c r="AI1128" s="636"/>
      <c r="AJ1128" s="278">
        <f>AJ1127/AJ1126</f>
        <v>0.32838433003098721</v>
      </c>
      <c r="AK1128" s="343">
        <f>AK1127/AK1126</f>
        <v>0.21546613351451749</v>
      </c>
      <c r="AN1128" s="743"/>
      <c r="AO1128" s="743"/>
    </row>
    <row r="1129" spans="1:41" s="267" customFormat="1" ht="15.75" thickBot="1" x14ac:dyDescent="0.3">
      <c r="A1129" s="1048">
        <v>41359</v>
      </c>
      <c r="B1129" s="1048"/>
      <c r="C1129" s="1048"/>
      <c r="D1129" s="276"/>
      <c r="E1129" s="276"/>
      <c r="F1129" s="276"/>
      <c r="G1129" s="276"/>
      <c r="H1129" s="276"/>
      <c r="I1129" s="11"/>
      <c r="J1129" s="281"/>
      <c r="K1129" s="281"/>
      <c r="L1129" s="276"/>
      <c r="M1129" s="276"/>
      <c r="N1129" s="13"/>
      <c r="R1129" s="12"/>
      <c r="S1129" s="70"/>
      <c r="T1129" s="70"/>
      <c r="U1129" s="70"/>
      <c r="V1129" s="70"/>
      <c r="W1129" s="70"/>
      <c r="X1129" s="70"/>
      <c r="Y1129" s="70"/>
      <c r="Z1129" s="70"/>
      <c r="AA1129" s="1068"/>
      <c r="AB1129" s="1069"/>
      <c r="AD1129" s="743"/>
      <c r="AE1129" s="743"/>
      <c r="AF1129" s="743"/>
      <c r="AG1129" s="743"/>
      <c r="AH1129" s="743"/>
      <c r="AI1129" s="743"/>
      <c r="AN1129" s="743"/>
      <c r="AO1129" s="743"/>
    </row>
    <row r="1130" spans="1:41" s="267" customFormat="1" x14ac:dyDescent="0.25">
      <c r="A1130" s="1049" t="s">
        <v>1</v>
      </c>
      <c r="B1130" s="1070"/>
      <c r="C1130" s="297" t="s">
        <v>12</v>
      </c>
      <c r="D1130" s="266" t="s">
        <v>12</v>
      </c>
      <c r="E1130" s="297" t="s">
        <v>13</v>
      </c>
      <c r="F1130" s="277" t="s">
        <v>13</v>
      </c>
      <c r="G1130" s="277" t="s">
        <v>13</v>
      </c>
      <c r="H1130" s="277" t="s">
        <v>13</v>
      </c>
      <c r="I1130" s="277" t="s">
        <v>13</v>
      </c>
      <c r="J1130" s="266" t="s">
        <v>13</v>
      </c>
      <c r="K1130" s="297" t="s">
        <v>2</v>
      </c>
      <c r="L1130" s="277" t="s">
        <v>2</v>
      </c>
      <c r="M1130" s="286" t="s">
        <v>2</v>
      </c>
      <c r="N1130" s="277" t="s">
        <v>2</v>
      </c>
      <c r="O1130" s="266" t="s">
        <v>2</v>
      </c>
      <c r="P1130" s="328" t="s">
        <v>183</v>
      </c>
      <c r="Q1130" s="327" t="s">
        <v>183</v>
      </c>
      <c r="R1130" s="12"/>
      <c r="S1130" s="70"/>
      <c r="T1130" s="70"/>
      <c r="U1130" s="70"/>
      <c r="V1130" s="70"/>
      <c r="W1130" s="70"/>
      <c r="X1130" s="70"/>
      <c r="Y1130" s="70"/>
      <c r="Z1130" s="70"/>
      <c r="AA1130" s="1049" t="s">
        <v>1</v>
      </c>
      <c r="AB1130" s="1071"/>
      <c r="AC1130" s="297" t="s">
        <v>12</v>
      </c>
      <c r="AD1130" s="937"/>
      <c r="AE1130" s="937"/>
      <c r="AF1130" s="937"/>
      <c r="AG1130" s="937"/>
      <c r="AH1130" s="937"/>
      <c r="AI1130" s="937"/>
      <c r="AJ1130" s="277" t="s">
        <v>13</v>
      </c>
      <c r="AK1130" s="266" t="s">
        <v>2</v>
      </c>
      <c r="AN1130" s="743"/>
      <c r="AO1130" s="743"/>
    </row>
    <row r="1131" spans="1:41" s="267" customFormat="1" ht="15.75" thickBot="1" x14ac:dyDescent="0.3">
      <c r="A1131" s="1054" t="s">
        <v>0</v>
      </c>
      <c r="B1131" s="1072"/>
      <c r="C1131" s="298" t="s">
        <v>99</v>
      </c>
      <c r="D1131" s="291" t="s">
        <v>100</v>
      </c>
      <c r="E1131" s="298" t="s">
        <v>101</v>
      </c>
      <c r="F1131" s="306" t="s">
        <v>102</v>
      </c>
      <c r="G1131" s="306" t="s">
        <v>97</v>
      </c>
      <c r="H1131" s="306" t="s">
        <v>104</v>
      </c>
      <c r="I1131" s="306" t="s">
        <v>103</v>
      </c>
      <c r="J1131" s="314" t="s">
        <v>178</v>
      </c>
      <c r="K1131" s="298" t="s">
        <v>105</v>
      </c>
      <c r="L1131" s="306" t="s">
        <v>107</v>
      </c>
      <c r="M1131" s="312" t="s">
        <v>98</v>
      </c>
      <c r="N1131" s="313" t="s">
        <v>106</v>
      </c>
      <c r="O1131" s="291" t="s">
        <v>179</v>
      </c>
      <c r="P1131" s="317" t="s">
        <v>182</v>
      </c>
      <c r="Q1131" s="291" t="s">
        <v>184</v>
      </c>
      <c r="R1131" s="12"/>
      <c r="S1131" s="12"/>
      <c r="T1131" s="12"/>
      <c r="U1131" s="12"/>
      <c r="V1131" s="12"/>
      <c r="W1131" s="12"/>
      <c r="X1131" s="12"/>
      <c r="Y1131" s="12"/>
      <c r="Z1131" s="12"/>
      <c r="AA1131" s="1054" t="s">
        <v>0</v>
      </c>
      <c r="AB1131" s="1073"/>
      <c r="AC1131" s="298" t="s">
        <v>99</v>
      </c>
      <c r="AD1131" s="938"/>
      <c r="AE1131" s="938"/>
      <c r="AF1131" s="938"/>
      <c r="AG1131" s="938"/>
      <c r="AH1131" s="938"/>
      <c r="AI1131" s="938"/>
      <c r="AJ1131" s="306" t="s">
        <v>104</v>
      </c>
      <c r="AK1131" s="291" t="s">
        <v>107</v>
      </c>
      <c r="AN1131" s="743"/>
      <c r="AO1131" s="743"/>
    </row>
    <row r="1132" spans="1:41" s="267" customFormat="1" ht="15" customHeight="1" x14ac:dyDescent="0.25">
      <c r="A1132" s="1057" t="s">
        <v>9</v>
      </c>
      <c r="B1132" s="19" t="s">
        <v>4</v>
      </c>
      <c r="C1132" s="299">
        <v>143392.20000000001</v>
      </c>
      <c r="D1132" s="265">
        <v>150515.79999999999</v>
      </c>
      <c r="E1132" s="299">
        <v>150515.79999999999</v>
      </c>
      <c r="F1132" s="283">
        <v>181997.8</v>
      </c>
      <c r="G1132" s="283">
        <v>165452.5</v>
      </c>
      <c r="H1132" s="283">
        <v>132132</v>
      </c>
      <c r="I1132" s="283">
        <v>121331.8</v>
      </c>
      <c r="J1132" s="265">
        <v>166077.9</v>
      </c>
      <c r="K1132" s="299">
        <v>193027</v>
      </c>
      <c r="L1132" s="283">
        <v>132132.20000000001</v>
      </c>
      <c r="M1132" s="283">
        <v>82726.3</v>
      </c>
      <c r="N1132" s="283">
        <v>176482.7</v>
      </c>
      <c r="O1132" s="265">
        <v>83039</v>
      </c>
      <c r="P1132" s="318">
        <v>55151</v>
      </c>
      <c r="Q1132" s="265">
        <v>33090.5</v>
      </c>
      <c r="R1132" s="70"/>
      <c r="S1132" s="70"/>
      <c r="T1132" s="70"/>
      <c r="U1132" s="70"/>
      <c r="V1132" s="70"/>
      <c r="W1132" s="70"/>
      <c r="X1132" s="70"/>
      <c r="Y1132" s="70"/>
      <c r="Z1132" s="70"/>
      <c r="AA1132" s="1060" t="s">
        <v>194</v>
      </c>
      <c r="AB1132" s="2" t="s">
        <v>4</v>
      </c>
      <c r="AC1132" s="299">
        <v>143392.20000000001</v>
      </c>
      <c r="AD1132" s="552"/>
      <c r="AE1132" s="552"/>
      <c r="AF1132" s="552"/>
      <c r="AG1132" s="552"/>
      <c r="AH1132" s="552"/>
      <c r="AI1132" s="552"/>
      <c r="AJ1132" s="283">
        <v>132132</v>
      </c>
      <c r="AK1132" s="265">
        <v>132132.20000000001</v>
      </c>
      <c r="AN1132" s="743"/>
      <c r="AO1132" s="743"/>
    </row>
    <row r="1133" spans="1:41" s="267" customFormat="1" x14ac:dyDescent="0.25">
      <c r="A1133" s="1058"/>
      <c r="B1133" s="293" t="s">
        <v>5</v>
      </c>
      <c r="C1133" s="300">
        <v>47091.7</v>
      </c>
      <c r="D1133" s="264">
        <v>77528</v>
      </c>
      <c r="E1133" s="300">
        <v>78939.5</v>
      </c>
      <c r="F1133" s="307">
        <v>157573.5</v>
      </c>
      <c r="G1133" s="307">
        <v>88567.8</v>
      </c>
      <c r="H1133" s="307">
        <v>48811.1</v>
      </c>
      <c r="I1133" s="307">
        <v>70117.2</v>
      </c>
      <c r="J1133" s="264">
        <v>8851.7000000000007</v>
      </c>
      <c r="K1133" s="300">
        <v>155903.79999999999</v>
      </c>
      <c r="L1133" s="307">
        <v>61028</v>
      </c>
      <c r="M1133" s="307">
        <v>45944.9</v>
      </c>
      <c r="N1133" s="307">
        <v>136372</v>
      </c>
      <c r="O1133" s="264">
        <v>4518.8</v>
      </c>
      <c r="P1133" s="319">
        <v>4457.8</v>
      </c>
      <c r="Q1133" s="264">
        <v>2986.8</v>
      </c>
      <c r="R1133" s="70"/>
      <c r="S1133" s="70"/>
      <c r="T1133" s="70"/>
      <c r="U1133" s="70"/>
      <c r="V1133" s="70"/>
      <c r="W1133" s="70"/>
      <c r="X1133" s="70"/>
      <c r="Y1133" s="70"/>
      <c r="Z1133" s="70"/>
      <c r="AA1133" s="1061"/>
      <c r="AB1133" s="342" t="s">
        <v>5</v>
      </c>
      <c r="AC1133" s="300">
        <v>42041.3</v>
      </c>
      <c r="AD1133" s="631"/>
      <c r="AE1133" s="631"/>
      <c r="AF1133" s="631"/>
      <c r="AG1133" s="631"/>
      <c r="AH1133" s="631"/>
      <c r="AI1133" s="631"/>
      <c r="AJ1133" s="307">
        <v>46836.6</v>
      </c>
      <c r="AK1133" s="264">
        <v>54552.5</v>
      </c>
      <c r="AN1133" s="743"/>
      <c r="AO1133" s="743"/>
    </row>
    <row r="1134" spans="1:41" s="267" customFormat="1" ht="15.75" thickBot="1" x14ac:dyDescent="0.3">
      <c r="A1134" s="1059"/>
      <c r="B1134" s="294" t="s">
        <v>3</v>
      </c>
      <c r="C1134" s="305">
        <f t="shared" ref="C1134:Q1134" si="421">C1133/C1132</f>
        <v>0.32841186619634816</v>
      </c>
      <c r="D1134" s="343">
        <f t="shared" si="421"/>
        <v>0.51508213755632304</v>
      </c>
      <c r="E1134" s="305">
        <f t="shared" si="421"/>
        <v>0.52445989058955944</v>
      </c>
      <c r="F1134" s="278">
        <f t="shared" si="421"/>
        <v>0.86579892723977991</v>
      </c>
      <c r="G1134" s="278">
        <f t="shared" si="421"/>
        <v>0.53530650791012524</v>
      </c>
      <c r="H1134" s="278">
        <f t="shared" si="421"/>
        <v>0.36941164895710349</v>
      </c>
      <c r="I1134" s="278">
        <f t="shared" si="421"/>
        <v>0.57789631407429876</v>
      </c>
      <c r="J1134" s="292">
        <f t="shared" si="421"/>
        <v>5.3298482218284315E-2</v>
      </c>
      <c r="K1134" s="305">
        <f t="shared" si="421"/>
        <v>0.80767871852124307</v>
      </c>
      <c r="L1134" s="278">
        <f t="shared" si="421"/>
        <v>0.46187076276638089</v>
      </c>
      <c r="M1134" s="315">
        <f t="shared" si="421"/>
        <v>0.55538444243245499</v>
      </c>
      <c r="N1134" s="278">
        <f t="shared" si="421"/>
        <v>0.77272163220530954</v>
      </c>
      <c r="O1134" s="292">
        <f t="shared" si="421"/>
        <v>5.4417803682606972E-2</v>
      </c>
      <c r="P1134" s="320">
        <f t="shared" si="421"/>
        <v>8.0828996754365293E-2</v>
      </c>
      <c r="Q1134" s="292">
        <f t="shared" si="421"/>
        <v>9.0261555431317156E-2</v>
      </c>
      <c r="R1134" s="70"/>
      <c r="S1134" s="70"/>
      <c r="T1134" s="70"/>
      <c r="U1134" s="70"/>
      <c r="V1134" s="70"/>
      <c r="W1134" s="70"/>
      <c r="X1134" s="70"/>
      <c r="Y1134" s="70"/>
      <c r="Z1134" s="70"/>
      <c r="AA1134" s="1061"/>
      <c r="AB1134" s="347" t="s">
        <v>3</v>
      </c>
      <c r="AC1134" s="301">
        <f>AC1133/AC1132</f>
        <v>0.29319098249416636</v>
      </c>
      <c r="AD1134" s="939"/>
      <c r="AE1134" s="939"/>
      <c r="AF1134" s="939"/>
      <c r="AG1134" s="939"/>
      <c r="AH1134" s="939"/>
      <c r="AI1134" s="939"/>
      <c r="AJ1134" s="278">
        <f>AJ1133/AJ1132</f>
        <v>0.35446825901371354</v>
      </c>
      <c r="AK1134" s="292">
        <f>AK1133/AK1132</f>
        <v>0.41286302657489993</v>
      </c>
      <c r="AN1134" s="743"/>
      <c r="AO1134" s="743"/>
    </row>
    <row r="1135" spans="1:41" s="267" customFormat="1" ht="15" customHeight="1" x14ac:dyDescent="0.25">
      <c r="A1135" s="1060" t="s">
        <v>6</v>
      </c>
      <c r="B1135" s="19" t="s">
        <v>7</v>
      </c>
      <c r="C1135" s="297">
        <v>5870</v>
      </c>
      <c r="D1135" s="266">
        <v>3333</v>
      </c>
      <c r="E1135" s="297">
        <v>3330</v>
      </c>
      <c r="F1135" s="277">
        <v>9457</v>
      </c>
      <c r="G1135" s="277">
        <v>7853</v>
      </c>
      <c r="H1135" s="277">
        <v>15543</v>
      </c>
      <c r="I1135" s="277">
        <v>7386</v>
      </c>
      <c r="J1135" s="266">
        <v>9599</v>
      </c>
      <c r="K1135" s="297">
        <v>9289</v>
      </c>
      <c r="L1135" s="277">
        <v>12263</v>
      </c>
      <c r="M1135" s="277">
        <v>4133</v>
      </c>
      <c r="N1135" s="277">
        <v>9900</v>
      </c>
      <c r="O1135" s="266">
        <v>4799</v>
      </c>
      <c r="P1135" s="321">
        <v>2000</v>
      </c>
      <c r="Q1135" s="266">
        <v>1250</v>
      </c>
      <c r="R1135" s="70"/>
      <c r="S1135" s="70"/>
      <c r="T1135" s="70"/>
      <c r="U1135" s="70"/>
      <c r="V1135" s="70"/>
      <c r="W1135" s="70"/>
      <c r="X1135" s="70"/>
      <c r="Y1135" s="70"/>
      <c r="Z1135" s="70"/>
      <c r="AA1135" s="1074" t="s">
        <v>190</v>
      </c>
      <c r="AB1135" s="19" t="s">
        <v>4</v>
      </c>
      <c r="AC1135" s="299">
        <v>9191.7999999999993</v>
      </c>
      <c r="AD1135" s="552"/>
      <c r="AE1135" s="552"/>
      <c r="AF1135" s="552"/>
      <c r="AG1135" s="552"/>
      <c r="AH1135" s="552"/>
      <c r="AI1135" s="552"/>
      <c r="AJ1135" s="283">
        <v>13787.7</v>
      </c>
      <c r="AK1135" s="265">
        <v>13787.7</v>
      </c>
      <c r="AN1135" s="743"/>
      <c r="AO1135" s="743"/>
    </row>
    <row r="1136" spans="1:41" s="267" customFormat="1" x14ac:dyDescent="0.25">
      <c r="A1136" s="1061"/>
      <c r="B1136" s="295" t="s">
        <v>11</v>
      </c>
      <c r="C1136" s="302">
        <f t="shared" ref="C1136:Q1136" si="422">C1135*33.717</f>
        <v>197918.78999999998</v>
      </c>
      <c r="D1136" s="263">
        <f t="shared" si="422"/>
        <v>112378.761</v>
      </c>
      <c r="E1136" s="302">
        <f t="shared" si="422"/>
        <v>112277.61</v>
      </c>
      <c r="F1136" s="355">
        <f t="shared" si="422"/>
        <v>318861.66899999999</v>
      </c>
      <c r="G1136" s="308">
        <f t="shared" si="422"/>
        <v>264779.60099999997</v>
      </c>
      <c r="H1136" s="354">
        <f t="shared" si="422"/>
        <v>524063.33100000001</v>
      </c>
      <c r="I1136" s="354">
        <f t="shared" si="422"/>
        <v>249033.76199999999</v>
      </c>
      <c r="J1136" s="354">
        <f t="shared" si="422"/>
        <v>323649.48300000001</v>
      </c>
      <c r="K1136" s="322">
        <f t="shared" si="422"/>
        <v>313197.21299999999</v>
      </c>
      <c r="L1136" s="308">
        <f t="shared" si="422"/>
        <v>413471.571</v>
      </c>
      <c r="M1136" s="308">
        <f t="shared" si="422"/>
        <v>139352.361</v>
      </c>
      <c r="N1136" s="354">
        <f t="shared" si="422"/>
        <v>333798.3</v>
      </c>
      <c r="O1136" s="354">
        <f t="shared" si="422"/>
        <v>161807.883</v>
      </c>
      <c r="P1136" s="302">
        <f t="shared" si="422"/>
        <v>67434</v>
      </c>
      <c r="Q1136" s="354">
        <f t="shared" si="422"/>
        <v>42146.25</v>
      </c>
      <c r="R1136" s="70"/>
      <c r="S1136" s="70"/>
      <c r="T1136" s="70"/>
      <c r="U1136" s="70"/>
      <c r="V1136" s="70"/>
      <c r="W1136" s="70"/>
      <c r="X1136" s="70"/>
      <c r="Y1136" s="70"/>
      <c r="Z1136" s="70"/>
      <c r="AA1136" s="1075"/>
      <c r="AB1136" s="293" t="s">
        <v>5</v>
      </c>
      <c r="AC1136" s="300">
        <v>8882</v>
      </c>
      <c r="AD1136" s="631"/>
      <c r="AE1136" s="631"/>
      <c r="AF1136" s="631"/>
      <c r="AG1136" s="631"/>
      <c r="AH1136" s="631"/>
      <c r="AI1136" s="631"/>
      <c r="AJ1136" s="307">
        <v>13644.7</v>
      </c>
      <c r="AK1136" s="264">
        <v>13649.8</v>
      </c>
      <c r="AN1136" s="743"/>
      <c r="AO1136" s="743"/>
    </row>
    <row r="1137" spans="1:41" s="267" customFormat="1" ht="15.75" thickBot="1" x14ac:dyDescent="0.3">
      <c r="A1137" s="1061"/>
      <c r="B1137" s="295" t="s">
        <v>79</v>
      </c>
      <c r="C1137" s="302">
        <v>164000</v>
      </c>
      <c r="D1137" s="263">
        <v>109880</v>
      </c>
      <c r="E1137" s="302">
        <v>109880</v>
      </c>
      <c r="F1137" s="308">
        <v>328000</v>
      </c>
      <c r="G1137" s="308">
        <v>330905</v>
      </c>
      <c r="H1137" s="308">
        <v>264264</v>
      </c>
      <c r="I1137" s="308">
        <v>242663.6</v>
      </c>
      <c r="J1137" s="263">
        <v>328000</v>
      </c>
      <c r="K1137" s="302">
        <v>328000</v>
      </c>
      <c r="L1137" s="308">
        <v>264264.40000000002</v>
      </c>
      <c r="M1137" s="308">
        <v>328000</v>
      </c>
      <c r="N1137" s="308">
        <v>352965.4</v>
      </c>
      <c r="O1137" s="263">
        <v>328000</v>
      </c>
      <c r="P1137" s="322">
        <f>2*P1132</f>
        <v>110302</v>
      </c>
      <c r="Q1137" s="263">
        <f>2*Q1132</f>
        <v>66181</v>
      </c>
      <c r="R1137" s="70"/>
      <c r="S1137" s="70"/>
      <c r="T1137" s="70"/>
      <c r="U1137" s="70"/>
      <c r="V1137" s="70"/>
      <c r="W1137" s="70"/>
      <c r="X1137" s="70"/>
      <c r="Y1137" s="70"/>
      <c r="Z1137" s="70"/>
      <c r="AA1137" s="1076"/>
      <c r="AB1137" s="344" t="s">
        <v>3</v>
      </c>
      <c r="AC1137" s="301">
        <f>AC1136/AC1135</f>
        <v>0.96629604647620715</v>
      </c>
      <c r="AD1137" s="939"/>
      <c r="AE1137" s="939"/>
      <c r="AF1137" s="939"/>
      <c r="AG1137" s="939"/>
      <c r="AH1137" s="939"/>
      <c r="AI1137" s="939"/>
      <c r="AJ1137" s="249">
        <f>AJ1136/AJ1135</f>
        <v>0.98962843694017133</v>
      </c>
      <c r="AK1137" s="348">
        <f>AK1136/AK1135</f>
        <v>0.98999833184650077</v>
      </c>
      <c r="AN1137" s="743"/>
      <c r="AO1137" s="743"/>
    </row>
    <row r="1138" spans="1:41" s="267" customFormat="1" x14ac:dyDescent="0.25">
      <c r="A1138" s="1061"/>
      <c r="B1138" s="293" t="s">
        <v>8</v>
      </c>
      <c r="C1138" s="303">
        <f>SUM(C1135-168)</f>
        <v>5702</v>
      </c>
      <c r="D1138" s="262">
        <f>SUM(D1135-686)</f>
        <v>2647</v>
      </c>
      <c r="E1138" s="303">
        <f>SUM(E1135-652)</f>
        <v>2678</v>
      </c>
      <c r="F1138" s="309">
        <f>SUM(F1135-1211)</f>
        <v>8246</v>
      </c>
      <c r="G1138" s="309">
        <f>SUM(G1135-4200)</f>
        <v>3653</v>
      </c>
      <c r="H1138" s="309">
        <f>SUM(H1135-2129)</f>
        <v>13414</v>
      </c>
      <c r="I1138" s="309">
        <f>SUM(I1135-(3578-2000))</f>
        <v>5808</v>
      </c>
      <c r="J1138" s="262">
        <f>SUM(J1135-9313)</f>
        <v>286</v>
      </c>
      <c r="K1138" s="303">
        <f>SUM(K1135-887)</f>
        <v>8402</v>
      </c>
      <c r="L1138" s="309">
        <f>SUM(L1135-1721)</f>
        <v>10542</v>
      </c>
      <c r="M1138" s="316">
        <f>SUM(M1135-321)</f>
        <v>3812</v>
      </c>
      <c r="N1138" s="309">
        <f>SUM(N1135-(5408-2614))</f>
        <v>7106</v>
      </c>
      <c r="O1138" s="262">
        <f>SUM(O1135-4074)</f>
        <v>725</v>
      </c>
      <c r="P1138" s="323">
        <f>SUM(P1135-1261)</f>
        <v>739</v>
      </c>
      <c r="Q1138" s="262">
        <f>SUM(Q1135-869)</f>
        <v>381</v>
      </c>
      <c r="R1138" s="12" t="s">
        <v>176</v>
      </c>
      <c r="S1138" s="70"/>
      <c r="T1138" s="70"/>
      <c r="U1138" s="70"/>
      <c r="V1138" s="70"/>
      <c r="W1138" s="70"/>
      <c r="X1138" s="70"/>
      <c r="Y1138" s="70"/>
      <c r="Z1138" s="70"/>
      <c r="AA1138" s="1074" t="s">
        <v>191</v>
      </c>
      <c r="AB1138" s="19" t="s">
        <v>4</v>
      </c>
      <c r="AC1138" s="299">
        <v>97433.600000000006</v>
      </c>
      <c r="AD1138" s="552"/>
      <c r="AE1138" s="552"/>
      <c r="AF1138" s="552"/>
      <c r="AG1138" s="552"/>
      <c r="AH1138" s="552"/>
      <c r="AI1138" s="552"/>
      <c r="AJ1138" s="283">
        <v>243584.4</v>
      </c>
      <c r="AK1138" s="265">
        <v>292299.3</v>
      </c>
      <c r="AN1138" s="743"/>
      <c r="AO1138" s="743"/>
    </row>
    <row r="1139" spans="1:41" s="267" customFormat="1" x14ac:dyDescent="0.25">
      <c r="A1139" s="1061"/>
      <c r="B1139" s="296" t="s">
        <v>77</v>
      </c>
      <c r="C1139" s="302">
        <f>(C1138*33.717)</f>
        <v>192254.334</v>
      </c>
      <c r="D1139" s="338">
        <f>(D1138*33.717)</f>
        <v>89248.89899999999</v>
      </c>
      <c r="E1139" s="302">
        <f>(E1138*33.717)</f>
        <v>90294.126000000004</v>
      </c>
      <c r="F1139" s="338">
        <f>(F1138*33.717)</f>
        <v>278030.38199999998</v>
      </c>
      <c r="G1139" s="280">
        <f>(G1138*33.717)*2</f>
        <v>246336.402</v>
      </c>
      <c r="H1139" s="280">
        <f>(H1138*33.717)</f>
        <v>452279.83799999999</v>
      </c>
      <c r="I1139" s="280">
        <f>(I1138*33.717)-(2000*33.717)</f>
        <v>128394.33599999998</v>
      </c>
      <c r="J1139" s="261">
        <f>J1138*33.717</f>
        <v>9643.0619999999999</v>
      </c>
      <c r="K1139" s="304">
        <f>K1138*33.717</f>
        <v>283290.234</v>
      </c>
      <c r="L1139" s="280">
        <f>L1138*33.717</f>
        <v>355444.614</v>
      </c>
      <c r="M1139" s="280">
        <f>(M1138*33.717)</f>
        <v>128529.204</v>
      </c>
      <c r="N1139" s="280">
        <f>N1138*33.717</f>
        <v>239593.00199999998</v>
      </c>
      <c r="O1139" s="261">
        <f>O1138*33.717</f>
        <v>24444.825000000001</v>
      </c>
      <c r="P1139" s="324">
        <f>P1138*33.717</f>
        <v>24916.862999999998</v>
      </c>
      <c r="Q1139" s="325">
        <f>Q1138*33.717</f>
        <v>12846.177</v>
      </c>
      <c r="R1139" s="63">
        <f>344240-H1139</f>
        <v>-108039.83799999999</v>
      </c>
      <c r="S1139" s="70" t="s">
        <v>177</v>
      </c>
      <c r="T1139" s="70"/>
      <c r="U1139" s="70"/>
      <c r="V1139" s="70"/>
      <c r="W1139" s="70"/>
      <c r="X1139" s="70"/>
      <c r="Y1139" s="70"/>
      <c r="Z1139" s="70"/>
      <c r="AA1139" s="1075"/>
      <c r="AB1139" s="293" t="s">
        <v>5</v>
      </c>
      <c r="AC1139" s="300">
        <v>64490.9</v>
      </c>
      <c r="AD1139" s="631"/>
      <c r="AE1139" s="631"/>
      <c r="AF1139" s="631"/>
      <c r="AG1139" s="631"/>
      <c r="AH1139" s="631"/>
      <c r="AI1139" s="631"/>
      <c r="AJ1139" s="307">
        <v>79989.3</v>
      </c>
      <c r="AK1139" s="264">
        <v>62980.6</v>
      </c>
      <c r="AN1139" s="743"/>
      <c r="AO1139" s="743"/>
    </row>
    <row r="1140" spans="1:41" s="267" customFormat="1" ht="15.75" thickBot="1" x14ac:dyDescent="0.3">
      <c r="A1140" s="1062"/>
      <c r="B1140" s="294" t="s">
        <v>10</v>
      </c>
      <c r="C1140" s="305">
        <f t="shared" ref="C1140:Q1140" si="423">C1139/C1132</f>
        <v>1.3407586605129149</v>
      </c>
      <c r="D1140" s="292">
        <f t="shared" si="423"/>
        <v>0.59295368991162389</v>
      </c>
      <c r="E1140" s="310">
        <f t="shared" si="423"/>
        <v>0.59989799077571926</v>
      </c>
      <c r="F1140" s="282">
        <f t="shared" si="423"/>
        <v>1.5276579277331923</v>
      </c>
      <c r="G1140" s="282">
        <f t="shared" si="423"/>
        <v>1.4888647920097913</v>
      </c>
      <c r="H1140" s="282">
        <f t="shared" si="423"/>
        <v>3.4229394696212876</v>
      </c>
      <c r="I1140" s="282">
        <f t="shared" si="423"/>
        <v>1.0582084498870039</v>
      </c>
      <c r="J1140" s="311">
        <f t="shared" si="423"/>
        <v>5.8063487074439167E-2</v>
      </c>
      <c r="K1140" s="310">
        <f t="shared" si="423"/>
        <v>1.4676197319545969</v>
      </c>
      <c r="L1140" s="282">
        <f t="shared" si="423"/>
        <v>2.6900680833286659</v>
      </c>
      <c r="M1140" s="282">
        <f t="shared" si="423"/>
        <v>1.5536679870851229</v>
      </c>
      <c r="N1140" s="260">
        <f t="shared" si="423"/>
        <v>1.357600501352257</v>
      </c>
      <c r="O1140" s="311">
        <f t="shared" si="423"/>
        <v>0.29437764183094689</v>
      </c>
      <c r="P1140" s="305">
        <f t="shared" si="423"/>
        <v>0.45179349422494602</v>
      </c>
      <c r="Q1140" s="292">
        <f t="shared" si="423"/>
        <v>0.38821344494643478</v>
      </c>
      <c r="R1140" s="126"/>
      <c r="S1140" s="70"/>
      <c r="T1140" s="70"/>
      <c r="U1140" s="70"/>
      <c r="V1140" s="70"/>
      <c r="W1140" s="70"/>
      <c r="X1140" s="70"/>
      <c r="Y1140" s="70"/>
      <c r="Z1140" s="70"/>
      <c r="AA1140" s="1077"/>
      <c r="AB1140" s="294" t="s">
        <v>3</v>
      </c>
      <c r="AC1140" s="305">
        <f>AC1139/AC1138</f>
        <v>0.66189589628218604</v>
      </c>
      <c r="AD1140" s="636"/>
      <c r="AE1140" s="636"/>
      <c r="AF1140" s="636"/>
      <c r="AG1140" s="636"/>
      <c r="AH1140" s="636"/>
      <c r="AI1140" s="636"/>
      <c r="AJ1140" s="278">
        <f>AJ1139/AJ1138</f>
        <v>0.32838433003098721</v>
      </c>
      <c r="AK1140" s="343">
        <f>AK1139/AK1138</f>
        <v>0.21546613351451749</v>
      </c>
      <c r="AN1140" s="743"/>
      <c r="AO1140" s="743"/>
    </row>
    <row r="1141" spans="1:41" s="267" customFormat="1" ht="15.75" thickBot="1" x14ac:dyDescent="0.3">
      <c r="A1141" s="1048">
        <v>41355</v>
      </c>
      <c r="B1141" s="1048"/>
      <c r="C1141" s="1048"/>
      <c r="D1141" s="276"/>
      <c r="E1141" s="276"/>
      <c r="F1141" s="276"/>
      <c r="G1141" s="276"/>
      <c r="H1141" s="276"/>
      <c r="I1141" s="11"/>
      <c r="J1141" s="281"/>
      <c r="K1141" s="281"/>
      <c r="L1141" s="276"/>
      <c r="M1141" s="276"/>
      <c r="N1141" s="13"/>
      <c r="R1141" s="12"/>
      <c r="S1141" s="70"/>
      <c r="T1141" s="70"/>
      <c r="U1141" s="70"/>
      <c r="V1141" s="70"/>
      <c r="W1141" s="70"/>
      <c r="X1141" s="70"/>
      <c r="Y1141" s="70"/>
      <c r="Z1141" s="70"/>
      <c r="AA1141" s="1068"/>
      <c r="AB1141" s="1069"/>
      <c r="AD1141" s="743"/>
      <c r="AE1141" s="743"/>
      <c r="AF1141" s="743"/>
      <c r="AG1141" s="743"/>
      <c r="AH1141" s="743"/>
      <c r="AI1141" s="743"/>
      <c r="AN1141" s="743"/>
      <c r="AO1141" s="743"/>
    </row>
    <row r="1142" spans="1:41" s="267" customFormat="1" x14ac:dyDescent="0.25">
      <c r="A1142" s="1049" t="s">
        <v>1</v>
      </c>
      <c r="B1142" s="1070"/>
      <c r="C1142" s="297" t="s">
        <v>12</v>
      </c>
      <c r="D1142" s="266" t="s">
        <v>12</v>
      </c>
      <c r="E1142" s="297" t="s">
        <v>13</v>
      </c>
      <c r="F1142" s="277" t="s">
        <v>13</v>
      </c>
      <c r="G1142" s="277" t="s">
        <v>13</v>
      </c>
      <c r="H1142" s="277" t="s">
        <v>13</v>
      </c>
      <c r="I1142" s="277" t="s">
        <v>13</v>
      </c>
      <c r="J1142" s="266" t="s">
        <v>13</v>
      </c>
      <c r="K1142" s="297" t="s">
        <v>2</v>
      </c>
      <c r="L1142" s="277" t="s">
        <v>2</v>
      </c>
      <c r="M1142" s="286" t="s">
        <v>2</v>
      </c>
      <c r="N1142" s="277" t="s">
        <v>2</v>
      </c>
      <c r="O1142" s="266" t="s">
        <v>2</v>
      </c>
      <c r="P1142" s="328" t="s">
        <v>183</v>
      </c>
      <c r="Q1142" s="327" t="s">
        <v>183</v>
      </c>
      <c r="R1142" s="12"/>
      <c r="S1142" s="70"/>
      <c r="T1142" s="70"/>
      <c r="U1142" s="70"/>
      <c r="V1142" s="70"/>
      <c r="W1142" s="70"/>
      <c r="X1142" s="70"/>
      <c r="Y1142" s="70"/>
      <c r="Z1142" s="70"/>
      <c r="AA1142" s="1049" t="s">
        <v>1</v>
      </c>
      <c r="AB1142" s="1071"/>
      <c r="AC1142" s="297" t="s">
        <v>12</v>
      </c>
      <c r="AD1142" s="937"/>
      <c r="AE1142" s="937"/>
      <c r="AF1142" s="937"/>
      <c r="AG1142" s="937"/>
      <c r="AH1142" s="937"/>
      <c r="AI1142" s="937"/>
      <c r="AJ1142" s="277" t="s">
        <v>13</v>
      </c>
      <c r="AK1142" s="266" t="s">
        <v>2</v>
      </c>
      <c r="AN1142" s="743"/>
      <c r="AO1142" s="743"/>
    </row>
    <row r="1143" spans="1:41" s="267" customFormat="1" ht="15.75" thickBot="1" x14ac:dyDescent="0.3">
      <c r="A1143" s="1054" t="s">
        <v>0</v>
      </c>
      <c r="B1143" s="1072"/>
      <c r="C1143" s="298" t="s">
        <v>99</v>
      </c>
      <c r="D1143" s="291" t="s">
        <v>100</v>
      </c>
      <c r="E1143" s="298" t="s">
        <v>101</v>
      </c>
      <c r="F1143" s="306" t="s">
        <v>102</v>
      </c>
      <c r="G1143" s="306" t="s">
        <v>97</v>
      </c>
      <c r="H1143" s="306" t="s">
        <v>104</v>
      </c>
      <c r="I1143" s="306" t="s">
        <v>103</v>
      </c>
      <c r="J1143" s="314" t="s">
        <v>178</v>
      </c>
      <c r="K1143" s="298" t="s">
        <v>105</v>
      </c>
      <c r="L1143" s="306" t="s">
        <v>107</v>
      </c>
      <c r="M1143" s="312" t="s">
        <v>98</v>
      </c>
      <c r="N1143" s="313" t="s">
        <v>106</v>
      </c>
      <c r="O1143" s="291" t="s">
        <v>179</v>
      </c>
      <c r="P1143" s="317" t="s">
        <v>182</v>
      </c>
      <c r="Q1143" s="291" t="s">
        <v>184</v>
      </c>
      <c r="R1143" s="12"/>
      <c r="S1143" s="12"/>
      <c r="T1143" s="12"/>
      <c r="U1143" s="12"/>
      <c r="V1143" s="12"/>
      <c r="W1143" s="12"/>
      <c r="X1143" s="12"/>
      <c r="Y1143" s="12"/>
      <c r="Z1143" s="12"/>
      <c r="AA1143" s="1054" t="s">
        <v>0</v>
      </c>
      <c r="AB1143" s="1073"/>
      <c r="AC1143" s="298" t="s">
        <v>99</v>
      </c>
      <c r="AD1143" s="938"/>
      <c r="AE1143" s="938"/>
      <c r="AF1143" s="938"/>
      <c r="AG1143" s="938"/>
      <c r="AH1143" s="938"/>
      <c r="AI1143" s="938"/>
      <c r="AJ1143" s="306" t="s">
        <v>104</v>
      </c>
      <c r="AK1143" s="291" t="s">
        <v>107</v>
      </c>
      <c r="AN1143" s="743"/>
      <c r="AO1143" s="743"/>
    </row>
    <row r="1144" spans="1:41" s="267" customFormat="1" ht="15" customHeight="1" x14ac:dyDescent="0.25">
      <c r="A1144" s="1057" t="s">
        <v>9</v>
      </c>
      <c r="B1144" s="19" t="s">
        <v>4</v>
      </c>
      <c r="C1144" s="299">
        <v>143392.20000000001</v>
      </c>
      <c r="D1144" s="265">
        <v>150515.79999999999</v>
      </c>
      <c r="E1144" s="299">
        <v>150515.79999999999</v>
      </c>
      <c r="F1144" s="283">
        <v>181997.8</v>
      </c>
      <c r="G1144" s="283">
        <v>165452.5</v>
      </c>
      <c r="H1144" s="283">
        <v>132132</v>
      </c>
      <c r="I1144" s="283">
        <v>121331.8</v>
      </c>
      <c r="J1144" s="265">
        <v>166077.9</v>
      </c>
      <c r="K1144" s="299">
        <v>193027</v>
      </c>
      <c r="L1144" s="283">
        <v>132132.20000000001</v>
      </c>
      <c r="M1144" s="283">
        <v>82726.3</v>
      </c>
      <c r="N1144" s="283">
        <v>176482.7</v>
      </c>
      <c r="O1144" s="265">
        <v>83039</v>
      </c>
      <c r="P1144" s="318">
        <v>55151</v>
      </c>
      <c r="Q1144" s="265">
        <v>33090.5</v>
      </c>
      <c r="R1144" s="70"/>
      <c r="S1144" s="70"/>
      <c r="T1144" s="70"/>
      <c r="U1144" s="70"/>
      <c r="V1144" s="70"/>
      <c r="W1144" s="70"/>
      <c r="X1144" s="70"/>
      <c r="Y1144" s="70"/>
      <c r="Z1144" s="70"/>
      <c r="AA1144" s="1060" t="s">
        <v>194</v>
      </c>
      <c r="AB1144" s="2" t="s">
        <v>4</v>
      </c>
      <c r="AC1144" s="299">
        <v>143392.20000000001</v>
      </c>
      <c r="AD1144" s="552"/>
      <c r="AE1144" s="552"/>
      <c r="AF1144" s="552"/>
      <c r="AG1144" s="552"/>
      <c r="AH1144" s="552"/>
      <c r="AI1144" s="552"/>
      <c r="AJ1144" s="283">
        <v>132132</v>
      </c>
      <c r="AK1144" s="265">
        <v>132132.20000000001</v>
      </c>
      <c r="AN1144" s="743"/>
      <c r="AO1144" s="743"/>
    </row>
    <row r="1145" spans="1:41" s="267" customFormat="1" x14ac:dyDescent="0.25">
      <c r="A1145" s="1058"/>
      <c r="B1145" s="293" t="s">
        <v>5</v>
      </c>
      <c r="C1145" s="300">
        <v>38702.5</v>
      </c>
      <c r="D1145" s="264">
        <v>77448.399999999994</v>
      </c>
      <c r="E1145" s="300">
        <v>78860.2</v>
      </c>
      <c r="F1145" s="307">
        <v>157453.1</v>
      </c>
      <c r="G1145" s="307">
        <v>88188.3</v>
      </c>
      <c r="H1145" s="307">
        <v>45786.400000000001</v>
      </c>
      <c r="I1145" s="307">
        <v>68097.3</v>
      </c>
      <c r="J1145" s="264">
        <v>8107.9</v>
      </c>
      <c r="K1145" s="300">
        <v>155764.9</v>
      </c>
      <c r="L1145" s="307">
        <v>56205.7</v>
      </c>
      <c r="M1145" s="307">
        <v>45754.2</v>
      </c>
      <c r="N1145" s="307">
        <v>132376.79999999999</v>
      </c>
      <c r="O1145" s="264">
        <v>4146.8999999999996</v>
      </c>
      <c r="P1145" s="319">
        <v>4404.6000000000004</v>
      </c>
      <c r="Q1145" s="264">
        <v>2379.1999999999998</v>
      </c>
      <c r="R1145" s="70"/>
      <c r="S1145" s="70"/>
      <c r="T1145" s="70"/>
      <c r="U1145" s="70"/>
      <c r="V1145" s="70"/>
      <c r="W1145" s="70"/>
      <c r="X1145" s="70"/>
      <c r="Y1145" s="70"/>
      <c r="Z1145" s="70"/>
      <c r="AA1145" s="1061"/>
      <c r="AB1145" s="342" t="s">
        <v>5</v>
      </c>
      <c r="AC1145" s="300">
        <v>42041.3</v>
      </c>
      <c r="AD1145" s="631"/>
      <c r="AE1145" s="631"/>
      <c r="AF1145" s="631"/>
      <c r="AG1145" s="631"/>
      <c r="AH1145" s="631"/>
      <c r="AI1145" s="631"/>
      <c r="AJ1145" s="307">
        <v>46836.6</v>
      </c>
      <c r="AK1145" s="264">
        <v>54552.5</v>
      </c>
      <c r="AN1145" s="743"/>
      <c r="AO1145" s="743"/>
    </row>
    <row r="1146" spans="1:41" s="267" customFormat="1" ht="15.75" thickBot="1" x14ac:dyDescent="0.3">
      <c r="A1146" s="1059"/>
      <c r="B1146" s="294" t="s">
        <v>3</v>
      </c>
      <c r="C1146" s="301">
        <f t="shared" ref="C1146:Q1146" si="424">C1145/C1144</f>
        <v>0.26990659185088167</v>
      </c>
      <c r="D1146" s="292">
        <f t="shared" si="424"/>
        <v>0.51455328942210721</v>
      </c>
      <c r="E1146" s="305">
        <f t="shared" si="424"/>
        <v>0.52393303560157811</v>
      </c>
      <c r="F1146" s="278">
        <f t="shared" si="424"/>
        <v>0.86513738078152602</v>
      </c>
      <c r="G1146" s="278">
        <f t="shared" si="424"/>
        <v>0.53301279823514303</v>
      </c>
      <c r="H1146" s="278">
        <f t="shared" si="424"/>
        <v>0.34652014652014651</v>
      </c>
      <c r="I1146" s="278">
        <f t="shared" si="424"/>
        <v>0.56124857621827096</v>
      </c>
      <c r="J1146" s="292">
        <f t="shared" si="424"/>
        <v>4.8819861041113841E-2</v>
      </c>
      <c r="K1146" s="305">
        <f t="shared" si="424"/>
        <v>0.80695913006988662</v>
      </c>
      <c r="L1146" s="278">
        <f t="shared" si="424"/>
        <v>0.42537473833024797</v>
      </c>
      <c r="M1146" s="315">
        <f t="shared" si="424"/>
        <v>0.5530792504922859</v>
      </c>
      <c r="N1146" s="278">
        <f t="shared" si="424"/>
        <v>0.75008371925406836</v>
      </c>
      <c r="O1146" s="292">
        <f t="shared" si="424"/>
        <v>4.9939185202133932E-2</v>
      </c>
      <c r="P1146" s="320">
        <f t="shared" si="424"/>
        <v>7.986437235952204E-2</v>
      </c>
      <c r="Q1146" s="292">
        <f t="shared" si="424"/>
        <v>7.1899789969930947E-2</v>
      </c>
      <c r="R1146" s="70"/>
      <c r="S1146" s="70"/>
      <c r="T1146" s="70"/>
      <c r="U1146" s="70"/>
      <c r="V1146" s="70"/>
      <c r="W1146" s="70"/>
      <c r="X1146" s="70"/>
      <c r="Y1146" s="70"/>
      <c r="Z1146" s="70"/>
      <c r="AA1146" s="1061"/>
      <c r="AB1146" s="347" t="s">
        <v>3</v>
      </c>
      <c r="AC1146" s="301">
        <f>AC1145/AC1144</f>
        <v>0.29319098249416636</v>
      </c>
      <c r="AD1146" s="939"/>
      <c r="AE1146" s="939"/>
      <c r="AF1146" s="939"/>
      <c r="AG1146" s="939"/>
      <c r="AH1146" s="939"/>
      <c r="AI1146" s="939"/>
      <c r="AJ1146" s="278">
        <f>AJ1145/AJ1144</f>
        <v>0.35446825901371354</v>
      </c>
      <c r="AK1146" s="292">
        <f>AK1145/AK1144</f>
        <v>0.41286302657489993</v>
      </c>
      <c r="AN1146" s="743"/>
      <c r="AO1146" s="743"/>
    </row>
    <row r="1147" spans="1:41" s="267" customFormat="1" ht="15" customHeight="1" x14ac:dyDescent="0.25">
      <c r="A1147" s="1060" t="s">
        <v>6</v>
      </c>
      <c r="B1147" s="19" t="s">
        <v>7</v>
      </c>
      <c r="C1147" s="297">
        <v>5870</v>
      </c>
      <c r="D1147" s="266">
        <v>3333</v>
      </c>
      <c r="E1147" s="297">
        <v>3330</v>
      </c>
      <c r="F1147" s="277">
        <v>9457</v>
      </c>
      <c r="G1147" s="277">
        <v>7853</v>
      </c>
      <c r="H1147" s="277">
        <v>15543</v>
      </c>
      <c r="I1147" s="277">
        <v>7386</v>
      </c>
      <c r="J1147" s="266">
        <v>9599</v>
      </c>
      <c r="K1147" s="297">
        <v>9289</v>
      </c>
      <c r="L1147" s="277">
        <v>12263</v>
      </c>
      <c r="M1147" s="277">
        <v>4133</v>
      </c>
      <c r="N1147" s="277">
        <v>9900</v>
      </c>
      <c r="O1147" s="266">
        <v>4799</v>
      </c>
      <c r="P1147" s="321">
        <v>2000</v>
      </c>
      <c r="Q1147" s="266">
        <v>1250</v>
      </c>
      <c r="R1147" s="70"/>
      <c r="S1147" s="70"/>
      <c r="T1147" s="70"/>
      <c r="U1147" s="70"/>
      <c r="V1147" s="70"/>
      <c r="W1147" s="70"/>
      <c r="X1147" s="70"/>
      <c r="Y1147" s="70"/>
      <c r="Z1147" s="70"/>
      <c r="AA1147" s="1074" t="s">
        <v>190</v>
      </c>
      <c r="AB1147" s="19" t="s">
        <v>4</v>
      </c>
      <c r="AC1147" s="299">
        <v>9191.7999999999993</v>
      </c>
      <c r="AD1147" s="552"/>
      <c r="AE1147" s="552"/>
      <c r="AF1147" s="552"/>
      <c r="AG1147" s="552"/>
      <c r="AH1147" s="552"/>
      <c r="AI1147" s="552"/>
      <c r="AJ1147" s="283">
        <v>13787.7</v>
      </c>
      <c r="AK1147" s="265">
        <v>13787.7</v>
      </c>
      <c r="AN1147" s="743"/>
      <c r="AO1147" s="743"/>
    </row>
    <row r="1148" spans="1:41" s="267" customFormat="1" x14ac:dyDescent="0.25">
      <c r="A1148" s="1061"/>
      <c r="B1148" s="295" t="s">
        <v>11</v>
      </c>
      <c r="C1148" s="302">
        <f t="shared" ref="C1148:Q1148" si="425">C1147*33.717</f>
        <v>197918.78999999998</v>
      </c>
      <c r="D1148" s="263">
        <f t="shared" si="425"/>
        <v>112378.761</v>
      </c>
      <c r="E1148" s="302">
        <f t="shared" si="425"/>
        <v>112277.61</v>
      </c>
      <c r="F1148" s="355">
        <f t="shared" si="425"/>
        <v>318861.66899999999</v>
      </c>
      <c r="G1148" s="308">
        <f t="shared" si="425"/>
        <v>264779.60099999997</v>
      </c>
      <c r="H1148" s="354">
        <f t="shared" si="425"/>
        <v>524063.33100000001</v>
      </c>
      <c r="I1148" s="354">
        <f t="shared" si="425"/>
        <v>249033.76199999999</v>
      </c>
      <c r="J1148" s="354">
        <f t="shared" si="425"/>
        <v>323649.48300000001</v>
      </c>
      <c r="K1148" s="322">
        <f t="shared" si="425"/>
        <v>313197.21299999999</v>
      </c>
      <c r="L1148" s="308">
        <f t="shared" si="425"/>
        <v>413471.571</v>
      </c>
      <c r="M1148" s="308">
        <f t="shared" si="425"/>
        <v>139352.361</v>
      </c>
      <c r="N1148" s="354">
        <f t="shared" si="425"/>
        <v>333798.3</v>
      </c>
      <c r="O1148" s="354">
        <f t="shared" si="425"/>
        <v>161807.883</v>
      </c>
      <c r="P1148" s="302">
        <f t="shared" si="425"/>
        <v>67434</v>
      </c>
      <c r="Q1148" s="354">
        <f t="shared" si="425"/>
        <v>42146.25</v>
      </c>
      <c r="R1148" s="70"/>
      <c r="S1148" s="70"/>
      <c r="T1148" s="70"/>
      <c r="U1148" s="70"/>
      <c r="V1148" s="70"/>
      <c r="W1148" s="70"/>
      <c r="X1148" s="70"/>
      <c r="Y1148" s="70"/>
      <c r="Z1148" s="70"/>
      <c r="AA1148" s="1075"/>
      <c r="AB1148" s="293" t="s">
        <v>5</v>
      </c>
      <c r="AC1148" s="300">
        <v>8882</v>
      </c>
      <c r="AD1148" s="631"/>
      <c r="AE1148" s="631"/>
      <c r="AF1148" s="631"/>
      <c r="AG1148" s="631"/>
      <c r="AH1148" s="631"/>
      <c r="AI1148" s="631"/>
      <c r="AJ1148" s="307">
        <v>13644.7</v>
      </c>
      <c r="AK1148" s="264">
        <v>13649.8</v>
      </c>
      <c r="AN1148" s="743"/>
      <c r="AO1148" s="743"/>
    </row>
    <row r="1149" spans="1:41" s="267" customFormat="1" ht="15.75" thickBot="1" x14ac:dyDescent="0.3">
      <c r="A1149" s="1061"/>
      <c r="B1149" s="295" t="s">
        <v>79</v>
      </c>
      <c r="C1149" s="302">
        <v>164000</v>
      </c>
      <c r="D1149" s="263">
        <v>109880</v>
      </c>
      <c r="E1149" s="302">
        <v>109880</v>
      </c>
      <c r="F1149" s="308">
        <v>328000</v>
      </c>
      <c r="G1149" s="308">
        <v>330905</v>
      </c>
      <c r="H1149" s="308">
        <v>264264</v>
      </c>
      <c r="I1149" s="308">
        <v>242663.6</v>
      </c>
      <c r="J1149" s="263">
        <v>328000</v>
      </c>
      <c r="K1149" s="302">
        <v>328000</v>
      </c>
      <c r="L1149" s="308">
        <v>264264.40000000002</v>
      </c>
      <c r="M1149" s="308">
        <v>328000</v>
      </c>
      <c r="N1149" s="308">
        <v>352965.4</v>
      </c>
      <c r="O1149" s="263">
        <v>328000</v>
      </c>
      <c r="P1149" s="322">
        <f>2*P1144</f>
        <v>110302</v>
      </c>
      <c r="Q1149" s="263">
        <f>2*Q1144</f>
        <v>66181</v>
      </c>
      <c r="R1149" s="70"/>
      <c r="S1149" s="70"/>
      <c r="T1149" s="70"/>
      <c r="U1149" s="70"/>
      <c r="V1149" s="70"/>
      <c r="W1149" s="70"/>
      <c r="X1149" s="70"/>
      <c r="Y1149" s="70"/>
      <c r="Z1149" s="70"/>
      <c r="AA1149" s="1076"/>
      <c r="AB1149" s="344" t="s">
        <v>3</v>
      </c>
      <c r="AC1149" s="301">
        <f>AC1148/AC1147</f>
        <v>0.96629604647620715</v>
      </c>
      <c r="AD1149" s="939"/>
      <c r="AE1149" s="939"/>
      <c r="AF1149" s="939"/>
      <c r="AG1149" s="939"/>
      <c r="AH1149" s="939"/>
      <c r="AI1149" s="939"/>
      <c r="AJ1149" s="249">
        <f>AJ1148/AJ1147</f>
        <v>0.98962843694017133</v>
      </c>
      <c r="AK1149" s="348">
        <f>AK1148/AK1147</f>
        <v>0.98999833184650077</v>
      </c>
      <c r="AN1149" s="743"/>
      <c r="AO1149" s="743"/>
    </row>
    <row r="1150" spans="1:41" s="267" customFormat="1" x14ac:dyDescent="0.25">
      <c r="A1150" s="1061"/>
      <c r="B1150" s="293" t="s">
        <v>8</v>
      </c>
      <c r="C1150" s="303">
        <f>SUM(C1147-168)</f>
        <v>5702</v>
      </c>
      <c r="D1150" s="262">
        <f>SUM(D1147-686)</f>
        <v>2647</v>
      </c>
      <c r="E1150" s="303">
        <f>SUM(E1147-652)</f>
        <v>2678</v>
      </c>
      <c r="F1150" s="309">
        <f>SUM(F1147-1211)</f>
        <v>8246</v>
      </c>
      <c r="G1150" s="309">
        <f>SUM(G1147-4200)</f>
        <v>3653</v>
      </c>
      <c r="H1150" s="309">
        <f>SUM(H1147-2129)</f>
        <v>13414</v>
      </c>
      <c r="I1150" s="309">
        <f>SUM(I1147-(3578-2000))</f>
        <v>5808</v>
      </c>
      <c r="J1150" s="262">
        <f>SUM(J1147-9313)</f>
        <v>286</v>
      </c>
      <c r="K1150" s="303">
        <f>SUM(K1147-887)</f>
        <v>8402</v>
      </c>
      <c r="L1150" s="309">
        <f>SUM(L1147-1721)</f>
        <v>10542</v>
      </c>
      <c r="M1150" s="316">
        <f>SUM(M1147-321)</f>
        <v>3812</v>
      </c>
      <c r="N1150" s="309">
        <f>SUM(N1147-(5408-2614))</f>
        <v>7106</v>
      </c>
      <c r="O1150" s="262">
        <f>SUM(O1147-4074)</f>
        <v>725</v>
      </c>
      <c r="P1150" s="323">
        <f>SUM(P1147-1261)</f>
        <v>739</v>
      </c>
      <c r="Q1150" s="262">
        <f>SUM(Q1147-869)</f>
        <v>381</v>
      </c>
      <c r="R1150" s="12" t="s">
        <v>176</v>
      </c>
      <c r="S1150" s="70"/>
      <c r="T1150" s="70"/>
      <c r="U1150" s="70"/>
      <c r="V1150" s="70"/>
      <c r="W1150" s="70"/>
      <c r="X1150" s="70"/>
      <c r="Y1150" s="70"/>
      <c r="Z1150" s="70"/>
      <c r="AA1150" s="1074" t="s">
        <v>191</v>
      </c>
      <c r="AB1150" s="19" t="s">
        <v>4</v>
      </c>
      <c r="AC1150" s="299">
        <v>97433.600000000006</v>
      </c>
      <c r="AD1150" s="552"/>
      <c r="AE1150" s="552"/>
      <c r="AF1150" s="552"/>
      <c r="AG1150" s="552"/>
      <c r="AH1150" s="552"/>
      <c r="AI1150" s="552"/>
      <c r="AJ1150" s="283">
        <v>243584.4</v>
      </c>
      <c r="AK1150" s="265">
        <v>292299.3</v>
      </c>
      <c r="AN1150" s="743"/>
      <c r="AO1150" s="743"/>
    </row>
    <row r="1151" spans="1:41" s="267" customFormat="1" x14ac:dyDescent="0.25">
      <c r="A1151" s="1061"/>
      <c r="B1151" s="296" t="s">
        <v>77</v>
      </c>
      <c r="C1151" s="302">
        <f>(C1150*33.717)</f>
        <v>192254.334</v>
      </c>
      <c r="D1151" s="338">
        <f>(D1150*33.717)</f>
        <v>89248.89899999999</v>
      </c>
      <c r="E1151" s="302">
        <f>(E1150*33.717)</f>
        <v>90294.126000000004</v>
      </c>
      <c r="F1151" s="338">
        <f>(F1150*33.717)</f>
        <v>278030.38199999998</v>
      </c>
      <c r="G1151" s="280">
        <f>(G1150*33.717)*2</f>
        <v>246336.402</v>
      </c>
      <c r="H1151" s="280">
        <f>(H1150*33.717)</f>
        <v>452279.83799999999</v>
      </c>
      <c r="I1151" s="280">
        <f>(I1150*33.717)-(2000*33.717)</f>
        <v>128394.33599999998</v>
      </c>
      <c r="J1151" s="261">
        <f>J1150*33.717</f>
        <v>9643.0619999999999</v>
      </c>
      <c r="K1151" s="304">
        <f>K1150*33.717</f>
        <v>283290.234</v>
      </c>
      <c r="L1151" s="280">
        <f>L1150*33.717</f>
        <v>355444.614</v>
      </c>
      <c r="M1151" s="280">
        <f>(M1150*33.717)</f>
        <v>128529.204</v>
      </c>
      <c r="N1151" s="280">
        <f>N1150*33.717</f>
        <v>239593.00199999998</v>
      </c>
      <c r="O1151" s="261">
        <f>O1150*33.717</f>
        <v>24444.825000000001</v>
      </c>
      <c r="P1151" s="324">
        <f>P1150*33.717</f>
        <v>24916.862999999998</v>
      </c>
      <c r="Q1151" s="325">
        <f>Q1150*33.717</f>
        <v>12846.177</v>
      </c>
      <c r="R1151" s="63">
        <f>344240-H1151</f>
        <v>-108039.83799999999</v>
      </c>
      <c r="S1151" s="70" t="s">
        <v>177</v>
      </c>
      <c r="T1151" s="70"/>
      <c r="U1151" s="70"/>
      <c r="V1151" s="70"/>
      <c r="W1151" s="70"/>
      <c r="X1151" s="70"/>
      <c r="Y1151" s="70"/>
      <c r="Z1151" s="70"/>
      <c r="AA1151" s="1075"/>
      <c r="AB1151" s="293" t="s">
        <v>5</v>
      </c>
      <c r="AC1151" s="300">
        <v>64490.9</v>
      </c>
      <c r="AD1151" s="631"/>
      <c r="AE1151" s="631"/>
      <c r="AF1151" s="631"/>
      <c r="AG1151" s="631"/>
      <c r="AH1151" s="631"/>
      <c r="AI1151" s="631"/>
      <c r="AJ1151" s="307">
        <v>79989.3</v>
      </c>
      <c r="AK1151" s="264">
        <v>62980.6</v>
      </c>
      <c r="AN1151" s="743"/>
      <c r="AO1151" s="743"/>
    </row>
    <row r="1152" spans="1:41" s="267" customFormat="1" ht="15.75" thickBot="1" x14ac:dyDescent="0.3">
      <c r="A1152" s="1062"/>
      <c r="B1152" s="294" t="s">
        <v>10</v>
      </c>
      <c r="C1152" s="305">
        <f t="shared" ref="C1152:Q1152" si="426">C1151/C1144</f>
        <v>1.3407586605129149</v>
      </c>
      <c r="D1152" s="292">
        <f t="shared" si="426"/>
        <v>0.59295368991162389</v>
      </c>
      <c r="E1152" s="310">
        <f t="shared" si="426"/>
        <v>0.59989799077571926</v>
      </c>
      <c r="F1152" s="282">
        <f t="shared" si="426"/>
        <v>1.5276579277331923</v>
      </c>
      <c r="G1152" s="282">
        <f t="shared" si="426"/>
        <v>1.4888647920097913</v>
      </c>
      <c r="H1152" s="282">
        <f t="shared" si="426"/>
        <v>3.4229394696212876</v>
      </c>
      <c r="I1152" s="282">
        <f t="shared" si="426"/>
        <v>1.0582084498870039</v>
      </c>
      <c r="J1152" s="311">
        <f t="shared" si="426"/>
        <v>5.8063487074439167E-2</v>
      </c>
      <c r="K1152" s="310">
        <f t="shared" si="426"/>
        <v>1.4676197319545969</v>
      </c>
      <c r="L1152" s="282">
        <f t="shared" si="426"/>
        <v>2.6900680833286659</v>
      </c>
      <c r="M1152" s="282">
        <f t="shared" si="426"/>
        <v>1.5536679870851229</v>
      </c>
      <c r="N1152" s="260">
        <f t="shared" si="426"/>
        <v>1.357600501352257</v>
      </c>
      <c r="O1152" s="311">
        <f t="shared" si="426"/>
        <v>0.29437764183094689</v>
      </c>
      <c r="P1152" s="305">
        <f t="shared" si="426"/>
        <v>0.45179349422494602</v>
      </c>
      <c r="Q1152" s="292">
        <f t="shared" si="426"/>
        <v>0.38821344494643478</v>
      </c>
      <c r="R1152" s="126"/>
      <c r="S1152" s="70"/>
      <c r="T1152" s="70"/>
      <c r="U1152" s="70"/>
      <c r="V1152" s="70"/>
      <c r="W1152" s="70"/>
      <c r="X1152" s="70"/>
      <c r="Y1152" s="70"/>
      <c r="Z1152" s="70"/>
      <c r="AA1152" s="1077"/>
      <c r="AB1152" s="294" t="s">
        <v>3</v>
      </c>
      <c r="AC1152" s="305">
        <f>AC1151/AC1150</f>
        <v>0.66189589628218604</v>
      </c>
      <c r="AD1152" s="636"/>
      <c r="AE1152" s="636"/>
      <c r="AF1152" s="636"/>
      <c r="AG1152" s="636"/>
      <c r="AH1152" s="636"/>
      <c r="AI1152" s="636"/>
      <c r="AJ1152" s="278">
        <f>AJ1151/AJ1150</f>
        <v>0.32838433003098721</v>
      </c>
      <c r="AK1152" s="343">
        <f>AK1151/AK1150</f>
        <v>0.21546613351451749</v>
      </c>
      <c r="AN1152" s="743"/>
      <c r="AO1152" s="743"/>
    </row>
    <row r="1153" spans="1:41" s="267" customFormat="1" ht="15.75" thickBot="1" x14ac:dyDescent="0.3">
      <c r="A1153" s="1048">
        <v>41353</v>
      </c>
      <c r="B1153" s="1048"/>
      <c r="C1153" s="1048"/>
      <c r="D1153" s="276"/>
      <c r="E1153" s="276"/>
      <c r="F1153" s="276"/>
      <c r="G1153" s="276"/>
      <c r="H1153" s="276"/>
      <c r="I1153" s="11"/>
      <c r="J1153" s="281"/>
      <c r="K1153" s="281"/>
      <c r="L1153" s="276"/>
      <c r="M1153" s="276"/>
      <c r="N1153" s="13"/>
      <c r="R1153" s="12"/>
      <c r="S1153" s="70"/>
      <c r="T1153" s="70"/>
      <c r="U1153" s="70"/>
      <c r="V1153" s="70"/>
      <c r="W1153" s="70"/>
      <c r="X1153" s="70"/>
      <c r="Y1153" s="70"/>
      <c r="Z1153" s="70"/>
      <c r="AA1153" s="1068"/>
      <c r="AB1153" s="1069"/>
      <c r="AD1153" s="743"/>
      <c r="AE1153" s="743"/>
      <c r="AF1153" s="743"/>
      <c r="AG1153" s="743"/>
      <c r="AH1153" s="743"/>
      <c r="AI1153" s="743"/>
      <c r="AN1153" s="743"/>
      <c r="AO1153" s="743"/>
    </row>
    <row r="1154" spans="1:41" s="267" customFormat="1" x14ac:dyDescent="0.25">
      <c r="A1154" s="1049" t="s">
        <v>1</v>
      </c>
      <c r="B1154" s="1070"/>
      <c r="C1154" s="297" t="s">
        <v>12</v>
      </c>
      <c r="D1154" s="266" t="s">
        <v>12</v>
      </c>
      <c r="E1154" s="297" t="s">
        <v>13</v>
      </c>
      <c r="F1154" s="277" t="s">
        <v>13</v>
      </c>
      <c r="G1154" s="277" t="s">
        <v>13</v>
      </c>
      <c r="H1154" s="277" t="s">
        <v>13</v>
      </c>
      <c r="I1154" s="277" t="s">
        <v>13</v>
      </c>
      <c r="J1154" s="266" t="s">
        <v>13</v>
      </c>
      <c r="K1154" s="297" t="s">
        <v>2</v>
      </c>
      <c r="L1154" s="277" t="s">
        <v>2</v>
      </c>
      <c r="M1154" s="286" t="s">
        <v>2</v>
      </c>
      <c r="N1154" s="277" t="s">
        <v>2</v>
      </c>
      <c r="O1154" s="266" t="s">
        <v>2</v>
      </c>
      <c r="P1154" s="328" t="s">
        <v>183</v>
      </c>
      <c r="Q1154" s="327" t="s">
        <v>183</v>
      </c>
      <c r="R1154" s="12"/>
      <c r="S1154" s="70"/>
      <c r="T1154" s="70"/>
      <c r="U1154" s="70"/>
      <c r="V1154" s="70"/>
      <c r="W1154" s="70"/>
      <c r="X1154" s="70"/>
      <c r="Y1154" s="70"/>
      <c r="Z1154" s="70"/>
      <c r="AA1154" s="1049" t="s">
        <v>1</v>
      </c>
      <c r="AB1154" s="1071"/>
      <c r="AC1154" s="297" t="s">
        <v>12</v>
      </c>
      <c r="AD1154" s="937"/>
      <c r="AE1154" s="937"/>
      <c r="AF1154" s="937"/>
      <c r="AG1154" s="937"/>
      <c r="AH1154" s="937"/>
      <c r="AI1154" s="937"/>
      <c r="AJ1154" s="277" t="s">
        <v>13</v>
      </c>
      <c r="AK1154" s="266" t="s">
        <v>2</v>
      </c>
      <c r="AN1154" s="743"/>
      <c r="AO1154" s="743"/>
    </row>
    <row r="1155" spans="1:41" s="267" customFormat="1" ht="15.75" thickBot="1" x14ac:dyDescent="0.3">
      <c r="A1155" s="1054" t="s">
        <v>0</v>
      </c>
      <c r="B1155" s="1072"/>
      <c r="C1155" s="298" t="s">
        <v>99</v>
      </c>
      <c r="D1155" s="291" t="s">
        <v>100</v>
      </c>
      <c r="E1155" s="298" t="s">
        <v>101</v>
      </c>
      <c r="F1155" s="306" t="s">
        <v>102</v>
      </c>
      <c r="G1155" s="306" t="s">
        <v>97</v>
      </c>
      <c r="H1155" s="306" t="s">
        <v>104</v>
      </c>
      <c r="I1155" s="306" t="s">
        <v>103</v>
      </c>
      <c r="J1155" s="314" t="s">
        <v>178</v>
      </c>
      <c r="K1155" s="298" t="s">
        <v>105</v>
      </c>
      <c r="L1155" s="306" t="s">
        <v>107</v>
      </c>
      <c r="M1155" s="312" t="s">
        <v>98</v>
      </c>
      <c r="N1155" s="313" t="s">
        <v>106</v>
      </c>
      <c r="O1155" s="291" t="s">
        <v>179</v>
      </c>
      <c r="P1155" s="317" t="s">
        <v>182</v>
      </c>
      <c r="Q1155" s="291" t="s">
        <v>184</v>
      </c>
      <c r="R1155" s="12"/>
      <c r="S1155" s="12"/>
      <c r="T1155" s="12"/>
      <c r="U1155" s="12"/>
      <c r="V1155" s="12"/>
      <c r="W1155" s="12"/>
      <c r="X1155" s="12"/>
      <c r="Y1155" s="12"/>
      <c r="Z1155" s="12"/>
      <c r="AA1155" s="1054" t="s">
        <v>0</v>
      </c>
      <c r="AB1155" s="1073"/>
      <c r="AC1155" s="298" t="s">
        <v>99</v>
      </c>
      <c r="AD1155" s="938"/>
      <c r="AE1155" s="938"/>
      <c r="AF1155" s="938"/>
      <c r="AG1155" s="938"/>
      <c r="AH1155" s="938"/>
      <c r="AI1155" s="938"/>
      <c r="AJ1155" s="306" t="s">
        <v>104</v>
      </c>
      <c r="AK1155" s="291" t="s">
        <v>107</v>
      </c>
      <c r="AN1155" s="743"/>
      <c r="AO1155" s="743"/>
    </row>
    <row r="1156" spans="1:41" s="267" customFormat="1" ht="15" customHeight="1" x14ac:dyDescent="0.25">
      <c r="A1156" s="1057" t="s">
        <v>9</v>
      </c>
      <c r="B1156" s="19" t="s">
        <v>4</v>
      </c>
      <c r="C1156" s="299">
        <v>143392.20000000001</v>
      </c>
      <c r="D1156" s="265">
        <v>150515.79999999999</v>
      </c>
      <c r="E1156" s="299">
        <v>150515.79999999999</v>
      </c>
      <c r="F1156" s="283">
        <v>181997.8</v>
      </c>
      <c r="G1156" s="283">
        <v>165452.5</v>
      </c>
      <c r="H1156" s="283">
        <v>132132</v>
      </c>
      <c r="I1156" s="283">
        <v>121331.8</v>
      </c>
      <c r="J1156" s="265">
        <v>166077.9</v>
      </c>
      <c r="K1156" s="299">
        <v>193027</v>
      </c>
      <c r="L1156" s="283">
        <v>132132.20000000001</v>
      </c>
      <c r="M1156" s="283">
        <v>82726.3</v>
      </c>
      <c r="N1156" s="283">
        <v>176482.7</v>
      </c>
      <c r="O1156" s="265">
        <v>83039</v>
      </c>
      <c r="P1156" s="318">
        <v>55151</v>
      </c>
      <c r="Q1156" s="265">
        <v>33090.5</v>
      </c>
      <c r="R1156" s="70"/>
      <c r="S1156" s="70"/>
      <c r="T1156" s="70"/>
      <c r="U1156" s="70"/>
      <c r="V1156" s="70"/>
      <c r="W1156" s="70"/>
      <c r="X1156" s="70"/>
      <c r="Y1156" s="70"/>
      <c r="Z1156" s="70"/>
      <c r="AA1156" s="1060" t="s">
        <v>194</v>
      </c>
      <c r="AB1156" s="2" t="s">
        <v>4</v>
      </c>
      <c r="AC1156" s="299">
        <v>143392.20000000001</v>
      </c>
      <c r="AD1156" s="552"/>
      <c r="AE1156" s="552"/>
      <c r="AF1156" s="552"/>
      <c r="AG1156" s="552"/>
      <c r="AH1156" s="552"/>
      <c r="AI1156" s="552"/>
      <c r="AJ1156" s="283">
        <v>132132</v>
      </c>
      <c r="AK1156" s="265">
        <v>132132.20000000001</v>
      </c>
      <c r="AN1156" s="743"/>
      <c r="AO1156" s="743"/>
    </row>
    <row r="1157" spans="1:41" s="267" customFormat="1" x14ac:dyDescent="0.25">
      <c r="A1157" s="1058"/>
      <c r="B1157" s="293" t="s">
        <v>5</v>
      </c>
      <c r="C1157" s="300">
        <v>39154.6</v>
      </c>
      <c r="D1157" s="264">
        <v>77430.899999999994</v>
      </c>
      <c r="E1157" s="300">
        <v>78842.7</v>
      </c>
      <c r="F1157" s="307">
        <v>157354.70000000001</v>
      </c>
      <c r="G1157" s="307">
        <v>87927.4</v>
      </c>
      <c r="H1157" s="307">
        <v>46130.400000000001</v>
      </c>
      <c r="I1157" s="307">
        <v>68071.7</v>
      </c>
      <c r="J1157" s="264">
        <v>8105.2</v>
      </c>
      <c r="K1157" s="300">
        <v>155731</v>
      </c>
      <c r="L1157" s="307">
        <v>58232.9</v>
      </c>
      <c r="M1157" s="307">
        <v>45650.400000000001</v>
      </c>
      <c r="N1157" s="307">
        <v>132312.4</v>
      </c>
      <c r="O1157" s="264">
        <v>4145.3</v>
      </c>
      <c r="P1157" s="319">
        <v>4330.6000000000004</v>
      </c>
      <c r="Q1157" s="264">
        <v>2358.9</v>
      </c>
      <c r="R1157" s="70"/>
      <c r="S1157" s="70"/>
      <c r="T1157" s="70"/>
      <c r="U1157" s="70"/>
      <c r="V1157" s="70"/>
      <c r="W1157" s="70"/>
      <c r="X1157" s="70"/>
      <c r="Y1157" s="70"/>
      <c r="Z1157" s="70"/>
      <c r="AA1157" s="1061"/>
      <c r="AB1157" s="342" t="s">
        <v>5</v>
      </c>
      <c r="AC1157" s="300">
        <v>42041.3</v>
      </c>
      <c r="AD1157" s="631"/>
      <c r="AE1157" s="631"/>
      <c r="AF1157" s="631"/>
      <c r="AG1157" s="631"/>
      <c r="AH1157" s="631"/>
      <c r="AI1157" s="631"/>
      <c r="AJ1157" s="307">
        <v>46836.6</v>
      </c>
      <c r="AK1157" s="264">
        <v>54552.5</v>
      </c>
      <c r="AN1157" s="743"/>
      <c r="AO1157" s="743"/>
    </row>
    <row r="1158" spans="1:41" s="267" customFormat="1" ht="15.75" thickBot="1" x14ac:dyDescent="0.3">
      <c r="A1158" s="1059"/>
      <c r="B1158" s="294" t="s">
        <v>3</v>
      </c>
      <c r="C1158" s="301">
        <f t="shared" ref="C1158:Q1158" si="427">C1157/C1156</f>
        <v>0.27305948301232558</v>
      </c>
      <c r="D1158" s="292">
        <f t="shared" si="427"/>
        <v>0.51443702255842905</v>
      </c>
      <c r="E1158" s="305">
        <f t="shared" si="427"/>
        <v>0.52381676873789995</v>
      </c>
      <c r="F1158" s="278">
        <f t="shared" si="427"/>
        <v>0.86459671490534518</v>
      </c>
      <c r="G1158" s="278">
        <f t="shared" si="427"/>
        <v>0.53143591060878492</v>
      </c>
      <c r="H1158" s="278">
        <f t="shared" si="427"/>
        <v>0.3491236036690582</v>
      </c>
      <c r="I1158" s="278">
        <f t="shared" si="427"/>
        <v>0.56103758454090347</v>
      </c>
      <c r="J1158" s="292">
        <f t="shared" si="427"/>
        <v>4.8803603610113086E-2</v>
      </c>
      <c r="K1158" s="305">
        <f t="shared" si="427"/>
        <v>0.80678350697052748</v>
      </c>
      <c r="L1158" s="278">
        <f t="shared" si="427"/>
        <v>0.44071694863174909</v>
      </c>
      <c r="M1158" s="315">
        <f t="shared" si="427"/>
        <v>0.55182451046402414</v>
      </c>
      <c r="N1158" s="278">
        <f t="shared" si="427"/>
        <v>0.74971881096560733</v>
      </c>
      <c r="O1158" s="292">
        <f t="shared" si="427"/>
        <v>4.9919917147364497E-2</v>
      </c>
      <c r="P1158" s="320">
        <f t="shared" si="427"/>
        <v>7.8522601584740087E-2</v>
      </c>
      <c r="Q1158" s="292">
        <f t="shared" si="427"/>
        <v>7.1286320847373116E-2</v>
      </c>
      <c r="R1158" s="70"/>
      <c r="S1158" s="70"/>
      <c r="T1158" s="70"/>
      <c r="U1158" s="70"/>
      <c r="V1158" s="70"/>
      <c r="W1158" s="70"/>
      <c r="X1158" s="70"/>
      <c r="Y1158" s="70"/>
      <c r="Z1158" s="70"/>
      <c r="AA1158" s="1061"/>
      <c r="AB1158" s="347" t="s">
        <v>3</v>
      </c>
      <c r="AC1158" s="301">
        <f>AC1157/AC1156</f>
        <v>0.29319098249416636</v>
      </c>
      <c r="AD1158" s="939"/>
      <c r="AE1158" s="939"/>
      <c r="AF1158" s="939"/>
      <c r="AG1158" s="939"/>
      <c r="AH1158" s="939"/>
      <c r="AI1158" s="939"/>
      <c r="AJ1158" s="278">
        <f>AJ1157/AJ1156</f>
        <v>0.35446825901371354</v>
      </c>
      <c r="AK1158" s="292">
        <f>AK1157/AK1156</f>
        <v>0.41286302657489993</v>
      </c>
      <c r="AN1158" s="743"/>
      <c r="AO1158" s="743"/>
    </row>
    <row r="1159" spans="1:41" s="267" customFormat="1" ht="15" customHeight="1" x14ac:dyDescent="0.25">
      <c r="A1159" s="1060" t="s">
        <v>6</v>
      </c>
      <c r="B1159" s="19" t="s">
        <v>7</v>
      </c>
      <c r="C1159" s="297">
        <v>5870</v>
      </c>
      <c r="D1159" s="266">
        <v>3333</v>
      </c>
      <c r="E1159" s="297">
        <v>3330</v>
      </c>
      <c r="F1159" s="277">
        <v>9457</v>
      </c>
      <c r="G1159" s="277">
        <v>7753</v>
      </c>
      <c r="H1159" s="277">
        <v>15543</v>
      </c>
      <c r="I1159" s="277">
        <v>7183</v>
      </c>
      <c r="J1159" s="266">
        <v>9599</v>
      </c>
      <c r="K1159" s="297">
        <v>9289</v>
      </c>
      <c r="L1159" s="277">
        <v>12263</v>
      </c>
      <c r="M1159" s="277">
        <v>4133</v>
      </c>
      <c r="N1159" s="277">
        <v>9900</v>
      </c>
      <c r="O1159" s="266">
        <v>4799</v>
      </c>
      <c r="P1159" s="321">
        <v>1400</v>
      </c>
      <c r="Q1159" s="266">
        <v>1000</v>
      </c>
      <c r="R1159" s="70"/>
      <c r="S1159" s="70"/>
      <c r="T1159" s="70"/>
      <c r="U1159" s="70"/>
      <c r="V1159" s="70"/>
      <c r="W1159" s="70"/>
      <c r="X1159" s="70"/>
      <c r="Y1159" s="70"/>
      <c r="Z1159" s="70"/>
      <c r="AA1159" s="1074" t="s">
        <v>190</v>
      </c>
      <c r="AB1159" s="19" t="s">
        <v>4</v>
      </c>
      <c r="AC1159" s="299">
        <v>9191.7999999999993</v>
      </c>
      <c r="AD1159" s="552"/>
      <c r="AE1159" s="552"/>
      <c r="AF1159" s="552"/>
      <c r="AG1159" s="552"/>
      <c r="AH1159" s="552"/>
      <c r="AI1159" s="552"/>
      <c r="AJ1159" s="283">
        <v>13787.7</v>
      </c>
      <c r="AK1159" s="265">
        <v>13787.7</v>
      </c>
      <c r="AN1159" s="743"/>
      <c r="AO1159" s="743"/>
    </row>
    <row r="1160" spans="1:41" s="267" customFormat="1" x14ac:dyDescent="0.25">
      <c r="A1160" s="1061"/>
      <c r="B1160" s="295" t="s">
        <v>11</v>
      </c>
      <c r="C1160" s="302">
        <f t="shared" ref="C1160:Q1160" si="428">C1159*33.72</f>
        <v>197936.4</v>
      </c>
      <c r="D1160" s="263">
        <f t="shared" si="428"/>
        <v>112388.76</v>
      </c>
      <c r="E1160" s="302">
        <f t="shared" si="428"/>
        <v>112287.59999999999</v>
      </c>
      <c r="F1160" s="308">
        <f t="shared" si="428"/>
        <v>318890.03999999998</v>
      </c>
      <c r="G1160" s="308">
        <f t="shared" si="428"/>
        <v>261431.16</v>
      </c>
      <c r="H1160" s="308">
        <f t="shared" si="428"/>
        <v>524109.95999999996</v>
      </c>
      <c r="I1160" s="308">
        <f t="shared" si="428"/>
        <v>242210.75999999998</v>
      </c>
      <c r="J1160" s="263">
        <f t="shared" si="428"/>
        <v>323678.27999999997</v>
      </c>
      <c r="K1160" s="302">
        <f t="shared" si="428"/>
        <v>313225.08</v>
      </c>
      <c r="L1160" s="308">
        <f t="shared" si="428"/>
        <v>413508.36</v>
      </c>
      <c r="M1160" s="308">
        <f t="shared" si="428"/>
        <v>139364.76</v>
      </c>
      <c r="N1160" s="308">
        <f t="shared" si="428"/>
        <v>333828</v>
      </c>
      <c r="O1160" s="263">
        <f t="shared" si="428"/>
        <v>161822.28</v>
      </c>
      <c r="P1160" s="322">
        <f t="shared" si="428"/>
        <v>47208</v>
      </c>
      <c r="Q1160" s="263">
        <f t="shared" si="428"/>
        <v>33720</v>
      </c>
      <c r="R1160" s="70"/>
      <c r="S1160" s="70"/>
      <c r="T1160" s="70"/>
      <c r="U1160" s="70"/>
      <c r="V1160" s="70"/>
      <c r="W1160" s="70"/>
      <c r="X1160" s="70"/>
      <c r="Y1160" s="70"/>
      <c r="Z1160" s="70"/>
      <c r="AA1160" s="1075"/>
      <c r="AB1160" s="293" t="s">
        <v>5</v>
      </c>
      <c r="AC1160" s="300">
        <v>8882</v>
      </c>
      <c r="AD1160" s="631"/>
      <c r="AE1160" s="631"/>
      <c r="AF1160" s="631"/>
      <c r="AG1160" s="631"/>
      <c r="AH1160" s="631"/>
      <c r="AI1160" s="631"/>
      <c r="AJ1160" s="307">
        <v>13644.7</v>
      </c>
      <c r="AK1160" s="264">
        <v>13649.8</v>
      </c>
      <c r="AN1160" s="743"/>
      <c r="AO1160" s="743"/>
    </row>
    <row r="1161" spans="1:41" s="267" customFormat="1" ht="15.75" thickBot="1" x14ac:dyDescent="0.3">
      <c r="A1161" s="1061"/>
      <c r="B1161" s="295" t="s">
        <v>79</v>
      </c>
      <c r="C1161" s="302">
        <v>164000</v>
      </c>
      <c r="D1161" s="263">
        <v>109880</v>
      </c>
      <c r="E1161" s="302">
        <v>109880</v>
      </c>
      <c r="F1161" s="308">
        <v>328000</v>
      </c>
      <c r="G1161" s="308">
        <v>330905</v>
      </c>
      <c r="H1161" s="308">
        <v>264264</v>
      </c>
      <c r="I1161" s="308">
        <v>242663.6</v>
      </c>
      <c r="J1161" s="263">
        <v>328000</v>
      </c>
      <c r="K1161" s="302">
        <v>328000</v>
      </c>
      <c r="L1161" s="308">
        <v>264264.40000000002</v>
      </c>
      <c r="M1161" s="308">
        <v>328000</v>
      </c>
      <c r="N1161" s="308">
        <v>352965.4</v>
      </c>
      <c r="O1161" s="263">
        <v>328000</v>
      </c>
      <c r="P1161" s="322">
        <f>2*P1156</f>
        <v>110302</v>
      </c>
      <c r="Q1161" s="263">
        <f>2*Q1156</f>
        <v>66181</v>
      </c>
      <c r="R1161" s="70"/>
      <c r="S1161" s="70"/>
      <c r="T1161" s="70"/>
      <c r="U1161" s="70"/>
      <c r="V1161" s="70"/>
      <c r="W1161" s="70"/>
      <c r="X1161" s="70"/>
      <c r="Y1161" s="70"/>
      <c r="Z1161" s="70"/>
      <c r="AA1161" s="1076"/>
      <c r="AB1161" s="344" t="s">
        <v>3</v>
      </c>
      <c r="AC1161" s="301">
        <f>AC1160/AC1159</f>
        <v>0.96629604647620715</v>
      </c>
      <c r="AD1161" s="939"/>
      <c r="AE1161" s="939"/>
      <c r="AF1161" s="939"/>
      <c r="AG1161" s="939"/>
      <c r="AH1161" s="939"/>
      <c r="AI1161" s="939"/>
      <c r="AJ1161" s="249">
        <f>AJ1160/AJ1159</f>
        <v>0.98962843694017133</v>
      </c>
      <c r="AK1161" s="348">
        <f>AK1160/AK1159</f>
        <v>0.98999833184650077</v>
      </c>
      <c r="AN1161" s="743"/>
      <c r="AO1161" s="743"/>
    </row>
    <row r="1162" spans="1:41" s="267" customFormat="1" x14ac:dyDescent="0.25">
      <c r="A1162" s="1061"/>
      <c r="B1162" s="293" t="s">
        <v>8</v>
      </c>
      <c r="C1162" s="303">
        <f>SUM(C1159-168)</f>
        <v>5702</v>
      </c>
      <c r="D1162" s="262">
        <f>SUM(D1159-686)</f>
        <v>2647</v>
      </c>
      <c r="E1162" s="303">
        <f>SUM(E1159-652)</f>
        <v>2678</v>
      </c>
      <c r="F1162" s="309">
        <f>SUM(F1159-1211)</f>
        <v>8246</v>
      </c>
      <c r="G1162" s="309">
        <f>SUM(G1159-4151)</f>
        <v>3602</v>
      </c>
      <c r="H1162" s="309">
        <f>SUM(H1159-2129)</f>
        <v>13414</v>
      </c>
      <c r="I1162" s="309">
        <f>SUM(I1159-(3624-2000))</f>
        <v>5559</v>
      </c>
      <c r="J1162" s="262">
        <f>SUM(J1159-9313)</f>
        <v>286</v>
      </c>
      <c r="K1162" s="303">
        <f>SUM(K1159-962)</f>
        <v>8327</v>
      </c>
      <c r="L1162" s="309">
        <f>SUM(L1159-1721)</f>
        <v>10542</v>
      </c>
      <c r="M1162" s="316">
        <f>SUM(M1159-345)</f>
        <v>3788</v>
      </c>
      <c r="N1162" s="309">
        <f>SUM(N1159-(5454-2614))</f>
        <v>7060</v>
      </c>
      <c r="O1162" s="262">
        <f>SUM(O1159-4074)</f>
        <v>725</v>
      </c>
      <c r="P1162" s="323">
        <f>SUM(P1159-825)</f>
        <v>575</v>
      </c>
      <c r="Q1162" s="262">
        <f>SUM(Q1159-655)</f>
        <v>345</v>
      </c>
      <c r="R1162" s="12" t="s">
        <v>176</v>
      </c>
      <c r="S1162" s="70"/>
      <c r="T1162" s="70"/>
      <c r="U1162" s="70"/>
      <c r="V1162" s="70"/>
      <c r="W1162" s="70"/>
      <c r="X1162" s="70"/>
      <c r="Y1162" s="70"/>
      <c r="Z1162" s="70"/>
      <c r="AA1162" s="1074" t="s">
        <v>191</v>
      </c>
      <c r="AB1162" s="19" t="s">
        <v>4</v>
      </c>
      <c r="AC1162" s="299">
        <v>97433.600000000006</v>
      </c>
      <c r="AD1162" s="552"/>
      <c r="AE1162" s="552"/>
      <c r="AF1162" s="552"/>
      <c r="AG1162" s="552"/>
      <c r="AH1162" s="552"/>
      <c r="AI1162" s="552"/>
      <c r="AJ1162" s="283">
        <v>243584.4</v>
      </c>
      <c r="AK1162" s="265">
        <v>292299.3</v>
      </c>
      <c r="AN1162" s="743"/>
      <c r="AO1162" s="743"/>
    </row>
    <row r="1163" spans="1:41" s="267" customFormat="1" x14ac:dyDescent="0.25">
      <c r="A1163" s="1061"/>
      <c r="B1163" s="296" t="s">
        <v>77</v>
      </c>
      <c r="C1163" s="302">
        <f>(C1162*33.717)</f>
        <v>192254.334</v>
      </c>
      <c r="D1163" s="338">
        <f>(D1162*33.717)</f>
        <v>89248.89899999999</v>
      </c>
      <c r="E1163" s="302">
        <f>(E1162*33.717)</f>
        <v>90294.126000000004</v>
      </c>
      <c r="F1163" s="338">
        <f>(F1162*33.717)</f>
        <v>278030.38199999998</v>
      </c>
      <c r="G1163" s="280">
        <f>(G1162*33.717)*2</f>
        <v>242897.26799999998</v>
      </c>
      <c r="H1163" s="280">
        <f>(H1162*33.717)</f>
        <v>452279.83799999999</v>
      </c>
      <c r="I1163" s="280">
        <f>(I1162*33.717)-(2000*33.717)</f>
        <v>119998.80299999999</v>
      </c>
      <c r="J1163" s="261">
        <f>J1162*33.717</f>
        <v>9643.0619999999999</v>
      </c>
      <c r="K1163" s="304">
        <f>K1162*33.717</f>
        <v>280761.45899999997</v>
      </c>
      <c r="L1163" s="280">
        <f>L1162*33.717</f>
        <v>355444.614</v>
      </c>
      <c r="M1163" s="280">
        <f>(M1162*33.717)</f>
        <v>127719.996</v>
      </c>
      <c r="N1163" s="280">
        <f>N1162*33.717</f>
        <v>238042.02</v>
      </c>
      <c r="O1163" s="261">
        <f>O1162*33.717</f>
        <v>24444.825000000001</v>
      </c>
      <c r="P1163" s="324">
        <f>P1162*33.717</f>
        <v>19387.274999999998</v>
      </c>
      <c r="Q1163" s="325">
        <f>Q1162*33.717</f>
        <v>11632.365</v>
      </c>
      <c r="R1163" s="63">
        <f>344240-H1163</f>
        <v>-108039.83799999999</v>
      </c>
      <c r="S1163" s="70" t="s">
        <v>177</v>
      </c>
      <c r="T1163" s="70"/>
      <c r="U1163" s="70"/>
      <c r="V1163" s="70"/>
      <c r="W1163" s="70"/>
      <c r="X1163" s="70"/>
      <c r="Y1163" s="70"/>
      <c r="Z1163" s="70"/>
      <c r="AA1163" s="1075"/>
      <c r="AB1163" s="293" t="s">
        <v>5</v>
      </c>
      <c r="AC1163" s="300">
        <v>64490.9</v>
      </c>
      <c r="AD1163" s="631"/>
      <c r="AE1163" s="631"/>
      <c r="AF1163" s="631"/>
      <c r="AG1163" s="631"/>
      <c r="AH1163" s="631"/>
      <c r="AI1163" s="631"/>
      <c r="AJ1163" s="307">
        <v>79989.3</v>
      </c>
      <c r="AK1163" s="264">
        <v>62980.6</v>
      </c>
      <c r="AN1163" s="743"/>
      <c r="AO1163" s="743"/>
    </row>
    <row r="1164" spans="1:41" s="267" customFormat="1" ht="15.75" thickBot="1" x14ac:dyDescent="0.3">
      <c r="A1164" s="1062"/>
      <c r="B1164" s="294" t="s">
        <v>10</v>
      </c>
      <c r="C1164" s="305">
        <f t="shared" ref="C1164:Q1164" si="429">C1163/C1156</f>
        <v>1.3407586605129149</v>
      </c>
      <c r="D1164" s="292">
        <f t="shared" si="429"/>
        <v>0.59295368991162389</v>
      </c>
      <c r="E1164" s="310">
        <f t="shared" si="429"/>
        <v>0.59989799077571926</v>
      </c>
      <c r="F1164" s="282">
        <f t="shared" si="429"/>
        <v>1.5276579277331923</v>
      </c>
      <c r="G1164" s="282">
        <f t="shared" si="429"/>
        <v>1.4680785603118718</v>
      </c>
      <c r="H1164" s="282">
        <f t="shared" si="429"/>
        <v>3.4229394696212876</v>
      </c>
      <c r="I1164" s="282">
        <f t="shared" si="429"/>
        <v>0.98901362215016986</v>
      </c>
      <c r="J1164" s="311">
        <f t="shared" si="429"/>
        <v>5.8063487074439167E-2</v>
      </c>
      <c r="K1164" s="310">
        <f t="shared" si="429"/>
        <v>1.4545191035450997</v>
      </c>
      <c r="L1164" s="282">
        <f t="shared" si="429"/>
        <v>2.6900680833286659</v>
      </c>
      <c r="M1164" s="282">
        <f t="shared" si="429"/>
        <v>1.5438862369041042</v>
      </c>
      <c r="N1164" s="260">
        <f t="shared" si="429"/>
        <v>1.3488122065222254</v>
      </c>
      <c r="O1164" s="311">
        <f t="shared" si="429"/>
        <v>0.29437764183094689</v>
      </c>
      <c r="P1164" s="305">
        <f t="shared" si="429"/>
        <v>0.3515307972656887</v>
      </c>
      <c r="Q1164" s="292">
        <f t="shared" si="429"/>
        <v>0.35153185959716532</v>
      </c>
      <c r="R1164" s="126"/>
      <c r="S1164" s="70"/>
      <c r="T1164" s="70"/>
      <c r="U1164" s="70"/>
      <c r="V1164" s="70"/>
      <c r="W1164" s="70"/>
      <c r="X1164" s="70"/>
      <c r="Y1164" s="70"/>
      <c r="Z1164" s="70"/>
      <c r="AA1164" s="1077"/>
      <c r="AB1164" s="294" t="s">
        <v>3</v>
      </c>
      <c r="AC1164" s="305">
        <f>AC1163/AC1162</f>
        <v>0.66189589628218604</v>
      </c>
      <c r="AD1164" s="636"/>
      <c r="AE1164" s="636"/>
      <c r="AF1164" s="636"/>
      <c r="AG1164" s="636"/>
      <c r="AH1164" s="636"/>
      <c r="AI1164" s="636"/>
      <c r="AJ1164" s="278">
        <f>AJ1163/AJ1162</f>
        <v>0.32838433003098721</v>
      </c>
      <c r="AK1164" s="343">
        <f>AK1163/AK1162</f>
        <v>0.21546613351451749</v>
      </c>
      <c r="AN1164" s="743"/>
      <c r="AO1164" s="743"/>
    </row>
    <row r="1165" spans="1:41" s="267" customFormat="1" ht="15.75" thickBot="1" x14ac:dyDescent="0.3">
      <c r="A1165" s="1048">
        <v>41351</v>
      </c>
      <c r="B1165" s="1048"/>
      <c r="C1165" s="1048"/>
      <c r="D1165" s="276"/>
      <c r="E1165" s="276"/>
      <c r="F1165" s="276"/>
      <c r="G1165" s="276"/>
      <c r="H1165" s="276"/>
      <c r="I1165" s="11"/>
      <c r="J1165" s="281"/>
      <c r="K1165" s="281"/>
      <c r="L1165" s="276"/>
      <c r="M1165" s="276"/>
      <c r="N1165" s="13"/>
      <c r="R1165" s="12"/>
      <c r="S1165" s="70"/>
      <c r="T1165" s="70"/>
      <c r="U1165" s="70"/>
      <c r="V1165" s="70"/>
      <c r="W1165" s="70"/>
      <c r="X1165" s="70"/>
      <c r="Y1165" s="70"/>
      <c r="Z1165" s="70"/>
      <c r="AA1165" s="1068"/>
      <c r="AB1165" s="1069"/>
      <c r="AD1165" s="743"/>
      <c r="AE1165" s="743"/>
      <c r="AF1165" s="743"/>
      <c r="AG1165" s="743"/>
      <c r="AH1165" s="743"/>
      <c r="AI1165" s="743"/>
      <c r="AN1165" s="743"/>
      <c r="AO1165" s="743"/>
    </row>
    <row r="1166" spans="1:41" s="267" customFormat="1" x14ac:dyDescent="0.25">
      <c r="A1166" s="1049" t="s">
        <v>1</v>
      </c>
      <c r="B1166" s="1070"/>
      <c r="C1166" s="297" t="s">
        <v>12</v>
      </c>
      <c r="D1166" s="266" t="s">
        <v>12</v>
      </c>
      <c r="E1166" s="297" t="s">
        <v>13</v>
      </c>
      <c r="F1166" s="277" t="s">
        <v>13</v>
      </c>
      <c r="G1166" s="277" t="s">
        <v>13</v>
      </c>
      <c r="H1166" s="277" t="s">
        <v>13</v>
      </c>
      <c r="I1166" s="277" t="s">
        <v>13</v>
      </c>
      <c r="J1166" s="266" t="s">
        <v>13</v>
      </c>
      <c r="K1166" s="297" t="s">
        <v>2</v>
      </c>
      <c r="L1166" s="277" t="s">
        <v>2</v>
      </c>
      <c r="M1166" s="286" t="s">
        <v>2</v>
      </c>
      <c r="N1166" s="277" t="s">
        <v>2</v>
      </c>
      <c r="O1166" s="266" t="s">
        <v>2</v>
      </c>
      <c r="P1166" s="328" t="s">
        <v>183</v>
      </c>
      <c r="Q1166" s="327" t="s">
        <v>183</v>
      </c>
      <c r="R1166" s="12"/>
      <c r="S1166" s="70"/>
      <c r="T1166" s="70"/>
      <c r="U1166" s="70"/>
      <c r="V1166" s="70"/>
      <c r="W1166" s="70"/>
      <c r="X1166" s="70"/>
      <c r="Y1166" s="70"/>
      <c r="Z1166" s="70"/>
      <c r="AA1166" s="1049" t="s">
        <v>1</v>
      </c>
      <c r="AB1166" s="1071"/>
      <c r="AC1166" s="297" t="s">
        <v>12</v>
      </c>
      <c r="AD1166" s="937"/>
      <c r="AE1166" s="937"/>
      <c r="AF1166" s="937"/>
      <c r="AG1166" s="937"/>
      <c r="AH1166" s="937"/>
      <c r="AI1166" s="937"/>
      <c r="AJ1166" s="277" t="s">
        <v>13</v>
      </c>
      <c r="AK1166" s="266" t="s">
        <v>2</v>
      </c>
      <c r="AN1166" s="743"/>
      <c r="AO1166" s="743"/>
    </row>
    <row r="1167" spans="1:41" s="267" customFormat="1" ht="15.75" thickBot="1" x14ac:dyDescent="0.3">
      <c r="A1167" s="1054" t="s">
        <v>0</v>
      </c>
      <c r="B1167" s="1072"/>
      <c r="C1167" s="298" t="s">
        <v>99</v>
      </c>
      <c r="D1167" s="291" t="s">
        <v>100</v>
      </c>
      <c r="E1167" s="298" t="s">
        <v>101</v>
      </c>
      <c r="F1167" s="306" t="s">
        <v>102</v>
      </c>
      <c r="G1167" s="306" t="s">
        <v>97</v>
      </c>
      <c r="H1167" s="306" t="s">
        <v>104</v>
      </c>
      <c r="I1167" s="306" t="s">
        <v>103</v>
      </c>
      <c r="J1167" s="314" t="s">
        <v>178</v>
      </c>
      <c r="K1167" s="298" t="s">
        <v>105</v>
      </c>
      <c r="L1167" s="306" t="s">
        <v>107</v>
      </c>
      <c r="M1167" s="312" t="s">
        <v>98</v>
      </c>
      <c r="N1167" s="313" t="s">
        <v>106</v>
      </c>
      <c r="O1167" s="291" t="s">
        <v>179</v>
      </c>
      <c r="P1167" s="317" t="s">
        <v>182</v>
      </c>
      <c r="Q1167" s="291" t="s">
        <v>184</v>
      </c>
      <c r="R1167" s="12"/>
      <c r="S1167" s="12"/>
      <c r="T1167" s="12"/>
      <c r="U1167" s="12"/>
      <c r="V1167" s="12"/>
      <c r="W1167" s="12"/>
      <c r="X1167" s="12"/>
      <c r="Y1167" s="12"/>
      <c r="Z1167" s="12"/>
      <c r="AA1167" s="1054" t="s">
        <v>0</v>
      </c>
      <c r="AB1167" s="1073"/>
      <c r="AC1167" s="298" t="s">
        <v>99</v>
      </c>
      <c r="AD1167" s="938"/>
      <c r="AE1167" s="938"/>
      <c r="AF1167" s="938"/>
      <c r="AG1167" s="938"/>
      <c r="AH1167" s="938"/>
      <c r="AI1167" s="938"/>
      <c r="AJ1167" s="306" t="s">
        <v>104</v>
      </c>
      <c r="AK1167" s="291" t="s">
        <v>107</v>
      </c>
      <c r="AN1167" s="743"/>
      <c r="AO1167" s="743"/>
    </row>
    <row r="1168" spans="1:41" s="267" customFormat="1" ht="15" customHeight="1" x14ac:dyDescent="0.25">
      <c r="A1168" s="1057" t="s">
        <v>9</v>
      </c>
      <c r="B1168" s="19" t="s">
        <v>4</v>
      </c>
      <c r="C1168" s="299">
        <v>143392.20000000001</v>
      </c>
      <c r="D1168" s="265">
        <v>150515.79999999999</v>
      </c>
      <c r="E1168" s="299">
        <v>150515.79999999999</v>
      </c>
      <c r="F1168" s="283">
        <v>181997.8</v>
      </c>
      <c r="G1168" s="283">
        <v>165452.5</v>
      </c>
      <c r="H1168" s="283">
        <v>132132</v>
      </c>
      <c r="I1168" s="283">
        <v>121331.8</v>
      </c>
      <c r="J1168" s="265">
        <v>166077.9</v>
      </c>
      <c r="K1168" s="299">
        <v>193027</v>
      </c>
      <c r="L1168" s="283">
        <v>132132.20000000001</v>
      </c>
      <c r="M1168" s="283">
        <v>82726.3</v>
      </c>
      <c r="N1168" s="283">
        <v>176482.7</v>
      </c>
      <c r="O1168" s="265">
        <v>83039</v>
      </c>
      <c r="P1168" s="318">
        <v>55151</v>
      </c>
      <c r="Q1168" s="265">
        <v>33090.5</v>
      </c>
      <c r="R1168" s="70"/>
      <c r="S1168" s="70"/>
      <c r="T1168" s="70"/>
      <c r="U1168" s="70"/>
      <c r="V1168" s="70"/>
      <c r="W1168" s="70"/>
      <c r="X1168" s="70"/>
      <c r="Y1168" s="70"/>
      <c r="Z1168" s="70"/>
      <c r="AA1168" s="1060" t="s">
        <v>194</v>
      </c>
      <c r="AB1168" s="2" t="s">
        <v>4</v>
      </c>
      <c r="AC1168" s="299">
        <v>143392.20000000001</v>
      </c>
      <c r="AD1168" s="552"/>
      <c r="AE1168" s="552"/>
      <c r="AF1168" s="552"/>
      <c r="AG1168" s="552"/>
      <c r="AH1168" s="552"/>
      <c r="AI1168" s="552"/>
      <c r="AJ1168" s="283">
        <v>132132</v>
      </c>
      <c r="AK1168" s="265">
        <v>132132.20000000001</v>
      </c>
      <c r="AN1168" s="743"/>
      <c r="AO1168" s="743"/>
    </row>
    <row r="1169" spans="1:41" s="267" customFormat="1" x14ac:dyDescent="0.25">
      <c r="A1169" s="1058"/>
      <c r="B1169" s="293" t="s">
        <v>5</v>
      </c>
      <c r="C1169" s="300">
        <v>39557.1</v>
      </c>
      <c r="D1169" s="264">
        <v>77413</v>
      </c>
      <c r="E1169" s="300">
        <v>78824.899999999994</v>
      </c>
      <c r="F1169" s="307">
        <v>156673.70000000001</v>
      </c>
      <c r="G1169" s="307">
        <v>87785.600000000006</v>
      </c>
      <c r="H1169" s="307">
        <v>46817</v>
      </c>
      <c r="I1169" s="307">
        <v>68045.399999999994</v>
      </c>
      <c r="J1169" s="264">
        <v>8102.6</v>
      </c>
      <c r="K1169" s="300">
        <v>155696.20000000001</v>
      </c>
      <c r="L1169" s="307">
        <v>58263.6</v>
      </c>
      <c r="M1169" s="307">
        <v>44761.599999999999</v>
      </c>
      <c r="N1169" s="307">
        <v>132266.29999999999</v>
      </c>
      <c r="O1169" s="264">
        <v>4143.5</v>
      </c>
      <c r="P1169" s="319">
        <v>4329.7</v>
      </c>
      <c r="Q1169" s="264">
        <v>2353.6</v>
      </c>
      <c r="R1169" s="70"/>
      <c r="S1169" s="70"/>
      <c r="T1169" s="70"/>
      <c r="U1169" s="70"/>
      <c r="V1169" s="70"/>
      <c r="W1169" s="70"/>
      <c r="X1169" s="70"/>
      <c r="Y1169" s="70"/>
      <c r="Z1169" s="70"/>
      <c r="AA1169" s="1061"/>
      <c r="AB1169" s="342" t="s">
        <v>5</v>
      </c>
      <c r="AC1169" s="300">
        <v>42041.3</v>
      </c>
      <c r="AD1169" s="631"/>
      <c r="AE1169" s="631"/>
      <c r="AF1169" s="631"/>
      <c r="AG1169" s="631"/>
      <c r="AH1169" s="631"/>
      <c r="AI1169" s="631"/>
      <c r="AJ1169" s="307">
        <v>46836.6</v>
      </c>
      <c r="AK1169" s="264">
        <v>54552.5</v>
      </c>
      <c r="AN1169" s="743"/>
      <c r="AO1169" s="743"/>
    </row>
    <row r="1170" spans="1:41" s="267" customFormat="1" ht="15.75" thickBot="1" x14ac:dyDescent="0.3">
      <c r="A1170" s="1059"/>
      <c r="B1170" s="294" t="s">
        <v>3</v>
      </c>
      <c r="C1170" s="301">
        <f t="shared" ref="C1170:Q1170" si="430">C1169/C1168</f>
        <v>0.27586646972429457</v>
      </c>
      <c r="D1170" s="292">
        <f t="shared" si="430"/>
        <v>0.51431809816643836</v>
      </c>
      <c r="E1170" s="305">
        <f t="shared" si="430"/>
        <v>0.5236985087279874</v>
      </c>
      <c r="F1170" s="278">
        <f t="shared" si="430"/>
        <v>0.86085491143299542</v>
      </c>
      <c r="G1170" s="278">
        <f t="shared" si="430"/>
        <v>0.53057886704643331</v>
      </c>
      <c r="H1170" s="278">
        <f t="shared" si="430"/>
        <v>0.35431992250174066</v>
      </c>
      <c r="I1170" s="278">
        <f t="shared" si="430"/>
        <v>0.56082082355985807</v>
      </c>
      <c r="J1170" s="292">
        <f t="shared" si="430"/>
        <v>4.8787948306186435E-2</v>
      </c>
      <c r="K1170" s="305">
        <f t="shared" si="430"/>
        <v>0.80660322131100837</v>
      </c>
      <c r="L1170" s="278">
        <f t="shared" si="430"/>
        <v>0.44094929169422742</v>
      </c>
      <c r="M1170" s="315">
        <f t="shared" si="430"/>
        <v>0.54108064787135401</v>
      </c>
      <c r="N1170" s="278">
        <f t="shared" si="430"/>
        <v>0.74945759556035796</v>
      </c>
      <c r="O1170" s="292">
        <f t="shared" si="430"/>
        <v>4.9898240585748863E-2</v>
      </c>
      <c r="P1170" s="320">
        <f t="shared" si="430"/>
        <v>7.8506282750992723E-2</v>
      </c>
      <c r="Q1170" s="292">
        <f t="shared" si="430"/>
        <v>7.1126154032124023E-2</v>
      </c>
      <c r="R1170" s="70"/>
      <c r="S1170" s="70"/>
      <c r="T1170" s="70"/>
      <c r="U1170" s="70"/>
      <c r="V1170" s="70"/>
      <c r="W1170" s="70"/>
      <c r="X1170" s="70"/>
      <c r="Y1170" s="70"/>
      <c r="Z1170" s="70"/>
      <c r="AA1170" s="1061"/>
      <c r="AB1170" s="347" t="s">
        <v>3</v>
      </c>
      <c r="AC1170" s="301">
        <f>AC1169/AC1168</f>
        <v>0.29319098249416636</v>
      </c>
      <c r="AD1170" s="939"/>
      <c r="AE1170" s="939"/>
      <c r="AF1170" s="939"/>
      <c r="AG1170" s="939"/>
      <c r="AH1170" s="939"/>
      <c r="AI1170" s="939"/>
      <c r="AJ1170" s="278">
        <f>AJ1169/AJ1168</f>
        <v>0.35446825901371354</v>
      </c>
      <c r="AK1170" s="292">
        <f>AK1169/AK1168</f>
        <v>0.41286302657489993</v>
      </c>
      <c r="AN1170" s="743"/>
      <c r="AO1170" s="743"/>
    </row>
    <row r="1171" spans="1:41" s="267" customFormat="1" ht="15" customHeight="1" x14ac:dyDescent="0.25">
      <c r="A1171" s="1060" t="s">
        <v>6</v>
      </c>
      <c r="B1171" s="19" t="s">
        <v>7</v>
      </c>
      <c r="C1171" s="297">
        <v>5870</v>
      </c>
      <c r="D1171" s="266">
        <v>3333</v>
      </c>
      <c r="E1171" s="297">
        <v>3330</v>
      </c>
      <c r="F1171" s="277">
        <v>9457</v>
      </c>
      <c r="G1171" s="277">
        <v>7753</v>
      </c>
      <c r="H1171" s="277">
        <v>15543</v>
      </c>
      <c r="I1171" s="277">
        <v>7183</v>
      </c>
      <c r="J1171" s="266">
        <v>9599</v>
      </c>
      <c r="K1171" s="297">
        <v>9289</v>
      </c>
      <c r="L1171" s="277">
        <v>12263</v>
      </c>
      <c r="M1171" s="277">
        <v>4133</v>
      </c>
      <c r="N1171" s="277">
        <v>9508</v>
      </c>
      <c r="O1171" s="266">
        <v>4799</v>
      </c>
      <c r="P1171" s="321">
        <v>1400</v>
      </c>
      <c r="Q1171" s="266">
        <v>1000</v>
      </c>
      <c r="R1171" s="70"/>
      <c r="S1171" s="70"/>
      <c r="T1171" s="70"/>
      <c r="U1171" s="70"/>
      <c r="V1171" s="70"/>
      <c r="W1171" s="70"/>
      <c r="X1171" s="70"/>
      <c r="Y1171" s="70"/>
      <c r="Z1171" s="70"/>
      <c r="AA1171" s="1074" t="s">
        <v>190</v>
      </c>
      <c r="AB1171" s="19" t="s">
        <v>4</v>
      </c>
      <c r="AC1171" s="299">
        <v>9191.7999999999993</v>
      </c>
      <c r="AD1171" s="552"/>
      <c r="AE1171" s="552"/>
      <c r="AF1171" s="552"/>
      <c r="AG1171" s="552"/>
      <c r="AH1171" s="552"/>
      <c r="AI1171" s="552"/>
      <c r="AJ1171" s="283">
        <v>13787.7</v>
      </c>
      <c r="AK1171" s="265">
        <v>13787.7</v>
      </c>
      <c r="AN1171" s="743"/>
      <c r="AO1171" s="743"/>
    </row>
    <row r="1172" spans="1:41" s="267" customFormat="1" x14ac:dyDescent="0.25">
      <c r="A1172" s="1061"/>
      <c r="B1172" s="295" t="s">
        <v>11</v>
      </c>
      <c r="C1172" s="302">
        <f t="shared" ref="C1172:Q1172" si="431">C1171*33.72</f>
        <v>197936.4</v>
      </c>
      <c r="D1172" s="263">
        <f t="shared" si="431"/>
        <v>112388.76</v>
      </c>
      <c r="E1172" s="302">
        <f t="shared" si="431"/>
        <v>112287.59999999999</v>
      </c>
      <c r="F1172" s="308">
        <f t="shared" si="431"/>
        <v>318890.03999999998</v>
      </c>
      <c r="G1172" s="308">
        <f t="shared" si="431"/>
        <v>261431.16</v>
      </c>
      <c r="H1172" s="308">
        <f t="shared" si="431"/>
        <v>524109.95999999996</v>
      </c>
      <c r="I1172" s="308">
        <f t="shared" si="431"/>
        <v>242210.75999999998</v>
      </c>
      <c r="J1172" s="263">
        <f t="shared" si="431"/>
        <v>323678.27999999997</v>
      </c>
      <c r="K1172" s="302">
        <f t="shared" si="431"/>
        <v>313225.08</v>
      </c>
      <c r="L1172" s="308">
        <f t="shared" si="431"/>
        <v>413508.36</v>
      </c>
      <c r="M1172" s="308">
        <f t="shared" si="431"/>
        <v>139364.76</v>
      </c>
      <c r="N1172" s="308">
        <f t="shared" si="431"/>
        <v>320609.76</v>
      </c>
      <c r="O1172" s="263">
        <f t="shared" si="431"/>
        <v>161822.28</v>
      </c>
      <c r="P1172" s="322">
        <f t="shared" si="431"/>
        <v>47208</v>
      </c>
      <c r="Q1172" s="263">
        <f t="shared" si="431"/>
        <v>33720</v>
      </c>
      <c r="R1172" s="70"/>
      <c r="S1172" s="70"/>
      <c r="T1172" s="70"/>
      <c r="U1172" s="70"/>
      <c r="V1172" s="70"/>
      <c r="W1172" s="70"/>
      <c r="X1172" s="70"/>
      <c r="Y1172" s="70"/>
      <c r="Z1172" s="70"/>
      <c r="AA1172" s="1075"/>
      <c r="AB1172" s="293" t="s">
        <v>5</v>
      </c>
      <c r="AC1172" s="300">
        <v>8882</v>
      </c>
      <c r="AD1172" s="631"/>
      <c r="AE1172" s="631"/>
      <c r="AF1172" s="631"/>
      <c r="AG1172" s="631"/>
      <c r="AH1172" s="631"/>
      <c r="AI1172" s="631"/>
      <c r="AJ1172" s="307">
        <v>13644.7</v>
      </c>
      <c r="AK1172" s="264">
        <v>13649.8</v>
      </c>
      <c r="AN1172" s="743"/>
      <c r="AO1172" s="743"/>
    </row>
    <row r="1173" spans="1:41" s="267" customFormat="1" ht="15.75" thickBot="1" x14ac:dyDescent="0.3">
      <c r="A1173" s="1061"/>
      <c r="B1173" s="295" t="s">
        <v>79</v>
      </c>
      <c r="C1173" s="302">
        <v>164000</v>
      </c>
      <c r="D1173" s="263">
        <v>109880</v>
      </c>
      <c r="E1173" s="302">
        <v>109880</v>
      </c>
      <c r="F1173" s="308">
        <v>328000</v>
      </c>
      <c r="G1173" s="308">
        <v>330905</v>
      </c>
      <c r="H1173" s="308">
        <v>264264</v>
      </c>
      <c r="I1173" s="308">
        <v>242663.6</v>
      </c>
      <c r="J1173" s="263">
        <v>328000</v>
      </c>
      <c r="K1173" s="302">
        <v>328000</v>
      </c>
      <c r="L1173" s="308">
        <v>264264.40000000002</v>
      </c>
      <c r="M1173" s="308">
        <v>328000</v>
      </c>
      <c r="N1173" s="308">
        <v>352965.4</v>
      </c>
      <c r="O1173" s="263">
        <v>328000</v>
      </c>
      <c r="P1173" s="322">
        <f>2*P1168</f>
        <v>110302</v>
      </c>
      <c r="Q1173" s="263">
        <f>2*Q1168</f>
        <v>66181</v>
      </c>
      <c r="R1173" s="70"/>
      <c r="S1173" s="70"/>
      <c r="T1173" s="70"/>
      <c r="U1173" s="70"/>
      <c r="V1173" s="70"/>
      <c r="W1173" s="70"/>
      <c r="X1173" s="70"/>
      <c r="Y1173" s="70"/>
      <c r="Z1173" s="70"/>
      <c r="AA1173" s="1076"/>
      <c r="AB1173" s="344" t="s">
        <v>3</v>
      </c>
      <c r="AC1173" s="301">
        <f>AC1172/AC1171</f>
        <v>0.96629604647620715</v>
      </c>
      <c r="AD1173" s="939"/>
      <c r="AE1173" s="939"/>
      <c r="AF1173" s="939"/>
      <c r="AG1173" s="939"/>
      <c r="AH1173" s="939"/>
      <c r="AI1173" s="939"/>
      <c r="AJ1173" s="249">
        <f>AJ1172/AJ1171</f>
        <v>0.98962843694017133</v>
      </c>
      <c r="AK1173" s="348">
        <f>AK1172/AK1171</f>
        <v>0.98999833184650077</v>
      </c>
      <c r="AN1173" s="743"/>
      <c r="AO1173" s="743"/>
    </row>
    <row r="1174" spans="1:41" s="267" customFormat="1" x14ac:dyDescent="0.25">
      <c r="A1174" s="1061"/>
      <c r="B1174" s="293" t="s">
        <v>8</v>
      </c>
      <c r="C1174" s="303">
        <f>SUM(C1171-168)</f>
        <v>5702</v>
      </c>
      <c r="D1174" s="262">
        <f>SUM(D1171-686)</f>
        <v>2647</v>
      </c>
      <c r="E1174" s="303">
        <f>SUM(E1171-652)</f>
        <v>2678</v>
      </c>
      <c r="F1174" s="309">
        <f>SUM(F1171-1211)</f>
        <v>8246</v>
      </c>
      <c r="G1174" s="309">
        <f>SUM(G1171-4214)</f>
        <v>3539</v>
      </c>
      <c r="H1174" s="309">
        <f>SUM(H1171-2129)</f>
        <v>13414</v>
      </c>
      <c r="I1174" s="309">
        <f>SUM(I1171-(3680-2000))</f>
        <v>5503</v>
      </c>
      <c r="J1174" s="262">
        <f>SUM(J1171-9313)</f>
        <v>286</v>
      </c>
      <c r="K1174" s="303">
        <f>SUM(K1171-962)</f>
        <v>8327</v>
      </c>
      <c r="L1174" s="309">
        <f>SUM(L1171-1786)</f>
        <v>10477</v>
      </c>
      <c r="M1174" s="316">
        <f>SUM(M1171-408)</f>
        <v>3725</v>
      </c>
      <c r="N1174" s="309">
        <f>SUM(N1171-(5510-2614))</f>
        <v>6612</v>
      </c>
      <c r="O1174" s="262">
        <f>SUM(O1171-4074)</f>
        <v>725</v>
      </c>
      <c r="P1174" s="323">
        <f>SUM(P1171-861)</f>
        <v>539</v>
      </c>
      <c r="Q1174" s="262">
        <f>SUM(Q1171-655)</f>
        <v>345</v>
      </c>
      <c r="R1174" s="12" t="s">
        <v>176</v>
      </c>
      <c r="S1174" s="70"/>
      <c r="T1174" s="70"/>
      <c r="U1174" s="70"/>
      <c r="V1174" s="70"/>
      <c r="W1174" s="70"/>
      <c r="X1174" s="70"/>
      <c r="Y1174" s="70"/>
      <c r="Z1174" s="70"/>
      <c r="AA1174" s="1074" t="s">
        <v>191</v>
      </c>
      <c r="AB1174" s="19" t="s">
        <v>4</v>
      </c>
      <c r="AC1174" s="299">
        <v>97433.600000000006</v>
      </c>
      <c r="AD1174" s="552"/>
      <c r="AE1174" s="552"/>
      <c r="AF1174" s="552"/>
      <c r="AG1174" s="552"/>
      <c r="AH1174" s="552"/>
      <c r="AI1174" s="552"/>
      <c r="AJ1174" s="283">
        <v>243584.4</v>
      </c>
      <c r="AK1174" s="265">
        <v>292299.3</v>
      </c>
      <c r="AN1174" s="743"/>
      <c r="AO1174" s="743"/>
    </row>
    <row r="1175" spans="1:41" s="267" customFormat="1" x14ac:dyDescent="0.25">
      <c r="A1175" s="1061"/>
      <c r="B1175" s="296" t="s">
        <v>77</v>
      </c>
      <c r="C1175" s="302">
        <f>(C1174*33.717)</f>
        <v>192254.334</v>
      </c>
      <c r="D1175" s="338">
        <f>(D1174*33.717)</f>
        <v>89248.89899999999</v>
      </c>
      <c r="E1175" s="302">
        <f>(E1174*33.717)</f>
        <v>90294.126000000004</v>
      </c>
      <c r="F1175" s="338">
        <f>(F1174*33.717)</f>
        <v>278030.38199999998</v>
      </c>
      <c r="G1175" s="280">
        <f>(G1174*33.717)*2</f>
        <v>238648.92599999998</v>
      </c>
      <c r="H1175" s="280">
        <f>(H1174*33.717)</f>
        <v>452279.83799999999</v>
      </c>
      <c r="I1175" s="280">
        <f>(I1174*33.717)-(2000*33.717)</f>
        <v>118110.65099999998</v>
      </c>
      <c r="J1175" s="261">
        <f>J1174*33.717</f>
        <v>9643.0619999999999</v>
      </c>
      <c r="K1175" s="304">
        <f>K1174*33.717</f>
        <v>280761.45899999997</v>
      </c>
      <c r="L1175" s="280">
        <f>L1174*33.717</f>
        <v>353253.00899999996</v>
      </c>
      <c r="M1175" s="280">
        <f>(M1174*33.717)</f>
        <v>125595.825</v>
      </c>
      <c r="N1175" s="280">
        <f>N1174*33.717</f>
        <v>222936.804</v>
      </c>
      <c r="O1175" s="261">
        <f>O1174*33.717</f>
        <v>24444.825000000001</v>
      </c>
      <c r="P1175" s="324">
        <f>P1174*33.717</f>
        <v>18173.463</v>
      </c>
      <c r="Q1175" s="325">
        <f>Q1174*33.717</f>
        <v>11632.365</v>
      </c>
      <c r="R1175" s="63">
        <f>344240-H1175</f>
        <v>-108039.83799999999</v>
      </c>
      <c r="S1175" s="70" t="s">
        <v>177</v>
      </c>
      <c r="T1175" s="70"/>
      <c r="U1175" s="70"/>
      <c r="V1175" s="70"/>
      <c r="W1175" s="70"/>
      <c r="X1175" s="70"/>
      <c r="Y1175" s="70"/>
      <c r="Z1175" s="70"/>
      <c r="AA1175" s="1075"/>
      <c r="AB1175" s="293" t="s">
        <v>5</v>
      </c>
      <c r="AC1175" s="300">
        <v>64490.9</v>
      </c>
      <c r="AD1175" s="631"/>
      <c r="AE1175" s="631"/>
      <c r="AF1175" s="631"/>
      <c r="AG1175" s="631"/>
      <c r="AH1175" s="631"/>
      <c r="AI1175" s="631"/>
      <c r="AJ1175" s="307">
        <v>79989.3</v>
      </c>
      <c r="AK1175" s="264">
        <v>62980.6</v>
      </c>
      <c r="AN1175" s="743"/>
      <c r="AO1175" s="743"/>
    </row>
    <row r="1176" spans="1:41" s="267" customFormat="1" ht="15.75" thickBot="1" x14ac:dyDescent="0.3">
      <c r="A1176" s="1062"/>
      <c r="B1176" s="294" t="s">
        <v>10</v>
      </c>
      <c r="C1176" s="305">
        <f t="shared" ref="C1176:Q1176" si="432">C1175/C1168</f>
        <v>1.3407586605129149</v>
      </c>
      <c r="D1176" s="292">
        <f t="shared" si="432"/>
        <v>0.59295368991162389</v>
      </c>
      <c r="E1176" s="310">
        <f t="shared" si="432"/>
        <v>0.59989799077571926</v>
      </c>
      <c r="F1176" s="282">
        <f t="shared" si="432"/>
        <v>1.5276579277331923</v>
      </c>
      <c r="G1176" s="282">
        <f t="shared" si="432"/>
        <v>1.4424014505673832</v>
      </c>
      <c r="H1176" s="282">
        <f t="shared" si="432"/>
        <v>3.4229394696212876</v>
      </c>
      <c r="I1176" s="282">
        <f t="shared" si="432"/>
        <v>0.97345173318124334</v>
      </c>
      <c r="J1176" s="311">
        <f t="shared" si="432"/>
        <v>5.8063487074439167E-2</v>
      </c>
      <c r="K1176" s="310">
        <f t="shared" si="432"/>
        <v>1.4545191035450997</v>
      </c>
      <c r="L1176" s="282">
        <f t="shared" si="432"/>
        <v>2.6734816267344366</v>
      </c>
      <c r="M1176" s="282">
        <f t="shared" si="432"/>
        <v>1.5182091426789304</v>
      </c>
      <c r="N1176" s="260">
        <f t="shared" si="432"/>
        <v>1.2632218568732232</v>
      </c>
      <c r="O1176" s="311">
        <f t="shared" si="432"/>
        <v>0.29437764183094689</v>
      </c>
      <c r="P1176" s="305">
        <f t="shared" si="432"/>
        <v>0.32952191256731517</v>
      </c>
      <c r="Q1176" s="292">
        <f t="shared" si="432"/>
        <v>0.35153185959716532</v>
      </c>
      <c r="R1176" s="126"/>
      <c r="S1176" s="70"/>
      <c r="T1176" s="70"/>
      <c r="U1176" s="70"/>
      <c r="V1176" s="70"/>
      <c r="W1176" s="70"/>
      <c r="X1176" s="70"/>
      <c r="Y1176" s="70"/>
      <c r="Z1176" s="70"/>
      <c r="AA1176" s="1077"/>
      <c r="AB1176" s="294" t="s">
        <v>3</v>
      </c>
      <c r="AC1176" s="305">
        <f>AC1175/AC1174</f>
        <v>0.66189589628218604</v>
      </c>
      <c r="AD1176" s="636"/>
      <c r="AE1176" s="636"/>
      <c r="AF1176" s="636"/>
      <c r="AG1176" s="636"/>
      <c r="AH1176" s="636"/>
      <c r="AI1176" s="636"/>
      <c r="AJ1176" s="278">
        <f>AJ1175/AJ1174</f>
        <v>0.32838433003098721</v>
      </c>
      <c r="AK1176" s="343">
        <f>AK1175/AK1174</f>
        <v>0.21546613351451749</v>
      </c>
      <c r="AN1176" s="743"/>
      <c r="AO1176" s="743"/>
    </row>
    <row r="1177" spans="1:41" s="267" customFormat="1" ht="15.75" thickBot="1" x14ac:dyDescent="0.3">
      <c r="A1177" s="1048">
        <v>41347</v>
      </c>
      <c r="B1177" s="1048"/>
      <c r="C1177" s="1048"/>
      <c r="D1177" s="276"/>
      <c r="E1177" s="276"/>
      <c r="F1177" s="276"/>
      <c r="G1177" s="276"/>
      <c r="H1177" s="276"/>
      <c r="I1177" s="11"/>
      <c r="J1177" s="281"/>
      <c r="K1177" s="281"/>
      <c r="L1177" s="276"/>
      <c r="M1177" s="276"/>
      <c r="N1177" s="13"/>
      <c r="R1177" s="12"/>
      <c r="S1177" s="70"/>
      <c r="T1177" s="70"/>
      <c r="U1177" s="70"/>
      <c r="V1177" s="70"/>
      <c r="W1177" s="70"/>
      <c r="X1177" s="70"/>
      <c r="Y1177" s="70"/>
      <c r="Z1177" s="70"/>
      <c r="AA1177" s="1061" t="s">
        <v>6</v>
      </c>
      <c r="AB1177" s="345" t="s">
        <v>7</v>
      </c>
      <c r="AC1177" s="297">
        <v>5870</v>
      </c>
      <c r="AD1177" s="937"/>
      <c r="AE1177" s="937"/>
      <c r="AF1177" s="937"/>
      <c r="AG1177" s="937"/>
      <c r="AH1177" s="937"/>
      <c r="AI1177" s="937"/>
      <c r="AJ1177" s="277">
        <v>15543</v>
      </c>
      <c r="AK1177" s="266">
        <v>12263</v>
      </c>
      <c r="AN1177" s="743"/>
      <c r="AO1177" s="743"/>
    </row>
    <row r="1178" spans="1:41" s="267" customFormat="1" x14ac:dyDescent="0.25">
      <c r="A1178" s="1049" t="s">
        <v>1</v>
      </c>
      <c r="B1178" s="1070"/>
      <c r="C1178" s="297" t="s">
        <v>12</v>
      </c>
      <c r="D1178" s="266" t="s">
        <v>12</v>
      </c>
      <c r="E1178" s="297" t="s">
        <v>13</v>
      </c>
      <c r="F1178" s="277" t="s">
        <v>13</v>
      </c>
      <c r="G1178" s="277" t="s">
        <v>13</v>
      </c>
      <c r="H1178" s="277" t="s">
        <v>13</v>
      </c>
      <c r="I1178" s="277" t="s">
        <v>13</v>
      </c>
      <c r="J1178" s="266" t="s">
        <v>13</v>
      </c>
      <c r="K1178" s="297" t="s">
        <v>2</v>
      </c>
      <c r="L1178" s="277" t="s">
        <v>2</v>
      </c>
      <c r="M1178" s="286" t="s">
        <v>2</v>
      </c>
      <c r="N1178" s="277" t="s">
        <v>2</v>
      </c>
      <c r="O1178" s="266" t="s">
        <v>2</v>
      </c>
      <c r="P1178" s="328" t="s">
        <v>183</v>
      </c>
      <c r="Q1178" s="327" t="s">
        <v>183</v>
      </c>
      <c r="R1178" s="12"/>
      <c r="S1178" s="70"/>
      <c r="T1178" s="70"/>
      <c r="U1178" s="70"/>
      <c r="V1178" s="70"/>
      <c r="W1178" s="70"/>
      <c r="X1178" s="70"/>
      <c r="Y1178" s="70"/>
      <c r="Z1178" s="70"/>
      <c r="AA1178" s="1061"/>
      <c r="AB1178" s="295" t="s">
        <v>11</v>
      </c>
      <c r="AC1178" s="302">
        <f>AC1177*33.717</f>
        <v>197918.78999999998</v>
      </c>
      <c r="AD1178" s="642"/>
      <c r="AE1178" s="642"/>
      <c r="AF1178" s="642"/>
      <c r="AG1178" s="642"/>
      <c r="AH1178" s="642"/>
      <c r="AI1178" s="642"/>
      <c r="AJ1178" s="308">
        <f>AJ1177*33.717</f>
        <v>524063.33100000001</v>
      </c>
      <c r="AK1178" s="263">
        <f>AK1177*33.717</f>
        <v>413471.571</v>
      </c>
      <c r="AN1178" s="743"/>
      <c r="AO1178" s="743"/>
    </row>
    <row r="1179" spans="1:41" s="267" customFormat="1" ht="15.75" thickBot="1" x14ac:dyDescent="0.3">
      <c r="A1179" s="1054" t="s">
        <v>0</v>
      </c>
      <c r="B1179" s="1072"/>
      <c r="C1179" s="298" t="s">
        <v>99</v>
      </c>
      <c r="D1179" s="291" t="s">
        <v>100</v>
      </c>
      <c r="E1179" s="298" t="s">
        <v>101</v>
      </c>
      <c r="F1179" s="306" t="s">
        <v>102</v>
      </c>
      <c r="G1179" s="306" t="s">
        <v>97</v>
      </c>
      <c r="H1179" s="306" t="s">
        <v>104</v>
      </c>
      <c r="I1179" s="306" t="s">
        <v>103</v>
      </c>
      <c r="J1179" s="314" t="s">
        <v>178</v>
      </c>
      <c r="K1179" s="298" t="s">
        <v>105</v>
      </c>
      <c r="L1179" s="306" t="s">
        <v>107</v>
      </c>
      <c r="M1179" s="312" t="s">
        <v>98</v>
      </c>
      <c r="N1179" s="313" t="s">
        <v>106</v>
      </c>
      <c r="O1179" s="291" t="s">
        <v>179</v>
      </c>
      <c r="P1179" s="317" t="s">
        <v>182</v>
      </c>
      <c r="Q1179" s="291" t="s">
        <v>184</v>
      </c>
      <c r="R1179" s="12"/>
      <c r="S1179" s="12"/>
      <c r="T1179" s="12"/>
      <c r="U1179" s="12"/>
      <c r="V1179" s="12"/>
      <c r="W1179" s="12"/>
      <c r="X1179" s="12"/>
      <c r="Y1179" s="12"/>
      <c r="Z1179" s="12"/>
      <c r="AA1179" s="1061"/>
      <c r="AB1179" s="293" t="s">
        <v>8</v>
      </c>
      <c r="AC1179" s="303">
        <v>5702</v>
      </c>
      <c r="AD1179" s="940"/>
      <c r="AE1179" s="940"/>
      <c r="AF1179" s="940"/>
      <c r="AG1179" s="940"/>
      <c r="AH1179" s="940"/>
      <c r="AI1179" s="940"/>
      <c r="AJ1179" s="309">
        <v>13391</v>
      </c>
      <c r="AK1179" s="262">
        <v>10203</v>
      </c>
      <c r="AN1179" s="743"/>
      <c r="AO1179" s="743"/>
    </row>
    <row r="1180" spans="1:41" s="267" customFormat="1" ht="15" customHeight="1" x14ac:dyDescent="0.25">
      <c r="A1180" s="1057" t="s">
        <v>9</v>
      </c>
      <c r="B1180" s="19" t="s">
        <v>4</v>
      </c>
      <c r="C1180" s="299">
        <v>143392.20000000001</v>
      </c>
      <c r="D1180" s="265">
        <v>150515.79999999999</v>
      </c>
      <c r="E1180" s="299">
        <v>150515.79999999999</v>
      </c>
      <c r="F1180" s="283">
        <v>181997.8</v>
      </c>
      <c r="G1180" s="283">
        <v>165452.5</v>
      </c>
      <c r="H1180" s="283">
        <v>132132</v>
      </c>
      <c r="I1180" s="283">
        <v>121331.8</v>
      </c>
      <c r="J1180" s="265">
        <v>166077.9</v>
      </c>
      <c r="K1180" s="299">
        <v>193027</v>
      </c>
      <c r="L1180" s="283">
        <v>132132.20000000001</v>
      </c>
      <c r="M1180" s="283">
        <v>82726.3</v>
      </c>
      <c r="N1180" s="283">
        <v>176482.7</v>
      </c>
      <c r="O1180" s="265">
        <v>83039</v>
      </c>
      <c r="P1180" s="318">
        <v>55151</v>
      </c>
      <c r="Q1180" s="265">
        <v>33090.5</v>
      </c>
      <c r="R1180" s="70"/>
      <c r="S1180" s="70"/>
      <c r="T1180" s="70"/>
      <c r="U1180" s="70"/>
      <c r="V1180" s="70"/>
      <c r="W1180" s="70"/>
      <c r="X1180" s="70"/>
      <c r="Y1180" s="70"/>
      <c r="Z1180" s="70"/>
      <c r="AA1180" s="1061"/>
      <c r="AB1180" s="296" t="s">
        <v>77</v>
      </c>
      <c r="AC1180" s="302">
        <f>(AC1179*33.717)</f>
        <v>192254.334</v>
      </c>
      <c r="AD1180" s="941"/>
      <c r="AE1180" s="941"/>
      <c r="AF1180" s="941"/>
      <c r="AG1180" s="941"/>
      <c r="AH1180" s="941"/>
      <c r="AI1180" s="941"/>
      <c r="AJ1180" s="280">
        <f>(AJ1179*33.717)</f>
        <v>451504.34700000001</v>
      </c>
      <c r="AK1180" s="261">
        <f>AK1179*33.717</f>
        <v>344014.55099999998</v>
      </c>
      <c r="AN1180" s="743"/>
      <c r="AO1180" s="743"/>
    </row>
    <row r="1181" spans="1:41" s="267" customFormat="1" ht="15.75" thickBot="1" x14ac:dyDescent="0.3">
      <c r="A1181" s="1058"/>
      <c r="B1181" s="293" t="s">
        <v>5</v>
      </c>
      <c r="C1181" s="300">
        <v>40482.699999999997</v>
      </c>
      <c r="D1181" s="264">
        <v>77239.899999999994</v>
      </c>
      <c r="E1181" s="300">
        <v>78613.8</v>
      </c>
      <c r="F1181" s="307">
        <v>156476.9</v>
      </c>
      <c r="G1181" s="307">
        <v>85582.7</v>
      </c>
      <c r="H1181" s="307">
        <v>45708.800000000003</v>
      </c>
      <c r="I1181" s="307">
        <v>67831.5</v>
      </c>
      <c r="J1181" s="264">
        <v>7622.8</v>
      </c>
      <c r="K1181" s="300">
        <v>155362.79999999999</v>
      </c>
      <c r="L1181" s="307">
        <v>55157.1</v>
      </c>
      <c r="M1181" s="307">
        <v>44761.599999999999</v>
      </c>
      <c r="N1181" s="307">
        <v>131873.9</v>
      </c>
      <c r="O1181" s="264">
        <v>3903.1</v>
      </c>
      <c r="P1181" s="319">
        <v>4320.7</v>
      </c>
      <c r="Q1181" s="264">
        <v>2308.5</v>
      </c>
      <c r="R1181" s="70"/>
      <c r="S1181" s="70"/>
      <c r="T1181" s="70"/>
      <c r="U1181" s="70"/>
      <c r="V1181" s="70"/>
      <c r="W1181" s="70"/>
      <c r="X1181" s="70"/>
      <c r="Y1181" s="70"/>
      <c r="Z1181" s="70"/>
      <c r="AA1181" s="1061"/>
      <c r="AB1181" s="346" t="s">
        <v>192</v>
      </c>
      <c r="AC1181" s="305">
        <f>AC1178/(AC1168+AC1171+AC1174)</f>
        <v>0.79161942999212842</v>
      </c>
      <c r="AD1181" s="636"/>
      <c r="AE1181" s="636"/>
      <c r="AF1181" s="636"/>
      <c r="AG1181" s="636"/>
      <c r="AH1181" s="636"/>
      <c r="AI1181" s="636"/>
      <c r="AJ1181" s="278">
        <f>AJ1178/(AJ1168+AJ1171+AJ1174)</f>
        <v>1.3454629386442916</v>
      </c>
      <c r="AK1181" s="292">
        <f>AK1178/(AK1168+AK1171+AK1174)</f>
        <v>0.94352682630062756</v>
      </c>
      <c r="AN1181" s="743"/>
      <c r="AO1181" s="743"/>
    </row>
    <row r="1182" spans="1:41" s="267" customFormat="1" ht="15.75" thickBot="1" x14ac:dyDescent="0.3">
      <c r="A1182" s="1059"/>
      <c r="B1182" s="294" t="s">
        <v>3</v>
      </c>
      <c r="C1182" s="301">
        <f t="shared" ref="C1182:Q1182" si="433">C1181/C1180</f>
        <v>0.2823214930798188</v>
      </c>
      <c r="D1182" s="292">
        <f t="shared" si="433"/>
        <v>0.51316805278914235</v>
      </c>
      <c r="E1182" s="305">
        <f t="shared" si="433"/>
        <v>0.52229599816099048</v>
      </c>
      <c r="F1182" s="278">
        <f t="shared" si="433"/>
        <v>0.8597735796806335</v>
      </c>
      <c r="G1182" s="278">
        <f t="shared" si="433"/>
        <v>0.51726447167616085</v>
      </c>
      <c r="H1182" s="278">
        <f t="shared" si="433"/>
        <v>0.34593285502376414</v>
      </c>
      <c r="I1182" s="278">
        <f t="shared" si="433"/>
        <v>0.55905788919310517</v>
      </c>
      <c r="J1182" s="292">
        <f t="shared" si="433"/>
        <v>4.5898942604645172E-2</v>
      </c>
      <c r="K1182" s="305">
        <f t="shared" si="433"/>
        <v>0.80487600180285657</v>
      </c>
      <c r="L1182" s="278">
        <f t="shared" si="433"/>
        <v>0.4174387469519163</v>
      </c>
      <c r="M1182" s="315">
        <f t="shared" si="433"/>
        <v>0.54108064787135401</v>
      </c>
      <c r="N1182" s="278">
        <f t="shared" si="433"/>
        <v>0.7472341481629643</v>
      </c>
      <c r="O1182" s="292">
        <f t="shared" si="433"/>
        <v>4.7003215356639649E-2</v>
      </c>
      <c r="P1182" s="320">
        <f t="shared" si="433"/>
        <v>7.8343094413519249E-2</v>
      </c>
      <c r="Q1182" s="292">
        <f t="shared" si="433"/>
        <v>6.9763225094815737E-2</v>
      </c>
      <c r="R1182" s="70"/>
      <c r="S1182" s="70"/>
      <c r="T1182" s="70"/>
      <c r="U1182" s="70"/>
      <c r="V1182" s="70"/>
      <c r="W1182" s="70"/>
      <c r="X1182" s="70"/>
      <c r="Y1182" s="70"/>
      <c r="Z1182" s="70"/>
      <c r="AA1182" s="1062"/>
      <c r="AB1182" s="346" t="s">
        <v>193</v>
      </c>
      <c r="AC1182" s="305">
        <f>AC1180/(AC1168+AC1171+AC1174)</f>
        <v>0.7689632009906503</v>
      </c>
      <c r="AD1182" s="636"/>
      <c r="AE1182" s="636"/>
      <c r="AF1182" s="636"/>
      <c r="AG1182" s="636"/>
      <c r="AH1182" s="636"/>
      <c r="AI1182" s="636"/>
      <c r="AJ1182" s="278">
        <f>AJ1180/(AJ1168+AJ1171+AJ1174)</f>
        <v>1.1591773924844437</v>
      </c>
      <c r="AK1182" s="292">
        <f>AK1180/(AK1168+AK1171+AK1174)</f>
        <v>0.78502847661626873</v>
      </c>
      <c r="AN1182" s="743"/>
      <c r="AO1182" s="743"/>
    </row>
    <row r="1183" spans="1:41" s="267" customFormat="1" ht="15" customHeight="1" x14ac:dyDescent="0.25">
      <c r="A1183" s="1060" t="s">
        <v>6</v>
      </c>
      <c r="B1183" s="19" t="s">
        <v>7</v>
      </c>
      <c r="C1183" s="297">
        <v>5870</v>
      </c>
      <c r="D1183" s="266">
        <v>3333</v>
      </c>
      <c r="E1183" s="297">
        <v>3330</v>
      </c>
      <c r="F1183" s="277">
        <v>9457</v>
      </c>
      <c r="G1183" s="277">
        <v>7753</v>
      </c>
      <c r="H1183" s="277">
        <v>15543</v>
      </c>
      <c r="I1183" s="277">
        <v>7183</v>
      </c>
      <c r="J1183" s="266">
        <v>9599</v>
      </c>
      <c r="K1183" s="297">
        <v>9289</v>
      </c>
      <c r="L1183" s="277">
        <v>12263</v>
      </c>
      <c r="M1183" s="277">
        <v>4133</v>
      </c>
      <c r="N1183" s="277">
        <v>9494</v>
      </c>
      <c r="O1183" s="266">
        <v>4799</v>
      </c>
      <c r="P1183" s="321">
        <v>1400</v>
      </c>
      <c r="Q1183" s="266">
        <v>1000</v>
      </c>
      <c r="R1183" s="70"/>
      <c r="S1183" s="70"/>
      <c r="T1183" s="70"/>
      <c r="U1183" s="70"/>
      <c r="V1183" s="70"/>
      <c r="W1183" s="70"/>
      <c r="X1183" s="70"/>
      <c r="Y1183" s="70"/>
      <c r="Z1183" s="70"/>
      <c r="AA1183" s="70"/>
      <c r="AB1183" s="70"/>
      <c r="AC1183" s="70"/>
      <c r="AD1183" s="534"/>
      <c r="AE1183" s="534"/>
      <c r="AF1183" s="534"/>
      <c r="AG1183" s="534"/>
      <c r="AH1183" s="534"/>
      <c r="AI1183" s="534"/>
      <c r="AN1183" s="743"/>
      <c r="AO1183" s="743"/>
    </row>
    <row r="1184" spans="1:41" s="267" customFormat="1" x14ac:dyDescent="0.25">
      <c r="A1184" s="1061"/>
      <c r="B1184" s="295" t="s">
        <v>11</v>
      </c>
      <c r="C1184" s="302">
        <f t="shared" ref="C1184:Q1184" si="434">C1183*33.72</f>
        <v>197936.4</v>
      </c>
      <c r="D1184" s="263">
        <f t="shared" si="434"/>
        <v>112388.76</v>
      </c>
      <c r="E1184" s="302">
        <f t="shared" si="434"/>
        <v>112287.59999999999</v>
      </c>
      <c r="F1184" s="308">
        <f t="shared" si="434"/>
        <v>318890.03999999998</v>
      </c>
      <c r="G1184" s="308">
        <f t="shared" si="434"/>
        <v>261431.16</v>
      </c>
      <c r="H1184" s="308">
        <f t="shared" si="434"/>
        <v>524109.95999999996</v>
      </c>
      <c r="I1184" s="308">
        <f t="shared" si="434"/>
        <v>242210.75999999998</v>
      </c>
      <c r="J1184" s="263">
        <f t="shared" si="434"/>
        <v>323678.27999999997</v>
      </c>
      <c r="K1184" s="302">
        <f t="shared" si="434"/>
        <v>313225.08</v>
      </c>
      <c r="L1184" s="308">
        <f t="shared" si="434"/>
        <v>413508.36</v>
      </c>
      <c r="M1184" s="308">
        <f t="shared" si="434"/>
        <v>139364.76</v>
      </c>
      <c r="N1184" s="308">
        <f t="shared" si="434"/>
        <v>320137.68</v>
      </c>
      <c r="O1184" s="263">
        <f t="shared" si="434"/>
        <v>161822.28</v>
      </c>
      <c r="P1184" s="322">
        <f t="shared" si="434"/>
        <v>47208</v>
      </c>
      <c r="Q1184" s="263">
        <f t="shared" si="434"/>
        <v>33720</v>
      </c>
      <c r="R1184" s="70"/>
      <c r="S1184" s="70"/>
      <c r="T1184" s="70"/>
      <c r="U1184" s="70"/>
      <c r="V1184" s="70"/>
      <c r="W1184" s="70"/>
      <c r="X1184" s="70"/>
      <c r="Y1184" s="70"/>
      <c r="Z1184" s="70"/>
      <c r="AA1184" s="70"/>
      <c r="AB1184" s="349" t="s">
        <v>195</v>
      </c>
      <c r="AC1184" s="350">
        <f>AC1168+AC1171+AC1174</f>
        <v>250017.6</v>
      </c>
      <c r="AD1184" s="942"/>
      <c r="AE1184" s="942"/>
      <c r="AF1184" s="942"/>
      <c r="AG1184" s="942"/>
      <c r="AH1184" s="942"/>
      <c r="AI1184" s="942"/>
      <c r="AJ1184" s="350">
        <f>AJ1168+AJ1171+AJ1174</f>
        <v>389504.1</v>
      </c>
      <c r="AK1184" s="350">
        <f>AK1168+AK1171+AK1174</f>
        <v>438219.2</v>
      </c>
      <c r="AN1184" s="743"/>
      <c r="AO1184" s="743"/>
    </row>
    <row r="1185" spans="1:41" s="267" customFormat="1" x14ac:dyDescent="0.25">
      <c r="A1185" s="1061"/>
      <c r="B1185" s="295" t="s">
        <v>79</v>
      </c>
      <c r="C1185" s="302">
        <v>164000</v>
      </c>
      <c r="D1185" s="263">
        <v>109880</v>
      </c>
      <c r="E1185" s="302">
        <v>109880</v>
      </c>
      <c r="F1185" s="308">
        <v>328000</v>
      </c>
      <c r="G1185" s="308">
        <v>330905</v>
      </c>
      <c r="H1185" s="308">
        <v>264264</v>
      </c>
      <c r="I1185" s="308">
        <v>242663.6</v>
      </c>
      <c r="J1185" s="263">
        <v>328000</v>
      </c>
      <c r="K1185" s="302">
        <v>328000</v>
      </c>
      <c r="L1185" s="308">
        <v>264264.40000000002</v>
      </c>
      <c r="M1185" s="308">
        <v>328000</v>
      </c>
      <c r="N1185" s="308">
        <v>352965.4</v>
      </c>
      <c r="O1185" s="263">
        <v>328000</v>
      </c>
      <c r="P1185" s="322">
        <f>2*P1180</f>
        <v>110302</v>
      </c>
      <c r="Q1185" s="263">
        <f>2*Q1180</f>
        <v>66181</v>
      </c>
      <c r="R1185" s="70"/>
      <c r="S1185" s="70"/>
      <c r="T1185" s="70"/>
      <c r="U1185" s="70"/>
      <c r="V1185" s="70"/>
      <c r="W1185" s="70"/>
      <c r="X1185" s="70"/>
      <c r="Y1185" s="70"/>
      <c r="Z1185" s="70"/>
      <c r="AA1185" s="70"/>
      <c r="AB1185" s="349" t="s">
        <v>196</v>
      </c>
      <c r="AC1185" s="350">
        <f>(AC1184-AC1178)/1024</f>
        <v>50.877744140625026</v>
      </c>
      <c r="AD1185" s="942"/>
      <c r="AE1185" s="942"/>
      <c r="AF1185" s="942"/>
      <c r="AG1185" s="942"/>
      <c r="AH1185" s="942"/>
      <c r="AI1185" s="942"/>
      <c r="AJ1185" s="350">
        <f>(AJ1184-AJ1178)/1024</f>
        <v>-131.40549902343753</v>
      </c>
      <c r="AK1185" s="350">
        <f>(AK1184-AK1178)/1024</f>
        <v>24.167606445312515</v>
      </c>
      <c r="AN1185" s="743"/>
      <c r="AO1185" s="743"/>
    </row>
    <row r="1186" spans="1:41" s="267" customFormat="1" x14ac:dyDescent="0.25">
      <c r="A1186" s="1061"/>
      <c r="B1186" s="293" t="s">
        <v>8</v>
      </c>
      <c r="C1186" s="303">
        <f>SUM(C1183-168)</f>
        <v>5702</v>
      </c>
      <c r="D1186" s="262">
        <f>SUM(D1183-686)</f>
        <v>2647</v>
      </c>
      <c r="E1186" s="303">
        <f>SUM(E1183-652)</f>
        <v>2678</v>
      </c>
      <c r="F1186" s="309">
        <f>SUM(F1183-1211)</f>
        <v>8246</v>
      </c>
      <c r="G1186" s="309">
        <f>SUM(G1183-4214)</f>
        <v>3539</v>
      </c>
      <c r="H1186" s="309">
        <f>SUM(H1183-2129)</f>
        <v>13414</v>
      </c>
      <c r="I1186" s="309">
        <f>SUM(I1183-(3680-2000))</f>
        <v>5503</v>
      </c>
      <c r="J1186" s="262">
        <f>SUM(J1183-9313)</f>
        <v>286</v>
      </c>
      <c r="K1186" s="303">
        <f>SUM(K1183-962)</f>
        <v>8327</v>
      </c>
      <c r="L1186" s="309">
        <f>SUM(L1183-1786)</f>
        <v>10477</v>
      </c>
      <c r="M1186" s="316">
        <f>SUM(M1183-408)</f>
        <v>3725</v>
      </c>
      <c r="N1186" s="309">
        <f>SUM(N1183-(5510-2614))</f>
        <v>6598</v>
      </c>
      <c r="O1186" s="262">
        <f>SUM(O1183-4074)</f>
        <v>725</v>
      </c>
      <c r="P1186" s="323">
        <f>SUM(P1183-861)</f>
        <v>539</v>
      </c>
      <c r="Q1186" s="262">
        <f>SUM(Q1183-655)</f>
        <v>345</v>
      </c>
      <c r="R1186" s="12" t="s">
        <v>176</v>
      </c>
      <c r="S1186" s="70"/>
      <c r="T1186" s="70"/>
      <c r="U1186" s="70"/>
      <c r="V1186" s="70"/>
      <c r="W1186" s="70"/>
      <c r="X1186" s="70"/>
      <c r="Y1186" s="70"/>
      <c r="Z1186" s="70"/>
      <c r="AA1186" s="276"/>
      <c r="AB1186" s="276"/>
      <c r="AD1186" s="743"/>
      <c r="AE1186" s="743"/>
      <c r="AF1186" s="743"/>
      <c r="AG1186" s="743"/>
      <c r="AH1186" s="743"/>
      <c r="AI1186" s="743"/>
      <c r="AN1186" s="743"/>
      <c r="AO1186" s="743"/>
    </row>
    <row r="1187" spans="1:41" s="267" customFormat="1" x14ac:dyDescent="0.25">
      <c r="A1187" s="1061"/>
      <c r="B1187" s="296" t="s">
        <v>77</v>
      </c>
      <c r="C1187" s="302">
        <f>(C1186*33.717)</f>
        <v>192254.334</v>
      </c>
      <c r="D1187" s="338">
        <f>(D1186*33.717)</f>
        <v>89248.89899999999</v>
      </c>
      <c r="E1187" s="302">
        <f>(E1186*33.717)</f>
        <v>90294.126000000004</v>
      </c>
      <c r="F1187" s="338">
        <f>(F1186*33.717)</f>
        <v>278030.38199999998</v>
      </c>
      <c r="G1187" s="280">
        <f>(G1186*33.717)*2</f>
        <v>238648.92599999998</v>
      </c>
      <c r="H1187" s="280">
        <f>(H1186*33.717)</f>
        <v>452279.83799999999</v>
      </c>
      <c r="I1187" s="280">
        <f>(I1186*33.717)-(2000*33.717)</f>
        <v>118110.65099999998</v>
      </c>
      <c r="J1187" s="261">
        <f>J1186*33.717</f>
        <v>9643.0619999999999</v>
      </c>
      <c r="K1187" s="304">
        <f>K1186*33.717</f>
        <v>280761.45899999997</v>
      </c>
      <c r="L1187" s="280">
        <f>L1186*33.717</f>
        <v>353253.00899999996</v>
      </c>
      <c r="M1187" s="280">
        <f>(M1186*33.717)</f>
        <v>125595.825</v>
      </c>
      <c r="N1187" s="280">
        <f>N1186*33.717</f>
        <v>222464.766</v>
      </c>
      <c r="O1187" s="261">
        <f>O1186*33.717</f>
        <v>24444.825000000001</v>
      </c>
      <c r="P1187" s="324">
        <f>P1186*33.717</f>
        <v>18173.463</v>
      </c>
      <c r="Q1187" s="325">
        <f>Q1186*33.717</f>
        <v>11632.365</v>
      </c>
      <c r="R1187" s="63">
        <f>344240-H1187</f>
        <v>-108039.83799999999</v>
      </c>
      <c r="S1187" s="70" t="s">
        <v>177</v>
      </c>
      <c r="T1187" s="70"/>
      <c r="U1187" s="70"/>
      <c r="V1187" s="70"/>
      <c r="W1187" s="70"/>
      <c r="X1187" s="70"/>
      <c r="Y1187" s="70"/>
      <c r="Z1187" s="70"/>
      <c r="AA1187" s="276"/>
      <c r="AB1187" s="276"/>
      <c r="AD1187" s="743"/>
      <c r="AE1187" s="743"/>
      <c r="AF1187" s="743"/>
      <c r="AG1187" s="743"/>
      <c r="AH1187" s="743"/>
      <c r="AI1187" s="743"/>
      <c r="AN1187" s="743"/>
      <c r="AO1187" s="743"/>
    </row>
    <row r="1188" spans="1:41" s="267" customFormat="1" ht="15.75" thickBot="1" x14ac:dyDescent="0.3">
      <c r="A1188" s="1062"/>
      <c r="B1188" s="294" t="s">
        <v>10</v>
      </c>
      <c r="C1188" s="305">
        <f t="shared" ref="C1188:Q1188" si="435">C1187/C1180</f>
        <v>1.3407586605129149</v>
      </c>
      <c r="D1188" s="292">
        <f t="shared" si="435"/>
        <v>0.59295368991162389</v>
      </c>
      <c r="E1188" s="310">
        <f t="shared" si="435"/>
        <v>0.59989799077571926</v>
      </c>
      <c r="F1188" s="282">
        <f t="shared" si="435"/>
        <v>1.5276579277331923</v>
      </c>
      <c r="G1188" s="282">
        <f t="shared" si="435"/>
        <v>1.4424014505673832</v>
      </c>
      <c r="H1188" s="282">
        <f t="shared" si="435"/>
        <v>3.4229394696212876</v>
      </c>
      <c r="I1188" s="282">
        <f t="shared" si="435"/>
        <v>0.97345173318124334</v>
      </c>
      <c r="J1188" s="311">
        <f t="shared" si="435"/>
        <v>5.8063487074439167E-2</v>
      </c>
      <c r="K1188" s="310">
        <f t="shared" si="435"/>
        <v>1.4545191035450997</v>
      </c>
      <c r="L1188" s="282">
        <f t="shared" si="435"/>
        <v>2.6734816267344366</v>
      </c>
      <c r="M1188" s="282">
        <f t="shared" si="435"/>
        <v>1.5182091426789304</v>
      </c>
      <c r="N1188" s="260">
        <f t="shared" si="435"/>
        <v>1.2605471584466919</v>
      </c>
      <c r="O1188" s="311">
        <f t="shared" si="435"/>
        <v>0.29437764183094689</v>
      </c>
      <c r="P1188" s="305">
        <f t="shared" si="435"/>
        <v>0.32952191256731517</v>
      </c>
      <c r="Q1188" s="292">
        <f t="shared" si="435"/>
        <v>0.35153185959716532</v>
      </c>
      <c r="R1188" s="126"/>
      <c r="S1188" s="70"/>
      <c r="T1188" s="70"/>
      <c r="U1188" s="70"/>
      <c r="V1188" s="70"/>
      <c r="W1188" s="70"/>
      <c r="X1188" s="70"/>
      <c r="Y1188" s="70"/>
      <c r="Z1188" s="70"/>
      <c r="AA1188" s="276"/>
      <c r="AB1188" s="276"/>
      <c r="AD1188" s="743"/>
      <c r="AE1188" s="743"/>
      <c r="AF1188" s="743"/>
      <c r="AG1188" s="743"/>
      <c r="AH1188" s="743"/>
      <c r="AI1188" s="743"/>
      <c r="AN1188" s="743"/>
      <c r="AO1188" s="743"/>
    </row>
    <row r="1189" spans="1:41" s="267" customFormat="1" ht="15.75" thickBot="1" x14ac:dyDescent="0.3">
      <c r="A1189" s="1048">
        <v>41345</v>
      </c>
      <c r="B1189" s="1048"/>
      <c r="C1189" s="1048"/>
      <c r="D1189" s="276"/>
      <c r="E1189" s="276"/>
      <c r="F1189" s="276"/>
      <c r="G1189" s="276"/>
      <c r="H1189" s="276"/>
      <c r="I1189" s="11"/>
      <c r="J1189" s="281"/>
      <c r="K1189" s="281"/>
      <c r="L1189" s="276"/>
      <c r="M1189" s="276"/>
      <c r="N1189" s="13"/>
      <c r="R1189" s="12"/>
      <c r="S1189" s="70"/>
      <c r="T1189" s="70"/>
      <c r="U1189" s="70"/>
      <c r="V1189" s="70"/>
      <c r="W1189" s="70"/>
      <c r="X1189" s="70"/>
      <c r="Y1189" s="70"/>
      <c r="Z1189" s="70"/>
      <c r="AA1189" s="276"/>
      <c r="AB1189" s="276"/>
      <c r="AD1189" s="743"/>
      <c r="AE1189" s="743"/>
      <c r="AF1189" s="743"/>
      <c r="AG1189" s="743"/>
      <c r="AH1189" s="743"/>
      <c r="AI1189" s="743"/>
      <c r="AN1189" s="743"/>
      <c r="AO1189" s="743"/>
    </row>
    <row r="1190" spans="1:41" s="267" customFormat="1" x14ac:dyDescent="0.25">
      <c r="A1190" s="1049" t="s">
        <v>1</v>
      </c>
      <c r="B1190" s="1070"/>
      <c r="C1190" s="297" t="s">
        <v>12</v>
      </c>
      <c r="D1190" s="266" t="s">
        <v>12</v>
      </c>
      <c r="E1190" s="297" t="s">
        <v>13</v>
      </c>
      <c r="F1190" s="277" t="s">
        <v>13</v>
      </c>
      <c r="G1190" s="277" t="s">
        <v>13</v>
      </c>
      <c r="H1190" s="277" t="s">
        <v>13</v>
      </c>
      <c r="I1190" s="277" t="s">
        <v>13</v>
      </c>
      <c r="J1190" s="266" t="s">
        <v>13</v>
      </c>
      <c r="K1190" s="297" t="s">
        <v>2</v>
      </c>
      <c r="L1190" s="277" t="s">
        <v>2</v>
      </c>
      <c r="M1190" s="286" t="s">
        <v>2</v>
      </c>
      <c r="N1190" s="277" t="s">
        <v>2</v>
      </c>
      <c r="O1190" s="266" t="s">
        <v>2</v>
      </c>
      <c r="P1190" s="328" t="s">
        <v>183</v>
      </c>
      <c r="Q1190" s="327" t="s">
        <v>183</v>
      </c>
      <c r="R1190" s="12"/>
      <c r="S1190" s="70"/>
      <c r="T1190" s="70"/>
      <c r="U1190" s="70"/>
      <c r="V1190" s="70"/>
      <c r="W1190" s="70"/>
      <c r="X1190" s="70"/>
      <c r="Y1190" s="70"/>
      <c r="Z1190" s="70"/>
      <c r="AA1190" s="276"/>
      <c r="AB1190" s="276"/>
      <c r="AD1190" s="743"/>
      <c r="AE1190" s="743"/>
      <c r="AF1190" s="743"/>
      <c r="AG1190" s="743"/>
      <c r="AH1190" s="743"/>
      <c r="AI1190" s="743"/>
      <c r="AN1190" s="743"/>
      <c r="AO1190" s="743"/>
    </row>
    <row r="1191" spans="1:41" s="267" customFormat="1" ht="15.75" thickBot="1" x14ac:dyDescent="0.3">
      <c r="A1191" s="1054" t="s">
        <v>0</v>
      </c>
      <c r="B1191" s="1072"/>
      <c r="C1191" s="298" t="s">
        <v>99</v>
      </c>
      <c r="D1191" s="291" t="s">
        <v>100</v>
      </c>
      <c r="E1191" s="298" t="s">
        <v>101</v>
      </c>
      <c r="F1191" s="306" t="s">
        <v>102</v>
      </c>
      <c r="G1191" s="306" t="s">
        <v>97</v>
      </c>
      <c r="H1191" s="306" t="s">
        <v>104</v>
      </c>
      <c r="I1191" s="306" t="s">
        <v>103</v>
      </c>
      <c r="J1191" s="314" t="s">
        <v>178</v>
      </c>
      <c r="K1191" s="298" t="s">
        <v>105</v>
      </c>
      <c r="L1191" s="306" t="s">
        <v>107</v>
      </c>
      <c r="M1191" s="312" t="s">
        <v>98</v>
      </c>
      <c r="N1191" s="313" t="s">
        <v>106</v>
      </c>
      <c r="O1191" s="291" t="s">
        <v>179</v>
      </c>
      <c r="P1191" s="317" t="s">
        <v>182</v>
      </c>
      <c r="Q1191" s="291" t="s">
        <v>184</v>
      </c>
      <c r="R1191" s="12"/>
      <c r="S1191" s="12"/>
      <c r="T1191" s="12"/>
      <c r="U1191" s="12"/>
      <c r="V1191" s="12"/>
      <c r="W1191" s="12"/>
      <c r="X1191" s="12"/>
      <c r="Y1191" s="12"/>
      <c r="Z1191" s="12"/>
      <c r="AA1191" s="126"/>
      <c r="AB1191" s="125"/>
      <c r="AC1191" s="126"/>
      <c r="AD1191" s="535"/>
      <c r="AE1191" s="535"/>
      <c r="AF1191" s="535"/>
      <c r="AG1191" s="535"/>
      <c r="AH1191" s="535"/>
      <c r="AI1191" s="535"/>
      <c r="AN1191" s="743"/>
      <c r="AO1191" s="743"/>
    </row>
    <row r="1192" spans="1:41" s="267" customFormat="1" ht="15" customHeight="1" x14ac:dyDescent="0.25">
      <c r="A1192" s="1057" t="s">
        <v>9</v>
      </c>
      <c r="B1192" s="19" t="s">
        <v>4</v>
      </c>
      <c r="C1192" s="299">
        <v>143392.20000000001</v>
      </c>
      <c r="D1192" s="265">
        <v>150515.79999999999</v>
      </c>
      <c r="E1192" s="299">
        <v>150515.79999999999</v>
      </c>
      <c r="F1192" s="283">
        <v>181997.8</v>
      </c>
      <c r="G1192" s="283">
        <v>165452.5</v>
      </c>
      <c r="H1192" s="283">
        <v>132132</v>
      </c>
      <c r="I1192" s="283">
        <v>121331.8</v>
      </c>
      <c r="J1192" s="265">
        <v>166077.9</v>
      </c>
      <c r="K1192" s="299">
        <v>193027</v>
      </c>
      <c r="L1192" s="283">
        <v>132132.20000000001</v>
      </c>
      <c r="M1192" s="283">
        <v>82726.3</v>
      </c>
      <c r="N1192" s="283">
        <v>176482.7</v>
      </c>
      <c r="O1192" s="265">
        <v>83039</v>
      </c>
      <c r="P1192" s="318">
        <v>55151</v>
      </c>
      <c r="Q1192" s="265">
        <v>33090.5</v>
      </c>
      <c r="R1192" s="70"/>
      <c r="S1192" s="70"/>
      <c r="T1192" s="70"/>
      <c r="U1192" s="70"/>
      <c r="V1192" s="70"/>
      <c r="W1192" s="70"/>
      <c r="X1192" s="70"/>
      <c r="Y1192" s="70"/>
      <c r="Z1192" s="70"/>
      <c r="AA1192" s="70"/>
      <c r="AB1192" s="70"/>
      <c r="AC1192" s="70"/>
      <c r="AD1192" s="534"/>
      <c r="AE1192" s="534"/>
      <c r="AF1192" s="534"/>
      <c r="AG1192" s="534"/>
      <c r="AH1192" s="534"/>
      <c r="AI1192" s="534"/>
      <c r="AN1192" s="743"/>
      <c r="AO1192" s="743"/>
    </row>
    <row r="1193" spans="1:41" s="267" customFormat="1" x14ac:dyDescent="0.25">
      <c r="A1193" s="1058"/>
      <c r="B1193" s="293" t="s">
        <v>5</v>
      </c>
      <c r="C1193" s="300">
        <v>42041.3</v>
      </c>
      <c r="D1193" s="264">
        <v>77208.800000000003</v>
      </c>
      <c r="E1193" s="300">
        <v>78613.8</v>
      </c>
      <c r="F1193" s="307">
        <v>156441.29999999999</v>
      </c>
      <c r="G1193" s="307">
        <v>85582.7</v>
      </c>
      <c r="H1193" s="307">
        <v>46836.6</v>
      </c>
      <c r="I1193" s="307">
        <v>67734.7</v>
      </c>
      <c r="J1193" s="264">
        <v>7622</v>
      </c>
      <c r="K1193" s="300">
        <v>155295</v>
      </c>
      <c r="L1193" s="307">
        <v>54552.5</v>
      </c>
      <c r="M1193" s="307">
        <v>44431.4</v>
      </c>
      <c r="N1193" s="307">
        <v>132073.5</v>
      </c>
      <c r="O1193" s="264">
        <v>3902.7</v>
      </c>
      <c r="P1193" s="319">
        <v>4319.5</v>
      </c>
      <c r="Q1193" s="264">
        <v>2201.5</v>
      </c>
      <c r="R1193" s="70"/>
      <c r="S1193" s="70"/>
      <c r="T1193" s="70"/>
      <c r="U1193" s="70"/>
      <c r="V1193" s="70"/>
      <c r="W1193" s="70"/>
      <c r="X1193" s="70"/>
      <c r="Y1193" s="70"/>
      <c r="Z1193" s="70"/>
      <c r="AA1193" s="70"/>
      <c r="AB1193" s="70"/>
      <c r="AC1193" s="70"/>
      <c r="AD1193" s="534"/>
      <c r="AE1193" s="534"/>
      <c r="AF1193" s="534"/>
      <c r="AG1193" s="534"/>
      <c r="AH1193" s="534"/>
      <c r="AI1193" s="534"/>
      <c r="AN1193" s="743"/>
      <c r="AO1193" s="743"/>
    </row>
    <row r="1194" spans="1:41" s="267" customFormat="1" ht="15.75" thickBot="1" x14ac:dyDescent="0.3">
      <c r="A1194" s="1059"/>
      <c r="B1194" s="294" t="s">
        <v>3</v>
      </c>
      <c r="C1194" s="301">
        <f t="shared" ref="C1194:Q1194" si="436">C1193/C1192</f>
        <v>0.29319098249416636</v>
      </c>
      <c r="D1194" s="292">
        <f t="shared" si="436"/>
        <v>0.51296142996283456</v>
      </c>
      <c r="E1194" s="305">
        <f t="shared" si="436"/>
        <v>0.52229599816099048</v>
      </c>
      <c r="F1194" s="278">
        <f t="shared" si="436"/>
        <v>0.85957797292055182</v>
      </c>
      <c r="G1194" s="278">
        <f t="shared" si="436"/>
        <v>0.51726447167616085</v>
      </c>
      <c r="H1194" s="278">
        <f t="shared" si="436"/>
        <v>0.35446825901371354</v>
      </c>
      <c r="I1194" s="278">
        <f t="shared" si="436"/>
        <v>0.5582600769130599</v>
      </c>
      <c r="J1194" s="292">
        <f t="shared" si="436"/>
        <v>4.5894125588052358E-2</v>
      </c>
      <c r="K1194" s="305">
        <f t="shared" si="436"/>
        <v>0.80452475560413828</v>
      </c>
      <c r="L1194" s="278">
        <f t="shared" si="436"/>
        <v>0.41286302657489993</v>
      </c>
      <c r="M1194" s="315">
        <f t="shared" si="436"/>
        <v>0.53708917236719156</v>
      </c>
      <c r="N1194" s="278">
        <f t="shared" si="436"/>
        <v>0.748365137206083</v>
      </c>
      <c r="O1194" s="292">
        <f t="shared" si="436"/>
        <v>4.6998398342947285E-2</v>
      </c>
      <c r="P1194" s="320">
        <f t="shared" si="436"/>
        <v>7.8321335968522782E-2</v>
      </c>
      <c r="Q1194" s="292">
        <f t="shared" si="436"/>
        <v>6.6529668636013353E-2</v>
      </c>
      <c r="R1194" s="70"/>
      <c r="S1194" s="70"/>
      <c r="T1194" s="70"/>
      <c r="U1194" s="70"/>
      <c r="V1194" s="70"/>
      <c r="W1194" s="70"/>
      <c r="X1194" s="70"/>
      <c r="Y1194" s="70"/>
      <c r="Z1194" s="70"/>
      <c r="AA1194" s="70"/>
      <c r="AB1194" s="70"/>
      <c r="AC1194" s="70"/>
      <c r="AD1194" s="534"/>
      <c r="AE1194" s="534"/>
      <c r="AF1194" s="534"/>
      <c r="AG1194" s="534"/>
      <c r="AH1194" s="534"/>
      <c r="AI1194" s="534"/>
      <c r="AN1194" s="743"/>
      <c r="AO1194" s="743"/>
    </row>
    <row r="1195" spans="1:41" s="267" customFormat="1" ht="15" customHeight="1" x14ac:dyDescent="0.25">
      <c r="A1195" s="1060" t="s">
        <v>6</v>
      </c>
      <c r="B1195" s="19" t="s">
        <v>7</v>
      </c>
      <c r="C1195" s="297">
        <v>5870</v>
      </c>
      <c r="D1195" s="266">
        <v>3333</v>
      </c>
      <c r="E1195" s="297">
        <v>3330</v>
      </c>
      <c r="F1195" s="277">
        <v>9457</v>
      </c>
      <c r="G1195" s="277">
        <v>7753</v>
      </c>
      <c r="H1195" s="277">
        <v>15543</v>
      </c>
      <c r="I1195" s="277">
        <v>7183</v>
      </c>
      <c r="J1195" s="266">
        <v>9599</v>
      </c>
      <c r="K1195" s="297">
        <v>9289</v>
      </c>
      <c r="L1195" s="277">
        <v>12263</v>
      </c>
      <c r="M1195" s="277">
        <v>4133</v>
      </c>
      <c r="N1195" s="277">
        <v>9494</v>
      </c>
      <c r="O1195" s="266">
        <v>4799</v>
      </c>
      <c r="P1195" s="321">
        <v>1400</v>
      </c>
      <c r="Q1195" s="266">
        <v>1000</v>
      </c>
      <c r="R1195" s="70"/>
      <c r="S1195" s="70"/>
      <c r="T1195" s="70"/>
      <c r="U1195" s="70"/>
      <c r="V1195" s="70"/>
      <c r="W1195" s="70"/>
      <c r="X1195" s="70"/>
      <c r="Y1195" s="70"/>
      <c r="Z1195" s="70"/>
      <c r="AA1195" s="70"/>
      <c r="AB1195" s="70"/>
      <c r="AC1195" s="70"/>
      <c r="AD1195" s="534"/>
      <c r="AE1195" s="534"/>
      <c r="AF1195" s="534"/>
      <c r="AG1195" s="534"/>
      <c r="AH1195" s="534"/>
      <c r="AI1195" s="534"/>
      <c r="AN1195" s="743"/>
      <c r="AO1195" s="743"/>
    </row>
    <row r="1196" spans="1:41" s="267" customFormat="1" x14ac:dyDescent="0.25">
      <c r="A1196" s="1061"/>
      <c r="B1196" s="295" t="s">
        <v>11</v>
      </c>
      <c r="C1196" s="302">
        <f t="shared" ref="C1196:Q1196" si="437">C1195*33.72</f>
        <v>197936.4</v>
      </c>
      <c r="D1196" s="263">
        <f t="shared" si="437"/>
        <v>112388.76</v>
      </c>
      <c r="E1196" s="302">
        <f t="shared" si="437"/>
        <v>112287.59999999999</v>
      </c>
      <c r="F1196" s="308">
        <f t="shared" si="437"/>
        <v>318890.03999999998</v>
      </c>
      <c r="G1196" s="308">
        <f t="shared" si="437"/>
        <v>261431.16</v>
      </c>
      <c r="H1196" s="308">
        <f t="shared" si="437"/>
        <v>524109.95999999996</v>
      </c>
      <c r="I1196" s="308">
        <f t="shared" si="437"/>
        <v>242210.75999999998</v>
      </c>
      <c r="J1196" s="263">
        <f t="shared" si="437"/>
        <v>323678.27999999997</v>
      </c>
      <c r="K1196" s="302">
        <f t="shared" si="437"/>
        <v>313225.08</v>
      </c>
      <c r="L1196" s="308">
        <f t="shared" si="437"/>
        <v>413508.36</v>
      </c>
      <c r="M1196" s="308">
        <f t="shared" si="437"/>
        <v>139364.76</v>
      </c>
      <c r="N1196" s="308">
        <f t="shared" si="437"/>
        <v>320137.68</v>
      </c>
      <c r="O1196" s="263">
        <f t="shared" si="437"/>
        <v>161822.28</v>
      </c>
      <c r="P1196" s="322">
        <f t="shared" si="437"/>
        <v>47208</v>
      </c>
      <c r="Q1196" s="263">
        <f t="shared" si="437"/>
        <v>33720</v>
      </c>
      <c r="R1196" s="70"/>
      <c r="S1196" s="70"/>
      <c r="T1196" s="70"/>
      <c r="U1196" s="70"/>
      <c r="V1196" s="70"/>
      <c r="W1196" s="70"/>
      <c r="X1196" s="70"/>
      <c r="Y1196" s="70"/>
      <c r="Z1196" s="70"/>
      <c r="AA1196" s="70"/>
      <c r="AB1196" s="70"/>
      <c r="AC1196" s="70"/>
      <c r="AD1196" s="534"/>
      <c r="AE1196" s="534"/>
      <c r="AF1196" s="534"/>
      <c r="AG1196" s="534"/>
      <c r="AH1196" s="534"/>
      <c r="AI1196" s="534"/>
      <c r="AN1196" s="743"/>
      <c r="AO1196" s="743"/>
    </row>
    <row r="1197" spans="1:41" s="267" customFormat="1" x14ac:dyDescent="0.25">
      <c r="A1197" s="1061"/>
      <c r="B1197" s="295" t="s">
        <v>79</v>
      </c>
      <c r="C1197" s="302">
        <v>164000</v>
      </c>
      <c r="D1197" s="263">
        <v>109880</v>
      </c>
      <c r="E1197" s="302">
        <v>109880</v>
      </c>
      <c r="F1197" s="308">
        <v>328000</v>
      </c>
      <c r="G1197" s="308">
        <v>330905</v>
      </c>
      <c r="H1197" s="308">
        <v>264264</v>
      </c>
      <c r="I1197" s="308">
        <v>242663.6</v>
      </c>
      <c r="J1197" s="263">
        <v>328000</v>
      </c>
      <c r="K1197" s="302">
        <v>328000</v>
      </c>
      <c r="L1197" s="308">
        <v>264264.40000000002</v>
      </c>
      <c r="M1197" s="308">
        <v>328000</v>
      </c>
      <c r="N1197" s="308">
        <v>352965.4</v>
      </c>
      <c r="O1197" s="263">
        <v>328000</v>
      </c>
      <c r="P1197" s="322">
        <f>2*P1192</f>
        <v>110302</v>
      </c>
      <c r="Q1197" s="263">
        <f>2*Q1192</f>
        <v>66181</v>
      </c>
      <c r="R1197" s="70"/>
      <c r="S1197" s="70"/>
      <c r="T1197" s="70"/>
      <c r="U1197" s="70"/>
      <c r="V1197" s="70"/>
      <c r="W1197" s="70"/>
      <c r="X1197" s="70"/>
      <c r="Y1197" s="70"/>
      <c r="Z1197" s="70"/>
      <c r="AA1197" s="70"/>
      <c r="AB1197" s="70"/>
      <c r="AC1197" s="70"/>
      <c r="AD1197" s="534"/>
      <c r="AE1197" s="534"/>
      <c r="AF1197" s="534"/>
      <c r="AG1197" s="534"/>
      <c r="AH1197" s="534"/>
      <c r="AI1197" s="534"/>
      <c r="AN1197" s="743"/>
      <c r="AO1197" s="743"/>
    </row>
    <row r="1198" spans="1:41" s="267" customFormat="1" x14ac:dyDescent="0.25">
      <c r="A1198" s="1061"/>
      <c r="B1198" s="293" t="s">
        <v>8</v>
      </c>
      <c r="C1198" s="303">
        <f>SUM(C1195-168)</f>
        <v>5702</v>
      </c>
      <c r="D1198" s="262">
        <f>SUM(D1195-686)</f>
        <v>2647</v>
      </c>
      <c r="E1198" s="303">
        <f>SUM(E1195-652)</f>
        <v>2678</v>
      </c>
      <c r="F1198" s="309">
        <f>SUM(F1195-1211)</f>
        <v>8246</v>
      </c>
      <c r="G1198" s="309">
        <f>SUM(G1195-4214)</f>
        <v>3539</v>
      </c>
      <c r="H1198" s="309">
        <f>SUM(H1195-2152)</f>
        <v>13391</v>
      </c>
      <c r="I1198" s="309">
        <f>SUM(I1195-(3790-2000))</f>
        <v>5393</v>
      </c>
      <c r="J1198" s="262">
        <f>SUM(J1195-9313)</f>
        <v>286</v>
      </c>
      <c r="K1198" s="303">
        <f>SUM(K1195-962)</f>
        <v>8327</v>
      </c>
      <c r="L1198" s="309">
        <f>SUM(L1195-2060)</f>
        <v>10203</v>
      </c>
      <c r="M1198" s="316">
        <f>SUM(M1195-408)</f>
        <v>3725</v>
      </c>
      <c r="N1198" s="309">
        <f>SUM(N1195-(5635-2614))</f>
        <v>6473</v>
      </c>
      <c r="O1198" s="262">
        <f>SUM(O1195-4074)</f>
        <v>725</v>
      </c>
      <c r="P1198" s="323">
        <f>SUM(P1195-861)</f>
        <v>539</v>
      </c>
      <c r="Q1198" s="262">
        <f>SUM(Q1195-655)</f>
        <v>345</v>
      </c>
      <c r="R1198" s="12" t="s">
        <v>176</v>
      </c>
      <c r="S1198" s="70"/>
      <c r="T1198" s="70"/>
      <c r="U1198" s="70"/>
      <c r="V1198" s="70"/>
      <c r="W1198" s="70"/>
      <c r="X1198" s="70"/>
      <c r="Y1198" s="70"/>
      <c r="Z1198" s="70"/>
      <c r="AA1198" s="276"/>
      <c r="AB1198" s="276"/>
      <c r="AD1198" s="743"/>
      <c r="AE1198" s="743"/>
      <c r="AF1198" s="743"/>
      <c r="AG1198" s="743"/>
      <c r="AH1198" s="743"/>
      <c r="AI1198" s="743"/>
      <c r="AN1198" s="743"/>
      <c r="AO1198" s="743"/>
    </row>
    <row r="1199" spans="1:41" s="267" customFormat="1" x14ac:dyDescent="0.25">
      <c r="A1199" s="1061"/>
      <c r="B1199" s="296" t="s">
        <v>77</v>
      </c>
      <c r="C1199" s="302">
        <f>(C1198*33.717)</f>
        <v>192254.334</v>
      </c>
      <c r="D1199" s="338">
        <f>(D1198*33.717)</f>
        <v>89248.89899999999</v>
      </c>
      <c r="E1199" s="302">
        <f>(E1198*33.717)</f>
        <v>90294.126000000004</v>
      </c>
      <c r="F1199" s="338">
        <f>(F1198*33.717)</f>
        <v>278030.38199999998</v>
      </c>
      <c r="G1199" s="280">
        <f>(G1198*33.717)*2</f>
        <v>238648.92599999998</v>
      </c>
      <c r="H1199" s="280">
        <f>(H1198*33.717)</f>
        <v>451504.34700000001</v>
      </c>
      <c r="I1199" s="280">
        <f>(I1198*33.717)-(2000*33.717)</f>
        <v>114401.78099999999</v>
      </c>
      <c r="J1199" s="261">
        <f>J1198*33.717</f>
        <v>9643.0619999999999</v>
      </c>
      <c r="K1199" s="304">
        <f>K1198*33.717</f>
        <v>280761.45899999997</v>
      </c>
      <c r="L1199" s="280">
        <f>L1198*33.717</f>
        <v>344014.55099999998</v>
      </c>
      <c r="M1199" s="280">
        <f>(M1198*33.717)</f>
        <v>125595.825</v>
      </c>
      <c r="N1199" s="280">
        <f>N1198*33.717</f>
        <v>218250.141</v>
      </c>
      <c r="O1199" s="261">
        <f>O1198*33.717</f>
        <v>24444.825000000001</v>
      </c>
      <c r="P1199" s="324">
        <f>P1198*33.717</f>
        <v>18173.463</v>
      </c>
      <c r="Q1199" s="325">
        <f>Q1198*33.717</f>
        <v>11632.365</v>
      </c>
      <c r="R1199" s="63">
        <f>344240-H1199</f>
        <v>-107264.34700000001</v>
      </c>
      <c r="S1199" s="70" t="s">
        <v>177</v>
      </c>
      <c r="T1199" s="70"/>
      <c r="U1199" s="70"/>
      <c r="V1199" s="70"/>
      <c r="W1199" s="70"/>
      <c r="X1199" s="70"/>
      <c r="Y1199" s="70"/>
      <c r="Z1199" s="70"/>
      <c r="AA1199" s="276"/>
      <c r="AB1199" s="276"/>
      <c r="AD1199" s="743"/>
      <c r="AE1199" s="743"/>
      <c r="AF1199" s="743"/>
      <c r="AG1199" s="743"/>
      <c r="AH1199" s="743"/>
      <c r="AI1199" s="743"/>
      <c r="AN1199" s="743"/>
      <c r="AO1199" s="743"/>
    </row>
    <row r="1200" spans="1:41" s="267" customFormat="1" ht="15.75" thickBot="1" x14ac:dyDescent="0.3">
      <c r="A1200" s="1062"/>
      <c r="B1200" s="294" t="s">
        <v>10</v>
      </c>
      <c r="C1200" s="305">
        <f t="shared" ref="C1200:Q1200" si="438">C1199/C1192</f>
        <v>1.3407586605129149</v>
      </c>
      <c r="D1200" s="292">
        <f t="shared" si="438"/>
        <v>0.59295368991162389</v>
      </c>
      <c r="E1200" s="310">
        <f t="shared" si="438"/>
        <v>0.59989799077571926</v>
      </c>
      <c r="F1200" s="282">
        <f t="shared" si="438"/>
        <v>1.5276579277331923</v>
      </c>
      <c r="G1200" s="282">
        <f t="shared" si="438"/>
        <v>1.4424014505673832</v>
      </c>
      <c r="H1200" s="282">
        <f t="shared" si="438"/>
        <v>3.4170704068658613</v>
      </c>
      <c r="I1200" s="282">
        <f t="shared" si="438"/>
        <v>0.94288373699228056</v>
      </c>
      <c r="J1200" s="311">
        <f t="shared" si="438"/>
        <v>5.8063487074439167E-2</v>
      </c>
      <c r="K1200" s="310">
        <f t="shared" si="438"/>
        <v>1.4545191035450997</v>
      </c>
      <c r="L1200" s="282">
        <f t="shared" si="438"/>
        <v>2.6035633327833785</v>
      </c>
      <c r="M1200" s="282">
        <f t="shared" si="438"/>
        <v>1.5182091426789304</v>
      </c>
      <c r="N1200" s="260">
        <f t="shared" si="438"/>
        <v>1.2366659224955194</v>
      </c>
      <c r="O1200" s="311">
        <f t="shared" si="438"/>
        <v>0.29437764183094689</v>
      </c>
      <c r="P1200" s="305">
        <f t="shared" si="438"/>
        <v>0.32952191256731517</v>
      </c>
      <c r="Q1200" s="292">
        <f t="shared" si="438"/>
        <v>0.35153185959716532</v>
      </c>
      <c r="R1200" s="126"/>
      <c r="S1200" s="70"/>
      <c r="T1200" s="70"/>
      <c r="U1200" s="70"/>
      <c r="V1200" s="70"/>
      <c r="W1200" s="70"/>
      <c r="X1200" s="70"/>
      <c r="Y1200" s="70"/>
      <c r="Z1200" s="70"/>
      <c r="AA1200" s="276"/>
      <c r="AB1200" s="276"/>
      <c r="AD1200" s="743"/>
      <c r="AE1200" s="743"/>
      <c r="AF1200" s="743"/>
      <c r="AG1200" s="743"/>
      <c r="AH1200" s="743"/>
      <c r="AI1200" s="743"/>
      <c r="AN1200" s="743"/>
      <c r="AO1200" s="743"/>
    </row>
    <row r="1201" spans="1:41" s="267" customFormat="1" ht="15.75" thickBot="1" x14ac:dyDescent="0.3">
      <c r="A1201" s="1048">
        <v>41344</v>
      </c>
      <c r="B1201" s="1048"/>
      <c r="C1201" s="1048"/>
      <c r="D1201" s="276"/>
      <c r="E1201" s="276"/>
      <c r="F1201" s="276"/>
      <c r="G1201" s="276"/>
      <c r="H1201" s="276"/>
      <c r="I1201" s="11"/>
      <c r="J1201" s="281"/>
      <c r="K1201" s="281"/>
      <c r="L1201" s="276"/>
      <c r="M1201" s="276"/>
      <c r="N1201" s="13"/>
      <c r="R1201" s="12"/>
      <c r="S1201" s="70"/>
      <c r="T1201" s="70"/>
      <c r="U1201" s="70"/>
      <c r="V1201" s="70"/>
      <c r="W1201" s="70"/>
      <c r="X1201" s="70"/>
      <c r="Y1201" s="70"/>
      <c r="Z1201" s="70"/>
      <c r="AA1201" s="276"/>
      <c r="AB1201" s="276"/>
      <c r="AD1201" s="743"/>
      <c r="AE1201" s="743"/>
      <c r="AF1201" s="743"/>
      <c r="AG1201" s="743"/>
      <c r="AH1201" s="743"/>
      <c r="AI1201" s="743"/>
      <c r="AN1201" s="743"/>
      <c r="AO1201" s="743"/>
    </row>
    <row r="1202" spans="1:41" s="267" customFormat="1" x14ac:dyDescent="0.25">
      <c r="A1202" s="1049" t="s">
        <v>1</v>
      </c>
      <c r="B1202" s="1070"/>
      <c r="C1202" s="297" t="s">
        <v>12</v>
      </c>
      <c r="D1202" s="266" t="s">
        <v>12</v>
      </c>
      <c r="E1202" s="297" t="s">
        <v>13</v>
      </c>
      <c r="F1202" s="277" t="s">
        <v>13</v>
      </c>
      <c r="G1202" s="277" t="s">
        <v>13</v>
      </c>
      <c r="H1202" s="277" t="s">
        <v>13</v>
      </c>
      <c r="I1202" s="277" t="s">
        <v>13</v>
      </c>
      <c r="J1202" s="266" t="s">
        <v>13</v>
      </c>
      <c r="K1202" s="297" t="s">
        <v>2</v>
      </c>
      <c r="L1202" s="277" t="s">
        <v>2</v>
      </c>
      <c r="M1202" s="286" t="s">
        <v>2</v>
      </c>
      <c r="N1202" s="277" t="s">
        <v>2</v>
      </c>
      <c r="O1202" s="266" t="s">
        <v>2</v>
      </c>
      <c r="P1202" s="328" t="s">
        <v>183</v>
      </c>
      <c r="Q1202" s="327" t="s">
        <v>183</v>
      </c>
      <c r="R1202" s="12"/>
      <c r="S1202" s="70"/>
      <c r="T1202" s="70"/>
      <c r="U1202" s="70"/>
      <c r="V1202" s="70"/>
      <c r="W1202" s="70"/>
      <c r="X1202" s="70"/>
      <c r="Y1202" s="70"/>
      <c r="Z1202" s="70"/>
      <c r="AA1202" s="276"/>
      <c r="AB1202" s="276"/>
      <c r="AD1202" s="743"/>
      <c r="AE1202" s="743"/>
      <c r="AF1202" s="743"/>
      <c r="AG1202" s="743"/>
      <c r="AH1202" s="743"/>
      <c r="AI1202" s="743"/>
      <c r="AN1202" s="743"/>
      <c r="AO1202" s="743"/>
    </row>
    <row r="1203" spans="1:41" s="267" customFormat="1" ht="15.75" thickBot="1" x14ac:dyDescent="0.3">
      <c r="A1203" s="1054" t="s">
        <v>0</v>
      </c>
      <c r="B1203" s="1072"/>
      <c r="C1203" s="298" t="s">
        <v>99</v>
      </c>
      <c r="D1203" s="291" t="s">
        <v>100</v>
      </c>
      <c r="E1203" s="298" t="s">
        <v>101</v>
      </c>
      <c r="F1203" s="306" t="s">
        <v>102</v>
      </c>
      <c r="G1203" s="306" t="s">
        <v>97</v>
      </c>
      <c r="H1203" s="306" t="s">
        <v>104</v>
      </c>
      <c r="I1203" s="306" t="s">
        <v>103</v>
      </c>
      <c r="J1203" s="314" t="s">
        <v>178</v>
      </c>
      <c r="K1203" s="298" t="s">
        <v>105</v>
      </c>
      <c r="L1203" s="306" t="s">
        <v>107</v>
      </c>
      <c r="M1203" s="312" t="s">
        <v>98</v>
      </c>
      <c r="N1203" s="313" t="s">
        <v>106</v>
      </c>
      <c r="O1203" s="291" t="s">
        <v>179</v>
      </c>
      <c r="P1203" s="317" t="s">
        <v>182</v>
      </c>
      <c r="Q1203" s="291" t="s">
        <v>184</v>
      </c>
      <c r="R1203" s="12"/>
      <c r="S1203" s="12"/>
      <c r="T1203" s="12"/>
      <c r="U1203" s="12"/>
      <c r="V1203" s="12"/>
      <c r="W1203" s="12"/>
      <c r="X1203" s="12"/>
      <c r="Y1203" s="12"/>
      <c r="Z1203" s="12"/>
      <c r="AA1203" s="126"/>
      <c r="AB1203" s="125"/>
      <c r="AC1203" s="126"/>
      <c r="AD1203" s="535"/>
      <c r="AE1203" s="535"/>
      <c r="AF1203" s="535"/>
      <c r="AG1203" s="535"/>
      <c r="AH1203" s="535"/>
      <c r="AI1203" s="535"/>
      <c r="AN1203" s="743"/>
      <c r="AO1203" s="743"/>
    </row>
    <row r="1204" spans="1:41" s="267" customFormat="1" ht="15" customHeight="1" x14ac:dyDescent="0.25">
      <c r="A1204" s="1057" t="s">
        <v>9</v>
      </c>
      <c r="B1204" s="19" t="s">
        <v>4</v>
      </c>
      <c r="C1204" s="299">
        <v>143392.20000000001</v>
      </c>
      <c r="D1204" s="265">
        <v>150515.79999999999</v>
      </c>
      <c r="E1204" s="299">
        <v>150515.79999999999</v>
      </c>
      <c r="F1204" s="283">
        <v>181997.8</v>
      </c>
      <c r="G1204" s="283">
        <v>165452.5</v>
      </c>
      <c r="H1204" s="283">
        <v>132132</v>
      </c>
      <c r="I1204" s="283">
        <v>121331.8</v>
      </c>
      <c r="J1204" s="265">
        <v>166077.9</v>
      </c>
      <c r="K1204" s="299">
        <v>193027</v>
      </c>
      <c r="L1204" s="283">
        <v>132132.20000000001</v>
      </c>
      <c r="M1204" s="283">
        <v>82726.3</v>
      </c>
      <c r="N1204" s="283">
        <v>176482.7</v>
      </c>
      <c r="O1204" s="265">
        <v>83039</v>
      </c>
      <c r="P1204" s="318">
        <v>55151</v>
      </c>
      <c r="Q1204" s="265">
        <v>33090.5</v>
      </c>
      <c r="R1204" s="70"/>
      <c r="S1204" s="70"/>
      <c r="T1204" s="70"/>
      <c r="U1204" s="70"/>
      <c r="V1204" s="70"/>
      <c r="W1204" s="70"/>
      <c r="X1204" s="70"/>
      <c r="Y1204" s="70"/>
      <c r="Z1204" s="70"/>
      <c r="AA1204" s="70"/>
      <c r="AB1204" s="70"/>
      <c r="AC1204" s="70"/>
      <c r="AD1204" s="534"/>
      <c r="AE1204" s="534"/>
      <c r="AF1204" s="534"/>
      <c r="AG1204" s="534"/>
      <c r="AH1204" s="534"/>
      <c r="AI1204" s="534"/>
      <c r="AN1204" s="743"/>
      <c r="AO1204" s="743"/>
    </row>
    <row r="1205" spans="1:41" s="267" customFormat="1" x14ac:dyDescent="0.25">
      <c r="A1205" s="1058"/>
      <c r="B1205" s="293" t="s">
        <v>5</v>
      </c>
      <c r="C1205" s="300">
        <v>42701.5</v>
      </c>
      <c r="D1205" s="264">
        <v>77199.3</v>
      </c>
      <c r="E1205" s="300">
        <v>78613.8</v>
      </c>
      <c r="F1205" s="307">
        <v>156422.20000000001</v>
      </c>
      <c r="G1205" s="307">
        <v>85582.7</v>
      </c>
      <c r="H1205" s="307">
        <v>47094.9</v>
      </c>
      <c r="I1205" s="307">
        <v>67688.7</v>
      </c>
      <c r="J1205" s="264">
        <v>7622</v>
      </c>
      <c r="K1205" s="300">
        <v>155259.9</v>
      </c>
      <c r="L1205" s="307">
        <v>55077.9</v>
      </c>
      <c r="M1205" s="307">
        <v>44382.3</v>
      </c>
      <c r="N1205" s="307">
        <v>132047.70000000001</v>
      </c>
      <c r="O1205" s="264">
        <v>3902.3</v>
      </c>
      <c r="P1205" s="319">
        <v>4274.8999999999996</v>
      </c>
      <c r="Q1205" s="264">
        <v>2165</v>
      </c>
      <c r="R1205" s="70"/>
      <c r="S1205" s="70"/>
      <c r="T1205" s="70"/>
      <c r="U1205" s="70"/>
      <c r="V1205" s="70"/>
      <c r="W1205" s="70"/>
      <c r="X1205" s="70"/>
      <c r="Y1205" s="70"/>
      <c r="Z1205" s="70"/>
      <c r="AA1205" s="70"/>
      <c r="AB1205" s="70"/>
      <c r="AC1205" s="70"/>
      <c r="AD1205" s="534"/>
      <c r="AE1205" s="534"/>
      <c r="AF1205" s="534"/>
      <c r="AG1205" s="534"/>
      <c r="AH1205" s="534"/>
      <c r="AI1205" s="534"/>
      <c r="AN1205" s="743"/>
      <c r="AO1205" s="743"/>
    </row>
    <row r="1206" spans="1:41" s="267" customFormat="1" ht="15.75" thickBot="1" x14ac:dyDescent="0.3">
      <c r="A1206" s="1059"/>
      <c r="B1206" s="294" t="s">
        <v>3</v>
      </c>
      <c r="C1206" s="301">
        <f t="shared" ref="C1206:Q1206" si="439">C1205/C1204</f>
        <v>0.29779513808979846</v>
      </c>
      <c r="D1206" s="292">
        <f t="shared" si="439"/>
        <v>0.51289831366540928</v>
      </c>
      <c r="E1206" s="305">
        <f t="shared" si="439"/>
        <v>0.52229599816099048</v>
      </c>
      <c r="F1206" s="278">
        <f t="shared" si="439"/>
        <v>0.85947302659702496</v>
      </c>
      <c r="G1206" s="278">
        <f t="shared" si="439"/>
        <v>0.51726447167616085</v>
      </c>
      <c r="H1206" s="278">
        <f t="shared" si="439"/>
        <v>0.35642312233221324</v>
      </c>
      <c r="I1206" s="278">
        <f t="shared" si="439"/>
        <v>0.55788095124279036</v>
      </c>
      <c r="J1206" s="292">
        <f t="shared" si="439"/>
        <v>4.5894125588052358E-2</v>
      </c>
      <c r="K1206" s="305">
        <f t="shared" si="439"/>
        <v>0.80434291575789907</v>
      </c>
      <c r="L1206" s="278">
        <f t="shared" si="439"/>
        <v>0.41683934725978977</v>
      </c>
      <c r="M1206" s="315">
        <f t="shared" si="439"/>
        <v>0.53649564890488277</v>
      </c>
      <c r="N1206" s="278">
        <f t="shared" si="439"/>
        <v>0.74821894723958782</v>
      </c>
      <c r="O1206" s="292">
        <f t="shared" si="439"/>
        <v>4.6993581329254928E-2</v>
      </c>
      <c r="P1206" s="320">
        <f t="shared" si="439"/>
        <v>7.7512647096154186E-2</v>
      </c>
      <c r="Q1206" s="292">
        <f t="shared" si="439"/>
        <v>6.5426633021562083E-2</v>
      </c>
      <c r="R1206" s="70"/>
      <c r="S1206" s="70"/>
      <c r="T1206" s="70"/>
      <c r="U1206" s="70"/>
      <c r="V1206" s="70"/>
      <c r="W1206" s="70"/>
      <c r="X1206" s="70"/>
      <c r="Y1206" s="70"/>
      <c r="Z1206" s="70"/>
      <c r="AA1206" s="70"/>
      <c r="AB1206" s="70"/>
      <c r="AC1206" s="70"/>
      <c r="AD1206" s="534"/>
      <c r="AE1206" s="534"/>
      <c r="AF1206" s="534"/>
      <c r="AG1206" s="534"/>
      <c r="AH1206" s="534"/>
      <c r="AI1206" s="534"/>
      <c r="AN1206" s="743"/>
      <c r="AO1206" s="743"/>
    </row>
    <row r="1207" spans="1:41" s="267" customFormat="1" ht="15" customHeight="1" x14ac:dyDescent="0.25">
      <c r="A1207" s="1060" t="s">
        <v>6</v>
      </c>
      <c r="B1207" s="19" t="s">
        <v>7</v>
      </c>
      <c r="C1207" s="297">
        <v>5870</v>
      </c>
      <c r="D1207" s="266">
        <v>3333</v>
      </c>
      <c r="E1207" s="297">
        <v>3330</v>
      </c>
      <c r="F1207" s="277">
        <v>9457</v>
      </c>
      <c r="G1207" s="277">
        <v>7753</v>
      </c>
      <c r="H1207" s="277">
        <v>15143</v>
      </c>
      <c r="I1207" s="277">
        <v>7183</v>
      </c>
      <c r="J1207" s="266">
        <v>9599</v>
      </c>
      <c r="K1207" s="297">
        <v>9289</v>
      </c>
      <c r="L1207" s="277">
        <v>11463</v>
      </c>
      <c r="M1207" s="277">
        <v>4133</v>
      </c>
      <c r="N1207" s="277">
        <v>9494</v>
      </c>
      <c r="O1207" s="266">
        <v>4799</v>
      </c>
      <c r="P1207" s="321">
        <v>1400</v>
      </c>
      <c r="Q1207" s="266">
        <v>1000</v>
      </c>
      <c r="R1207" s="70"/>
      <c r="S1207" s="70"/>
      <c r="T1207" s="70"/>
      <c r="U1207" s="70"/>
      <c r="V1207" s="70"/>
      <c r="W1207" s="70"/>
      <c r="X1207" s="70"/>
      <c r="Y1207" s="70"/>
      <c r="Z1207" s="70"/>
      <c r="AA1207" s="70"/>
      <c r="AB1207" s="70"/>
      <c r="AC1207" s="70"/>
      <c r="AD1207" s="534"/>
      <c r="AE1207" s="534"/>
      <c r="AF1207" s="534"/>
      <c r="AG1207" s="534"/>
      <c r="AH1207" s="534"/>
      <c r="AI1207" s="534"/>
      <c r="AN1207" s="743"/>
      <c r="AO1207" s="743"/>
    </row>
    <row r="1208" spans="1:41" s="267" customFormat="1" x14ac:dyDescent="0.25">
      <c r="A1208" s="1061"/>
      <c r="B1208" s="295" t="s">
        <v>11</v>
      </c>
      <c r="C1208" s="302">
        <f t="shared" ref="C1208:Q1208" si="440">C1207*33.72</f>
        <v>197936.4</v>
      </c>
      <c r="D1208" s="263">
        <f t="shared" si="440"/>
        <v>112388.76</v>
      </c>
      <c r="E1208" s="302">
        <f t="shared" si="440"/>
        <v>112287.59999999999</v>
      </c>
      <c r="F1208" s="308">
        <f t="shared" si="440"/>
        <v>318890.03999999998</v>
      </c>
      <c r="G1208" s="308">
        <f t="shared" si="440"/>
        <v>261431.16</v>
      </c>
      <c r="H1208" s="308">
        <f t="shared" si="440"/>
        <v>510621.95999999996</v>
      </c>
      <c r="I1208" s="308">
        <f t="shared" si="440"/>
        <v>242210.75999999998</v>
      </c>
      <c r="J1208" s="263">
        <f t="shared" si="440"/>
        <v>323678.27999999997</v>
      </c>
      <c r="K1208" s="302">
        <f t="shared" si="440"/>
        <v>313225.08</v>
      </c>
      <c r="L1208" s="308">
        <f t="shared" si="440"/>
        <v>386532.36</v>
      </c>
      <c r="M1208" s="308">
        <f t="shared" si="440"/>
        <v>139364.76</v>
      </c>
      <c r="N1208" s="308">
        <f t="shared" si="440"/>
        <v>320137.68</v>
      </c>
      <c r="O1208" s="263">
        <f t="shared" si="440"/>
        <v>161822.28</v>
      </c>
      <c r="P1208" s="322">
        <f t="shared" si="440"/>
        <v>47208</v>
      </c>
      <c r="Q1208" s="263">
        <f t="shared" si="440"/>
        <v>33720</v>
      </c>
      <c r="R1208" s="70"/>
      <c r="S1208" s="70"/>
      <c r="T1208" s="70"/>
      <c r="U1208" s="70"/>
      <c r="V1208" s="70"/>
      <c r="W1208" s="70"/>
      <c r="X1208" s="70"/>
      <c r="Y1208" s="70"/>
      <c r="Z1208" s="70"/>
      <c r="AA1208" s="70"/>
      <c r="AB1208" s="70"/>
      <c r="AC1208" s="70"/>
      <c r="AD1208" s="534"/>
      <c r="AE1208" s="534"/>
      <c r="AF1208" s="534"/>
      <c r="AG1208" s="534"/>
      <c r="AH1208" s="534"/>
      <c r="AI1208" s="534"/>
      <c r="AN1208" s="743"/>
      <c r="AO1208" s="743"/>
    </row>
    <row r="1209" spans="1:41" s="267" customFormat="1" x14ac:dyDescent="0.25">
      <c r="A1209" s="1061"/>
      <c r="B1209" s="295" t="s">
        <v>79</v>
      </c>
      <c r="C1209" s="302">
        <v>164000</v>
      </c>
      <c r="D1209" s="263">
        <v>109880</v>
      </c>
      <c r="E1209" s="302">
        <v>109880</v>
      </c>
      <c r="F1209" s="308">
        <v>328000</v>
      </c>
      <c r="G1209" s="308">
        <v>330905</v>
      </c>
      <c r="H1209" s="308">
        <v>264264</v>
      </c>
      <c r="I1209" s="308">
        <v>242663.6</v>
      </c>
      <c r="J1209" s="263">
        <v>328000</v>
      </c>
      <c r="K1209" s="302">
        <v>328000</v>
      </c>
      <c r="L1209" s="308">
        <v>264264.40000000002</v>
      </c>
      <c r="M1209" s="308">
        <v>328000</v>
      </c>
      <c r="N1209" s="308">
        <v>352965.4</v>
      </c>
      <c r="O1209" s="263">
        <v>328000</v>
      </c>
      <c r="P1209" s="322">
        <f>2*P1204</f>
        <v>110302</v>
      </c>
      <c r="Q1209" s="263">
        <f>2*Q1204</f>
        <v>66181</v>
      </c>
      <c r="R1209" s="70"/>
      <c r="S1209" s="70"/>
      <c r="T1209" s="70"/>
      <c r="U1209" s="70"/>
      <c r="V1209" s="70"/>
      <c r="W1209" s="70"/>
      <c r="X1209" s="70"/>
      <c r="Y1209" s="70"/>
      <c r="Z1209" s="70"/>
      <c r="AA1209" s="70"/>
      <c r="AB1209" s="70"/>
      <c r="AC1209" s="70"/>
      <c r="AD1209" s="534"/>
      <c r="AE1209" s="534"/>
      <c r="AF1209" s="534"/>
      <c r="AG1209" s="534"/>
      <c r="AH1209" s="534"/>
      <c r="AI1209" s="534"/>
      <c r="AN1209" s="743"/>
      <c r="AO1209" s="743"/>
    </row>
    <row r="1210" spans="1:41" s="267" customFormat="1" x14ac:dyDescent="0.25">
      <c r="A1210" s="1061"/>
      <c r="B1210" s="293" t="s">
        <v>8</v>
      </c>
      <c r="C1210" s="303">
        <f>SUM(C1207-168)</f>
        <v>5702</v>
      </c>
      <c r="D1210" s="262">
        <f>SUM(D1207-686)</f>
        <v>2647</v>
      </c>
      <c r="E1210" s="303">
        <f>SUM(E1207-652)</f>
        <v>2678</v>
      </c>
      <c r="F1210" s="309">
        <f>SUM(F1207-1211)</f>
        <v>8246</v>
      </c>
      <c r="G1210" s="309">
        <f>SUM(G1207-4214)</f>
        <v>3539</v>
      </c>
      <c r="H1210" s="309">
        <f>SUM(H1207-1752)</f>
        <v>13391</v>
      </c>
      <c r="I1210" s="309">
        <f>SUM(I1207-(3790-2000))</f>
        <v>5393</v>
      </c>
      <c r="J1210" s="262">
        <f>SUM(J1207-9313)</f>
        <v>286</v>
      </c>
      <c r="K1210" s="303">
        <f>SUM(K1207-962)</f>
        <v>8327</v>
      </c>
      <c r="L1210" s="309">
        <f>SUM(L1207-1262)</f>
        <v>10201</v>
      </c>
      <c r="M1210" s="316">
        <f>SUM(M1207-408)</f>
        <v>3725</v>
      </c>
      <c r="N1210" s="309">
        <f>SUM(N1207-(5635-2614))</f>
        <v>6473</v>
      </c>
      <c r="O1210" s="262">
        <f>SUM(O1207-4074)</f>
        <v>725</v>
      </c>
      <c r="P1210" s="323">
        <f>SUM(P1207-861)</f>
        <v>539</v>
      </c>
      <c r="Q1210" s="262">
        <f>SUM(Q1207-655)</f>
        <v>345</v>
      </c>
      <c r="R1210" s="12" t="s">
        <v>176</v>
      </c>
      <c r="S1210" s="70"/>
      <c r="T1210" s="70"/>
      <c r="U1210" s="70"/>
      <c r="V1210" s="70"/>
      <c r="W1210" s="70"/>
      <c r="X1210" s="70"/>
      <c r="Y1210" s="70"/>
      <c r="Z1210" s="70"/>
      <c r="AA1210" s="276"/>
      <c r="AB1210" s="276"/>
      <c r="AD1210" s="743"/>
      <c r="AE1210" s="743"/>
      <c r="AF1210" s="743"/>
      <c r="AG1210" s="743"/>
      <c r="AH1210" s="743"/>
      <c r="AI1210" s="743"/>
      <c r="AN1210" s="743"/>
      <c r="AO1210" s="743"/>
    </row>
    <row r="1211" spans="1:41" s="267" customFormat="1" x14ac:dyDescent="0.25">
      <c r="A1211" s="1061"/>
      <c r="B1211" s="296" t="s">
        <v>77</v>
      </c>
      <c r="C1211" s="302">
        <f>(C1210*33.717)</f>
        <v>192254.334</v>
      </c>
      <c r="D1211" s="338">
        <f>(D1210*33.717)</f>
        <v>89248.89899999999</v>
      </c>
      <c r="E1211" s="302">
        <f>(E1210*33.717)</f>
        <v>90294.126000000004</v>
      </c>
      <c r="F1211" s="338">
        <f>(F1210*33.717)</f>
        <v>278030.38199999998</v>
      </c>
      <c r="G1211" s="280">
        <f>(G1210*33.717)*2</f>
        <v>238648.92599999998</v>
      </c>
      <c r="H1211" s="280">
        <f>(H1210*33.717)</f>
        <v>451504.34700000001</v>
      </c>
      <c r="I1211" s="280">
        <f>(I1210*33.717)-(2000*33.717)</f>
        <v>114401.78099999999</v>
      </c>
      <c r="J1211" s="261">
        <f>J1210*33.717</f>
        <v>9643.0619999999999</v>
      </c>
      <c r="K1211" s="304">
        <f>K1210*33.717</f>
        <v>280761.45899999997</v>
      </c>
      <c r="L1211" s="280">
        <f>L1210*33.717</f>
        <v>343947.11699999997</v>
      </c>
      <c r="M1211" s="280">
        <f>(M1210*33.717)</f>
        <v>125595.825</v>
      </c>
      <c r="N1211" s="280">
        <f>N1210*33.717</f>
        <v>218250.141</v>
      </c>
      <c r="O1211" s="261">
        <f>O1210*33.717</f>
        <v>24444.825000000001</v>
      </c>
      <c r="P1211" s="324">
        <f>P1210*33.717</f>
        <v>18173.463</v>
      </c>
      <c r="Q1211" s="325">
        <f>Q1210*33.717</f>
        <v>11632.365</v>
      </c>
      <c r="R1211" s="63">
        <f>344240-H1211</f>
        <v>-107264.34700000001</v>
      </c>
      <c r="S1211" s="70" t="s">
        <v>177</v>
      </c>
      <c r="T1211" s="70"/>
      <c r="U1211" s="70"/>
      <c r="V1211" s="70"/>
      <c r="W1211" s="70"/>
      <c r="X1211" s="70"/>
      <c r="Y1211" s="70"/>
      <c r="Z1211" s="70"/>
      <c r="AA1211" s="276"/>
      <c r="AB1211" s="276"/>
      <c r="AD1211" s="743"/>
      <c r="AE1211" s="743"/>
      <c r="AF1211" s="743"/>
      <c r="AG1211" s="743"/>
      <c r="AH1211" s="743"/>
      <c r="AI1211" s="743"/>
      <c r="AN1211" s="743"/>
      <c r="AO1211" s="743"/>
    </row>
    <row r="1212" spans="1:41" s="267" customFormat="1" ht="15.75" thickBot="1" x14ac:dyDescent="0.3">
      <c r="A1212" s="1062"/>
      <c r="B1212" s="294" t="s">
        <v>10</v>
      </c>
      <c r="C1212" s="305">
        <f t="shared" ref="C1212:Q1212" si="441">C1211/C1204</f>
        <v>1.3407586605129149</v>
      </c>
      <c r="D1212" s="292">
        <f t="shared" si="441"/>
        <v>0.59295368991162389</v>
      </c>
      <c r="E1212" s="310">
        <f t="shared" si="441"/>
        <v>0.59989799077571926</v>
      </c>
      <c r="F1212" s="282">
        <f t="shared" si="441"/>
        <v>1.5276579277331923</v>
      </c>
      <c r="G1212" s="282">
        <f t="shared" si="441"/>
        <v>1.4424014505673832</v>
      </c>
      <c r="H1212" s="282">
        <f t="shared" si="441"/>
        <v>3.4170704068658613</v>
      </c>
      <c r="I1212" s="282">
        <f t="shared" si="441"/>
        <v>0.94288373699228056</v>
      </c>
      <c r="J1212" s="311">
        <f t="shared" si="441"/>
        <v>5.8063487074439167E-2</v>
      </c>
      <c r="K1212" s="310">
        <f t="shared" si="441"/>
        <v>1.4545191035450997</v>
      </c>
      <c r="L1212" s="282">
        <f t="shared" si="441"/>
        <v>2.6030529802727869</v>
      </c>
      <c r="M1212" s="282">
        <f t="shared" si="441"/>
        <v>1.5182091426789304</v>
      </c>
      <c r="N1212" s="260">
        <f t="shared" si="441"/>
        <v>1.2366659224955194</v>
      </c>
      <c r="O1212" s="311">
        <f t="shared" si="441"/>
        <v>0.29437764183094689</v>
      </c>
      <c r="P1212" s="305">
        <f t="shared" si="441"/>
        <v>0.32952191256731517</v>
      </c>
      <c r="Q1212" s="292">
        <f t="shared" si="441"/>
        <v>0.35153185959716532</v>
      </c>
      <c r="R1212" s="126"/>
      <c r="S1212" s="70"/>
      <c r="T1212" s="70"/>
      <c r="U1212" s="70"/>
      <c r="V1212" s="70"/>
      <c r="W1212" s="70"/>
      <c r="X1212" s="70"/>
      <c r="Y1212" s="70"/>
      <c r="Z1212" s="70"/>
      <c r="AA1212" s="276"/>
      <c r="AB1212" s="276"/>
      <c r="AD1212" s="743"/>
      <c r="AE1212" s="743"/>
      <c r="AF1212" s="743"/>
      <c r="AG1212" s="743"/>
      <c r="AH1212" s="743"/>
      <c r="AI1212" s="743"/>
      <c r="AN1212" s="743"/>
      <c r="AO1212" s="743"/>
    </row>
    <row r="1213" spans="1:41" s="267" customFormat="1" ht="15.75" thickBot="1" x14ac:dyDescent="0.3">
      <c r="A1213" s="1048">
        <v>41341</v>
      </c>
      <c r="B1213" s="1048"/>
      <c r="C1213" s="1048"/>
      <c r="D1213" s="276"/>
      <c r="E1213" s="276"/>
      <c r="F1213" s="276"/>
      <c r="G1213" s="276"/>
      <c r="H1213" s="276"/>
      <c r="I1213" s="11"/>
      <c r="J1213" s="281"/>
      <c r="K1213" s="281"/>
      <c r="L1213" s="276"/>
      <c r="M1213" s="276"/>
      <c r="N1213" s="13"/>
      <c r="R1213" s="12"/>
      <c r="S1213" s="70"/>
      <c r="T1213" s="70"/>
      <c r="U1213" s="70"/>
      <c r="V1213" s="70"/>
      <c r="W1213" s="70"/>
      <c r="X1213" s="70"/>
      <c r="Y1213" s="70"/>
      <c r="Z1213" s="70"/>
      <c r="AA1213" s="276"/>
      <c r="AB1213" s="276"/>
      <c r="AD1213" s="743"/>
      <c r="AE1213" s="743"/>
      <c r="AF1213" s="743"/>
      <c r="AG1213" s="743"/>
      <c r="AH1213" s="743"/>
      <c r="AI1213" s="743"/>
      <c r="AN1213" s="743"/>
      <c r="AO1213" s="743"/>
    </row>
    <row r="1214" spans="1:41" s="267" customFormat="1" x14ac:dyDescent="0.25">
      <c r="A1214" s="1049" t="s">
        <v>1</v>
      </c>
      <c r="B1214" s="1070"/>
      <c r="C1214" s="297" t="s">
        <v>12</v>
      </c>
      <c r="D1214" s="266" t="s">
        <v>12</v>
      </c>
      <c r="E1214" s="297" t="s">
        <v>13</v>
      </c>
      <c r="F1214" s="277" t="s">
        <v>13</v>
      </c>
      <c r="G1214" s="277" t="s">
        <v>13</v>
      </c>
      <c r="H1214" s="277" t="s">
        <v>13</v>
      </c>
      <c r="I1214" s="277" t="s">
        <v>13</v>
      </c>
      <c r="J1214" s="266" t="s">
        <v>13</v>
      </c>
      <c r="K1214" s="297" t="s">
        <v>2</v>
      </c>
      <c r="L1214" s="277" t="s">
        <v>2</v>
      </c>
      <c r="M1214" s="286" t="s">
        <v>2</v>
      </c>
      <c r="N1214" s="277" t="s">
        <v>2</v>
      </c>
      <c r="O1214" s="266" t="s">
        <v>2</v>
      </c>
      <c r="P1214" s="328" t="s">
        <v>183</v>
      </c>
      <c r="Q1214" s="327" t="s">
        <v>183</v>
      </c>
      <c r="R1214" s="12"/>
      <c r="S1214" s="70"/>
      <c r="T1214" s="70"/>
      <c r="U1214" s="70"/>
      <c r="V1214" s="70"/>
      <c r="W1214" s="70"/>
      <c r="X1214" s="70"/>
      <c r="Y1214" s="70"/>
      <c r="Z1214" s="70"/>
      <c r="AA1214" s="276"/>
      <c r="AB1214" s="276"/>
      <c r="AD1214" s="743"/>
      <c r="AE1214" s="743"/>
      <c r="AF1214" s="743"/>
      <c r="AG1214" s="743"/>
      <c r="AH1214" s="743"/>
      <c r="AI1214" s="743"/>
      <c r="AN1214" s="743"/>
      <c r="AO1214" s="743"/>
    </row>
    <row r="1215" spans="1:41" s="267" customFormat="1" ht="15.75" thickBot="1" x14ac:dyDescent="0.3">
      <c r="A1215" s="1054" t="s">
        <v>0</v>
      </c>
      <c r="B1215" s="1072"/>
      <c r="C1215" s="298" t="s">
        <v>99</v>
      </c>
      <c r="D1215" s="291" t="s">
        <v>100</v>
      </c>
      <c r="E1215" s="298" t="s">
        <v>101</v>
      </c>
      <c r="F1215" s="306" t="s">
        <v>102</v>
      </c>
      <c r="G1215" s="306" t="s">
        <v>97</v>
      </c>
      <c r="H1215" s="306" t="s">
        <v>104</v>
      </c>
      <c r="I1215" s="306" t="s">
        <v>103</v>
      </c>
      <c r="J1215" s="314" t="s">
        <v>178</v>
      </c>
      <c r="K1215" s="298" t="s">
        <v>105</v>
      </c>
      <c r="L1215" s="306" t="s">
        <v>107</v>
      </c>
      <c r="M1215" s="312" t="s">
        <v>98</v>
      </c>
      <c r="N1215" s="313" t="s">
        <v>106</v>
      </c>
      <c r="O1215" s="291" t="s">
        <v>179</v>
      </c>
      <c r="P1215" s="317" t="s">
        <v>182</v>
      </c>
      <c r="Q1215" s="291" t="s">
        <v>184</v>
      </c>
      <c r="R1215" s="12"/>
      <c r="S1215" s="12"/>
      <c r="T1215" s="12"/>
      <c r="U1215" s="12"/>
      <c r="V1215" s="12"/>
      <c r="W1215" s="12"/>
      <c r="X1215" s="12"/>
      <c r="Y1215" s="12"/>
      <c r="Z1215" s="12"/>
      <c r="AA1215" s="126"/>
      <c r="AB1215" s="125"/>
      <c r="AC1215" s="126"/>
      <c r="AD1215" s="535"/>
      <c r="AE1215" s="535"/>
      <c r="AF1215" s="535"/>
      <c r="AG1215" s="535"/>
      <c r="AH1215" s="535"/>
      <c r="AI1215" s="535"/>
      <c r="AN1215" s="743"/>
      <c r="AO1215" s="743"/>
    </row>
    <row r="1216" spans="1:41" s="267" customFormat="1" ht="15" customHeight="1" x14ac:dyDescent="0.25">
      <c r="A1216" s="1057" t="s">
        <v>9</v>
      </c>
      <c r="B1216" s="19" t="s">
        <v>4</v>
      </c>
      <c r="C1216" s="299">
        <v>143392.20000000001</v>
      </c>
      <c r="D1216" s="265">
        <v>150515.79999999999</v>
      </c>
      <c r="E1216" s="299">
        <v>150515.79999999999</v>
      </c>
      <c r="F1216" s="283">
        <v>181997.8</v>
      </c>
      <c r="G1216" s="283">
        <v>165452.5</v>
      </c>
      <c r="H1216" s="283">
        <v>132132</v>
      </c>
      <c r="I1216" s="283">
        <v>121331.8</v>
      </c>
      <c r="J1216" s="265">
        <v>166077.9</v>
      </c>
      <c r="K1216" s="299">
        <v>193027</v>
      </c>
      <c r="L1216" s="283">
        <v>132132.20000000001</v>
      </c>
      <c r="M1216" s="283">
        <v>82726.3</v>
      </c>
      <c r="N1216" s="283">
        <v>176482.7</v>
      </c>
      <c r="O1216" s="265">
        <v>83039</v>
      </c>
      <c r="P1216" s="318">
        <v>55151</v>
      </c>
      <c r="Q1216" s="265">
        <v>33090.5</v>
      </c>
      <c r="R1216" s="70"/>
      <c r="S1216" s="70"/>
      <c r="T1216" s="70"/>
      <c r="U1216" s="70"/>
      <c r="V1216" s="70"/>
      <c r="W1216" s="70"/>
      <c r="X1216" s="70"/>
      <c r="Y1216" s="70"/>
      <c r="Z1216" s="70"/>
      <c r="AA1216" s="70"/>
      <c r="AB1216" s="70"/>
      <c r="AC1216" s="70"/>
      <c r="AD1216" s="534"/>
      <c r="AE1216" s="534"/>
      <c r="AF1216" s="534"/>
      <c r="AG1216" s="534"/>
      <c r="AH1216" s="534"/>
      <c r="AI1216" s="534"/>
      <c r="AN1216" s="743"/>
      <c r="AO1216" s="743"/>
    </row>
    <row r="1217" spans="1:41" s="267" customFormat="1" x14ac:dyDescent="0.25">
      <c r="A1217" s="1058"/>
      <c r="B1217" s="293" t="s">
        <v>5</v>
      </c>
      <c r="C1217" s="300">
        <v>41411.300000000003</v>
      </c>
      <c r="D1217" s="264">
        <v>77180.399999999994</v>
      </c>
      <c r="E1217" s="300">
        <v>78594.899999999994</v>
      </c>
      <c r="F1217" s="307">
        <v>155940</v>
      </c>
      <c r="G1217" s="307">
        <v>84718.7</v>
      </c>
      <c r="H1217" s="307">
        <v>43663.7</v>
      </c>
      <c r="I1217" s="307">
        <v>66269</v>
      </c>
      <c r="J1217" s="264">
        <v>7619.8</v>
      </c>
      <c r="K1217" s="300">
        <v>155005.29999999999</v>
      </c>
      <c r="L1217" s="307">
        <v>52424.2</v>
      </c>
      <c r="M1217" s="307">
        <v>43915</v>
      </c>
      <c r="N1217" s="307">
        <v>129430</v>
      </c>
      <c r="O1217" s="264">
        <v>3901.2</v>
      </c>
      <c r="P1217" s="319">
        <v>4225.8</v>
      </c>
      <c r="Q1217" s="264">
        <v>2048.6999999999998</v>
      </c>
      <c r="R1217" s="70"/>
      <c r="S1217" s="70"/>
      <c r="T1217" s="70"/>
      <c r="U1217" s="70"/>
      <c r="V1217" s="70"/>
      <c r="W1217" s="70"/>
      <c r="X1217" s="70"/>
      <c r="Y1217" s="70"/>
      <c r="Z1217" s="70"/>
      <c r="AA1217" s="70"/>
      <c r="AB1217" s="70"/>
      <c r="AC1217" s="70"/>
      <c r="AD1217" s="534"/>
      <c r="AE1217" s="534"/>
      <c r="AF1217" s="534"/>
      <c r="AG1217" s="534"/>
      <c r="AH1217" s="534"/>
      <c r="AI1217" s="534"/>
      <c r="AN1217" s="743"/>
      <c r="AO1217" s="743"/>
    </row>
    <row r="1218" spans="1:41" s="267" customFormat="1" ht="15.75" thickBot="1" x14ac:dyDescent="0.3">
      <c r="A1218" s="1059"/>
      <c r="B1218" s="294" t="s">
        <v>3</v>
      </c>
      <c r="C1218" s="301">
        <f t="shared" ref="C1218:Q1218" si="442">C1217/C1216</f>
        <v>0.28879743807543229</v>
      </c>
      <c r="D1218" s="292">
        <f t="shared" si="442"/>
        <v>0.51277274545263685</v>
      </c>
      <c r="E1218" s="305">
        <f t="shared" si="442"/>
        <v>0.52217042994821805</v>
      </c>
      <c r="F1218" s="278">
        <f t="shared" si="442"/>
        <v>0.8568235440208618</v>
      </c>
      <c r="G1218" s="278">
        <f t="shared" si="442"/>
        <v>0.51204242909596409</v>
      </c>
      <c r="H1218" s="278">
        <f t="shared" si="442"/>
        <v>0.33045515090969635</v>
      </c>
      <c r="I1218" s="278">
        <f t="shared" si="442"/>
        <v>0.54617997919753924</v>
      </c>
      <c r="J1218" s="292">
        <f t="shared" si="442"/>
        <v>4.5880878792422114E-2</v>
      </c>
      <c r="K1218" s="305">
        <f t="shared" si="442"/>
        <v>0.80302392929486544</v>
      </c>
      <c r="L1218" s="278">
        <f t="shared" si="442"/>
        <v>0.39675567348458585</v>
      </c>
      <c r="M1218" s="315">
        <f t="shared" si="442"/>
        <v>0.53084690116685984</v>
      </c>
      <c r="N1218" s="278">
        <f t="shared" si="442"/>
        <v>0.733386331918086</v>
      </c>
      <c r="O1218" s="292">
        <f t="shared" si="442"/>
        <v>4.6980334541600929E-2</v>
      </c>
      <c r="P1218" s="320">
        <f t="shared" si="442"/>
        <v>7.6622364055048867E-2</v>
      </c>
      <c r="Q1218" s="292">
        <f t="shared" si="442"/>
        <v>6.1912029132228277E-2</v>
      </c>
      <c r="R1218" s="70"/>
      <c r="S1218" s="70"/>
      <c r="T1218" s="70"/>
      <c r="U1218" s="70"/>
      <c r="V1218" s="70"/>
      <c r="W1218" s="70"/>
      <c r="X1218" s="70"/>
      <c r="Y1218" s="70"/>
      <c r="Z1218" s="70"/>
      <c r="AA1218" s="70"/>
      <c r="AB1218" s="70"/>
      <c r="AC1218" s="70"/>
      <c r="AD1218" s="534"/>
      <c r="AE1218" s="534"/>
      <c r="AF1218" s="534"/>
      <c r="AG1218" s="534"/>
      <c r="AH1218" s="534"/>
      <c r="AI1218" s="534"/>
      <c r="AN1218" s="743"/>
      <c r="AO1218" s="743"/>
    </row>
    <row r="1219" spans="1:41" s="267" customFormat="1" ht="15" customHeight="1" x14ac:dyDescent="0.25">
      <c r="A1219" s="1060" t="s">
        <v>6</v>
      </c>
      <c r="B1219" s="19" t="s">
        <v>7</v>
      </c>
      <c r="C1219" s="297">
        <v>5870</v>
      </c>
      <c r="D1219" s="266">
        <v>3333</v>
      </c>
      <c r="E1219" s="297">
        <v>3330</v>
      </c>
      <c r="F1219" s="277">
        <v>9457</v>
      </c>
      <c r="G1219" s="277">
        <v>7753</v>
      </c>
      <c r="H1219" s="277">
        <v>15143</v>
      </c>
      <c r="I1219" s="277">
        <v>7183</v>
      </c>
      <c r="J1219" s="266">
        <v>9599</v>
      </c>
      <c r="K1219" s="297">
        <v>9289</v>
      </c>
      <c r="L1219" s="277">
        <v>11463</v>
      </c>
      <c r="M1219" s="277">
        <v>4133</v>
      </c>
      <c r="N1219" s="277">
        <v>9494</v>
      </c>
      <c r="O1219" s="266">
        <v>4799</v>
      </c>
      <c r="P1219" s="321">
        <v>1400</v>
      </c>
      <c r="Q1219" s="266">
        <v>1000</v>
      </c>
      <c r="R1219" s="70"/>
      <c r="S1219" s="70"/>
      <c r="T1219" s="70"/>
      <c r="U1219" s="70"/>
      <c r="V1219" s="70"/>
      <c r="W1219" s="70"/>
      <c r="X1219" s="70"/>
      <c r="Y1219" s="70"/>
      <c r="Z1219" s="70"/>
      <c r="AA1219" s="70"/>
      <c r="AB1219" s="70"/>
      <c r="AC1219" s="70"/>
      <c r="AD1219" s="534"/>
      <c r="AE1219" s="534"/>
      <c r="AF1219" s="534"/>
      <c r="AG1219" s="534"/>
      <c r="AH1219" s="534"/>
      <c r="AI1219" s="534"/>
      <c r="AN1219" s="743"/>
      <c r="AO1219" s="743"/>
    </row>
    <row r="1220" spans="1:41" s="267" customFormat="1" x14ac:dyDescent="0.25">
      <c r="A1220" s="1061"/>
      <c r="B1220" s="295" t="s">
        <v>11</v>
      </c>
      <c r="C1220" s="302">
        <f t="shared" ref="C1220:Q1220" si="443">C1219*33.72</f>
        <v>197936.4</v>
      </c>
      <c r="D1220" s="263">
        <f t="shared" si="443"/>
        <v>112388.76</v>
      </c>
      <c r="E1220" s="302">
        <f t="shared" si="443"/>
        <v>112287.59999999999</v>
      </c>
      <c r="F1220" s="308">
        <f t="shared" si="443"/>
        <v>318890.03999999998</v>
      </c>
      <c r="G1220" s="308">
        <f t="shared" si="443"/>
        <v>261431.16</v>
      </c>
      <c r="H1220" s="308">
        <f t="shared" si="443"/>
        <v>510621.95999999996</v>
      </c>
      <c r="I1220" s="308">
        <f t="shared" si="443"/>
        <v>242210.75999999998</v>
      </c>
      <c r="J1220" s="263">
        <f t="shared" si="443"/>
        <v>323678.27999999997</v>
      </c>
      <c r="K1220" s="302">
        <f t="shared" si="443"/>
        <v>313225.08</v>
      </c>
      <c r="L1220" s="308">
        <f t="shared" si="443"/>
        <v>386532.36</v>
      </c>
      <c r="M1220" s="308">
        <f t="shared" si="443"/>
        <v>139364.76</v>
      </c>
      <c r="N1220" s="308">
        <f t="shared" si="443"/>
        <v>320137.68</v>
      </c>
      <c r="O1220" s="263">
        <f t="shared" si="443"/>
        <v>161822.28</v>
      </c>
      <c r="P1220" s="322">
        <f t="shared" si="443"/>
        <v>47208</v>
      </c>
      <c r="Q1220" s="263">
        <f t="shared" si="443"/>
        <v>33720</v>
      </c>
      <c r="R1220" s="70"/>
      <c r="S1220" s="70"/>
      <c r="T1220" s="70"/>
      <c r="U1220" s="70"/>
      <c r="V1220" s="70"/>
      <c r="W1220" s="70"/>
      <c r="X1220" s="70"/>
      <c r="Y1220" s="70"/>
      <c r="Z1220" s="70"/>
      <c r="AA1220" s="70"/>
      <c r="AB1220" s="70"/>
      <c r="AC1220" s="70"/>
      <c r="AD1220" s="534"/>
      <c r="AE1220" s="534"/>
      <c r="AF1220" s="534"/>
      <c r="AG1220" s="534"/>
      <c r="AH1220" s="534"/>
      <c r="AI1220" s="534"/>
      <c r="AN1220" s="743"/>
      <c r="AO1220" s="743"/>
    </row>
    <row r="1221" spans="1:41" s="267" customFormat="1" x14ac:dyDescent="0.25">
      <c r="A1221" s="1061"/>
      <c r="B1221" s="295" t="s">
        <v>79</v>
      </c>
      <c r="C1221" s="302">
        <v>164000</v>
      </c>
      <c r="D1221" s="263">
        <v>109880</v>
      </c>
      <c r="E1221" s="302">
        <v>109880</v>
      </c>
      <c r="F1221" s="308">
        <v>328000</v>
      </c>
      <c r="G1221" s="308">
        <v>330905</v>
      </c>
      <c r="H1221" s="308">
        <v>264264</v>
      </c>
      <c r="I1221" s="308">
        <v>242663.6</v>
      </c>
      <c r="J1221" s="263">
        <v>328000</v>
      </c>
      <c r="K1221" s="302">
        <v>328000</v>
      </c>
      <c r="L1221" s="308">
        <v>264264.40000000002</v>
      </c>
      <c r="M1221" s="308">
        <v>328000</v>
      </c>
      <c r="N1221" s="308">
        <v>352965.4</v>
      </c>
      <c r="O1221" s="263">
        <v>328000</v>
      </c>
      <c r="P1221" s="322">
        <f>2*P1216</f>
        <v>110302</v>
      </c>
      <c r="Q1221" s="263">
        <f>2*Q1216</f>
        <v>66181</v>
      </c>
      <c r="R1221" s="70"/>
      <c r="S1221" s="70"/>
      <c r="T1221" s="70"/>
      <c r="U1221" s="70"/>
      <c r="V1221" s="70"/>
      <c r="W1221" s="70"/>
      <c r="X1221" s="70"/>
      <c r="Y1221" s="70"/>
      <c r="Z1221" s="70"/>
      <c r="AA1221" s="70"/>
      <c r="AB1221" s="70"/>
      <c r="AC1221" s="70"/>
      <c r="AD1221" s="534"/>
      <c r="AE1221" s="534"/>
      <c r="AF1221" s="534"/>
      <c r="AG1221" s="534"/>
      <c r="AH1221" s="534"/>
      <c r="AI1221" s="534"/>
      <c r="AN1221" s="743"/>
      <c r="AO1221" s="743"/>
    </row>
    <row r="1222" spans="1:41" s="267" customFormat="1" x14ac:dyDescent="0.25">
      <c r="A1222" s="1061"/>
      <c r="B1222" s="293" t="s">
        <v>8</v>
      </c>
      <c r="C1222" s="303">
        <f>SUM(C1219-195)</f>
        <v>5675</v>
      </c>
      <c r="D1222" s="262">
        <f>SUM(D1219-689)</f>
        <v>2644</v>
      </c>
      <c r="E1222" s="303">
        <f>SUM(E1219-655)</f>
        <v>2675</v>
      </c>
      <c r="F1222" s="309">
        <f>SUM(F1219-1211)</f>
        <v>8246</v>
      </c>
      <c r="G1222" s="309">
        <f>SUM(G1219-4214)</f>
        <v>3539</v>
      </c>
      <c r="H1222" s="309">
        <f>SUM(H1219-1752)</f>
        <v>13391</v>
      </c>
      <c r="I1222" s="309">
        <f>SUM(I1219-(3790-2000))</f>
        <v>5393</v>
      </c>
      <c r="J1222" s="262">
        <f>SUM(J1219-9313)</f>
        <v>286</v>
      </c>
      <c r="K1222" s="303">
        <f>SUM(K1219-962)</f>
        <v>8327</v>
      </c>
      <c r="L1222" s="309">
        <f>SUM(L1219-1262)</f>
        <v>10201</v>
      </c>
      <c r="M1222" s="316">
        <f>SUM(M1219-408)</f>
        <v>3725</v>
      </c>
      <c r="N1222" s="309">
        <f>SUM(N1219-(5635-2614))</f>
        <v>6473</v>
      </c>
      <c r="O1222" s="262">
        <f>SUM(O1219-4074)</f>
        <v>725</v>
      </c>
      <c r="P1222" s="323">
        <f>SUM(P1219-861)</f>
        <v>539</v>
      </c>
      <c r="Q1222" s="262">
        <f>SUM(Q1219-655)</f>
        <v>345</v>
      </c>
      <c r="R1222" s="12" t="s">
        <v>176</v>
      </c>
      <c r="S1222" s="70"/>
      <c r="T1222" s="70"/>
      <c r="U1222" s="70"/>
      <c r="V1222" s="70"/>
      <c r="W1222" s="70"/>
      <c r="X1222" s="70"/>
      <c r="Y1222" s="70"/>
      <c r="Z1222" s="70"/>
      <c r="AA1222" s="276"/>
      <c r="AB1222" s="276"/>
      <c r="AD1222" s="743"/>
      <c r="AE1222" s="743"/>
      <c r="AF1222" s="743"/>
      <c r="AG1222" s="743"/>
      <c r="AH1222" s="743"/>
      <c r="AI1222" s="743"/>
      <c r="AN1222" s="743"/>
      <c r="AO1222" s="743"/>
    </row>
    <row r="1223" spans="1:41" s="267" customFormat="1" x14ac:dyDescent="0.25">
      <c r="A1223" s="1061"/>
      <c r="B1223" s="296" t="s">
        <v>77</v>
      </c>
      <c r="C1223" s="304">
        <f>C1222*33.72</f>
        <v>191361</v>
      </c>
      <c r="D1223" s="261">
        <f>D1222*33.72</f>
        <v>89155.68</v>
      </c>
      <c r="E1223" s="304">
        <f>E1222*33.72</f>
        <v>90201</v>
      </c>
      <c r="F1223" s="280">
        <f>F1222*33.72</f>
        <v>278055.12</v>
      </c>
      <c r="G1223" s="280">
        <f>G1222*33.72*2</f>
        <v>238670.16</v>
      </c>
      <c r="H1223" s="280">
        <f>H1222*33.72</f>
        <v>451544.51999999996</v>
      </c>
      <c r="I1223" s="280">
        <f>(I1222*33.72)-(2000*33.72)</f>
        <v>114411.95999999999</v>
      </c>
      <c r="J1223" s="261">
        <f>J1222*33.72</f>
        <v>9643.92</v>
      </c>
      <c r="K1223" s="304">
        <f>K1222*33.72</f>
        <v>280786.44</v>
      </c>
      <c r="L1223" s="280">
        <f>L1222*33.72</f>
        <v>343977.72</v>
      </c>
      <c r="M1223" s="280">
        <f>((M1222*33.72)-(2614*33.72))*2</f>
        <v>74925.84</v>
      </c>
      <c r="N1223" s="280">
        <f>N1222*33.72</f>
        <v>218269.56</v>
      </c>
      <c r="O1223" s="261">
        <f>O1222*33.72</f>
        <v>24447</v>
      </c>
      <c r="P1223" s="324">
        <f>P1222*33.72</f>
        <v>18175.079999999998</v>
      </c>
      <c r="Q1223" s="325">
        <f>Q1222*33.72</f>
        <v>11633.4</v>
      </c>
      <c r="R1223" s="63">
        <f>344240-H1223</f>
        <v>-107304.51999999996</v>
      </c>
      <c r="S1223" s="70" t="s">
        <v>177</v>
      </c>
      <c r="T1223" s="70"/>
      <c r="U1223" s="70"/>
      <c r="V1223" s="70"/>
      <c r="W1223" s="70"/>
      <c r="X1223" s="70"/>
      <c r="Y1223" s="70"/>
      <c r="Z1223" s="70"/>
      <c r="AA1223" s="276"/>
      <c r="AB1223" s="276"/>
      <c r="AD1223" s="743"/>
      <c r="AE1223" s="743"/>
      <c r="AF1223" s="743"/>
      <c r="AG1223" s="743"/>
      <c r="AH1223" s="743"/>
      <c r="AI1223" s="743"/>
      <c r="AN1223" s="743"/>
      <c r="AO1223" s="743"/>
    </row>
    <row r="1224" spans="1:41" s="267" customFormat="1" ht="15.75" thickBot="1" x14ac:dyDescent="0.3">
      <c r="A1224" s="1062"/>
      <c r="B1224" s="294" t="s">
        <v>10</v>
      </c>
      <c r="C1224" s="305">
        <f t="shared" ref="C1224:Q1224" si="444">C1223/C1216</f>
        <v>1.3345286563704302</v>
      </c>
      <c r="D1224" s="292">
        <f t="shared" si="444"/>
        <v>0.59233435958218339</v>
      </c>
      <c r="E1224" s="310">
        <f t="shared" si="444"/>
        <v>0.59927927832161143</v>
      </c>
      <c r="F1224" s="282">
        <f t="shared" si="444"/>
        <v>1.5277938524531616</v>
      </c>
      <c r="G1224" s="282">
        <f t="shared" si="444"/>
        <v>1.4425297895166287</v>
      </c>
      <c r="H1224" s="282">
        <f t="shared" si="444"/>
        <v>3.4173744437380797</v>
      </c>
      <c r="I1224" s="282">
        <f t="shared" si="444"/>
        <v>0.94296763090962132</v>
      </c>
      <c r="J1224" s="311">
        <f t="shared" si="444"/>
        <v>5.8068653324734959E-2</v>
      </c>
      <c r="K1224" s="310">
        <f t="shared" si="444"/>
        <v>1.4546485206732738</v>
      </c>
      <c r="L1224" s="282">
        <f t="shared" si="444"/>
        <v>2.6032845892220058</v>
      </c>
      <c r="M1224" s="282">
        <f t="shared" si="444"/>
        <v>0.90570761656208476</v>
      </c>
      <c r="N1224" s="260">
        <f t="shared" si="444"/>
        <v>1.2367759559435569</v>
      </c>
      <c r="O1224" s="311">
        <f t="shared" si="444"/>
        <v>0.29440383434289913</v>
      </c>
      <c r="P1224" s="305">
        <f t="shared" si="444"/>
        <v>0.32955123207194786</v>
      </c>
      <c r="Q1224" s="292">
        <f t="shared" si="444"/>
        <v>0.35156313745636963</v>
      </c>
      <c r="R1224" s="126"/>
      <c r="S1224" s="70"/>
      <c r="T1224" s="70"/>
      <c r="U1224" s="70"/>
      <c r="V1224" s="70"/>
      <c r="W1224" s="70"/>
      <c r="X1224" s="70"/>
      <c r="Y1224" s="70"/>
      <c r="Z1224" s="70"/>
      <c r="AA1224" s="276"/>
      <c r="AB1224" s="276"/>
      <c r="AD1224" s="743"/>
      <c r="AE1224" s="743"/>
      <c r="AF1224" s="743"/>
      <c r="AG1224" s="743"/>
      <c r="AH1224" s="743"/>
      <c r="AI1224" s="743"/>
      <c r="AN1224" s="743"/>
      <c r="AO1224" s="743"/>
    </row>
    <row r="1225" spans="1:41" s="267" customFormat="1" ht="15.75" thickBot="1" x14ac:dyDescent="0.3">
      <c r="A1225" s="1048">
        <v>41340</v>
      </c>
      <c r="B1225" s="1048"/>
      <c r="C1225" s="1048"/>
      <c r="D1225" s="276"/>
      <c r="E1225" s="276"/>
      <c r="F1225" s="276"/>
      <c r="G1225" s="276"/>
      <c r="H1225" s="276"/>
      <c r="I1225" s="11"/>
      <c r="J1225" s="281"/>
      <c r="K1225" s="281"/>
      <c r="L1225" s="276"/>
      <c r="M1225" s="276"/>
      <c r="N1225" s="13"/>
      <c r="R1225" s="12"/>
      <c r="S1225" s="70"/>
      <c r="T1225" s="70"/>
      <c r="U1225" s="70"/>
      <c r="V1225" s="70"/>
      <c r="W1225" s="70"/>
      <c r="X1225" s="70"/>
      <c r="Y1225" s="70"/>
      <c r="Z1225" s="70"/>
      <c r="AA1225" s="276"/>
      <c r="AB1225" s="276"/>
      <c r="AD1225" s="743"/>
      <c r="AE1225" s="743"/>
      <c r="AF1225" s="743"/>
      <c r="AG1225" s="743"/>
      <c r="AH1225" s="743"/>
      <c r="AI1225" s="743"/>
      <c r="AN1225" s="743"/>
      <c r="AO1225" s="743"/>
    </row>
    <row r="1226" spans="1:41" s="267" customFormat="1" x14ac:dyDescent="0.25">
      <c r="A1226" s="1049" t="s">
        <v>1</v>
      </c>
      <c r="B1226" s="1070"/>
      <c r="C1226" s="297" t="s">
        <v>12</v>
      </c>
      <c r="D1226" s="266" t="s">
        <v>12</v>
      </c>
      <c r="E1226" s="297" t="s">
        <v>13</v>
      </c>
      <c r="F1226" s="277" t="s">
        <v>13</v>
      </c>
      <c r="G1226" s="277" t="s">
        <v>13</v>
      </c>
      <c r="H1226" s="277" t="s">
        <v>13</v>
      </c>
      <c r="I1226" s="277" t="s">
        <v>13</v>
      </c>
      <c r="J1226" s="266" t="s">
        <v>13</v>
      </c>
      <c r="K1226" s="297" t="s">
        <v>2</v>
      </c>
      <c r="L1226" s="277" t="s">
        <v>2</v>
      </c>
      <c r="M1226" s="286" t="s">
        <v>2</v>
      </c>
      <c r="N1226" s="277" t="s">
        <v>2</v>
      </c>
      <c r="O1226" s="266" t="s">
        <v>2</v>
      </c>
      <c r="P1226" s="328" t="s">
        <v>183</v>
      </c>
      <c r="Q1226" s="327" t="s">
        <v>183</v>
      </c>
      <c r="R1226" s="12"/>
      <c r="S1226" s="70"/>
      <c r="T1226" s="70"/>
      <c r="U1226" s="70"/>
      <c r="V1226" s="70"/>
      <c r="W1226" s="70"/>
      <c r="X1226" s="70"/>
      <c r="Y1226" s="70"/>
      <c r="Z1226" s="70"/>
      <c r="AA1226" s="276"/>
      <c r="AB1226" s="276"/>
      <c r="AD1226" s="743"/>
      <c r="AE1226" s="743"/>
      <c r="AF1226" s="743"/>
      <c r="AG1226" s="743"/>
      <c r="AH1226" s="743"/>
      <c r="AI1226" s="743"/>
      <c r="AN1226" s="743"/>
      <c r="AO1226" s="743"/>
    </row>
    <row r="1227" spans="1:41" s="267" customFormat="1" ht="15.75" thickBot="1" x14ac:dyDescent="0.3">
      <c r="A1227" s="1054" t="s">
        <v>0</v>
      </c>
      <c r="B1227" s="1072"/>
      <c r="C1227" s="298" t="s">
        <v>99</v>
      </c>
      <c r="D1227" s="291" t="s">
        <v>100</v>
      </c>
      <c r="E1227" s="298" t="s">
        <v>101</v>
      </c>
      <c r="F1227" s="306" t="s">
        <v>102</v>
      </c>
      <c r="G1227" s="306" t="s">
        <v>97</v>
      </c>
      <c r="H1227" s="306" t="s">
        <v>104</v>
      </c>
      <c r="I1227" s="306" t="s">
        <v>103</v>
      </c>
      <c r="J1227" s="314" t="s">
        <v>178</v>
      </c>
      <c r="K1227" s="298" t="s">
        <v>105</v>
      </c>
      <c r="L1227" s="306" t="s">
        <v>107</v>
      </c>
      <c r="M1227" s="312" t="s">
        <v>98</v>
      </c>
      <c r="N1227" s="313" t="s">
        <v>106</v>
      </c>
      <c r="O1227" s="291" t="s">
        <v>179</v>
      </c>
      <c r="P1227" s="317" t="s">
        <v>182</v>
      </c>
      <c r="Q1227" s="291" t="s">
        <v>184</v>
      </c>
      <c r="R1227" s="12"/>
      <c r="S1227" s="12"/>
      <c r="T1227" s="12"/>
      <c r="U1227" s="12"/>
      <c r="V1227" s="12"/>
      <c r="W1227" s="12"/>
      <c r="X1227" s="12"/>
      <c r="Y1227" s="12"/>
      <c r="Z1227" s="12"/>
      <c r="AA1227" s="126"/>
      <c r="AB1227" s="125"/>
      <c r="AC1227" s="126"/>
      <c r="AD1227" s="535"/>
      <c r="AE1227" s="535"/>
      <c r="AF1227" s="535"/>
      <c r="AG1227" s="535"/>
      <c r="AH1227" s="535"/>
      <c r="AI1227" s="535"/>
      <c r="AN1227" s="743"/>
      <c r="AO1227" s="743"/>
    </row>
    <row r="1228" spans="1:41" s="267" customFormat="1" ht="15" customHeight="1" x14ac:dyDescent="0.25">
      <c r="A1228" s="1057" t="s">
        <v>9</v>
      </c>
      <c r="B1228" s="19" t="s">
        <v>4</v>
      </c>
      <c r="C1228" s="299">
        <v>143392.20000000001</v>
      </c>
      <c r="D1228" s="265">
        <v>150515.79999999999</v>
      </c>
      <c r="E1228" s="299">
        <v>150515.79999999999</v>
      </c>
      <c r="F1228" s="283">
        <v>181997.8</v>
      </c>
      <c r="G1228" s="283">
        <v>165452.5</v>
      </c>
      <c r="H1228" s="283">
        <v>132132</v>
      </c>
      <c r="I1228" s="283">
        <v>121331.8</v>
      </c>
      <c r="J1228" s="265">
        <v>166077.9</v>
      </c>
      <c r="K1228" s="299">
        <v>193027</v>
      </c>
      <c r="L1228" s="283">
        <v>132132.20000000001</v>
      </c>
      <c r="M1228" s="283">
        <v>82726.3</v>
      </c>
      <c r="N1228" s="283">
        <v>176482.7</v>
      </c>
      <c r="O1228" s="265">
        <v>83039</v>
      </c>
      <c r="P1228" s="318">
        <v>55151</v>
      </c>
      <c r="Q1228" s="265">
        <v>33090.5</v>
      </c>
      <c r="R1228" s="70"/>
      <c r="S1228" s="70"/>
      <c r="T1228" s="70"/>
      <c r="U1228" s="70"/>
      <c r="V1228" s="70"/>
      <c r="W1228" s="70"/>
      <c r="X1228" s="70"/>
      <c r="Y1228" s="70"/>
      <c r="Z1228" s="70"/>
      <c r="AA1228" s="70"/>
      <c r="AB1228" s="70"/>
      <c r="AC1228" s="70"/>
      <c r="AD1228" s="534"/>
      <c r="AE1228" s="534"/>
      <c r="AF1228" s="534"/>
      <c r="AG1228" s="534"/>
      <c r="AH1228" s="534"/>
      <c r="AI1228" s="534"/>
      <c r="AN1228" s="743"/>
      <c r="AO1228" s="743"/>
    </row>
    <row r="1229" spans="1:41" s="267" customFormat="1" x14ac:dyDescent="0.25">
      <c r="A1229" s="1058"/>
      <c r="B1229" s="293" t="s">
        <v>5</v>
      </c>
      <c r="C1229" s="300">
        <v>41607</v>
      </c>
      <c r="D1229" s="264">
        <v>77144.100000000006</v>
      </c>
      <c r="E1229" s="300">
        <v>78586.8</v>
      </c>
      <c r="F1229" s="307">
        <v>155728.1</v>
      </c>
      <c r="G1229" s="307">
        <v>84622.7</v>
      </c>
      <c r="H1229" s="307">
        <v>44431</v>
      </c>
      <c r="I1229" s="307">
        <v>66230</v>
      </c>
      <c r="J1229" s="264">
        <v>7619.8</v>
      </c>
      <c r="K1229" s="300">
        <v>154924.79999999999</v>
      </c>
      <c r="L1229" s="307">
        <v>53178.3</v>
      </c>
      <c r="M1229" s="307">
        <v>43866.8</v>
      </c>
      <c r="N1229" s="307">
        <v>129370.9</v>
      </c>
      <c r="O1229" s="264">
        <v>3901.2</v>
      </c>
      <c r="P1229" s="319">
        <v>2990.8</v>
      </c>
      <c r="Q1229" s="264">
        <v>1960.9</v>
      </c>
      <c r="R1229" s="70"/>
      <c r="S1229" s="70"/>
      <c r="T1229" s="70"/>
      <c r="U1229" s="70"/>
      <c r="V1229" s="70"/>
      <c r="W1229" s="70"/>
      <c r="X1229" s="70"/>
      <c r="Y1229" s="70"/>
      <c r="Z1229" s="70"/>
      <c r="AA1229" s="70"/>
      <c r="AB1229" s="70"/>
      <c r="AC1229" s="70"/>
      <c r="AD1229" s="534"/>
      <c r="AE1229" s="534"/>
      <c r="AF1229" s="534"/>
      <c r="AG1229" s="534"/>
      <c r="AH1229" s="534"/>
      <c r="AI1229" s="534"/>
      <c r="AN1229" s="743"/>
      <c r="AO1229" s="743"/>
    </row>
    <row r="1230" spans="1:41" s="267" customFormat="1" ht="15.75" thickBot="1" x14ac:dyDescent="0.3">
      <c r="A1230" s="1059"/>
      <c r="B1230" s="294" t="s">
        <v>3</v>
      </c>
      <c r="C1230" s="301">
        <f t="shared" ref="C1230:Q1230" si="445">C1229/C1228</f>
        <v>0.2901622263972517</v>
      </c>
      <c r="D1230" s="292">
        <f t="shared" si="445"/>
        <v>0.51253157475826461</v>
      </c>
      <c r="E1230" s="305">
        <f t="shared" si="445"/>
        <v>0.52211661499988715</v>
      </c>
      <c r="F1230" s="278">
        <f t="shared" si="445"/>
        <v>0.85565924423262263</v>
      </c>
      <c r="G1230" s="278">
        <f t="shared" si="445"/>
        <v>0.51146220214260885</v>
      </c>
      <c r="H1230" s="278">
        <f t="shared" si="445"/>
        <v>0.33626222262585898</v>
      </c>
      <c r="I1230" s="278">
        <f t="shared" si="445"/>
        <v>0.54585854656404997</v>
      </c>
      <c r="J1230" s="292">
        <f t="shared" si="445"/>
        <v>4.5880878792422114E-2</v>
      </c>
      <c r="K1230" s="305">
        <f t="shared" si="445"/>
        <v>0.80260688919166745</v>
      </c>
      <c r="L1230" s="278">
        <f t="shared" si="445"/>
        <v>0.40246283646227032</v>
      </c>
      <c r="M1230" s="315">
        <f t="shared" si="445"/>
        <v>0.530264256953351</v>
      </c>
      <c r="N1230" s="278">
        <f t="shared" si="445"/>
        <v>0.73305145490181178</v>
      </c>
      <c r="O1230" s="292">
        <f t="shared" si="445"/>
        <v>4.6980334541600929E-2</v>
      </c>
      <c r="P1230" s="320">
        <f t="shared" si="445"/>
        <v>5.4229297746187739E-2</v>
      </c>
      <c r="Q1230" s="292">
        <f t="shared" si="445"/>
        <v>5.9258699626781104E-2</v>
      </c>
      <c r="R1230" s="70"/>
      <c r="S1230" s="70"/>
      <c r="T1230" s="70"/>
      <c r="U1230" s="70"/>
      <c r="V1230" s="70"/>
      <c r="W1230" s="70"/>
      <c r="X1230" s="70"/>
      <c r="Y1230" s="70"/>
      <c r="Z1230" s="70"/>
      <c r="AA1230" s="70"/>
      <c r="AB1230" s="70"/>
      <c r="AC1230" s="70"/>
      <c r="AD1230" s="534"/>
      <c r="AE1230" s="534"/>
      <c r="AF1230" s="534"/>
      <c r="AG1230" s="534"/>
      <c r="AH1230" s="534"/>
      <c r="AI1230" s="534"/>
      <c r="AN1230" s="743"/>
      <c r="AO1230" s="743"/>
    </row>
    <row r="1231" spans="1:41" s="267" customFormat="1" ht="15" customHeight="1" x14ac:dyDescent="0.25">
      <c r="A1231" s="1060" t="s">
        <v>6</v>
      </c>
      <c r="B1231" s="19" t="s">
        <v>7</v>
      </c>
      <c r="C1231" s="297">
        <v>5806</v>
      </c>
      <c r="D1231" s="266">
        <v>3333</v>
      </c>
      <c r="E1231" s="297">
        <v>3330</v>
      </c>
      <c r="F1231" s="277">
        <v>9457</v>
      </c>
      <c r="G1231" s="277">
        <v>7753</v>
      </c>
      <c r="H1231" s="277">
        <v>15143</v>
      </c>
      <c r="I1231" s="277">
        <v>7183</v>
      </c>
      <c r="J1231" s="266">
        <v>9599</v>
      </c>
      <c r="K1231" s="297">
        <v>9289</v>
      </c>
      <c r="L1231" s="277">
        <v>11463</v>
      </c>
      <c r="M1231" s="277">
        <v>4133</v>
      </c>
      <c r="N1231" s="277">
        <v>9494</v>
      </c>
      <c r="O1231" s="266">
        <v>4799</v>
      </c>
      <c r="P1231" s="321">
        <v>1400</v>
      </c>
      <c r="Q1231" s="266">
        <v>1000</v>
      </c>
      <c r="R1231" s="70"/>
      <c r="S1231" s="70"/>
      <c r="T1231" s="70"/>
      <c r="U1231" s="70"/>
      <c r="V1231" s="70"/>
      <c r="W1231" s="70"/>
      <c r="X1231" s="70"/>
      <c r="Y1231" s="70"/>
      <c r="Z1231" s="70"/>
      <c r="AA1231" s="70"/>
      <c r="AB1231" s="70"/>
      <c r="AC1231" s="70"/>
      <c r="AD1231" s="534"/>
      <c r="AE1231" s="534"/>
      <c r="AF1231" s="534"/>
      <c r="AG1231" s="534"/>
      <c r="AH1231" s="534"/>
      <c r="AI1231" s="534"/>
      <c r="AN1231" s="743"/>
      <c r="AO1231" s="743"/>
    </row>
    <row r="1232" spans="1:41" s="267" customFormat="1" x14ac:dyDescent="0.25">
      <c r="A1232" s="1061"/>
      <c r="B1232" s="295" t="s">
        <v>11</v>
      </c>
      <c r="C1232" s="302">
        <f t="shared" ref="C1232:Q1232" si="446">C1231*33.72</f>
        <v>195778.32</v>
      </c>
      <c r="D1232" s="263">
        <f t="shared" si="446"/>
        <v>112388.76</v>
      </c>
      <c r="E1232" s="302">
        <f t="shared" si="446"/>
        <v>112287.59999999999</v>
      </c>
      <c r="F1232" s="308">
        <f t="shared" si="446"/>
        <v>318890.03999999998</v>
      </c>
      <c r="G1232" s="308">
        <f t="shared" si="446"/>
        <v>261431.16</v>
      </c>
      <c r="H1232" s="308">
        <f t="shared" si="446"/>
        <v>510621.95999999996</v>
      </c>
      <c r="I1232" s="308">
        <f t="shared" si="446"/>
        <v>242210.75999999998</v>
      </c>
      <c r="J1232" s="263">
        <f t="shared" si="446"/>
        <v>323678.27999999997</v>
      </c>
      <c r="K1232" s="302">
        <f t="shared" si="446"/>
        <v>313225.08</v>
      </c>
      <c r="L1232" s="308">
        <f t="shared" si="446"/>
        <v>386532.36</v>
      </c>
      <c r="M1232" s="308">
        <f t="shared" si="446"/>
        <v>139364.76</v>
      </c>
      <c r="N1232" s="308">
        <f t="shared" si="446"/>
        <v>320137.68</v>
      </c>
      <c r="O1232" s="263">
        <f>O1231*33.72</f>
        <v>161822.28</v>
      </c>
      <c r="P1232" s="322">
        <f t="shared" si="446"/>
        <v>47208</v>
      </c>
      <c r="Q1232" s="263">
        <f t="shared" si="446"/>
        <v>33720</v>
      </c>
      <c r="R1232" s="70"/>
      <c r="S1232" s="70"/>
      <c r="T1232" s="70"/>
      <c r="U1232" s="70"/>
      <c r="V1232" s="70"/>
      <c r="W1232" s="70"/>
      <c r="X1232" s="70"/>
      <c r="Y1232" s="70"/>
      <c r="Z1232" s="70"/>
      <c r="AA1232" s="70"/>
      <c r="AB1232" s="70"/>
      <c r="AC1232" s="70"/>
      <c r="AD1232" s="534"/>
      <c r="AE1232" s="534"/>
      <c r="AF1232" s="534"/>
      <c r="AG1232" s="534"/>
      <c r="AH1232" s="534"/>
      <c r="AI1232" s="534"/>
      <c r="AN1232" s="743"/>
      <c r="AO1232" s="743"/>
    </row>
    <row r="1233" spans="1:41" s="267" customFormat="1" x14ac:dyDescent="0.25">
      <c r="A1233" s="1061"/>
      <c r="B1233" s="295" t="s">
        <v>79</v>
      </c>
      <c r="C1233" s="302">
        <v>164000</v>
      </c>
      <c r="D1233" s="263">
        <v>109880</v>
      </c>
      <c r="E1233" s="302">
        <v>109880</v>
      </c>
      <c r="F1233" s="308">
        <v>328000</v>
      </c>
      <c r="G1233" s="308">
        <v>330905</v>
      </c>
      <c r="H1233" s="308">
        <v>264264</v>
      </c>
      <c r="I1233" s="308">
        <v>242663.6</v>
      </c>
      <c r="J1233" s="263">
        <v>328000</v>
      </c>
      <c r="K1233" s="302">
        <v>328000</v>
      </c>
      <c r="L1233" s="308">
        <v>264264.40000000002</v>
      </c>
      <c r="M1233" s="308">
        <v>328000</v>
      </c>
      <c r="N1233" s="308">
        <v>352965.4</v>
      </c>
      <c r="O1233" s="263">
        <v>328000</v>
      </c>
      <c r="P1233" s="322">
        <f>2*P1228</f>
        <v>110302</v>
      </c>
      <c r="Q1233" s="263">
        <f>2*Q1228</f>
        <v>66181</v>
      </c>
      <c r="R1233" s="70"/>
      <c r="S1233" s="70"/>
      <c r="T1233" s="70"/>
      <c r="U1233" s="70"/>
      <c r="V1233" s="70"/>
      <c r="W1233" s="70"/>
      <c r="X1233" s="70"/>
      <c r="Y1233" s="70"/>
      <c r="Z1233" s="70"/>
      <c r="AA1233" s="70"/>
      <c r="AB1233" s="70"/>
      <c r="AC1233" s="70"/>
      <c r="AD1233" s="534"/>
      <c r="AE1233" s="534"/>
      <c r="AF1233" s="534"/>
      <c r="AG1233" s="534"/>
      <c r="AH1233" s="534"/>
      <c r="AI1233" s="534"/>
      <c r="AN1233" s="743"/>
      <c r="AO1233" s="743"/>
    </row>
    <row r="1234" spans="1:41" s="267" customFormat="1" x14ac:dyDescent="0.25">
      <c r="A1234" s="1061"/>
      <c r="B1234" s="293" t="s">
        <v>8</v>
      </c>
      <c r="C1234" s="303">
        <f>SUM(C1231-168)</f>
        <v>5638</v>
      </c>
      <c r="D1234" s="262">
        <f>SUM(D1231-692)</f>
        <v>2641</v>
      </c>
      <c r="E1234" s="303">
        <f>SUM(E1231-658)</f>
        <v>2672</v>
      </c>
      <c r="F1234" s="309">
        <f>SUM(F1231-1211)</f>
        <v>8246</v>
      </c>
      <c r="G1234" s="309">
        <f>SUM(G1231-4214)</f>
        <v>3539</v>
      </c>
      <c r="H1234" s="309">
        <f>SUM(H1231-1752)</f>
        <v>13391</v>
      </c>
      <c r="I1234" s="309">
        <f>SUM(I1231-(3808-2000))</f>
        <v>5375</v>
      </c>
      <c r="J1234" s="262">
        <f>SUM(J1231-9313)</f>
        <v>286</v>
      </c>
      <c r="K1234" s="303">
        <f>SUM(K1231-962)</f>
        <v>8327</v>
      </c>
      <c r="L1234" s="309">
        <f>SUM(L1231-1262)</f>
        <v>10201</v>
      </c>
      <c r="M1234" s="316">
        <f>SUM(M1231-408)</f>
        <v>3725</v>
      </c>
      <c r="N1234" s="309">
        <f>SUM(N1231-(5653-2614))</f>
        <v>6455</v>
      </c>
      <c r="O1234" s="262">
        <f>SUM(O1231-4074)</f>
        <v>725</v>
      </c>
      <c r="P1234" s="323">
        <f>SUM(P1231-861)</f>
        <v>539</v>
      </c>
      <c r="Q1234" s="262">
        <f>SUM(Q1231-685)</f>
        <v>315</v>
      </c>
      <c r="R1234" s="12" t="s">
        <v>176</v>
      </c>
      <c r="S1234" s="70"/>
      <c r="T1234" s="70"/>
      <c r="U1234" s="70"/>
      <c r="V1234" s="70"/>
      <c r="W1234" s="70"/>
      <c r="X1234" s="70"/>
      <c r="Y1234" s="70"/>
      <c r="Z1234" s="70"/>
      <c r="AA1234" s="276"/>
      <c r="AB1234" s="276"/>
      <c r="AD1234" s="743"/>
      <c r="AE1234" s="743"/>
      <c r="AF1234" s="743"/>
      <c r="AG1234" s="743"/>
      <c r="AH1234" s="743"/>
      <c r="AI1234" s="743"/>
      <c r="AN1234" s="743"/>
      <c r="AO1234" s="743"/>
    </row>
    <row r="1235" spans="1:41" s="267" customFormat="1" x14ac:dyDescent="0.25">
      <c r="A1235" s="1061"/>
      <c r="B1235" s="296" t="s">
        <v>77</v>
      </c>
      <c r="C1235" s="304">
        <f>C1234*33.72</f>
        <v>190113.36</v>
      </c>
      <c r="D1235" s="261">
        <f>D1234*33.72</f>
        <v>89054.52</v>
      </c>
      <c r="E1235" s="304">
        <f>E1234*33.72</f>
        <v>90099.839999999997</v>
      </c>
      <c r="F1235" s="280">
        <f>F1234*33.72</f>
        <v>278055.12</v>
      </c>
      <c r="G1235" s="280">
        <f>G1234*33.72*2</f>
        <v>238670.16</v>
      </c>
      <c r="H1235" s="280">
        <f>H1234*33.72</f>
        <v>451544.51999999996</v>
      </c>
      <c r="I1235" s="280">
        <f>(I1234*33.72)-(2000*33.72)</f>
        <v>113805</v>
      </c>
      <c r="J1235" s="261">
        <f>J1234*33.72</f>
        <v>9643.92</v>
      </c>
      <c r="K1235" s="304">
        <f>K1234*33.72</f>
        <v>280786.44</v>
      </c>
      <c r="L1235" s="280">
        <f>L1234*33.72</f>
        <v>343977.72</v>
      </c>
      <c r="M1235" s="280">
        <f>((M1234*33.72)-(2614*33.72))*2</f>
        <v>74925.84</v>
      </c>
      <c r="N1235" s="280">
        <f>N1234*33.72</f>
        <v>217662.6</v>
      </c>
      <c r="O1235" s="261">
        <f>O1234*33.72</f>
        <v>24447</v>
      </c>
      <c r="P1235" s="324">
        <f>P1234*33.72</f>
        <v>18175.079999999998</v>
      </c>
      <c r="Q1235" s="325">
        <f>Q1234*33.72</f>
        <v>10621.8</v>
      </c>
      <c r="R1235" s="63">
        <f>344240-H1235</f>
        <v>-107304.51999999996</v>
      </c>
      <c r="S1235" s="70" t="s">
        <v>177</v>
      </c>
      <c r="T1235" s="70"/>
      <c r="U1235" s="70"/>
      <c r="V1235" s="70"/>
      <c r="W1235" s="70"/>
      <c r="X1235" s="70"/>
      <c r="Y1235" s="70"/>
      <c r="Z1235" s="70"/>
      <c r="AA1235" s="276"/>
      <c r="AB1235" s="276"/>
      <c r="AD1235" s="743"/>
      <c r="AE1235" s="743"/>
      <c r="AF1235" s="743"/>
      <c r="AG1235" s="743"/>
      <c r="AH1235" s="743"/>
      <c r="AI1235" s="743"/>
      <c r="AN1235" s="743"/>
      <c r="AO1235" s="743"/>
    </row>
    <row r="1236" spans="1:41" s="267" customFormat="1" ht="15.75" thickBot="1" x14ac:dyDescent="0.3">
      <c r="A1236" s="1062"/>
      <c r="B1236" s="294" t="s">
        <v>10</v>
      </c>
      <c r="C1236" s="305">
        <f t="shared" ref="C1236:Q1236" si="447">C1235/C1228</f>
        <v>1.3258277646901293</v>
      </c>
      <c r="D1236" s="292">
        <f t="shared" si="447"/>
        <v>0.59166227067191624</v>
      </c>
      <c r="E1236" s="310">
        <f t="shared" si="447"/>
        <v>0.59860718941134416</v>
      </c>
      <c r="F1236" s="282">
        <f t="shared" si="447"/>
        <v>1.5277938524531616</v>
      </c>
      <c r="G1236" s="282">
        <f t="shared" si="447"/>
        <v>1.4425297895166287</v>
      </c>
      <c r="H1236" s="282">
        <f t="shared" si="447"/>
        <v>3.4173744437380797</v>
      </c>
      <c r="I1236" s="282">
        <f t="shared" si="447"/>
        <v>0.9379651501090398</v>
      </c>
      <c r="J1236" s="311">
        <f t="shared" si="447"/>
        <v>5.8068653324734959E-2</v>
      </c>
      <c r="K1236" s="310">
        <f t="shared" si="447"/>
        <v>1.4546485206732738</v>
      </c>
      <c r="L1236" s="282">
        <f t="shared" si="447"/>
        <v>2.6032845892220058</v>
      </c>
      <c r="M1236" s="282">
        <f t="shared" si="447"/>
        <v>0.90570761656208476</v>
      </c>
      <c r="N1236" s="260">
        <f t="shared" si="447"/>
        <v>1.2333367519875886</v>
      </c>
      <c r="O1236" s="311">
        <f>O1235/O1228</f>
        <v>0.29440383434289913</v>
      </c>
      <c r="P1236" s="305">
        <f t="shared" si="447"/>
        <v>0.32955123207194786</v>
      </c>
      <c r="Q1236" s="292">
        <f t="shared" si="447"/>
        <v>0.32099242985146792</v>
      </c>
      <c r="R1236" s="126"/>
      <c r="S1236" s="70"/>
      <c r="T1236" s="70"/>
      <c r="U1236" s="70"/>
      <c r="V1236" s="70"/>
      <c r="W1236" s="70"/>
      <c r="X1236" s="70"/>
      <c r="Y1236" s="70"/>
      <c r="Z1236" s="70"/>
      <c r="AA1236" s="276"/>
      <c r="AB1236" s="276"/>
      <c r="AD1236" s="743"/>
      <c r="AE1236" s="743"/>
      <c r="AF1236" s="743"/>
      <c r="AG1236" s="743"/>
      <c r="AH1236" s="743"/>
      <c r="AI1236" s="743"/>
      <c r="AN1236" s="743"/>
      <c r="AO1236" s="743"/>
    </row>
    <row r="1237" spans="1:41" ht="15.75" thickBot="1" x14ac:dyDescent="0.3">
      <c r="A1237" s="1048">
        <v>41337</v>
      </c>
      <c r="B1237" s="1048"/>
      <c r="C1237" s="1048"/>
      <c r="N1237" s="13"/>
    </row>
    <row r="1238" spans="1:41" x14ac:dyDescent="0.25">
      <c r="A1238" s="1049" t="s">
        <v>1</v>
      </c>
      <c r="B1238" s="1070"/>
      <c r="C1238" s="297" t="s">
        <v>12</v>
      </c>
      <c r="D1238" s="266" t="s">
        <v>12</v>
      </c>
      <c r="E1238" s="297" t="s">
        <v>13</v>
      </c>
      <c r="F1238" s="277" t="s">
        <v>13</v>
      </c>
      <c r="G1238" s="277" t="s">
        <v>13</v>
      </c>
      <c r="H1238" s="277" t="s">
        <v>13</v>
      </c>
      <c r="I1238" s="277" t="s">
        <v>13</v>
      </c>
      <c r="J1238" s="266" t="s">
        <v>13</v>
      </c>
      <c r="K1238" s="297" t="s">
        <v>2</v>
      </c>
      <c r="L1238" s="277" t="s">
        <v>2</v>
      </c>
      <c r="M1238" s="286" t="s">
        <v>2</v>
      </c>
      <c r="N1238" s="277" t="s">
        <v>2</v>
      </c>
      <c r="O1238" s="266" t="s">
        <v>2</v>
      </c>
      <c r="P1238" s="229"/>
      <c r="Q1238" s="329"/>
    </row>
    <row r="1239" spans="1:41" ht="15.75" thickBot="1" x14ac:dyDescent="0.3">
      <c r="A1239" s="1054" t="s">
        <v>0</v>
      </c>
      <c r="B1239" s="1072"/>
      <c r="C1239" s="298" t="s">
        <v>99</v>
      </c>
      <c r="D1239" s="291" t="s">
        <v>100</v>
      </c>
      <c r="E1239" s="298" t="s">
        <v>101</v>
      </c>
      <c r="F1239" s="306" t="s">
        <v>102</v>
      </c>
      <c r="G1239" s="306" t="s">
        <v>97</v>
      </c>
      <c r="H1239" s="306" t="s">
        <v>104</v>
      </c>
      <c r="I1239" s="306" t="s">
        <v>103</v>
      </c>
      <c r="J1239" s="291" t="s">
        <v>179</v>
      </c>
      <c r="K1239" s="298" t="s">
        <v>105</v>
      </c>
      <c r="L1239" s="306" t="s">
        <v>107</v>
      </c>
      <c r="M1239" s="312" t="s">
        <v>98</v>
      </c>
      <c r="N1239" s="313" t="s">
        <v>106</v>
      </c>
      <c r="O1239" s="314" t="s">
        <v>178</v>
      </c>
      <c r="P1239" s="289"/>
      <c r="Q1239" s="330"/>
      <c r="S1239" s="12"/>
      <c r="T1239" s="12"/>
      <c r="U1239" s="12"/>
      <c r="V1239" s="12"/>
      <c r="W1239" s="12"/>
      <c r="X1239" s="12"/>
      <c r="Y1239" s="12"/>
      <c r="Z1239" s="12"/>
      <c r="AA1239" s="126"/>
      <c r="AB1239" s="125"/>
      <c r="AC1239" s="126"/>
      <c r="AD1239" s="535"/>
      <c r="AE1239" s="535"/>
      <c r="AF1239" s="535"/>
      <c r="AG1239" s="535"/>
      <c r="AH1239" s="535"/>
      <c r="AI1239" s="535"/>
    </row>
    <row r="1240" spans="1:41" ht="15" customHeight="1" x14ac:dyDescent="0.25">
      <c r="A1240" s="1057" t="s">
        <v>9</v>
      </c>
      <c r="B1240" s="19" t="s">
        <v>4</v>
      </c>
      <c r="C1240" s="299">
        <v>143392.20000000001</v>
      </c>
      <c r="D1240" s="265">
        <v>150515.79999999999</v>
      </c>
      <c r="E1240" s="299">
        <v>150515.79999999999</v>
      </c>
      <c r="F1240" s="283">
        <v>181997.8</v>
      </c>
      <c r="G1240" s="283">
        <v>165452.5</v>
      </c>
      <c r="H1240" s="283">
        <v>132132</v>
      </c>
      <c r="I1240" s="283">
        <v>121331.8</v>
      </c>
      <c r="J1240" s="265">
        <v>83039</v>
      </c>
      <c r="K1240" s="299">
        <v>193027</v>
      </c>
      <c r="L1240" s="283">
        <v>132132.20000000001</v>
      </c>
      <c r="M1240" s="283">
        <v>82726.3</v>
      </c>
      <c r="N1240" s="283">
        <v>176482.7</v>
      </c>
      <c r="O1240" s="265">
        <v>166077.9</v>
      </c>
      <c r="P1240" s="231"/>
      <c r="Q1240" s="331"/>
      <c r="R1240" s="70"/>
      <c r="AA1240" s="70"/>
      <c r="AB1240" s="70"/>
      <c r="AC1240" s="70"/>
      <c r="AD1240" s="534"/>
      <c r="AE1240" s="534"/>
      <c r="AF1240" s="534"/>
      <c r="AG1240" s="534"/>
      <c r="AH1240" s="534"/>
      <c r="AI1240" s="534"/>
    </row>
    <row r="1241" spans="1:41" x14ac:dyDescent="0.25">
      <c r="A1241" s="1058"/>
      <c r="B1241" s="293" t="s">
        <v>5</v>
      </c>
      <c r="C1241" s="300">
        <v>40061.1</v>
      </c>
      <c r="D1241" s="264">
        <v>77144.100000000006</v>
      </c>
      <c r="E1241" s="300">
        <v>78558.399999999994</v>
      </c>
      <c r="F1241" s="307">
        <v>155682.1</v>
      </c>
      <c r="G1241" s="307">
        <v>84170.4</v>
      </c>
      <c r="H1241" s="307">
        <v>45246</v>
      </c>
      <c r="I1241" s="307">
        <v>66149.7</v>
      </c>
      <c r="J1241" s="264">
        <v>3729.6</v>
      </c>
      <c r="K1241" s="300">
        <v>154764.4</v>
      </c>
      <c r="L1241" s="307">
        <v>51979</v>
      </c>
      <c r="M1241" s="307">
        <v>43516.6</v>
      </c>
      <c r="N1241" s="307">
        <v>129310.8</v>
      </c>
      <c r="O1241" s="264">
        <v>7276.7</v>
      </c>
      <c r="P1241" s="232"/>
      <c r="Q1241" s="332"/>
      <c r="R1241" s="70"/>
      <c r="AA1241" s="70"/>
      <c r="AB1241" s="70"/>
      <c r="AC1241" s="70"/>
      <c r="AD1241" s="534"/>
      <c r="AE1241" s="534"/>
      <c r="AF1241" s="534"/>
      <c r="AG1241" s="534"/>
      <c r="AH1241" s="534"/>
      <c r="AI1241" s="534"/>
    </row>
    <row r="1242" spans="1:41" ht="15.75" thickBot="1" x14ac:dyDescent="0.3">
      <c r="A1242" s="1059"/>
      <c r="B1242" s="294" t="s">
        <v>3</v>
      </c>
      <c r="C1242" s="301">
        <f t="shared" ref="C1242:O1242" si="448">C1241/C1240</f>
        <v>0.27938130525928184</v>
      </c>
      <c r="D1242" s="292">
        <f t="shared" si="448"/>
        <v>0.51253157475826461</v>
      </c>
      <c r="E1242" s="305">
        <f t="shared" si="448"/>
        <v>0.52192793048968944</v>
      </c>
      <c r="F1242" s="278">
        <f t="shared" si="448"/>
        <v>0.85540649392465196</v>
      </c>
      <c r="G1242" s="278">
        <f t="shared" si="448"/>
        <v>0.50872848702799889</v>
      </c>
      <c r="H1242" s="278">
        <f t="shared" si="448"/>
        <v>0.3424302969757515</v>
      </c>
      <c r="I1242" s="278">
        <f t="shared" si="448"/>
        <v>0.54519672501355787</v>
      </c>
      <c r="J1242" s="292">
        <f t="shared" si="448"/>
        <v>4.4913835667577881E-2</v>
      </c>
      <c r="K1242" s="305">
        <f t="shared" si="448"/>
        <v>0.80177591735871145</v>
      </c>
      <c r="L1242" s="278">
        <f t="shared" si="448"/>
        <v>0.39338632066975343</v>
      </c>
      <c r="M1242" s="315">
        <f t="shared" si="448"/>
        <v>0.52603102036474492</v>
      </c>
      <c r="N1242" s="278">
        <f t="shared" si="448"/>
        <v>0.73271091160776658</v>
      </c>
      <c r="O1242" s="292">
        <f t="shared" si="448"/>
        <v>4.3814980801178245E-2</v>
      </c>
      <c r="P1242" s="233"/>
      <c r="Q1242" s="333"/>
      <c r="R1242" s="70"/>
      <c r="AA1242" s="70"/>
      <c r="AB1242" s="70"/>
      <c r="AC1242" s="70"/>
      <c r="AD1242" s="534"/>
      <c r="AE1242" s="534"/>
      <c r="AF1242" s="534"/>
      <c r="AG1242" s="534"/>
      <c r="AH1242" s="534"/>
      <c r="AI1242" s="534"/>
    </row>
    <row r="1243" spans="1:41" ht="15" customHeight="1" x14ac:dyDescent="0.25">
      <c r="A1243" s="1060" t="s">
        <v>6</v>
      </c>
      <c r="B1243" s="19" t="s">
        <v>7</v>
      </c>
      <c r="C1243" s="297">
        <v>5806</v>
      </c>
      <c r="D1243" s="266">
        <v>3333</v>
      </c>
      <c r="E1243" s="297">
        <v>3330</v>
      </c>
      <c r="F1243" s="277">
        <v>9457</v>
      </c>
      <c r="G1243" s="277">
        <v>7653</v>
      </c>
      <c r="H1243" s="277">
        <v>15143</v>
      </c>
      <c r="I1243" s="277">
        <v>7183</v>
      </c>
      <c r="J1243" s="266">
        <v>4799</v>
      </c>
      <c r="K1243" s="297">
        <v>9289</v>
      </c>
      <c r="L1243" s="277">
        <v>11171</v>
      </c>
      <c r="M1243" s="277">
        <v>4133</v>
      </c>
      <c r="N1243" s="277">
        <v>9494</v>
      </c>
      <c r="O1243" s="266">
        <v>9599</v>
      </c>
      <c r="P1243" s="234"/>
      <c r="Q1243" s="326"/>
      <c r="R1243" s="70"/>
      <c r="AA1243" s="70"/>
      <c r="AB1243" s="70"/>
      <c r="AC1243" s="70"/>
      <c r="AD1243" s="534"/>
      <c r="AE1243" s="534"/>
      <c r="AF1243" s="534"/>
      <c r="AG1243" s="534"/>
      <c r="AH1243" s="534"/>
      <c r="AI1243" s="534"/>
    </row>
    <row r="1244" spans="1:41" x14ac:dyDescent="0.25">
      <c r="A1244" s="1061"/>
      <c r="B1244" s="295" t="s">
        <v>11</v>
      </c>
      <c r="C1244" s="302">
        <f t="shared" ref="C1244:O1244" si="449">C1243*33.72</f>
        <v>195778.32</v>
      </c>
      <c r="D1244" s="263">
        <f t="shared" si="449"/>
        <v>112388.76</v>
      </c>
      <c r="E1244" s="302">
        <f t="shared" si="449"/>
        <v>112287.59999999999</v>
      </c>
      <c r="F1244" s="308">
        <f t="shared" si="449"/>
        <v>318890.03999999998</v>
      </c>
      <c r="G1244" s="308">
        <f t="shared" si="449"/>
        <v>258059.16</v>
      </c>
      <c r="H1244" s="308">
        <f t="shared" si="449"/>
        <v>510621.95999999996</v>
      </c>
      <c r="I1244" s="308">
        <f t="shared" si="449"/>
        <v>242210.75999999998</v>
      </c>
      <c r="J1244" s="263">
        <f t="shared" si="449"/>
        <v>161822.28</v>
      </c>
      <c r="K1244" s="302">
        <f t="shared" si="449"/>
        <v>313225.08</v>
      </c>
      <c r="L1244" s="308">
        <f t="shared" si="449"/>
        <v>376686.12</v>
      </c>
      <c r="M1244" s="308">
        <f t="shared" si="449"/>
        <v>139364.76</v>
      </c>
      <c r="N1244" s="308">
        <f t="shared" si="449"/>
        <v>320137.68</v>
      </c>
      <c r="O1244" s="263">
        <f t="shared" si="449"/>
        <v>323678.27999999997</v>
      </c>
      <c r="P1244" s="235"/>
      <c r="Q1244" s="334"/>
      <c r="R1244" s="70"/>
      <c r="AA1244" s="70"/>
      <c r="AB1244" s="70"/>
      <c r="AC1244" s="70"/>
      <c r="AD1244" s="534"/>
      <c r="AE1244" s="534"/>
      <c r="AF1244" s="534"/>
      <c r="AG1244" s="534"/>
      <c r="AH1244" s="534"/>
      <c r="AI1244" s="534"/>
    </row>
    <row r="1245" spans="1:41" x14ac:dyDescent="0.25">
      <c r="A1245" s="1061"/>
      <c r="B1245" s="295" t="s">
        <v>79</v>
      </c>
      <c r="C1245" s="302">
        <v>164000</v>
      </c>
      <c r="D1245" s="263">
        <v>109880</v>
      </c>
      <c r="E1245" s="302">
        <v>109880</v>
      </c>
      <c r="F1245" s="308">
        <v>328000</v>
      </c>
      <c r="G1245" s="308">
        <v>330905</v>
      </c>
      <c r="H1245" s="308">
        <v>264264</v>
      </c>
      <c r="I1245" s="308">
        <v>242663.6</v>
      </c>
      <c r="J1245" s="263">
        <v>328000</v>
      </c>
      <c r="K1245" s="302">
        <v>328000</v>
      </c>
      <c r="L1245" s="308">
        <v>264264.40000000002</v>
      </c>
      <c r="M1245" s="308">
        <v>328000</v>
      </c>
      <c r="N1245" s="308">
        <v>352965.4</v>
      </c>
      <c r="O1245" s="263">
        <v>328000</v>
      </c>
      <c r="P1245" s="235"/>
      <c r="Q1245" s="334"/>
      <c r="R1245" s="70"/>
      <c r="AA1245" s="70"/>
      <c r="AB1245" s="70"/>
      <c r="AC1245" s="70"/>
      <c r="AD1245" s="534"/>
      <c r="AE1245" s="534"/>
      <c r="AF1245" s="534"/>
      <c r="AG1245" s="534"/>
      <c r="AH1245" s="534"/>
      <c r="AI1245" s="534"/>
    </row>
    <row r="1246" spans="1:41" x14ac:dyDescent="0.25">
      <c r="A1246" s="1061"/>
      <c r="B1246" s="293" t="s">
        <v>8</v>
      </c>
      <c r="C1246" s="303">
        <f>SUM(C1243-168)</f>
        <v>5638</v>
      </c>
      <c r="D1246" s="262">
        <f>SUM(D1243-692)</f>
        <v>2641</v>
      </c>
      <c r="E1246" s="303">
        <f>SUM(E1243-658)</f>
        <v>2672</v>
      </c>
      <c r="F1246" s="309">
        <f>SUM(F1243-1211)</f>
        <v>8246</v>
      </c>
      <c r="G1246" s="309">
        <f>SUM(G1243-4123)</f>
        <v>3530</v>
      </c>
      <c r="H1246" s="309">
        <f>SUM(H1243-1752)</f>
        <v>13391</v>
      </c>
      <c r="I1246" s="309">
        <f>SUM(I1243-(3808-2000))</f>
        <v>5375</v>
      </c>
      <c r="J1246" s="262">
        <f>SUM(J1243-4074)</f>
        <v>725</v>
      </c>
      <c r="K1246" s="303">
        <f>SUM(K1243-950)</f>
        <v>8339</v>
      </c>
      <c r="L1246" s="309">
        <f>SUM(L1243-1353)</f>
        <v>9818</v>
      </c>
      <c r="M1246" s="316">
        <f>SUM(M1243-417)</f>
        <v>3716</v>
      </c>
      <c r="N1246" s="309">
        <f>SUM(N1243-(5653-2614))</f>
        <v>6455</v>
      </c>
      <c r="O1246" s="262">
        <f>SUM(O1243-9313)</f>
        <v>286</v>
      </c>
      <c r="P1246" s="236"/>
      <c r="Q1246" s="335"/>
      <c r="R1246" s="12" t="s">
        <v>176</v>
      </c>
    </row>
    <row r="1247" spans="1:41" x14ac:dyDescent="0.25">
      <c r="A1247" s="1061"/>
      <c r="B1247" s="296" t="s">
        <v>77</v>
      </c>
      <c r="C1247" s="304">
        <f>C1246*33.72</f>
        <v>190113.36</v>
      </c>
      <c r="D1247" s="261">
        <f>D1246*33.72</f>
        <v>89054.52</v>
      </c>
      <c r="E1247" s="304">
        <f>E1246*33.72</f>
        <v>90099.839999999997</v>
      </c>
      <c r="F1247" s="280">
        <f>F1246*33.72</f>
        <v>278055.12</v>
      </c>
      <c r="G1247" s="280">
        <f>G1246*33.72*2</f>
        <v>238063.19999999998</v>
      </c>
      <c r="H1247" s="280">
        <f>H1246*33.72</f>
        <v>451544.51999999996</v>
      </c>
      <c r="I1247" s="280">
        <f>(I1246*33.72)-(2000*33.72)</f>
        <v>113805</v>
      </c>
      <c r="J1247" s="261">
        <f>J1246*33.72</f>
        <v>24447</v>
      </c>
      <c r="K1247" s="304">
        <f>K1246*33.72</f>
        <v>281191.08</v>
      </c>
      <c r="L1247" s="280">
        <f>L1246*33.72</f>
        <v>331062.95999999996</v>
      </c>
      <c r="M1247" s="280">
        <f>((M1246*33.72)-(2614*33.72))*2</f>
        <v>74318.879999999976</v>
      </c>
      <c r="N1247" s="280">
        <f>N1246*33.72</f>
        <v>217662.6</v>
      </c>
      <c r="O1247" s="261">
        <f>O1246*33.72</f>
        <v>9643.92</v>
      </c>
      <c r="P1247" s="237"/>
      <c r="Q1247" s="336"/>
      <c r="R1247" s="63">
        <f>344240-H1247</f>
        <v>-107304.51999999996</v>
      </c>
      <c r="S1247" s="70" t="s">
        <v>177</v>
      </c>
    </row>
    <row r="1248" spans="1:41" ht="15.75" thickBot="1" x14ac:dyDescent="0.3">
      <c r="A1248" s="1062"/>
      <c r="B1248" s="294" t="s">
        <v>10</v>
      </c>
      <c r="C1248" s="305">
        <f t="shared" ref="C1248:O1248" si="450">C1247/C1240</f>
        <v>1.3258277646901293</v>
      </c>
      <c r="D1248" s="292">
        <f t="shared" si="450"/>
        <v>0.59166227067191624</v>
      </c>
      <c r="E1248" s="310">
        <f t="shared" si="450"/>
        <v>0.59860718941134416</v>
      </c>
      <c r="F1248" s="282">
        <f t="shared" si="450"/>
        <v>1.5277938524531616</v>
      </c>
      <c r="G1248" s="282">
        <f t="shared" si="450"/>
        <v>1.4388613046040404</v>
      </c>
      <c r="H1248" s="282">
        <f t="shared" si="450"/>
        <v>3.4173744437380797</v>
      </c>
      <c r="I1248" s="282">
        <f t="shared" si="450"/>
        <v>0.9379651501090398</v>
      </c>
      <c r="J1248" s="311">
        <f t="shared" si="450"/>
        <v>0.29440383434289913</v>
      </c>
      <c r="K1248" s="310">
        <f t="shared" si="450"/>
        <v>1.4567448077211997</v>
      </c>
      <c r="L1248" s="282">
        <f t="shared" si="450"/>
        <v>2.5055433876072595</v>
      </c>
      <c r="M1248" s="282">
        <f t="shared" si="450"/>
        <v>0.89837065117139259</v>
      </c>
      <c r="N1248" s="260">
        <f t="shared" si="450"/>
        <v>1.2333367519875886</v>
      </c>
      <c r="O1248" s="311">
        <f t="shared" si="450"/>
        <v>5.8068653324734959E-2</v>
      </c>
      <c r="P1248" s="233"/>
      <c r="Q1248" s="333"/>
      <c r="R1248" s="126"/>
    </row>
    <row r="1249" spans="1:35" ht="15.75" thickBot="1" x14ac:dyDescent="0.3">
      <c r="A1249" s="1048">
        <v>41334</v>
      </c>
      <c r="B1249" s="1048"/>
      <c r="C1249" s="1048"/>
      <c r="J1249" s="281"/>
      <c r="K1249" s="281"/>
      <c r="L1249" s="276"/>
      <c r="M1249" s="276"/>
      <c r="N1249" s="13"/>
    </row>
    <row r="1250" spans="1:35" x14ac:dyDescent="0.25">
      <c r="A1250" s="1049" t="s">
        <v>1</v>
      </c>
      <c r="B1250" s="1071"/>
      <c r="C1250" s="56" t="s">
        <v>12</v>
      </c>
      <c r="D1250" s="56" t="s">
        <v>12</v>
      </c>
      <c r="E1250" s="56" t="s">
        <v>13</v>
      </c>
      <c r="F1250" s="56" t="s">
        <v>13</v>
      </c>
      <c r="G1250" s="56" t="s">
        <v>13</v>
      </c>
      <c r="H1250" s="56" t="s">
        <v>13</v>
      </c>
      <c r="I1250" s="56" t="s">
        <v>13</v>
      </c>
      <c r="J1250" s="277" t="s">
        <v>2</v>
      </c>
      <c r="K1250" s="277" t="s">
        <v>2</v>
      </c>
      <c r="L1250" s="277" t="s">
        <v>2</v>
      </c>
      <c r="M1250" s="286" t="s">
        <v>2</v>
      </c>
      <c r="N1250" s="229"/>
      <c r="O1250" s="326"/>
      <c r="P1250" s="326"/>
      <c r="Q1250" s="326"/>
    </row>
    <row r="1251" spans="1:35" ht="15.75" thickBot="1" x14ac:dyDescent="0.3">
      <c r="A1251" s="1054" t="s">
        <v>0</v>
      </c>
      <c r="B1251" s="1078"/>
      <c r="C1251" s="69" t="s">
        <v>99</v>
      </c>
      <c r="D1251" s="69" t="s">
        <v>100</v>
      </c>
      <c r="E1251" s="69" t="s">
        <v>101</v>
      </c>
      <c r="F1251" s="69" t="s">
        <v>102</v>
      </c>
      <c r="G1251" s="69" t="s">
        <v>97</v>
      </c>
      <c r="H1251" s="69" t="s">
        <v>104</v>
      </c>
      <c r="I1251" s="69" t="s">
        <v>103</v>
      </c>
      <c r="J1251" s="69" t="s">
        <v>105</v>
      </c>
      <c r="K1251" s="69" t="s">
        <v>107</v>
      </c>
      <c r="L1251" s="69" t="s">
        <v>98</v>
      </c>
      <c r="M1251" s="222" t="s">
        <v>106</v>
      </c>
      <c r="N1251" s="289"/>
      <c r="O1251" s="275"/>
      <c r="P1251" s="275"/>
      <c r="Q1251" s="275"/>
      <c r="S1251" s="12"/>
      <c r="T1251" s="12"/>
      <c r="U1251" s="12"/>
      <c r="V1251" s="12"/>
      <c r="W1251" s="12"/>
      <c r="X1251" s="12"/>
      <c r="Y1251" s="12"/>
      <c r="Z1251" s="12"/>
      <c r="AA1251" s="126"/>
      <c r="AB1251" s="125"/>
      <c r="AC1251" s="126"/>
      <c r="AD1251" s="535"/>
      <c r="AE1251" s="535"/>
      <c r="AF1251" s="535"/>
      <c r="AG1251" s="535"/>
      <c r="AH1251" s="535"/>
      <c r="AI1251" s="535"/>
    </row>
    <row r="1252" spans="1:35" ht="15" customHeight="1" x14ac:dyDescent="0.25">
      <c r="A1252" s="1057" t="s">
        <v>9</v>
      </c>
      <c r="B1252" s="2" t="s">
        <v>4</v>
      </c>
      <c r="C1252" s="66">
        <v>143392.20000000001</v>
      </c>
      <c r="D1252" s="66">
        <v>150515.79999999999</v>
      </c>
      <c r="E1252" s="66">
        <v>150515.79999999999</v>
      </c>
      <c r="F1252" s="66">
        <v>181997.8</v>
      </c>
      <c r="G1252" s="66">
        <v>165452.5</v>
      </c>
      <c r="H1252" s="66">
        <v>132132</v>
      </c>
      <c r="I1252" s="66">
        <v>121331.8</v>
      </c>
      <c r="J1252" s="283">
        <v>193027</v>
      </c>
      <c r="K1252" s="283">
        <v>132132.20000000001</v>
      </c>
      <c r="L1252" s="283">
        <v>82726.3</v>
      </c>
      <c r="M1252" s="283">
        <v>176482.7</v>
      </c>
      <c r="N1252" s="231"/>
      <c r="R1252" s="70"/>
      <c r="AA1252" s="70"/>
      <c r="AB1252" s="70"/>
      <c r="AC1252" s="70"/>
      <c r="AD1252" s="534"/>
      <c r="AE1252" s="534"/>
      <c r="AF1252" s="534"/>
      <c r="AG1252" s="534"/>
      <c r="AH1252" s="534"/>
      <c r="AI1252" s="534"/>
    </row>
    <row r="1253" spans="1:35" x14ac:dyDescent="0.25">
      <c r="A1253" s="1058"/>
      <c r="B1253" s="52" t="s">
        <v>5</v>
      </c>
      <c r="C1253" s="67">
        <v>42104.9</v>
      </c>
      <c r="D1253" s="67">
        <v>77082.5</v>
      </c>
      <c r="E1253" s="67">
        <v>78496.899999999994</v>
      </c>
      <c r="F1253" s="67">
        <v>154701.70000000001</v>
      </c>
      <c r="G1253" s="67">
        <v>83491.899999999994</v>
      </c>
      <c r="H1253" s="67">
        <v>39570.9</v>
      </c>
      <c r="I1253" s="67">
        <v>66078.600000000006</v>
      </c>
      <c r="J1253" s="284">
        <v>154109</v>
      </c>
      <c r="K1253" s="284">
        <v>52135.9</v>
      </c>
      <c r="L1253" s="284">
        <v>43150.9</v>
      </c>
      <c r="M1253" s="284">
        <v>128781.3</v>
      </c>
      <c r="N1253" s="232"/>
      <c r="R1253" s="70"/>
      <c r="AA1253" s="70"/>
      <c r="AB1253" s="70"/>
      <c r="AC1253" s="70"/>
      <c r="AD1253" s="534"/>
      <c r="AE1253" s="534"/>
      <c r="AF1253" s="534"/>
      <c r="AG1253" s="534"/>
      <c r="AH1253" s="534"/>
      <c r="AI1253" s="534"/>
    </row>
    <row r="1254" spans="1:35" ht="15.75" thickBot="1" x14ac:dyDescent="0.3">
      <c r="A1254" s="1059"/>
      <c r="B1254" s="3" t="s">
        <v>3</v>
      </c>
      <c r="C1254" s="57">
        <f t="shared" ref="C1254:M1254" si="451">C1253/C1252</f>
        <v>0.29363452126405759</v>
      </c>
      <c r="D1254" s="58">
        <f t="shared" si="451"/>
        <v>0.5121223153981177</v>
      </c>
      <c r="E1254" s="58">
        <f t="shared" si="451"/>
        <v>0.52151933551162066</v>
      </c>
      <c r="F1254" s="58">
        <f t="shared" si="451"/>
        <v>0.85001961562172745</v>
      </c>
      <c r="G1254" s="58">
        <f t="shared" si="451"/>
        <v>0.50462761215454588</v>
      </c>
      <c r="H1254" s="58">
        <f t="shared" si="451"/>
        <v>0.29948006538915634</v>
      </c>
      <c r="I1254" s="58">
        <f t="shared" si="451"/>
        <v>0.54461072859711968</v>
      </c>
      <c r="J1254" s="278">
        <f t="shared" si="451"/>
        <v>0.79838053743776782</v>
      </c>
      <c r="K1254" s="278">
        <f t="shared" si="451"/>
        <v>0.39457376778711017</v>
      </c>
      <c r="L1254" s="278">
        <f t="shared" si="451"/>
        <v>0.52161041893569515</v>
      </c>
      <c r="M1254" s="287">
        <f t="shared" si="451"/>
        <v>0.7297106175279503</v>
      </c>
      <c r="N1254" s="233"/>
      <c r="R1254" s="70"/>
      <c r="AA1254" s="70"/>
      <c r="AB1254" s="70"/>
      <c r="AC1254" s="70"/>
      <c r="AD1254" s="534"/>
      <c r="AE1254" s="534"/>
      <c r="AF1254" s="534"/>
      <c r="AG1254" s="534"/>
      <c r="AH1254" s="534"/>
      <c r="AI1254" s="534"/>
    </row>
    <row r="1255" spans="1:35" ht="15" customHeight="1" x14ac:dyDescent="0.25">
      <c r="A1255" s="1060" t="s">
        <v>6</v>
      </c>
      <c r="B1255" s="19" t="s">
        <v>7</v>
      </c>
      <c r="C1255" s="56">
        <v>5806</v>
      </c>
      <c r="D1255" s="56">
        <v>3333</v>
      </c>
      <c r="E1255" s="56">
        <v>3330</v>
      </c>
      <c r="F1255" s="56">
        <v>9457</v>
      </c>
      <c r="G1255" s="56">
        <v>7653</v>
      </c>
      <c r="H1255" s="56">
        <v>15143</v>
      </c>
      <c r="I1255" s="56">
        <v>7183</v>
      </c>
      <c r="J1255" s="277">
        <v>9289</v>
      </c>
      <c r="K1255" s="277">
        <v>11171</v>
      </c>
      <c r="L1255" s="277">
        <v>4133</v>
      </c>
      <c r="M1255" s="277">
        <v>9494</v>
      </c>
      <c r="N1255" s="234"/>
      <c r="R1255" s="70"/>
      <c r="AA1255" s="70"/>
      <c r="AB1255" s="70"/>
      <c r="AC1255" s="70"/>
      <c r="AD1255" s="534"/>
      <c r="AE1255" s="534"/>
      <c r="AF1255" s="534"/>
      <c r="AG1255" s="534"/>
      <c r="AH1255" s="534"/>
      <c r="AI1255" s="534"/>
    </row>
    <row r="1256" spans="1:35" x14ac:dyDescent="0.25">
      <c r="A1256" s="1061"/>
      <c r="B1256" s="20" t="s">
        <v>11</v>
      </c>
      <c r="C1256" s="59">
        <f t="shared" ref="C1256:M1256" si="452">C1255*33.72</f>
        <v>195778.32</v>
      </c>
      <c r="D1256" s="59">
        <f t="shared" si="452"/>
        <v>112388.76</v>
      </c>
      <c r="E1256" s="59">
        <f t="shared" si="452"/>
        <v>112287.59999999999</v>
      </c>
      <c r="F1256" s="59">
        <f t="shared" si="452"/>
        <v>318890.03999999998</v>
      </c>
      <c r="G1256" s="59">
        <f t="shared" si="452"/>
        <v>258059.16</v>
      </c>
      <c r="H1256" s="59">
        <f t="shared" si="452"/>
        <v>510621.95999999996</v>
      </c>
      <c r="I1256" s="59">
        <f t="shared" si="452"/>
        <v>242210.75999999998</v>
      </c>
      <c r="J1256" s="279">
        <f t="shared" si="452"/>
        <v>313225.08</v>
      </c>
      <c r="K1256" s="279">
        <f t="shared" si="452"/>
        <v>376686.12</v>
      </c>
      <c r="L1256" s="279">
        <f t="shared" si="452"/>
        <v>139364.76</v>
      </c>
      <c r="M1256" s="279">
        <f t="shared" si="452"/>
        <v>320137.68</v>
      </c>
      <c r="N1256" s="235"/>
      <c r="R1256" s="70"/>
      <c r="AA1256" s="70"/>
      <c r="AB1256" s="70"/>
      <c r="AC1256" s="70"/>
      <c r="AD1256" s="534"/>
      <c r="AE1256" s="534"/>
      <c r="AF1256" s="534"/>
      <c r="AG1256" s="534"/>
      <c r="AH1256" s="534"/>
      <c r="AI1256" s="534"/>
    </row>
    <row r="1257" spans="1:35" x14ac:dyDescent="0.25">
      <c r="A1257" s="1061"/>
      <c r="B1257" s="20" t="s">
        <v>79</v>
      </c>
      <c r="C1257" s="59">
        <v>164000</v>
      </c>
      <c r="D1257" s="59">
        <v>109880</v>
      </c>
      <c r="E1257" s="59">
        <v>109880</v>
      </c>
      <c r="F1257" s="59">
        <v>328000</v>
      </c>
      <c r="G1257" s="59">
        <v>330905</v>
      </c>
      <c r="H1257" s="59">
        <v>264264</v>
      </c>
      <c r="I1257" s="59">
        <v>242663.6</v>
      </c>
      <c r="J1257" s="279">
        <v>328000</v>
      </c>
      <c r="K1257" s="279">
        <v>264264.40000000002</v>
      </c>
      <c r="L1257" s="279">
        <v>328000</v>
      </c>
      <c r="M1257" s="279">
        <v>352965.4</v>
      </c>
      <c r="N1257" s="235"/>
      <c r="R1257" s="70"/>
      <c r="AA1257" s="70"/>
      <c r="AB1257" s="70"/>
      <c r="AC1257" s="70"/>
      <c r="AD1257" s="534"/>
      <c r="AE1257" s="534"/>
      <c r="AF1257" s="534"/>
      <c r="AG1257" s="534"/>
      <c r="AH1257" s="534"/>
      <c r="AI1257" s="534"/>
    </row>
    <row r="1258" spans="1:35" x14ac:dyDescent="0.25">
      <c r="A1258" s="1061"/>
      <c r="B1258" s="54" t="s">
        <v>8</v>
      </c>
      <c r="C1258" s="68">
        <f>SUM(C1255-168)</f>
        <v>5638</v>
      </c>
      <c r="D1258" s="68">
        <f>SUM(D1255-676)</f>
        <v>2657</v>
      </c>
      <c r="E1258" s="68">
        <f>SUM(E1255-654)</f>
        <v>2676</v>
      </c>
      <c r="F1258" s="68">
        <f>SUM(F1255-1211)</f>
        <v>8246</v>
      </c>
      <c r="G1258" s="68">
        <f>SUM(G1255-4123)</f>
        <v>3530</v>
      </c>
      <c r="H1258" s="68">
        <f>SUM(H1255-1752)</f>
        <v>13391</v>
      </c>
      <c r="I1258" s="68">
        <f>SUM(I1255-(3823-2000))</f>
        <v>5360</v>
      </c>
      <c r="J1258" s="285">
        <f>SUM(J1255-950)</f>
        <v>8339</v>
      </c>
      <c r="K1258" s="285">
        <f>SUM(K1255-1353)</f>
        <v>9818</v>
      </c>
      <c r="L1258" s="285">
        <f>SUM(L1255-417)</f>
        <v>3716</v>
      </c>
      <c r="M1258" s="288">
        <f>SUM(M1255-(5653-2614))</f>
        <v>6455</v>
      </c>
      <c r="N1258" s="236"/>
      <c r="R1258" s="12" t="s">
        <v>176</v>
      </c>
    </row>
    <row r="1259" spans="1:35" x14ac:dyDescent="0.25">
      <c r="A1259" s="1061"/>
      <c r="B1259" s="21" t="s">
        <v>77</v>
      </c>
      <c r="C1259" s="250">
        <f>C1258*33.72</f>
        <v>190113.36</v>
      </c>
      <c r="D1259" s="250">
        <f>D1258*33.72</f>
        <v>89594.04</v>
      </c>
      <c r="E1259" s="250">
        <f>E1258*33.72</f>
        <v>90234.72</v>
      </c>
      <c r="F1259" s="250">
        <f>F1258*33.72</f>
        <v>278055.12</v>
      </c>
      <c r="G1259" s="250">
        <f>G1258*33.72*2</f>
        <v>238063.19999999998</v>
      </c>
      <c r="H1259" s="250">
        <f>H1258*33.72</f>
        <v>451544.51999999996</v>
      </c>
      <c r="I1259" s="250">
        <f>(I1258*33.72)-(2000*33.72)</f>
        <v>113299.19999999998</v>
      </c>
      <c r="J1259" s="250">
        <f>J1258*33.72</f>
        <v>281191.08</v>
      </c>
      <c r="K1259" s="250">
        <f>K1258*33.72</f>
        <v>331062.95999999996</v>
      </c>
      <c r="L1259" s="250">
        <f>L1258*33.72</f>
        <v>125303.51999999999</v>
      </c>
      <c r="M1259" s="250">
        <f>((M1258*33.72)-(2614*33.72))*2</f>
        <v>259037.04</v>
      </c>
      <c r="N1259" s="237"/>
      <c r="R1259" s="63">
        <f>344240-H1259</f>
        <v>-107304.51999999996</v>
      </c>
      <c r="S1259" s="70" t="s">
        <v>177</v>
      </c>
    </row>
    <row r="1260" spans="1:35" ht="15.75" thickBot="1" x14ac:dyDescent="0.3">
      <c r="A1260" s="1062"/>
      <c r="B1260" s="201" t="s">
        <v>10</v>
      </c>
      <c r="C1260" s="58">
        <f t="shared" ref="C1260:M1260" si="453">C1259/C1252</f>
        <v>1.3258277646901293</v>
      </c>
      <c r="D1260" s="58">
        <f t="shared" si="453"/>
        <v>0.59524674486000806</v>
      </c>
      <c r="E1260" s="62">
        <f t="shared" si="453"/>
        <v>0.59950330795836726</v>
      </c>
      <c r="F1260" s="62">
        <f t="shared" si="453"/>
        <v>1.5277938524531616</v>
      </c>
      <c r="G1260" s="62">
        <f t="shared" si="453"/>
        <v>1.4388613046040404</v>
      </c>
      <c r="H1260" s="62">
        <f t="shared" si="453"/>
        <v>3.4173744437380797</v>
      </c>
      <c r="I1260" s="62">
        <f t="shared" si="453"/>
        <v>0.93379641610855502</v>
      </c>
      <c r="J1260" s="62">
        <f t="shared" si="453"/>
        <v>1.4567448077211997</v>
      </c>
      <c r="K1260" s="62">
        <f t="shared" si="453"/>
        <v>2.5055433876072595</v>
      </c>
      <c r="L1260" s="62">
        <f t="shared" si="453"/>
        <v>1.5146757439895171</v>
      </c>
      <c r="M1260" s="259">
        <f t="shared" si="453"/>
        <v>1.4677758216527739</v>
      </c>
      <c r="N1260" s="233"/>
      <c r="R1260" s="126"/>
    </row>
    <row r="1261" spans="1:35" ht="15.75" thickBot="1" x14ac:dyDescent="0.3">
      <c r="A1261" s="1048">
        <v>41330</v>
      </c>
      <c r="B1261" s="1048"/>
      <c r="C1261" s="1048"/>
      <c r="N1261" s="13"/>
    </row>
    <row r="1262" spans="1:35" x14ac:dyDescent="0.25">
      <c r="A1262" s="1049" t="s">
        <v>1</v>
      </c>
      <c r="B1262" s="1071"/>
      <c r="C1262" s="56" t="s">
        <v>12</v>
      </c>
      <c r="D1262" s="56" t="s">
        <v>12</v>
      </c>
      <c r="E1262" s="56" t="s">
        <v>13</v>
      </c>
      <c r="F1262" s="56" t="s">
        <v>13</v>
      </c>
      <c r="G1262" s="56" t="s">
        <v>13</v>
      </c>
      <c r="H1262" s="56" t="s">
        <v>13</v>
      </c>
      <c r="I1262" s="56" t="s">
        <v>13</v>
      </c>
      <c r="J1262" s="56" t="s">
        <v>2</v>
      </c>
      <c r="K1262" s="56" t="s">
        <v>2</v>
      </c>
      <c r="L1262" s="56" t="s">
        <v>2</v>
      </c>
      <c r="M1262" s="221" t="s">
        <v>2</v>
      </c>
      <c r="N1262" s="229"/>
    </row>
    <row r="1263" spans="1:35" ht="15.75" thickBot="1" x14ac:dyDescent="0.3">
      <c r="A1263" s="1054" t="s">
        <v>0</v>
      </c>
      <c r="B1263" s="1078"/>
      <c r="C1263" s="69" t="s">
        <v>99</v>
      </c>
      <c r="D1263" s="69" t="s">
        <v>100</v>
      </c>
      <c r="E1263" s="69" t="s">
        <v>101</v>
      </c>
      <c r="F1263" s="69" t="s">
        <v>102</v>
      </c>
      <c r="G1263" s="69" t="s">
        <v>97</v>
      </c>
      <c r="H1263" s="69" t="s">
        <v>104</v>
      </c>
      <c r="I1263" s="69" t="s">
        <v>103</v>
      </c>
      <c r="J1263" s="69" t="s">
        <v>105</v>
      </c>
      <c r="K1263" s="69" t="s">
        <v>107</v>
      </c>
      <c r="L1263" s="69" t="s">
        <v>98</v>
      </c>
      <c r="M1263" s="222" t="s">
        <v>106</v>
      </c>
      <c r="N1263" s="230"/>
      <c r="S1263" s="12"/>
      <c r="T1263" s="12"/>
      <c r="U1263" s="12"/>
      <c r="V1263" s="12"/>
      <c r="W1263" s="12"/>
      <c r="X1263" s="12"/>
      <c r="Y1263" s="12"/>
      <c r="Z1263" s="12"/>
      <c r="AA1263" s="126"/>
      <c r="AB1263" s="125"/>
      <c r="AC1263" s="126"/>
      <c r="AD1263" s="535"/>
      <c r="AE1263" s="535"/>
      <c r="AF1263" s="535"/>
      <c r="AG1263" s="535"/>
      <c r="AH1263" s="535"/>
      <c r="AI1263" s="535"/>
    </row>
    <row r="1264" spans="1:35" ht="15" customHeight="1" x14ac:dyDescent="0.25">
      <c r="A1264" s="1057" t="s">
        <v>9</v>
      </c>
      <c r="B1264" s="2" t="s">
        <v>4</v>
      </c>
      <c r="C1264" s="66">
        <v>143392.20000000001</v>
      </c>
      <c r="D1264" s="66">
        <v>150515.79999999999</v>
      </c>
      <c r="E1264" s="66">
        <v>150515.79999999999</v>
      </c>
      <c r="F1264" s="66">
        <v>181997.8</v>
      </c>
      <c r="G1264" s="66">
        <v>165452.5</v>
      </c>
      <c r="H1264" s="66">
        <v>132132</v>
      </c>
      <c r="I1264" s="66">
        <v>121331.8</v>
      </c>
      <c r="J1264" s="66">
        <v>193027</v>
      </c>
      <c r="K1264" s="66">
        <v>132132.20000000001</v>
      </c>
      <c r="L1264" s="66">
        <v>82726.3</v>
      </c>
      <c r="M1264" s="66">
        <v>176482.7</v>
      </c>
      <c r="N1264" s="231"/>
      <c r="R1264" s="70"/>
      <c r="AA1264" s="70"/>
      <c r="AB1264" s="70"/>
      <c r="AC1264" s="70"/>
      <c r="AD1264" s="534"/>
      <c r="AE1264" s="534"/>
      <c r="AF1264" s="534"/>
      <c r="AG1264" s="534"/>
      <c r="AH1264" s="534"/>
      <c r="AI1264" s="534"/>
    </row>
    <row r="1265" spans="1:35" x14ac:dyDescent="0.25">
      <c r="A1265" s="1058"/>
      <c r="B1265" s="52" t="s">
        <v>5</v>
      </c>
      <c r="C1265" s="67">
        <v>44106.7</v>
      </c>
      <c r="D1265" s="67">
        <v>77041.600000000006</v>
      </c>
      <c r="E1265" s="67">
        <v>78455.8</v>
      </c>
      <c r="F1265" s="67">
        <v>154467.79999999999</v>
      </c>
      <c r="G1265" s="67">
        <v>82839.7</v>
      </c>
      <c r="H1265" s="67">
        <v>41446.9</v>
      </c>
      <c r="I1265" s="67">
        <v>65086.8</v>
      </c>
      <c r="J1265" s="67">
        <v>153674.9</v>
      </c>
      <c r="K1265" s="67">
        <v>51201</v>
      </c>
      <c r="L1265" s="67">
        <v>42824.800000000003</v>
      </c>
      <c r="M1265" s="67">
        <v>128489.1</v>
      </c>
      <c r="N1265" s="232"/>
      <c r="R1265" s="70"/>
      <c r="AA1265" s="70"/>
      <c r="AB1265" s="70"/>
      <c r="AC1265" s="70"/>
      <c r="AD1265" s="534"/>
      <c r="AE1265" s="534"/>
      <c r="AF1265" s="534"/>
      <c r="AG1265" s="534"/>
      <c r="AH1265" s="534"/>
      <c r="AI1265" s="534"/>
    </row>
    <row r="1266" spans="1:35" ht="15.75" thickBot="1" x14ac:dyDescent="0.3">
      <c r="A1266" s="1059"/>
      <c r="B1266" s="3" t="s">
        <v>3</v>
      </c>
      <c r="C1266" s="57">
        <f t="shared" ref="C1266:M1266" si="454">C1265/C1264</f>
        <v>0.30759483430758433</v>
      </c>
      <c r="D1266" s="58">
        <f t="shared" si="454"/>
        <v>0.51185058312815013</v>
      </c>
      <c r="E1266" s="58">
        <f t="shared" si="454"/>
        <v>0.52124627447749683</v>
      </c>
      <c r="F1266" s="58">
        <f t="shared" si="454"/>
        <v>0.84873443525141512</v>
      </c>
      <c r="G1266" s="58">
        <f t="shared" si="454"/>
        <v>0.50068569529018903</v>
      </c>
      <c r="H1266" s="58">
        <f t="shared" si="454"/>
        <v>0.31367798867798868</v>
      </c>
      <c r="I1266" s="58">
        <f t="shared" si="454"/>
        <v>0.53643644947161417</v>
      </c>
      <c r="J1266" s="58">
        <f t="shared" si="454"/>
        <v>0.79613162925393854</v>
      </c>
      <c r="K1266" s="58">
        <f t="shared" si="454"/>
        <v>0.38749827823952071</v>
      </c>
      <c r="L1266" s="58">
        <f t="shared" si="454"/>
        <v>0.5176685044538436</v>
      </c>
      <c r="M1266" s="225">
        <f t="shared" si="454"/>
        <v>0.72805493116322451</v>
      </c>
      <c r="N1266" s="233"/>
      <c r="R1266" s="70"/>
      <c r="AA1266" s="70"/>
      <c r="AB1266" s="70"/>
      <c r="AC1266" s="70"/>
      <c r="AD1266" s="534"/>
      <c r="AE1266" s="534"/>
      <c r="AF1266" s="534"/>
      <c r="AG1266" s="534"/>
      <c r="AH1266" s="534"/>
      <c r="AI1266" s="534"/>
    </row>
    <row r="1267" spans="1:35" ht="15" customHeight="1" x14ac:dyDescent="0.25">
      <c r="A1267" s="1060" t="s">
        <v>6</v>
      </c>
      <c r="B1267" s="19" t="s">
        <v>7</v>
      </c>
      <c r="C1267" s="56">
        <v>5806</v>
      </c>
      <c r="D1267" s="56">
        <v>3333</v>
      </c>
      <c r="E1267" s="56">
        <v>3330</v>
      </c>
      <c r="F1267" s="56">
        <v>9457</v>
      </c>
      <c r="G1267" s="56">
        <v>7653</v>
      </c>
      <c r="H1267" s="56">
        <v>15143</v>
      </c>
      <c r="I1267" s="56">
        <v>7183</v>
      </c>
      <c r="J1267" s="56">
        <v>9289</v>
      </c>
      <c r="K1267" s="56">
        <v>11171</v>
      </c>
      <c r="L1267" s="56">
        <v>4133</v>
      </c>
      <c r="M1267" s="56">
        <v>9494</v>
      </c>
      <c r="N1267" s="234"/>
      <c r="R1267" s="70"/>
      <c r="AA1267" s="70"/>
      <c r="AB1267" s="70"/>
      <c r="AC1267" s="70"/>
      <c r="AD1267" s="534"/>
      <c r="AE1267" s="534"/>
      <c r="AF1267" s="534"/>
      <c r="AG1267" s="534"/>
      <c r="AH1267" s="534"/>
      <c r="AI1267" s="534"/>
    </row>
    <row r="1268" spans="1:35" x14ac:dyDescent="0.25">
      <c r="A1268" s="1061"/>
      <c r="B1268" s="20" t="s">
        <v>11</v>
      </c>
      <c r="C1268" s="59">
        <f t="shared" ref="C1268:M1268" si="455">C1267*33.72</f>
        <v>195778.32</v>
      </c>
      <c r="D1268" s="59">
        <f t="shared" si="455"/>
        <v>112388.76</v>
      </c>
      <c r="E1268" s="59">
        <f t="shared" si="455"/>
        <v>112287.59999999999</v>
      </c>
      <c r="F1268" s="59">
        <f t="shared" si="455"/>
        <v>318890.03999999998</v>
      </c>
      <c r="G1268" s="59">
        <f t="shared" si="455"/>
        <v>258059.16</v>
      </c>
      <c r="H1268" s="59">
        <f t="shared" si="455"/>
        <v>510621.95999999996</v>
      </c>
      <c r="I1268" s="59">
        <f t="shared" si="455"/>
        <v>242210.75999999998</v>
      </c>
      <c r="J1268" s="59">
        <f t="shared" si="455"/>
        <v>313225.08</v>
      </c>
      <c r="K1268" s="59">
        <f t="shared" si="455"/>
        <v>376686.12</v>
      </c>
      <c r="L1268" s="59">
        <f t="shared" si="455"/>
        <v>139364.76</v>
      </c>
      <c r="M1268" s="59">
        <f t="shared" si="455"/>
        <v>320137.68</v>
      </c>
      <c r="N1268" s="235"/>
      <c r="R1268" s="70"/>
      <c r="AA1268" s="70"/>
      <c r="AB1268" s="70"/>
      <c r="AC1268" s="70"/>
      <c r="AD1268" s="534"/>
      <c r="AE1268" s="534"/>
      <c r="AF1268" s="534"/>
      <c r="AG1268" s="534"/>
      <c r="AH1268" s="534"/>
      <c r="AI1268" s="534"/>
    </row>
    <row r="1269" spans="1:35" x14ac:dyDescent="0.25">
      <c r="A1269" s="1061"/>
      <c r="B1269" s="20" t="s">
        <v>79</v>
      </c>
      <c r="C1269" s="59">
        <v>164000</v>
      </c>
      <c r="D1269" s="59">
        <v>109880</v>
      </c>
      <c r="E1269" s="59">
        <v>109880</v>
      </c>
      <c r="F1269" s="59">
        <v>328000</v>
      </c>
      <c r="G1269" s="59">
        <v>330905</v>
      </c>
      <c r="H1269" s="59">
        <v>264264</v>
      </c>
      <c r="I1269" s="59">
        <v>242663.6</v>
      </c>
      <c r="J1269" s="59">
        <v>328000</v>
      </c>
      <c r="K1269" s="59">
        <v>264264.40000000002</v>
      </c>
      <c r="L1269" s="59">
        <v>328000</v>
      </c>
      <c r="M1269" s="59">
        <v>352965.4</v>
      </c>
      <c r="N1269" s="235"/>
      <c r="R1269" s="70"/>
      <c r="AA1269" s="70"/>
      <c r="AB1269" s="70"/>
      <c r="AC1269" s="70"/>
      <c r="AD1269" s="534"/>
      <c r="AE1269" s="534"/>
      <c r="AF1269" s="534"/>
      <c r="AG1269" s="534"/>
      <c r="AH1269" s="534"/>
      <c r="AI1269" s="534"/>
    </row>
    <row r="1270" spans="1:35" x14ac:dyDescent="0.25">
      <c r="A1270" s="1061"/>
      <c r="B1270" s="54" t="s">
        <v>8</v>
      </c>
      <c r="C1270" s="68">
        <f>SUM(C1267-168)</f>
        <v>5638</v>
      </c>
      <c r="D1270" s="68">
        <f>SUM(D1267-676)</f>
        <v>2657</v>
      </c>
      <c r="E1270" s="68">
        <f>SUM(E1267-654)</f>
        <v>2676</v>
      </c>
      <c r="F1270" s="68">
        <f>SUM(F1267-1211)</f>
        <v>8246</v>
      </c>
      <c r="G1270" s="68">
        <f>SUM(G1267-4138)</f>
        <v>3515</v>
      </c>
      <c r="H1270" s="68">
        <f>SUM(H1267-1770)</f>
        <v>13373</v>
      </c>
      <c r="I1270" s="68">
        <f>SUM(I1267-(3865-2000))</f>
        <v>5318</v>
      </c>
      <c r="J1270" s="68">
        <f>SUM(J1267-1257)</f>
        <v>8032</v>
      </c>
      <c r="K1270" s="68">
        <f>SUM(K1267-1353)</f>
        <v>9818</v>
      </c>
      <c r="L1270" s="68">
        <f>SUM(L1267-447)</f>
        <v>3686</v>
      </c>
      <c r="M1270" s="227">
        <f>SUM(M1267-(5653-2614))</f>
        <v>6455</v>
      </c>
      <c r="N1270" s="236"/>
      <c r="R1270" s="12" t="s">
        <v>176</v>
      </c>
    </row>
    <row r="1271" spans="1:35" x14ac:dyDescent="0.25">
      <c r="A1271" s="1061"/>
      <c r="B1271" s="21" t="s">
        <v>77</v>
      </c>
      <c r="C1271" s="250">
        <f>C1270*33.72</f>
        <v>190113.36</v>
      </c>
      <c r="D1271" s="250">
        <f>D1270*33.72</f>
        <v>89594.04</v>
      </c>
      <c r="E1271" s="250">
        <f>E1270*33.72</f>
        <v>90234.72</v>
      </c>
      <c r="F1271" s="250">
        <f>F1270*33.72</f>
        <v>278055.12</v>
      </c>
      <c r="G1271" s="250">
        <f>G1270*33.72*2</f>
        <v>237051.6</v>
      </c>
      <c r="H1271" s="250">
        <f>H1270*33.72</f>
        <v>450937.56</v>
      </c>
      <c r="I1271" s="250">
        <f>(I1270*33.72)-(2000*33.72)</f>
        <v>111882.95999999999</v>
      </c>
      <c r="J1271" s="250">
        <f>J1270*33.72</f>
        <v>270839.03999999998</v>
      </c>
      <c r="K1271" s="250">
        <f>K1270*33.72</f>
        <v>331062.95999999996</v>
      </c>
      <c r="L1271" s="250">
        <f>L1270*33.72</f>
        <v>124291.92</v>
      </c>
      <c r="M1271" s="250">
        <f>((M1270*33.72)-(2614*33.72))*2</f>
        <v>259037.04</v>
      </c>
      <c r="N1271" s="237"/>
      <c r="R1271" s="63">
        <f>344240-H1271</f>
        <v>-106697.56</v>
      </c>
      <c r="S1271" s="70" t="s">
        <v>177</v>
      </c>
    </row>
    <row r="1272" spans="1:35" ht="15.75" thickBot="1" x14ac:dyDescent="0.3">
      <c r="A1272" s="1062"/>
      <c r="B1272" s="201" t="s">
        <v>10</v>
      </c>
      <c r="C1272" s="58">
        <f t="shared" ref="C1272:M1272" si="456">C1271/C1264</f>
        <v>1.3258277646901293</v>
      </c>
      <c r="D1272" s="58">
        <f t="shared" si="456"/>
        <v>0.59524674486000806</v>
      </c>
      <c r="E1272" s="62">
        <f t="shared" si="456"/>
        <v>0.59950330795836726</v>
      </c>
      <c r="F1272" s="62">
        <f t="shared" si="456"/>
        <v>1.5277938524531616</v>
      </c>
      <c r="G1272" s="62">
        <f t="shared" si="456"/>
        <v>1.4327471630830602</v>
      </c>
      <c r="H1272" s="62">
        <f t="shared" si="456"/>
        <v>3.412780855508128</v>
      </c>
      <c r="I1272" s="62">
        <f t="shared" si="456"/>
        <v>0.92212396090719817</v>
      </c>
      <c r="J1272" s="62">
        <f t="shared" si="456"/>
        <v>1.403114797411761</v>
      </c>
      <c r="K1272" s="62">
        <f t="shared" si="456"/>
        <v>2.5055433876072595</v>
      </c>
      <c r="L1272" s="62">
        <f t="shared" si="456"/>
        <v>1.502447468338364</v>
      </c>
      <c r="M1272" s="259">
        <f t="shared" si="456"/>
        <v>1.4677758216527739</v>
      </c>
      <c r="N1272" s="233"/>
      <c r="R1272" s="126"/>
    </row>
    <row r="1273" spans="1:35" ht="15.75" thickBot="1" x14ac:dyDescent="0.3">
      <c r="A1273" s="1048">
        <v>41327</v>
      </c>
      <c r="B1273" s="1048"/>
      <c r="C1273" s="1048"/>
      <c r="N1273" s="13"/>
    </row>
    <row r="1274" spans="1:35" x14ac:dyDescent="0.25">
      <c r="A1274" s="1049" t="s">
        <v>1</v>
      </c>
      <c r="B1274" s="1071"/>
      <c r="C1274" s="56" t="s">
        <v>12</v>
      </c>
      <c r="D1274" s="56" t="s">
        <v>12</v>
      </c>
      <c r="E1274" s="56" t="s">
        <v>13</v>
      </c>
      <c r="F1274" s="56" t="s">
        <v>13</v>
      </c>
      <c r="G1274" s="56" t="s">
        <v>13</v>
      </c>
      <c r="H1274" s="56" t="s">
        <v>13</v>
      </c>
      <c r="I1274" s="56" t="s">
        <v>13</v>
      </c>
      <c r="J1274" s="56" t="s">
        <v>2</v>
      </c>
      <c r="K1274" s="56" t="s">
        <v>2</v>
      </c>
      <c r="L1274" s="56" t="s">
        <v>2</v>
      </c>
      <c r="M1274" s="221" t="s">
        <v>2</v>
      </c>
      <c r="N1274" s="229"/>
    </row>
    <row r="1275" spans="1:35" ht="15.75" thickBot="1" x14ac:dyDescent="0.3">
      <c r="A1275" s="1054" t="s">
        <v>0</v>
      </c>
      <c r="B1275" s="1078"/>
      <c r="C1275" s="69" t="s">
        <v>99</v>
      </c>
      <c r="D1275" s="69" t="s">
        <v>100</v>
      </c>
      <c r="E1275" s="69" t="s">
        <v>101</v>
      </c>
      <c r="F1275" s="69" t="s">
        <v>102</v>
      </c>
      <c r="G1275" s="69" t="s">
        <v>97</v>
      </c>
      <c r="H1275" s="69" t="s">
        <v>104</v>
      </c>
      <c r="I1275" s="69" t="s">
        <v>103</v>
      </c>
      <c r="J1275" s="69" t="s">
        <v>105</v>
      </c>
      <c r="K1275" s="69" t="s">
        <v>107</v>
      </c>
      <c r="L1275" s="69" t="s">
        <v>98</v>
      </c>
      <c r="M1275" s="222" t="s">
        <v>106</v>
      </c>
      <c r="N1275" s="230"/>
      <c r="S1275" s="12"/>
      <c r="T1275" s="12"/>
      <c r="U1275" s="12"/>
      <c r="V1275" s="12"/>
      <c r="W1275" s="12"/>
      <c r="X1275" s="12"/>
      <c r="Y1275" s="12"/>
      <c r="Z1275" s="12"/>
      <c r="AA1275" s="126"/>
      <c r="AB1275" s="125"/>
      <c r="AC1275" s="126"/>
      <c r="AD1275" s="535"/>
      <c r="AE1275" s="535"/>
      <c r="AF1275" s="535"/>
      <c r="AG1275" s="535"/>
      <c r="AH1275" s="535"/>
      <c r="AI1275" s="535"/>
    </row>
    <row r="1276" spans="1:35" ht="15" customHeight="1" x14ac:dyDescent="0.25">
      <c r="A1276" s="1057" t="s">
        <v>9</v>
      </c>
      <c r="B1276" s="2" t="s">
        <v>4</v>
      </c>
      <c r="C1276" s="66">
        <v>143392.20000000001</v>
      </c>
      <c r="D1276" s="66">
        <v>150515.79999999999</v>
      </c>
      <c r="E1276" s="66">
        <v>150515.79999999999</v>
      </c>
      <c r="F1276" s="66">
        <v>181997.8</v>
      </c>
      <c r="G1276" s="66">
        <v>165452.5</v>
      </c>
      <c r="H1276" s="66">
        <v>132132</v>
      </c>
      <c r="I1276" s="66">
        <v>121331.8</v>
      </c>
      <c r="J1276" s="66">
        <v>193027</v>
      </c>
      <c r="K1276" s="66">
        <v>132132.20000000001</v>
      </c>
      <c r="L1276" s="66">
        <v>82726.3</v>
      </c>
      <c r="M1276" s="66">
        <v>176482.7</v>
      </c>
      <c r="N1276" s="231"/>
      <c r="R1276" s="70"/>
      <c r="AA1276" s="70"/>
      <c r="AB1276" s="70"/>
      <c r="AC1276" s="70"/>
      <c r="AD1276" s="534"/>
      <c r="AE1276" s="534"/>
      <c r="AF1276" s="534"/>
      <c r="AG1276" s="534"/>
      <c r="AH1276" s="534"/>
      <c r="AI1276" s="534"/>
    </row>
    <row r="1277" spans="1:35" x14ac:dyDescent="0.25">
      <c r="A1277" s="1058"/>
      <c r="B1277" s="52" t="s">
        <v>5</v>
      </c>
      <c r="C1277" s="67">
        <v>44030.400000000001</v>
      </c>
      <c r="D1277" s="67">
        <v>77025.8</v>
      </c>
      <c r="E1277" s="67">
        <v>78440.100000000006</v>
      </c>
      <c r="F1277" s="67">
        <v>154372</v>
      </c>
      <c r="G1277" s="67">
        <v>81753.3</v>
      </c>
      <c r="H1277" s="67">
        <v>40193.9</v>
      </c>
      <c r="I1277" s="67">
        <v>64836.800000000003</v>
      </c>
      <c r="J1277" s="67">
        <v>153327.29999999999</v>
      </c>
      <c r="K1277" s="67">
        <v>50522.6</v>
      </c>
      <c r="L1277" s="67">
        <v>42717.1</v>
      </c>
      <c r="M1277" s="67">
        <v>127990.39999999999</v>
      </c>
      <c r="N1277" s="232"/>
      <c r="R1277" s="70"/>
      <c r="AA1277" s="70"/>
      <c r="AB1277" s="70"/>
      <c r="AC1277" s="70"/>
      <c r="AD1277" s="534"/>
      <c r="AE1277" s="534"/>
      <c r="AF1277" s="534"/>
      <c r="AG1277" s="534"/>
      <c r="AH1277" s="534"/>
      <c r="AI1277" s="534"/>
    </row>
    <row r="1278" spans="1:35" ht="15.75" thickBot="1" x14ac:dyDescent="0.3">
      <c r="A1278" s="1059"/>
      <c r="B1278" s="3" t="s">
        <v>3</v>
      </c>
      <c r="C1278" s="57">
        <f t="shared" ref="C1278:M1278" si="457">C1277/C1276</f>
        <v>0.30706272726131545</v>
      </c>
      <c r="D1278" s="58">
        <f t="shared" si="457"/>
        <v>0.51174561075980074</v>
      </c>
      <c r="E1278" s="58">
        <f t="shared" si="457"/>
        <v>0.52114196649122557</v>
      </c>
      <c r="F1278" s="58">
        <f t="shared" si="457"/>
        <v>0.84820805526220655</v>
      </c>
      <c r="G1278" s="58">
        <f t="shared" si="457"/>
        <v>0.49411946026805276</v>
      </c>
      <c r="H1278" s="58">
        <f t="shared" si="457"/>
        <v>0.30419504737686559</v>
      </c>
      <c r="I1278" s="58">
        <f t="shared" si="457"/>
        <v>0.53437598387232366</v>
      </c>
      <c r="J1278" s="58">
        <f t="shared" si="457"/>
        <v>0.79433084490770711</v>
      </c>
      <c r="K1278" s="58">
        <f t="shared" si="457"/>
        <v>0.38236402633120459</v>
      </c>
      <c r="L1278" s="58">
        <f t="shared" si="457"/>
        <v>0.51636662101411523</v>
      </c>
      <c r="M1278" s="225">
        <f t="shared" si="457"/>
        <v>0.72522915843875913</v>
      </c>
      <c r="N1278" s="233"/>
      <c r="R1278" s="70"/>
      <c r="AA1278" s="70"/>
      <c r="AB1278" s="70"/>
      <c r="AC1278" s="70"/>
      <c r="AD1278" s="534"/>
      <c r="AE1278" s="534"/>
      <c r="AF1278" s="534"/>
      <c r="AG1278" s="534"/>
      <c r="AH1278" s="534"/>
      <c r="AI1278" s="534"/>
    </row>
    <row r="1279" spans="1:35" ht="15" customHeight="1" x14ac:dyDescent="0.25">
      <c r="A1279" s="1060" t="s">
        <v>6</v>
      </c>
      <c r="B1279" s="19" t="s">
        <v>7</v>
      </c>
      <c r="C1279" s="56">
        <v>5806</v>
      </c>
      <c r="D1279" s="56">
        <v>3333</v>
      </c>
      <c r="E1279" s="56">
        <v>3330</v>
      </c>
      <c r="F1279" s="56">
        <v>9457</v>
      </c>
      <c r="G1279" s="56">
        <v>7653</v>
      </c>
      <c r="H1279" s="56">
        <v>15143</v>
      </c>
      <c r="I1279" s="56">
        <v>7183</v>
      </c>
      <c r="J1279" s="56">
        <v>9289</v>
      </c>
      <c r="K1279" s="56">
        <v>11171</v>
      </c>
      <c r="L1279" s="56">
        <v>4133</v>
      </c>
      <c r="M1279" s="56">
        <v>9494</v>
      </c>
      <c r="N1279" s="234"/>
      <c r="R1279" s="70"/>
      <c r="AA1279" s="70"/>
      <c r="AB1279" s="70"/>
      <c r="AC1279" s="70"/>
      <c r="AD1279" s="534"/>
      <c r="AE1279" s="534"/>
      <c r="AF1279" s="534"/>
      <c r="AG1279" s="534"/>
      <c r="AH1279" s="534"/>
      <c r="AI1279" s="534"/>
    </row>
    <row r="1280" spans="1:35" x14ac:dyDescent="0.25">
      <c r="A1280" s="1061"/>
      <c r="B1280" s="20" t="s">
        <v>11</v>
      </c>
      <c r="C1280" s="59">
        <f t="shared" ref="C1280:M1280" si="458">C1279*33.72</f>
        <v>195778.32</v>
      </c>
      <c r="D1280" s="59">
        <f t="shared" si="458"/>
        <v>112388.76</v>
      </c>
      <c r="E1280" s="59">
        <f t="shared" si="458"/>
        <v>112287.59999999999</v>
      </c>
      <c r="F1280" s="59">
        <f t="shared" si="458"/>
        <v>318890.03999999998</v>
      </c>
      <c r="G1280" s="59">
        <f t="shared" si="458"/>
        <v>258059.16</v>
      </c>
      <c r="H1280" s="59">
        <f t="shared" si="458"/>
        <v>510621.95999999996</v>
      </c>
      <c r="I1280" s="59">
        <f t="shared" si="458"/>
        <v>242210.75999999998</v>
      </c>
      <c r="J1280" s="59">
        <f t="shared" si="458"/>
        <v>313225.08</v>
      </c>
      <c r="K1280" s="59">
        <f t="shared" si="458"/>
        <v>376686.12</v>
      </c>
      <c r="L1280" s="59">
        <f t="shared" si="458"/>
        <v>139364.76</v>
      </c>
      <c r="M1280" s="59">
        <f t="shared" si="458"/>
        <v>320137.68</v>
      </c>
      <c r="N1280" s="235"/>
      <c r="R1280" s="70"/>
      <c r="AA1280" s="70"/>
      <c r="AB1280" s="70"/>
      <c r="AC1280" s="70"/>
      <c r="AD1280" s="534"/>
      <c r="AE1280" s="534"/>
      <c r="AF1280" s="534"/>
      <c r="AG1280" s="534"/>
      <c r="AH1280" s="534"/>
      <c r="AI1280" s="534"/>
    </row>
    <row r="1281" spans="1:35" x14ac:dyDescent="0.25">
      <c r="A1281" s="1061"/>
      <c r="B1281" s="20" t="s">
        <v>79</v>
      </c>
      <c r="C1281" s="59">
        <v>164000</v>
      </c>
      <c r="D1281" s="59">
        <v>109880</v>
      </c>
      <c r="E1281" s="59">
        <v>109880</v>
      </c>
      <c r="F1281" s="59">
        <v>328000</v>
      </c>
      <c r="G1281" s="59">
        <v>330905</v>
      </c>
      <c r="H1281" s="59">
        <v>264264</v>
      </c>
      <c r="I1281" s="59">
        <v>242663.6</v>
      </c>
      <c r="J1281" s="59">
        <v>328000</v>
      </c>
      <c r="K1281" s="59">
        <v>264264.40000000002</v>
      </c>
      <c r="L1281" s="59">
        <v>328000</v>
      </c>
      <c r="M1281" s="59">
        <v>352965.4</v>
      </c>
      <c r="N1281" s="235"/>
      <c r="R1281" s="70"/>
      <c r="AA1281" s="70"/>
      <c r="AB1281" s="70"/>
      <c r="AC1281" s="70"/>
      <c r="AD1281" s="534"/>
      <c r="AE1281" s="534"/>
      <c r="AF1281" s="534"/>
      <c r="AG1281" s="534"/>
      <c r="AH1281" s="534"/>
      <c r="AI1281" s="534"/>
    </row>
    <row r="1282" spans="1:35" x14ac:dyDescent="0.25">
      <c r="A1282" s="1061"/>
      <c r="B1282" s="54" t="s">
        <v>8</v>
      </c>
      <c r="C1282" s="68">
        <f>SUM(C1279-168)</f>
        <v>5638</v>
      </c>
      <c r="D1282" s="68">
        <f>SUM(D1279-676)</f>
        <v>2657</v>
      </c>
      <c r="E1282" s="68">
        <f>SUM(E1279-654)</f>
        <v>2676</v>
      </c>
      <c r="F1282" s="68">
        <f>SUM(F1279-1211)</f>
        <v>8246</v>
      </c>
      <c r="G1282" s="68">
        <f>SUM(G1279-4138)</f>
        <v>3515</v>
      </c>
      <c r="H1282" s="68">
        <f>SUM(H1279-1770)</f>
        <v>13373</v>
      </c>
      <c r="I1282" s="68">
        <f>SUM(I1279-(3865-2000))</f>
        <v>5318</v>
      </c>
      <c r="J1282" s="68">
        <f>SUM(J1279-1257)</f>
        <v>8032</v>
      </c>
      <c r="K1282" s="68">
        <f>SUM(K1279-1353)</f>
        <v>9818</v>
      </c>
      <c r="L1282" s="68">
        <f>SUM(L1279-447)</f>
        <v>3686</v>
      </c>
      <c r="M1282" s="227">
        <f>SUM(M1279-(5653-2614))</f>
        <v>6455</v>
      </c>
      <c r="N1282" s="236"/>
      <c r="R1282" s="12" t="s">
        <v>176</v>
      </c>
    </row>
    <row r="1283" spans="1:35" x14ac:dyDescent="0.25">
      <c r="A1283" s="1061"/>
      <c r="B1283" s="21" t="s">
        <v>77</v>
      </c>
      <c r="C1283" s="250">
        <f>C1282*33.72</f>
        <v>190113.36</v>
      </c>
      <c r="D1283" s="250">
        <f>D1282*33.72</f>
        <v>89594.04</v>
      </c>
      <c r="E1283" s="250">
        <f>E1282*33.72</f>
        <v>90234.72</v>
      </c>
      <c r="F1283" s="250">
        <f>F1282*33.72</f>
        <v>278055.12</v>
      </c>
      <c r="G1283" s="250">
        <f>G1282*33.72*2</f>
        <v>237051.6</v>
      </c>
      <c r="H1283" s="250">
        <f>H1282*33.72</f>
        <v>450937.56</v>
      </c>
      <c r="I1283" s="250">
        <f>(I1282*33.72)-(2000*33.72)</f>
        <v>111882.95999999999</v>
      </c>
      <c r="J1283" s="250">
        <f>J1282*33.72</f>
        <v>270839.03999999998</v>
      </c>
      <c r="K1283" s="250">
        <f>K1282*33.72</f>
        <v>331062.95999999996</v>
      </c>
      <c r="L1283" s="250">
        <f>L1282*33.72</f>
        <v>124291.92</v>
      </c>
      <c r="M1283" s="250">
        <f>((M1282*33.72)-(2614*33.72))*2</f>
        <v>259037.04</v>
      </c>
      <c r="N1283" s="237"/>
      <c r="R1283" s="63">
        <f>344240-H1283</f>
        <v>-106697.56</v>
      </c>
      <c r="S1283" s="70" t="s">
        <v>177</v>
      </c>
    </row>
    <row r="1284" spans="1:35" ht="15.75" thickBot="1" x14ac:dyDescent="0.3">
      <c r="A1284" s="1062"/>
      <c r="B1284" s="201" t="s">
        <v>10</v>
      </c>
      <c r="C1284" s="58">
        <f t="shared" ref="C1284:M1284" si="459">C1283/C1276</f>
        <v>1.3258277646901293</v>
      </c>
      <c r="D1284" s="58">
        <f t="shared" si="459"/>
        <v>0.59524674486000806</v>
      </c>
      <c r="E1284" s="62">
        <f t="shared" si="459"/>
        <v>0.59950330795836726</v>
      </c>
      <c r="F1284" s="62">
        <f t="shared" si="459"/>
        <v>1.5277938524531616</v>
      </c>
      <c r="G1284" s="62">
        <f t="shared" si="459"/>
        <v>1.4327471630830602</v>
      </c>
      <c r="H1284" s="62">
        <f t="shared" si="459"/>
        <v>3.412780855508128</v>
      </c>
      <c r="I1284" s="62">
        <f t="shared" si="459"/>
        <v>0.92212396090719817</v>
      </c>
      <c r="J1284" s="62">
        <f t="shared" si="459"/>
        <v>1.403114797411761</v>
      </c>
      <c r="K1284" s="62">
        <f t="shared" si="459"/>
        <v>2.5055433876072595</v>
      </c>
      <c r="L1284" s="62">
        <f t="shared" si="459"/>
        <v>1.502447468338364</v>
      </c>
      <c r="M1284" s="259">
        <f t="shared" si="459"/>
        <v>1.4677758216527739</v>
      </c>
      <c r="N1284" s="233"/>
      <c r="R1284" s="126"/>
    </row>
    <row r="1285" spans="1:35" ht="15.75" thickBot="1" x14ac:dyDescent="0.3">
      <c r="A1285" s="1048">
        <v>41326</v>
      </c>
      <c r="B1285" s="1048"/>
      <c r="C1285" s="1048"/>
      <c r="N1285" s="13"/>
    </row>
    <row r="1286" spans="1:35" x14ac:dyDescent="0.25">
      <c r="A1286" s="1049" t="s">
        <v>1</v>
      </c>
      <c r="B1286" s="1071"/>
      <c r="C1286" s="56" t="s">
        <v>12</v>
      </c>
      <c r="D1286" s="56" t="s">
        <v>12</v>
      </c>
      <c r="E1286" s="56" t="s">
        <v>13</v>
      </c>
      <c r="F1286" s="56" t="s">
        <v>13</v>
      </c>
      <c r="G1286" s="56" t="s">
        <v>13</v>
      </c>
      <c r="H1286" s="56" t="s">
        <v>13</v>
      </c>
      <c r="I1286" s="56" t="s">
        <v>13</v>
      </c>
      <c r="J1286" s="56" t="s">
        <v>2</v>
      </c>
      <c r="K1286" s="56" t="s">
        <v>2</v>
      </c>
      <c r="L1286" s="56" t="s">
        <v>2</v>
      </c>
      <c r="M1286" s="221" t="s">
        <v>2</v>
      </c>
      <c r="N1286" s="229"/>
    </row>
    <row r="1287" spans="1:35" ht="15.75" thickBot="1" x14ac:dyDescent="0.3">
      <c r="A1287" s="1054" t="s">
        <v>0</v>
      </c>
      <c r="B1287" s="1078"/>
      <c r="C1287" s="69" t="s">
        <v>99</v>
      </c>
      <c r="D1287" s="69" t="s">
        <v>100</v>
      </c>
      <c r="E1287" s="69" t="s">
        <v>101</v>
      </c>
      <c r="F1287" s="69" t="s">
        <v>102</v>
      </c>
      <c r="G1287" s="69" t="s">
        <v>97</v>
      </c>
      <c r="H1287" s="69" t="s">
        <v>104</v>
      </c>
      <c r="I1287" s="69" t="s">
        <v>103</v>
      </c>
      <c r="J1287" s="69" t="s">
        <v>105</v>
      </c>
      <c r="K1287" s="69" t="s">
        <v>107</v>
      </c>
      <c r="L1287" s="69" t="s">
        <v>98</v>
      </c>
      <c r="M1287" s="222" t="s">
        <v>106</v>
      </c>
      <c r="N1287" s="230"/>
      <c r="S1287" s="12"/>
      <c r="T1287" s="12"/>
      <c r="U1287" s="12"/>
      <c r="V1287" s="12"/>
      <c r="W1287" s="12"/>
      <c r="X1287" s="12"/>
      <c r="Y1287" s="12"/>
      <c r="Z1287" s="12"/>
      <c r="AA1287" s="126"/>
      <c r="AB1287" s="125"/>
      <c r="AC1287" s="126"/>
      <c r="AD1287" s="535"/>
      <c r="AE1287" s="535"/>
      <c r="AF1287" s="535"/>
      <c r="AG1287" s="535"/>
      <c r="AH1287" s="535"/>
      <c r="AI1287" s="535"/>
    </row>
    <row r="1288" spans="1:35" ht="15" customHeight="1" x14ac:dyDescent="0.25">
      <c r="A1288" s="1057" t="s">
        <v>9</v>
      </c>
      <c r="B1288" s="2" t="s">
        <v>4</v>
      </c>
      <c r="C1288" s="66">
        <v>143392.20000000001</v>
      </c>
      <c r="D1288" s="66">
        <v>150515.79999999999</v>
      </c>
      <c r="E1288" s="66">
        <v>150515.79999999999</v>
      </c>
      <c r="F1288" s="66">
        <v>181997.8</v>
      </c>
      <c r="G1288" s="66">
        <v>165452.5</v>
      </c>
      <c r="H1288" s="66">
        <v>132132</v>
      </c>
      <c r="I1288" s="66">
        <v>121331.8</v>
      </c>
      <c r="J1288" s="66">
        <v>193027</v>
      </c>
      <c r="K1288" s="66">
        <v>132132.20000000001</v>
      </c>
      <c r="L1288" s="66">
        <v>82726.3</v>
      </c>
      <c r="M1288" s="66">
        <v>176482.7</v>
      </c>
      <c r="N1288" s="231"/>
      <c r="R1288" s="70"/>
      <c r="AA1288" s="70"/>
      <c r="AB1288" s="70"/>
      <c r="AC1288" s="70"/>
      <c r="AD1288" s="534"/>
      <c r="AE1288" s="534"/>
      <c r="AF1288" s="534"/>
      <c r="AG1288" s="534"/>
      <c r="AH1288" s="534"/>
      <c r="AI1288" s="534"/>
    </row>
    <row r="1289" spans="1:35" x14ac:dyDescent="0.25">
      <c r="A1289" s="1058"/>
      <c r="B1289" s="52" t="s">
        <v>5</v>
      </c>
      <c r="C1289" s="67">
        <v>43973.9</v>
      </c>
      <c r="D1289" s="67">
        <v>77019.600000000006</v>
      </c>
      <c r="E1289" s="67">
        <v>78064.2</v>
      </c>
      <c r="F1289" s="67">
        <v>154124.20000000001</v>
      </c>
      <c r="G1289" s="67">
        <v>81753.3</v>
      </c>
      <c r="H1289" s="67">
        <v>40234.9</v>
      </c>
      <c r="I1289" s="67">
        <v>64749.5</v>
      </c>
      <c r="J1289" s="67">
        <v>153193.60000000001</v>
      </c>
      <c r="K1289" s="67">
        <v>50330.8</v>
      </c>
      <c r="L1289" s="67">
        <v>42236.9</v>
      </c>
      <c r="M1289" s="67">
        <v>127829.4</v>
      </c>
      <c r="N1289" s="232"/>
      <c r="R1289" s="70"/>
      <c r="AA1289" s="70"/>
      <c r="AB1289" s="70"/>
      <c r="AC1289" s="70"/>
      <c r="AD1289" s="534"/>
      <c r="AE1289" s="534"/>
      <c r="AF1289" s="534"/>
      <c r="AG1289" s="534"/>
      <c r="AH1289" s="534"/>
      <c r="AI1289" s="534"/>
    </row>
    <row r="1290" spans="1:35" ht="15.75" thickBot="1" x14ac:dyDescent="0.3">
      <c r="A1290" s="1059"/>
      <c r="B1290" s="3" t="s">
        <v>3</v>
      </c>
      <c r="C1290" s="57">
        <f t="shared" ref="C1290:M1290" si="460">C1289/C1288</f>
        <v>0.30666870303963534</v>
      </c>
      <c r="D1290" s="58">
        <f t="shared" si="460"/>
        <v>0.51170441907095476</v>
      </c>
      <c r="E1290" s="58">
        <f t="shared" si="460"/>
        <v>0.51864455425941991</v>
      </c>
      <c r="F1290" s="58">
        <f t="shared" si="460"/>
        <v>0.8468465003423119</v>
      </c>
      <c r="G1290" s="58">
        <f t="shared" si="460"/>
        <v>0.49411946026805276</v>
      </c>
      <c r="H1290" s="58">
        <f t="shared" si="460"/>
        <v>0.3045053431417068</v>
      </c>
      <c r="I1290" s="58">
        <f t="shared" si="460"/>
        <v>0.53365646928505139</v>
      </c>
      <c r="J1290" s="58">
        <f t="shared" si="460"/>
        <v>0.79363819569283056</v>
      </c>
      <c r="K1290" s="58">
        <f t="shared" si="460"/>
        <v>0.38091244980405986</v>
      </c>
      <c r="L1290" s="58">
        <f t="shared" si="460"/>
        <v>0.51056193737662625</v>
      </c>
      <c r="M1290" s="225">
        <f t="shared" si="460"/>
        <v>0.72431688771760627</v>
      </c>
      <c r="N1290" s="233"/>
      <c r="R1290" s="70"/>
      <c r="AA1290" s="70"/>
      <c r="AB1290" s="70"/>
      <c r="AC1290" s="70"/>
      <c r="AD1290" s="534"/>
      <c r="AE1290" s="534"/>
      <c r="AF1290" s="534"/>
      <c r="AG1290" s="534"/>
      <c r="AH1290" s="534"/>
      <c r="AI1290" s="534"/>
    </row>
    <row r="1291" spans="1:35" ht="15" customHeight="1" x14ac:dyDescent="0.25">
      <c r="A1291" s="1060" t="s">
        <v>6</v>
      </c>
      <c r="B1291" s="19" t="s">
        <v>7</v>
      </c>
      <c r="C1291" s="56">
        <v>5806</v>
      </c>
      <c r="D1291" s="56">
        <v>3333</v>
      </c>
      <c r="E1291" s="56">
        <v>3330</v>
      </c>
      <c r="F1291" s="56">
        <v>9457</v>
      </c>
      <c r="G1291" s="56">
        <v>7653</v>
      </c>
      <c r="H1291" s="56">
        <v>15143</v>
      </c>
      <c r="I1291" s="56">
        <v>7183</v>
      </c>
      <c r="J1291" s="56">
        <v>9289</v>
      </c>
      <c r="K1291" s="56">
        <v>11171</v>
      </c>
      <c r="L1291" s="56">
        <v>4133</v>
      </c>
      <c r="M1291" s="56">
        <v>9494</v>
      </c>
      <c r="N1291" s="234"/>
      <c r="R1291" s="70"/>
      <c r="AA1291" s="70"/>
      <c r="AB1291" s="70"/>
      <c r="AC1291" s="70"/>
      <c r="AD1291" s="534"/>
      <c r="AE1291" s="534"/>
      <c r="AF1291" s="534"/>
      <c r="AG1291" s="534"/>
      <c r="AH1291" s="534"/>
      <c r="AI1291" s="534"/>
    </row>
    <row r="1292" spans="1:35" x14ac:dyDescent="0.25">
      <c r="A1292" s="1061"/>
      <c r="B1292" s="20" t="s">
        <v>11</v>
      </c>
      <c r="C1292" s="59">
        <f t="shared" ref="C1292:M1292" si="461">C1291*33.72</f>
        <v>195778.32</v>
      </c>
      <c r="D1292" s="59">
        <f t="shared" si="461"/>
        <v>112388.76</v>
      </c>
      <c r="E1292" s="59">
        <f t="shared" si="461"/>
        <v>112287.59999999999</v>
      </c>
      <c r="F1292" s="59">
        <f t="shared" si="461"/>
        <v>318890.03999999998</v>
      </c>
      <c r="G1292" s="59">
        <f t="shared" si="461"/>
        <v>258059.16</v>
      </c>
      <c r="H1292" s="59">
        <f t="shared" si="461"/>
        <v>510621.95999999996</v>
      </c>
      <c r="I1292" s="59">
        <f t="shared" si="461"/>
        <v>242210.75999999998</v>
      </c>
      <c r="J1292" s="59">
        <f t="shared" si="461"/>
        <v>313225.08</v>
      </c>
      <c r="K1292" s="59">
        <f t="shared" si="461"/>
        <v>376686.12</v>
      </c>
      <c r="L1292" s="59">
        <f t="shared" si="461"/>
        <v>139364.76</v>
      </c>
      <c r="M1292" s="59">
        <f t="shared" si="461"/>
        <v>320137.68</v>
      </c>
      <c r="N1292" s="235"/>
      <c r="R1292" s="70"/>
      <c r="AA1292" s="70"/>
      <c r="AB1292" s="70"/>
      <c r="AC1292" s="70"/>
      <c r="AD1292" s="534"/>
      <c r="AE1292" s="534"/>
      <c r="AF1292" s="534"/>
      <c r="AG1292" s="534"/>
      <c r="AH1292" s="534"/>
      <c r="AI1292" s="534"/>
    </row>
    <row r="1293" spans="1:35" x14ac:dyDescent="0.25">
      <c r="A1293" s="1061"/>
      <c r="B1293" s="20" t="s">
        <v>79</v>
      </c>
      <c r="C1293" s="59">
        <v>164000</v>
      </c>
      <c r="D1293" s="59">
        <v>109880</v>
      </c>
      <c r="E1293" s="59">
        <v>109880</v>
      </c>
      <c r="F1293" s="59">
        <v>328000</v>
      </c>
      <c r="G1293" s="59">
        <v>330905</v>
      </c>
      <c r="H1293" s="59">
        <v>264264</v>
      </c>
      <c r="I1293" s="59">
        <v>242663.6</v>
      </c>
      <c r="J1293" s="59">
        <v>328000</v>
      </c>
      <c r="K1293" s="59">
        <v>264264.40000000002</v>
      </c>
      <c r="L1293" s="59">
        <v>328000</v>
      </c>
      <c r="M1293" s="59">
        <v>352965.4</v>
      </c>
      <c r="N1293" s="235"/>
      <c r="R1293" s="70"/>
      <c r="AA1293" s="70"/>
      <c r="AB1293" s="70"/>
      <c r="AC1293" s="70"/>
      <c r="AD1293" s="534"/>
      <c r="AE1293" s="534"/>
      <c r="AF1293" s="534"/>
      <c r="AG1293" s="534"/>
      <c r="AH1293" s="534"/>
      <c r="AI1293" s="534"/>
    </row>
    <row r="1294" spans="1:35" x14ac:dyDescent="0.25">
      <c r="A1294" s="1061"/>
      <c r="B1294" s="54" t="s">
        <v>8</v>
      </c>
      <c r="C1294" s="68">
        <f>SUM(C1291-168)</f>
        <v>5638</v>
      </c>
      <c r="D1294" s="68">
        <f>SUM(D1291-676)</f>
        <v>2657</v>
      </c>
      <c r="E1294" s="68">
        <f>SUM(E1291-654)</f>
        <v>2676</v>
      </c>
      <c r="F1294" s="68">
        <f>SUM(F1291-1254)</f>
        <v>8203</v>
      </c>
      <c r="G1294" s="68">
        <f>SUM(G1291-4138)</f>
        <v>3515</v>
      </c>
      <c r="H1294" s="68">
        <f>SUM(H1291-1813)</f>
        <v>13330</v>
      </c>
      <c r="I1294" s="68">
        <f>SUM(I1291-(3891-2000))</f>
        <v>5292</v>
      </c>
      <c r="J1294" s="68">
        <f>SUM(J1291-1257)</f>
        <v>8032</v>
      </c>
      <c r="K1294" s="68">
        <f>SUM(K1291-1353)</f>
        <v>9818</v>
      </c>
      <c r="L1294" s="68">
        <f>SUM(L1291-447)</f>
        <v>3686</v>
      </c>
      <c r="M1294" s="227">
        <f>SUM(M1291-(5653-2614))</f>
        <v>6455</v>
      </c>
      <c r="N1294" s="236"/>
      <c r="R1294" s="12" t="s">
        <v>176</v>
      </c>
    </row>
    <row r="1295" spans="1:35" x14ac:dyDescent="0.25">
      <c r="A1295" s="1061"/>
      <c r="B1295" s="21" t="s">
        <v>77</v>
      </c>
      <c r="C1295" s="250">
        <f>C1294*33.72</f>
        <v>190113.36</v>
      </c>
      <c r="D1295" s="250">
        <f>D1294*33.72</f>
        <v>89594.04</v>
      </c>
      <c r="E1295" s="250">
        <f>E1294*33.72</f>
        <v>90234.72</v>
      </c>
      <c r="F1295" s="250">
        <f>F1294*33.72</f>
        <v>276605.15999999997</v>
      </c>
      <c r="G1295" s="250">
        <f>G1294*33.72*2</f>
        <v>237051.6</v>
      </c>
      <c r="H1295" s="250">
        <f>H1294*33.72</f>
        <v>449487.6</v>
      </c>
      <c r="I1295" s="250">
        <f>(I1294*33.72)-(2000*33.72)</f>
        <v>111006.23999999999</v>
      </c>
      <c r="J1295" s="250">
        <f>J1294*33.72</f>
        <v>270839.03999999998</v>
      </c>
      <c r="K1295" s="250">
        <f>K1294*33.72</f>
        <v>331062.95999999996</v>
      </c>
      <c r="L1295" s="250">
        <f>L1294*33.72</f>
        <v>124291.92</v>
      </c>
      <c r="M1295" s="250">
        <f>((M1294*33.72)-(2614*33.72))*2</f>
        <v>259037.04</v>
      </c>
      <c r="N1295" s="237"/>
      <c r="R1295" s="63">
        <f>344240-H1295</f>
        <v>-105247.59999999998</v>
      </c>
      <c r="S1295" s="70" t="s">
        <v>177</v>
      </c>
    </row>
    <row r="1296" spans="1:35" ht="15.75" thickBot="1" x14ac:dyDescent="0.3">
      <c r="A1296" s="1062"/>
      <c r="B1296" s="201" t="s">
        <v>10</v>
      </c>
      <c r="C1296" s="58">
        <f t="shared" ref="C1296:M1296" si="462">C1295/C1288</f>
        <v>1.3258277646901293</v>
      </c>
      <c r="D1296" s="58">
        <f t="shared" si="462"/>
        <v>0.59524674486000806</v>
      </c>
      <c r="E1296" s="62">
        <f t="shared" si="462"/>
        <v>0.59950330795836726</v>
      </c>
      <c r="F1296" s="62">
        <f t="shared" si="462"/>
        <v>1.5198269429630467</v>
      </c>
      <c r="G1296" s="62">
        <f t="shared" si="462"/>
        <v>1.4327471630830602</v>
      </c>
      <c r="H1296" s="62">
        <f t="shared" si="462"/>
        <v>3.4018072836254651</v>
      </c>
      <c r="I1296" s="62">
        <f t="shared" si="462"/>
        <v>0.91489815530635821</v>
      </c>
      <c r="J1296" s="62">
        <f t="shared" si="462"/>
        <v>1.403114797411761</v>
      </c>
      <c r="K1296" s="62">
        <f t="shared" si="462"/>
        <v>2.5055433876072595</v>
      </c>
      <c r="L1296" s="62">
        <f t="shared" si="462"/>
        <v>1.502447468338364</v>
      </c>
      <c r="M1296" s="259">
        <f t="shared" si="462"/>
        <v>1.4677758216527739</v>
      </c>
      <c r="N1296" s="233"/>
      <c r="R1296" s="126"/>
    </row>
    <row r="1297" spans="1:35" ht="15.75" thickBot="1" x14ac:dyDescent="0.3">
      <c r="A1297" s="1048">
        <v>41323</v>
      </c>
      <c r="B1297" s="1048"/>
      <c r="C1297" s="1048"/>
      <c r="N1297" s="13"/>
    </row>
    <row r="1298" spans="1:35" x14ac:dyDescent="0.25">
      <c r="A1298" s="1049" t="s">
        <v>1</v>
      </c>
      <c r="B1298" s="1071"/>
      <c r="C1298" s="56" t="s">
        <v>12</v>
      </c>
      <c r="D1298" s="56" t="s">
        <v>12</v>
      </c>
      <c r="E1298" s="56" t="s">
        <v>13</v>
      </c>
      <c r="F1298" s="56" t="s">
        <v>13</v>
      </c>
      <c r="G1298" s="56" t="s">
        <v>13</v>
      </c>
      <c r="H1298" s="56" t="s">
        <v>13</v>
      </c>
      <c r="I1298" s="56" t="s">
        <v>13</v>
      </c>
      <c r="J1298" s="56" t="s">
        <v>2</v>
      </c>
      <c r="K1298" s="56" t="s">
        <v>2</v>
      </c>
      <c r="L1298" s="56" t="s">
        <v>2</v>
      </c>
      <c r="M1298" s="221" t="s">
        <v>2</v>
      </c>
      <c r="N1298" s="229"/>
    </row>
    <row r="1299" spans="1:35" ht="15.75" thickBot="1" x14ac:dyDescent="0.3">
      <c r="A1299" s="1054" t="s">
        <v>0</v>
      </c>
      <c r="B1299" s="1078"/>
      <c r="C1299" s="69" t="s">
        <v>99</v>
      </c>
      <c r="D1299" s="69" t="s">
        <v>100</v>
      </c>
      <c r="E1299" s="69" t="s">
        <v>101</v>
      </c>
      <c r="F1299" s="69" t="s">
        <v>102</v>
      </c>
      <c r="G1299" s="69" t="s">
        <v>97</v>
      </c>
      <c r="H1299" s="69" t="s">
        <v>104</v>
      </c>
      <c r="I1299" s="69" t="s">
        <v>103</v>
      </c>
      <c r="J1299" s="69" t="s">
        <v>105</v>
      </c>
      <c r="K1299" s="69" t="s">
        <v>107</v>
      </c>
      <c r="L1299" s="69" t="s">
        <v>98</v>
      </c>
      <c r="M1299" s="222" t="s">
        <v>106</v>
      </c>
      <c r="N1299" s="230"/>
      <c r="S1299" s="12"/>
      <c r="T1299" s="12"/>
      <c r="U1299" s="12"/>
      <c r="V1299" s="12"/>
      <c r="W1299" s="12"/>
      <c r="X1299" s="12"/>
      <c r="Y1299" s="12"/>
      <c r="Z1299" s="12"/>
      <c r="AA1299" s="126"/>
      <c r="AB1299" s="125"/>
      <c r="AC1299" s="126"/>
      <c r="AD1299" s="535"/>
      <c r="AE1299" s="535"/>
      <c r="AF1299" s="535"/>
      <c r="AG1299" s="535"/>
      <c r="AH1299" s="535"/>
      <c r="AI1299" s="535"/>
    </row>
    <row r="1300" spans="1:35" ht="15" customHeight="1" x14ac:dyDescent="0.25">
      <c r="A1300" s="1057" t="s">
        <v>9</v>
      </c>
      <c r="B1300" s="2" t="s">
        <v>4</v>
      </c>
      <c r="C1300" s="66">
        <v>143392.20000000001</v>
      </c>
      <c r="D1300" s="66">
        <v>150515.79999999999</v>
      </c>
      <c r="E1300" s="66">
        <v>150515.79999999999</v>
      </c>
      <c r="F1300" s="66">
        <v>181997.8</v>
      </c>
      <c r="G1300" s="66">
        <v>165452.5</v>
      </c>
      <c r="H1300" s="66">
        <v>132132</v>
      </c>
      <c r="I1300" s="66">
        <v>121331.8</v>
      </c>
      <c r="J1300" s="66">
        <v>193027</v>
      </c>
      <c r="K1300" s="66">
        <v>132132.20000000001</v>
      </c>
      <c r="L1300" s="66">
        <v>82726.3</v>
      </c>
      <c r="M1300" s="66">
        <v>176482.7</v>
      </c>
      <c r="N1300" s="231"/>
      <c r="R1300" s="70"/>
      <c r="AA1300" s="70"/>
      <c r="AB1300" s="70"/>
      <c r="AC1300" s="70"/>
      <c r="AD1300" s="534"/>
      <c r="AE1300" s="534"/>
      <c r="AF1300" s="534"/>
      <c r="AG1300" s="534"/>
      <c r="AH1300" s="534"/>
      <c r="AI1300" s="534"/>
    </row>
    <row r="1301" spans="1:35" x14ac:dyDescent="0.25">
      <c r="A1301" s="1058"/>
      <c r="B1301" s="52" t="s">
        <v>5</v>
      </c>
      <c r="C1301" s="67">
        <v>43165.4</v>
      </c>
      <c r="D1301" s="67">
        <v>76649.899999999994</v>
      </c>
      <c r="E1301" s="67">
        <v>78064.2</v>
      </c>
      <c r="F1301" s="67">
        <v>154124.20000000001</v>
      </c>
      <c r="G1301" s="67">
        <v>81753.3</v>
      </c>
      <c r="H1301" s="67">
        <v>40234.9</v>
      </c>
      <c r="I1301" s="67">
        <v>64749.5</v>
      </c>
      <c r="J1301" s="67">
        <v>153193.60000000001</v>
      </c>
      <c r="K1301" s="67">
        <v>50330.8</v>
      </c>
      <c r="L1301" s="67">
        <v>42236.9</v>
      </c>
      <c r="M1301" s="67">
        <v>127829.4</v>
      </c>
      <c r="N1301" s="232"/>
      <c r="R1301" s="70"/>
      <c r="AA1301" s="70"/>
      <c r="AB1301" s="70"/>
      <c r="AC1301" s="70"/>
      <c r="AD1301" s="534"/>
      <c r="AE1301" s="534"/>
      <c r="AF1301" s="534"/>
      <c r="AG1301" s="534"/>
      <c r="AH1301" s="534"/>
      <c r="AI1301" s="534"/>
    </row>
    <row r="1302" spans="1:35" ht="15.75" thickBot="1" x14ac:dyDescent="0.3">
      <c r="A1302" s="1059"/>
      <c r="B1302" s="3" t="s">
        <v>3</v>
      </c>
      <c r="C1302" s="57">
        <f t="shared" ref="C1302:M1302" si="463">C1301/C1300</f>
        <v>0.3010303210355933</v>
      </c>
      <c r="D1302" s="58">
        <f t="shared" si="463"/>
        <v>0.50924819852799508</v>
      </c>
      <c r="E1302" s="58">
        <f t="shared" si="463"/>
        <v>0.51864455425941991</v>
      </c>
      <c r="F1302" s="58">
        <f t="shared" si="463"/>
        <v>0.8468465003423119</v>
      </c>
      <c r="G1302" s="58">
        <f t="shared" si="463"/>
        <v>0.49411946026805276</v>
      </c>
      <c r="H1302" s="58">
        <f t="shared" si="463"/>
        <v>0.3045053431417068</v>
      </c>
      <c r="I1302" s="58">
        <f t="shared" si="463"/>
        <v>0.53365646928505139</v>
      </c>
      <c r="J1302" s="58">
        <f t="shared" si="463"/>
        <v>0.79363819569283056</v>
      </c>
      <c r="K1302" s="58">
        <f t="shared" si="463"/>
        <v>0.38091244980405986</v>
      </c>
      <c r="L1302" s="58">
        <f t="shared" si="463"/>
        <v>0.51056193737662625</v>
      </c>
      <c r="M1302" s="225">
        <f t="shared" si="463"/>
        <v>0.72431688771760627</v>
      </c>
      <c r="N1302" s="233"/>
      <c r="R1302" s="70"/>
      <c r="AA1302" s="70"/>
      <c r="AB1302" s="70"/>
      <c r="AC1302" s="70"/>
      <c r="AD1302" s="534"/>
      <c r="AE1302" s="534"/>
      <c r="AF1302" s="534"/>
      <c r="AG1302" s="534"/>
      <c r="AH1302" s="534"/>
      <c r="AI1302" s="534"/>
    </row>
    <row r="1303" spans="1:35" ht="15" customHeight="1" x14ac:dyDescent="0.25">
      <c r="A1303" s="1060" t="s">
        <v>6</v>
      </c>
      <c r="B1303" s="19" t="s">
        <v>7</v>
      </c>
      <c r="C1303" s="56">
        <v>5806</v>
      </c>
      <c r="D1303" s="56">
        <v>3333</v>
      </c>
      <c r="E1303" s="56">
        <v>3330</v>
      </c>
      <c r="F1303" s="56">
        <v>9457</v>
      </c>
      <c r="G1303" s="56">
        <v>7653</v>
      </c>
      <c r="H1303" s="56">
        <v>15143</v>
      </c>
      <c r="I1303" s="56">
        <v>7183</v>
      </c>
      <c r="J1303" s="56">
        <v>9289</v>
      </c>
      <c r="K1303" s="56">
        <v>11171</v>
      </c>
      <c r="L1303" s="56">
        <v>4133</v>
      </c>
      <c r="M1303" s="56">
        <v>9494</v>
      </c>
      <c r="N1303" s="234"/>
      <c r="R1303" s="70"/>
      <c r="AA1303" s="70"/>
      <c r="AB1303" s="70"/>
      <c r="AC1303" s="70"/>
      <c r="AD1303" s="534"/>
      <c r="AE1303" s="534"/>
      <c r="AF1303" s="534"/>
      <c r="AG1303" s="534"/>
      <c r="AH1303" s="534"/>
      <c r="AI1303" s="534"/>
    </row>
    <row r="1304" spans="1:35" x14ac:dyDescent="0.25">
      <c r="A1304" s="1061"/>
      <c r="B1304" s="20" t="s">
        <v>11</v>
      </c>
      <c r="C1304" s="59">
        <f t="shared" ref="C1304:M1304" si="464">C1303*33.72</f>
        <v>195778.32</v>
      </c>
      <c r="D1304" s="59">
        <f t="shared" si="464"/>
        <v>112388.76</v>
      </c>
      <c r="E1304" s="59">
        <f t="shared" si="464"/>
        <v>112287.59999999999</v>
      </c>
      <c r="F1304" s="59">
        <f t="shared" si="464"/>
        <v>318890.03999999998</v>
      </c>
      <c r="G1304" s="59">
        <f t="shared" si="464"/>
        <v>258059.16</v>
      </c>
      <c r="H1304" s="59">
        <f t="shared" si="464"/>
        <v>510621.95999999996</v>
      </c>
      <c r="I1304" s="59">
        <f t="shared" si="464"/>
        <v>242210.75999999998</v>
      </c>
      <c r="J1304" s="59">
        <f t="shared" si="464"/>
        <v>313225.08</v>
      </c>
      <c r="K1304" s="59">
        <f t="shared" si="464"/>
        <v>376686.12</v>
      </c>
      <c r="L1304" s="59">
        <f t="shared" si="464"/>
        <v>139364.76</v>
      </c>
      <c r="M1304" s="59">
        <f t="shared" si="464"/>
        <v>320137.68</v>
      </c>
      <c r="N1304" s="235"/>
      <c r="R1304" s="70"/>
      <c r="AA1304" s="70"/>
      <c r="AB1304" s="70"/>
      <c r="AC1304" s="70"/>
      <c r="AD1304" s="534"/>
      <c r="AE1304" s="534"/>
      <c r="AF1304" s="534"/>
      <c r="AG1304" s="534"/>
      <c r="AH1304" s="534"/>
      <c r="AI1304" s="534"/>
    </row>
    <row r="1305" spans="1:35" x14ac:dyDescent="0.25">
      <c r="A1305" s="1061"/>
      <c r="B1305" s="20" t="s">
        <v>79</v>
      </c>
      <c r="C1305" s="59">
        <v>164000</v>
      </c>
      <c r="D1305" s="59">
        <v>109880</v>
      </c>
      <c r="E1305" s="59">
        <v>109880</v>
      </c>
      <c r="F1305" s="59">
        <v>328000</v>
      </c>
      <c r="G1305" s="59">
        <v>330905</v>
      </c>
      <c r="H1305" s="59">
        <v>264264</v>
      </c>
      <c r="I1305" s="59">
        <v>242663.6</v>
      </c>
      <c r="J1305" s="59">
        <v>328000</v>
      </c>
      <c r="K1305" s="59">
        <v>264264.40000000002</v>
      </c>
      <c r="L1305" s="59">
        <v>328000</v>
      </c>
      <c r="M1305" s="59">
        <v>352965.4</v>
      </c>
      <c r="N1305" s="235"/>
      <c r="R1305" s="70"/>
      <c r="AA1305" s="70"/>
      <c r="AB1305" s="70"/>
      <c r="AC1305" s="70"/>
      <c r="AD1305" s="534"/>
      <c r="AE1305" s="534"/>
      <c r="AF1305" s="534"/>
      <c r="AG1305" s="534"/>
      <c r="AH1305" s="534"/>
      <c r="AI1305" s="534"/>
    </row>
    <row r="1306" spans="1:35" x14ac:dyDescent="0.25">
      <c r="A1306" s="1061"/>
      <c r="B1306" s="54" t="s">
        <v>8</v>
      </c>
      <c r="C1306" s="68">
        <f>SUM(C1303-168)</f>
        <v>5638</v>
      </c>
      <c r="D1306" s="68">
        <f>SUM(D1303-676)</f>
        <v>2657</v>
      </c>
      <c r="E1306" s="68">
        <f>SUM(E1303-654)</f>
        <v>2676</v>
      </c>
      <c r="F1306" s="68">
        <f>SUM(F1303-1254)</f>
        <v>8203</v>
      </c>
      <c r="G1306" s="68">
        <f>SUM(G1303-4138)</f>
        <v>3515</v>
      </c>
      <c r="H1306" s="68">
        <f>SUM(H1303-1813)</f>
        <v>13330</v>
      </c>
      <c r="I1306" s="68">
        <f>SUM(I1303-(3891-2000))</f>
        <v>5292</v>
      </c>
      <c r="J1306" s="68">
        <f>SUM(J1303-1257)</f>
        <v>8032</v>
      </c>
      <c r="K1306" s="68">
        <f>SUM(K1303-1353)</f>
        <v>9818</v>
      </c>
      <c r="L1306" s="68">
        <f>SUM(L1303-447)</f>
        <v>3686</v>
      </c>
      <c r="M1306" s="227">
        <f>SUM(M1303-(5653-2614))</f>
        <v>6455</v>
      </c>
      <c r="N1306" s="236"/>
      <c r="R1306" s="12" t="s">
        <v>176</v>
      </c>
    </row>
    <row r="1307" spans="1:35" x14ac:dyDescent="0.25">
      <c r="A1307" s="1061"/>
      <c r="B1307" s="21" t="s">
        <v>77</v>
      </c>
      <c r="C1307" s="250">
        <f>C1306*33.72</f>
        <v>190113.36</v>
      </c>
      <c r="D1307" s="250">
        <f>D1306*33.72</f>
        <v>89594.04</v>
      </c>
      <c r="E1307" s="250">
        <f>E1306*33.72</f>
        <v>90234.72</v>
      </c>
      <c r="F1307" s="250">
        <f>F1306*33.72</f>
        <v>276605.15999999997</v>
      </c>
      <c r="G1307" s="250">
        <f>G1306*33.72*2</f>
        <v>237051.6</v>
      </c>
      <c r="H1307" s="250">
        <f>H1306*33.72</f>
        <v>449487.6</v>
      </c>
      <c r="I1307" s="250">
        <f>(I1306*33.72)-(2000*33.72)</f>
        <v>111006.23999999999</v>
      </c>
      <c r="J1307" s="250">
        <f>J1306*33.72</f>
        <v>270839.03999999998</v>
      </c>
      <c r="K1307" s="250">
        <f>K1306*33.72</f>
        <v>331062.95999999996</v>
      </c>
      <c r="L1307" s="250">
        <f>L1306*33.72</f>
        <v>124291.92</v>
      </c>
      <c r="M1307" s="250">
        <f>((M1306*33.72)-(2614*33.72))*2</f>
        <v>259037.04</v>
      </c>
      <c r="N1307" s="237"/>
      <c r="R1307" s="63">
        <f>344240-H1307</f>
        <v>-105247.59999999998</v>
      </c>
      <c r="S1307" s="70" t="s">
        <v>177</v>
      </c>
    </row>
    <row r="1308" spans="1:35" ht="15.75" thickBot="1" x14ac:dyDescent="0.3">
      <c r="A1308" s="1062"/>
      <c r="B1308" s="201" t="s">
        <v>10</v>
      </c>
      <c r="C1308" s="249">
        <f t="shared" ref="C1308:M1308" si="465">C1307/C1300</f>
        <v>1.3258277646901293</v>
      </c>
      <c r="D1308" s="249">
        <f t="shared" si="465"/>
        <v>0.59524674486000806</v>
      </c>
      <c r="E1308" s="251">
        <f t="shared" si="465"/>
        <v>0.59950330795836726</v>
      </c>
      <c r="F1308" s="251">
        <f t="shared" si="465"/>
        <v>1.5198269429630467</v>
      </c>
      <c r="G1308" s="251">
        <f t="shared" si="465"/>
        <v>1.4327471630830602</v>
      </c>
      <c r="H1308" s="251">
        <f t="shared" si="465"/>
        <v>3.4018072836254651</v>
      </c>
      <c r="I1308" s="251">
        <f t="shared" si="465"/>
        <v>0.91489815530635821</v>
      </c>
      <c r="J1308" s="251">
        <f t="shared" si="465"/>
        <v>1.403114797411761</v>
      </c>
      <c r="K1308" s="251">
        <f t="shared" si="465"/>
        <v>2.5055433876072595</v>
      </c>
      <c r="L1308" s="251">
        <f t="shared" si="465"/>
        <v>1.502447468338364</v>
      </c>
      <c r="M1308" s="62">
        <f t="shared" si="465"/>
        <v>1.4677758216527739</v>
      </c>
      <c r="N1308" s="233"/>
      <c r="R1308" s="126"/>
    </row>
    <row r="1309" spans="1:35" ht="15.75" thickBot="1" x14ac:dyDescent="0.3">
      <c r="A1309" s="1048">
        <v>41310</v>
      </c>
      <c r="B1309" s="1048"/>
      <c r="C1309" s="1048"/>
      <c r="N1309" s="13"/>
    </row>
    <row r="1310" spans="1:35" x14ac:dyDescent="0.25">
      <c r="A1310" s="1049" t="s">
        <v>1</v>
      </c>
      <c r="B1310" s="1071"/>
      <c r="C1310" s="56" t="s">
        <v>12</v>
      </c>
      <c r="D1310" s="56" t="s">
        <v>12</v>
      </c>
      <c r="E1310" s="56" t="s">
        <v>13</v>
      </c>
      <c r="F1310" s="56" t="s">
        <v>13</v>
      </c>
      <c r="G1310" s="56" t="s">
        <v>13</v>
      </c>
      <c r="H1310" s="56" t="s">
        <v>13</v>
      </c>
      <c r="I1310" s="56" t="s">
        <v>13</v>
      </c>
      <c r="J1310" s="56" t="s">
        <v>2</v>
      </c>
      <c r="K1310" s="56" t="s">
        <v>2</v>
      </c>
      <c r="L1310" s="56" t="s">
        <v>2</v>
      </c>
      <c r="M1310" s="221" t="s">
        <v>2</v>
      </c>
      <c r="N1310" s="229"/>
    </row>
    <row r="1311" spans="1:35" ht="15.75" thickBot="1" x14ac:dyDescent="0.3">
      <c r="A1311" s="1054" t="s">
        <v>0</v>
      </c>
      <c r="B1311" s="1078"/>
      <c r="C1311" s="69" t="s">
        <v>99</v>
      </c>
      <c r="D1311" s="69" t="s">
        <v>100</v>
      </c>
      <c r="E1311" s="69" t="s">
        <v>101</v>
      </c>
      <c r="F1311" s="69" t="s">
        <v>102</v>
      </c>
      <c r="G1311" s="69" t="s">
        <v>97</v>
      </c>
      <c r="H1311" s="69" t="s">
        <v>104</v>
      </c>
      <c r="I1311" s="69" t="s">
        <v>103</v>
      </c>
      <c r="J1311" s="69" t="s">
        <v>105</v>
      </c>
      <c r="K1311" s="69" t="s">
        <v>107</v>
      </c>
      <c r="L1311" s="69" t="s">
        <v>98</v>
      </c>
      <c r="M1311" s="222" t="s">
        <v>106</v>
      </c>
      <c r="N1311" s="230"/>
      <c r="S1311" s="12"/>
      <c r="T1311" s="12"/>
      <c r="U1311" s="12"/>
      <c r="V1311" s="12"/>
      <c r="W1311" s="12"/>
      <c r="X1311" s="12"/>
      <c r="Y1311" s="12"/>
      <c r="Z1311" s="12"/>
      <c r="AA1311" s="126"/>
      <c r="AB1311" s="125"/>
      <c r="AC1311" s="126"/>
      <c r="AD1311" s="535"/>
      <c r="AE1311" s="535"/>
      <c r="AF1311" s="535"/>
      <c r="AG1311" s="535"/>
      <c r="AH1311" s="535"/>
      <c r="AI1311" s="535"/>
    </row>
    <row r="1312" spans="1:35" ht="15" customHeight="1" x14ac:dyDescent="0.25">
      <c r="A1312" s="1057" t="s">
        <v>9</v>
      </c>
      <c r="B1312" s="2" t="s">
        <v>4</v>
      </c>
      <c r="C1312" s="66">
        <v>143392.20000000001</v>
      </c>
      <c r="D1312" s="66">
        <v>150515.79999999999</v>
      </c>
      <c r="E1312" s="66">
        <v>150515.79999999999</v>
      </c>
      <c r="F1312" s="66">
        <v>181997.8</v>
      </c>
      <c r="G1312" s="66">
        <v>165452.5</v>
      </c>
      <c r="H1312" s="66">
        <v>132132</v>
      </c>
      <c r="I1312" s="66">
        <v>121331.8</v>
      </c>
      <c r="J1312" s="66">
        <v>193027</v>
      </c>
      <c r="K1312" s="66">
        <v>132132.20000000001</v>
      </c>
      <c r="L1312" s="66">
        <v>82726.3</v>
      </c>
      <c r="M1312" s="66">
        <v>176482.7</v>
      </c>
      <c r="N1312" s="231"/>
      <c r="R1312" s="70"/>
      <c r="AA1312" s="70"/>
      <c r="AB1312" s="70"/>
      <c r="AC1312" s="70"/>
      <c r="AD1312" s="534"/>
      <c r="AE1312" s="534"/>
      <c r="AF1312" s="534"/>
      <c r="AG1312" s="534"/>
      <c r="AH1312" s="534"/>
      <c r="AI1312" s="534"/>
    </row>
    <row r="1313" spans="1:35" x14ac:dyDescent="0.25">
      <c r="A1313" s="1058"/>
      <c r="B1313" s="52" t="s">
        <v>5</v>
      </c>
      <c r="C1313" s="67">
        <v>43123.199999999997</v>
      </c>
      <c r="D1313" s="67">
        <v>76414</v>
      </c>
      <c r="E1313" s="67">
        <v>77828</v>
      </c>
      <c r="F1313" s="67">
        <v>153525.79999999999</v>
      </c>
      <c r="G1313" s="67">
        <v>79231.100000000006</v>
      </c>
      <c r="H1313" s="67">
        <v>38325.4</v>
      </c>
      <c r="I1313" s="67">
        <v>61425.599999999999</v>
      </c>
      <c r="J1313" s="67">
        <v>152207.79999999999</v>
      </c>
      <c r="K1313" s="67">
        <v>50047.4</v>
      </c>
      <c r="L1313" s="67">
        <v>40931.1</v>
      </c>
      <c r="M1313" s="67">
        <v>123371</v>
      </c>
      <c r="N1313" s="232"/>
      <c r="R1313" s="70"/>
      <c r="AA1313" s="70"/>
      <c r="AB1313" s="70"/>
      <c r="AC1313" s="70"/>
      <c r="AD1313" s="534"/>
      <c r="AE1313" s="534"/>
      <c r="AF1313" s="534"/>
      <c r="AG1313" s="534"/>
      <c r="AH1313" s="534"/>
      <c r="AI1313" s="534"/>
    </row>
    <row r="1314" spans="1:35" ht="15.75" thickBot="1" x14ac:dyDescent="0.3">
      <c r="A1314" s="1059"/>
      <c r="B1314" s="3" t="s">
        <v>3</v>
      </c>
      <c r="C1314" s="57">
        <f t="shared" ref="C1314:M1314" si="466">C1313/C1312</f>
        <v>0.30073602329833837</v>
      </c>
      <c r="D1314" s="58">
        <f t="shared" si="466"/>
        <v>0.50768092120561437</v>
      </c>
      <c r="E1314" s="58">
        <f t="shared" si="466"/>
        <v>0.5170752837908047</v>
      </c>
      <c r="F1314" s="58">
        <f t="shared" si="466"/>
        <v>0.84355854850992706</v>
      </c>
      <c r="G1314" s="58">
        <f t="shared" si="466"/>
        <v>0.47887520587479793</v>
      </c>
      <c r="H1314" s="58">
        <f t="shared" si="466"/>
        <v>0.29005388550843098</v>
      </c>
      <c r="I1314" s="58">
        <f t="shared" si="466"/>
        <v>0.50626134286312408</v>
      </c>
      <c r="J1314" s="58">
        <f t="shared" si="466"/>
        <v>0.78853113813093501</v>
      </c>
      <c r="K1314" s="58">
        <f t="shared" si="466"/>
        <v>0.3787676281784455</v>
      </c>
      <c r="L1314" s="58">
        <f t="shared" si="466"/>
        <v>0.49477735617330881</v>
      </c>
      <c r="M1314" s="225">
        <f t="shared" si="466"/>
        <v>0.69905435490277512</v>
      </c>
      <c r="N1314" s="233"/>
      <c r="R1314" s="70"/>
      <c r="AA1314" s="70"/>
      <c r="AB1314" s="70"/>
      <c r="AC1314" s="70"/>
      <c r="AD1314" s="534"/>
      <c r="AE1314" s="534"/>
      <c r="AF1314" s="534"/>
      <c r="AG1314" s="534"/>
      <c r="AH1314" s="534"/>
      <c r="AI1314" s="534"/>
    </row>
    <row r="1315" spans="1:35" ht="15" customHeight="1" x14ac:dyDescent="0.25">
      <c r="A1315" s="1060" t="s">
        <v>6</v>
      </c>
      <c r="B1315" s="19" t="s">
        <v>7</v>
      </c>
      <c r="C1315" s="56">
        <v>5806</v>
      </c>
      <c r="D1315" s="56">
        <v>3333</v>
      </c>
      <c r="E1315" s="56">
        <v>3330</v>
      </c>
      <c r="F1315" s="56">
        <v>9457</v>
      </c>
      <c r="G1315" s="56">
        <v>7653</v>
      </c>
      <c r="H1315" s="56">
        <v>15143</v>
      </c>
      <c r="I1315" s="56">
        <v>7183</v>
      </c>
      <c r="J1315" s="56">
        <v>9289</v>
      </c>
      <c r="K1315" s="56">
        <v>11171</v>
      </c>
      <c r="L1315" s="56">
        <v>4133</v>
      </c>
      <c r="M1315" s="56">
        <v>9494</v>
      </c>
      <c r="N1315" s="234"/>
      <c r="R1315" s="70"/>
      <c r="AA1315" s="70"/>
      <c r="AB1315" s="70"/>
      <c r="AC1315" s="70"/>
      <c r="AD1315" s="534"/>
      <c r="AE1315" s="534"/>
      <c r="AF1315" s="534"/>
      <c r="AG1315" s="534"/>
      <c r="AH1315" s="534"/>
      <c r="AI1315" s="534"/>
    </row>
    <row r="1316" spans="1:35" x14ac:dyDescent="0.25">
      <c r="A1316" s="1061"/>
      <c r="B1316" s="20" t="s">
        <v>11</v>
      </c>
      <c r="C1316" s="59">
        <f t="shared" ref="C1316:M1316" si="467">C1315*33.72</f>
        <v>195778.32</v>
      </c>
      <c r="D1316" s="59">
        <f t="shared" si="467"/>
        <v>112388.76</v>
      </c>
      <c r="E1316" s="59">
        <f t="shared" si="467"/>
        <v>112287.59999999999</v>
      </c>
      <c r="F1316" s="59">
        <f t="shared" si="467"/>
        <v>318890.03999999998</v>
      </c>
      <c r="G1316" s="59">
        <f t="shared" si="467"/>
        <v>258059.16</v>
      </c>
      <c r="H1316" s="59">
        <f t="shared" si="467"/>
        <v>510621.95999999996</v>
      </c>
      <c r="I1316" s="59">
        <f t="shared" si="467"/>
        <v>242210.75999999998</v>
      </c>
      <c r="J1316" s="59">
        <f t="shared" si="467"/>
        <v>313225.08</v>
      </c>
      <c r="K1316" s="59">
        <f t="shared" si="467"/>
        <v>376686.12</v>
      </c>
      <c r="L1316" s="59">
        <f t="shared" si="467"/>
        <v>139364.76</v>
      </c>
      <c r="M1316" s="59">
        <f t="shared" si="467"/>
        <v>320137.68</v>
      </c>
      <c r="N1316" s="235"/>
      <c r="R1316" s="70"/>
      <c r="AA1316" s="70"/>
      <c r="AB1316" s="70"/>
      <c r="AC1316" s="70"/>
      <c r="AD1316" s="534"/>
      <c r="AE1316" s="534"/>
      <c r="AF1316" s="534"/>
      <c r="AG1316" s="534"/>
      <c r="AH1316" s="534"/>
      <c r="AI1316" s="534"/>
    </row>
    <row r="1317" spans="1:35" x14ac:dyDescent="0.25">
      <c r="A1317" s="1061"/>
      <c r="B1317" s="20" t="s">
        <v>79</v>
      </c>
      <c r="C1317" s="59">
        <v>164000</v>
      </c>
      <c r="D1317" s="59">
        <v>109880</v>
      </c>
      <c r="E1317" s="59">
        <v>109880</v>
      </c>
      <c r="F1317" s="59">
        <v>328000</v>
      </c>
      <c r="G1317" s="59">
        <v>330905</v>
      </c>
      <c r="H1317" s="59">
        <v>264264</v>
      </c>
      <c r="I1317" s="59">
        <v>242663.6</v>
      </c>
      <c r="J1317" s="59">
        <v>328000</v>
      </c>
      <c r="K1317" s="59">
        <v>264264.40000000002</v>
      </c>
      <c r="L1317" s="59">
        <v>328000</v>
      </c>
      <c r="M1317" s="59">
        <v>352965.4</v>
      </c>
      <c r="N1317" s="235"/>
      <c r="R1317" s="70"/>
      <c r="AA1317" s="70"/>
      <c r="AB1317" s="70"/>
      <c r="AC1317" s="70"/>
      <c r="AD1317" s="534"/>
      <c r="AE1317" s="534"/>
      <c r="AF1317" s="534"/>
      <c r="AG1317" s="534"/>
      <c r="AH1317" s="534"/>
      <c r="AI1317" s="534"/>
    </row>
    <row r="1318" spans="1:35" x14ac:dyDescent="0.25">
      <c r="A1318" s="1061"/>
      <c r="B1318" s="54" t="s">
        <v>8</v>
      </c>
      <c r="C1318" s="68">
        <f>SUM(C1315-187)</f>
        <v>5619</v>
      </c>
      <c r="D1318" s="68">
        <f>SUM(D1315-660)</f>
        <v>2673</v>
      </c>
      <c r="E1318" s="68">
        <f>SUM(E1315-638)</f>
        <v>2692</v>
      </c>
      <c r="F1318" s="68">
        <f>SUM(F1315-1258)</f>
        <v>8199</v>
      </c>
      <c r="G1318" s="68">
        <f>SUM(G1315-4138)</f>
        <v>3515</v>
      </c>
      <c r="H1318" s="68">
        <f>SUM(H1315-1853)</f>
        <v>13290</v>
      </c>
      <c r="I1318" s="68">
        <f>SUM(I1315-(3899-2000))</f>
        <v>5284</v>
      </c>
      <c r="J1318" s="68">
        <f>SUM(J1315-1257)</f>
        <v>8032</v>
      </c>
      <c r="K1318" s="68">
        <f>SUM(K1315-1403)</f>
        <v>9768</v>
      </c>
      <c r="L1318" s="68">
        <f>SUM(L1315-447)</f>
        <v>3686</v>
      </c>
      <c r="M1318" s="227">
        <f>SUM(M1315-(5669-2614))</f>
        <v>6439</v>
      </c>
      <c r="N1318" s="236"/>
      <c r="R1318" s="12" t="s">
        <v>176</v>
      </c>
    </row>
    <row r="1319" spans="1:35" x14ac:dyDescent="0.25">
      <c r="A1319" s="1061"/>
      <c r="B1319" s="21" t="s">
        <v>77</v>
      </c>
      <c r="C1319" s="250">
        <f>C1318*33.72</f>
        <v>189472.68</v>
      </c>
      <c r="D1319" s="250">
        <f>D1318*33.72</f>
        <v>90133.56</v>
      </c>
      <c r="E1319" s="250">
        <f>E1318*33.72</f>
        <v>90774.239999999991</v>
      </c>
      <c r="F1319" s="250">
        <f>F1318*33.72</f>
        <v>276470.27999999997</v>
      </c>
      <c r="G1319" s="250">
        <f>G1318*33.72*2</f>
        <v>237051.6</v>
      </c>
      <c r="H1319" s="250">
        <f>H1318*33.72</f>
        <v>448138.8</v>
      </c>
      <c r="I1319" s="250">
        <f>(I1318*33.72)-(2000*33.72)</f>
        <v>110736.47999999998</v>
      </c>
      <c r="J1319" s="250">
        <f>J1318*33.72</f>
        <v>270839.03999999998</v>
      </c>
      <c r="K1319" s="250">
        <f>K1318*33.72</f>
        <v>329376.95999999996</v>
      </c>
      <c r="L1319" s="250">
        <f>L1318*33.72</f>
        <v>124291.92</v>
      </c>
      <c r="M1319" s="250">
        <f>((M1318*33.72)-(2614*33.72))*2</f>
        <v>257957.99999999997</v>
      </c>
      <c r="N1319" s="237"/>
      <c r="R1319" s="63">
        <f>344240-H1319</f>
        <v>-103898.79999999999</v>
      </c>
      <c r="S1319" s="70" t="s">
        <v>177</v>
      </c>
    </row>
    <row r="1320" spans="1:35" ht="15.75" thickBot="1" x14ac:dyDescent="0.3">
      <c r="A1320" s="1062"/>
      <c r="B1320" s="201" t="s">
        <v>10</v>
      </c>
      <c r="C1320" s="249">
        <f t="shared" ref="C1320:M1320" si="468">C1319/C1312</f>
        <v>1.3213597392326777</v>
      </c>
      <c r="D1320" s="249">
        <f t="shared" si="468"/>
        <v>0.59883121904809999</v>
      </c>
      <c r="E1320" s="251">
        <f t="shared" si="468"/>
        <v>0.60308778214645897</v>
      </c>
      <c r="F1320" s="251">
        <f t="shared" si="468"/>
        <v>1.5190858351035013</v>
      </c>
      <c r="G1320" s="251">
        <f t="shared" si="468"/>
        <v>1.4327471630830602</v>
      </c>
      <c r="H1320" s="251">
        <f t="shared" si="468"/>
        <v>3.3915993097811277</v>
      </c>
      <c r="I1320" s="251">
        <f t="shared" si="468"/>
        <v>0.91267483050609965</v>
      </c>
      <c r="J1320" s="251">
        <f t="shared" si="468"/>
        <v>1.403114797411761</v>
      </c>
      <c r="K1320" s="251">
        <f t="shared" si="468"/>
        <v>2.4927834396157782</v>
      </c>
      <c r="L1320" s="251">
        <f t="shared" si="468"/>
        <v>1.502447468338364</v>
      </c>
      <c r="M1320" s="62">
        <f t="shared" si="468"/>
        <v>1.4616616812866075</v>
      </c>
      <c r="N1320" s="233"/>
      <c r="R1320" s="126"/>
    </row>
    <row r="1321" spans="1:35" ht="15.75" thickBot="1" x14ac:dyDescent="0.3">
      <c r="A1321" s="1048">
        <v>41304</v>
      </c>
      <c r="B1321" s="1048"/>
      <c r="C1321" s="1048"/>
      <c r="N1321" s="13"/>
    </row>
    <row r="1322" spans="1:35" x14ac:dyDescent="0.25">
      <c r="A1322" s="1049" t="s">
        <v>1</v>
      </c>
      <c r="B1322" s="1071"/>
      <c r="C1322" s="56" t="s">
        <v>12</v>
      </c>
      <c r="D1322" s="56" t="s">
        <v>12</v>
      </c>
      <c r="E1322" s="56" t="s">
        <v>13</v>
      </c>
      <c r="F1322" s="56" t="s">
        <v>13</v>
      </c>
      <c r="G1322" s="56" t="s">
        <v>13</v>
      </c>
      <c r="H1322" s="56" t="s">
        <v>13</v>
      </c>
      <c r="I1322" s="56" t="s">
        <v>13</v>
      </c>
      <c r="J1322" s="56" t="s">
        <v>2</v>
      </c>
      <c r="K1322" s="56" t="s">
        <v>2</v>
      </c>
      <c r="L1322" s="56" t="s">
        <v>2</v>
      </c>
      <c r="M1322" s="221" t="s">
        <v>2</v>
      </c>
      <c r="N1322" s="229"/>
    </row>
    <row r="1323" spans="1:35" ht="15.75" thickBot="1" x14ac:dyDescent="0.3">
      <c r="A1323" s="1054" t="s">
        <v>0</v>
      </c>
      <c r="B1323" s="1078"/>
      <c r="C1323" s="69" t="s">
        <v>99</v>
      </c>
      <c r="D1323" s="69" t="s">
        <v>100</v>
      </c>
      <c r="E1323" s="69" t="s">
        <v>101</v>
      </c>
      <c r="F1323" s="69" t="s">
        <v>102</v>
      </c>
      <c r="G1323" s="69" t="s">
        <v>97</v>
      </c>
      <c r="H1323" s="69" t="s">
        <v>104</v>
      </c>
      <c r="I1323" s="69" t="s">
        <v>103</v>
      </c>
      <c r="J1323" s="69" t="s">
        <v>105</v>
      </c>
      <c r="K1323" s="69" t="s">
        <v>107</v>
      </c>
      <c r="L1323" s="69" t="s">
        <v>98</v>
      </c>
      <c r="M1323" s="222" t="s">
        <v>106</v>
      </c>
      <c r="N1323" s="230"/>
      <c r="S1323" s="12"/>
      <c r="T1323" s="12"/>
      <c r="U1323" s="12"/>
      <c r="V1323" s="12"/>
      <c r="W1323" s="12"/>
      <c r="X1323" s="12"/>
      <c r="Y1323" s="12"/>
      <c r="Z1323" s="12"/>
      <c r="AA1323" s="126"/>
      <c r="AB1323" s="125"/>
      <c r="AC1323" s="126"/>
      <c r="AD1323" s="535"/>
      <c r="AE1323" s="535"/>
      <c r="AF1323" s="535"/>
      <c r="AG1323" s="535"/>
      <c r="AH1323" s="535"/>
      <c r="AI1323" s="535"/>
    </row>
    <row r="1324" spans="1:35" ht="15" customHeight="1" x14ac:dyDescent="0.25">
      <c r="A1324" s="1057" t="s">
        <v>9</v>
      </c>
      <c r="B1324" s="2" t="s">
        <v>4</v>
      </c>
      <c r="C1324" s="66">
        <v>143392.20000000001</v>
      </c>
      <c r="D1324" s="66">
        <v>150515.79999999999</v>
      </c>
      <c r="E1324" s="66">
        <v>150515.79999999999</v>
      </c>
      <c r="F1324" s="66">
        <v>181997.8</v>
      </c>
      <c r="G1324" s="66">
        <v>165452.5</v>
      </c>
      <c r="H1324" s="66">
        <v>132132</v>
      </c>
      <c r="I1324" s="66">
        <v>121331.8</v>
      </c>
      <c r="J1324" s="66">
        <v>193027</v>
      </c>
      <c r="K1324" s="66">
        <v>132132.20000000001</v>
      </c>
      <c r="L1324" s="66">
        <v>82726.3</v>
      </c>
      <c r="M1324" s="66">
        <v>176482.7</v>
      </c>
      <c r="N1324" s="231"/>
      <c r="R1324" s="70"/>
      <c r="AA1324" s="70"/>
      <c r="AB1324" s="70"/>
      <c r="AC1324" s="70"/>
      <c r="AD1324" s="534"/>
      <c r="AE1324" s="534"/>
      <c r="AF1324" s="534"/>
      <c r="AG1324" s="534"/>
      <c r="AH1324" s="534"/>
      <c r="AI1324" s="534"/>
    </row>
    <row r="1325" spans="1:35" x14ac:dyDescent="0.25">
      <c r="A1325" s="1058"/>
      <c r="B1325" s="52" t="s">
        <v>5</v>
      </c>
      <c r="C1325" s="67">
        <v>42421.4</v>
      </c>
      <c r="D1325" s="67">
        <v>76380.2</v>
      </c>
      <c r="E1325" s="67">
        <v>77794.3</v>
      </c>
      <c r="F1325" s="67">
        <v>153356.20000000001</v>
      </c>
      <c r="G1325" s="67">
        <v>77334.399999999994</v>
      </c>
      <c r="H1325" s="67">
        <v>37796.699999999997</v>
      </c>
      <c r="I1325" s="67">
        <v>56410.3</v>
      </c>
      <c r="J1325" s="67">
        <v>152034.9</v>
      </c>
      <c r="K1325" s="67">
        <v>47706.5</v>
      </c>
      <c r="L1325" s="67">
        <v>39898.800000000003</v>
      </c>
      <c r="M1325" s="67">
        <v>111353.60000000001</v>
      </c>
      <c r="N1325" s="232"/>
      <c r="R1325" s="70"/>
      <c r="AA1325" s="70"/>
      <c r="AB1325" s="70"/>
      <c r="AC1325" s="70"/>
      <c r="AD1325" s="534"/>
      <c r="AE1325" s="534"/>
      <c r="AF1325" s="534"/>
      <c r="AG1325" s="534"/>
      <c r="AH1325" s="534"/>
      <c r="AI1325" s="534"/>
    </row>
    <row r="1326" spans="1:35" ht="15.75" thickBot="1" x14ac:dyDescent="0.3">
      <c r="A1326" s="1059"/>
      <c r="B1326" s="3" t="s">
        <v>3</v>
      </c>
      <c r="C1326" s="57">
        <f t="shared" ref="C1326:M1326" si="469">C1325/C1324</f>
        <v>0.29584175429346921</v>
      </c>
      <c r="D1326" s="58">
        <f t="shared" si="469"/>
        <v>0.50745636006319605</v>
      </c>
      <c r="E1326" s="58">
        <f t="shared" si="469"/>
        <v>0.51685138703046463</v>
      </c>
      <c r="F1326" s="58">
        <f t="shared" si="469"/>
        <v>0.84262666911358286</v>
      </c>
      <c r="G1326" s="58">
        <f t="shared" si="469"/>
        <v>0.46741149272449795</v>
      </c>
      <c r="H1326" s="58">
        <f t="shared" si="469"/>
        <v>0.28605258377985648</v>
      </c>
      <c r="I1326" s="58">
        <f t="shared" si="469"/>
        <v>0.46492593038263674</v>
      </c>
      <c r="J1326" s="58">
        <f t="shared" si="469"/>
        <v>0.78763540851797931</v>
      </c>
      <c r="K1326" s="58">
        <f t="shared" si="469"/>
        <v>0.3610512804600241</v>
      </c>
      <c r="L1326" s="58">
        <f t="shared" si="469"/>
        <v>0.48229885779975656</v>
      </c>
      <c r="M1326" s="225">
        <f t="shared" si="469"/>
        <v>0.6309604284159297</v>
      </c>
      <c r="N1326" s="233"/>
      <c r="R1326" s="70"/>
      <c r="AA1326" s="70"/>
      <c r="AB1326" s="70"/>
      <c r="AC1326" s="70"/>
      <c r="AD1326" s="534"/>
      <c r="AE1326" s="534"/>
      <c r="AF1326" s="534"/>
      <c r="AG1326" s="534"/>
      <c r="AH1326" s="534"/>
      <c r="AI1326" s="534"/>
    </row>
    <row r="1327" spans="1:35" ht="15" customHeight="1" x14ac:dyDescent="0.25">
      <c r="A1327" s="1060" t="s">
        <v>6</v>
      </c>
      <c r="B1327" s="19" t="s">
        <v>7</v>
      </c>
      <c r="C1327" s="56">
        <v>5806</v>
      </c>
      <c r="D1327" s="56">
        <v>3333</v>
      </c>
      <c r="E1327" s="56">
        <v>3330</v>
      </c>
      <c r="F1327" s="56">
        <v>9457</v>
      </c>
      <c r="G1327" s="56">
        <v>7653</v>
      </c>
      <c r="H1327" s="56">
        <v>15141</v>
      </c>
      <c r="I1327" s="56">
        <v>7152</v>
      </c>
      <c r="J1327" s="56">
        <v>9289</v>
      </c>
      <c r="K1327" s="56">
        <v>11169</v>
      </c>
      <c r="L1327" s="56">
        <v>4133</v>
      </c>
      <c r="M1327" s="56">
        <v>9432</v>
      </c>
      <c r="N1327" s="234"/>
      <c r="R1327" s="70"/>
      <c r="AA1327" s="70"/>
      <c r="AB1327" s="70"/>
      <c r="AC1327" s="70"/>
      <c r="AD1327" s="534"/>
      <c r="AE1327" s="534"/>
      <c r="AF1327" s="534"/>
      <c r="AG1327" s="534"/>
      <c r="AH1327" s="534"/>
      <c r="AI1327" s="534"/>
    </row>
    <row r="1328" spans="1:35" x14ac:dyDescent="0.25">
      <c r="A1328" s="1061"/>
      <c r="B1328" s="20" t="s">
        <v>11</v>
      </c>
      <c r="C1328" s="59">
        <f t="shared" ref="C1328:M1328" si="470">C1327*33.72</f>
        <v>195778.32</v>
      </c>
      <c r="D1328" s="59">
        <f t="shared" si="470"/>
        <v>112388.76</v>
      </c>
      <c r="E1328" s="59">
        <f t="shared" si="470"/>
        <v>112287.59999999999</v>
      </c>
      <c r="F1328" s="59">
        <f t="shared" si="470"/>
        <v>318890.03999999998</v>
      </c>
      <c r="G1328" s="59">
        <f t="shared" si="470"/>
        <v>258059.16</v>
      </c>
      <c r="H1328" s="59">
        <f t="shared" si="470"/>
        <v>510554.51999999996</v>
      </c>
      <c r="I1328" s="59">
        <f t="shared" si="470"/>
        <v>241165.44</v>
      </c>
      <c r="J1328" s="59">
        <f t="shared" si="470"/>
        <v>313225.08</v>
      </c>
      <c r="K1328" s="59">
        <f t="shared" si="470"/>
        <v>376618.68</v>
      </c>
      <c r="L1328" s="59">
        <f t="shared" si="470"/>
        <v>139364.76</v>
      </c>
      <c r="M1328" s="59">
        <f t="shared" si="470"/>
        <v>318047.03999999998</v>
      </c>
      <c r="N1328" s="235"/>
      <c r="R1328" s="70"/>
      <c r="AA1328" s="70"/>
      <c r="AB1328" s="70"/>
      <c r="AC1328" s="70"/>
      <c r="AD1328" s="534"/>
      <c r="AE1328" s="534"/>
      <c r="AF1328" s="534"/>
      <c r="AG1328" s="534"/>
      <c r="AH1328" s="534"/>
      <c r="AI1328" s="534"/>
    </row>
    <row r="1329" spans="1:35" x14ac:dyDescent="0.25">
      <c r="A1329" s="1061"/>
      <c r="B1329" s="20" t="s">
        <v>79</v>
      </c>
      <c r="C1329" s="59">
        <v>164000</v>
      </c>
      <c r="D1329" s="59">
        <v>109880</v>
      </c>
      <c r="E1329" s="59">
        <v>109880</v>
      </c>
      <c r="F1329" s="59">
        <v>328000</v>
      </c>
      <c r="G1329" s="59">
        <v>330905</v>
      </c>
      <c r="H1329" s="59">
        <v>264264</v>
      </c>
      <c r="I1329" s="59">
        <v>242663.6</v>
      </c>
      <c r="J1329" s="59">
        <v>328000</v>
      </c>
      <c r="K1329" s="59">
        <v>264264.40000000002</v>
      </c>
      <c r="L1329" s="59">
        <v>328000</v>
      </c>
      <c r="M1329" s="59">
        <v>352965.4</v>
      </c>
      <c r="N1329" s="235"/>
      <c r="R1329" s="70"/>
      <c r="AA1329" s="70"/>
      <c r="AB1329" s="70"/>
      <c r="AC1329" s="70"/>
      <c r="AD1329" s="534"/>
      <c r="AE1329" s="534"/>
      <c r="AF1329" s="534"/>
      <c r="AG1329" s="534"/>
      <c r="AH1329" s="534"/>
      <c r="AI1329" s="534"/>
    </row>
    <row r="1330" spans="1:35" x14ac:dyDescent="0.25">
      <c r="A1330" s="1061"/>
      <c r="B1330" s="54" t="s">
        <v>8</v>
      </c>
      <c r="C1330" s="68">
        <f>SUM(C1327-187)</f>
        <v>5619</v>
      </c>
      <c r="D1330" s="68">
        <f>SUM(D1327-663)</f>
        <v>2670</v>
      </c>
      <c r="E1330" s="68">
        <f>SUM(E1327-641)</f>
        <v>2689</v>
      </c>
      <c r="F1330" s="68">
        <f>SUM(F1327-1258)</f>
        <v>8199</v>
      </c>
      <c r="G1330" s="68">
        <f>SUM(G1327-4146)</f>
        <v>3507</v>
      </c>
      <c r="H1330" s="68">
        <f>SUM(H1327-1857)</f>
        <v>13284</v>
      </c>
      <c r="I1330" s="68">
        <f>SUM(I1327-(3920-2000))</f>
        <v>5232</v>
      </c>
      <c r="J1330" s="68">
        <f>SUM(J1327-1257)</f>
        <v>8032</v>
      </c>
      <c r="K1330" s="68">
        <f>SUM(K1327-1403)</f>
        <v>9766</v>
      </c>
      <c r="L1330" s="68">
        <f>SUM(L1327-447)</f>
        <v>3686</v>
      </c>
      <c r="M1330" s="227">
        <f>SUM(M1327-(5690-2614))</f>
        <v>6356</v>
      </c>
      <c r="N1330" s="236"/>
      <c r="R1330" s="12" t="s">
        <v>176</v>
      </c>
    </row>
    <row r="1331" spans="1:35" x14ac:dyDescent="0.25">
      <c r="A1331" s="1061"/>
      <c r="B1331" s="21" t="s">
        <v>77</v>
      </c>
      <c r="C1331" s="250">
        <f>C1330*33.72</f>
        <v>189472.68</v>
      </c>
      <c r="D1331" s="250">
        <f>D1330*33.72</f>
        <v>90032.4</v>
      </c>
      <c r="E1331" s="250">
        <f>E1330*33.72</f>
        <v>90673.08</v>
      </c>
      <c r="F1331" s="250">
        <f>F1330*33.72</f>
        <v>276470.27999999997</v>
      </c>
      <c r="G1331" s="250">
        <f>G1330*33.72*2</f>
        <v>236512.08</v>
      </c>
      <c r="H1331" s="250">
        <f>H1330*33.72</f>
        <v>447936.48</v>
      </c>
      <c r="I1331" s="250">
        <f>(I1330*33.72)-(2000*33.72)</f>
        <v>108983.04000000001</v>
      </c>
      <c r="J1331" s="250">
        <f>J1330*33.72</f>
        <v>270839.03999999998</v>
      </c>
      <c r="K1331" s="250">
        <f>K1330*33.72</f>
        <v>329309.51999999996</v>
      </c>
      <c r="L1331" s="250">
        <f>L1330*33.72</f>
        <v>124291.92</v>
      </c>
      <c r="M1331" s="250">
        <f>((M1330*33.72)-(2614*33.72))*2</f>
        <v>252360.48</v>
      </c>
      <c r="N1331" s="237"/>
      <c r="R1331" s="63">
        <f>344240-H1331</f>
        <v>-103696.47999999998</v>
      </c>
      <c r="S1331" s="70" t="s">
        <v>177</v>
      </c>
    </row>
    <row r="1332" spans="1:35" ht="15.75" thickBot="1" x14ac:dyDescent="0.3">
      <c r="A1332" s="1062"/>
      <c r="B1332" s="201" t="s">
        <v>10</v>
      </c>
      <c r="C1332" s="249">
        <f t="shared" ref="C1332:M1332" si="471">C1331/C1324</f>
        <v>1.3213597392326777</v>
      </c>
      <c r="D1332" s="249">
        <f t="shared" si="471"/>
        <v>0.59815913013783273</v>
      </c>
      <c r="E1332" s="251">
        <f t="shared" si="471"/>
        <v>0.60241569323619182</v>
      </c>
      <c r="F1332" s="251">
        <f t="shared" si="471"/>
        <v>1.5190858351035013</v>
      </c>
      <c r="G1332" s="251">
        <f t="shared" si="471"/>
        <v>1.4294862876052039</v>
      </c>
      <c r="H1332" s="251">
        <f t="shared" si="471"/>
        <v>3.3900681137044772</v>
      </c>
      <c r="I1332" s="251">
        <f t="shared" si="471"/>
        <v>0.89822321930441984</v>
      </c>
      <c r="J1332" s="251">
        <f t="shared" si="471"/>
        <v>1.403114797411761</v>
      </c>
      <c r="K1332" s="251">
        <f t="shared" si="471"/>
        <v>2.492273041696119</v>
      </c>
      <c r="L1332" s="251">
        <f t="shared" si="471"/>
        <v>1.502447468338364</v>
      </c>
      <c r="M1332" s="62">
        <f t="shared" si="471"/>
        <v>1.4299445781371205</v>
      </c>
      <c r="N1332" s="233"/>
      <c r="R1332" s="126"/>
    </row>
    <row r="1333" spans="1:35" ht="15.75" thickBot="1" x14ac:dyDescent="0.3">
      <c r="A1333" s="1048">
        <v>41297</v>
      </c>
      <c r="B1333" s="1048"/>
      <c r="C1333" s="1048"/>
      <c r="N1333" s="13"/>
    </row>
    <row r="1334" spans="1:35" x14ac:dyDescent="0.25">
      <c r="A1334" s="1049" t="s">
        <v>1</v>
      </c>
      <c r="B1334" s="1071"/>
      <c r="C1334" s="56" t="s">
        <v>12</v>
      </c>
      <c r="D1334" s="56" t="s">
        <v>12</v>
      </c>
      <c r="E1334" s="56" t="s">
        <v>13</v>
      </c>
      <c r="F1334" s="56" t="s">
        <v>13</v>
      </c>
      <c r="G1334" s="56" t="s">
        <v>13</v>
      </c>
      <c r="H1334" s="56" t="s">
        <v>13</v>
      </c>
      <c r="I1334" s="56" t="s">
        <v>13</v>
      </c>
      <c r="J1334" s="56" t="s">
        <v>2</v>
      </c>
      <c r="K1334" s="56" t="s">
        <v>2</v>
      </c>
      <c r="L1334" s="56" t="s">
        <v>2</v>
      </c>
      <c r="M1334" s="221" t="s">
        <v>2</v>
      </c>
      <c r="N1334" s="229"/>
    </row>
    <row r="1335" spans="1:35" ht="15.75" thickBot="1" x14ac:dyDescent="0.3">
      <c r="A1335" s="1054" t="s">
        <v>0</v>
      </c>
      <c r="B1335" s="1078"/>
      <c r="C1335" s="69" t="s">
        <v>99</v>
      </c>
      <c r="D1335" s="69" t="s">
        <v>100</v>
      </c>
      <c r="E1335" s="69" t="s">
        <v>101</v>
      </c>
      <c r="F1335" s="69" t="s">
        <v>102</v>
      </c>
      <c r="G1335" s="69" t="s">
        <v>97</v>
      </c>
      <c r="H1335" s="69" t="s">
        <v>104</v>
      </c>
      <c r="I1335" s="69" t="s">
        <v>103</v>
      </c>
      <c r="J1335" s="69" t="s">
        <v>105</v>
      </c>
      <c r="K1335" s="69" t="s">
        <v>107</v>
      </c>
      <c r="L1335" s="69" t="s">
        <v>98</v>
      </c>
      <c r="M1335" s="222" t="s">
        <v>106</v>
      </c>
      <c r="N1335" s="230"/>
      <c r="S1335" s="12"/>
      <c r="T1335" s="12"/>
      <c r="U1335" s="12"/>
      <c r="V1335" s="12"/>
      <c r="W1335" s="12"/>
      <c r="X1335" s="12"/>
      <c r="Y1335" s="12"/>
      <c r="Z1335" s="12"/>
      <c r="AA1335" s="126"/>
      <c r="AB1335" s="125"/>
      <c r="AC1335" s="126"/>
      <c r="AD1335" s="535"/>
      <c r="AE1335" s="535"/>
      <c r="AF1335" s="535"/>
      <c r="AG1335" s="535"/>
      <c r="AH1335" s="535"/>
      <c r="AI1335" s="535"/>
    </row>
    <row r="1336" spans="1:35" ht="15" customHeight="1" x14ac:dyDescent="0.25">
      <c r="A1336" s="1057" t="s">
        <v>9</v>
      </c>
      <c r="B1336" s="2" t="s">
        <v>4</v>
      </c>
      <c r="C1336" s="66">
        <v>143392.20000000001</v>
      </c>
      <c r="D1336" s="66">
        <v>150515.79999999999</v>
      </c>
      <c r="E1336" s="66">
        <v>150515.79999999999</v>
      </c>
      <c r="F1336" s="66">
        <v>181997.8</v>
      </c>
      <c r="G1336" s="66">
        <v>165452.5</v>
      </c>
      <c r="H1336" s="66">
        <v>132132</v>
      </c>
      <c r="I1336" s="66">
        <v>121331.8</v>
      </c>
      <c r="J1336" s="66">
        <v>193027</v>
      </c>
      <c r="K1336" s="66">
        <v>132132.20000000001</v>
      </c>
      <c r="L1336" s="66">
        <v>82726.3</v>
      </c>
      <c r="M1336" s="66">
        <v>176482.7</v>
      </c>
      <c r="N1336" s="231"/>
      <c r="R1336" s="70"/>
      <c r="AA1336" s="70"/>
      <c r="AB1336" s="70"/>
      <c r="AC1336" s="70"/>
      <c r="AD1336" s="534"/>
      <c r="AE1336" s="534"/>
      <c r="AF1336" s="534"/>
      <c r="AG1336" s="534"/>
      <c r="AH1336" s="534"/>
      <c r="AI1336" s="534"/>
    </row>
    <row r="1337" spans="1:35" x14ac:dyDescent="0.25">
      <c r="A1337" s="1058"/>
      <c r="B1337" s="52" t="s">
        <v>5</v>
      </c>
      <c r="C1337" s="67">
        <v>42062.6</v>
      </c>
      <c r="D1337" s="67">
        <v>76357.5</v>
      </c>
      <c r="E1337" s="67">
        <v>77771.5</v>
      </c>
      <c r="F1337" s="67">
        <v>162920.4</v>
      </c>
      <c r="G1337" s="67">
        <v>77178.399999999994</v>
      </c>
      <c r="H1337" s="67">
        <v>38484.1</v>
      </c>
      <c r="I1337" s="67">
        <v>55899.1</v>
      </c>
      <c r="J1337" s="67">
        <v>151878.9</v>
      </c>
      <c r="K1337" s="67">
        <v>47139.4</v>
      </c>
      <c r="L1337" s="67">
        <v>39832.1</v>
      </c>
      <c r="M1337" s="67">
        <v>110333</v>
      </c>
      <c r="N1337" s="232"/>
      <c r="R1337" s="70"/>
      <c r="AA1337" s="70"/>
      <c r="AB1337" s="70"/>
      <c r="AC1337" s="70"/>
      <c r="AD1337" s="534"/>
      <c r="AE1337" s="534"/>
      <c r="AF1337" s="534"/>
      <c r="AG1337" s="534"/>
      <c r="AH1337" s="534"/>
      <c r="AI1337" s="534"/>
    </row>
    <row r="1338" spans="1:35" ht="15.75" thickBot="1" x14ac:dyDescent="0.3">
      <c r="A1338" s="1059"/>
      <c r="B1338" s="3" t="s">
        <v>3</v>
      </c>
      <c r="C1338" s="57">
        <f t="shared" ref="C1338:M1338" si="472">C1337/C1336</f>
        <v>0.29333952613879971</v>
      </c>
      <c r="D1338" s="58">
        <f t="shared" si="472"/>
        <v>0.50730554533145367</v>
      </c>
      <c r="E1338" s="58">
        <f t="shared" si="472"/>
        <v>0.516699907916644</v>
      </c>
      <c r="F1338" s="58">
        <f t="shared" si="472"/>
        <v>0.89517785379823278</v>
      </c>
      <c r="G1338" s="58">
        <f t="shared" si="472"/>
        <v>0.46646862392529576</v>
      </c>
      <c r="H1338" s="58">
        <f t="shared" si="472"/>
        <v>0.29125495716404809</v>
      </c>
      <c r="I1338" s="58">
        <f t="shared" si="472"/>
        <v>0.4607126903252074</v>
      </c>
      <c r="J1338" s="58">
        <f t="shared" si="472"/>
        <v>0.78682723142358324</v>
      </c>
      <c r="K1338" s="58">
        <f t="shared" si="472"/>
        <v>0.35675936675541614</v>
      </c>
      <c r="L1338" s="58">
        <f t="shared" si="472"/>
        <v>0.48149258458313737</v>
      </c>
      <c r="M1338" s="225">
        <f t="shared" si="472"/>
        <v>0.62517742532270859</v>
      </c>
      <c r="N1338" s="233"/>
      <c r="R1338" s="70"/>
      <c r="AA1338" s="70"/>
      <c r="AB1338" s="70"/>
      <c r="AC1338" s="70"/>
      <c r="AD1338" s="534"/>
      <c r="AE1338" s="534"/>
      <c r="AF1338" s="534"/>
      <c r="AG1338" s="534"/>
      <c r="AH1338" s="534"/>
      <c r="AI1338" s="534"/>
    </row>
    <row r="1339" spans="1:35" ht="15" customHeight="1" x14ac:dyDescent="0.25">
      <c r="A1339" s="1060" t="s">
        <v>6</v>
      </c>
      <c r="B1339" s="19" t="s">
        <v>7</v>
      </c>
      <c r="C1339" s="56">
        <v>5806</v>
      </c>
      <c r="D1339" s="56">
        <v>3333</v>
      </c>
      <c r="E1339" s="56">
        <v>3330</v>
      </c>
      <c r="F1339" s="56">
        <v>9457</v>
      </c>
      <c r="G1339" s="56">
        <v>7653</v>
      </c>
      <c r="H1339" s="56">
        <v>15133</v>
      </c>
      <c r="I1339" s="56">
        <v>6961</v>
      </c>
      <c r="J1339" s="56">
        <v>9193</v>
      </c>
      <c r="K1339" s="56">
        <v>11169</v>
      </c>
      <c r="L1339" s="56">
        <v>4133</v>
      </c>
      <c r="M1339" s="56">
        <v>9050</v>
      </c>
      <c r="N1339" s="234"/>
      <c r="R1339" s="70"/>
      <c r="AA1339" s="70"/>
      <c r="AB1339" s="70"/>
      <c r="AC1339" s="70"/>
      <c r="AD1339" s="534"/>
      <c r="AE1339" s="534"/>
      <c r="AF1339" s="534"/>
      <c r="AG1339" s="534"/>
      <c r="AH1339" s="534"/>
      <c r="AI1339" s="534"/>
    </row>
    <row r="1340" spans="1:35" x14ac:dyDescent="0.25">
      <c r="A1340" s="1061"/>
      <c r="B1340" s="20" t="s">
        <v>11</v>
      </c>
      <c r="C1340" s="59">
        <f t="shared" ref="C1340:M1340" si="473">C1339*33.72</f>
        <v>195778.32</v>
      </c>
      <c r="D1340" s="59">
        <f t="shared" si="473"/>
        <v>112388.76</v>
      </c>
      <c r="E1340" s="59">
        <f t="shared" si="473"/>
        <v>112287.59999999999</v>
      </c>
      <c r="F1340" s="59">
        <f t="shared" si="473"/>
        <v>318890.03999999998</v>
      </c>
      <c r="G1340" s="59">
        <f t="shared" si="473"/>
        <v>258059.16</v>
      </c>
      <c r="H1340" s="59">
        <f t="shared" si="473"/>
        <v>510284.76</v>
      </c>
      <c r="I1340" s="59">
        <f t="shared" si="473"/>
        <v>234724.91999999998</v>
      </c>
      <c r="J1340" s="59">
        <f t="shared" si="473"/>
        <v>309987.95999999996</v>
      </c>
      <c r="K1340" s="59">
        <f t="shared" si="473"/>
        <v>376618.68</v>
      </c>
      <c r="L1340" s="59">
        <f t="shared" si="473"/>
        <v>139364.76</v>
      </c>
      <c r="M1340" s="59">
        <f t="shared" si="473"/>
        <v>305166</v>
      </c>
      <c r="N1340" s="235"/>
      <c r="R1340" s="70"/>
      <c r="AA1340" s="70"/>
      <c r="AB1340" s="70"/>
      <c r="AC1340" s="70"/>
      <c r="AD1340" s="534"/>
      <c r="AE1340" s="534"/>
      <c r="AF1340" s="534"/>
      <c r="AG1340" s="534"/>
      <c r="AH1340" s="534"/>
      <c r="AI1340" s="534"/>
    </row>
    <row r="1341" spans="1:35" x14ac:dyDescent="0.25">
      <c r="A1341" s="1061"/>
      <c r="B1341" s="20" t="s">
        <v>79</v>
      </c>
      <c r="C1341" s="59">
        <v>164000</v>
      </c>
      <c r="D1341" s="59">
        <v>109880</v>
      </c>
      <c r="E1341" s="59">
        <v>109880</v>
      </c>
      <c r="F1341" s="59">
        <v>328000</v>
      </c>
      <c r="G1341" s="59">
        <v>330905</v>
      </c>
      <c r="H1341" s="59">
        <v>264264</v>
      </c>
      <c r="I1341" s="59">
        <v>242663.6</v>
      </c>
      <c r="J1341" s="59">
        <v>328000</v>
      </c>
      <c r="K1341" s="59">
        <v>264264.40000000002</v>
      </c>
      <c r="L1341" s="59">
        <v>328000</v>
      </c>
      <c r="M1341" s="59">
        <v>352965.4</v>
      </c>
      <c r="N1341" s="235"/>
      <c r="R1341" s="70"/>
      <c r="AA1341" s="70"/>
      <c r="AB1341" s="70"/>
      <c r="AC1341" s="70"/>
      <c r="AD1341" s="534"/>
      <c r="AE1341" s="534"/>
      <c r="AF1341" s="534"/>
      <c r="AG1341" s="534"/>
      <c r="AH1341" s="534"/>
      <c r="AI1341" s="534"/>
    </row>
    <row r="1342" spans="1:35" x14ac:dyDescent="0.25">
      <c r="A1342" s="1061"/>
      <c r="B1342" s="54" t="s">
        <v>8</v>
      </c>
      <c r="C1342" s="68">
        <f>SUM(C1339-191)</f>
        <v>5615</v>
      </c>
      <c r="D1342" s="68">
        <f>SUM(D1339-675)</f>
        <v>2658</v>
      </c>
      <c r="E1342" s="68">
        <f>SUM(E1339-653)</f>
        <v>2677</v>
      </c>
      <c r="F1342" s="68">
        <f>SUM(F1339-1258)</f>
        <v>8199</v>
      </c>
      <c r="G1342" s="68">
        <f>SUM(G1339-4146)</f>
        <v>3507</v>
      </c>
      <c r="H1342" s="68">
        <f>SUM(H1339-1869)</f>
        <v>13264</v>
      </c>
      <c r="I1342" s="68">
        <f>SUM(I1339-(3921-2000))</f>
        <v>5040</v>
      </c>
      <c r="J1342" s="68">
        <f>SUM(J1339-1257)</f>
        <v>7936</v>
      </c>
      <c r="K1342" s="68">
        <f>SUM(K1339-1454)</f>
        <v>9715</v>
      </c>
      <c r="L1342" s="68">
        <f>SUM(L1339-447)</f>
        <v>3686</v>
      </c>
      <c r="M1342" s="227">
        <f>SUM(M1339-(5691-2614))</f>
        <v>5973</v>
      </c>
      <c r="N1342" s="236"/>
      <c r="R1342" s="12" t="s">
        <v>176</v>
      </c>
    </row>
    <row r="1343" spans="1:35" x14ac:dyDescent="0.25">
      <c r="A1343" s="1061"/>
      <c r="B1343" s="21" t="s">
        <v>77</v>
      </c>
      <c r="C1343" s="250">
        <f>C1342*33.72</f>
        <v>189337.8</v>
      </c>
      <c r="D1343" s="250">
        <f>D1342*33.72</f>
        <v>89627.76</v>
      </c>
      <c r="E1343" s="250">
        <f>E1342*33.72</f>
        <v>90268.44</v>
      </c>
      <c r="F1343" s="250">
        <f>F1342*33.72</f>
        <v>276470.27999999997</v>
      </c>
      <c r="G1343" s="250">
        <f>G1342*33.72*2</f>
        <v>236512.08</v>
      </c>
      <c r="H1343" s="250">
        <f>H1342*33.72</f>
        <v>447262.07999999996</v>
      </c>
      <c r="I1343" s="250">
        <f>(I1342*33.72)-(2000*33.72)</f>
        <v>102508.79999999999</v>
      </c>
      <c r="J1343" s="250">
        <f>J1342*33.72</f>
        <v>267601.91999999998</v>
      </c>
      <c r="K1343" s="250">
        <f>K1342*33.72</f>
        <v>327589.8</v>
      </c>
      <c r="L1343" s="250">
        <f>L1342*33.72</f>
        <v>124291.92</v>
      </c>
      <c r="M1343" s="250">
        <f>((M1342*33.72)-(2614*33.72))*2</f>
        <v>226530.96</v>
      </c>
      <c r="N1343" s="237"/>
      <c r="R1343" s="63">
        <f>344240-H1343</f>
        <v>-103022.07999999996</v>
      </c>
      <c r="S1343" s="70" t="s">
        <v>177</v>
      </c>
    </row>
    <row r="1344" spans="1:35" ht="15.75" thickBot="1" x14ac:dyDescent="0.3">
      <c r="A1344" s="1062"/>
      <c r="B1344" s="201" t="s">
        <v>10</v>
      </c>
      <c r="C1344" s="249">
        <f t="shared" ref="C1344:M1344" si="474">C1343/C1336</f>
        <v>1.3204191022942668</v>
      </c>
      <c r="D1344" s="249">
        <f t="shared" si="474"/>
        <v>0.59547077449676378</v>
      </c>
      <c r="E1344" s="251">
        <f t="shared" si="474"/>
        <v>0.59972733759512298</v>
      </c>
      <c r="F1344" s="251">
        <f t="shared" si="474"/>
        <v>1.5190858351035013</v>
      </c>
      <c r="G1344" s="251">
        <f t="shared" si="474"/>
        <v>1.4294862876052039</v>
      </c>
      <c r="H1344" s="251">
        <f t="shared" si="474"/>
        <v>3.3849641267823083</v>
      </c>
      <c r="I1344" s="251">
        <f t="shared" si="474"/>
        <v>0.84486342409821646</v>
      </c>
      <c r="J1344" s="251">
        <f t="shared" si="474"/>
        <v>1.3863445010283535</v>
      </c>
      <c r="K1344" s="251">
        <f t="shared" si="474"/>
        <v>2.4792578947448085</v>
      </c>
      <c r="L1344" s="251">
        <f t="shared" si="474"/>
        <v>1.502447468338364</v>
      </c>
      <c r="M1344" s="62">
        <f t="shared" si="474"/>
        <v>1.2835873431220168</v>
      </c>
      <c r="N1344" s="233"/>
      <c r="R1344" s="126"/>
    </row>
    <row r="1345" spans="1:35" ht="15.75" thickBot="1" x14ac:dyDescent="0.3">
      <c r="A1345" s="1048">
        <v>41296</v>
      </c>
      <c r="B1345" s="1048"/>
      <c r="C1345" s="1048"/>
      <c r="N1345" s="13"/>
    </row>
    <row r="1346" spans="1:35" x14ac:dyDescent="0.25">
      <c r="A1346" s="1049" t="s">
        <v>1</v>
      </c>
      <c r="B1346" s="1071"/>
      <c r="C1346" s="56" t="s">
        <v>12</v>
      </c>
      <c r="D1346" s="56" t="s">
        <v>12</v>
      </c>
      <c r="E1346" s="56" t="s">
        <v>13</v>
      </c>
      <c r="F1346" s="56" t="s">
        <v>13</v>
      </c>
      <c r="G1346" s="56" t="s">
        <v>13</v>
      </c>
      <c r="H1346" s="56" t="s">
        <v>13</v>
      </c>
      <c r="I1346" s="56" t="s">
        <v>13</v>
      </c>
      <c r="J1346" s="56" t="s">
        <v>2</v>
      </c>
      <c r="K1346" s="56" t="s">
        <v>2</v>
      </c>
      <c r="L1346" s="56" t="s">
        <v>2</v>
      </c>
      <c r="M1346" s="221" t="s">
        <v>2</v>
      </c>
      <c r="N1346" s="229"/>
    </row>
    <row r="1347" spans="1:35" ht="15.75" thickBot="1" x14ac:dyDescent="0.3">
      <c r="A1347" s="1054" t="s">
        <v>0</v>
      </c>
      <c r="B1347" s="1078"/>
      <c r="C1347" s="69" t="s">
        <v>99</v>
      </c>
      <c r="D1347" s="69" t="s">
        <v>100</v>
      </c>
      <c r="E1347" s="69" t="s">
        <v>101</v>
      </c>
      <c r="F1347" s="69" t="s">
        <v>102</v>
      </c>
      <c r="G1347" s="69" t="s">
        <v>97</v>
      </c>
      <c r="H1347" s="69" t="s">
        <v>104</v>
      </c>
      <c r="I1347" s="69" t="s">
        <v>103</v>
      </c>
      <c r="J1347" s="69" t="s">
        <v>105</v>
      </c>
      <c r="K1347" s="69" t="s">
        <v>107</v>
      </c>
      <c r="L1347" s="69" t="s">
        <v>98</v>
      </c>
      <c r="M1347" s="222" t="s">
        <v>106</v>
      </c>
      <c r="N1347" s="230"/>
      <c r="S1347" s="12"/>
      <c r="T1347" s="12"/>
      <c r="U1347" s="12"/>
      <c r="V1347" s="12"/>
      <c r="W1347" s="12"/>
      <c r="X1347" s="12"/>
      <c r="Y1347" s="12"/>
      <c r="Z1347" s="12"/>
      <c r="AA1347" s="126"/>
      <c r="AB1347" s="125"/>
      <c r="AC1347" s="126"/>
      <c r="AD1347" s="535"/>
      <c r="AE1347" s="535"/>
      <c r="AF1347" s="535"/>
      <c r="AG1347" s="535"/>
      <c r="AH1347" s="535"/>
      <c r="AI1347" s="535"/>
    </row>
    <row r="1348" spans="1:35" ht="15" customHeight="1" x14ac:dyDescent="0.25">
      <c r="A1348" s="1057" t="s">
        <v>9</v>
      </c>
      <c r="B1348" s="2" t="s">
        <v>4</v>
      </c>
      <c r="C1348" s="66">
        <v>143392.20000000001</v>
      </c>
      <c r="D1348" s="66">
        <v>150515.79999999999</v>
      </c>
      <c r="E1348" s="66">
        <v>150515.79999999999</v>
      </c>
      <c r="F1348" s="66">
        <v>181997.8</v>
      </c>
      <c r="G1348" s="66">
        <v>165452.5</v>
      </c>
      <c r="H1348" s="66">
        <v>132132</v>
      </c>
      <c r="I1348" s="66">
        <v>121331.8</v>
      </c>
      <c r="J1348" s="66">
        <v>193027</v>
      </c>
      <c r="K1348" s="66">
        <v>132132.20000000001</v>
      </c>
      <c r="L1348" s="66">
        <v>82726.3</v>
      </c>
      <c r="M1348" s="223">
        <v>176482.7</v>
      </c>
      <c r="N1348" s="231"/>
      <c r="R1348" s="70"/>
      <c r="AA1348" s="70"/>
      <c r="AB1348" s="70"/>
      <c r="AC1348" s="70"/>
      <c r="AD1348" s="534"/>
      <c r="AE1348" s="534"/>
      <c r="AF1348" s="534"/>
      <c r="AG1348" s="534"/>
      <c r="AH1348" s="534"/>
      <c r="AI1348" s="534"/>
    </row>
    <row r="1349" spans="1:35" x14ac:dyDescent="0.25">
      <c r="A1349" s="1058"/>
      <c r="B1349" s="52" t="s">
        <v>5</v>
      </c>
      <c r="C1349" s="67">
        <v>42658.8</v>
      </c>
      <c r="D1349" s="67">
        <v>76331.899999999994</v>
      </c>
      <c r="E1349" s="67">
        <v>77746.100000000006</v>
      </c>
      <c r="F1349" s="67">
        <v>162710.9</v>
      </c>
      <c r="G1349" s="67">
        <v>76497.8</v>
      </c>
      <c r="H1349" s="67">
        <v>34939.300000000003</v>
      </c>
      <c r="I1349" s="67">
        <v>54147</v>
      </c>
      <c r="J1349" s="67">
        <v>151316.20000000001</v>
      </c>
      <c r="K1349" s="67">
        <v>46793.599999999999</v>
      </c>
      <c r="L1349" s="67">
        <v>39469.599999999999</v>
      </c>
      <c r="M1349" s="224">
        <v>108856.2</v>
      </c>
      <c r="N1349" s="232"/>
      <c r="R1349" s="70"/>
      <c r="AA1349" s="70"/>
      <c r="AB1349" s="70"/>
      <c r="AC1349" s="70"/>
      <c r="AD1349" s="534"/>
      <c r="AE1349" s="534"/>
      <c r="AF1349" s="534"/>
      <c r="AG1349" s="534"/>
      <c r="AH1349" s="534"/>
      <c r="AI1349" s="534"/>
    </row>
    <row r="1350" spans="1:35" ht="15.75" thickBot="1" x14ac:dyDescent="0.3">
      <c r="A1350" s="1059"/>
      <c r="B1350" s="3" t="s">
        <v>3</v>
      </c>
      <c r="C1350" s="57">
        <f t="shared" ref="C1350:M1350" si="475">C1349/C1348</f>
        <v>0.2974973534125287</v>
      </c>
      <c r="D1350" s="58">
        <f t="shared" si="475"/>
        <v>0.5071354635194445</v>
      </c>
      <c r="E1350" s="58">
        <f t="shared" si="475"/>
        <v>0.51653115486879131</v>
      </c>
      <c r="F1350" s="58">
        <f t="shared" si="475"/>
        <v>0.89402674098258328</v>
      </c>
      <c r="G1350" s="58">
        <f t="shared" si="475"/>
        <v>0.46235505658723802</v>
      </c>
      <c r="H1350" s="58">
        <f t="shared" si="475"/>
        <v>0.26442723942723945</v>
      </c>
      <c r="I1350" s="58">
        <f t="shared" si="475"/>
        <v>0.44627212321913956</v>
      </c>
      <c r="J1350" s="58">
        <f t="shared" si="475"/>
        <v>0.78391209519911731</v>
      </c>
      <c r="K1350" s="58">
        <f t="shared" si="475"/>
        <v>0.35414229082691423</v>
      </c>
      <c r="L1350" s="58">
        <f t="shared" si="475"/>
        <v>0.47711066492759857</v>
      </c>
      <c r="M1350" s="225">
        <f t="shared" si="475"/>
        <v>0.61680946631029554</v>
      </c>
      <c r="N1350" s="233"/>
      <c r="R1350" s="70"/>
      <c r="AA1350" s="70"/>
      <c r="AB1350" s="70"/>
      <c r="AC1350" s="70"/>
      <c r="AD1350" s="534"/>
      <c r="AE1350" s="534"/>
      <c r="AF1350" s="534"/>
      <c r="AG1350" s="534"/>
      <c r="AH1350" s="534"/>
      <c r="AI1350" s="534"/>
    </row>
    <row r="1351" spans="1:35" ht="15" customHeight="1" x14ac:dyDescent="0.25">
      <c r="A1351" s="1060" t="s">
        <v>6</v>
      </c>
      <c r="B1351" s="19" t="s">
        <v>7</v>
      </c>
      <c r="C1351" s="56">
        <v>5806</v>
      </c>
      <c r="D1351" s="56">
        <v>3333</v>
      </c>
      <c r="E1351" s="56">
        <v>3330</v>
      </c>
      <c r="F1351" s="56">
        <v>9457</v>
      </c>
      <c r="G1351" s="56">
        <v>7653</v>
      </c>
      <c r="H1351" s="56">
        <v>15133</v>
      </c>
      <c r="I1351" s="56">
        <v>6961</v>
      </c>
      <c r="J1351" s="56">
        <v>9193</v>
      </c>
      <c r="K1351" s="56">
        <v>11010</v>
      </c>
      <c r="L1351" s="56">
        <v>4133</v>
      </c>
      <c r="M1351" s="221">
        <v>9050</v>
      </c>
      <c r="N1351" s="234"/>
      <c r="R1351" s="70"/>
      <c r="AA1351" s="70"/>
      <c r="AB1351" s="70"/>
      <c r="AC1351" s="70"/>
      <c r="AD1351" s="534"/>
      <c r="AE1351" s="534"/>
      <c r="AF1351" s="534"/>
      <c r="AG1351" s="534"/>
      <c r="AH1351" s="534"/>
      <c r="AI1351" s="534"/>
    </row>
    <row r="1352" spans="1:35" x14ac:dyDescent="0.25">
      <c r="A1352" s="1061"/>
      <c r="B1352" s="20" t="s">
        <v>11</v>
      </c>
      <c r="C1352" s="59">
        <f t="shared" ref="C1352:M1352" si="476">C1351*33.72</f>
        <v>195778.32</v>
      </c>
      <c r="D1352" s="59">
        <f t="shared" si="476"/>
        <v>112388.76</v>
      </c>
      <c r="E1352" s="59">
        <f t="shared" si="476"/>
        <v>112287.59999999999</v>
      </c>
      <c r="F1352" s="59">
        <f t="shared" si="476"/>
        <v>318890.03999999998</v>
      </c>
      <c r="G1352" s="59">
        <f t="shared" si="476"/>
        <v>258059.16</v>
      </c>
      <c r="H1352" s="59">
        <f t="shared" si="476"/>
        <v>510284.76</v>
      </c>
      <c r="I1352" s="59">
        <f t="shared" si="476"/>
        <v>234724.91999999998</v>
      </c>
      <c r="J1352" s="59">
        <f t="shared" si="476"/>
        <v>309987.95999999996</v>
      </c>
      <c r="K1352" s="59">
        <f t="shared" si="476"/>
        <v>371257.2</v>
      </c>
      <c r="L1352" s="59">
        <f t="shared" si="476"/>
        <v>139364.76</v>
      </c>
      <c r="M1352" s="226">
        <f t="shared" si="476"/>
        <v>305166</v>
      </c>
      <c r="N1352" s="235"/>
      <c r="R1352" s="70"/>
      <c r="AA1352" s="70"/>
      <c r="AB1352" s="70"/>
      <c r="AC1352" s="70"/>
      <c r="AD1352" s="534"/>
      <c r="AE1352" s="534"/>
      <c r="AF1352" s="534"/>
      <c r="AG1352" s="534"/>
      <c r="AH1352" s="534"/>
      <c r="AI1352" s="534"/>
    </row>
    <row r="1353" spans="1:35" x14ac:dyDescent="0.25">
      <c r="A1353" s="1061"/>
      <c r="B1353" s="20" t="s">
        <v>79</v>
      </c>
      <c r="C1353" s="59">
        <v>164000</v>
      </c>
      <c r="D1353" s="59">
        <v>109880</v>
      </c>
      <c r="E1353" s="59">
        <v>109880</v>
      </c>
      <c r="F1353" s="59">
        <v>328000</v>
      </c>
      <c r="G1353" s="59">
        <f>G1348*2</f>
        <v>330905</v>
      </c>
      <c r="H1353" s="59">
        <f>H1348*2</f>
        <v>264264</v>
      </c>
      <c r="I1353" s="59">
        <f>I1348*2</f>
        <v>242663.6</v>
      </c>
      <c r="J1353" s="59">
        <v>328000</v>
      </c>
      <c r="K1353" s="59">
        <f>K1348*2</f>
        <v>264264.40000000002</v>
      </c>
      <c r="L1353" s="59">
        <v>328000</v>
      </c>
      <c r="M1353" s="226">
        <f>2*M1348</f>
        <v>352965.4</v>
      </c>
      <c r="N1353" s="235"/>
      <c r="R1353" s="70"/>
      <c r="AA1353" s="70"/>
      <c r="AB1353" s="70"/>
      <c r="AC1353" s="70"/>
      <c r="AD1353" s="534"/>
      <c r="AE1353" s="534"/>
      <c r="AF1353" s="534"/>
      <c r="AG1353" s="534"/>
      <c r="AH1353" s="534"/>
      <c r="AI1353" s="534"/>
    </row>
    <row r="1354" spans="1:35" x14ac:dyDescent="0.25">
      <c r="A1354" s="1061"/>
      <c r="B1354" s="54" t="s">
        <v>8</v>
      </c>
      <c r="C1354" s="68">
        <f>SUM(C1351-191)</f>
        <v>5615</v>
      </c>
      <c r="D1354" s="68">
        <f>SUM(D1351-675)</f>
        <v>2658</v>
      </c>
      <c r="E1354" s="68">
        <f>SUM(E1351-653)</f>
        <v>2677</v>
      </c>
      <c r="F1354" s="68">
        <f>SUM(F1351-1258)</f>
        <v>8199</v>
      </c>
      <c r="G1354" s="68">
        <f>SUM(G1351-4146)</f>
        <v>3507</v>
      </c>
      <c r="H1354" s="68">
        <f>SUM(H1351-1869)</f>
        <v>13264</v>
      </c>
      <c r="I1354" s="68">
        <f>SUM(I1351-(3921-2000))</f>
        <v>5040</v>
      </c>
      <c r="J1354" s="68">
        <f>SUM(J1351-1257)</f>
        <v>7936</v>
      </c>
      <c r="K1354" s="68">
        <f>SUM(K1351-1454)</f>
        <v>9556</v>
      </c>
      <c r="L1354" s="68">
        <f>SUM(L1351-447)</f>
        <v>3686</v>
      </c>
      <c r="M1354" s="227">
        <f>SUM(M1351-(5691-2614))</f>
        <v>5973</v>
      </c>
      <c r="N1354" s="236"/>
      <c r="R1354" s="12" t="s">
        <v>176</v>
      </c>
    </row>
    <row r="1355" spans="1:35" x14ac:dyDescent="0.25">
      <c r="A1355" s="1061"/>
      <c r="B1355" s="21" t="s">
        <v>77</v>
      </c>
      <c r="C1355" s="60">
        <f>C1354*33.72</f>
        <v>189337.8</v>
      </c>
      <c r="D1355" s="60">
        <f>D1354*33.72</f>
        <v>89627.76</v>
      </c>
      <c r="E1355" s="60">
        <f>E1354*33.72</f>
        <v>90268.44</v>
      </c>
      <c r="F1355" s="60">
        <f>F1354*33.72</f>
        <v>276470.27999999997</v>
      </c>
      <c r="G1355" s="60">
        <f>G1354*33.72*2</f>
        <v>236512.08</v>
      </c>
      <c r="H1355" s="60">
        <f>H1354*33.72</f>
        <v>447262.07999999996</v>
      </c>
      <c r="I1355" s="60">
        <f>(I1354*33.72)-(2000*33.72)</f>
        <v>102508.79999999999</v>
      </c>
      <c r="J1355" s="60">
        <f>J1354*33.72</f>
        <v>267601.91999999998</v>
      </c>
      <c r="K1355" s="60">
        <f>K1354*33.72</f>
        <v>322228.32</v>
      </c>
      <c r="L1355" s="60">
        <f>L1354*33.72</f>
        <v>124291.92</v>
      </c>
      <c r="M1355" s="228">
        <f>((M1354*33.72)-(2614*33.72))*2</f>
        <v>226530.96</v>
      </c>
      <c r="N1355" s="237"/>
      <c r="R1355" s="63">
        <f>344240-H1355</f>
        <v>-103022.07999999996</v>
      </c>
      <c r="S1355" s="70" t="s">
        <v>177</v>
      </c>
    </row>
    <row r="1356" spans="1:35" ht="15.75" thickBot="1" x14ac:dyDescent="0.3">
      <c r="A1356" s="1062"/>
      <c r="B1356" s="201" t="s">
        <v>10</v>
      </c>
      <c r="C1356" s="58">
        <f t="shared" ref="C1356:M1356" si="477">C1355/C1348</f>
        <v>1.3204191022942668</v>
      </c>
      <c r="D1356" s="58">
        <f t="shared" si="477"/>
        <v>0.59547077449676378</v>
      </c>
      <c r="E1356" s="58">
        <f t="shared" si="477"/>
        <v>0.59972733759512298</v>
      </c>
      <c r="F1356" s="58">
        <f t="shared" si="477"/>
        <v>1.5190858351035013</v>
      </c>
      <c r="G1356" s="58">
        <f t="shared" si="477"/>
        <v>1.4294862876052039</v>
      </c>
      <c r="H1356" s="58">
        <f t="shared" si="477"/>
        <v>3.3849641267823083</v>
      </c>
      <c r="I1356" s="58">
        <f t="shared" si="477"/>
        <v>0.84486342409821646</v>
      </c>
      <c r="J1356" s="58">
        <f t="shared" si="477"/>
        <v>1.3863445010283535</v>
      </c>
      <c r="K1356" s="58">
        <f t="shared" si="477"/>
        <v>2.4386812601318981</v>
      </c>
      <c r="L1356" s="58">
        <f t="shared" si="477"/>
        <v>1.502447468338364</v>
      </c>
      <c r="M1356" s="225">
        <f t="shared" si="477"/>
        <v>1.2835873431220168</v>
      </c>
      <c r="N1356" s="233"/>
      <c r="R1356" s="126"/>
    </row>
    <row r="1357" spans="1:35" ht="15.75" thickBot="1" x14ac:dyDescent="0.3">
      <c r="A1357" s="1048">
        <v>41292</v>
      </c>
      <c r="B1357" s="1048"/>
      <c r="C1357" s="1048"/>
      <c r="N1357" s="13"/>
    </row>
    <row r="1358" spans="1:35" x14ac:dyDescent="0.25">
      <c r="A1358" s="1049" t="s">
        <v>1</v>
      </c>
      <c r="B1358" s="1071"/>
      <c r="C1358" s="56" t="s">
        <v>12</v>
      </c>
      <c r="D1358" s="56" t="s">
        <v>12</v>
      </c>
      <c r="E1358" s="56" t="s">
        <v>13</v>
      </c>
      <c r="F1358" s="56" t="s">
        <v>13</v>
      </c>
      <c r="G1358" s="56" t="s">
        <v>13</v>
      </c>
      <c r="H1358" s="56" t="s">
        <v>13</v>
      </c>
      <c r="I1358" s="56" t="s">
        <v>13</v>
      </c>
      <c r="J1358" s="56" t="s">
        <v>2</v>
      </c>
      <c r="K1358" s="56" t="s">
        <v>2</v>
      </c>
      <c r="L1358" s="56" t="s">
        <v>2</v>
      </c>
      <c r="M1358" s="221" t="s">
        <v>2</v>
      </c>
      <c r="N1358" s="229"/>
    </row>
    <row r="1359" spans="1:35" ht="15.75" thickBot="1" x14ac:dyDescent="0.3">
      <c r="A1359" s="1054" t="s">
        <v>0</v>
      </c>
      <c r="B1359" s="1078"/>
      <c r="C1359" s="69" t="s">
        <v>99</v>
      </c>
      <c r="D1359" s="69" t="s">
        <v>100</v>
      </c>
      <c r="E1359" s="69" t="s">
        <v>101</v>
      </c>
      <c r="F1359" s="69" t="s">
        <v>102</v>
      </c>
      <c r="G1359" s="69" t="s">
        <v>97</v>
      </c>
      <c r="H1359" s="69" t="s">
        <v>104</v>
      </c>
      <c r="I1359" s="69" t="s">
        <v>103</v>
      </c>
      <c r="J1359" s="69" t="s">
        <v>105</v>
      </c>
      <c r="K1359" s="69" t="s">
        <v>107</v>
      </c>
      <c r="L1359" s="69" t="s">
        <v>98</v>
      </c>
      <c r="M1359" s="222" t="s">
        <v>106</v>
      </c>
      <c r="N1359" s="230"/>
      <c r="S1359" s="12"/>
      <c r="T1359" s="12"/>
      <c r="U1359" s="12"/>
      <c r="V1359" s="12"/>
      <c r="W1359" s="12"/>
      <c r="X1359" s="12"/>
      <c r="Y1359" s="12"/>
      <c r="Z1359" s="12"/>
      <c r="AA1359" s="126"/>
      <c r="AB1359" s="125"/>
      <c r="AC1359" s="126"/>
      <c r="AD1359" s="535"/>
      <c r="AE1359" s="535"/>
      <c r="AF1359" s="535"/>
      <c r="AG1359" s="535"/>
      <c r="AH1359" s="535"/>
      <c r="AI1359" s="535"/>
    </row>
    <row r="1360" spans="1:35" ht="15" customHeight="1" x14ac:dyDescent="0.25">
      <c r="A1360" s="1057" t="s">
        <v>9</v>
      </c>
      <c r="B1360" s="2" t="s">
        <v>4</v>
      </c>
      <c r="C1360" s="66">
        <v>143392.20000000001</v>
      </c>
      <c r="D1360" s="66">
        <v>150515.79999999999</v>
      </c>
      <c r="E1360" s="66">
        <v>150515.79999999999</v>
      </c>
      <c r="F1360" s="66">
        <v>181997.8</v>
      </c>
      <c r="G1360" s="66">
        <v>165452.5</v>
      </c>
      <c r="H1360" s="66">
        <v>132132</v>
      </c>
      <c r="I1360" s="66">
        <v>121331.8</v>
      </c>
      <c r="J1360" s="66">
        <v>193027</v>
      </c>
      <c r="K1360" s="66">
        <v>132132.20000000001</v>
      </c>
      <c r="L1360" s="66">
        <v>82726.3</v>
      </c>
      <c r="M1360" s="223">
        <v>176482.7</v>
      </c>
      <c r="N1360" s="231"/>
      <c r="R1360" s="70"/>
      <c r="AA1360" s="70"/>
      <c r="AB1360" s="70"/>
      <c r="AC1360" s="70"/>
      <c r="AD1360" s="534"/>
      <c r="AE1360" s="534"/>
      <c r="AF1360" s="534"/>
      <c r="AG1360" s="534"/>
      <c r="AH1360" s="534"/>
      <c r="AI1360" s="534"/>
    </row>
    <row r="1361" spans="1:35" x14ac:dyDescent="0.25">
      <c r="A1361" s="1058"/>
      <c r="B1361" s="52" t="s">
        <v>5</v>
      </c>
      <c r="C1361" s="67">
        <v>42568.2</v>
      </c>
      <c r="D1361" s="67">
        <v>76204</v>
      </c>
      <c r="E1361" s="67">
        <v>77618.3</v>
      </c>
      <c r="F1361" s="67">
        <v>162453.9</v>
      </c>
      <c r="G1361" s="67">
        <v>76308.399999999994</v>
      </c>
      <c r="H1361" s="67">
        <v>33123.9</v>
      </c>
      <c r="I1361" s="67">
        <v>53823.1</v>
      </c>
      <c r="J1361" s="67">
        <v>151243.9</v>
      </c>
      <c r="K1361" s="67">
        <v>42221.599999999999</v>
      </c>
      <c r="L1361" s="67">
        <v>39369.699999999997</v>
      </c>
      <c r="M1361" s="224">
        <v>108253.4</v>
      </c>
      <c r="N1361" s="232"/>
      <c r="R1361" s="70"/>
      <c r="AA1361" s="70"/>
      <c r="AB1361" s="70"/>
      <c r="AC1361" s="70"/>
      <c r="AD1361" s="534"/>
      <c r="AE1361" s="534"/>
      <c r="AF1361" s="534"/>
      <c r="AG1361" s="534"/>
      <c r="AH1361" s="534"/>
      <c r="AI1361" s="534"/>
    </row>
    <row r="1362" spans="1:35" ht="15.75" thickBot="1" x14ac:dyDescent="0.3">
      <c r="A1362" s="1059"/>
      <c r="B1362" s="3" t="s">
        <v>3</v>
      </c>
      <c r="C1362" s="57">
        <f t="shared" ref="C1362:M1362" si="478">C1361/C1360</f>
        <v>0.29686551988183452</v>
      </c>
      <c r="D1362" s="58">
        <f t="shared" si="478"/>
        <v>0.50628571884147711</v>
      </c>
      <c r="E1362" s="58">
        <f t="shared" si="478"/>
        <v>0.51568207457290205</v>
      </c>
      <c r="F1362" s="58">
        <f t="shared" si="478"/>
        <v>0.89261463600109459</v>
      </c>
      <c r="G1362" s="58">
        <f t="shared" si="478"/>
        <v>0.4612103171605143</v>
      </c>
      <c r="H1362" s="58">
        <f t="shared" si="478"/>
        <v>0.25068794841522113</v>
      </c>
      <c r="I1362" s="58">
        <f t="shared" si="478"/>
        <v>0.44360258398869873</v>
      </c>
      <c r="J1362" s="58">
        <f t="shared" si="478"/>
        <v>0.78353753619959898</v>
      </c>
      <c r="K1362" s="58">
        <f t="shared" si="478"/>
        <v>0.31954058132688318</v>
      </c>
      <c r="L1362" s="58">
        <f t="shared" si="478"/>
        <v>0.47590306831080315</v>
      </c>
      <c r="M1362" s="225">
        <f t="shared" si="478"/>
        <v>0.61339383406985493</v>
      </c>
      <c r="N1362" s="233"/>
      <c r="R1362" s="70"/>
      <c r="AA1362" s="70"/>
      <c r="AB1362" s="70"/>
      <c r="AC1362" s="70"/>
      <c r="AD1362" s="534"/>
      <c r="AE1362" s="534"/>
      <c r="AF1362" s="534"/>
      <c r="AG1362" s="534"/>
      <c r="AH1362" s="534"/>
      <c r="AI1362" s="534"/>
    </row>
    <row r="1363" spans="1:35" ht="15" customHeight="1" x14ac:dyDescent="0.25">
      <c r="A1363" s="1060" t="s">
        <v>6</v>
      </c>
      <c r="B1363" s="19" t="s">
        <v>7</v>
      </c>
      <c r="C1363" s="56">
        <v>5806</v>
      </c>
      <c r="D1363" s="56">
        <v>3333</v>
      </c>
      <c r="E1363" s="56">
        <v>3330</v>
      </c>
      <c r="F1363" s="56">
        <v>9457</v>
      </c>
      <c r="G1363" s="56">
        <v>7653</v>
      </c>
      <c r="H1363" s="56">
        <v>15133</v>
      </c>
      <c r="I1363" s="56">
        <v>6961</v>
      </c>
      <c r="J1363" s="56">
        <v>9193</v>
      </c>
      <c r="K1363" s="56">
        <v>11010</v>
      </c>
      <c r="L1363" s="56">
        <v>4133</v>
      </c>
      <c r="M1363" s="221">
        <v>9050</v>
      </c>
      <c r="N1363" s="234"/>
      <c r="R1363" s="70"/>
      <c r="AA1363" s="70"/>
      <c r="AB1363" s="70"/>
      <c r="AC1363" s="70"/>
      <c r="AD1363" s="534"/>
      <c r="AE1363" s="534"/>
      <c r="AF1363" s="534"/>
      <c r="AG1363" s="534"/>
      <c r="AH1363" s="534"/>
      <c r="AI1363" s="534"/>
    </row>
    <row r="1364" spans="1:35" x14ac:dyDescent="0.25">
      <c r="A1364" s="1061"/>
      <c r="B1364" s="20" t="s">
        <v>11</v>
      </c>
      <c r="C1364" s="59">
        <f t="shared" ref="C1364:M1364" si="479">C1363*33.72</f>
        <v>195778.32</v>
      </c>
      <c r="D1364" s="59">
        <f t="shared" si="479"/>
        <v>112388.76</v>
      </c>
      <c r="E1364" s="59">
        <f t="shared" si="479"/>
        <v>112287.59999999999</v>
      </c>
      <c r="F1364" s="59">
        <f t="shared" si="479"/>
        <v>318890.03999999998</v>
      </c>
      <c r="G1364" s="59">
        <f t="shared" si="479"/>
        <v>258059.16</v>
      </c>
      <c r="H1364" s="59">
        <f t="shared" si="479"/>
        <v>510284.76</v>
      </c>
      <c r="I1364" s="59">
        <f t="shared" si="479"/>
        <v>234724.91999999998</v>
      </c>
      <c r="J1364" s="59">
        <f t="shared" si="479"/>
        <v>309987.95999999996</v>
      </c>
      <c r="K1364" s="59">
        <f t="shared" si="479"/>
        <v>371257.2</v>
      </c>
      <c r="L1364" s="59">
        <f t="shared" si="479"/>
        <v>139364.76</v>
      </c>
      <c r="M1364" s="226">
        <f t="shared" si="479"/>
        <v>305166</v>
      </c>
      <c r="N1364" s="235"/>
      <c r="R1364" s="70"/>
      <c r="AA1364" s="70"/>
      <c r="AB1364" s="70"/>
      <c r="AC1364" s="70"/>
      <c r="AD1364" s="534"/>
      <c r="AE1364" s="534"/>
      <c r="AF1364" s="534"/>
      <c r="AG1364" s="534"/>
      <c r="AH1364" s="534"/>
      <c r="AI1364" s="534"/>
    </row>
    <row r="1365" spans="1:35" x14ac:dyDescent="0.25">
      <c r="A1365" s="1061"/>
      <c r="B1365" s="20" t="s">
        <v>79</v>
      </c>
      <c r="C1365" s="59">
        <v>164000</v>
      </c>
      <c r="D1365" s="59">
        <v>109880</v>
      </c>
      <c r="E1365" s="59">
        <v>109880</v>
      </c>
      <c r="F1365" s="59">
        <v>328000</v>
      </c>
      <c r="G1365" s="59">
        <f>G1360*2</f>
        <v>330905</v>
      </c>
      <c r="H1365" s="59">
        <f>H1360*2</f>
        <v>264264</v>
      </c>
      <c r="I1365" s="59">
        <f>I1360*2</f>
        <v>242663.6</v>
      </c>
      <c r="J1365" s="59">
        <v>328000</v>
      </c>
      <c r="K1365" s="59">
        <f>K1360*2</f>
        <v>264264.40000000002</v>
      </c>
      <c r="L1365" s="59">
        <v>328000</v>
      </c>
      <c r="M1365" s="226">
        <f>2*M1360</f>
        <v>352965.4</v>
      </c>
      <c r="N1365" s="235"/>
      <c r="R1365" s="70"/>
      <c r="AA1365" s="70"/>
      <c r="AB1365" s="70"/>
      <c r="AC1365" s="70"/>
      <c r="AD1365" s="534"/>
      <c r="AE1365" s="534"/>
      <c r="AF1365" s="534"/>
      <c r="AG1365" s="534"/>
      <c r="AH1365" s="534"/>
      <c r="AI1365" s="534"/>
    </row>
    <row r="1366" spans="1:35" x14ac:dyDescent="0.25">
      <c r="A1366" s="1061"/>
      <c r="B1366" s="54" t="s">
        <v>8</v>
      </c>
      <c r="C1366" s="68">
        <f>SUM(C1363-186)</f>
        <v>5620</v>
      </c>
      <c r="D1366" s="68">
        <f>SUM(D1363-652)</f>
        <v>2681</v>
      </c>
      <c r="E1366" s="68">
        <f>SUM(E1363-630)</f>
        <v>2700</v>
      </c>
      <c r="F1366" s="68">
        <f>SUM(F1363-1258)</f>
        <v>8199</v>
      </c>
      <c r="G1366" s="68">
        <f>SUM(G1363-4146)</f>
        <v>3507</v>
      </c>
      <c r="H1366" s="68">
        <f>SUM(H1363-1869)</f>
        <v>13264</v>
      </c>
      <c r="I1366" s="68">
        <f>SUM(I1363-(3921-2000))</f>
        <v>5040</v>
      </c>
      <c r="J1366" s="68">
        <f>SUM(J1363-1257)</f>
        <v>7936</v>
      </c>
      <c r="K1366" s="68">
        <f>SUM(K1363-1454)</f>
        <v>9556</v>
      </c>
      <c r="L1366" s="68">
        <f>SUM(L1363-447)</f>
        <v>3686</v>
      </c>
      <c r="M1366" s="227">
        <f>SUM(M1363-(5691-2614))</f>
        <v>5973</v>
      </c>
      <c r="N1366" s="236"/>
      <c r="R1366" s="12" t="s">
        <v>176</v>
      </c>
    </row>
    <row r="1367" spans="1:35" x14ac:dyDescent="0.25">
      <c r="A1367" s="1061"/>
      <c r="B1367" s="21" t="s">
        <v>77</v>
      </c>
      <c r="C1367" s="60">
        <f>C1366*33.72</f>
        <v>189506.4</v>
      </c>
      <c r="D1367" s="60">
        <f>D1366*33.72</f>
        <v>90403.319999999992</v>
      </c>
      <c r="E1367" s="60">
        <f>E1366*33.72</f>
        <v>91044</v>
      </c>
      <c r="F1367" s="60">
        <f>F1366*33.72</f>
        <v>276470.27999999997</v>
      </c>
      <c r="G1367" s="60">
        <f>G1366*33.72*2</f>
        <v>236512.08</v>
      </c>
      <c r="H1367" s="60">
        <f>H1366*33.72</f>
        <v>447262.07999999996</v>
      </c>
      <c r="I1367" s="60">
        <f>(I1366*33.72)-(2000*33.72)</f>
        <v>102508.79999999999</v>
      </c>
      <c r="J1367" s="60">
        <f>J1366*33.72</f>
        <v>267601.91999999998</v>
      </c>
      <c r="K1367" s="60">
        <f>K1366*33.72</f>
        <v>322228.32</v>
      </c>
      <c r="L1367" s="60">
        <f>L1366*33.72</f>
        <v>124291.92</v>
      </c>
      <c r="M1367" s="228">
        <f>((M1366*33.72)-(2614*33.72))*2</f>
        <v>226530.96</v>
      </c>
      <c r="N1367" s="237"/>
      <c r="R1367" s="63">
        <f>344240-H1367</f>
        <v>-103022.07999999996</v>
      </c>
      <c r="S1367" s="70" t="s">
        <v>177</v>
      </c>
    </row>
    <row r="1368" spans="1:35" ht="15.75" thickBot="1" x14ac:dyDescent="0.3">
      <c r="A1368" s="1062"/>
      <c r="B1368" s="201" t="s">
        <v>10</v>
      </c>
      <c r="C1368" s="58">
        <f t="shared" ref="C1368:M1368" si="480">C1367/C1360</f>
        <v>1.3215948984672805</v>
      </c>
      <c r="D1368" s="58">
        <f t="shared" si="480"/>
        <v>0.60062345614214585</v>
      </c>
      <c r="E1368" s="58">
        <f t="shared" si="480"/>
        <v>0.60488001924050505</v>
      </c>
      <c r="F1368" s="58">
        <f t="shared" si="480"/>
        <v>1.5190858351035013</v>
      </c>
      <c r="G1368" s="58">
        <f t="shared" si="480"/>
        <v>1.4294862876052039</v>
      </c>
      <c r="H1368" s="58">
        <f t="shared" si="480"/>
        <v>3.3849641267823083</v>
      </c>
      <c r="I1368" s="58">
        <f t="shared" si="480"/>
        <v>0.84486342409821646</v>
      </c>
      <c r="J1368" s="58">
        <f t="shared" si="480"/>
        <v>1.3863445010283535</v>
      </c>
      <c r="K1368" s="58">
        <f t="shared" si="480"/>
        <v>2.4386812601318981</v>
      </c>
      <c r="L1368" s="58">
        <f t="shared" si="480"/>
        <v>1.502447468338364</v>
      </c>
      <c r="M1368" s="225">
        <f t="shared" si="480"/>
        <v>1.2835873431220168</v>
      </c>
      <c r="N1368" s="233"/>
      <c r="R1368" s="126"/>
    </row>
    <row r="1369" spans="1:35" ht="15.75" thickBot="1" x14ac:dyDescent="0.3">
      <c r="A1369" s="1048">
        <v>41289</v>
      </c>
      <c r="B1369" s="1048"/>
      <c r="C1369" s="1048"/>
      <c r="N1369" s="13"/>
    </row>
    <row r="1370" spans="1:35" x14ac:dyDescent="0.25">
      <c r="A1370" s="1049" t="s">
        <v>1</v>
      </c>
      <c r="B1370" s="1071"/>
      <c r="C1370" s="56" t="s">
        <v>12</v>
      </c>
      <c r="D1370" s="56" t="s">
        <v>12</v>
      </c>
      <c r="E1370" s="56" t="s">
        <v>13</v>
      </c>
      <c r="F1370" s="56" t="s">
        <v>13</v>
      </c>
      <c r="G1370" s="56" t="s">
        <v>13</v>
      </c>
      <c r="H1370" s="56" t="s">
        <v>13</v>
      </c>
      <c r="I1370" s="56" t="s">
        <v>13</v>
      </c>
      <c r="J1370" s="56" t="s">
        <v>2</v>
      </c>
      <c r="K1370" s="56" t="s">
        <v>2</v>
      </c>
      <c r="L1370" s="56" t="s">
        <v>2</v>
      </c>
      <c r="M1370" s="221" t="s">
        <v>2</v>
      </c>
      <c r="N1370" s="229"/>
    </row>
    <row r="1371" spans="1:35" ht="15.75" thickBot="1" x14ac:dyDescent="0.3">
      <c r="A1371" s="1054" t="s">
        <v>0</v>
      </c>
      <c r="B1371" s="1078"/>
      <c r="C1371" s="69" t="s">
        <v>99</v>
      </c>
      <c r="D1371" s="69" t="s">
        <v>100</v>
      </c>
      <c r="E1371" s="69" t="s">
        <v>101</v>
      </c>
      <c r="F1371" s="69" t="s">
        <v>102</v>
      </c>
      <c r="G1371" s="69" t="s">
        <v>97</v>
      </c>
      <c r="H1371" s="69" t="s">
        <v>104</v>
      </c>
      <c r="I1371" s="69" t="s">
        <v>103</v>
      </c>
      <c r="J1371" s="69" t="s">
        <v>105</v>
      </c>
      <c r="K1371" s="69" t="s">
        <v>107</v>
      </c>
      <c r="L1371" s="69" t="s">
        <v>98</v>
      </c>
      <c r="M1371" s="222" t="s">
        <v>106</v>
      </c>
      <c r="N1371" s="230"/>
      <c r="S1371" s="12"/>
      <c r="T1371" s="12"/>
      <c r="U1371" s="12"/>
      <c r="V1371" s="12"/>
      <c r="W1371" s="12"/>
      <c r="X1371" s="12"/>
      <c r="Y1371" s="12"/>
      <c r="Z1371" s="12"/>
      <c r="AA1371" s="126"/>
      <c r="AB1371" s="125"/>
      <c r="AC1371" s="126"/>
      <c r="AD1371" s="535"/>
      <c r="AE1371" s="535"/>
      <c r="AF1371" s="535"/>
      <c r="AG1371" s="535"/>
      <c r="AH1371" s="535"/>
      <c r="AI1371" s="535"/>
    </row>
    <row r="1372" spans="1:35" ht="15" customHeight="1" x14ac:dyDescent="0.25">
      <c r="A1372" s="1057" t="s">
        <v>9</v>
      </c>
      <c r="B1372" s="2" t="s">
        <v>4</v>
      </c>
      <c r="C1372" s="66">
        <v>143392.20000000001</v>
      </c>
      <c r="D1372" s="66">
        <v>150515.79999999999</v>
      </c>
      <c r="E1372" s="66">
        <v>150515.79999999999</v>
      </c>
      <c r="F1372" s="66">
        <v>181997.8</v>
      </c>
      <c r="G1372" s="66">
        <v>165452.5</v>
      </c>
      <c r="H1372" s="66">
        <v>132132</v>
      </c>
      <c r="I1372" s="66">
        <v>121331.8</v>
      </c>
      <c r="J1372" s="66">
        <v>193027</v>
      </c>
      <c r="K1372" s="66">
        <v>132132.20000000001</v>
      </c>
      <c r="L1372" s="66">
        <v>82726.3</v>
      </c>
      <c r="M1372" s="223">
        <v>176482.7</v>
      </c>
      <c r="N1372" s="231"/>
      <c r="R1372" s="70"/>
      <c r="AA1372" s="70"/>
      <c r="AB1372" s="70"/>
      <c r="AC1372" s="70"/>
      <c r="AD1372" s="534"/>
      <c r="AE1372" s="534"/>
      <c r="AF1372" s="534"/>
      <c r="AG1372" s="534"/>
      <c r="AH1372" s="534"/>
      <c r="AI1372" s="534"/>
    </row>
    <row r="1373" spans="1:35" x14ac:dyDescent="0.25">
      <c r="A1373" s="1058"/>
      <c r="B1373" s="52" t="s">
        <v>5</v>
      </c>
      <c r="C1373" s="67">
        <v>43368.6</v>
      </c>
      <c r="D1373" s="67">
        <v>76180.600000000006</v>
      </c>
      <c r="E1373" s="67">
        <v>77594.899999999994</v>
      </c>
      <c r="F1373" s="67">
        <v>162345.60000000001</v>
      </c>
      <c r="G1373" s="67">
        <v>75622.100000000006</v>
      </c>
      <c r="H1373" s="67">
        <v>34514.199999999997</v>
      </c>
      <c r="I1373" s="67">
        <v>53695.3</v>
      </c>
      <c r="J1373" s="67">
        <v>150894.39999999999</v>
      </c>
      <c r="K1373" s="67">
        <v>41547.4</v>
      </c>
      <c r="L1373" s="67">
        <v>39017.9</v>
      </c>
      <c r="M1373" s="224">
        <v>108002.1</v>
      </c>
      <c r="N1373" s="232"/>
      <c r="R1373" s="70"/>
      <c r="AA1373" s="70"/>
      <c r="AB1373" s="70"/>
      <c r="AC1373" s="70"/>
      <c r="AD1373" s="534"/>
      <c r="AE1373" s="534"/>
      <c r="AF1373" s="534"/>
      <c r="AG1373" s="534"/>
      <c r="AH1373" s="534"/>
      <c r="AI1373" s="534"/>
    </row>
    <row r="1374" spans="1:35" ht="15.75" thickBot="1" x14ac:dyDescent="0.3">
      <c r="A1374" s="1059"/>
      <c r="B1374" s="3" t="s">
        <v>3</v>
      </c>
      <c r="C1374" s="57">
        <f t="shared" ref="C1374:M1374" si="481">C1373/C1372</f>
        <v>0.30244741345763576</v>
      </c>
      <c r="D1374" s="58">
        <f t="shared" si="481"/>
        <v>0.50613025343518758</v>
      </c>
      <c r="E1374" s="58">
        <f t="shared" si="481"/>
        <v>0.51552660916661242</v>
      </c>
      <c r="F1374" s="58">
        <f t="shared" si="481"/>
        <v>0.89201957386298081</v>
      </c>
      <c r="G1374" s="58">
        <f t="shared" si="481"/>
        <v>0.45706229884710114</v>
      </c>
      <c r="H1374" s="58">
        <f t="shared" si="481"/>
        <v>0.26121000211909301</v>
      </c>
      <c r="I1374" s="58">
        <f t="shared" si="481"/>
        <v>0.44254927397434146</v>
      </c>
      <c r="J1374" s="58">
        <f t="shared" si="481"/>
        <v>0.78172690867080763</v>
      </c>
      <c r="K1374" s="58">
        <f t="shared" si="481"/>
        <v>0.31443811576587688</v>
      </c>
      <c r="L1374" s="58">
        <f t="shared" si="481"/>
        <v>0.47165049083544169</v>
      </c>
      <c r="M1374" s="225">
        <f t="shared" si="481"/>
        <v>0.61196989846596861</v>
      </c>
      <c r="N1374" s="233"/>
      <c r="R1374" s="70"/>
      <c r="AA1374" s="70"/>
      <c r="AB1374" s="70"/>
      <c r="AC1374" s="70"/>
      <c r="AD1374" s="534"/>
      <c r="AE1374" s="534"/>
      <c r="AF1374" s="534"/>
      <c r="AG1374" s="534"/>
      <c r="AH1374" s="534"/>
      <c r="AI1374" s="534"/>
    </row>
    <row r="1375" spans="1:35" ht="15" customHeight="1" x14ac:dyDescent="0.25">
      <c r="A1375" s="1060" t="s">
        <v>6</v>
      </c>
      <c r="B1375" s="19" t="s">
        <v>7</v>
      </c>
      <c r="C1375" s="56">
        <v>5806</v>
      </c>
      <c r="D1375" s="56">
        <v>3333</v>
      </c>
      <c r="E1375" s="56">
        <v>3330</v>
      </c>
      <c r="F1375" s="56">
        <v>9457</v>
      </c>
      <c r="G1375" s="56">
        <v>7653</v>
      </c>
      <c r="H1375" s="56">
        <v>15133</v>
      </c>
      <c r="I1375" s="56">
        <v>6961</v>
      </c>
      <c r="J1375" s="56">
        <v>9193</v>
      </c>
      <c r="K1375" s="56">
        <v>11010</v>
      </c>
      <c r="L1375" s="56">
        <v>4133</v>
      </c>
      <c r="M1375" s="221">
        <v>9050</v>
      </c>
      <c r="N1375" s="234"/>
      <c r="R1375" s="70"/>
      <c r="AA1375" s="70"/>
      <c r="AB1375" s="70"/>
      <c r="AC1375" s="70"/>
      <c r="AD1375" s="534"/>
      <c r="AE1375" s="534"/>
      <c r="AF1375" s="534"/>
      <c r="AG1375" s="534"/>
      <c r="AH1375" s="534"/>
      <c r="AI1375" s="534"/>
    </row>
    <row r="1376" spans="1:35" x14ac:dyDescent="0.25">
      <c r="A1376" s="1061"/>
      <c r="B1376" s="20" t="s">
        <v>11</v>
      </c>
      <c r="C1376" s="59">
        <f t="shared" ref="C1376:M1376" si="482">C1375*33.72</f>
        <v>195778.32</v>
      </c>
      <c r="D1376" s="59">
        <f t="shared" si="482"/>
        <v>112388.76</v>
      </c>
      <c r="E1376" s="59">
        <f t="shared" si="482"/>
        <v>112287.59999999999</v>
      </c>
      <c r="F1376" s="59">
        <f t="shared" si="482"/>
        <v>318890.03999999998</v>
      </c>
      <c r="G1376" s="59">
        <f t="shared" si="482"/>
        <v>258059.16</v>
      </c>
      <c r="H1376" s="59">
        <f t="shared" si="482"/>
        <v>510284.76</v>
      </c>
      <c r="I1376" s="59">
        <f t="shared" si="482"/>
        <v>234724.91999999998</v>
      </c>
      <c r="J1376" s="59">
        <f t="shared" si="482"/>
        <v>309987.95999999996</v>
      </c>
      <c r="K1376" s="59">
        <f t="shared" si="482"/>
        <v>371257.2</v>
      </c>
      <c r="L1376" s="59">
        <f t="shared" si="482"/>
        <v>139364.76</v>
      </c>
      <c r="M1376" s="226">
        <f t="shared" si="482"/>
        <v>305166</v>
      </c>
      <c r="N1376" s="235"/>
      <c r="R1376" s="70"/>
      <c r="AA1376" s="70"/>
      <c r="AB1376" s="70"/>
      <c r="AC1376" s="70"/>
      <c r="AD1376" s="534"/>
      <c r="AE1376" s="534"/>
      <c r="AF1376" s="534"/>
      <c r="AG1376" s="534"/>
      <c r="AH1376" s="534"/>
      <c r="AI1376" s="534"/>
    </row>
    <row r="1377" spans="1:35" x14ac:dyDescent="0.25">
      <c r="A1377" s="1061"/>
      <c r="B1377" s="20" t="s">
        <v>79</v>
      </c>
      <c r="C1377" s="59">
        <v>164000</v>
      </c>
      <c r="D1377" s="59">
        <v>109880</v>
      </c>
      <c r="E1377" s="59">
        <v>109880</v>
      </c>
      <c r="F1377" s="59">
        <v>328000</v>
      </c>
      <c r="G1377" s="59">
        <f>G1372*2</f>
        <v>330905</v>
      </c>
      <c r="H1377" s="59">
        <f>H1372*2</f>
        <v>264264</v>
      </c>
      <c r="I1377" s="59">
        <f>I1372*2</f>
        <v>242663.6</v>
      </c>
      <c r="J1377" s="59">
        <v>328000</v>
      </c>
      <c r="K1377" s="59">
        <f>K1372*2</f>
        <v>264264.40000000002</v>
      </c>
      <c r="L1377" s="59">
        <v>328000</v>
      </c>
      <c r="M1377" s="226">
        <f>2*M1372</f>
        <v>352965.4</v>
      </c>
      <c r="N1377" s="235"/>
      <c r="R1377" s="70"/>
      <c r="AA1377" s="70"/>
      <c r="AB1377" s="70"/>
      <c r="AC1377" s="70"/>
      <c r="AD1377" s="534"/>
      <c r="AE1377" s="534"/>
      <c r="AF1377" s="534"/>
      <c r="AG1377" s="534"/>
      <c r="AH1377" s="534"/>
      <c r="AI1377" s="534"/>
    </row>
    <row r="1378" spans="1:35" x14ac:dyDescent="0.25">
      <c r="A1378" s="1061"/>
      <c r="B1378" s="54" t="s">
        <v>8</v>
      </c>
      <c r="C1378" s="68">
        <f>SUM(C1375-186)</f>
        <v>5620</v>
      </c>
      <c r="D1378" s="68">
        <f>SUM(D1375-652)</f>
        <v>2681</v>
      </c>
      <c r="E1378" s="68">
        <f>SUM(E1375-630)</f>
        <v>2700</v>
      </c>
      <c r="F1378" s="68">
        <f>SUM(F1375-1258)</f>
        <v>8199</v>
      </c>
      <c r="G1378" s="68">
        <f>SUM(G1375-4146)</f>
        <v>3507</v>
      </c>
      <c r="H1378" s="68">
        <f>SUM(H1375-1869)</f>
        <v>13264</v>
      </c>
      <c r="I1378" s="68">
        <f>SUM(I1375-(3921-2000))</f>
        <v>5040</v>
      </c>
      <c r="J1378" s="68">
        <f>SUM(J1375-1257)</f>
        <v>7936</v>
      </c>
      <c r="K1378" s="68">
        <f>SUM(K1375-1454)</f>
        <v>9556</v>
      </c>
      <c r="L1378" s="68">
        <f>SUM(L1375-447)</f>
        <v>3686</v>
      </c>
      <c r="M1378" s="227">
        <f>SUM(M1375-(5691-2614))</f>
        <v>5973</v>
      </c>
      <c r="N1378" s="236"/>
      <c r="R1378" s="12" t="s">
        <v>176</v>
      </c>
    </row>
    <row r="1379" spans="1:35" x14ac:dyDescent="0.25">
      <c r="A1379" s="1061"/>
      <c r="B1379" s="21" t="s">
        <v>77</v>
      </c>
      <c r="C1379" s="60">
        <f>C1378*33.72</f>
        <v>189506.4</v>
      </c>
      <c r="D1379" s="60">
        <f>D1378*33.72</f>
        <v>90403.319999999992</v>
      </c>
      <c r="E1379" s="60">
        <f>E1378*33.72</f>
        <v>91044</v>
      </c>
      <c r="F1379" s="60">
        <f>F1378*33.72</f>
        <v>276470.27999999997</v>
      </c>
      <c r="G1379" s="60">
        <f>G1378*33.72*2</f>
        <v>236512.08</v>
      </c>
      <c r="H1379" s="60">
        <f>H1378*33.72</f>
        <v>447262.07999999996</v>
      </c>
      <c r="I1379" s="60">
        <f>(I1378*33.72)-(2000*33.72)</f>
        <v>102508.79999999999</v>
      </c>
      <c r="J1379" s="60">
        <f>J1378*33.72</f>
        <v>267601.91999999998</v>
      </c>
      <c r="K1379" s="60">
        <f>K1378*33.72</f>
        <v>322228.32</v>
      </c>
      <c r="L1379" s="60">
        <f>L1378*33.72</f>
        <v>124291.92</v>
      </c>
      <c r="M1379" s="228">
        <f>((M1378*33.72)-(2614*33.72))*2</f>
        <v>226530.96</v>
      </c>
      <c r="N1379" s="237"/>
      <c r="R1379" s="63">
        <f>344240-H1379</f>
        <v>-103022.07999999996</v>
      </c>
      <c r="S1379" s="70" t="s">
        <v>177</v>
      </c>
    </row>
    <row r="1380" spans="1:35" ht="15.75" thickBot="1" x14ac:dyDescent="0.3">
      <c r="A1380" s="1062"/>
      <c r="B1380" s="201" t="s">
        <v>10</v>
      </c>
      <c r="C1380" s="58">
        <f t="shared" ref="C1380:M1380" si="483">C1379/C1372</f>
        <v>1.3215948984672805</v>
      </c>
      <c r="D1380" s="58">
        <f t="shared" si="483"/>
        <v>0.60062345614214585</v>
      </c>
      <c r="E1380" s="58">
        <f t="shared" si="483"/>
        <v>0.60488001924050505</v>
      </c>
      <c r="F1380" s="58">
        <f t="shared" si="483"/>
        <v>1.5190858351035013</v>
      </c>
      <c r="G1380" s="58">
        <f t="shared" si="483"/>
        <v>1.4294862876052039</v>
      </c>
      <c r="H1380" s="58">
        <f t="shared" si="483"/>
        <v>3.3849641267823083</v>
      </c>
      <c r="I1380" s="58">
        <f t="shared" si="483"/>
        <v>0.84486342409821646</v>
      </c>
      <c r="J1380" s="58">
        <f t="shared" si="483"/>
        <v>1.3863445010283535</v>
      </c>
      <c r="K1380" s="58">
        <f t="shared" si="483"/>
        <v>2.4386812601318981</v>
      </c>
      <c r="L1380" s="58">
        <f t="shared" si="483"/>
        <v>1.502447468338364</v>
      </c>
      <c r="M1380" s="225">
        <f t="shared" si="483"/>
        <v>1.2835873431220168</v>
      </c>
      <c r="N1380" s="233"/>
      <c r="R1380" s="126"/>
    </row>
    <row r="1381" spans="1:35" ht="15.75" thickBot="1" x14ac:dyDescent="0.3">
      <c r="A1381" s="1048">
        <v>41285</v>
      </c>
      <c r="B1381" s="1048"/>
      <c r="C1381" s="1048"/>
      <c r="N1381" s="13"/>
    </row>
    <row r="1382" spans="1:35" x14ac:dyDescent="0.25">
      <c r="A1382" s="1049" t="s">
        <v>1</v>
      </c>
      <c r="B1382" s="1071"/>
      <c r="C1382" s="56" t="s">
        <v>12</v>
      </c>
      <c r="D1382" s="56" t="s">
        <v>12</v>
      </c>
      <c r="E1382" s="56" t="s">
        <v>13</v>
      </c>
      <c r="F1382" s="56" t="s">
        <v>13</v>
      </c>
      <c r="G1382" s="56" t="s">
        <v>13</v>
      </c>
      <c r="H1382" s="56" t="s">
        <v>13</v>
      </c>
      <c r="I1382" s="56" t="s">
        <v>13</v>
      </c>
      <c r="J1382" s="56" t="s">
        <v>2</v>
      </c>
      <c r="K1382" s="56" t="s">
        <v>2</v>
      </c>
      <c r="L1382" s="56" t="s">
        <v>2</v>
      </c>
      <c r="M1382" s="221" t="s">
        <v>2</v>
      </c>
      <c r="N1382" s="229"/>
    </row>
    <row r="1383" spans="1:35" ht="15.75" thickBot="1" x14ac:dyDescent="0.3">
      <c r="A1383" s="1054" t="s">
        <v>0</v>
      </c>
      <c r="B1383" s="1078"/>
      <c r="C1383" s="69" t="s">
        <v>99</v>
      </c>
      <c r="D1383" s="69" t="s">
        <v>100</v>
      </c>
      <c r="E1383" s="69" t="s">
        <v>101</v>
      </c>
      <c r="F1383" s="69" t="s">
        <v>102</v>
      </c>
      <c r="G1383" s="69" t="s">
        <v>97</v>
      </c>
      <c r="H1383" s="69" t="s">
        <v>104</v>
      </c>
      <c r="I1383" s="69" t="s">
        <v>103</v>
      </c>
      <c r="J1383" s="69" t="s">
        <v>105</v>
      </c>
      <c r="K1383" s="69" t="s">
        <v>107</v>
      </c>
      <c r="L1383" s="69" t="s">
        <v>98</v>
      </c>
      <c r="M1383" s="222" t="s">
        <v>106</v>
      </c>
      <c r="N1383" s="230"/>
      <c r="S1383" s="12"/>
      <c r="T1383" s="12"/>
      <c r="U1383" s="12"/>
      <c r="V1383" s="12"/>
      <c r="W1383" s="12"/>
      <c r="X1383" s="12"/>
      <c r="Y1383" s="12"/>
      <c r="Z1383" s="12"/>
      <c r="AA1383" s="126"/>
      <c r="AB1383" s="125"/>
      <c r="AC1383" s="126"/>
      <c r="AD1383" s="535"/>
      <c r="AE1383" s="535"/>
      <c r="AF1383" s="535"/>
      <c r="AG1383" s="535"/>
      <c r="AH1383" s="535"/>
      <c r="AI1383" s="535"/>
    </row>
    <row r="1384" spans="1:35" ht="15" customHeight="1" x14ac:dyDescent="0.25">
      <c r="A1384" s="1057" t="s">
        <v>9</v>
      </c>
      <c r="B1384" s="2" t="s">
        <v>4</v>
      </c>
      <c r="C1384" s="66">
        <v>143392.20000000001</v>
      </c>
      <c r="D1384" s="66">
        <v>150515.79999999999</v>
      </c>
      <c r="E1384" s="66">
        <v>150515.79999999999</v>
      </c>
      <c r="F1384" s="66">
        <v>181997.8</v>
      </c>
      <c r="G1384" s="66">
        <v>165452.5</v>
      </c>
      <c r="H1384" s="66">
        <v>132132</v>
      </c>
      <c r="I1384" s="66">
        <v>121331.8</v>
      </c>
      <c r="J1384" s="66">
        <v>193027</v>
      </c>
      <c r="K1384" s="66">
        <v>132132.20000000001</v>
      </c>
      <c r="L1384" s="66">
        <v>82726.3</v>
      </c>
      <c r="M1384" s="223">
        <v>176482.7</v>
      </c>
      <c r="N1384" s="231"/>
      <c r="R1384" s="70"/>
      <c r="AA1384" s="70"/>
      <c r="AB1384" s="70"/>
      <c r="AC1384" s="70"/>
      <c r="AD1384" s="534"/>
      <c r="AE1384" s="534"/>
      <c r="AF1384" s="534"/>
      <c r="AG1384" s="534"/>
      <c r="AH1384" s="534"/>
      <c r="AI1384" s="534"/>
    </row>
    <row r="1385" spans="1:35" x14ac:dyDescent="0.25">
      <c r="A1385" s="1058"/>
      <c r="B1385" s="52" t="s">
        <v>5</v>
      </c>
      <c r="C1385" s="67">
        <v>42708.2</v>
      </c>
      <c r="D1385" s="67">
        <v>76131</v>
      </c>
      <c r="E1385" s="67">
        <v>77545.3</v>
      </c>
      <c r="F1385" s="67">
        <v>161905.60000000001</v>
      </c>
      <c r="G1385" s="67">
        <v>75246.5</v>
      </c>
      <c r="H1385" s="67">
        <v>31770</v>
      </c>
      <c r="I1385" s="67">
        <v>53602.5</v>
      </c>
      <c r="J1385" s="67">
        <v>150783.4</v>
      </c>
      <c r="K1385" s="67">
        <v>41128.400000000001</v>
      </c>
      <c r="L1385" s="67">
        <v>38821.300000000003</v>
      </c>
      <c r="M1385" s="224">
        <v>107821.9</v>
      </c>
      <c r="N1385" s="232"/>
      <c r="R1385" s="70"/>
      <c r="AA1385" s="70"/>
      <c r="AB1385" s="70"/>
      <c r="AC1385" s="70"/>
      <c r="AD1385" s="534"/>
      <c r="AE1385" s="534"/>
      <c r="AF1385" s="534"/>
      <c r="AG1385" s="534"/>
      <c r="AH1385" s="534"/>
      <c r="AI1385" s="534"/>
    </row>
    <row r="1386" spans="1:35" ht="15.75" thickBot="1" x14ac:dyDescent="0.3">
      <c r="A1386" s="1059"/>
      <c r="B1386" s="3" t="s">
        <v>3</v>
      </c>
      <c r="C1386" s="57">
        <f t="shared" ref="C1386:M1386" si="484">C1385/C1384</f>
        <v>0.29784186308599764</v>
      </c>
      <c r="D1386" s="58">
        <f t="shared" si="484"/>
        <v>0.50580071992441988</v>
      </c>
      <c r="E1386" s="58">
        <f t="shared" si="484"/>
        <v>0.51519707565584483</v>
      </c>
      <c r="F1386" s="58">
        <f t="shared" si="484"/>
        <v>0.88960196222152144</v>
      </c>
      <c r="G1386" s="58">
        <f t="shared" si="484"/>
        <v>0.45479216089209895</v>
      </c>
      <c r="H1386" s="58">
        <f t="shared" si="484"/>
        <v>0.24044137680501318</v>
      </c>
      <c r="I1386" s="58">
        <f t="shared" si="484"/>
        <v>0.44178442914388477</v>
      </c>
      <c r="J1386" s="58">
        <f t="shared" si="484"/>
        <v>0.78115185958441047</v>
      </c>
      <c r="K1386" s="58">
        <f t="shared" si="484"/>
        <v>0.31126704921283382</v>
      </c>
      <c r="L1386" s="58">
        <f t="shared" si="484"/>
        <v>0.46927397937536192</v>
      </c>
      <c r="M1386" s="225">
        <f t="shared" si="484"/>
        <v>0.61094883521160992</v>
      </c>
      <c r="N1386" s="233"/>
      <c r="R1386" s="70"/>
      <c r="AA1386" s="70"/>
      <c r="AB1386" s="70"/>
      <c r="AC1386" s="70"/>
      <c r="AD1386" s="534"/>
      <c r="AE1386" s="534"/>
      <c r="AF1386" s="534"/>
      <c r="AG1386" s="534"/>
      <c r="AH1386" s="534"/>
      <c r="AI1386" s="534"/>
    </row>
    <row r="1387" spans="1:35" ht="15" customHeight="1" x14ac:dyDescent="0.25">
      <c r="A1387" s="1060" t="s">
        <v>6</v>
      </c>
      <c r="B1387" s="19" t="s">
        <v>7</v>
      </c>
      <c r="C1387" s="56">
        <v>5806</v>
      </c>
      <c r="D1387" s="56">
        <v>3333</v>
      </c>
      <c r="E1387" s="56">
        <v>3330</v>
      </c>
      <c r="F1387" s="56">
        <v>9457</v>
      </c>
      <c r="G1387" s="56">
        <v>7653</v>
      </c>
      <c r="H1387" s="56">
        <v>15133</v>
      </c>
      <c r="I1387" s="56">
        <v>6961</v>
      </c>
      <c r="J1387" s="56">
        <v>9193</v>
      </c>
      <c r="K1387" s="56">
        <v>11010</v>
      </c>
      <c r="L1387" s="56">
        <v>4133</v>
      </c>
      <c r="M1387" s="221">
        <v>9050</v>
      </c>
      <c r="N1387" s="234"/>
      <c r="R1387" s="70"/>
      <c r="AA1387" s="70"/>
      <c r="AB1387" s="70"/>
      <c r="AC1387" s="70"/>
      <c r="AD1387" s="534"/>
      <c r="AE1387" s="534"/>
      <c r="AF1387" s="534"/>
      <c r="AG1387" s="534"/>
      <c r="AH1387" s="534"/>
      <c r="AI1387" s="534"/>
    </row>
    <row r="1388" spans="1:35" x14ac:dyDescent="0.25">
      <c r="A1388" s="1061"/>
      <c r="B1388" s="20" t="s">
        <v>11</v>
      </c>
      <c r="C1388" s="59">
        <f t="shared" ref="C1388:M1388" si="485">C1387*33.72</f>
        <v>195778.32</v>
      </c>
      <c r="D1388" s="59">
        <f t="shared" si="485"/>
        <v>112388.76</v>
      </c>
      <c r="E1388" s="59">
        <f t="shared" si="485"/>
        <v>112287.59999999999</v>
      </c>
      <c r="F1388" s="59">
        <f t="shared" si="485"/>
        <v>318890.03999999998</v>
      </c>
      <c r="G1388" s="59">
        <f t="shared" si="485"/>
        <v>258059.16</v>
      </c>
      <c r="H1388" s="59">
        <f t="shared" si="485"/>
        <v>510284.76</v>
      </c>
      <c r="I1388" s="59">
        <f t="shared" si="485"/>
        <v>234724.91999999998</v>
      </c>
      <c r="J1388" s="59">
        <f t="shared" si="485"/>
        <v>309987.95999999996</v>
      </c>
      <c r="K1388" s="59">
        <f t="shared" si="485"/>
        <v>371257.2</v>
      </c>
      <c r="L1388" s="59">
        <f t="shared" si="485"/>
        <v>139364.76</v>
      </c>
      <c r="M1388" s="226">
        <f t="shared" si="485"/>
        <v>305166</v>
      </c>
      <c r="N1388" s="235"/>
      <c r="R1388" s="70"/>
      <c r="AA1388" s="70"/>
      <c r="AB1388" s="70"/>
      <c r="AC1388" s="70"/>
      <c r="AD1388" s="534"/>
      <c r="AE1388" s="534"/>
      <c r="AF1388" s="534"/>
      <c r="AG1388" s="534"/>
      <c r="AH1388" s="534"/>
      <c r="AI1388" s="534"/>
    </row>
    <row r="1389" spans="1:35" x14ac:dyDescent="0.25">
      <c r="A1389" s="1061"/>
      <c r="B1389" s="20" t="s">
        <v>79</v>
      </c>
      <c r="C1389" s="59">
        <v>164000</v>
      </c>
      <c r="D1389" s="59">
        <v>109880</v>
      </c>
      <c r="E1389" s="59">
        <v>109880</v>
      </c>
      <c r="F1389" s="59">
        <v>328000</v>
      </c>
      <c r="G1389" s="59">
        <f>G1384*2</f>
        <v>330905</v>
      </c>
      <c r="H1389" s="59">
        <f>H1384*2</f>
        <v>264264</v>
      </c>
      <c r="I1389" s="59">
        <f>I1384*2</f>
        <v>242663.6</v>
      </c>
      <c r="J1389" s="59">
        <v>328000</v>
      </c>
      <c r="K1389" s="59">
        <f>K1384*2</f>
        <v>264264.40000000002</v>
      </c>
      <c r="L1389" s="59">
        <v>328000</v>
      </c>
      <c r="M1389" s="226">
        <f>2*M1384</f>
        <v>352965.4</v>
      </c>
      <c r="N1389" s="235"/>
      <c r="R1389" s="70"/>
      <c r="AA1389" s="70"/>
      <c r="AB1389" s="70"/>
      <c r="AC1389" s="70"/>
      <c r="AD1389" s="534"/>
      <c r="AE1389" s="534"/>
      <c r="AF1389" s="534"/>
      <c r="AG1389" s="534"/>
      <c r="AH1389" s="534"/>
      <c r="AI1389" s="534"/>
    </row>
    <row r="1390" spans="1:35" x14ac:dyDescent="0.25">
      <c r="A1390" s="1061"/>
      <c r="B1390" s="54" t="s">
        <v>8</v>
      </c>
      <c r="C1390" s="68">
        <f>SUM(C1387-304)</f>
        <v>5502</v>
      </c>
      <c r="D1390" s="68">
        <f>SUM(D1387-631)</f>
        <v>2702</v>
      </c>
      <c r="E1390" s="68">
        <f>SUM(E1387-613)</f>
        <v>2717</v>
      </c>
      <c r="F1390" s="68">
        <f>SUM(F1387-1246)</f>
        <v>8211</v>
      </c>
      <c r="G1390" s="68">
        <f>SUM(G1387-4146)</f>
        <v>3507</v>
      </c>
      <c r="H1390" s="68">
        <f>SUM(H1387-1868)</f>
        <v>13265</v>
      </c>
      <c r="I1390" s="68">
        <f>SUM(I1387-(3921-2000))</f>
        <v>5040</v>
      </c>
      <c r="J1390" s="68">
        <f>SUM(J1387-1251)</f>
        <v>7942</v>
      </c>
      <c r="K1390" s="68">
        <f>SUM(K1387-1453)</f>
        <v>9557</v>
      </c>
      <c r="L1390" s="68">
        <f>SUM(L1387-447)</f>
        <v>3686</v>
      </c>
      <c r="M1390" s="227">
        <f>SUM(M1387-(5691-2614))</f>
        <v>5973</v>
      </c>
      <c r="N1390" s="236"/>
      <c r="R1390" s="12" t="s">
        <v>176</v>
      </c>
    </row>
    <row r="1391" spans="1:35" x14ac:dyDescent="0.25">
      <c r="A1391" s="1061"/>
      <c r="B1391" s="21" t="s">
        <v>77</v>
      </c>
      <c r="C1391" s="60">
        <f>C1390*33.72</f>
        <v>185527.44</v>
      </c>
      <c r="D1391" s="60">
        <f>D1390*33.72</f>
        <v>91111.44</v>
      </c>
      <c r="E1391" s="60">
        <f>E1390*33.72</f>
        <v>91617.239999999991</v>
      </c>
      <c r="F1391" s="60">
        <f>F1390*33.72</f>
        <v>276874.92</v>
      </c>
      <c r="G1391" s="60">
        <f>G1390*33.72*2</f>
        <v>236512.08</v>
      </c>
      <c r="H1391" s="60">
        <f>H1390*33.72</f>
        <v>447295.8</v>
      </c>
      <c r="I1391" s="60">
        <f>(I1390*33.72)-(2000*33.72)</f>
        <v>102508.79999999999</v>
      </c>
      <c r="J1391" s="60">
        <f>J1390*33.72</f>
        <v>267804.24</v>
      </c>
      <c r="K1391" s="60">
        <f>K1390*33.72</f>
        <v>322262.03999999998</v>
      </c>
      <c r="L1391" s="60">
        <f>L1390*33.72</f>
        <v>124291.92</v>
      </c>
      <c r="M1391" s="228">
        <f>((M1390*33.72)-(2614*33.72))*2</f>
        <v>226530.96</v>
      </c>
      <c r="N1391" s="237"/>
      <c r="R1391" s="63">
        <f>344240-H1391</f>
        <v>-103055.79999999999</v>
      </c>
      <c r="S1391" s="70" t="s">
        <v>177</v>
      </c>
    </row>
    <row r="1392" spans="1:35" ht="15.75" thickBot="1" x14ac:dyDescent="0.3">
      <c r="A1392" s="1062"/>
      <c r="B1392" s="201" t="s">
        <v>10</v>
      </c>
      <c r="C1392" s="58">
        <f t="shared" ref="C1392:M1392" si="486">C1391/C1384</f>
        <v>1.2938461087841597</v>
      </c>
      <c r="D1392" s="58">
        <f t="shared" si="486"/>
        <v>0.60532807851401649</v>
      </c>
      <c r="E1392" s="58">
        <f t="shared" si="486"/>
        <v>0.60868852306535259</v>
      </c>
      <c r="F1392" s="58">
        <f t="shared" si="486"/>
        <v>1.5213091586821379</v>
      </c>
      <c r="G1392" s="58">
        <f t="shared" si="486"/>
        <v>1.4294862876052039</v>
      </c>
      <c r="H1392" s="58">
        <f t="shared" si="486"/>
        <v>3.3852193261284169</v>
      </c>
      <c r="I1392" s="58">
        <f t="shared" si="486"/>
        <v>0.84486342409821646</v>
      </c>
      <c r="J1392" s="58">
        <f t="shared" si="486"/>
        <v>1.3873926445523164</v>
      </c>
      <c r="K1392" s="58">
        <f t="shared" si="486"/>
        <v>2.4389364590917273</v>
      </c>
      <c r="L1392" s="58">
        <f t="shared" si="486"/>
        <v>1.502447468338364</v>
      </c>
      <c r="M1392" s="225">
        <f t="shared" si="486"/>
        <v>1.2835873431220168</v>
      </c>
      <c r="N1392" s="233"/>
      <c r="R1392" s="126"/>
    </row>
    <row r="1393" spans="1:35" ht="15.75" thickBot="1" x14ac:dyDescent="0.3">
      <c r="A1393" s="1048">
        <v>41283</v>
      </c>
      <c r="B1393" s="1048"/>
      <c r="C1393" s="1048"/>
      <c r="N1393" s="13"/>
    </row>
    <row r="1394" spans="1:35" x14ac:dyDescent="0.25">
      <c r="A1394" s="1049" t="s">
        <v>1</v>
      </c>
      <c r="B1394" s="1071"/>
      <c r="C1394" s="56" t="s">
        <v>12</v>
      </c>
      <c r="D1394" s="56" t="s">
        <v>12</v>
      </c>
      <c r="E1394" s="56" t="s">
        <v>13</v>
      </c>
      <c r="F1394" s="56" t="s">
        <v>13</v>
      </c>
      <c r="G1394" s="56" t="s">
        <v>13</v>
      </c>
      <c r="H1394" s="56" t="s">
        <v>13</v>
      </c>
      <c r="I1394" s="56" t="s">
        <v>13</v>
      </c>
      <c r="J1394" s="56" t="s">
        <v>2</v>
      </c>
      <c r="K1394" s="56" t="s">
        <v>2</v>
      </c>
      <c r="L1394" s="56" t="s">
        <v>2</v>
      </c>
      <c r="M1394" s="221" t="s">
        <v>2</v>
      </c>
      <c r="N1394" s="229"/>
    </row>
    <row r="1395" spans="1:35" ht="15.75" thickBot="1" x14ac:dyDescent="0.3">
      <c r="A1395" s="1054" t="s">
        <v>0</v>
      </c>
      <c r="B1395" s="1078"/>
      <c r="C1395" s="69" t="s">
        <v>99</v>
      </c>
      <c r="D1395" s="69" t="s">
        <v>100</v>
      </c>
      <c r="E1395" s="69" t="s">
        <v>101</v>
      </c>
      <c r="F1395" s="69" t="s">
        <v>102</v>
      </c>
      <c r="G1395" s="69" t="s">
        <v>97</v>
      </c>
      <c r="H1395" s="69" t="s">
        <v>104</v>
      </c>
      <c r="I1395" s="69" t="s">
        <v>103</v>
      </c>
      <c r="J1395" s="69" t="s">
        <v>105</v>
      </c>
      <c r="K1395" s="69" t="s">
        <v>107</v>
      </c>
      <c r="L1395" s="69" t="s">
        <v>98</v>
      </c>
      <c r="M1395" s="222" t="s">
        <v>106</v>
      </c>
      <c r="N1395" s="230"/>
      <c r="S1395" s="12"/>
      <c r="T1395" s="12"/>
      <c r="U1395" s="12"/>
      <c r="V1395" s="12"/>
      <c r="W1395" s="12"/>
      <c r="X1395" s="12"/>
      <c r="Y1395" s="12"/>
      <c r="Z1395" s="12"/>
      <c r="AA1395" s="126"/>
      <c r="AB1395" s="125"/>
      <c r="AC1395" s="126"/>
      <c r="AD1395" s="535"/>
      <c r="AE1395" s="535"/>
      <c r="AF1395" s="535"/>
      <c r="AG1395" s="535"/>
      <c r="AH1395" s="535"/>
      <c r="AI1395" s="535"/>
    </row>
    <row r="1396" spans="1:35" ht="15" customHeight="1" x14ac:dyDescent="0.25">
      <c r="A1396" s="1057" t="s">
        <v>9</v>
      </c>
      <c r="B1396" s="2" t="s">
        <v>4</v>
      </c>
      <c r="C1396" s="66">
        <v>143392.20000000001</v>
      </c>
      <c r="D1396" s="66">
        <v>150515.79999999999</v>
      </c>
      <c r="E1396" s="66">
        <v>150515.79999999999</v>
      </c>
      <c r="F1396" s="66">
        <v>181997.8</v>
      </c>
      <c r="G1396" s="66">
        <v>165452.5</v>
      </c>
      <c r="H1396" s="66">
        <v>132132</v>
      </c>
      <c r="I1396" s="66">
        <v>121331.8</v>
      </c>
      <c r="J1396" s="66">
        <v>193027</v>
      </c>
      <c r="K1396" s="66">
        <v>132132.20000000001</v>
      </c>
      <c r="L1396" s="66">
        <v>82726.3</v>
      </c>
      <c r="M1396" s="223">
        <v>176482.7</v>
      </c>
      <c r="N1396" s="231"/>
      <c r="R1396" s="70"/>
      <c r="AA1396" s="70"/>
      <c r="AB1396" s="70"/>
      <c r="AC1396" s="70"/>
      <c r="AD1396" s="534"/>
      <c r="AE1396" s="534"/>
      <c r="AF1396" s="534"/>
      <c r="AG1396" s="534"/>
      <c r="AH1396" s="534"/>
      <c r="AI1396" s="534"/>
    </row>
    <row r="1397" spans="1:35" x14ac:dyDescent="0.25">
      <c r="A1397" s="1058"/>
      <c r="B1397" s="52" t="s">
        <v>5</v>
      </c>
      <c r="C1397" s="67">
        <v>42013.599999999999</v>
      </c>
      <c r="D1397" s="67">
        <v>76117.100000000006</v>
      </c>
      <c r="E1397" s="67">
        <v>77531.399999999994</v>
      </c>
      <c r="F1397" s="67">
        <v>161828.70000000001</v>
      </c>
      <c r="G1397" s="67">
        <v>74716.899999999994</v>
      </c>
      <c r="H1397" s="67">
        <v>31028.6</v>
      </c>
      <c r="I1397" s="67">
        <v>53433.1</v>
      </c>
      <c r="J1397" s="67">
        <v>150668.9</v>
      </c>
      <c r="K1397" s="67">
        <v>41954.9</v>
      </c>
      <c r="L1397" s="67">
        <v>38550.199999999997</v>
      </c>
      <c r="M1397" s="224">
        <v>107501</v>
      </c>
      <c r="N1397" s="232"/>
      <c r="R1397" s="70"/>
      <c r="AA1397" s="70"/>
      <c r="AB1397" s="70"/>
      <c r="AC1397" s="70"/>
      <c r="AD1397" s="534"/>
      <c r="AE1397" s="534"/>
      <c r="AF1397" s="534"/>
      <c r="AG1397" s="534"/>
      <c r="AH1397" s="534"/>
      <c r="AI1397" s="534"/>
    </row>
    <row r="1398" spans="1:35" ht="15.75" thickBot="1" x14ac:dyDescent="0.3">
      <c r="A1398" s="1059"/>
      <c r="B1398" s="3" t="s">
        <v>3</v>
      </c>
      <c r="C1398" s="57">
        <f t="shared" ref="C1398:M1398" si="487">C1397/C1396</f>
        <v>0.2929978060173426</v>
      </c>
      <c r="D1398" s="58">
        <f t="shared" si="487"/>
        <v>0.50570837081555564</v>
      </c>
      <c r="E1398" s="58">
        <f t="shared" si="487"/>
        <v>0.51510472654698047</v>
      </c>
      <c r="F1398" s="58">
        <f t="shared" si="487"/>
        <v>0.88917942964145735</v>
      </c>
      <c r="G1398" s="58">
        <f t="shared" si="487"/>
        <v>0.45159124219942276</v>
      </c>
      <c r="H1398" s="58">
        <f t="shared" si="487"/>
        <v>0.23483032119395755</v>
      </c>
      <c r="I1398" s="58">
        <f t="shared" si="487"/>
        <v>0.44038825765380551</v>
      </c>
      <c r="J1398" s="58">
        <f t="shared" si="487"/>
        <v>0.78055867831961334</v>
      </c>
      <c r="K1398" s="58">
        <f t="shared" si="487"/>
        <v>0.31752214827271474</v>
      </c>
      <c r="L1398" s="58">
        <f t="shared" si="487"/>
        <v>0.46599690787572989</v>
      </c>
      <c r="M1398" s="225">
        <f t="shared" si="487"/>
        <v>0.60913052667485246</v>
      </c>
      <c r="N1398" s="233"/>
      <c r="R1398" s="70"/>
      <c r="AA1398" s="70"/>
      <c r="AB1398" s="70"/>
      <c r="AC1398" s="70"/>
      <c r="AD1398" s="534"/>
      <c r="AE1398" s="534"/>
      <c r="AF1398" s="534"/>
      <c r="AG1398" s="534"/>
      <c r="AH1398" s="534"/>
      <c r="AI1398" s="534"/>
    </row>
    <row r="1399" spans="1:35" ht="15" customHeight="1" x14ac:dyDescent="0.25">
      <c r="A1399" s="1060" t="s">
        <v>6</v>
      </c>
      <c r="B1399" s="19" t="s">
        <v>7</v>
      </c>
      <c r="C1399" s="56">
        <v>5806</v>
      </c>
      <c r="D1399" s="56">
        <v>3333</v>
      </c>
      <c r="E1399" s="56">
        <v>3330</v>
      </c>
      <c r="F1399" s="56">
        <v>9457</v>
      </c>
      <c r="G1399" s="56">
        <v>7653</v>
      </c>
      <c r="H1399" s="56">
        <v>14803</v>
      </c>
      <c r="I1399" s="56">
        <v>6961</v>
      </c>
      <c r="J1399" s="56">
        <v>9193</v>
      </c>
      <c r="K1399" s="56">
        <v>11010</v>
      </c>
      <c r="L1399" s="56">
        <v>4133</v>
      </c>
      <c r="M1399" s="221">
        <v>9050</v>
      </c>
      <c r="N1399" s="234"/>
      <c r="R1399" s="70"/>
      <c r="AA1399" s="70"/>
      <c r="AB1399" s="70"/>
      <c r="AC1399" s="70"/>
      <c r="AD1399" s="534"/>
      <c r="AE1399" s="534"/>
      <c r="AF1399" s="534"/>
      <c r="AG1399" s="534"/>
      <c r="AH1399" s="534"/>
      <c r="AI1399" s="534"/>
    </row>
    <row r="1400" spans="1:35" x14ac:dyDescent="0.25">
      <c r="A1400" s="1061"/>
      <c r="B1400" s="20" t="s">
        <v>11</v>
      </c>
      <c r="C1400" s="59">
        <f t="shared" ref="C1400:M1400" si="488">C1399*33.72</f>
        <v>195778.32</v>
      </c>
      <c r="D1400" s="59">
        <f t="shared" si="488"/>
        <v>112388.76</v>
      </c>
      <c r="E1400" s="59">
        <f t="shared" si="488"/>
        <v>112287.59999999999</v>
      </c>
      <c r="F1400" s="59">
        <f t="shared" si="488"/>
        <v>318890.03999999998</v>
      </c>
      <c r="G1400" s="59">
        <f t="shared" si="488"/>
        <v>258059.16</v>
      </c>
      <c r="H1400" s="59">
        <f t="shared" si="488"/>
        <v>499157.16</v>
      </c>
      <c r="I1400" s="59">
        <f t="shared" si="488"/>
        <v>234724.91999999998</v>
      </c>
      <c r="J1400" s="59">
        <f t="shared" si="488"/>
        <v>309987.95999999996</v>
      </c>
      <c r="K1400" s="59">
        <f t="shared" si="488"/>
        <v>371257.2</v>
      </c>
      <c r="L1400" s="59">
        <f t="shared" si="488"/>
        <v>139364.76</v>
      </c>
      <c r="M1400" s="226">
        <f t="shared" si="488"/>
        <v>305166</v>
      </c>
      <c r="N1400" s="235"/>
      <c r="R1400" s="70"/>
      <c r="AA1400" s="70"/>
      <c r="AB1400" s="70"/>
      <c r="AC1400" s="70"/>
      <c r="AD1400" s="534"/>
      <c r="AE1400" s="534"/>
      <c r="AF1400" s="534"/>
      <c r="AG1400" s="534"/>
      <c r="AH1400" s="534"/>
      <c r="AI1400" s="534"/>
    </row>
    <row r="1401" spans="1:35" x14ac:dyDescent="0.25">
      <c r="A1401" s="1061"/>
      <c r="B1401" s="20" t="s">
        <v>79</v>
      </c>
      <c r="C1401" s="59">
        <v>164000</v>
      </c>
      <c r="D1401" s="59">
        <v>109880</v>
      </c>
      <c r="E1401" s="59">
        <v>109880</v>
      </c>
      <c r="F1401" s="59">
        <v>328000</v>
      </c>
      <c r="G1401" s="59">
        <f>G1396*2</f>
        <v>330905</v>
      </c>
      <c r="H1401" s="59">
        <f>H1396*2</f>
        <v>264264</v>
      </c>
      <c r="I1401" s="59">
        <f>I1396*2</f>
        <v>242663.6</v>
      </c>
      <c r="J1401" s="59">
        <v>328000</v>
      </c>
      <c r="K1401" s="59">
        <f>K1396*2</f>
        <v>264264.40000000002</v>
      </c>
      <c r="L1401" s="59">
        <v>328000</v>
      </c>
      <c r="M1401" s="226">
        <f>2*M1396</f>
        <v>352965.4</v>
      </c>
      <c r="N1401" s="235"/>
      <c r="R1401" s="70"/>
      <c r="AA1401" s="70"/>
      <c r="AB1401" s="70"/>
      <c r="AC1401" s="70"/>
      <c r="AD1401" s="534"/>
      <c r="AE1401" s="534"/>
      <c r="AF1401" s="534"/>
      <c r="AG1401" s="534"/>
      <c r="AH1401" s="534"/>
      <c r="AI1401" s="534"/>
    </row>
    <row r="1402" spans="1:35" x14ac:dyDescent="0.25">
      <c r="A1402" s="1061"/>
      <c r="B1402" s="54" t="s">
        <v>8</v>
      </c>
      <c r="C1402" s="68">
        <f>SUM(C1399-304)</f>
        <v>5502</v>
      </c>
      <c r="D1402" s="68">
        <f>SUM(D1399-631)</f>
        <v>2702</v>
      </c>
      <c r="E1402" s="68">
        <f>SUM(E1399-613)</f>
        <v>2717</v>
      </c>
      <c r="F1402" s="68">
        <f>SUM(F1399-1246)</f>
        <v>8211</v>
      </c>
      <c r="G1402" s="68">
        <f>SUM(G1399-4146)</f>
        <v>3507</v>
      </c>
      <c r="H1402" s="68">
        <f>SUM(H1399-1895)</f>
        <v>12908</v>
      </c>
      <c r="I1402" s="68">
        <f>SUM(I1399-(3921-2000))</f>
        <v>5040</v>
      </c>
      <c r="J1402" s="68">
        <f>SUM(J1399-1251)</f>
        <v>7942</v>
      </c>
      <c r="K1402" s="68">
        <f>SUM(K1399-1453)</f>
        <v>9557</v>
      </c>
      <c r="L1402" s="68">
        <f>SUM(L1399-447)</f>
        <v>3686</v>
      </c>
      <c r="M1402" s="227">
        <f>SUM(M1399-(5691-2614))</f>
        <v>5973</v>
      </c>
      <c r="N1402" s="236"/>
      <c r="R1402" s="12" t="s">
        <v>176</v>
      </c>
    </row>
    <row r="1403" spans="1:35" x14ac:dyDescent="0.25">
      <c r="A1403" s="1061"/>
      <c r="B1403" s="21" t="s">
        <v>77</v>
      </c>
      <c r="C1403" s="60">
        <f>C1402*33.72</f>
        <v>185527.44</v>
      </c>
      <c r="D1403" s="60">
        <f>D1402*33.72</f>
        <v>91111.44</v>
      </c>
      <c r="E1403" s="60">
        <f>E1402*33.72</f>
        <v>91617.239999999991</v>
      </c>
      <c r="F1403" s="60">
        <f>F1402*33.72</f>
        <v>276874.92</v>
      </c>
      <c r="G1403" s="60">
        <f>G1402*33.72*2</f>
        <v>236512.08</v>
      </c>
      <c r="H1403" s="60">
        <f>H1402*33.72</f>
        <v>435257.76</v>
      </c>
      <c r="I1403" s="60">
        <f>(I1402*33.72)-(2000*33.72)</f>
        <v>102508.79999999999</v>
      </c>
      <c r="J1403" s="60">
        <f>J1402*33.72</f>
        <v>267804.24</v>
      </c>
      <c r="K1403" s="60">
        <f>K1402*33.72</f>
        <v>322262.03999999998</v>
      </c>
      <c r="L1403" s="60">
        <f>L1402*33.72</f>
        <v>124291.92</v>
      </c>
      <c r="M1403" s="228">
        <f>((M1402*33.72)-(2614*33.72))*2</f>
        <v>226530.96</v>
      </c>
      <c r="N1403" s="237"/>
      <c r="R1403" s="63">
        <f>344240-H1403</f>
        <v>-91017.760000000009</v>
      </c>
      <c r="S1403" s="70" t="s">
        <v>177</v>
      </c>
    </row>
    <row r="1404" spans="1:35" ht="15.75" thickBot="1" x14ac:dyDescent="0.3">
      <c r="A1404" s="1062"/>
      <c r="B1404" s="201" t="s">
        <v>10</v>
      </c>
      <c r="C1404" s="58">
        <f t="shared" ref="C1404:M1404" si="489">C1403/C1396</f>
        <v>1.2938461087841597</v>
      </c>
      <c r="D1404" s="58">
        <f t="shared" si="489"/>
        <v>0.60532807851401649</v>
      </c>
      <c r="E1404" s="58">
        <f t="shared" si="489"/>
        <v>0.60868852306535259</v>
      </c>
      <c r="F1404" s="58">
        <f t="shared" si="489"/>
        <v>1.5213091586821379</v>
      </c>
      <c r="G1404" s="58">
        <f t="shared" si="489"/>
        <v>1.4294862876052039</v>
      </c>
      <c r="H1404" s="58">
        <f t="shared" si="489"/>
        <v>3.2941131595677051</v>
      </c>
      <c r="I1404" s="58">
        <f t="shared" si="489"/>
        <v>0.84486342409821646</v>
      </c>
      <c r="J1404" s="58">
        <f t="shared" si="489"/>
        <v>1.3873926445523164</v>
      </c>
      <c r="K1404" s="58">
        <f t="shared" si="489"/>
        <v>2.4389364590917273</v>
      </c>
      <c r="L1404" s="58">
        <f t="shared" si="489"/>
        <v>1.502447468338364</v>
      </c>
      <c r="M1404" s="225">
        <f t="shared" si="489"/>
        <v>1.2835873431220168</v>
      </c>
      <c r="N1404" s="233"/>
      <c r="R1404" s="126"/>
    </row>
    <row r="1405" spans="1:35" ht="15.75" thickBot="1" x14ac:dyDescent="0.3">
      <c r="A1405" s="1048">
        <v>41281</v>
      </c>
      <c r="B1405" s="1048"/>
      <c r="C1405" s="1048"/>
      <c r="N1405" s="13"/>
    </row>
    <row r="1406" spans="1:35" x14ac:dyDescent="0.25">
      <c r="A1406" s="1049" t="s">
        <v>1</v>
      </c>
      <c r="B1406" s="1071"/>
      <c r="C1406" s="56" t="s">
        <v>12</v>
      </c>
      <c r="D1406" s="56" t="s">
        <v>12</v>
      </c>
      <c r="E1406" s="56" t="s">
        <v>13</v>
      </c>
      <c r="F1406" s="56" t="s">
        <v>13</v>
      </c>
      <c r="G1406" s="56" t="s">
        <v>13</v>
      </c>
      <c r="H1406" s="56" t="s">
        <v>13</v>
      </c>
      <c r="I1406" s="56" t="s">
        <v>13</v>
      </c>
      <c r="J1406" s="56" t="s">
        <v>2</v>
      </c>
      <c r="K1406" s="56" t="s">
        <v>2</v>
      </c>
      <c r="L1406" s="56" t="s">
        <v>2</v>
      </c>
      <c r="M1406" s="221" t="s">
        <v>2</v>
      </c>
      <c r="N1406" s="229"/>
    </row>
    <row r="1407" spans="1:35" ht="15.75" thickBot="1" x14ac:dyDescent="0.3">
      <c r="A1407" s="1054" t="s">
        <v>0</v>
      </c>
      <c r="B1407" s="1078"/>
      <c r="C1407" s="69" t="s">
        <v>99</v>
      </c>
      <c r="D1407" s="69" t="s">
        <v>100</v>
      </c>
      <c r="E1407" s="69" t="s">
        <v>101</v>
      </c>
      <c r="F1407" s="69" t="s">
        <v>102</v>
      </c>
      <c r="G1407" s="69" t="s">
        <v>97</v>
      </c>
      <c r="H1407" s="69" t="s">
        <v>104</v>
      </c>
      <c r="I1407" s="69" t="s">
        <v>103</v>
      </c>
      <c r="J1407" s="69" t="s">
        <v>105</v>
      </c>
      <c r="K1407" s="69" t="s">
        <v>107</v>
      </c>
      <c r="L1407" s="69" t="s">
        <v>98</v>
      </c>
      <c r="M1407" s="222" t="s">
        <v>106</v>
      </c>
      <c r="N1407" s="230"/>
      <c r="S1407" s="12"/>
      <c r="T1407" s="12"/>
      <c r="U1407" s="12"/>
      <c r="V1407" s="12"/>
      <c r="W1407" s="12"/>
      <c r="X1407" s="12"/>
      <c r="Y1407" s="12"/>
      <c r="Z1407" s="12"/>
      <c r="AA1407" s="126"/>
      <c r="AB1407" s="125"/>
      <c r="AC1407" s="126"/>
      <c r="AD1407" s="535"/>
      <c r="AE1407" s="535"/>
      <c r="AF1407" s="535"/>
      <c r="AG1407" s="535"/>
      <c r="AH1407" s="535"/>
      <c r="AI1407" s="535"/>
    </row>
    <row r="1408" spans="1:35" ht="15" customHeight="1" x14ac:dyDescent="0.25">
      <c r="A1408" s="1057" t="s">
        <v>9</v>
      </c>
      <c r="B1408" s="2" t="s">
        <v>4</v>
      </c>
      <c r="C1408" s="66">
        <v>143392.20000000001</v>
      </c>
      <c r="D1408" s="66">
        <v>150515.79999999999</v>
      </c>
      <c r="E1408" s="66">
        <v>150515.79999999999</v>
      </c>
      <c r="F1408" s="66">
        <v>181997.8</v>
      </c>
      <c r="G1408" s="66">
        <v>165452.5</v>
      </c>
      <c r="H1408" s="66">
        <v>132132</v>
      </c>
      <c r="I1408" s="66">
        <v>121331.8</v>
      </c>
      <c r="J1408" s="66">
        <v>193027</v>
      </c>
      <c r="K1408" s="66">
        <v>132132.20000000001</v>
      </c>
      <c r="L1408" s="66">
        <v>82726.3</v>
      </c>
      <c r="M1408" s="223">
        <v>176482.7</v>
      </c>
      <c r="N1408" s="231"/>
      <c r="R1408" s="70"/>
      <c r="AA1408" s="70"/>
      <c r="AB1408" s="70"/>
      <c r="AC1408" s="70"/>
      <c r="AD1408" s="534"/>
      <c r="AE1408" s="534"/>
      <c r="AF1408" s="534"/>
      <c r="AG1408" s="534"/>
      <c r="AH1408" s="534"/>
      <c r="AI1408" s="534"/>
    </row>
    <row r="1409" spans="1:35" x14ac:dyDescent="0.25">
      <c r="A1409" s="1058"/>
      <c r="B1409" s="52" t="s">
        <v>5</v>
      </c>
      <c r="C1409" s="67">
        <v>40211.1</v>
      </c>
      <c r="D1409" s="67">
        <v>76091</v>
      </c>
      <c r="E1409" s="67">
        <v>77505.399999999994</v>
      </c>
      <c r="F1409" s="67">
        <v>161750.79999999999</v>
      </c>
      <c r="G1409" s="67">
        <v>74015.100000000006</v>
      </c>
      <c r="H1409" s="67">
        <v>31010</v>
      </c>
      <c r="I1409" s="67">
        <v>53410.3</v>
      </c>
      <c r="J1409" s="67">
        <v>150504.70000000001</v>
      </c>
      <c r="K1409" s="67">
        <v>41631.1</v>
      </c>
      <c r="L1409" s="67">
        <v>38199</v>
      </c>
      <c r="M1409" s="224">
        <v>107454.8</v>
      </c>
      <c r="N1409" s="232"/>
      <c r="R1409" s="70"/>
      <c r="AA1409" s="70"/>
      <c r="AB1409" s="70"/>
      <c r="AC1409" s="70"/>
      <c r="AD1409" s="534"/>
      <c r="AE1409" s="534"/>
      <c r="AF1409" s="534"/>
      <c r="AG1409" s="534"/>
      <c r="AH1409" s="534"/>
      <c r="AI1409" s="534"/>
    </row>
    <row r="1410" spans="1:35" ht="15.75" thickBot="1" x14ac:dyDescent="0.3">
      <c r="A1410" s="1059"/>
      <c r="B1410" s="3" t="s">
        <v>3</v>
      </c>
      <c r="C1410" s="57">
        <f t="shared" ref="C1410:M1410" si="490">C1409/C1408</f>
        <v>0.28042738726374233</v>
      </c>
      <c r="D1410" s="58">
        <f t="shared" si="490"/>
        <v>0.50553496709315571</v>
      </c>
      <c r="E1410" s="58">
        <f t="shared" si="490"/>
        <v>0.51493198720665867</v>
      </c>
      <c r="F1410" s="58">
        <f t="shared" si="490"/>
        <v>0.88875140248948059</v>
      </c>
      <c r="G1410" s="58">
        <f t="shared" si="490"/>
        <v>0.44734954140916583</v>
      </c>
      <c r="H1410" s="58">
        <f t="shared" si="490"/>
        <v>0.23468955287137105</v>
      </c>
      <c r="I1410" s="58">
        <f t="shared" si="490"/>
        <v>0.44020034319115026</v>
      </c>
      <c r="J1410" s="58">
        <f t="shared" si="490"/>
        <v>0.7797080201215375</v>
      </c>
      <c r="K1410" s="58">
        <f t="shared" si="490"/>
        <v>0.31507157225869237</v>
      </c>
      <c r="L1410" s="58">
        <f t="shared" si="490"/>
        <v>0.46175158323290172</v>
      </c>
      <c r="M1410" s="225">
        <f t="shared" si="490"/>
        <v>0.60886874464182605</v>
      </c>
      <c r="N1410" s="233"/>
      <c r="R1410" s="70"/>
      <c r="AA1410" s="70"/>
      <c r="AB1410" s="70"/>
      <c r="AC1410" s="70"/>
      <c r="AD1410" s="534"/>
      <c r="AE1410" s="534"/>
      <c r="AF1410" s="534"/>
      <c r="AG1410" s="534"/>
      <c r="AH1410" s="534"/>
      <c r="AI1410" s="534"/>
    </row>
    <row r="1411" spans="1:35" ht="15" customHeight="1" x14ac:dyDescent="0.25">
      <c r="A1411" s="1060" t="s">
        <v>6</v>
      </c>
      <c r="B1411" s="19" t="s">
        <v>7</v>
      </c>
      <c r="C1411" s="56">
        <v>5806</v>
      </c>
      <c r="D1411" s="56">
        <v>3333</v>
      </c>
      <c r="E1411" s="56">
        <v>3330</v>
      </c>
      <c r="F1411" s="56">
        <v>9457</v>
      </c>
      <c r="G1411" s="56">
        <v>7653</v>
      </c>
      <c r="H1411" s="56">
        <v>14803</v>
      </c>
      <c r="I1411" s="56">
        <v>6961</v>
      </c>
      <c r="J1411" s="56">
        <v>9193</v>
      </c>
      <c r="K1411" s="56">
        <v>11010</v>
      </c>
      <c r="L1411" s="56">
        <v>4133</v>
      </c>
      <c r="M1411" s="221">
        <v>9050</v>
      </c>
      <c r="N1411" s="234"/>
      <c r="R1411" s="70"/>
      <c r="AA1411" s="70"/>
      <c r="AB1411" s="70"/>
      <c r="AC1411" s="70"/>
      <c r="AD1411" s="534"/>
      <c r="AE1411" s="534"/>
      <c r="AF1411" s="534"/>
      <c r="AG1411" s="534"/>
      <c r="AH1411" s="534"/>
      <c r="AI1411" s="534"/>
    </row>
    <row r="1412" spans="1:35" x14ac:dyDescent="0.25">
      <c r="A1412" s="1061"/>
      <c r="B1412" s="20" t="s">
        <v>11</v>
      </c>
      <c r="C1412" s="59">
        <f t="shared" ref="C1412:M1412" si="491">C1411*33.72</f>
        <v>195778.32</v>
      </c>
      <c r="D1412" s="59">
        <f t="shared" si="491"/>
        <v>112388.76</v>
      </c>
      <c r="E1412" s="59">
        <f t="shared" si="491"/>
        <v>112287.59999999999</v>
      </c>
      <c r="F1412" s="59">
        <f t="shared" si="491"/>
        <v>318890.03999999998</v>
      </c>
      <c r="G1412" s="59">
        <f t="shared" si="491"/>
        <v>258059.16</v>
      </c>
      <c r="H1412" s="59">
        <f t="shared" si="491"/>
        <v>499157.16</v>
      </c>
      <c r="I1412" s="59">
        <f t="shared" si="491"/>
        <v>234724.91999999998</v>
      </c>
      <c r="J1412" s="59">
        <f t="shared" si="491"/>
        <v>309987.95999999996</v>
      </c>
      <c r="K1412" s="59">
        <f t="shared" si="491"/>
        <v>371257.2</v>
      </c>
      <c r="L1412" s="59">
        <f t="shared" si="491"/>
        <v>139364.76</v>
      </c>
      <c r="M1412" s="226">
        <f t="shared" si="491"/>
        <v>305166</v>
      </c>
      <c r="N1412" s="235"/>
      <c r="R1412" s="70"/>
      <c r="AA1412" s="70"/>
      <c r="AB1412" s="70"/>
      <c r="AC1412" s="70"/>
      <c r="AD1412" s="534"/>
      <c r="AE1412" s="534"/>
      <c r="AF1412" s="534"/>
      <c r="AG1412" s="534"/>
      <c r="AH1412" s="534"/>
      <c r="AI1412" s="534"/>
    </row>
    <row r="1413" spans="1:35" x14ac:dyDescent="0.25">
      <c r="A1413" s="1061"/>
      <c r="B1413" s="20" t="s">
        <v>79</v>
      </c>
      <c r="C1413" s="59">
        <v>164000</v>
      </c>
      <c r="D1413" s="59">
        <v>109880</v>
      </c>
      <c r="E1413" s="59">
        <v>109880</v>
      </c>
      <c r="F1413" s="59">
        <v>328000</v>
      </c>
      <c r="G1413" s="59">
        <f>G1408*2</f>
        <v>330905</v>
      </c>
      <c r="H1413" s="59">
        <f>H1408*2</f>
        <v>264264</v>
      </c>
      <c r="I1413" s="59">
        <f>I1408*2</f>
        <v>242663.6</v>
      </c>
      <c r="J1413" s="59">
        <v>328000</v>
      </c>
      <c r="K1413" s="59">
        <f>K1408*2</f>
        <v>264264.40000000002</v>
      </c>
      <c r="L1413" s="59">
        <v>328000</v>
      </c>
      <c r="M1413" s="226">
        <f>2*M1408</f>
        <v>352965.4</v>
      </c>
      <c r="N1413" s="235"/>
      <c r="R1413" s="70"/>
      <c r="AA1413" s="70"/>
      <c r="AB1413" s="70"/>
      <c r="AC1413" s="70"/>
      <c r="AD1413" s="534"/>
      <c r="AE1413" s="534"/>
      <c r="AF1413" s="534"/>
      <c r="AG1413" s="534"/>
      <c r="AH1413" s="534"/>
      <c r="AI1413" s="534"/>
    </row>
    <row r="1414" spans="1:35" x14ac:dyDescent="0.25">
      <c r="A1414" s="1061"/>
      <c r="B1414" s="54" t="s">
        <v>8</v>
      </c>
      <c r="C1414" s="68">
        <f>SUM(C1411-304)</f>
        <v>5502</v>
      </c>
      <c r="D1414" s="68">
        <f>SUM(D1411-631)</f>
        <v>2702</v>
      </c>
      <c r="E1414" s="68">
        <f>SUM(E1411-613)</f>
        <v>2717</v>
      </c>
      <c r="F1414" s="68">
        <f>SUM(F1411-1246)</f>
        <v>8211</v>
      </c>
      <c r="G1414" s="68">
        <f>SUM(G1411-4146)</f>
        <v>3507</v>
      </c>
      <c r="H1414" s="68">
        <f>SUM(H1411-1903)</f>
        <v>12900</v>
      </c>
      <c r="I1414" s="68">
        <f>SUM(I1411-(3983-2000))</f>
        <v>4978</v>
      </c>
      <c r="J1414" s="68">
        <f>SUM(J1411-1251)</f>
        <v>7942</v>
      </c>
      <c r="K1414" s="68">
        <f>SUM(K1411-1453)</f>
        <v>9557</v>
      </c>
      <c r="L1414" s="68">
        <f>SUM(L1411-447)</f>
        <v>3686</v>
      </c>
      <c r="M1414" s="227">
        <f>SUM(M1411-(5753-2614))</f>
        <v>5911</v>
      </c>
      <c r="N1414" s="236"/>
      <c r="R1414" s="12" t="s">
        <v>176</v>
      </c>
    </row>
    <row r="1415" spans="1:35" x14ac:dyDescent="0.25">
      <c r="A1415" s="1061"/>
      <c r="B1415" s="21" t="s">
        <v>77</v>
      </c>
      <c r="C1415" s="60">
        <f>C1414*33.72</f>
        <v>185527.44</v>
      </c>
      <c r="D1415" s="60">
        <f>D1414*33.72</f>
        <v>91111.44</v>
      </c>
      <c r="E1415" s="60">
        <f>E1414*33.72</f>
        <v>91617.239999999991</v>
      </c>
      <c r="F1415" s="60">
        <f>F1414*33.72</f>
        <v>276874.92</v>
      </c>
      <c r="G1415" s="60">
        <f>G1414*33.72*2</f>
        <v>236512.08</v>
      </c>
      <c r="H1415" s="60">
        <f>H1414*33.72</f>
        <v>434988</v>
      </c>
      <c r="I1415" s="60">
        <f>(I1414*33.72)-(2000*33.72)</f>
        <v>100418.16</v>
      </c>
      <c r="J1415" s="60">
        <f>J1414*33.72</f>
        <v>267804.24</v>
      </c>
      <c r="K1415" s="60">
        <f>K1414*33.72</f>
        <v>322262.03999999998</v>
      </c>
      <c r="L1415" s="60">
        <f>L1414*33.72</f>
        <v>124291.92</v>
      </c>
      <c r="M1415" s="228">
        <f>((M1414*33.72)-(2614*33.72))*2</f>
        <v>222349.67999999996</v>
      </c>
      <c r="N1415" s="237"/>
      <c r="R1415" s="63">
        <f>344240-H1415</f>
        <v>-90748</v>
      </c>
      <c r="S1415" s="70" t="s">
        <v>177</v>
      </c>
    </row>
    <row r="1416" spans="1:35" ht="15.75" thickBot="1" x14ac:dyDescent="0.3">
      <c r="A1416" s="1062"/>
      <c r="B1416" s="201" t="s">
        <v>10</v>
      </c>
      <c r="C1416" s="58">
        <f t="shared" ref="C1416:M1416" si="492">C1415/C1408</f>
        <v>1.2938461087841597</v>
      </c>
      <c r="D1416" s="58">
        <f t="shared" si="492"/>
        <v>0.60532807851401649</v>
      </c>
      <c r="E1416" s="58">
        <f t="shared" si="492"/>
        <v>0.60868852306535259</v>
      </c>
      <c r="F1416" s="58">
        <f t="shared" si="492"/>
        <v>1.5213091586821379</v>
      </c>
      <c r="G1416" s="58">
        <f t="shared" si="492"/>
        <v>1.4294862876052039</v>
      </c>
      <c r="H1416" s="58">
        <f t="shared" si="492"/>
        <v>3.2920715647988374</v>
      </c>
      <c r="I1416" s="58">
        <f t="shared" si="492"/>
        <v>0.82763265689621357</v>
      </c>
      <c r="J1416" s="58">
        <f t="shared" si="492"/>
        <v>1.3873926445523164</v>
      </c>
      <c r="K1416" s="58">
        <f t="shared" si="492"/>
        <v>2.4389364590917273</v>
      </c>
      <c r="L1416" s="58">
        <f t="shared" si="492"/>
        <v>1.502447468338364</v>
      </c>
      <c r="M1416" s="225">
        <f t="shared" si="492"/>
        <v>1.2598950492031227</v>
      </c>
      <c r="N1416" s="233"/>
      <c r="R1416" s="126"/>
    </row>
  </sheetData>
  <mergeCells count="1011">
    <mergeCell ref="A86:B86"/>
    <mergeCell ref="AK86:AL86"/>
    <mergeCell ref="AW86:AX86"/>
    <mergeCell ref="AZ86:BA86"/>
    <mergeCell ref="BB86:BC86"/>
    <mergeCell ref="A87:B87"/>
    <mergeCell ref="AW87:AX87"/>
    <mergeCell ref="A88:A90"/>
    <mergeCell ref="A147:A152"/>
    <mergeCell ref="A141:C141"/>
    <mergeCell ref="A142:B142"/>
    <mergeCell ref="AK142:AL142"/>
    <mergeCell ref="AW142:AX142"/>
    <mergeCell ref="AZ142:BA142"/>
    <mergeCell ref="BB142:BC142"/>
    <mergeCell ref="A143:B143"/>
    <mergeCell ref="AW143:AX143"/>
    <mergeCell ref="A144:A146"/>
    <mergeCell ref="A133:A138"/>
    <mergeCell ref="A127:C127"/>
    <mergeCell ref="A128:B128"/>
    <mergeCell ref="AK128:AL128"/>
    <mergeCell ref="AW128:AX128"/>
    <mergeCell ref="AZ128:BA128"/>
    <mergeCell ref="BB128:BC128"/>
    <mergeCell ref="A129:B129"/>
    <mergeCell ref="AW129:AX129"/>
    <mergeCell ref="A130:A132"/>
    <mergeCell ref="A175:A180"/>
    <mergeCell ref="A169:C169"/>
    <mergeCell ref="A170:B170"/>
    <mergeCell ref="AK170:AL170"/>
    <mergeCell ref="AW170:AX170"/>
    <mergeCell ref="AZ170:BA170"/>
    <mergeCell ref="BB170:BC170"/>
    <mergeCell ref="A171:B171"/>
    <mergeCell ref="AW171:AX171"/>
    <mergeCell ref="A172:A174"/>
    <mergeCell ref="A161:A166"/>
    <mergeCell ref="A155:C155"/>
    <mergeCell ref="A156:B156"/>
    <mergeCell ref="AK156:AL156"/>
    <mergeCell ref="AW156:AX156"/>
    <mergeCell ref="AZ156:BA156"/>
    <mergeCell ref="BB156:BC156"/>
    <mergeCell ref="A157:B157"/>
    <mergeCell ref="AW157:AX157"/>
    <mergeCell ref="A158:A160"/>
    <mergeCell ref="A231:A236"/>
    <mergeCell ref="A225:C225"/>
    <mergeCell ref="A226:B226"/>
    <mergeCell ref="AK226:AL226"/>
    <mergeCell ref="AW226:AX226"/>
    <mergeCell ref="AZ226:BA226"/>
    <mergeCell ref="BB226:BC226"/>
    <mergeCell ref="A227:B227"/>
    <mergeCell ref="AW227:AX227"/>
    <mergeCell ref="A228:A230"/>
    <mergeCell ref="A203:A208"/>
    <mergeCell ref="A197:C197"/>
    <mergeCell ref="A198:B198"/>
    <mergeCell ref="AK198:AL198"/>
    <mergeCell ref="AW198:AX198"/>
    <mergeCell ref="AZ198:BA198"/>
    <mergeCell ref="BB198:BC198"/>
    <mergeCell ref="A199:B199"/>
    <mergeCell ref="AW199:AX199"/>
    <mergeCell ref="A200:A202"/>
    <mergeCell ref="A301:A306"/>
    <mergeCell ref="A295:C295"/>
    <mergeCell ref="A296:B296"/>
    <mergeCell ref="AK296:AL296"/>
    <mergeCell ref="AU296:AV296"/>
    <mergeCell ref="AX296:AY296"/>
    <mergeCell ref="AZ296:BA296"/>
    <mergeCell ref="A297:B297"/>
    <mergeCell ref="AU297:AV297"/>
    <mergeCell ref="A298:A300"/>
    <mergeCell ref="A273:A278"/>
    <mergeCell ref="A267:C267"/>
    <mergeCell ref="A268:B268"/>
    <mergeCell ref="AK268:AL268"/>
    <mergeCell ref="AU268:AV268"/>
    <mergeCell ref="AX268:AY268"/>
    <mergeCell ref="AZ268:BA268"/>
    <mergeCell ref="A269:B269"/>
    <mergeCell ref="AU269:AV269"/>
    <mergeCell ref="A270:A272"/>
    <mergeCell ref="A438:A440"/>
    <mergeCell ref="A441:A446"/>
    <mergeCell ref="A365:C365"/>
    <mergeCell ref="A366:B366"/>
    <mergeCell ref="AT366:AU366"/>
    <mergeCell ref="AW366:AX366"/>
    <mergeCell ref="AY366:AZ366"/>
    <mergeCell ref="A367:B367"/>
    <mergeCell ref="AT367:AU367"/>
    <mergeCell ref="A368:A370"/>
    <mergeCell ref="A371:A376"/>
    <mergeCell ref="A343:A348"/>
    <mergeCell ref="A337:C337"/>
    <mergeCell ref="A338:B338"/>
    <mergeCell ref="AK338:AL338"/>
    <mergeCell ref="AU338:AV338"/>
    <mergeCell ref="AX338:AY338"/>
    <mergeCell ref="AZ338:BA338"/>
    <mergeCell ref="A339:B339"/>
    <mergeCell ref="AU339:AV339"/>
    <mergeCell ref="A340:A342"/>
    <mergeCell ref="A553:A558"/>
    <mergeCell ref="A547:C547"/>
    <mergeCell ref="AA547:AB547"/>
    <mergeCell ref="A548:B548"/>
    <mergeCell ref="AB548:AC548"/>
    <mergeCell ref="AK548:AL548"/>
    <mergeCell ref="AM548:AP548"/>
    <mergeCell ref="A549:B549"/>
    <mergeCell ref="AB549:AC549"/>
    <mergeCell ref="A550:A552"/>
    <mergeCell ref="A525:A530"/>
    <mergeCell ref="A519:C519"/>
    <mergeCell ref="AA519:AB519"/>
    <mergeCell ref="A520:B520"/>
    <mergeCell ref="AB520:AC520"/>
    <mergeCell ref="AK520:AL520"/>
    <mergeCell ref="AM520:AP520"/>
    <mergeCell ref="A521:B521"/>
    <mergeCell ref="AB521:AC521"/>
    <mergeCell ref="A522:A524"/>
    <mergeCell ref="A651:A656"/>
    <mergeCell ref="A645:C645"/>
    <mergeCell ref="AA645:AB645"/>
    <mergeCell ref="A646:B646"/>
    <mergeCell ref="AA646:AB646"/>
    <mergeCell ref="AJ646:AK646"/>
    <mergeCell ref="AL646:AM646"/>
    <mergeCell ref="A647:B647"/>
    <mergeCell ref="AA647:AB647"/>
    <mergeCell ref="A648:A650"/>
    <mergeCell ref="A595:A600"/>
    <mergeCell ref="A589:C589"/>
    <mergeCell ref="AA589:AB589"/>
    <mergeCell ref="A590:B590"/>
    <mergeCell ref="AA590:AB590"/>
    <mergeCell ref="AJ590:AK590"/>
    <mergeCell ref="AL590:AM590"/>
    <mergeCell ref="A591:B591"/>
    <mergeCell ref="AA591:AB591"/>
    <mergeCell ref="A592:A594"/>
    <mergeCell ref="AA733:AB733"/>
    <mergeCell ref="A734:B734"/>
    <mergeCell ref="AA734:AB734"/>
    <mergeCell ref="AJ734:AK734"/>
    <mergeCell ref="AL734:AM734"/>
    <mergeCell ref="A735:B735"/>
    <mergeCell ref="AA735:AB735"/>
    <mergeCell ref="A736:A738"/>
    <mergeCell ref="A679:A684"/>
    <mergeCell ref="A673:C673"/>
    <mergeCell ref="AA673:AB673"/>
    <mergeCell ref="A674:B674"/>
    <mergeCell ref="AA674:AB674"/>
    <mergeCell ref="AJ674:AK674"/>
    <mergeCell ref="AL674:AM674"/>
    <mergeCell ref="A675:B675"/>
    <mergeCell ref="AA675:AB675"/>
    <mergeCell ref="A676:A678"/>
    <mergeCell ref="A787:A792"/>
    <mergeCell ref="A781:C781"/>
    <mergeCell ref="AA781:AB781"/>
    <mergeCell ref="A782:B782"/>
    <mergeCell ref="AA782:AB782"/>
    <mergeCell ref="AJ782:AK782"/>
    <mergeCell ref="AL782:AM782"/>
    <mergeCell ref="A783:B783"/>
    <mergeCell ref="AA783:AB783"/>
    <mergeCell ref="A784:A786"/>
    <mergeCell ref="A759:B759"/>
    <mergeCell ref="AA759:AB759"/>
    <mergeCell ref="A760:A762"/>
    <mergeCell ref="A751:A756"/>
    <mergeCell ref="A745:C745"/>
    <mergeCell ref="AA745:AB745"/>
    <mergeCell ref="A746:B746"/>
    <mergeCell ref="AA746:AB746"/>
    <mergeCell ref="AJ746:AK746"/>
    <mergeCell ref="AL746:AM746"/>
    <mergeCell ref="A747:B747"/>
    <mergeCell ref="AA747:AB747"/>
    <mergeCell ref="A748:A750"/>
    <mergeCell ref="A895:A900"/>
    <mergeCell ref="A889:C889"/>
    <mergeCell ref="AA889:AB889"/>
    <mergeCell ref="A890:B890"/>
    <mergeCell ref="AA890:AB890"/>
    <mergeCell ref="AJ890:AK890"/>
    <mergeCell ref="AL890:AM890"/>
    <mergeCell ref="A891:B891"/>
    <mergeCell ref="AA891:AB891"/>
    <mergeCell ref="A892:A894"/>
    <mergeCell ref="A871:A876"/>
    <mergeCell ref="A865:C865"/>
    <mergeCell ref="AA865:AB865"/>
    <mergeCell ref="A866:B866"/>
    <mergeCell ref="AA866:AB866"/>
    <mergeCell ref="AJ866:AK866"/>
    <mergeCell ref="AL866:AM866"/>
    <mergeCell ref="A867:B867"/>
    <mergeCell ref="AA867:AB867"/>
    <mergeCell ref="A868:A870"/>
    <mergeCell ref="A985:C985"/>
    <mergeCell ref="AA985:AB985"/>
    <mergeCell ref="A986:B986"/>
    <mergeCell ref="AA986:AB986"/>
    <mergeCell ref="A987:B987"/>
    <mergeCell ref="AA987:AB987"/>
    <mergeCell ref="A988:A990"/>
    <mergeCell ref="AA988:AA990"/>
    <mergeCell ref="A991:A996"/>
    <mergeCell ref="AA991:AA993"/>
    <mergeCell ref="AA994:AA996"/>
    <mergeCell ref="A925:C925"/>
    <mergeCell ref="AA925:AB925"/>
    <mergeCell ref="A926:B926"/>
    <mergeCell ref="A927:B927"/>
    <mergeCell ref="A928:A930"/>
    <mergeCell ref="A931:A936"/>
    <mergeCell ref="AA926:AB926"/>
    <mergeCell ref="AA927:AB927"/>
    <mergeCell ref="A961:C961"/>
    <mergeCell ref="AA961:AB961"/>
    <mergeCell ref="A949:C949"/>
    <mergeCell ref="AA949:AB949"/>
    <mergeCell ref="A950:B950"/>
    <mergeCell ref="AA950:AB950"/>
    <mergeCell ref="A951:B951"/>
    <mergeCell ref="AA951:AB951"/>
    <mergeCell ref="A952:A954"/>
    <mergeCell ref="AA952:AA954"/>
    <mergeCell ref="A955:A960"/>
    <mergeCell ref="AA955:AA957"/>
    <mergeCell ref="AA958:AA960"/>
    <mergeCell ref="AA1010:AB1010"/>
    <mergeCell ref="A1011:B1011"/>
    <mergeCell ref="AA1011:AB1011"/>
    <mergeCell ref="A1012:A1014"/>
    <mergeCell ref="AA1012:AA1014"/>
    <mergeCell ref="A1015:A1020"/>
    <mergeCell ref="AA1015:AA1017"/>
    <mergeCell ref="AA1018:AA1020"/>
    <mergeCell ref="A997:C997"/>
    <mergeCell ref="AA997:AB997"/>
    <mergeCell ref="A998:B998"/>
    <mergeCell ref="AA998:AB998"/>
    <mergeCell ref="A999:B999"/>
    <mergeCell ref="AA999:AB999"/>
    <mergeCell ref="A1000:A1002"/>
    <mergeCell ref="AA1000:AA1002"/>
    <mergeCell ref="A1003:A1008"/>
    <mergeCell ref="AA1003:AA1005"/>
    <mergeCell ref="AA1006:AA1008"/>
    <mergeCell ref="A1069:C1069"/>
    <mergeCell ref="AA1069:AB1069"/>
    <mergeCell ref="A1070:B1070"/>
    <mergeCell ref="AA1070:AB1070"/>
    <mergeCell ref="A1071:B1071"/>
    <mergeCell ref="AA1071:AB1071"/>
    <mergeCell ref="A1072:A1074"/>
    <mergeCell ref="AA1072:AA1074"/>
    <mergeCell ref="A1075:A1080"/>
    <mergeCell ref="AA1075:AA1077"/>
    <mergeCell ref="AA1078:AA1080"/>
    <mergeCell ref="A1045:C1045"/>
    <mergeCell ref="AA1045:AB1045"/>
    <mergeCell ref="A1046:B1046"/>
    <mergeCell ref="AA1046:AB1046"/>
    <mergeCell ref="A1047:B1047"/>
    <mergeCell ref="AA1047:AB1047"/>
    <mergeCell ref="A1048:A1050"/>
    <mergeCell ref="AA1048:AA1050"/>
    <mergeCell ref="A1051:A1056"/>
    <mergeCell ref="AA1051:AA1053"/>
    <mergeCell ref="AA1054:AA1056"/>
    <mergeCell ref="AA1094:AB1094"/>
    <mergeCell ref="A1095:B1095"/>
    <mergeCell ref="AA1095:AB1095"/>
    <mergeCell ref="A1096:A1098"/>
    <mergeCell ref="AA1096:AA1098"/>
    <mergeCell ref="A1099:A1104"/>
    <mergeCell ref="AA1099:AA1101"/>
    <mergeCell ref="AA1102:AA1104"/>
    <mergeCell ref="A1081:C1081"/>
    <mergeCell ref="AA1081:AB1081"/>
    <mergeCell ref="A1082:B1082"/>
    <mergeCell ref="AA1082:AB1082"/>
    <mergeCell ref="A1083:B1083"/>
    <mergeCell ref="AA1083:AB1083"/>
    <mergeCell ref="A1084:A1086"/>
    <mergeCell ref="AA1084:AA1086"/>
    <mergeCell ref="A1087:A1092"/>
    <mergeCell ref="AA1087:AA1089"/>
    <mergeCell ref="AA1090:AA1092"/>
    <mergeCell ref="A1287:B1287"/>
    <mergeCell ref="A1288:A1290"/>
    <mergeCell ref="A1291:A1296"/>
    <mergeCell ref="A1189:C1189"/>
    <mergeCell ref="A1190:B1190"/>
    <mergeCell ref="A1191:B1191"/>
    <mergeCell ref="A1192:A1194"/>
    <mergeCell ref="A1195:A1200"/>
    <mergeCell ref="A1177:C1177"/>
    <mergeCell ref="A1178:B1178"/>
    <mergeCell ref="A1179:B1179"/>
    <mergeCell ref="A1180:A1182"/>
    <mergeCell ref="A1183:A1188"/>
    <mergeCell ref="A1141:C1141"/>
    <mergeCell ref="AA1141:AB1141"/>
    <mergeCell ref="A1142:B1142"/>
    <mergeCell ref="AA1142:AB1142"/>
    <mergeCell ref="A1143:B1143"/>
    <mergeCell ref="AA1143:AB1143"/>
    <mergeCell ref="A1144:A1146"/>
    <mergeCell ref="AA1144:AA1146"/>
    <mergeCell ref="A1147:A1152"/>
    <mergeCell ref="AA1147:AA1149"/>
    <mergeCell ref="AA1150:AA1152"/>
    <mergeCell ref="A1407:B1407"/>
    <mergeCell ref="A1408:A1410"/>
    <mergeCell ref="A1411:A1416"/>
    <mergeCell ref="A1369:C1369"/>
    <mergeCell ref="A1370:B1370"/>
    <mergeCell ref="A1371:B1371"/>
    <mergeCell ref="A1372:A1374"/>
    <mergeCell ref="A1375:A1380"/>
    <mergeCell ref="A1393:C1393"/>
    <mergeCell ref="A1394:B1394"/>
    <mergeCell ref="A1395:B1395"/>
    <mergeCell ref="A1396:A1398"/>
    <mergeCell ref="A1405:C1405"/>
    <mergeCell ref="A1406:B1406"/>
    <mergeCell ref="A1399:A1404"/>
    <mergeCell ref="A1381:C1381"/>
    <mergeCell ref="A1345:C1345"/>
    <mergeCell ref="A1346:B1346"/>
    <mergeCell ref="A1347:B1347"/>
    <mergeCell ref="A1348:A1350"/>
    <mergeCell ref="A1351:A1356"/>
    <mergeCell ref="A1279:A1284"/>
    <mergeCell ref="A1382:B1382"/>
    <mergeCell ref="A1383:B1383"/>
    <mergeCell ref="A1384:A1386"/>
    <mergeCell ref="A1387:A1392"/>
    <mergeCell ref="A1309:C1309"/>
    <mergeCell ref="A1310:B1310"/>
    <mergeCell ref="A1311:B1311"/>
    <mergeCell ref="A1312:A1314"/>
    <mergeCell ref="A1315:A1320"/>
    <mergeCell ref="A1357:C1357"/>
    <mergeCell ref="A1358:B1358"/>
    <mergeCell ref="A1359:B1359"/>
    <mergeCell ref="A1360:A1362"/>
    <mergeCell ref="A1363:A1368"/>
    <mergeCell ref="A1333:C1333"/>
    <mergeCell ref="A1334:B1334"/>
    <mergeCell ref="A1335:B1335"/>
    <mergeCell ref="A1336:A1338"/>
    <mergeCell ref="A1339:A1344"/>
    <mergeCell ref="A1321:C1321"/>
    <mergeCell ref="A1322:B1322"/>
    <mergeCell ref="A1323:B1323"/>
    <mergeCell ref="A1324:A1326"/>
    <mergeCell ref="A1327:A1332"/>
    <mergeCell ref="A1297:C1297"/>
    <mergeCell ref="A1298:B1298"/>
    <mergeCell ref="A1299:B1299"/>
    <mergeCell ref="A1300:A1302"/>
    <mergeCell ref="A1303:A1308"/>
    <mergeCell ref="A1285:C1285"/>
    <mergeCell ref="A1286:B1286"/>
    <mergeCell ref="A1251:B1251"/>
    <mergeCell ref="A1252:A1254"/>
    <mergeCell ref="A1255:A1260"/>
    <mergeCell ref="A1273:C1273"/>
    <mergeCell ref="A1274:B1274"/>
    <mergeCell ref="A1275:B1275"/>
    <mergeCell ref="A1261:C1261"/>
    <mergeCell ref="A1262:B1262"/>
    <mergeCell ref="A1263:B1263"/>
    <mergeCell ref="A1264:A1266"/>
    <mergeCell ref="A1267:A1272"/>
    <mergeCell ref="A1237:C1237"/>
    <mergeCell ref="A1238:B1238"/>
    <mergeCell ref="A1239:B1239"/>
    <mergeCell ref="A1240:A1242"/>
    <mergeCell ref="A1243:A1248"/>
    <mergeCell ref="A1276:A1278"/>
    <mergeCell ref="A1201:C1201"/>
    <mergeCell ref="A1202:B1202"/>
    <mergeCell ref="A1203:B1203"/>
    <mergeCell ref="A1204:A1206"/>
    <mergeCell ref="A1207:A1212"/>
    <mergeCell ref="A1225:C1225"/>
    <mergeCell ref="A1226:B1226"/>
    <mergeCell ref="A1227:B1227"/>
    <mergeCell ref="A1228:A1230"/>
    <mergeCell ref="A1213:C1213"/>
    <mergeCell ref="A1214:B1214"/>
    <mergeCell ref="A1215:B1215"/>
    <mergeCell ref="A1216:A1218"/>
    <mergeCell ref="A1219:A1224"/>
    <mergeCell ref="A1231:A1236"/>
    <mergeCell ref="A1249:C1249"/>
    <mergeCell ref="A1250:B1250"/>
    <mergeCell ref="A1156:A1158"/>
    <mergeCell ref="AA1156:AA1158"/>
    <mergeCell ref="A1159:A1164"/>
    <mergeCell ref="AA1159:AA1161"/>
    <mergeCell ref="AA1162:AA1164"/>
    <mergeCell ref="AA1165:AB1165"/>
    <mergeCell ref="AA1171:AA1173"/>
    <mergeCell ref="AA1174:AA1176"/>
    <mergeCell ref="AA1177:AA1182"/>
    <mergeCell ref="AA1166:AB1166"/>
    <mergeCell ref="AA1167:AB1167"/>
    <mergeCell ref="AA1168:AA1170"/>
    <mergeCell ref="A1165:C1165"/>
    <mergeCell ref="A1166:B1166"/>
    <mergeCell ref="A1167:B1167"/>
    <mergeCell ref="A1168:A1170"/>
    <mergeCell ref="A1171:A1176"/>
    <mergeCell ref="A1129:C1129"/>
    <mergeCell ref="AA1129:AB1129"/>
    <mergeCell ref="A1130:B1130"/>
    <mergeCell ref="AA1130:AB1130"/>
    <mergeCell ref="A1131:B1131"/>
    <mergeCell ref="AA1131:AB1131"/>
    <mergeCell ref="A1132:A1134"/>
    <mergeCell ref="AA1132:AA1134"/>
    <mergeCell ref="A1135:A1140"/>
    <mergeCell ref="AA1135:AA1137"/>
    <mergeCell ref="AA1138:AA1140"/>
    <mergeCell ref="A1153:C1153"/>
    <mergeCell ref="AA1153:AB1153"/>
    <mergeCell ref="A1154:B1154"/>
    <mergeCell ref="AA1154:AB1154"/>
    <mergeCell ref="A1155:B1155"/>
    <mergeCell ref="AA1155:AB1155"/>
    <mergeCell ref="A1059:B1059"/>
    <mergeCell ref="AA1059:AB1059"/>
    <mergeCell ref="A1060:A1062"/>
    <mergeCell ref="AA1060:AA1062"/>
    <mergeCell ref="A1063:A1068"/>
    <mergeCell ref="AA1063:AA1065"/>
    <mergeCell ref="AA1066:AA1068"/>
    <mergeCell ref="A1117:C1117"/>
    <mergeCell ref="AA1117:AB1117"/>
    <mergeCell ref="A1118:B1118"/>
    <mergeCell ref="AA1118:AB1118"/>
    <mergeCell ref="A1119:B1119"/>
    <mergeCell ref="AA1119:AB1119"/>
    <mergeCell ref="A1120:A1122"/>
    <mergeCell ref="AA1120:AA1122"/>
    <mergeCell ref="A1123:A1128"/>
    <mergeCell ref="AA1123:AA1125"/>
    <mergeCell ref="AA1126:AA1128"/>
    <mergeCell ref="A1105:C1105"/>
    <mergeCell ref="AA1105:AB1105"/>
    <mergeCell ref="A1106:B1106"/>
    <mergeCell ref="AA1106:AB1106"/>
    <mergeCell ref="A1107:B1107"/>
    <mergeCell ref="AA1107:AB1107"/>
    <mergeCell ref="A1108:A1110"/>
    <mergeCell ref="AA1108:AA1110"/>
    <mergeCell ref="A1111:A1116"/>
    <mergeCell ref="AA1111:AA1113"/>
    <mergeCell ref="AA1114:AA1116"/>
    <mergeCell ref="A1093:C1093"/>
    <mergeCell ref="AA1093:AB1093"/>
    <mergeCell ref="A1094:B1094"/>
    <mergeCell ref="A979:A984"/>
    <mergeCell ref="AA979:AA981"/>
    <mergeCell ref="AA982:AA984"/>
    <mergeCell ref="A1021:C1021"/>
    <mergeCell ref="AA1021:AB1021"/>
    <mergeCell ref="A1022:B1022"/>
    <mergeCell ref="AA1022:AB1022"/>
    <mergeCell ref="A1023:B1023"/>
    <mergeCell ref="AA1023:AB1023"/>
    <mergeCell ref="A1024:A1026"/>
    <mergeCell ref="AA1024:AA1026"/>
    <mergeCell ref="A1027:A1032"/>
    <mergeCell ref="AA1027:AA1029"/>
    <mergeCell ref="AA1030:AA1032"/>
    <mergeCell ref="A1057:C1057"/>
    <mergeCell ref="AA1057:AB1057"/>
    <mergeCell ref="A1058:B1058"/>
    <mergeCell ref="AA1058:AB1058"/>
    <mergeCell ref="A1033:C1033"/>
    <mergeCell ref="AA1033:AB1033"/>
    <mergeCell ref="A1034:B1034"/>
    <mergeCell ref="AA1034:AB1034"/>
    <mergeCell ref="A1035:B1035"/>
    <mergeCell ref="AA1035:AB1035"/>
    <mergeCell ref="A1036:A1038"/>
    <mergeCell ref="AA1036:AA1038"/>
    <mergeCell ref="A1039:A1044"/>
    <mergeCell ref="AA1039:AA1041"/>
    <mergeCell ref="AA1042:AA1044"/>
    <mergeCell ref="A1009:C1009"/>
    <mergeCell ref="AA1009:AB1009"/>
    <mergeCell ref="A1010:B1010"/>
    <mergeCell ref="A973:C973"/>
    <mergeCell ref="AA973:AB973"/>
    <mergeCell ref="A962:B962"/>
    <mergeCell ref="AA962:AB962"/>
    <mergeCell ref="A963:B963"/>
    <mergeCell ref="AA963:AB963"/>
    <mergeCell ref="A964:A966"/>
    <mergeCell ref="AA964:AA966"/>
    <mergeCell ref="A967:A972"/>
    <mergeCell ref="AA967:AA969"/>
    <mergeCell ref="AA970:AA972"/>
    <mergeCell ref="A974:B974"/>
    <mergeCell ref="AA974:AB974"/>
    <mergeCell ref="A975:B975"/>
    <mergeCell ref="AA975:AB975"/>
    <mergeCell ref="A976:A978"/>
    <mergeCell ref="AA976:AA978"/>
    <mergeCell ref="A907:A912"/>
    <mergeCell ref="A901:C901"/>
    <mergeCell ref="AA901:AB901"/>
    <mergeCell ref="A902:B902"/>
    <mergeCell ref="AA902:AB902"/>
    <mergeCell ref="AJ902:AK902"/>
    <mergeCell ref="AL902:AM902"/>
    <mergeCell ref="A903:B903"/>
    <mergeCell ref="AA903:AB903"/>
    <mergeCell ref="A904:A906"/>
    <mergeCell ref="AA938:AB938"/>
    <mergeCell ref="A939:B939"/>
    <mergeCell ref="AA939:AB939"/>
    <mergeCell ref="A940:A942"/>
    <mergeCell ref="AA940:AA942"/>
    <mergeCell ref="A943:A948"/>
    <mergeCell ref="AA943:AA945"/>
    <mergeCell ref="AA946:AA948"/>
    <mergeCell ref="A937:C937"/>
    <mergeCell ref="AA937:AB937"/>
    <mergeCell ref="A938:B938"/>
    <mergeCell ref="AL914:AM914"/>
    <mergeCell ref="A913:C913"/>
    <mergeCell ref="AA913:AB913"/>
    <mergeCell ref="A914:B914"/>
    <mergeCell ref="AA914:AB914"/>
    <mergeCell ref="A915:B915"/>
    <mergeCell ref="AA915:AB915"/>
    <mergeCell ref="A916:A918"/>
    <mergeCell ref="A919:A924"/>
    <mergeCell ref="AJ914:AK914"/>
    <mergeCell ref="A859:A864"/>
    <mergeCell ref="A853:C853"/>
    <mergeCell ref="AA853:AB853"/>
    <mergeCell ref="A854:B854"/>
    <mergeCell ref="AA854:AB854"/>
    <mergeCell ref="AJ854:AK854"/>
    <mergeCell ref="AL854:AM854"/>
    <mergeCell ref="A855:B855"/>
    <mergeCell ref="AA855:AB855"/>
    <mergeCell ref="A856:A858"/>
    <mergeCell ref="A883:A888"/>
    <mergeCell ref="A877:C877"/>
    <mergeCell ref="AA877:AB877"/>
    <mergeCell ref="A878:B878"/>
    <mergeCell ref="AA878:AB878"/>
    <mergeCell ref="AJ878:AK878"/>
    <mergeCell ref="AL878:AM878"/>
    <mergeCell ref="A879:B879"/>
    <mergeCell ref="AA879:AB879"/>
    <mergeCell ref="A880:A882"/>
    <mergeCell ref="A823:A828"/>
    <mergeCell ref="A817:C817"/>
    <mergeCell ref="AA817:AB817"/>
    <mergeCell ref="A818:B818"/>
    <mergeCell ref="AA818:AB818"/>
    <mergeCell ref="AJ818:AK818"/>
    <mergeCell ref="AL818:AM818"/>
    <mergeCell ref="A819:B819"/>
    <mergeCell ref="AA819:AB819"/>
    <mergeCell ref="A820:A822"/>
    <mergeCell ref="A847:A852"/>
    <mergeCell ref="A841:C841"/>
    <mergeCell ref="AA841:AB841"/>
    <mergeCell ref="A842:B842"/>
    <mergeCell ref="AA842:AB842"/>
    <mergeCell ref="AJ842:AK842"/>
    <mergeCell ref="AL842:AM842"/>
    <mergeCell ref="A843:B843"/>
    <mergeCell ref="AA843:AB843"/>
    <mergeCell ref="A844:A846"/>
    <mergeCell ref="A835:A840"/>
    <mergeCell ref="A829:C829"/>
    <mergeCell ref="AA829:AB829"/>
    <mergeCell ref="A830:B830"/>
    <mergeCell ref="AA830:AB830"/>
    <mergeCell ref="AJ830:AK830"/>
    <mergeCell ref="AL830:AM830"/>
    <mergeCell ref="A831:B831"/>
    <mergeCell ref="AA831:AB831"/>
    <mergeCell ref="A832:A834"/>
    <mergeCell ref="A799:A804"/>
    <mergeCell ref="A793:C793"/>
    <mergeCell ref="AA793:AB793"/>
    <mergeCell ref="A794:B794"/>
    <mergeCell ref="AA794:AB794"/>
    <mergeCell ref="AJ794:AK794"/>
    <mergeCell ref="AL794:AM794"/>
    <mergeCell ref="A795:B795"/>
    <mergeCell ref="AA795:AB795"/>
    <mergeCell ref="A796:A798"/>
    <mergeCell ref="A811:A816"/>
    <mergeCell ref="A805:C805"/>
    <mergeCell ref="AA805:AB805"/>
    <mergeCell ref="A806:B806"/>
    <mergeCell ref="AA806:AB806"/>
    <mergeCell ref="AJ806:AK806"/>
    <mergeCell ref="AL806:AM806"/>
    <mergeCell ref="A807:B807"/>
    <mergeCell ref="AA807:AB807"/>
    <mergeCell ref="A808:A810"/>
    <mergeCell ref="A727:A732"/>
    <mergeCell ref="A721:C721"/>
    <mergeCell ref="AA721:AB721"/>
    <mergeCell ref="A722:B722"/>
    <mergeCell ref="AA722:AB722"/>
    <mergeCell ref="AJ722:AK722"/>
    <mergeCell ref="AL722:AM722"/>
    <mergeCell ref="A723:B723"/>
    <mergeCell ref="AA723:AB723"/>
    <mergeCell ref="A724:A726"/>
    <mergeCell ref="A715:A720"/>
    <mergeCell ref="A697:C697"/>
    <mergeCell ref="A709:C709"/>
    <mergeCell ref="A775:A780"/>
    <mergeCell ref="A769:C769"/>
    <mergeCell ref="AA769:AB769"/>
    <mergeCell ref="A770:B770"/>
    <mergeCell ref="AA770:AB770"/>
    <mergeCell ref="AJ770:AK770"/>
    <mergeCell ref="AL770:AM770"/>
    <mergeCell ref="A771:B771"/>
    <mergeCell ref="AA771:AB771"/>
    <mergeCell ref="A772:A774"/>
    <mergeCell ref="A763:A768"/>
    <mergeCell ref="A757:C757"/>
    <mergeCell ref="AA757:AB757"/>
    <mergeCell ref="A758:B758"/>
    <mergeCell ref="AA758:AB758"/>
    <mergeCell ref="AJ758:AK758"/>
    <mergeCell ref="AL758:AM758"/>
    <mergeCell ref="A739:A744"/>
    <mergeCell ref="A733:C733"/>
    <mergeCell ref="A712:A714"/>
    <mergeCell ref="A703:A708"/>
    <mergeCell ref="AA697:AB697"/>
    <mergeCell ref="A698:B698"/>
    <mergeCell ref="AA698:AB698"/>
    <mergeCell ref="AJ698:AK698"/>
    <mergeCell ref="AL698:AM698"/>
    <mergeCell ref="A699:B699"/>
    <mergeCell ref="AA699:AB699"/>
    <mergeCell ref="A700:A702"/>
    <mergeCell ref="A691:A696"/>
    <mergeCell ref="AA685:AB685"/>
    <mergeCell ref="A686:B686"/>
    <mergeCell ref="AA686:AB686"/>
    <mergeCell ref="AJ686:AK686"/>
    <mergeCell ref="AL686:AM686"/>
    <mergeCell ref="A687:B687"/>
    <mergeCell ref="AA687:AB687"/>
    <mergeCell ref="A688:A690"/>
    <mergeCell ref="A665:A670"/>
    <mergeCell ref="A659:C659"/>
    <mergeCell ref="AA659:AB659"/>
    <mergeCell ref="A660:B660"/>
    <mergeCell ref="AA660:AB660"/>
    <mergeCell ref="AJ660:AK660"/>
    <mergeCell ref="AL660:AM660"/>
    <mergeCell ref="A661:B661"/>
    <mergeCell ref="AA661:AB661"/>
    <mergeCell ref="A662:A664"/>
    <mergeCell ref="A685:C685"/>
    <mergeCell ref="AA709:AB709"/>
    <mergeCell ref="A710:B710"/>
    <mergeCell ref="AA710:AB710"/>
    <mergeCell ref="AJ710:AK710"/>
    <mergeCell ref="AL710:AM710"/>
    <mergeCell ref="A711:B711"/>
    <mergeCell ref="AA711:AB711"/>
    <mergeCell ref="A623:A628"/>
    <mergeCell ref="A617:C617"/>
    <mergeCell ref="AA617:AB617"/>
    <mergeCell ref="A618:B618"/>
    <mergeCell ref="AA618:AB618"/>
    <mergeCell ref="AJ618:AK618"/>
    <mergeCell ref="AL618:AM618"/>
    <mergeCell ref="A619:B619"/>
    <mergeCell ref="AA619:AB619"/>
    <mergeCell ref="A620:A622"/>
    <mergeCell ref="A637:A642"/>
    <mergeCell ref="A631:C631"/>
    <mergeCell ref="AA631:AB631"/>
    <mergeCell ref="A632:B632"/>
    <mergeCell ref="AA632:AB632"/>
    <mergeCell ref="AJ632:AK632"/>
    <mergeCell ref="AL632:AM632"/>
    <mergeCell ref="A633:B633"/>
    <mergeCell ref="AA633:AB633"/>
    <mergeCell ref="A634:A636"/>
    <mergeCell ref="A567:A572"/>
    <mergeCell ref="A561:C561"/>
    <mergeCell ref="AA561:AB561"/>
    <mergeCell ref="A562:B562"/>
    <mergeCell ref="AB562:AC562"/>
    <mergeCell ref="AK562:AL562"/>
    <mergeCell ref="AM562:AP562"/>
    <mergeCell ref="A563:B563"/>
    <mergeCell ref="AB563:AC563"/>
    <mergeCell ref="A564:A566"/>
    <mergeCell ref="A609:A614"/>
    <mergeCell ref="A603:C603"/>
    <mergeCell ref="AA603:AB603"/>
    <mergeCell ref="A604:B604"/>
    <mergeCell ref="AA604:AB604"/>
    <mergeCell ref="AJ604:AK604"/>
    <mergeCell ref="AL604:AM604"/>
    <mergeCell ref="A605:B605"/>
    <mergeCell ref="AA605:AB605"/>
    <mergeCell ref="A606:A608"/>
    <mergeCell ref="A581:A586"/>
    <mergeCell ref="A575:C575"/>
    <mergeCell ref="AA575:AB575"/>
    <mergeCell ref="A576:B576"/>
    <mergeCell ref="AB576:AC576"/>
    <mergeCell ref="AK576:AL576"/>
    <mergeCell ref="AM576:AP576"/>
    <mergeCell ref="A577:B577"/>
    <mergeCell ref="AB577:AC577"/>
    <mergeCell ref="A578:A580"/>
    <mergeCell ref="A539:A544"/>
    <mergeCell ref="A533:C533"/>
    <mergeCell ref="AA533:AB533"/>
    <mergeCell ref="A534:B534"/>
    <mergeCell ref="AB534:AC534"/>
    <mergeCell ref="AK534:AL534"/>
    <mergeCell ref="AM534:AP534"/>
    <mergeCell ref="A535:B535"/>
    <mergeCell ref="AB535:AC535"/>
    <mergeCell ref="A536:A538"/>
    <mergeCell ref="A7:A12"/>
    <mergeCell ref="A1:C1"/>
    <mergeCell ref="A2:B2"/>
    <mergeCell ref="AW2:AX2"/>
    <mergeCell ref="AZ2:BA2"/>
    <mergeCell ref="BB2:BC2"/>
    <mergeCell ref="A3:B3"/>
    <mergeCell ref="AW3:AX3"/>
    <mergeCell ref="A4:A6"/>
    <mergeCell ref="AK2:AL2"/>
    <mergeCell ref="A497:A502"/>
    <mergeCell ref="A491:C491"/>
    <mergeCell ref="AA491:AB491"/>
    <mergeCell ref="A492:B492"/>
    <mergeCell ref="AB492:AC492"/>
    <mergeCell ref="AK492:AL492"/>
    <mergeCell ref="AM492:AP492"/>
    <mergeCell ref="A493:B493"/>
    <mergeCell ref="AB493:AC493"/>
    <mergeCell ref="A494:A496"/>
    <mergeCell ref="A449:C449"/>
    <mergeCell ref="A450:B450"/>
    <mergeCell ref="A466:A468"/>
    <mergeCell ref="A469:A474"/>
    <mergeCell ref="A483:A488"/>
    <mergeCell ref="A477:C477"/>
    <mergeCell ref="AA477:AB477"/>
    <mergeCell ref="A478:B478"/>
    <mergeCell ref="AB478:AC478"/>
    <mergeCell ref="AK478:AL478"/>
    <mergeCell ref="AM478:AP478"/>
    <mergeCell ref="A479:B479"/>
    <mergeCell ref="AB479:AC479"/>
    <mergeCell ref="A480:A482"/>
    <mergeCell ref="A511:A516"/>
    <mergeCell ref="A505:C505"/>
    <mergeCell ref="AA505:AB505"/>
    <mergeCell ref="A506:B506"/>
    <mergeCell ref="AB506:AC506"/>
    <mergeCell ref="AK506:AL506"/>
    <mergeCell ref="AM506:AP506"/>
    <mergeCell ref="A507:B507"/>
    <mergeCell ref="AB507:AC507"/>
    <mergeCell ref="A508:A510"/>
    <mergeCell ref="A410:A412"/>
    <mergeCell ref="A413:A418"/>
    <mergeCell ref="A421:C421"/>
    <mergeCell ref="A422:B422"/>
    <mergeCell ref="AS422:AT422"/>
    <mergeCell ref="AV422:AW422"/>
    <mergeCell ref="AX422:AY422"/>
    <mergeCell ref="A423:B423"/>
    <mergeCell ref="AS423:AT423"/>
    <mergeCell ref="A424:A426"/>
    <mergeCell ref="A427:A432"/>
    <mergeCell ref="A463:C463"/>
    <mergeCell ref="A464:B464"/>
    <mergeCell ref="AP464:AQ464"/>
    <mergeCell ref="AS464:AT464"/>
    <mergeCell ref="AU464:AV464"/>
    <mergeCell ref="A465:B465"/>
    <mergeCell ref="AP465:AQ465"/>
    <mergeCell ref="AQ450:AR450"/>
    <mergeCell ref="AT450:AU450"/>
    <mergeCell ref="AV450:AW450"/>
    <mergeCell ref="A451:B451"/>
    <mergeCell ref="AQ451:AR451"/>
    <mergeCell ref="A452:A454"/>
    <mergeCell ref="A455:A460"/>
    <mergeCell ref="A435:C435"/>
    <mergeCell ref="A436:B436"/>
    <mergeCell ref="AS436:AT436"/>
    <mergeCell ref="AV436:AW436"/>
    <mergeCell ref="AX436:AY436"/>
    <mergeCell ref="A437:B437"/>
    <mergeCell ref="AS437:AT437"/>
    <mergeCell ref="A382:A384"/>
    <mergeCell ref="A385:A390"/>
    <mergeCell ref="A393:C393"/>
    <mergeCell ref="A394:B394"/>
    <mergeCell ref="AT394:AU394"/>
    <mergeCell ref="AW394:AX394"/>
    <mergeCell ref="AY394:AZ394"/>
    <mergeCell ref="A395:B395"/>
    <mergeCell ref="AT395:AU395"/>
    <mergeCell ref="A396:A398"/>
    <mergeCell ref="A399:A404"/>
    <mergeCell ref="A407:C407"/>
    <mergeCell ref="A408:B408"/>
    <mergeCell ref="AT408:AU408"/>
    <mergeCell ref="AW408:AX408"/>
    <mergeCell ref="AY408:AZ408"/>
    <mergeCell ref="A409:B409"/>
    <mergeCell ref="AT409:AU409"/>
    <mergeCell ref="A357:A362"/>
    <mergeCell ref="A351:C351"/>
    <mergeCell ref="A352:B352"/>
    <mergeCell ref="AK352:AL352"/>
    <mergeCell ref="AU352:AV352"/>
    <mergeCell ref="AX352:AY352"/>
    <mergeCell ref="AZ352:BA352"/>
    <mergeCell ref="A353:B353"/>
    <mergeCell ref="AU353:AV353"/>
    <mergeCell ref="A354:A356"/>
    <mergeCell ref="A379:C379"/>
    <mergeCell ref="A380:B380"/>
    <mergeCell ref="AT380:AU380"/>
    <mergeCell ref="AW380:AX380"/>
    <mergeCell ref="AY380:AZ380"/>
    <mergeCell ref="A381:B381"/>
    <mergeCell ref="AT381:AU381"/>
    <mergeCell ref="A315:A320"/>
    <mergeCell ref="A309:C309"/>
    <mergeCell ref="A310:B310"/>
    <mergeCell ref="AK310:AL310"/>
    <mergeCell ref="AU310:AV310"/>
    <mergeCell ref="AX310:AY310"/>
    <mergeCell ref="AZ310:BA310"/>
    <mergeCell ref="A311:B311"/>
    <mergeCell ref="AU311:AV311"/>
    <mergeCell ref="A312:A314"/>
    <mergeCell ref="A329:A334"/>
    <mergeCell ref="A323:C323"/>
    <mergeCell ref="A324:B324"/>
    <mergeCell ref="AK324:AL324"/>
    <mergeCell ref="AU324:AV324"/>
    <mergeCell ref="AX324:AY324"/>
    <mergeCell ref="AZ324:BA324"/>
    <mergeCell ref="A325:B325"/>
    <mergeCell ref="AU325:AV325"/>
    <mergeCell ref="A326:A328"/>
    <mergeCell ref="A245:A250"/>
    <mergeCell ref="A239:C239"/>
    <mergeCell ref="A240:B240"/>
    <mergeCell ref="AK240:AL240"/>
    <mergeCell ref="AW240:AX240"/>
    <mergeCell ref="AZ240:BA240"/>
    <mergeCell ref="BB240:BC240"/>
    <mergeCell ref="A241:B241"/>
    <mergeCell ref="AW241:AX241"/>
    <mergeCell ref="A242:A244"/>
    <mergeCell ref="A287:A292"/>
    <mergeCell ref="A281:C281"/>
    <mergeCell ref="A282:B282"/>
    <mergeCell ref="AK282:AL282"/>
    <mergeCell ref="AU282:AV282"/>
    <mergeCell ref="AX282:AY282"/>
    <mergeCell ref="AZ282:BA282"/>
    <mergeCell ref="A283:B283"/>
    <mergeCell ref="AU283:AV283"/>
    <mergeCell ref="A284:A286"/>
    <mergeCell ref="A259:A264"/>
    <mergeCell ref="A253:C253"/>
    <mergeCell ref="A254:B254"/>
    <mergeCell ref="AK254:AL254"/>
    <mergeCell ref="AU254:AV254"/>
    <mergeCell ref="AX254:AY254"/>
    <mergeCell ref="AZ254:BA254"/>
    <mergeCell ref="A255:B255"/>
    <mergeCell ref="AU255:AV255"/>
    <mergeCell ref="A256:A258"/>
    <mergeCell ref="A189:A194"/>
    <mergeCell ref="A183:C183"/>
    <mergeCell ref="A184:B184"/>
    <mergeCell ref="AK184:AL184"/>
    <mergeCell ref="AW184:AX184"/>
    <mergeCell ref="AZ184:BA184"/>
    <mergeCell ref="BB184:BC184"/>
    <mergeCell ref="A185:B185"/>
    <mergeCell ref="AW185:AX185"/>
    <mergeCell ref="A186:A188"/>
    <mergeCell ref="A217:A222"/>
    <mergeCell ref="A211:C211"/>
    <mergeCell ref="A212:B212"/>
    <mergeCell ref="AK212:AL212"/>
    <mergeCell ref="AW212:AX212"/>
    <mergeCell ref="AZ212:BA212"/>
    <mergeCell ref="BB212:BC212"/>
    <mergeCell ref="A213:B213"/>
    <mergeCell ref="AW213:AX213"/>
    <mergeCell ref="A214:A216"/>
    <mergeCell ref="A77:A82"/>
    <mergeCell ref="A71:C71"/>
    <mergeCell ref="A72:B72"/>
    <mergeCell ref="AK72:AL72"/>
    <mergeCell ref="AW72:AX72"/>
    <mergeCell ref="AZ72:BA72"/>
    <mergeCell ref="BB72:BC72"/>
    <mergeCell ref="A73:B73"/>
    <mergeCell ref="AW73:AX73"/>
    <mergeCell ref="A74:A76"/>
    <mergeCell ref="A119:A124"/>
    <mergeCell ref="A113:C113"/>
    <mergeCell ref="A114:B114"/>
    <mergeCell ref="AK114:AL114"/>
    <mergeCell ref="AW114:AX114"/>
    <mergeCell ref="AZ114:BA114"/>
    <mergeCell ref="BB114:BC114"/>
    <mergeCell ref="A115:B115"/>
    <mergeCell ref="AW115:AX115"/>
    <mergeCell ref="A116:A118"/>
    <mergeCell ref="A105:A110"/>
    <mergeCell ref="A99:C99"/>
    <mergeCell ref="A100:B100"/>
    <mergeCell ref="AK100:AL100"/>
    <mergeCell ref="AW100:AX100"/>
    <mergeCell ref="AZ100:BA100"/>
    <mergeCell ref="BB100:BC100"/>
    <mergeCell ref="A101:B101"/>
    <mergeCell ref="AW101:AX101"/>
    <mergeCell ref="A102:A104"/>
    <mergeCell ref="A91:A96"/>
    <mergeCell ref="A85:C85"/>
    <mergeCell ref="A49:A54"/>
    <mergeCell ref="A43:C43"/>
    <mergeCell ref="A44:B44"/>
    <mergeCell ref="AK44:AL44"/>
    <mergeCell ref="AW44:AX44"/>
    <mergeCell ref="AZ44:BA44"/>
    <mergeCell ref="BB44:BC44"/>
    <mergeCell ref="A45:B45"/>
    <mergeCell ref="AW45:AX45"/>
    <mergeCell ref="A46:A48"/>
    <mergeCell ref="A63:A68"/>
    <mergeCell ref="A57:C57"/>
    <mergeCell ref="A58:B58"/>
    <mergeCell ref="AK58:AL58"/>
    <mergeCell ref="AW58:AX58"/>
    <mergeCell ref="AZ58:BA58"/>
    <mergeCell ref="BB58:BC58"/>
    <mergeCell ref="A59:B59"/>
    <mergeCell ref="AW59:AX59"/>
    <mergeCell ref="A60:A62"/>
    <mergeCell ref="A35:A40"/>
    <mergeCell ref="A15:C15"/>
    <mergeCell ref="A16:B16"/>
    <mergeCell ref="AK16:AL16"/>
    <mergeCell ref="AW16:AX16"/>
    <mergeCell ref="AZ16:BA16"/>
    <mergeCell ref="BB16:BC16"/>
    <mergeCell ref="A17:B17"/>
    <mergeCell ref="AW17:AX17"/>
    <mergeCell ref="A18:A20"/>
    <mergeCell ref="A21:A26"/>
    <mergeCell ref="A29:C29"/>
    <mergeCell ref="A30:B30"/>
    <mergeCell ref="AK30:AL30"/>
    <mergeCell ref="AW30:AX30"/>
    <mergeCell ref="AZ30:BA30"/>
    <mergeCell ref="BB30:BC30"/>
    <mergeCell ref="A31:B31"/>
    <mergeCell ref="AW31:AX31"/>
    <mergeCell ref="A32:A34"/>
  </mergeCells>
  <phoneticPr fontId="2" type="noConversion"/>
  <conditionalFormatting sqref="C6:AH6 AJ6">
    <cfRule type="cellIs" dxfId="108" priority="44" operator="greaterThanOrEqual">
      <formula>0.7</formula>
    </cfRule>
  </conditionalFormatting>
  <conditionalFormatting sqref="C12:AH12 C155:AJ168 C129:AJ140 C113:AJ113 AJ115 C118:AJ118 AI120:AI127 C126:AH127 AC123:AC124 C124:AB124 AD124:AH124 AJ124 AJ126:AJ127 AJ12 AJ112 AJ104 C104:AH104 AJ110 C110:AH110 C112:AH112 C99:AH99 AJ99 AJ84 AJ76 C76:AH76 AJ82 C82:AH82 C84:AH84 AJ70:AJ71 C62:AH62 AJ62 AJ68 C68:AH68 C70:AH71 C56:AH57 C14:AH14 AJ14 C48:AH48 AJ48 C54:AH54 AJ54 AJ56:AJ57 AJ43 C43:AH43">
    <cfRule type="cellIs" dxfId="107" priority="43" operator="between">
      <formula>1.25</formula>
      <formula>1.75</formula>
    </cfRule>
  </conditionalFormatting>
  <conditionalFormatting sqref="C12:AH12 C155:AJ168 C129:AJ140 C113:AJ113 AJ115 C118:AJ118 AI120:AI127 C126:AH127 AC123:AC124 C124:AB124 AD124:AH124 AJ124 AJ126:AJ127 AJ12 AJ112 AJ104 C104:AH104 AJ110 C110:AH110 C112:AH112 C99:AH99 AJ99 AJ84 AJ76 C76:AH76 AJ82 C82:AH82 C84:AH84 AJ70:AJ71 C62:AH62 AJ62 AJ68 C68:AH68 C70:AH71 C56:AH57 C14:AH14 AJ14 C48:AH48 AJ48 C54:AH54 AJ54 AJ56:AJ57 AJ43 C43:AH43">
    <cfRule type="cellIs" dxfId="106" priority="42" operator="greaterThan">
      <formula>1.75</formula>
    </cfRule>
  </conditionalFormatting>
  <conditionalFormatting sqref="C160:AJ160">
    <cfRule type="cellIs" dxfId="105" priority="41" operator="greaterThanOrEqual">
      <formula>0.7</formula>
    </cfRule>
  </conditionalFormatting>
  <conditionalFormatting sqref="C146:AJ146">
    <cfRule type="cellIs" dxfId="104" priority="40" operator="greaterThanOrEqual">
      <formula>0.7</formula>
    </cfRule>
  </conditionalFormatting>
  <conditionalFormatting sqref="C152:AJ152 C154:AJ154">
    <cfRule type="cellIs" dxfId="103" priority="39" operator="between">
      <formula>1.25</formula>
      <formula>1.75</formula>
    </cfRule>
  </conditionalFormatting>
  <conditionalFormatting sqref="C152:AJ152 C154:AJ154">
    <cfRule type="cellIs" dxfId="102" priority="38" operator="greaterThan">
      <formula>1.75</formula>
    </cfRule>
  </conditionalFormatting>
  <conditionalFormatting sqref="C132:AJ132">
    <cfRule type="cellIs" dxfId="101" priority="37" operator="greaterThanOrEqual">
      <formula>0.7</formula>
    </cfRule>
  </conditionalFormatting>
  <conditionalFormatting sqref="C118:AJ118">
    <cfRule type="cellIs" dxfId="100" priority="36" operator="greaterThanOrEqual">
      <formula>0.7</formula>
    </cfRule>
  </conditionalFormatting>
  <conditionalFormatting sqref="C118">
    <cfRule type="cellIs" dxfId="99" priority="34" operator="greaterThanOrEqual">
      <formula>0.7</formula>
    </cfRule>
  </conditionalFormatting>
  <conditionalFormatting sqref="AI6">
    <cfRule type="cellIs" dxfId="98" priority="33" operator="greaterThanOrEqual">
      <formula>0.7</formula>
    </cfRule>
  </conditionalFormatting>
  <conditionalFormatting sqref="AI12 AI104 AI110 AI112 AI99 AI76 AI82 AI84 AI62 AI68 AI70:AI71 AI14 AI48 AI54 AI56:AI57 AI43">
    <cfRule type="cellIs" dxfId="97" priority="32" operator="between">
      <formula>1.25</formula>
      <formula>1.75</formula>
    </cfRule>
  </conditionalFormatting>
  <conditionalFormatting sqref="AI12 AI104 AI110 AI112 AI99 AI76 AI82 AI84 AI62 AI68 AI70:AI71 AI14 AI48 AI54 AI56:AI57 AI43">
    <cfRule type="cellIs" dxfId="96" priority="31" operator="greaterThan">
      <formula>1.75</formula>
    </cfRule>
  </conditionalFormatting>
  <conditionalFormatting sqref="C104:AH104 AJ104">
    <cfRule type="cellIs" dxfId="95" priority="30" operator="greaterThanOrEqual">
      <formula>0.7</formula>
    </cfRule>
  </conditionalFormatting>
  <conditionalFormatting sqref="AI104">
    <cfRule type="cellIs" dxfId="94" priority="29" operator="greaterThanOrEqual">
      <formula>0.7</formula>
    </cfRule>
  </conditionalFormatting>
  <conditionalFormatting sqref="C90:AH90 AJ90">
    <cfRule type="cellIs" dxfId="93" priority="28" operator="greaterThanOrEqual">
      <formula>0.7</formula>
    </cfRule>
  </conditionalFormatting>
  <conditionalFormatting sqref="C96:AH96 AJ96 AJ98 C98:AH98">
    <cfRule type="cellIs" dxfId="92" priority="27" operator="between">
      <formula>1.25</formula>
      <formula>1.75</formula>
    </cfRule>
  </conditionalFormatting>
  <conditionalFormatting sqref="C96:AH96 AJ96 AJ98 C98:AH98">
    <cfRule type="cellIs" dxfId="91" priority="26" operator="greaterThan">
      <formula>1.75</formula>
    </cfRule>
  </conditionalFormatting>
  <conditionalFormatting sqref="AI90">
    <cfRule type="cellIs" dxfId="90" priority="25" operator="greaterThanOrEqual">
      <formula>0.7</formula>
    </cfRule>
  </conditionalFormatting>
  <conditionalFormatting sqref="AI96 AI98">
    <cfRule type="cellIs" dxfId="89" priority="24" operator="between">
      <formula>1.25</formula>
      <formula>1.75</formula>
    </cfRule>
  </conditionalFormatting>
  <conditionalFormatting sqref="AI96 AI98">
    <cfRule type="cellIs" dxfId="88" priority="23" operator="greaterThan">
      <formula>1.75</formula>
    </cfRule>
  </conditionalFormatting>
  <conditionalFormatting sqref="C76:AH76 AJ76">
    <cfRule type="cellIs" dxfId="87" priority="22" operator="greaterThanOrEqual">
      <formula>0.7</formula>
    </cfRule>
  </conditionalFormatting>
  <conditionalFormatting sqref="AI76">
    <cfRule type="cellIs" dxfId="86" priority="21" operator="greaterThanOrEqual">
      <formula>0.7</formula>
    </cfRule>
  </conditionalFormatting>
  <conditionalFormatting sqref="C76:AH76 AJ76">
    <cfRule type="cellIs" dxfId="85" priority="20" operator="greaterThanOrEqual">
      <formula>0.7</formula>
    </cfRule>
  </conditionalFormatting>
  <conditionalFormatting sqref="AI76">
    <cfRule type="cellIs" dxfId="84" priority="19" operator="greaterThanOrEqual">
      <formula>0.7</formula>
    </cfRule>
  </conditionalFormatting>
  <conditionalFormatting sqref="C62:AH62 AJ62">
    <cfRule type="cellIs" dxfId="83" priority="18" operator="greaterThanOrEqual">
      <formula>0.7</formula>
    </cfRule>
  </conditionalFormatting>
  <conditionalFormatting sqref="AI62">
    <cfRule type="cellIs" dxfId="82" priority="17" operator="greaterThanOrEqual">
      <formula>0.7</formula>
    </cfRule>
  </conditionalFormatting>
  <conditionalFormatting sqref="C62:G62">
    <cfRule type="cellIs" dxfId="81" priority="16" operator="greaterThanOrEqual">
      <formula>0.7</formula>
    </cfRule>
  </conditionalFormatting>
  <conditionalFormatting sqref="F62:H62">
    <cfRule type="cellIs" dxfId="80" priority="15" operator="greaterThanOrEqual">
      <formula>0.7</formula>
    </cfRule>
  </conditionalFormatting>
  <conditionalFormatting sqref="C48:AH48 AJ48">
    <cfRule type="cellIs" dxfId="79" priority="14" operator="greaterThanOrEqual">
      <formula>0.7</formula>
    </cfRule>
  </conditionalFormatting>
  <conditionalFormatting sqref="AI48">
    <cfRule type="cellIs" dxfId="78" priority="13" operator="greaterThanOrEqual">
      <formula>0.7</formula>
    </cfRule>
  </conditionalFormatting>
  <conditionalFormatting sqref="C34:AH34 AJ34">
    <cfRule type="cellIs" dxfId="77" priority="12" operator="greaterThanOrEqual">
      <formula>0.7</formula>
    </cfRule>
  </conditionalFormatting>
  <conditionalFormatting sqref="C40:AH40 AJ40 C42:AH42 AJ42">
    <cfRule type="cellIs" dxfId="76" priority="11" operator="between">
      <formula>1.25</formula>
      <formula>1.75</formula>
    </cfRule>
  </conditionalFormatting>
  <conditionalFormatting sqref="C40:AH40 AJ40 C42:AH42 AJ42">
    <cfRule type="cellIs" dxfId="75" priority="10" operator="greaterThan">
      <formula>1.75</formula>
    </cfRule>
  </conditionalFormatting>
  <conditionalFormatting sqref="AI34">
    <cfRule type="cellIs" dxfId="74" priority="9" operator="greaterThanOrEqual">
      <formula>0.7</formula>
    </cfRule>
  </conditionalFormatting>
  <conditionalFormatting sqref="AI40 AI42">
    <cfRule type="cellIs" dxfId="73" priority="8" operator="between">
      <formula>1.25</formula>
      <formula>1.75</formula>
    </cfRule>
  </conditionalFormatting>
  <conditionalFormatting sqref="AI40 AI42">
    <cfRule type="cellIs" dxfId="72" priority="7" operator="greaterThan">
      <formula>1.75</formula>
    </cfRule>
  </conditionalFormatting>
  <conditionalFormatting sqref="C20:AH20 AJ20">
    <cfRule type="cellIs" dxfId="71" priority="6" operator="greaterThanOrEqual">
      <formula>0.7</formula>
    </cfRule>
  </conditionalFormatting>
  <conditionalFormatting sqref="C26:AH26 AJ26 C28:AH28 AJ28">
    <cfRule type="cellIs" dxfId="70" priority="5" operator="between">
      <formula>1.25</formula>
      <formula>1.75</formula>
    </cfRule>
  </conditionalFormatting>
  <conditionalFormatting sqref="C26:AH26 AJ26 C28:AH28 AJ28">
    <cfRule type="cellIs" dxfId="69" priority="4" operator="greaterThan">
      <formula>1.75</formula>
    </cfRule>
  </conditionalFormatting>
  <conditionalFormatting sqref="AI20">
    <cfRule type="cellIs" dxfId="68" priority="3" operator="greaterThanOrEqual">
      <formula>0.7</formula>
    </cfRule>
  </conditionalFormatting>
  <conditionalFormatting sqref="AI26 AI28">
    <cfRule type="cellIs" dxfId="67" priority="2" operator="between">
      <formula>1.25</formula>
      <formula>1.75</formula>
    </cfRule>
  </conditionalFormatting>
  <conditionalFormatting sqref="AI26 AI28">
    <cfRule type="cellIs" dxfId="66" priority="1" operator="greaterThan">
      <formula>1.75</formula>
    </cfRule>
  </conditionalFormatting>
  <pageMargins left="0.70866141732283472" right="0.70866141732283472" top="0.74803149606299213" bottom="0.74803149606299213" header="0.31496062992125984" footer="0.31496062992125984"/>
  <pageSetup paperSize="9" orientation="landscape" r:id="rId1"/>
  <ignoredErrors>
    <ignoredError sqref="O815 O803 G803"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P371"/>
  <sheetViews>
    <sheetView showGridLines="0" topLeftCell="V1" zoomScale="50" zoomScaleNormal="50" workbookViewId="0">
      <selection activeCell="A4" sqref="A4"/>
    </sheetView>
  </sheetViews>
  <sheetFormatPr defaultRowHeight="15" x14ac:dyDescent="0.25"/>
  <cols>
    <col min="1" max="1" width="13" style="4" customWidth="1"/>
    <col min="2" max="3" width="21.7109375" style="25" bestFit="1" customWidth="1"/>
    <col min="4" max="8" width="21.5703125" style="25" bestFit="1" customWidth="1"/>
    <col min="9" max="9" width="21.5703125" style="269" customWidth="1"/>
    <col min="10" max="10" width="21.5703125" style="373" customWidth="1"/>
    <col min="11" max="13" width="21.42578125" style="25" bestFit="1" customWidth="1"/>
    <col min="14" max="14" width="22.7109375" style="25" bestFit="1" customWidth="1"/>
    <col min="15" max="15" width="23.140625" style="25" bestFit="1" customWidth="1"/>
    <col min="16" max="16" width="23.140625" style="373" bestFit="1" customWidth="1"/>
    <col min="17" max="18" width="19.28515625" customWidth="1"/>
    <col min="19" max="19" width="18.7109375" bestFit="1" customWidth="1"/>
    <col min="20" max="20" width="9.140625" style="23"/>
    <col min="21" max="21" width="9.140625" style="591"/>
    <col min="22" max="28" width="9.140625" style="743"/>
    <col min="29" max="32" width="9.140625" style="947"/>
    <col min="33" max="33" width="19.5703125" style="947" bestFit="1" customWidth="1"/>
    <col min="34" max="34" width="9.140625" style="947"/>
    <col min="35" max="38" width="9.140625" style="23"/>
  </cols>
  <sheetData>
    <row r="1" spans="1:42" x14ac:dyDescent="0.25">
      <c r="B1" s="28" t="s">
        <v>99</v>
      </c>
      <c r="C1" s="28" t="s">
        <v>100</v>
      </c>
      <c r="D1" s="28" t="s">
        <v>101</v>
      </c>
      <c r="E1" s="28" t="s">
        <v>102</v>
      </c>
      <c r="F1" s="28" t="s">
        <v>97</v>
      </c>
      <c r="G1" s="28" t="s">
        <v>104</v>
      </c>
      <c r="H1" s="275" t="s">
        <v>103</v>
      </c>
      <c r="I1" s="275" t="s">
        <v>178</v>
      </c>
      <c r="J1" s="275" t="s">
        <v>199</v>
      </c>
      <c r="K1" s="275" t="s">
        <v>206</v>
      </c>
      <c r="L1" s="28" t="s">
        <v>105</v>
      </c>
      <c r="M1" s="28" t="s">
        <v>107</v>
      </c>
      <c r="N1" s="28" t="s">
        <v>98</v>
      </c>
      <c r="O1" s="28" t="s">
        <v>106</v>
      </c>
      <c r="P1" s="275" t="s">
        <v>179</v>
      </c>
      <c r="Q1" s="275" t="s">
        <v>198</v>
      </c>
      <c r="R1" s="275" t="s">
        <v>207</v>
      </c>
      <c r="S1" s="275" t="s">
        <v>307</v>
      </c>
      <c r="T1" s="275" t="s">
        <v>184</v>
      </c>
      <c r="U1" s="275" t="s">
        <v>221</v>
      </c>
      <c r="V1" s="275" t="s">
        <v>222</v>
      </c>
      <c r="W1" s="275" t="s">
        <v>255</v>
      </c>
      <c r="X1" s="275" t="s">
        <v>256</v>
      </c>
      <c r="Y1" s="275" t="s">
        <v>266</v>
      </c>
      <c r="Z1" s="275" t="s">
        <v>267</v>
      </c>
      <c r="AA1" s="275" t="s">
        <v>268</v>
      </c>
      <c r="AB1" s="275" t="s">
        <v>269</v>
      </c>
      <c r="AC1" s="275" t="s">
        <v>295</v>
      </c>
      <c r="AD1" s="275" t="s">
        <v>290</v>
      </c>
      <c r="AE1" s="275" t="s">
        <v>291</v>
      </c>
      <c r="AF1" s="275" t="s">
        <v>292</v>
      </c>
      <c r="AG1" s="275" t="s">
        <v>293</v>
      </c>
      <c r="AH1" s="275" t="s">
        <v>294</v>
      </c>
      <c r="AM1" s="23"/>
      <c r="AN1" s="23"/>
    </row>
    <row r="2" spans="1:42" ht="15.75" customHeight="1" x14ac:dyDescent="0.25">
      <c r="B2" s="127" t="s">
        <v>166</v>
      </c>
      <c r="C2" s="127" t="s">
        <v>167</v>
      </c>
      <c r="D2" s="127" t="s">
        <v>168</v>
      </c>
      <c r="E2" s="127" t="s">
        <v>169</v>
      </c>
      <c r="F2" s="127" t="s">
        <v>170</v>
      </c>
      <c r="G2" s="127" t="s">
        <v>171</v>
      </c>
      <c r="H2" s="127" t="s">
        <v>172</v>
      </c>
      <c r="I2" s="269" t="s">
        <v>214</v>
      </c>
      <c r="J2" s="373" t="s">
        <v>201</v>
      </c>
      <c r="K2" s="384" t="s">
        <v>208</v>
      </c>
      <c r="L2" s="127" t="s">
        <v>173</v>
      </c>
      <c r="M2" s="127" t="s">
        <v>174</v>
      </c>
      <c r="N2" s="127" t="s">
        <v>189</v>
      </c>
      <c r="O2" s="127" t="s">
        <v>175</v>
      </c>
      <c r="P2" s="269" t="s">
        <v>215</v>
      </c>
      <c r="Q2" s="373" t="s">
        <v>200</v>
      </c>
      <c r="R2" s="384" t="s">
        <v>209</v>
      </c>
      <c r="S2" s="269" t="s">
        <v>308</v>
      </c>
      <c r="T2" s="269" t="s">
        <v>185</v>
      </c>
      <c r="U2" s="697" t="s">
        <v>224</v>
      </c>
      <c r="V2" s="697" t="s">
        <v>223</v>
      </c>
      <c r="W2" s="275" t="s">
        <v>277</v>
      </c>
      <c r="X2" s="275" t="s">
        <v>279</v>
      </c>
      <c r="Y2" s="275" t="s">
        <v>278</v>
      </c>
      <c r="Z2" s="275" t="s">
        <v>280</v>
      </c>
      <c r="AA2" s="275" t="s">
        <v>281</v>
      </c>
      <c r="AB2" s="275" t="s">
        <v>288</v>
      </c>
      <c r="AC2" s="275" t="s">
        <v>296</v>
      </c>
      <c r="AD2" s="275" t="s">
        <v>297</v>
      </c>
      <c r="AE2" s="275" t="s">
        <v>298</v>
      </c>
      <c r="AF2" s="275" t="s">
        <v>299</v>
      </c>
      <c r="AG2" s="275" t="s">
        <v>300</v>
      </c>
      <c r="AH2" s="275" t="s">
        <v>301</v>
      </c>
      <c r="AI2" s="23" t="s">
        <v>96</v>
      </c>
      <c r="AJ2" s="23" t="s">
        <v>3</v>
      </c>
      <c r="AK2" s="23">
        <f>MATCH(AJ2,Table!$B:$B,0)</f>
        <v>6</v>
      </c>
      <c r="AM2" s="23" t="s">
        <v>96</v>
      </c>
      <c r="AN2" s="23" t="s">
        <v>0</v>
      </c>
      <c r="AO2" s="23">
        <f>MATCH(AN2,Table!$A:$A,0)</f>
        <v>3</v>
      </c>
      <c r="AP2" t="s">
        <v>113</v>
      </c>
    </row>
    <row r="3" spans="1:42" s="947" customFormat="1" ht="14.25" customHeight="1" x14ac:dyDescent="0.25">
      <c r="A3" s="592">
        <v>41977</v>
      </c>
      <c r="B3" s="596">
        <f ca="1">IF(ISERROR(MATCH(B$1,INDIRECT("Table!A"&amp;$AM3):INDIRECT("Table!" &amp; $AP$113 &amp; $AM3),0)),"",INDIRECT(CONCATENATE("Table!",ADDRESS($AI3,MATCH(B$1,INDIRECT("Table!A" &amp; $AM3):INDIRECT("Table!" &amp; $AP$112 &amp; $AM3),0)))))</f>
        <v>0.21733760395234911</v>
      </c>
      <c r="C3" s="596">
        <f ca="1">IF(ISERROR(MATCH(C$1,INDIRECT("Table!A"&amp;$AM3):INDIRECT("Table!" &amp; $AP$112 &amp; $AM3),0)),"",INDIRECT(CONCATENATE("Table!",ADDRESS($AI3,MATCH(C$1,INDIRECT("Table!A" &amp; $AM3):INDIRECT("Table!" &amp; $AP$112 &amp; $AM3),0)))))</f>
        <v>0.57870787759763531</v>
      </c>
      <c r="D3" s="596">
        <f ca="1">IF(ISERROR(MATCH(D$1,INDIRECT("Table!A"&amp;$AM3):INDIRECT("Table!" &amp; $AP$112 &amp; $AM3),0)),"",INDIRECT(CONCATENATE("Table!",ADDRESS($AI3,MATCH(D$1,INDIRECT("Table!A" &amp; $AM3):INDIRECT("Table!" &amp; $AP$112 &amp; $AM3),0)))))</f>
        <v>0.57702965850300991</v>
      </c>
      <c r="E3" s="596">
        <f ca="1">IF(ISERROR(MATCH(E$1,INDIRECT("Table!A"&amp;$AM3):INDIRECT("Table!" &amp; $AP$112 &amp; $AM3),0)),"",INDIRECT(CONCATENATE("Table!",ADDRESS($AI3,MATCH(E$1,INDIRECT("Table!A" &amp; $AM3):INDIRECT("Table!" &amp; $AP$112 &amp; $AM3),0)))))</f>
        <v>0.56417514840757199</v>
      </c>
      <c r="F3" s="596">
        <f ca="1">IF(ISERROR(MATCH(F$1,INDIRECT("Table!A"&amp;$AM3):INDIRECT("Table!" &amp; $AP$112 &amp; $AM3),0)),"",INDIRECT(CONCATENATE("Table!",ADDRESS($AI3,MATCH(F$1,INDIRECT("Table!A" &amp; $AM3):INDIRECT("Table!" &amp; $AP$112 &amp; $AM3),0)))))</f>
        <v>0.72824957153379732</v>
      </c>
      <c r="G3" s="596">
        <f ca="1">IF(ISERROR(MATCH(G$1,INDIRECT("Table!A"&amp;$AM3):INDIRECT("Table!" &amp; $AP$112 &amp; $AM3),0)),"",INDIRECT(CONCATENATE("Table!",ADDRESS($AI3,MATCH(G$1,INDIRECT("Table!A" &amp; $AM3):INDIRECT("Table!" &amp; $AP$112 &amp; $AM3),0)))))</f>
        <v>0.54311857357415183</v>
      </c>
      <c r="H3" s="596">
        <f ca="1">IF(ISERROR(MATCH(H$1,INDIRECT("Table!A"&amp;$AM3):INDIRECT("Table!" &amp; $AP$112 &amp; $AM3),0)),"",INDIRECT(CONCATENATE("Table!",ADDRESS($AI3,MATCH(H$1,INDIRECT("Table!A" &amp; $AM3):INDIRECT("Table!" &amp; $AP$112 &amp; $AM3),0)))))</f>
        <v>0.57186227107931076</v>
      </c>
      <c r="I3" s="596">
        <f ca="1">IF(ISERROR(MATCH(I$1,INDIRECT("Table!A"&amp;$AM3):INDIRECT("Table!" &amp; $AP$91 &amp; $AM3),0)),"",INDIRECT(CONCATENATE("Table!",ADDRESS($AI3,MATCH(I$1,INDIRECT("Table!A" &amp; $AM3):INDIRECT("Table!" &amp; $AP$91 &amp; $AM3),0)))))</f>
        <v>0.32198364623851444</v>
      </c>
      <c r="J3" s="596">
        <f ca="1">IF(ISERROR(MATCH(J$1,INDIRECT("Table!A"&amp;$AM3):INDIRECT("Table!" &amp; $AP$91 &amp; $AM3),0)),"",INDIRECT(CONCATENATE("Table!",ADDRESS($AI3,MATCH(J$1,INDIRECT("Table!A" &amp; $AM3):INDIRECT("Table!" &amp; $AP$91 &amp; $AM3),0)))))</f>
        <v>0.81723878238208281</v>
      </c>
      <c r="K3" s="596">
        <f ca="1">IF(ISERROR(MATCH(K$1,INDIRECT("Table!A"&amp;$AM3):INDIRECT("Table!" &amp; $AP$91 &amp; $AM3),0)),"",INDIRECT(CONCATENATE("Table!",ADDRESS($AI3,MATCH(K$1,INDIRECT("Table!A" &amp; $AM3):INDIRECT("Table!" &amp; $AP$91 &amp; $AM3),0)))))</f>
        <v>0.45248697735362686</v>
      </c>
      <c r="L3" s="596">
        <f ca="1">IF(ISERROR(MATCH(L$1,INDIRECT("Table!A"&amp;$AM3):INDIRECT("Table!" &amp; $AP$91 &amp; $AM3),0)),"",INDIRECT(CONCATENATE("Table!",ADDRESS($AI3,MATCH(L$1,INDIRECT("Table!A" &amp; $AM3):INDIRECT("Table!" &amp; $AP$91 &amp; $AM3),0)))))</f>
        <v>0.42128466640522072</v>
      </c>
      <c r="M3" s="596">
        <f ca="1">IF(ISERROR(MATCH(M$1,INDIRECT("Table!A"&amp;$AM3):INDIRECT("Table!" &amp; $AP$91 &amp; $AM3),0)),"",INDIRECT(CONCATENATE("Table!",ADDRESS($AI3,MATCH(M$1,INDIRECT("Table!A" &amp; $AM3):INDIRECT("Table!" &amp; $AP$91 &amp; $AM3),0)))))</f>
        <v>0.49405378441280279</v>
      </c>
      <c r="N3" s="596">
        <f ca="1">IF(ISERROR(MATCH(N$1,INDIRECT("Table!A"&amp;$AM3):INDIRECT("Table!" &amp; $AP$91 &amp; $AM3),0)),"",INDIRECT(CONCATENATE("Table!",ADDRESS($AI3,MATCH(N$1,INDIRECT("Table!A" &amp; $AM3):INDIRECT("Table!" &amp; $AP$91 &amp; $AM3),0)))))</f>
        <v>0.7337858928597234</v>
      </c>
      <c r="O3" s="596">
        <f ca="1">IF(ISERROR(MATCH(O$1,INDIRECT("Table!A"&amp;$AM3):INDIRECT("Table!" &amp; $AP$91 &amp; $AM3),0)),"",INDIRECT(CONCATENATE("Table!",ADDRESS($AI3,MATCH(O$1,INDIRECT("Table!A" &amp; $AM3):INDIRECT("Table!" &amp; $AP$91 &amp; $AM3),0)))))</f>
        <v>0.67053392165440662</v>
      </c>
      <c r="P3" s="596">
        <f ca="1">IF(ISERROR(MATCH(P$1,INDIRECT("Table!A"&amp;$AM3):INDIRECT("Table!" &amp; $AP$91 &amp; $AM3),0)),"",INDIRECT(CONCATENATE("Table!",ADDRESS($AI3,MATCH(P$1,INDIRECT("Table!A" &amp; $AM3):INDIRECT("Table!" &amp; $AP$91 &amp; $AM3),0)))))</f>
        <v>0.33266978809905728</v>
      </c>
      <c r="Q3" s="596">
        <f ca="1">IF(ISERROR(MATCH(Q$1,INDIRECT("Table!A"&amp;$AM3):INDIRECT("Table!" &amp; $AP$91 &amp; $AM3),0)),"",INDIRECT(CONCATENATE("Table!",ADDRESS($AI3,MATCH(Q$1,INDIRECT("Table!A" &amp; $AM3):INDIRECT("Table!" &amp; $AP$91 &amp; $AM3),0)))))</f>
        <v>0.79248578684070725</v>
      </c>
      <c r="R3" s="596">
        <f ca="1">IF(ISERROR(MATCH(R$1,INDIRECT("Table!A"&amp;$AM3):INDIRECT("Table!" &amp; $AP$91 &amp; $AM3),0)),"",INDIRECT(CONCATENATE("Table!",ADDRESS($AI3,MATCH(R$1,INDIRECT("Table!A" &amp; $AM3):INDIRECT("Table!" &amp; $AP$91 &amp; $AM3),0)))))</f>
        <v>0.59873368640457147</v>
      </c>
      <c r="S3" s="596">
        <f ca="1">IF(ISERROR(MATCH(S$1,INDIRECT("Table!A"&amp;$AM3):INDIRECT("Table!" &amp; $AP$91 &amp; $AM3),0)),"",INDIRECT(CONCATENATE("Table!",ADDRESS($AI3,MATCH(S$1,INDIRECT("Table!A" &amp; $AM3):INDIRECT("Table!" &amp; $AP$91 &amp; $AM3),0)))))</f>
        <v>0.67804071080659778</v>
      </c>
      <c r="T3" s="596">
        <f ca="1">IF(ISERROR(MATCH(T$1,INDIRECT("Table!A"&amp;$AM3):INDIRECT("Table!" &amp; $AP$65 &amp; $AM3),0)),"",INDIRECT(CONCATENATE("Table!",ADDRESS($AI3,MATCH(T$1,INDIRECT("Table!A" &amp; $AM3):INDIRECT("Table!" &amp; $AP$65 &amp; $AM3),0)))))</f>
        <v>0.43180973391154559</v>
      </c>
      <c r="U3" s="596">
        <f ca="1">IF(ISERROR(MATCH(U$1,INDIRECT("Table!A"&amp;$AM3):INDIRECT("Table!" &amp; $AP$65 &amp; $AM3),0)),"",INDIRECT(CONCATENATE("Table!",ADDRESS($AI3,MATCH(U$1,INDIRECT("Table!A" &amp; $AM3):INDIRECT("Table!" &amp; $AP$65 &amp; $AM3),0)))))</f>
        <v>0.15779601062658702</v>
      </c>
      <c r="V3" s="596">
        <f ca="1">IF(ISERROR(MATCH(V$1,INDIRECT("Table!A"&amp;$AM3):INDIRECT("Table!" &amp; $AP$65 &amp; $AM3),0)),"",INDIRECT(CONCATENATE("Table!",ADDRESS($AI3,MATCH(V$1,INDIRECT("Table!A" &amp; $AM3):INDIRECT("Table!" &amp; $AP$65 &amp; $AM3),0)))))</f>
        <v>0.15389469513810494</v>
      </c>
      <c r="W3" s="596">
        <f ca="1">IF(ISERROR(MATCH(W$1,INDIRECT("Table!A"&amp;$AM3):INDIRECT("Table!" &amp; $AP$65 &amp; $AM3),0)),"",INDIRECT(CONCATENATE("Table!",ADDRESS($AI3,MATCH(W$1,INDIRECT("Table!A" &amp; $AM3):INDIRECT("Table!" &amp; $AP$65 &amp; $AM3),0)))))</f>
        <v>0.43465187163943975</v>
      </c>
      <c r="X3" s="596">
        <f ca="1">IF(ISERROR(MATCH(X$1,INDIRECT("Table!A"&amp;$AM3):INDIRECT("Table!" &amp; $AP$65 &amp; $AM3),0)),"",INDIRECT(CONCATENATE("Table!",ADDRESS($AI3,MATCH(X$1,INDIRECT("Table!A" &amp; $AM3):INDIRECT("Table!" &amp; $AP$65 &amp; $AM3),0)))))</f>
        <v>0.41987193103464732</v>
      </c>
      <c r="Y3" s="596">
        <f ca="1">IF(ISERROR(MATCH(Y$1,INDIRECT("Table!A"&amp;$AM3):INDIRECT("Table!" &amp; $AP$65 &amp; $AM3),0)),"",INDIRECT(CONCATENATE("Table!",ADDRESS($AI3,MATCH(Y$1,INDIRECT("Table!A" &amp; $AM3):INDIRECT("Table!" &amp; $AP$65 &amp; $AM3),0)))))</f>
        <v>0.41282822797258223</v>
      </c>
      <c r="Z3" s="596">
        <f ca="1">IF(ISERROR(MATCH(Z$1,INDIRECT("Table!A"&amp;$AM3):INDIRECT("Table!" &amp; $AP$65 &amp; $AM3),0)),"",INDIRECT(CONCATENATE("Table!",ADDRESS($AI3,MATCH(Z$1,INDIRECT("Table!A" &amp; $AM3):INDIRECT("Table!" &amp; $AP$65 &amp; $AM3),0)))))</f>
        <v>0.36728012162494361</v>
      </c>
      <c r="AA3" s="596">
        <f ca="1">IF(ISERROR(MATCH(AA$1,INDIRECT("Table!A"&amp;$AM3):INDIRECT("Table!" &amp; $AP$65 &amp; $AM3),0)),"",INDIRECT(CONCATENATE("Table!",ADDRESS($AI3,MATCH(AA$1,INDIRECT("Table!A" &amp; $AM3):INDIRECT("Table!" &amp; $AP$65 &amp; $AM3),0)))))</f>
        <v>0.43270361112666084</v>
      </c>
      <c r="AB3" s="596">
        <f ca="1">IF(ISERROR(MATCH(AB$1,INDIRECT("Table!A"&amp;$AM3):INDIRECT("Table!" &amp; $AP$65 &amp; $AM3),0)),"",INDIRECT(CONCATENATE("Table!",ADDRESS($AI3,MATCH(AB$1,INDIRECT("Table!A" &amp; $AM3):INDIRECT("Table!" &amp; $AP$65 &amp; $AM3),0)))))</f>
        <v>2.5671761900171424E-5</v>
      </c>
      <c r="AC3" s="596">
        <f ca="1">IF(ISERROR(MATCH(AC$1,INDIRECT("Table!A"&amp;$AM3):INDIRECT("Table!" &amp; $AP$65 &amp; $AM3),0)),"",INDIRECT(CONCATENATE("Table!",ADDRESS($AI3,MATCH(AC$1,INDIRECT("Table!A" &amp; $AM3):INDIRECT("Table!" &amp; $AP$65 &amp; $AM3),0)))))</f>
        <v>0.24758782029997609</v>
      </c>
      <c r="AD3" s="596">
        <f ca="1">IF(ISERROR(MATCH(AD$1,INDIRECT("Table!A"&amp;$AM3):INDIRECT("Table!" &amp; $AP$65 &amp; $AM3),0)),"",INDIRECT(CONCATENATE("Table!",ADDRESS($AI3,MATCH(AD$1,INDIRECT("Table!A" &amp; $AM3):INDIRECT("Table!" &amp; $AP$65 &amp; $AM3),0)))))</f>
        <v>0.36560387948116491</v>
      </c>
      <c r="AE3" s="596">
        <f ca="1">IF(ISERROR(MATCH(AE$1,INDIRECT("Table!A"&amp;$AM3):INDIRECT("Table!" &amp; $AP$65 &amp; $AM3),0)),"",INDIRECT(CONCATENATE("Table!",ADDRESS($AI3,MATCH(AE$1,INDIRECT("Table!A" &amp; $AM3):INDIRECT("Table!" &amp; $AP$65 &amp; $AM3),0)))))</f>
        <v>0.21125125724979366</v>
      </c>
      <c r="AF3" s="596">
        <f ca="1">IF(ISERROR(MATCH(AF$1,INDIRECT("Table!A"&amp;$AM3):INDIRECT("Table!" &amp; $AP$65 &amp; $AM3),0)),"",INDIRECT(CONCATENATE("Table!",ADDRESS($AI3,MATCH(AF$1,INDIRECT("Table!A" &amp; $AM3):INDIRECT("Table!" &amp; $AP$65 &amp; $AM3),0)))))</f>
        <v>0.21107647471959567</v>
      </c>
      <c r="AG3" s="596">
        <f ca="1">IF(ISERROR(MATCH(AG$1,INDIRECT("Table!A"&amp;$AM3):INDIRECT("Table!" &amp; $AP$65 &amp; $AM3),0)),"",INDIRECT(CONCATENATE("Table!",ADDRESS($AI3,MATCH(AG$1,INDIRECT("Table!A" &amp; $AM3):INDIRECT("Table!" &amp; $AP$65 &amp; $AM3),0)))))</f>
        <v>0.10634833927787238</v>
      </c>
      <c r="AH3" s="596">
        <f ca="1">IF(ISERROR(MATCH(AH$1,INDIRECT("Table!A"&amp;$AM3):INDIRECT("Table!" &amp; $AP$65 &amp; $AM3),0)),"",INDIRECT(CONCATENATE("Table!",ADDRESS($AI3,MATCH(AH$1,INDIRECT("Table!A" &amp; $AM3):INDIRECT("Table!" &amp; $AP$65 &amp; $AM3),0)))))</f>
        <v>2.5671761900171424E-5</v>
      </c>
      <c r="AI3" s="595">
        <f>MATCH($A3,Table!$A:$A,0)+$AK$2-1</f>
        <v>6</v>
      </c>
      <c r="AJ3" s="1020"/>
      <c r="AK3" s="1020"/>
      <c r="AL3" s="1020"/>
      <c r="AM3" s="595">
        <f>MATCH($A3,Table!$A:$A,0)+$AO$2-1</f>
        <v>3</v>
      </c>
      <c r="AN3" s="1020"/>
      <c r="AP3" s="947" t="s">
        <v>302</v>
      </c>
    </row>
    <row r="4" spans="1:42" s="947" customFormat="1" ht="14.25" customHeight="1" x14ac:dyDescent="0.25">
      <c r="A4" s="592">
        <v>41970</v>
      </c>
      <c r="B4" s="596">
        <f ca="1">IF(ISERROR(MATCH(B$1,INDIRECT("Table!A"&amp;$AM4):INDIRECT("Table!" &amp; $AP$113 &amp; $AM4),0)),"",INDIRECT(CONCATENATE("Table!",ADDRESS($AI4,MATCH(B$1,INDIRECT("Table!A" &amp; $AM4):INDIRECT("Table!" &amp; $AP$112 &amp; $AM4),0)))))</f>
        <v>0.21723281166506145</v>
      </c>
      <c r="C4" s="596">
        <f ca="1">IF(ISERROR(MATCH(C$1,INDIRECT("Table!A"&amp;$AM4):INDIRECT("Table!" &amp; $AP$112 &amp; $AM4),0)),"",INDIRECT(CONCATENATE("Table!",ADDRESS($AI4,MATCH(C$1,INDIRECT("Table!A" &amp; $AM4):INDIRECT("Table!" &amp; $AP$112 &amp; $AM4),0)))))</f>
        <v>0.57870787759763531</v>
      </c>
      <c r="D4" s="596">
        <f ca="1">IF(ISERROR(MATCH(D$1,INDIRECT("Table!A"&amp;$AM4):INDIRECT("Table!" &amp; $AP$112 &amp; $AM4),0)),"",INDIRECT(CONCATENATE("Table!",ADDRESS($AI4,MATCH(D$1,INDIRECT("Table!A" &amp; $AM4):INDIRECT("Table!" &amp; $AP$112 &amp; $AM4),0)))))</f>
        <v>0.57702899412490438</v>
      </c>
      <c r="E4" s="596">
        <f ca="1">IF(ISERROR(MATCH(E$1,INDIRECT("Table!A"&amp;$AM4):INDIRECT("Table!" &amp; $AP$112 &amp; $AM4),0)),"",INDIRECT(CONCATENATE("Table!",ADDRESS($AI4,MATCH(E$1,INDIRECT("Table!A" &amp; $AM4):INDIRECT("Table!" &amp; $AP$112 &amp; $AM4),0)))))</f>
        <v>0.56403283977696561</v>
      </c>
      <c r="F4" s="596">
        <f ca="1">IF(ISERROR(MATCH(F$1,INDIRECT("Table!A"&amp;$AM4):INDIRECT("Table!" &amp; $AP$112 &amp; $AM4),0)),"",INDIRECT(CONCATENATE("Table!",ADDRESS($AI4,MATCH(F$1,INDIRECT("Table!A" &amp; $AM4):INDIRECT("Table!" &amp; $AP$112 &amp; $AM4),0)))))</f>
        <v>0.72732718529828544</v>
      </c>
      <c r="G4" s="596">
        <f ca="1">IF(ISERROR(MATCH(G$1,INDIRECT("Table!A"&amp;$AM4):INDIRECT("Table!" &amp; $AP$112 &amp; $AM4),0)),"",INDIRECT(CONCATENATE("Table!",ADDRESS($AI4,MATCH(G$1,INDIRECT("Table!A" &amp; $AM4):INDIRECT("Table!" &amp; $AP$112 &amp; $AM4),0)))))</f>
        <v>0.5419850836317891</v>
      </c>
      <c r="H4" s="596">
        <f ca="1">IF(ISERROR(MATCH(H$1,INDIRECT("Table!A"&amp;$AM4):INDIRECT("Table!" &amp; $AP$112 &amp; $AM4),0)),"",INDIRECT(CONCATENATE("Table!",ADDRESS($AI4,MATCH(H$1,INDIRECT("Table!A" &amp; $AM4):INDIRECT("Table!" &amp; $AP$112 &amp; $AM4),0)))))</f>
        <v>0.57113658631607411</v>
      </c>
      <c r="I4" s="596">
        <f ca="1">IF(ISERROR(MATCH(I$1,INDIRECT("Table!A"&amp;$AM4):INDIRECT("Table!" &amp; $AP$91 &amp; $AM4),0)),"",INDIRECT(CONCATENATE("Table!",ADDRESS($AI4,MATCH(I$1,INDIRECT("Table!A" &amp; $AM4):INDIRECT("Table!" &amp; $AP$91 &amp; $AM4),0)))))</f>
        <v>0.32160490853695251</v>
      </c>
      <c r="J4" s="596">
        <f ca="1">IF(ISERROR(MATCH(J$1,INDIRECT("Table!A"&amp;$AM4):INDIRECT("Table!" &amp; $AP$91 &amp; $AM4),0)),"",INDIRECT(CONCATENATE("Table!",ADDRESS($AI4,MATCH(J$1,INDIRECT("Table!A" &amp; $AM4):INDIRECT("Table!" &amp; $AP$91 &amp; $AM4),0)))))</f>
        <v>0.81286687867685015</v>
      </c>
      <c r="K4" s="596">
        <f ca="1">IF(ISERROR(MATCH(K$1,INDIRECT("Table!A"&amp;$AM4):INDIRECT("Table!" &amp; $AP$91 &amp; $AM4),0)),"",INDIRECT(CONCATENATE("Table!",ADDRESS($AI4,MATCH(K$1,INDIRECT("Table!A" &amp; $AM4):INDIRECT("Table!" &amp; $AP$91 &amp; $AM4),0)))))</f>
        <v>0.45102003291810816</v>
      </c>
      <c r="L4" s="596">
        <f ca="1">IF(ISERROR(MATCH(L$1,INDIRECT("Table!A"&amp;$AM4):INDIRECT("Table!" &amp; $AP$91 &amp; $AM4),0)),"",INDIRECT(CONCATENATE("Table!",ADDRESS($AI4,MATCH(L$1,INDIRECT("Table!A" &amp; $AM4):INDIRECT("Table!" &amp; $AP$91 &amp; $AM4),0)))))</f>
        <v>0.42035164646159573</v>
      </c>
      <c r="M4" s="596">
        <f ca="1">IF(ISERROR(MATCH(M$1,INDIRECT("Table!A"&amp;$AM4):INDIRECT("Table!" &amp; $AP$91 &amp; $AM4),0)),"",INDIRECT(CONCATENATE("Table!",ADDRESS($AI4,MATCH(M$1,INDIRECT("Table!A" &amp; $AM4):INDIRECT("Table!" &amp; $AP$91 &amp; $AM4),0)))))</f>
        <v>0.4924837963771157</v>
      </c>
      <c r="N4" s="596">
        <f ca="1">IF(ISERROR(MATCH(N$1,INDIRECT("Table!A"&amp;$AM4):INDIRECT("Table!" &amp; $AP$91 &amp; $AM4),0)),"",INDIRECT(CONCATENATE("Table!",ADDRESS($AI4,MATCH(N$1,INDIRECT("Table!A" &amp; $AM4):INDIRECT("Table!" &amp; $AP$91 &amp; $AM4),0)))))</f>
        <v>0.73317292639103648</v>
      </c>
      <c r="O4" s="596">
        <f ca="1">IF(ISERROR(MATCH(O$1,INDIRECT("Table!A"&amp;$AM4):INDIRECT("Table!" &amp; $AP$91 &amp; $AM4),0)),"",INDIRECT(CONCATENATE("Table!",ADDRESS($AI4,MATCH(O$1,INDIRECT("Table!A" &amp; $AM4):INDIRECT("Table!" &amp; $AP$91 &amp; $AM4),0)))))</f>
        <v>0.66970822480972747</v>
      </c>
      <c r="P4" s="596">
        <f ca="1">IF(ISERROR(MATCH(P$1,INDIRECT("Table!A"&amp;$AM4):INDIRECT("Table!" &amp; $AP$91 &amp; $AM4),0)),"",INDIRECT(CONCATENATE("Table!",ADDRESS($AI4,MATCH(P$1,INDIRECT("Table!A" &amp; $AM4):INDIRECT("Table!" &amp; $AP$91 &amp; $AM4),0)))))</f>
        <v>0.33229044735713908</v>
      </c>
      <c r="Q4" s="596">
        <f ca="1">IF(ISERROR(MATCH(Q$1,INDIRECT("Table!A"&amp;$AM4):INDIRECT("Table!" &amp; $AP$91 &amp; $AM4),0)),"",INDIRECT(CONCATENATE("Table!",ADDRESS($AI4,MATCH(Q$1,INDIRECT("Table!A" &amp; $AM4):INDIRECT("Table!" &amp; $AP$91 &amp; $AM4),0)))))</f>
        <v>0.78956017747792218</v>
      </c>
      <c r="R4" s="596">
        <f ca="1">IF(ISERROR(MATCH(R$1,INDIRECT("Table!A"&amp;$AM4):INDIRECT("Table!" &amp; $AP$91 &amp; $AM4),0)),"",INDIRECT(CONCATENATE("Table!",ADDRESS($AI4,MATCH(R$1,INDIRECT("Table!A" &amp; $AM4):INDIRECT("Table!" &amp; $AP$91 &amp; $AM4),0)))))</f>
        <v>0.59659177342235981</v>
      </c>
      <c r="S4" s="596" t="str">
        <f ca="1">IF(ISERROR(MATCH(S$1,INDIRECT("Table!A"&amp;$AM4):INDIRECT("Table!" &amp; $AP$91 &amp; $AM4),0)),"",INDIRECT(CONCATENATE("Table!",ADDRESS($AI4,MATCH(S$1,INDIRECT("Table!A" &amp; $AM4):INDIRECT("Table!" &amp; $AP$91 &amp; $AM4),0)))))</f>
        <v/>
      </c>
      <c r="T4" s="596">
        <f ca="1">IF(ISERROR(MATCH(T$1,INDIRECT("Table!A"&amp;$AM4):INDIRECT("Table!" &amp; $AP$65 &amp; $AM4),0)),"",INDIRECT(CONCATENATE("Table!",ADDRESS($AI4,MATCH(T$1,INDIRECT("Table!A" &amp; $AM4):INDIRECT("Table!" &amp; $AP$65 &amp; $AM4),0)))))</f>
        <v>0.43180973391154559</v>
      </c>
      <c r="U4" s="596">
        <f ca="1">IF(ISERROR(MATCH(U$1,INDIRECT("Table!A"&amp;$AM4):INDIRECT("Table!" &amp; $AP$65 &amp; $AM4),0)),"",INDIRECT(CONCATENATE("Table!",ADDRESS($AI4,MATCH(U$1,INDIRECT("Table!A" &amp; $AM4):INDIRECT("Table!" &amp; $AP$65 &amp; $AM4),0)))))</f>
        <v>0.1576854393252215</v>
      </c>
      <c r="V4" s="596">
        <f ca="1">IF(ISERROR(MATCH(V$1,INDIRECT("Table!A"&amp;$AM4):INDIRECT("Table!" &amp; $AP$65 &amp; $AM4),0)),"",INDIRECT(CONCATENATE("Table!",ADDRESS($AI4,MATCH(V$1,INDIRECT("Table!A" &amp; $AM4):INDIRECT("Table!" &amp; $AP$65 &amp; $AM4),0)))))</f>
        <v>0.15378777211075126</v>
      </c>
      <c r="W4" s="596">
        <f ca="1">IF(ISERROR(MATCH(W$1,INDIRECT("Table!A"&amp;$AM4):INDIRECT("Table!" &amp; $AP$65 &amp; $AM4),0)),"",INDIRECT(CONCATENATE("Table!",ADDRESS($AI4,MATCH(W$1,INDIRECT("Table!A" &amp; $AM4):INDIRECT("Table!" &amp; $AP$65 &amp; $AM4),0)))))</f>
        <v>0.42695689187007385</v>
      </c>
      <c r="X4" s="596">
        <f ca="1">IF(ISERROR(MATCH(X$1,INDIRECT("Table!A"&amp;$AM4):INDIRECT("Table!" &amp; $AP$65 &amp; $AM4),0)),"",INDIRECT(CONCATENATE("Table!",ADDRESS($AI4,MATCH(X$1,INDIRECT("Table!A" &amp; $AM4):INDIRECT("Table!" &amp; $AP$65 &amp; $AM4),0)))))</f>
        <v>0.41234626831474513</v>
      </c>
      <c r="Y4" s="596">
        <f ca="1">IF(ISERROR(MATCH(Y$1,INDIRECT("Table!A"&amp;$AM4):INDIRECT("Table!" &amp; $AP$65 &amp; $AM4),0)),"",INDIRECT(CONCATENATE("Table!",ADDRESS($AI4,MATCH(Y$1,INDIRECT("Table!A" &amp; $AM4):INDIRECT("Table!" &amp; $AP$65 &amp; $AM4),0)))))</f>
        <v>0.40498549363236508</v>
      </c>
      <c r="Z4" s="596">
        <f ca="1">IF(ISERROR(MATCH(Z$1,INDIRECT("Table!A"&amp;$AM4):INDIRECT("Table!" &amp; $AP$65 &amp; $AM4),0)),"",INDIRECT(CONCATENATE("Table!",ADDRESS($AI4,MATCH(Z$1,INDIRECT("Table!A" &amp; $AM4):INDIRECT("Table!" &amp; $AP$65 &amp; $AM4),0)))))</f>
        <v>0.36112966087738935</v>
      </c>
      <c r="AA4" s="596">
        <f ca="1">IF(ISERROR(MATCH(AA$1,INDIRECT("Table!A"&amp;$AM4):INDIRECT("Table!" &amp; $AP$65 &amp; $AM4),0)),"",INDIRECT(CONCATENATE("Table!",ADDRESS($AI4,MATCH(AA$1,INDIRECT("Table!A" &amp; $AM4):INDIRECT("Table!" &amp; $AP$65 &amp; $AM4),0)))))</f>
        <v>0.4308821668220284</v>
      </c>
      <c r="AB4" s="596">
        <f ca="1">IF(ISERROR(MATCH(AB$1,INDIRECT("Table!A"&amp;$AM4):INDIRECT("Table!" &amp; $AP$65 &amp; $AM4),0)),"",INDIRECT(CONCATENATE("Table!",ADDRESS($AI4,MATCH(AB$1,INDIRECT("Table!A" &amp; $AM4):INDIRECT("Table!" &amp; $AP$65 &amp; $AM4),0)))))</f>
        <v>2.5671761900171424E-5</v>
      </c>
      <c r="AC4" s="596">
        <f ca="1">IF(ISERROR(MATCH(AC$1,INDIRECT("Table!A"&amp;$AM4):INDIRECT("Table!" &amp; $AP$65 &amp; $AM4),0)),"",INDIRECT(CONCATENATE("Table!",ADDRESS($AI4,MATCH(AC$1,INDIRECT("Table!A" &amp; $AM4):INDIRECT("Table!" &amp; $AP$65 &amp; $AM4),0)))))</f>
        <v>0.2445361117359125</v>
      </c>
      <c r="AD4" s="596">
        <f ca="1">IF(ISERROR(MATCH(AD$1,INDIRECT("Table!A"&amp;$AM4):INDIRECT("Table!" &amp; $AP$65 &amp; $AM4),0)),"",INDIRECT(CONCATENATE("Table!",ADDRESS($AI4,MATCH(AD$1,INDIRECT("Table!A" &amp; $AM4):INDIRECT("Table!" &amp; $AP$65 &amp; $AM4),0)))))</f>
        <v>0.35872213832031963</v>
      </c>
      <c r="AE4" s="596">
        <f ca="1">IF(ISERROR(MATCH(AE$1,INDIRECT("Table!A"&amp;$AM4):INDIRECT("Table!" &amp; $AP$65 &amp; $AM4),0)),"",INDIRECT(CONCATENATE("Table!",ADDRESS($AI4,MATCH(AE$1,INDIRECT("Table!A" &amp; $AM4):INDIRECT("Table!" &amp; $AP$65 &amp; $AM4),0)))))</f>
        <v>0.21117122861875062</v>
      </c>
      <c r="AF4" s="596">
        <f ca="1">IF(ISERROR(MATCH(AF$1,INDIRECT("Table!A"&amp;$AM4):INDIRECT("Table!" &amp; $AP$65 &amp; $AM4),0)),"",INDIRECT(CONCATENATE("Table!",ADDRESS($AI4,MATCH(AF$1,INDIRECT("Table!A" &amp; $AM4):INDIRECT("Table!" &amp; $AP$65 &amp; $AM4),0)))))</f>
        <v>0.21099708631760097</v>
      </c>
      <c r="AG4" s="596">
        <f ca="1">IF(ISERROR(MATCH(AG$1,INDIRECT("Table!A"&amp;$AM4):INDIRECT("Table!" &amp; $AP$65 &amp; $AM4),0)),"",INDIRECT(CONCATENATE("Table!",ADDRESS($AI4,MATCH(AG$1,INDIRECT("Table!A" &amp; $AM4):INDIRECT("Table!" &amp; $AP$65 &amp; $AM4),0)))))</f>
        <v>9.8035356618789024E-2</v>
      </c>
      <c r="AH4" s="596">
        <f ca="1">IF(ISERROR(MATCH(AH$1,INDIRECT("Table!A"&amp;$AM4):INDIRECT("Table!" &amp; $AP$65 &amp; $AM4),0)),"",INDIRECT(CONCATENATE("Table!",ADDRESS($AI4,MATCH(AH$1,INDIRECT("Table!A" &amp; $AM4):INDIRECT("Table!" &amp; $AP$65 &amp; $AM4),0)))))</f>
        <v>2.5671761900171424E-5</v>
      </c>
      <c r="AI4" s="595">
        <f>MATCH($A4,Table!$A:$A,0)+$AK$2-1</f>
        <v>20</v>
      </c>
      <c r="AJ4" s="1039"/>
      <c r="AK4" s="1039"/>
      <c r="AL4" s="1039"/>
      <c r="AM4" s="595">
        <f>MATCH($A4,Table!$A:$A,0)+$AO$2-1</f>
        <v>17</v>
      </c>
      <c r="AN4" s="1039"/>
      <c r="AP4" s="947" t="s">
        <v>302</v>
      </c>
    </row>
    <row r="5" spans="1:42" s="947" customFormat="1" ht="14.25" customHeight="1" x14ac:dyDescent="0.25">
      <c r="A5" s="592">
        <v>41963</v>
      </c>
      <c r="B5" s="596">
        <f ca="1">IF(ISERROR(MATCH(B$1,INDIRECT("Table!A"&amp;$AM5):INDIRECT("Table!" &amp; $AP$113 &amp; $AM5),0)),"",INDIRECT(CONCATENATE("Table!",ADDRESS($AI5,MATCH(B$1,INDIRECT("Table!A" &amp; $AM5):INDIRECT("Table!" &amp; $AP$112 &amp; $AM5),0)))))</f>
        <v>0.21703402629566465</v>
      </c>
      <c r="C5" s="596">
        <f ca="1">IF(ISERROR(MATCH(C$1,INDIRECT("Table!A"&amp;$AM5):INDIRECT("Table!" &amp; $AP$112 &amp; $AM5),0)),"",INDIRECT(CONCATENATE("Table!",ADDRESS($AI5,MATCH(C$1,INDIRECT("Table!A" &amp; $AM5):INDIRECT("Table!" &amp; $AP$112 &amp; $AM5),0)))))</f>
        <v>0.57870787759763531</v>
      </c>
      <c r="D5" s="596">
        <f ca="1">IF(ISERROR(MATCH(D$1,INDIRECT("Table!A"&amp;$AM5):INDIRECT("Table!" &amp; $AP$112 &amp; $AM5),0)),"",INDIRECT(CONCATENATE("Table!",ADDRESS($AI5,MATCH(D$1,INDIRECT("Table!A" &amp; $AM5):INDIRECT("Table!" &amp; $AP$112 &amp; $AM5),0)))))</f>
        <v>0.57702899412490438</v>
      </c>
      <c r="E5" s="596">
        <f ca="1">IF(ISERROR(MATCH(E$1,INDIRECT("Table!A"&amp;$AM5):INDIRECT("Table!" &amp; $AP$112 &amp; $AM5),0)),"",INDIRECT(CONCATENATE("Table!",ADDRESS($AI5,MATCH(E$1,INDIRECT("Table!A" &amp; $AM5):INDIRECT("Table!" &amp; $AP$112 &amp; $AM5),0)))))</f>
        <v>0.5638943773255648</v>
      </c>
      <c r="F5" s="596">
        <f ca="1">IF(ISERROR(MATCH(F$1,INDIRECT("Table!A"&amp;$AM5):INDIRECT("Table!" &amp; $AP$112 &amp; $AM5),0)),"",INDIRECT(CONCATENATE("Table!",ADDRESS($AI5,MATCH(F$1,INDIRECT("Table!A" &amp; $AM5):INDIRECT("Table!" &amp; $AP$112 &amp; $AM5),0)))))</f>
        <v>0.72672573397270956</v>
      </c>
      <c r="G5" s="596">
        <f ca="1">IF(ISERROR(MATCH(G$1,INDIRECT("Table!A"&amp;$AM5):INDIRECT("Table!" &amp; $AP$112 &amp; $AM5),0)),"",INDIRECT(CONCATENATE("Table!",ADDRESS($AI5,MATCH(G$1,INDIRECT("Table!A" &amp; $AM5):INDIRECT("Table!" &amp; $AP$112 &amp; $AM5),0)))))</f>
        <v>0.53994249111051207</v>
      </c>
      <c r="H5" s="596">
        <f ca="1">IF(ISERROR(MATCH(H$1,INDIRECT("Table!A"&amp;$AM5):INDIRECT("Table!" &amp; $AP$112 &amp; $AM5),0)),"",INDIRECT(CONCATENATE("Table!",ADDRESS($AI5,MATCH(H$1,INDIRECT("Table!A" &amp; $AM5):INDIRECT("Table!" &amp; $AP$112 &amp; $AM5),0)))))</f>
        <v>0.5702015694095961</v>
      </c>
      <c r="I5" s="596">
        <f ca="1">IF(ISERROR(MATCH(I$1,INDIRECT("Table!A"&amp;$AM5):INDIRECT("Table!" &amp; $AP$91 &amp; $AM5),0)),"",INDIRECT(CONCATENATE("Table!",ADDRESS($AI5,MATCH(I$1,INDIRECT("Table!A" &amp; $AM5):INDIRECT("Table!" &amp; $AP$91 &amp; $AM5),0)))))</f>
        <v>0.32125627717096783</v>
      </c>
      <c r="J5" s="596">
        <f ca="1">IF(ISERROR(MATCH(J$1,INDIRECT("Table!A"&amp;$AM5):INDIRECT("Table!" &amp; $AP$91 &amp; $AM5),0)),"",INDIRECT(CONCATENATE("Table!",ADDRESS($AI5,MATCH(J$1,INDIRECT("Table!A" &amp; $AM5):INDIRECT("Table!" &amp; $AP$91 &amp; $AM5),0)))))</f>
        <v>0.83740662736092475</v>
      </c>
      <c r="K5" s="596">
        <f ca="1">IF(ISERROR(MATCH(K$1,INDIRECT("Table!A"&amp;$AM5):INDIRECT("Table!" &amp; $AP$91 &amp; $AM5),0)),"",INDIRECT(CONCATENATE("Table!",ADDRESS($AI5,MATCH(K$1,INDIRECT("Table!A" &amp; $AM5):INDIRECT("Table!" &amp; $AP$91 &amp; $AM5),0)))))</f>
        <v>0.45007479765360298</v>
      </c>
      <c r="L5" s="596">
        <f ca="1">IF(ISERROR(MATCH(L$1,INDIRECT("Table!A"&amp;$AM5):INDIRECT("Table!" &amp; $AP$91 &amp; $AM5),0)),"",INDIRECT(CONCATENATE("Table!",ADDRESS($AI5,MATCH(L$1,INDIRECT("Table!A" &amp; $AM5):INDIRECT("Table!" &amp; $AP$91 &amp; $AM5),0)))))</f>
        <v>0.42018638640495137</v>
      </c>
      <c r="M5" s="596">
        <f ca="1">IF(ISERROR(MATCH(M$1,INDIRECT("Table!A"&amp;$AM5):INDIRECT("Table!" &amp; $AP$91 &amp; $AM5),0)),"",INDIRECT(CONCATENATE("Table!",ADDRESS($AI5,MATCH(M$1,INDIRECT("Table!A" &amp; $AM5):INDIRECT("Table!" &amp; $AP$91 &amp; $AM5),0)))))</f>
        <v>0.50050351433150342</v>
      </c>
      <c r="N5" s="596">
        <f ca="1">IF(ISERROR(MATCH(N$1,INDIRECT("Table!A"&amp;$AM5):INDIRECT("Table!" &amp; $AP$91 &amp; $AM5),0)),"",INDIRECT(CONCATENATE("Table!",ADDRESS($AI5,MATCH(N$1,INDIRECT("Table!A" &amp; $AM5):INDIRECT("Table!" &amp; $AP$91 &amp; $AM5),0)))))</f>
        <v>0.73277672606058852</v>
      </c>
      <c r="O5" s="596">
        <f ca="1">IF(ISERROR(MATCH(O$1,INDIRECT("Table!A"&amp;$AM5):INDIRECT("Table!" &amp; $AP$91 &amp; $AM5),0)),"",INDIRECT(CONCATENATE("Table!",ADDRESS($AI5,MATCH(O$1,INDIRECT("Table!A" &amp; $AM5):INDIRECT("Table!" &amp; $AP$91 &amp; $AM5),0)))))</f>
        <v>0.66862504092269448</v>
      </c>
      <c r="P5" s="596">
        <f ca="1">IF(ISERROR(MATCH(P$1,INDIRECT("Table!A"&amp;$AM5):INDIRECT("Table!" &amp; $AP$91 &amp; $AM5),0)),"",INDIRECT(CONCATENATE("Table!",ADDRESS($AI5,MATCH(P$1,INDIRECT("Table!A" &amp; $AM5):INDIRECT("Table!" &amp; $AP$91 &amp; $AM5),0)))))</f>
        <v>0.33194241727963308</v>
      </c>
      <c r="Q5" s="596">
        <f ca="1">IF(ISERROR(MATCH(Q$1,INDIRECT("Table!A"&amp;$AM5):INDIRECT("Table!" &amp; $AP$91 &amp; $AM5),0)),"",INDIRECT(CONCATENATE("Table!",ADDRESS($AI5,MATCH(Q$1,INDIRECT("Table!A" &amp; $AM5):INDIRECT("Table!" &amp; $AP$91 &amp; $AM5),0)))))</f>
        <v>0.82279292885540101</v>
      </c>
      <c r="R5" s="596">
        <f ca="1">IF(ISERROR(MATCH(R$1,INDIRECT("Table!A"&amp;$AM5):INDIRECT("Table!" &amp; $AP$91 &amp; $AM5),0)),"",INDIRECT(CONCATENATE("Table!",ADDRESS($AI5,MATCH(R$1,INDIRECT("Table!A" &amp; $AM5):INDIRECT("Table!" &amp; $AP$91 &amp; $AM5),0)))))</f>
        <v>0.71677833106929034</v>
      </c>
      <c r="S5" s="596">
        <f ca="1">IF(ISERROR(MATCH(S$1,INDIRECT("Table!A"&amp;$AM5):INDIRECT("Table!" &amp; $AP$91 &amp; $AM5),0)),"",INDIRECT(CONCATENATE("Table!",ADDRESS($AI5,MATCH(S$1,INDIRECT("Table!A" &amp; $AM5):INDIRECT("Table!" &amp; $AP$91 &amp; $AM5),0)))))</f>
        <v>0.67804071080659778</v>
      </c>
      <c r="T5" s="596">
        <f ca="1">IF(ISERROR(MATCH(T$1,INDIRECT("Table!A"&amp;$AM5):INDIRECT("Table!" &amp; $AP$65 &amp; $AM5),0)),"",INDIRECT(CONCATENATE("Table!",ADDRESS($AI5,MATCH(T$1,INDIRECT("Table!A" &amp; $AM5):INDIRECT("Table!" &amp; $AP$65 &amp; $AM5),0)))))</f>
        <v>0.43180973391154559</v>
      </c>
      <c r="U5" s="596">
        <f ca="1">IF(ISERROR(MATCH(U$1,INDIRECT("Table!A"&amp;$AM5):INDIRECT("Table!" &amp; $AP$65 &amp; $AM5),0)),"",INDIRECT(CONCATENATE("Table!",ADDRESS($AI5,MATCH(U$1,INDIRECT("Table!A" &amp; $AM5):INDIRECT("Table!" &amp; $AP$65 &amp; $AM5),0)))))</f>
        <v>0.15765510560537788</v>
      </c>
      <c r="V5" s="596">
        <f ca="1">IF(ISERROR(MATCH(V$1,INDIRECT("Table!A"&amp;$AM5):INDIRECT("Table!" &amp; $AP$65 &amp; $AM5),0)),"",INDIRECT(CONCATENATE("Table!",ADDRESS($AI5,MATCH(V$1,INDIRECT("Table!A" &amp; $AM5):INDIRECT("Table!" &amp; $AP$65 &amp; $AM5),0)))))</f>
        <v>0.15375817734425157</v>
      </c>
      <c r="W5" s="596">
        <f ca="1">IF(ISERROR(MATCH(W$1,INDIRECT("Table!A"&amp;$AM5):INDIRECT("Table!" &amp; $AP$65 &amp; $AM5),0)),"",INDIRECT(CONCATENATE("Table!",ADDRESS($AI5,MATCH(W$1,INDIRECT("Table!A" &amp; $AM5):INDIRECT("Table!" &amp; $AP$65 &amp; $AM5),0)))))</f>
        <v>0.41670898709838394</v>
      </c>
      <c r="X5" s="596">
        <f ca="1">IF(ISERROR(MATCH(X$1,INDIRECT("Table!A"&amp;$AM5):INDIRECT("Table!" &amp; $AP$65 &amp; $AM5),0)),"",INDIRECT(CONCATENATE("Table!",ADDRESS($AI5,MATCH(X$1,INDIRECT("Table!A" &amp; $AM5):INDIRECT("Table!" &amp; $AP$65 &amp; $AM5),0)))))</f>
        <v>0.4023231891702248</v>
      </c>
      <c r="Y5" s="596">
        <f ca="1">IF(ISERROR(MATCH(Y$1,INDIRECT("Table!A"&amp;$AM5):INDIRECT("Table!" &amp; $AP$65 &amp; $AM5),0)),"",INDIRECT(CONCATENATE("Table!",ADDRESS($AI5,MATCH(Y$1,INDIRECT("Table!A" &amp; $AM5):INDIRECT("Table!" &amp; $AP$65 &amp; $AM5),0)))))</f>
        <v>0.38808374063691031</v>
      </c>
      <c r="Z5" s="596">
        <f ca="1">IF(ISERROR(MATCH(Z$1,INDIRECT("Table!A"&amp;$AM5):INDIRECT("Table!" &amp; $AP$65 &amp; $AM5),0)),"",INDIRECT(CONCATENATE("Table!",ADDRESS($AI5,MATCH(Z$1,INDIRECT("Table!A" &amp; $AM5):INDIRECT("Table!" &amp; $AP$65 &amp; $AM5),0)))))</f>
        <v>0.3447527762993654</v>
      </c>
      <c r="AA5" s="596">
        <f ca="1">IF(ISERROR(MATCH(AA$1,INDIRECT("Table!A"&amp;$AM5):INDIRECT("Table!" &amp; $AP$65 &amp; $AM5),0)),"",INDIRECT(CONCATENATE("Table!",ADDRESS($AI5,MATCH(AA$1,INDIRECT("Table!A" &amp; $AM5):INDIRECT("Table!" &amp; $AP$65 &amp; $AM5),0)))))</f>
        <v>0.42525963263229882</v>
      </c>
      <c r="AB5" s="596">
        <f ca="1">IF(ISERROR(MATCH(AB$1,INDIRECT("Table!A"&amp;$AM5):INDIRECT("Table!" &amp; $AP$65 &amp; $AM5),0)),"",INDIRECT(CONCATENATE("Table!",ADDRESS($AI5,MATCH(AB$1,INDIRECT("Table!A" &amp; $AM5):INDIRECT("Table!" &amp; $AP$65 &amp; $AM5),0)))))</f>
        <v>2.5671761900171424E-5</v>
      </c>
      <c r="AC5" s="596">
        <f ca="1">IF(ISERROR(MATCH(AC$1,INDIRECT("Table!A"&amp;$AM5):INDIRECT("Table!" &amp; $AP$65 &amp; $AM5),0)),"",INDIRECT(CONCATENATE("Table!",ADDRESS($AI5,MATCH(AC$1,INDIRECT("Table!A" &amp; $AM5):INDIRECT("Table!" &amp; $AP$65 &amp; $AM5),0)))))</f>
        <v>0.21605364723355791</v>
      </c>
      <c r="AD5" s="596">
        <f ca="1">IF(ISERROR(MATCH(AD$1,INDIRECT("Table!A"&amp;$AM5):INDIRECT("Table!" &amp; $AP$65 &amp; $AM5),0)),"",INDIRECT(CONCATENATE("Table!",ADDRESS($AI5,MATCH(AD$1,INDIRECT("Table!A" &amp; $AM5):INDIRECT("Table!" &amp; $AP$65 &amp; $AM5),0)))))</f>
        <v>0.34665276037259579</v>
      </c>
      <c r="AE5" s="596">
        <f ca="1">IF(ISERROR(MATCH(AE$1,INDIRECT("Table!A"&amp;$AM5):INDIRECT("Table!" &amp; $AP$65 &amp; $AM5),0)),"",INDIRECT(CONCATENATE("Table!",ADDRESS($AI5,MATCH(AE$1,INDIRECT("Table!A" &amp; $AM5):INDIRECT("Table!" &amp; $AP$65 &amp; $AM5),0)))))</f>
        <v>0.20624594654983766</v>
      </c>
      <c r="AF5" s="596">
        <f ca="1">IF(ISERROR(MATCH(AF$1,INDIRECT("Table!A"&amp;$AM5):INDIRECT("Table!" &amp; $AP$65 &amp; $AM5),0)),"",INDIRECT(CONCATENATE("Table!",ADDRESS($AI5,MATCH(AF$1,INDIRECT("Table!A" &amp; $AM5):INDIRECT("Table!" &amp; $AP$65 &amp; $AM5),0)))))</f>
        <v>0.20607116401963965</v>
      </c>
      <c r="AG5" s="596">
        <f ca="1">IF(ISERROR(MATCH(AG$1,INDIRECT("Table!A"&amp;$AM5):INDIRECT("Table!" &amp; $AP$65 &amp; $AM5),0)),"",INDIRECT(CONCATENATE("Table!",ADDRESS($AI5,MATCH(AG$1,INDIRECT("Table!A" &amp; $AM5):INDIRECT("Table!" &amp; $AP$65 &amp; $AM5),0)))))</f>
        <v>9.7622095119765495E-2</v>
      </c>
      <c r="AH5" s="596">
        <f ca="1">IF(ISERROR(MATCH(AH$1,INDIRECT("Table!A"&amp;$AM5):INDIRECT("Table!" &amp; $AP$65 &amp; $AM5),0)),"",INDIRECT(CONCATENATE("Table!",ADDRESS($AI5,MATCH(AH$1,INDIRECT("Table!A" &amp; $AM5):INDIRECT("Table!" &amp; $AP$65 &amp; $AM5),0)))))</f>
        <v>2.5671761900171424E-5</v>
      </c>
      <c r="AI5" s="595">
        <f>MATCH($A5,Table!$A:$A,0)+$AK$2-1</f>
        <v>34</v>
      </c>
      <c r="AJ5" s="1039"/>
      <c r="AK5" s="1039"/>
      <c r="AL5" s="1039"/>
      <c r="AM5" s="595">
        <f>MATCH($A5,Table!$A:$A,0)+$AO$2-1</f>
        <v>31</v>
      </c>
      <c r="AN5" s="1039"/>
      <c r="AP5" s="947" t="s">
        <v>302</v>
      </c>
    </row>
    <row r="6" spans="1:42" s="947" customFormat="1" ht="14.25" customHeight="1" x14ac:dyDescent="0.25">
      <c r="A6" s="592">
        <v>41956</v>
      </c>
      <c r="B6" s="596">
        <f ca="1">IF(ISERROR(MATCH(B$1,INDIRECT("Table!A"&amp;$AM6):INDIRECT("Table!" &amp; $AP$113 &amp; $AM6),0)),"",INDIRECT(CONCATENATE("Table!",ADDRESS($AI6,MATCH(B$1,INDIRECT("Table!A" &amp; $AM6):INDIRECT("Table!" &amp; $AP$112 &amp; $AM6),0)))))</f>
        <v>0.21684644010200849</v>
      </c>
      <c r="C6" s="596">
        <f ca="1">IF(ISERROR(MATCH(C$1,INDIRECT("Table!A"&amp;$AM6):INDIRECT("Table!" &amp; $AP$112 &amp; $AM6),0)),"",INDIRECT(CONCATENATE("Table!",ADDRESS($AI6,MATCH(C$1,INDIRECT("Table!A" &amp; $AM6):INDIRECT("Table!" &amp; $AP$112 &amp; $AM6),0)))))</f>
        <v>0.57870787759763531</v>
      </c>
      <c r="D6" s="596">
        <f ca="1">IF(ISERROR(MATCH(D$1,INDIRECT("Table!A"&amp;$AM6):INDIRECT("Table!" &amp; $AP$112 &amp; $AM6),0)),"",INDIRECT(CONCATENATE("Table!",ADDRESS($AI6,MATCH(D$1,INDIRECT("Table!A" &amp; $AM6):INDIRECT("Table!" &amp; $AP$112 &amp; $AM6),0)))))</f>
        <v>0.57702899412490438</v>
      </c>
      <c r="E6" s="596">
        <f ca="1">IF(ISERROR(MATCH(E$1,INDIRECT("Table!A"&amp;$AM6):INDIRECT("Table!" &amp; $AP$112 &amp; $AM6),0)),"",INDIRECT(CONCATENATE("Table!",ADDRESS($AI6,MATCH(E$1,INDIRECT("Table!A" &amp; $AM6):INDIRECT("Table!" &amp; $AP$112 &amp; $AM6),0)))))</f>
        <v>0.56319711998101085</v>
      </c>
      <c r="F6" s="596">
        <f ca="1">IF(ISERROR(MATCH(F$1,INDIRECT("Table!A"&amp;$AM6):INDIRECT("Table!" &amp; $AP$112 &amp; $AM6),0)),"",INDIRECT(CONCATENATE("Table!",ADDRESS($AI6,MATCH(F$1,INDIRECT("Table!A" &amp; $AM6):INDIRECT("Table!" &amp; $AP$112 &amp; $AM6),0)))))</f>
        <v>0.72629259249651756</v>
      </c>
      <c r="G6" s="596">
        <f ca="1">IF(ISERROR(MATCH(G$1,INDIRECT("Table!A"&amp;$AM6):INDIRECT("Table!" &amp; $AP$112 &amp; $AM6),0)),"",INDIRECT(CONCATENATE("Table!",ADDRESS($AI6,MATCH(G$1,INDIRECT("Table!A" &amp; $AM6):INDIRECT("Table!" &amp; $AP$112 &amp; $AM6),0)))))</f>
        <v>0.53827293616256533</v>
      </c>
      <c r="H6" s="596">
        <f ca="1">IF(ISERROR(MATCH(H$1,INDIRECT("Table!A"&amp;$AM6):INDIRECT("Table!" &amp; $AP$112 &amp; $AM6),0)),"",INDIRECT(CONCATENATE("Table!",ADDRESS($AI6,MATCH(H$1,INDIRECT("Table!A" &amp; $AM6):INDIRECT("Table!" &amp; $AP$112 &amp; $AM6),0)))))</f>
        <v>0.56919328625298371</v>
      </c>
      <c r="I6" s="596">
        <f ca="1">IF(ISERROR(MATCH(I$1,INDIRECT("Table!A"&amp;$AM6):INDIRECT("Table!" &amp; $AP$91 &amp; $AM6),0)),"",INDIRECT(CONCATENATE("Table!",ADDRESS($AI6,MATCH(I$1,INDIRECT("Table!A" &amp; $AM6):INDIRECT("Table!" &amp; $AP$91 &amp; $AM6),0)))))</f>
        <v>0.31927949517696508</v>
      </c>
      <c r="J6" s="596">
        <f ca="1">IF(ISERROR(MATCH(J$1,INDIRECT("Table!A"&amp;$AM6):INDIRECT("Table!" &amp; $AP$91 &amp; $AM6),0)),"",INDIRECT(CONCATENATE("Table!",ADDRESS($AI6,MATCH(J$1,INDIRECT("Table!A" &amp; $AM6):INDIRECT("Table!" &amp; $AP$91 &amp; $AM6),0)))))</f>
        <v>0.83292667586954272</v>
      </c>
      <c r="K6" s="596">
        <f ca="1">IF(ISERROR(MATCH(K$1,INDIRECT("Table!A"&amp;$AM6):INDIRECT("Table!" &amp; $AP$91 &amp; $AM6),0)),"",INDIRECT(CONCATENATE("Table!",ADDRESS($AI6,MATCH(K$1,INDIRECT("Table!A" &amp; $AM6):INDIRECT("Table!" &amp; $AP$91 &amp; $AM6),0)))))</f>
        <v>0.44754345940040485</v>
      </c>
      <c r="L6" s="596">
        <f ca="1">IF(ISERROR(MATCH(L$1,INDIRECT("Table!A"&amp;$AM6):INDIRECT("Table!" &amp; $AP$91 &amp; $AM6),0)),"",INDIRECT(CONCATENATE("Table!",ADDRESS($AI6,MATCH(L$1,INDIRECT("Table!A" &amp; $AM6):INDIRECT("Table!" &amp; $AP$91 &amp; $AM6),0)))))</f>
        <v>0.42002164440491091</v>
      </c>
      <c r="M6" s="596">
        <f ca="1">IF(ISERROR(MATCH(M$1,INDIRECT("Table!A"&amp;$AM6):INDIRECT("Table!" &amp; $AP$91 &amp; $AM6),0)),"",INDIRECT(CONCATENATE("Table!",ADDRESS($AI6,MATCH(M$1,INDIRECT("Table!A" &amp; $AM6):INDIRECT("Table!" &amp; $AP$91 &amp; $AM6),0)))))</f>
        <v>0.49671432082386036</v>
      </c>
      <c r="N6" s="596">
        <f ca="1">IF(ISERROR(MATCH(N$1,INDIRECT("Table!A"&amp;$AM6):INDIRECT("Table!" &amp; $AP$91 &amp; $AM6),0)),"",INDIRECT(CONCATENATE("Table!",ADDRESS($AI6,MATCH(N$1,INDIRECT("Table!A" &amp; $AM6):INDIRECT("Table!" &amp; $AP$91 &amp; $AM6),0)))))</f>
        <v>0.73231549588866884</v>
      </c>
      <c r="O6" s="596">
        <f ca="1">IF(ISERROR(MATCH(O$1,INDIRECT("Table!A"&amp;$AM6):INDIRECT("Table!" &amp; $AP$91 &amp; $AM6),0)),"",INDIRECT(CONCATENATE("Table!",ADDRESS($AI6,MATCH(O$1,INDIRECT("Table!A" &amp; $AM6):INDIRECT("Table!" &amp; $AP$91 &amp; $AM6),0)))))</f>
        <v>0.66746001164667124</v>
      </c>
      <c r="P6" s="596">
        <f ca="1">IF(ISERROR(MATCH(P$1,INDIRECT("Table!A"&amp;$AM6):INDIRECT("Table!" &amp; $AP$91 &amp; $AM6),0)),"",INDIRECT(CONCATENATE("Table!",ADDRESS($AI6,MATCH(P$1,INDIRECT("Table!A" &amp; $AM6):INDIRECT("Table!" &amp; $AP$91 &amp; $AM6),0)))))</f>
        <v>0.3299650283963641</v>
      </c>
      <c r="Q6" s="596">
        <f ca="1">IF(ISERROR(MATCH(Q$1,INDIRECT("Table!A"&amp;$AM6):INDIRECT("Table!" &amp; $AP$91 &amp; $AM6),0)),"",INDIRECT(CONCATENATE("Table!",ADDRESS($AI6,MATCH(Q$1,INDIRECT("Table!A" &amp; $AM6):INDIRECT("Table!" &amp; $AP$91 &amp; $AM6),0)))))</f>
        <v>0.82007763354420393</v>
      </c>
      <c r="R6" s="596">
        <f ca="1">IF(ISERROR(MATCH(R$1,INDIRECT("Table!A"&amp;$AM6):INDIRECT("Table!" &amp; $AP$91 &amp; $AM6),0)),"",INDIRECT(CONCATENATE("Table!",ADDRESS($AI6,MATCH(R$1,INDIRECT("Table!A" &amp; $AM6):INDIRECT("Table!" &amp; $AP$91 &amp; $AM6),0)))))</f>
        <v>0.71243388492612525</v>
      </c>
      <c r="S6" s="596">
        <f ca="1">IF(ISERROR(MATCH(S$1,INDIRECT("Table!A"&amp;$AM6):INDIRECT("Table!" &amp; $AP$91 &amp; $AM6),0)),"",INDIRECT(CONCATENATE("Table!",ADDRESS($AI6,MATCH(S$1,INDIRECT("Table!A" &amp; $AM6):INDIRECT("Table!" &amp; $AP$91 &amp; $AM6),0)))))</f>
        <v>0.67804071080659778</v>
      </c>
      <c r="T6" s="596">
        <f ca="1">IF(ISERROR(MATCH(T$1,INDIRECT("Table!A"&amp;$AM6):INDIRECT("Table!" &amp; $AP$65 &amp; $AM6),0)),"",INDIRECT(CONCATENATE("Table!",ADDRESS($AI6,MATCH(T$1,INDIRECT("Table!A" &amp; $AM6):INDIRECT("Table!" &amp; $AP$65 &amp; $AM6),0)))))</f>
        <v>0.43180973391154559</v>
      </c>
      <c r="U6" s="596">
        <f ca="1">IF(ISERROR(MATCH(U$1,INDIRECT("Table!A"&amp;$AM6):INDIRECT("Table!" &amp; $AP$65 &amp; $AM6),0)),"",INDIRECT(CONCATENATE("Table!",ADDRESS($AI6,MATCH(U$1,INDIRECT("Table!A" &amp; $AM6):INDIRECT("Table!" &amp; $AP$65 &amp; $AM6),0)))))</f>
        <v>0.15749560894942585</v>
      </c>
      <c r="V6" s="596">
        <f ca="1">IF(ISERROR(MATCH(V$1,INDIRECT("Table!A"&amp;$AM6):INDIRECT("Table!" &amp; $AP$65 &amp; $AM6),0)),"",INDIRECT(CONCATENATE("Table!",ADDRESS($AI6,MATCH(V$1,INDIRECT("Table!A" &amp; $AM6):INDIRECT("Table!" &amp; $AP$65 &amp; $AM6),0)))))</f>
        <v>0.15360256615265649</v>
      </c>
      <c r="W6" s="596">
        <f ca="1">IF(ISERROR(MATCH(W$1,INDIRECT("Table!A"&amp;$AM6):INDIRECT("Table!" &amp; $AP$65 &amp; $AM6),0)),"",INDIRECT(CONCATENATE("Table!",ADDRESS($AI6,MATCH(W$1,INDIRECT("Table!A" &amp; $AM6):INDIRECT("Table!" &amp; $AP$65 &amp; $AM6),0)))))</f>
        <v>0.40757853742544997</v>
      </c>
      <c r="X6" s="596">
        <f ca="1">IF(ISERROR(MATCH(X$1,INDIRECT("Table!A"&amp;$AM6):INDIRECT("Table!" &amp; $AP$65 &amp; $AM6),0)),"",INDIRECT(CONCATENATE("Table!",ADDRESS($AI6,MATCH(X$1,INDIRECT("Table!A" &amp; $AM6):INDIRECT("Table!" &amp; $AP$65 &amp; $AM6),0)))))</f>
        <v>0.39340418575011993</v>
      </c>
      <c r="Y6" s="596">
        <f ca="1">IF(ISERROR(MATCH(Y$1,INDIRECT("Table!A"&amp;$AM6):INDIRECT("Table!" &amp; $AP$65 &amp; $AM6),0)),"",INDIRECT(CONCATENATE("Table!",ADDRESS($AI6,MATCH(Y$1,INDIRECT("Table!A" &amp; $AM6):INDIRECT("Table!" &amp; $AP$65 &amp; $AM6),0)))))</f>
        <v>0.34782013082639818</v>
      </c>
      <c r="Z6" s="596">
        <f ca="1">IF(ISERROR(MATCH(Z$1,INDIRECT("Table!A"&amp;$AM6):INDIRECT("Table!" &amp; $AP$65 &amp; $AM6),0)),"",INDIRECT(CONCATENATE("Table!",ADDRESS($AI6,MATCH(Z$1,INDIRECT("Table!A" &amp; $AM6):INDIRECT("Table!" &amp; $AP$65 &amp; $AM6),0)))))</f>
        <v>0.30867341459165187</v>
      </c>
      <c r="AA6" s="596">
        <f ca="1">IF(ISERROR(MATCH(AA$1,INDIRECT("Table!A"&amp;$AM6):INDIRECT("Table!" &amp; $AP$65 &amp; $AM6),0)),"",INDIRECT(CONCATENATE("Table!",ADDRESS($AI6,MATCH(AA$1,INDIRECT("Table!A" &amp; $AM6):INDIRECT("Table!" &amp; $AP$65 &amp; $AM6),0)))))</f>
        <v>0.42365419391582232</v>
      </c>
      <c r="AB6" s="596">
        <f ca="1">IF(ISERROR(MATCH(AB$1,INDIRECT("Table!A"&amp;$AM6):INDIRECT("Table!" &amp; $AP$65 &amp; $AM6),0)),"",INDIRECT(CONCATENATE("Table!",ADDRESS($AI6,MATCH(AB$1,INDIRECT("Table!A" &amp; $AM6):INDIRECT("Table!" &amp; $AP$65 &amp; $AM6),0)))))</f>
        <v>2.5671761900171424E-5</v>
      </c>
      <c r="AC6" s="596">
        <f ca="1">IF(ISERROR(MATCH(AC$1,INDIRECT("Table!A"&amp;$AM6):INDIRECT("Table!" &amp; $AP$65 &amp; $AM6),0)),"",INDIRECT(CONCATENATE("Table!",ADDRESS($AI6,MATCH(AC$1,INDIRECT("Table!A" &amp; $AM6):INDIRECT("Table!" &amp; $AP$65 &amp; $AM6),0)))))</f>
        <v>0.21211204295777411</v>
      </c>
      <c r="AD6" s="596">
        <f ca="1">IF(ISERROR(MATCH(AD$1,INDIRECT("Table!A"&amp;$AM6):INDIRECT("Table!" &amp; $AP$65 &amp; $AM6),0)),"",INDIRECT(CONCATENATE("Table!",ADDRESS($AI6,MATCH(AD$1,INDIRECT("Table!A" &amp; $AM6):INDIRECT("Table!" &amp; $AP$65 &amp; $AM6),0)))))</f>
        <v>0.34111255708007093</v>
      </c>
      <c r="AE6" s="596">
        <f ca="1">IF(ISERROR(MATCH(AE$1,INDIRECT("Table!A"&amp;$AM6):INDIRECT("Table!" &amp; $AP$65 &amp; $AM6),0)),"",INDIRECT(CONCATENATE("Table!",ADDRESS($AI6,MATCH(AE$1,INDIRECT("Table!A" &amp; $AM6):INDIRECT("Table!" &amp; $AP$65 &amp; $AM6),0)))))</f>
        <v>0.16688658534477294</v>
      </c>
      <c r="AF6" s="596">
        <f ca="1">IF(ISERROR(MATCH(AF$1,INDIRECT("Table!A"&amp;$AM6):INDIRECT("Table!" &amp; $AP$65 &amp; $AM6),0)),"",INDIRECT(CONCATENATE("Table!",ADDRESS($AI6,MATCH(AF$1,INDIRECT("Table!A" &amp; $AM6):INDIRECT("Table!" &amp; $AP$65 &amp; $AM6),0)))))</f>
        <v>0.16671180281457496</v>
      </c>
      <c r="AG6" s="596">
        <f ca="1">IF(ISERROR(MATCH(AG$1,INDIRECT("Table!A"&amp;$AM6):INDIRECT("Table!" &amp; $AP$65 &amp; $AM6),0)),"",INDIRECT(CONCATENATE("Table!",ADDRESS($AI6,MATCH(AG$1,INDIRECT("Table!A" &amp; $AM6):INDIRECT("Table!" &amp; $AP$65 &amp; $AM6),0)))))</f>
        <v>9.5015334411562041E-2</v>
      </c>
      <c r="AH6" s="596">
        <f ca="1">IF(ISERROR(MATCH(AH$1,INDIRECT("Table!A"&amp;$AM6):INDIRECT("Table!" &amp; $AP$65 &amp; $AM6),0)),"",INDIRECT(CONCATENATE("Table!",ADDRESS($AI6,MATCH(AH$1,INDIRECT("Table!A" &amp; $AM6):INDIRECT("Table!" &amp; $AP$65 &amp; $AM6),0)))))</f>
        <v>2.5671761900171424E-5</v>
      </c>
      <c r="AI6" s="595">
        <f>MATCH($A6,Table!$A:$A,0)+$AK$2-1</f>
        <v>48</v>
      </c>
      <c r="AJ6" s="1036"/>
      <c r="AK6" s="1036"/>
      <c r="AL6" s="1036"/>
      <c r="AM6" s="595">
        <f>MATCH($A6,Table!$A:$A,0)+$AO$2-1</f>
        <v>45</v>
      </c>
      <c r="AN6" s="1036"/>
      <c r="AP6" s="947" t="s">
        <v>302</v>
      </c>
    </row>
    <row r="7" spans="1:42" s="947" customFormat="1" ht="14.25" customHeight="1" x14ac:dyDescent="0.25">
      <c r="A7" s="592">
        <v>41949</v>
      </c>
      <c r="B7" s="596">
        <f ca="1">IF(ISERROR(MATCH(B$1,INDIRECT("Table!A"&amp;$AM7):INDIRECT("Table!" &amp; $AP$113 &amp; $AM7),0)),"",INDIRECT(CONCATENATE("Table!",ADDRESS($AI7,MATCH(B$1,INDIRECT("Table!A" &amp; $AM7):INDIRECT("Table!" &amp; $AP$112 &amp; $AM7),0)))))</f>
        <v>0.2166544542321685</v>
      </c>
      <c r="C7" s="596">
        <f ca="1">IF(ISERROR(MATCH(C$1,INDIRECT("Table!A"&amp;$AM7):INDIRECT("Table!" &amp; $AP$112 &amp; $AM7),0)),"",INDIRECT(CONCATENATE("Table!",ADDRESS($AI7,MATCH(C$1,INDIRECT("Table!A" &amp; $AM7):INDIRECT("Table!" &amp; $AP$112 &amp; $AM7),0)))))</f>
        <v>0.57870654884142425</v>
      </c>
      <c r="D7" s="596">
        <f ca="1">IF(ISERROR(MATCH(D$1,INDIRECT("Table!A"&amp;$AM7):INDIRECT("Table!" &amp; $AP$112 &amp; $AM7),0)),"",INDIRECT(CONCATENATE("Table!",ADDRESS($AI7,MATCH(D$1,INDIRECT("Table!A" &amp; $AM7):INDIRECT("Table!" &amp; $AP$112 &amp; $AM7),0)))))</f>
        <v>0.57702832974679874</v>
      </c>
      <c r="E7" s="596">
        <f ca="1">IF(ISERROR(MATCH(E$1,INDIRECT("Table!A"&amp;$AM7):INDIRECT("Table!" &amp; $AP$112 &amp; $AM7),0)),"",INDIRECT(CONCATENATE("Table!",ADDRESS($AI7,MATCH(E$1,INDIRECT("Table!A" &amp; $AM7):INDIRECT("Table!" &amp; $AP$112 &amp; $AM7),0)))))</f>
        <v>0.56294601942430389</v>
      </c>
      <c r="F7" s="596">
        <f ca="1">IF(ISERROR(MATCH(F$1,INDIRECT("Table!A"&amp;$AM7):INDIRECT("Table!" &amp; $AP$112 &amp; $AM7),0)),"",INDIRECT(CONCATENATE("Table!",ADDRESS($AI7,MATCH(F$1,INDIRECT("Table!A" &amp; $AM7):INDIRECT("Table!" &amp; $AP$112 &amp; $AM7),0)))))</f>
        <v>0.72465896141360964</v>
      </c>
      <c r="G7" s="596">
        <f ca="1">IF(ISERROR(MATCH(G$1,INDIRECT("Table!A"&amp;$AM7):INDIRECT("Table!" &amp; $AP$112 &amp; $AM7),0)),"",INDIRECT(CONCATENATE("Table!",ADDRESS($AI7,MATCH(G$1,INDIRECT("Table!A" &amp; $AM7):INDIRECT("Table!" &amp; $AP$112 &amp; $AM7),0)))))</f>
        <v>0.53835945623291104</v>
      </c>
      <c r="H7" s="596">
        <f ca="1">IF(ISERROR(MATCH(H$1,INDIRECT("Table!A"&amp;$AM7):INDIRECT("Table!" &amp; $AP$112 &amp; $AM7),0)),"",INDIRECT(CONCATENATE("Table!",ADDRESS($AI7,MATCH(H$1,INDIRECT("Table!A" &amp; $AM7):INDIRECT("Table!" &amp; $AP$112 &amp; $AM7),0)))))</f>
        <v>0.56882346613325729</v>
      </c>
      <c r="I7" s="596">
        <f ca="1">IF(ISERROR(MATCH(I$1,INDIRECT("Table!A"&amp;$AM7):INDIRECT("Table!" &amp; $AP$91 &amp; $AM7),0)),"",INDIRECT(CONCATENATE("Table!",ADDRESS($AI7,MATCH(I$1,INDIRECT("Table!A" &amp; $AM7):INDIRECT("Table!" &amp; $AP$91 &amp; $AM7),0)))))</f>
        <v>0.31865388552366963</v>
      </c>
      <c r="J7" s="596">
        <f ca="1">IF(ISERROR(MATCH(J$1,INDIRECT("Table!A"&amp;$AM7):INDIRECT("Table!" &amp; $AP$91 &amp; $AM7),0)),"",INDIRECT(CONCATENATE("Table!",ADDRESS($AI7,MATCH(J$1,INDIRECT("Table!A" &amp; $AM7):INDIRECT("Table!" &amp; $AP$91 &amp; $AM7),0)))))</f>
        <v>0.82459328878109195</v>
      </c>
      <c r="K7" s="596">
        <f ca="1">IF(ISERROR(MATCH(K$1,INDIRECT("Table!A"&amp;$AM7):INDIRECT("Table!" &amp; $AP$91 &amp; $AM7),0)),"",INDIRECT(CONCATENATE("Table!",ADDRESS($AI7,MATCH(K$1,INDIRECT("Table!A" &amp; $AM7):INDIRECT("Table!" &amp; $AP$91 &amp; $AM7),0)))))</f>
        <v>0.44562888938873002</v>
      </c>
      <c r="L7" s="596">
        <f ca="1">IF(ISERROR(MATCH(L$1,INDIRECT("Table!A"&amp;$AM7):INDIRECT("Table!" &amp; $AP$91 &amp; $AM7),0)),"",INDIRECT(CONCATENATE("Table!",ADDRESS($AI7,MATCH(L$1,INDIRECT("Table!A" &amp; $AM7):INDIRECT("Table!" &amp; $AP$91 &amp; $AM7),0)))))</f>
        <v>0.41994652619734535</v>
      </c>
      <c r="M7" s="596">
        <f ca="1">IF(ISERROR(MATCH(M$1,INDIRECT("Table!A"&amp;$AM7):INDIRECT("Table!" &amp; $AP$91 &amp; $AM7),0)),"",INDIRECT(CONCATENATE("Table!",ADDRESS($AI7,MATCH(M$1,INDIRECT("Table!A" &amp; $AM7):INDIRECT("Table!" &amp; $AP$91 &amp; $AM7),0)))))</f>
        <v>0.49104456461242402</v>
      </c>
      <c r="N7" s="596">
        <f ca="1">IF(ISERROR(MATCH(N$1,INDIRECT("Table!A"&amp;$AM7):INDIRECT("Table!" &amp; $AP$91 &amp; $AM7),0)),"",INDIRECT(CONCATENATE("Table!",ADDRESS($AI7,MATCH(N$1,INDIRECT("Table!A" &amp; $AM7):INDIRECT("Table!" &amp; $AP$91 &amp; $AM7),0)))))</f>
        <v>0.73057052847584492</v>
      </c>
      <c r="O7" s="596">
        <f ca="1">IF(ISERROR(MATCH(O$1,INDIRECT("Table!A"&amp;$AM7):INDIRECT("Table!" &amp; $AP$91 &amp; $AM7),0)),"",INDIRECT(CONCATENATE("Table!",ADDRESS($AI7,MATCH(O$1,INDIRECT("Table!A" &amp; $AM7):INDIRECT("Table!" &amp; $AP$91 &amp; $AM7),0)))))</f>
        <v>0.66671688448645994</v>
      </c>
      <c r="P7" s="596">
        <f ca="1">IF(ISERROR(MATCH(P$1,INDIRECT("Table!A"&amp;$AM7):INDIRECT("Table!" &amp; $AP$91 &amp; $AM7),0)),"",INDIRECT(CONCATENATE("Table!",ADDRESS($AI7,MATCH(P$1,INDIRECT("Table!A" &amp; $AM7):INDIRECT("Table!" &amp; $AP$91 &amp; $AM7),0)))))</f>
        <v>0.32910518938134942</v>
      </c>
      <c r="Q7" s="596">
        <f ca="1">IF(ISERROR(MATCH(Q$1,INDIRECT("Table!A"&amp;$AM7):INDIRECT("Table!" &amp; $AP$91 &amp; $AM7),0)),"",INDIRECT(CONCATENATE("Table!",ADDRESS($AI7,MATCH(Q$1,INDIRECT("Table!A" &amp; $AM7):INDIRECT("Table!" &amp; $AP$91 &amp; $AM7),0)))))</f>
        <v>0.81148032911278778</v>
      </c>
      <c r="R7" s="596">
        <f ca="1">IF(ISERROR(MATCH(R$1,INDIRECT("Table!A"&amp;$AM7):INDIRECT("Table!" &amp; $AP$91 &amp; $AM7),0)),"",INDIRECT(CONCATENATE("Table!",ADDRESS($AI7,MATCH(R$1,INDIRECT("Table!A" &amp; $AM7):INDIRECT("Table!" &amp; $AP$91 &amp; $AM7),0)))))</f>
        <v>0.71162065950941877</v>
      </c>
      <c r="S7" s="596">
        <f ca="1">IF(ISERROR(MATCH(S$1,INDIRECT("Table!A"&amp;$AM7):INDIRECT("Table!" &amp; $AP$91 &amp; $AM7),0)),"",INDIRECT(CONCATENATE("Table!",ADDRESS($AI7,MATCH(S$1,INDIRECT("Table!A" &amp; $AM7):INDIRECT("Table!" &amp; $AP$91 &amp; $AM7),0)))))</f>
        <v>0.67804071080659778</v>
      </c>
      <c r="T7" s="596">
        <f ca="1">IF(ISERROR(MATCH(T$1,INDIRECT("Table!A"&amp;$AM7):INDIRECT("Table!" &amp; $AP$65 &amp; $AM7),0)),"",INDIRECT(CONCATENATE("Table!",ADDRESS($AI7,MATCH(T$1,INDIRECT("Table!A" &amp; $AM7):INDIRECT("Table!" &amp; $AP$65 &amp; $AM7),0)))))</f>
        <v>0.43180973391154559</v>
      </c>
      <c r="U7" s="596">
        <f ca="1">IF(ISERROR(MATCH(U$1,INDIRECT("Table!A"&amp;$AM7):INDIRECT("Table!" &amp; $AP$65 &amp; $AM7),0)),"",INDIRECT(CONCATENATE("Table!",ADDRESS($AI7,MATCH(U$1,INDIRECT("Table!A" &amp; $AM7):INDIRECT("Table!" &amp; $AP$65 &amp; $AM7),0)))))</f>
        <v>0.15331444814646294</v>
      </c>
      <c r="V7" s="596">
        <f ca="1">IF(ISERROR(MATCH(V$1,INDIRECT("Table!A"&amp;$AM7):INDIRECT("Table!" &amp; $AP$65 &amp; $AM7),0)),"",INDIRECT(CONCATENATE("Table!",ADDRESS($AI7,MATCH(V$1,INDIRECT("Table!A" &amp; $AM7):INDIRECT("Table!" &amp; $AP$65 &amp; $AM7),0)))))</f>
        <v>0.14959056595217582</v>
      </c>
      <c r="W7" s="596">
        <f ca="1">IF(ISERROR(MATCH(W$1,INDIRECT("Table!A"&amp;$AM7):INDIRECT("Table!" &amp; $AP$65 &amp; $AM7),0)),"",INDIRECT(CONCATENATE("Table!",ADDRESS($AI7,MATCH(W$1,INDIRECT("Table!A" &amp; $AM7):INDIRECT("Table!" &amp; $AP$65 &amp; $AM7),0)))))</f>
        <v>0.37264192022231679</v>
      </c>
      <c r="X7" s="596">
        <f ca="1">IF(ISERROR(MATCH(X$1,INDIRECT("Table!A"&amp;$AM7):INDIRECT("Table!" &amp; $AP$65 &amp; $AM7),0)),"",INDIRECT(CONCATENATE("Table!",ADDRESS($AI7,MATCH(X$1,INDIRECT("Table!A" &amp; $AM7):INDIRECT("Table!" &amp; $AP$65 &amp; $AM7),0)))))</f>
        <v>0.35915683555572531</v>
      </c>
      <c r="Y7" s="596">
        <f ca="1">IF(ISERROR(MATCH(Y$1,INDIRECT("Table!A"&amp;$AM7):INDIRECT("Table!" &amp; $AP$65 &amp; $AM7),0)),"",INDIRECT(CONCATENATE("Table!",ADDRESS($AI7,MATCH(Y$1,INDIRECT("Table!A" &amp; $AM7):INDIRECT("Table!" &amp; $AP$65 &amp; $AM7),0)))))</f>
        <v>0.28771533271687388</v>
      </c>
      <c r="Z7" s="596">
        <f ca="1">IF(ISERROR(MATCH(Z$1,INDIRECT("Table!A"&amp;$AM7):INDIRECT("Table!" &amp; $AP$65 &amp; $AM7),0)),"",INDIRECT(CONCATENATE("Table!",ADDRESS($AI7,MATCH(Z$1,INDIRECT("Table!A" &amp; $AM7):INDIRECT("Table!" &amp; $AP$65 &amp; $AM7),0)))))</f>
        <v>0.24248185530545854</v>
      </c>
      <c r="AA7" s="596">
        <f ca="1">IF(ISERROR(MATCH(AA$1,INDIRECT("Table!A"&amp;$AM7):INDIRECT("Table!" &amp; $AP$65 &amp; $AM7),0)),"",INDIRECT(CONCATENATE("Table!",ADDRESS($AI7,MATCH(AA$1,INDIRECT("Table!A" &amp; $AM7):INDIRECT("Table!" &amp; $AP$65 &amp; $AM7),0)))))</f>
        <v>0.41951053742190336</v>
      </c>
      <c r="AB7" s="596">
        <f ca="1">IF(ISERROR(MATCH(AB$1,INDIRECT("Table!A"&amp;$AM7):INDIRECT("Table!" &amp; $AP$65 &amp; $AM7),0)),"",INDIRECT(CONCATENATE("Table!",ADDRESS($AI7,MATCH(AB$1,INDIRECT("Table!A" &amp; $AM7):INDIRECT("Table!" &amp; $AP$65 &amp; $AM7),0)))))</f>
        <v>2.5671761900171424E-5</v>
      </c>
      <c r="AC7" s="596">
        <f ca="1">IF(ISERROR(MATCH(AC$1,INDIRECT("Table!A"&amp;$AM7):INDIRECT("Table!" &amp; $AP$65 &amp; $AM7),0)),"",INDIRECT(CONCATENATE("Table!",ADDRESS($AI7,MATCH(AC$1,INDIRECT("Table!A" &amp; $AM7):INDIRECT("Table!" &amp; $AP$65 &amp; $AM7),0)))))</f>
        <v>0.20378076254333444</v>
      </c>
      <c r="AD7" s="596">
        <f ca="1">IF(ISERROR(MATCH(AD$1,INDIRECT("Table!A"&amp;$AM7):INDIRECT("Table!" &amp; $AP$65 &amp; $AM7),0)),"",INDIRECT(CONCATENATE("Table!",ADDRESS($AI7,MATCH(AD$1,INDIRECT("Table!A" &amp; $AM7):INDIRECT("Table!" &amp; $AP$65 &amp; $AM7),0)))))</f>
        <v>0.34038198572596567</v>
      </c>
      <c r="AE7" s="596">
        <f ca="1">IF(ISERROR(MATCH(AE$1,INDIRECT("Table!A"&amp;$AM7):INDIRECT("Table!" &amp; $AP$65 &amp; $AM7),0)),"",INDIRECT(CONCATENATE("Table!",ADDRESS($AI7,MATCH(AE$1,INDIRECT("Table!A" &amp; $AM7):INDIRECT("Table!" &amp; $AP$65 &amp; $AM7),0)))))</f>
        <v>0.15882290048087605</v>
      </c>
      <c r="AF7" s="596">
        <f ca="1">IF(ISERROR(MATCH(AF$1,INDIRECT("Table!A"&amp;$AM7):INDIRECT("Table!" &amp; $AP$65 &amp; $AM7),0)),"",INDIRECT(CONCATENATE("Table!",ADDRESS($AI7,MATCH(AF$1,INDIRECT("Table!A" &amp; $AM7):INDIRECT("Table!" &amp; $AP$65 &amp; $AM7),0)))))</f>
        <v>0.15863787428590451</v>
      </c>
      <c r="AG7" s="596">
        <f ca="1">IF(ISERROR(MATCH(AG$1,INDIRECT("Table!A"&amp;$AM7):INDIRECT("Table!" &amp; $AP$65 &amp; $AM7),0)),"",INDIRECT(CONCATENATE("Table!",ADDRESS($AI7,MATCH(AG$1,INDIRECT("Table!A" &amp; $AM7):INDIRECT("Table!" &amp; $AP$65 &amp; $AM7),0)))))</f>
        <v>6.2957667027266323E-2</v>
      </c>
      <c r="AH7" s="596">
        <f ca="1">IF(ISERROR(MATCH(AH$1,INDIRECT("Table!A"&amp;$AM7):INDIRECT("Table!" &amp; $AP$65 &amp; $AM7),0)),"",INDIRECT(CONCATENATE("Table!",ADDRESS($AI7,MATCH(AH$1,INDIRECT("Table!A" &amp; $AM7):INDIRECT("Table!" &amp; $AP$65 &amp; $AM7),0)))))</f>
        <v>2.5671761900171424E-5</v>
      </c>
      <c r="AI7" s="595">
        <f>MATCH($A7,Table!$A:$A,0)+$AK$2-1</f>
        <v>62</v>
      </c>
      <c r="AJ7" s="1032"/>
      <c r="AK7" s="1032"/>
      <c r="AL7" s="1032"/>
      <c r="AM7" s="595">
        <f>MATCH($A7,Table!$A:$A,0)+$AO$2-1</f>
        <v>59</v>
      </c>
      <c r="AN7" s="1032"/>
      <c r="AP7" s="947" t="s">
        <v>302</v>
      </c>
    </row>
    <row r="8" spans="1:42" s="947" customFormat="1" ht="14.25" customHeight="1" x14ac:dyDescent="0.25">
      <c r="A8" s="592">
        <v>41942</v>
      </c>
      <c r="B8" s="596">
        <f ca="1">IF(ISERROR(MATCH(B$1,INDIRECT("Table!A"&amp;$AM8):INDIRECT("Table!" &amp; $AP$113 &amp; $AM8),0)),"",INDIRECT(CONCATENATE("Table!",ADDRESS($AI8,MATCH(B$1,INDIRECT("Table!A" &amp; $AM8):INDIRECT("Table!" &amp; $AP$112 &amp; $AM8),0)))))</f>
        <v>0.2165488620037565</v>
      </c>
      <c r="C8" s="596">
        <f ca="1">IF(ISERROR(MATCH(C$1,INDIRECT("Table!A"&amp;$AM8):INDIRECT("Table!" &amp; $AP$112 &amp; $AM8),0)),"",INDIRECT(CONCATENATE("Table!",ADDRESS($AI8,MATCH(C$1,INDIRECT("Table!A" &amp; $AM8):INDIRECT("Table!" &amp; $AP$112 &amp; $AM8),0)))))</f>
        <v>0.57870654884142425</v>
      </c>
      <c r="D8" s="596">
        <f ca="1">IF(ISERROR(MATCH(D$1,INDIRECT("Table!A"&amp;$AM8):INDIRECT("Table!" &amp; $AP$112 &amp; $AM8),0)),"",INDIRECT(CONCATENATE("Table!",ADDRESS($AI8,MATCH(D$1,INDIRECT("Table!A" &amp; $AM8):INDIRECT("Table!" &amp; $AP$112 &amp; $AM8),0)))))</f>
        <v>0.57702700099058768</v>
      </c>
      <c r="E8" s="596">
        <f ca="1">IF(ISERROR(MATCH(E$1,INDIRECT("Table!A"&amp;$AM8):INDIRECT("Table!" &amp; $AP$112 &amp; $AM8),0)),"",INDIRECT(CONCATENATE("Table!",ADDRESS($AI8,MATCH(E$1,INDIRECT("Table!A" &amp; $AM8):INDIRECT("Table!" &amp; $AP$112 &amp; $AM8),0)))))</f>
        <v>0.56263447890865215</v>
      </c>
      <c r="F8" s="596">
        <f ca="1">IF(ISERROR(MATCH(F$1,INDIRECT("Table!A"&amp;$AM8):INDIRECT("Table!" &amp; $AP$112 &amp; $AM8),0)),"",INDIRECT(CONCATENATE("Table!",ADDRESS($AI8,MATCH(F$1,INDIRECT("Table!A" &amp; $AM8):INDIRECT("Table!" &amp; $AP$112 &amp; $AM8),0)))))</f>
        <v>0.71799594246578147</v>
      </c>
      <c r="G8" s="596">
        <f ca="1">IF(ISERROR(MATCH(G$1,INDIRECT("Table!A"&amp;$AM8):INDIRECT("Table!" &amp; $AP$112 &amp; $AM8),0)),"",INDIRECT(CONCATENATE("Table!",ADDRESS($AI8,MATCH(G$1,INDIRECT("Table!A" &amp; $AM8):INDIRECT("Table!" &amp; $AP$112 &amp; $AM8),0)))))</f>
        <v>0.53532201127071544</v>
      </c>
      <c r="H8" s="596">
        <f ca="1">IF(ISERROR(MATCH(H$1,INDIRECT("Table!A"&amp;$AM8):INDIRECT("Table!" &amp; $AP$112 &amp; $AM8),0)),"",INDIRECT(CONCATENATE("Table!",ADDRESS($AI8,MATCH(H$1,INDIRECT("Table!A" &amp; $AM8):INDIRECT("Table!" &amp; $AP$112 &amp; $AM8),0)))))</f>
        <v>0.56591374934220284</v>
      </c>
      <c r="I8" s="596">
        <f ca="1">IF(ISERROR(MATCH(I$1,INDIRECT("Table!A"&amp;$AM8):INDIRECT("Table!" &amp; $AP$91 &amp; $AM8),0)),"",INDIRECT(CONCATENATE("Table!",ADDRESS($AI8,MATCH(I$1,INDIRECT("Table!A" &amp; $AM8):INDIRECT("Table!" &amp; $AP$91 &amp; $AM8),0)))))</f>
        <v>0.31743217042594446</v>
      </c>
      <c r="J8" s="596">
        <f ca="1">IF(ISERROR(MATCH(J$1,INDIRECT("Table!A"&amp;$AM8):INDIRECT("Table!" &amp; $AP$91 &amp; $AM8),0)),"",INDIRECT(CONCATENATE("Table!",ADDRESS($AI8,MATCH(J$1,INDIRECT("Table!A" &amp; $AM8):INDIRECT("Table!" &amp; $AP$91 &amp; $AM8),0)))))</f>
        <v>0.81504637991536788</v>
      </c>
      <c r="K8" s="596">
        <f ca="1">IF(ISERROR(MATCH(K$1,INDIRECT("Table!A"&amp;$AM8):INDIRECT("Table!" &amp; $AP$91 &amp; $AM8),0)),"",INDIRECT(CONCATENATE("Table!",ADDRESS($AI8,MATCH(K$1,INDIRECT("Table!A" &amp; $AM8):INDIRECT("Table!" &amp; $AP$91 &amp; $AM8),0)))))</f>
        <v>0.4440075297494725</v>
      </c>
      <c r="L8" s="596">
        <f ca="1">IF(ISERROR(MATCH(L$1,INDIRECT("Table!A"&amp;$AM8):INDIRECT("Table!" &amp; $AP$91 &amp; $AM8),0)),"",INDIRECT(CONCATENATE("Table!",ADDRESS($AI8,MATCH(L$1,INDIRECT("Table!A" &amp; $AM8):INDIRECT("Table!" &amp; $AP$91 &amp; $AM8),0)))))</f>
        <v>0.41906323968769471</v>
      </c>
      <c r="M8" s="596">
        <f ca="1">IF(ISERROR(MATCH(M$1,INDIRECT("Table!A"&amp;$AM8):INDIRECT("Table!" &amp; $AP$91 &amp; $AM8),0)),"",INDIRECT(CONCATENATE("Table!",ADDRESS($AI8,MATCH(M$1,INDIRECT("Table!A" &amp; $AM8):INDIRECT("Table!" &amp; $AP$91 &amp; $AM8),0)))))</f>
        <v>0.48908641529058811</v>
      </c>
      <c r="N8" s="596">
        <f ca="1">IF(ISERROR(MATCH(N$1,INDIRECT("Table!A"&amp;$AM8):INDIRECT("Table!" &amp; $AP$91 &amp; $AM8),0)),"",INDIRECT(CONCATENATE("Table!",ADDRESS($AI8,MATCH(N$1,INDIRECT("Table!A" &amp; $AM8):INDIRECT("Table!" &amp; $AP$91 &amp; $AM8),0)))))</f>
        <v>0.72240326208952921</v>
      </c>
      <c r="O8" s="596">
        <f ca="1">IF(ISERROR(MATCH(O$1,INDIRECT("Table!A"&amp;$AM8):INDIRECT("Table!" &amp; $AP$91 &amp; $AM8),0)),"",INDIRECT(CONCATENATE("Table!",ADDRESS($AI8,MATCH(O$1,INDIRECT("Table!A" &amp; $AM8):INDIRECT("Table!" &amp; $AP$91 &amp; $AM8),0)))))</f>
        <v>0.66354917821435089</v>
      </c>
      <c r="P8" s="596">
        <f ca="1">IF(ISERROR(MATCH(P$1,INDIRECT("Table!A"&amp;$AM8):INDIRECT("Table!" &amp; $AP$91 &amp; $AM8),0)),"",INDIRECT(CONCATENATE("Table!",ADDRESS($AI8,MATCH(P$1,INDIRECT("Table!A" &amp; $AM8):INDIRECT("Table!" &amp; $AP$91 &amp; $AM8),0)))))</f>
        <v>0.32809361406956744</v>
      </c>
      <c r="Q8" s="596">
        <f ca="1">IF(ISERROR(MATCH(Q$1,INDIRECT("Table!A"&amp;$AM8):INDIRECT("Table!" &amp; $AP$91 &amp; $AM8),0)),"",INDIRECT(CONCATENATE("Table!",ADDRESS($AI8,MATCH(Q$1,INDIRECT("Table!A" &amp; $AM8):INDIRECT("Table!" &amp; $AP$91 &amp; $AM8),0)))))</f>
        <v>0.80633311449538714</v>
      </c>
      <c r="R8" s="596">
        <f ca="1">IF(ISERROR(MATCH(R$1,INDIRECT("Table!A"&amp;$AM8):INDIRECT("Table!" &amp; $AP$91 &amp; $AM8),0)),"",INDIRECT(CONCATENATE("Table!",ADDRESS($AI8,MATCH(R$1,INDIRECT("Table!A" &amp; $AM8):INDIRECT("Table!" &amp; $AP$91 &amp; $AM8),0)))))</f>
        <v>0.70736466545095877</v>
      </c>
      <c r="S8" s="596">
        <f ca="1">IF(ISERROR(MATCH(S$1,INDIRECT("Table!A"&amp;$AM8):INDIRECT("Table!" &amp; $AP$91 &amp; $AM8),0)),"",INDIRECT(CONCATENATE("Table!",ADDRESS($AI8,MATCH(S$1,INDIRECT("Table!A" &amp; $AM8):INDIRECT("Table!" &amp; $AP$91 &amp; $AM8),0)))))</f>
        <v>0.67804071080659778</v>
      </c>
      <c r="T8" s="596">
        <f ca="1">IF(ISERROR(MATCH(T$1,INDIRECT("Table!A"&amp;$AM8):INDIRECT("Table!" &amp; $AP$65 &amp; $AM8),0)),"",INDIRECT(CONCATENATE("Table!",ADDRESS($AI8,MATCH(T$1,INDIRECT("Table!A" &amp; $AM8):INDIRECT("Table!" &amp; $AP$65 &amp; $AM8),0)))))</f>
        <v>0.43180973391154559</v>
      </c>
      <c r="U8" s="596">
        <f ca="1">IF(ISERROR(MATCH(U$1,INDIRECT("Table!A"&amp;$AM8):INDIRECT("Table!" &amp; $AP$65 &amp; $AM8),0)),"",INDIRECT(CONCATENATE("Table!",ADDRESS($AI8,MATCH(U$1,INDIRECT("Table!A" &amp; $AM8):INDIRECT("Table!" &amp; $AP$65 &amp; $AM8),0)))))</f>
        <v>0.15312853179903421</v>
      </c>
      <c r="V8" s="596">
        <f ca="1">IF(ISERROR(MATCH(V$1,INDIRECT("Table!A"&amp;$AM8):INDIRECT("Table!" &amp; $AP$65 &amp; $AM8),0)),"",INDIRECT(CONCATENATE("Table!",ADDRESS($AI8,MATCH(V$1,INDIRECT("Table!A" &amp; $AM8):INDIRECT("Table!" &amp; $AP$65 &amp; $AM8),0)))))</f>
        <v>0.14939676796509727</v>
      </c>
      <c r="W8" s="596">
        <f ca="1">IF(ISERROR(MATCH(W$1,INDIRECT("Table!A"&amp;$AM8):INDIRECT("Table!" &amp; $AP$65 &amp; $AM8),0)),"",INDIRECT(CONCATENATE("Table!",ADDRESS($AI8,MATCH(W$1,INDIRECT("Table!A" &amp; $AM8):INDIRECT("Table!" &amp; $AP$65 &amp; $AM8),0)))))</f>
        <v>0.37033851452838407</v>
      </c>
      <c r="X8" s="596">
        <f ca="1">IF(ISERROR(MATCH(X$1,INDIRECT("Table!A"&amp;$AM8):INDIRECT("Table!" &amp; $AP$65 &amp; $AM8),0)),"",INDIRECT(CONCATENATE("Table!",ADDRESS($AI8,MATCH(X$1,INDIRECT("Table!A" &amp; $AM8):INDIRECT("Table!" &amp; $AP$65 &amp; $AM8),0)))))</f>
        <v>0.35704033241605465</v>
      </c>
      <c r="Y8" s="596">
        <f ca="1">IF(ISERROR(MATCH(Y$1,INDIRECT("Table!A"&amp;$AM8):INDIRECT("Table!" &amp; $AP$65 &amp; $AM8),0)),"",INDIRECT(CONCATENATE("Table!",ADDRESS($AI8,MATCH(Y$1,INDIRECT("Table!A" &amp; $AM8):INDIRECT("Table!" &amp; $AP$65 &amp; $AM8),0)))))</f>
        <v>0.21998698585568</v>
      </c>
      <c r="Z8" s="596">
        <f ca="1">IF(ISERROR(MATCH(Z$1,INDIRECT("Table!A"&amp;$AM8):INDIRECT("Table!" &amp; $AP$65 &amp; $AM8),0)),"",INDIRECT(CONCATENATE("Table!",ADDRESS($AI8,MATCH(Z$1,INDIRECT("Table!A" &amp; $AM8):INDIRECT("Table!" &amp; $AP$65 &amp; $AM8),0)))))</f>
        <v>0.18615060394803731</v>
      </c>
      <c r="AA8" s="596">
        <f ca="1">IF(ISERROR(MATCH(AA$1,INDIRECT("Table!A"&amp;$AM8):INDIRECT("Table!" &amp; $AP$65 &amp; $AM8),0)),"",INDIRECT(CONCATENATE("Table!",ADDRESS($AI8,MATCH(AA$1,INDIRECT("Table!A" &amp; $AM8):INDIRECT("Table!" &amp; $AP$65 &amp; $AM8),0)))))</f>
        <v>0.41581684186443851</v>
      </c>
      <c r="AB8" s="596">
        <f ca="1">IF(ISERROR(MATCH(AB$1,INDIRECT("Table!A"&amp;$AM8):INDIRECT("Table!" &amp; $AP$65 &amp; $AM8),0)),"",INDIRECT(CONCATENATE("Table!",ADDRESS($AI8,MATCH(AB$1,INDIRECT("Table!A" &amp; $AM8):INDIRECT("Table!" &amp; $AP$65 &amp; $AM8),0)))))</f>
        <v>2.5671761900171424E-5</v>
      </c>
      <c r="AC8" s="596">
        <f ca="1">IF(ISERROR(MATCH(AC$1,INDIRECT("Table!A"&amp;$AM8):INDIRECT("Table!" &amp; $AP$65 &amp; $AM8),0)),"",INDIRECT(CONCATENATE("Table!",ADDRESS($AI8,MATCH(AC$1,INDIRECT("Table!A" &amp; $AM8):INDIRECT("Table!" &amp; $AP$65 &amp; $AM8),0)))))</f>
        <v>0.17825762525482972</v>
      </c>
      <c r="AD8" s="596">
        <f ca="1">IF(ISERROR(MATCH(AD$1,INDIRECT("Table!A"&amp;$AM8):INDIRECT("Table!" &amp; $AP$65 &amp; $AM8),0)),"",INDIRECT(CONCATENATE("Table!",ADDRESS($AI8,MATCH(AD$1,INDIRECT("Table!A" &amp; $AM8):INDIRECT("Table!" &amp; $AP$65 &amp; $AM8),0)))))</f>
        <v>0.33992275669519328</v>
      </c>
      <c r="AE8" s="596">
        <f ca="1">IF(ISERROR(MATCH(AE$1,INDIRECT("Table!A"&amp;$AM8):INDIRECT("Table!" &amp; $AP$65 &amp; $AM8),0)),"",INDIRECT(CONCATENATE("Table!",ADDRESS($AI8,MATCH(AE$1,INDIRECT("Table!A" &amp; $AM8):INDIRECT("Table!" &amp; $AP$65 &amp; $AM8),0)))))</f>
        <v>0.15855848588390983</v>
      </c>
      <c r="AF8" s="596">
        <f ca="1">IF(ISERROR(MATCH(AF$1,INDIRECT("Table!A"&amp;$AM8):INDIRECT("Table!" &amp; $AP$65 &amp; $AM8),0)),"",INDIRECT(CONCATENATE("Table!",ADDRESS($AI8,MATCH(AF$1,INDIRECT("Table!A" &amp; $AM8):INDIRECT("Table!" &amp; $AP$65 &amp; $AM8),0)))))</f>
        <v>0.15841315388993565</v>
      </c>
      <c r="AG8" s="596">
        <f ca="1">IF(ISERROR(MATCH(AG$1,INDIRECT("Table!A"&amp;$AM8):INDIRECT("Table!" &amp; $AP$65 &amp; $AM8),0)),"",INDIRECT(CONCATENATE("Table!",ADDRESS($AI8,MATCH(AG$1,INDIRECT("Table!A" &amp; $AM8):INDIRECT("Table!" &amp; $AP$65 &amp; $AM8),0)))))</f>
        <v>1.4506549703844135E-2</v>
      </c>
      <c r="AH8" s="596">
        <f ca="1">IF(ISERROR(MATCH(AH$1,INDIRECT("Table!A"&amp;$AM8):INDIRECT("Table!" &amp; $AP$65 &amp; $AM8),0)),"",INDIRECT(CONCATENATE("Table!",ADDRESS($AI8,MATCH(AH$1,INDIRECT("Table!A" &amp; $AM8):INDIRECT("Table!" &amp; $AP$65 &amp; $AM8),0)))))</f>
        <v>2.5671761900171424E-5</v>
      </c>
      <c r="AI8" s="595">
        <f>MATCH($A8,Table!$A:$A,0)+$AK$2-1</f>
        <v>76</v>
      </c>
      <c r="AJ8" s="1029"/>
      <c r="AK8" s="1029"/>
      <c r="AL8" s="1029"/>
      <c r="AM8" s="595">
        <f>MATCH($A8,Table!$A:$A,0)+$AO$2-1</f>
        <v>73</v>
      </c>
      <c r="AN8" s="1029"/>
      <c r="AP8" s="947" t="s">
        <v>302</v>
      </c>
    </row>
    <row r="9" spans="1:42" s="947" customFormat="1" ht="14.25" customHeight="1" x14ac:dyDescent="0.25">
      <c r="A9" s="592">
        <v>41935</v>
      </c>
      <c r="B9" s="596">
        <f ca="1">IF(ISERROR(MATCH(B$1,INDIRECT("Table!A"&amp;$AM9):INDIRECT("Table!" &amp; $AP$113 &amp; $AM9),0)),"",INDIRECT(CONCATENATE("Table!",ADDRESS($AI9,MATCH(B$1,INDIRECT("Table!A" &amp; $AM9):INDIRECT("Table!" &amp; $AP$112 &amp; $AM9),0)))))</f>
        <v>0.21638447410270603</v>
      </c>
      <c r="C9" s="596">
        <f ca="1">IF(ISERROR(MATCH(C$1,INDIRECT("Table!A"&amp;$AM9):INDIRECT("Table!" &amp; $AP$112 &amp; $AM9),0)),"",INDIRECT(CONCATENATE("Table!",ADDRESS($AI9,MATCH(C$1,INDIRECT("Table!A" &amp; $AM9):INDIRECT("Table!" &amp; $AP$112 &amp; $AM9),0)))))</f>
        <v>0.57870455570710755</v>
      </c>
      <c r="D9" s="596">
        <f ca="1">IF(ISERROR(MATCH(D$1,INDIRECT("Table!A"&amp;$AM9):INDIRECT("Table!" &amp; $AP$112 &amp; $AM9),0)),"",INDIRECT(CONCATENATE("Table!",ADDRESS($AI9,MATCH(D$1,INDIRECT("Table!A" &amp; $AM9):INDIRECT("Table!" &amp; $AP$112 &amp; $AM9),0)))))</f>
        <v>0.57702567223437662</v>
      </c>
      <c r="E9" s="596">
        <f ca="1">IF(ISERROR(MATCH(E$1,INDIRECT("Table!A"&amp;$AM9):INDIRECT("Table!" &amp; $AP$112 &amp; $AM9),0)),"",INDIRECT(CONCATENATE("Table!",ADDRESS($AI9,MATCH(E$1,INDIRECT("Table!A" &amp; $AM9):INDIRECT("Table!" &amp; $AP$112 &amp; $AM9),0)))))</f>
        <v>0.56223887190464994</v>
      </c>
      <c r="F9" s="596">
        <f ca="1">IF(ISERROR(MATCH(F$1,INDIRECT("Table!A"&amp;$AM9):INDIRECT("Table!" &amp; $AP$112 &amp; $AM9),0)),"",INDIRECT(CONCATENATE("Table!",ADDRESS($AI9,MATCH(F$1,INDIRECT("Table!A" &amp; $AM9):INDIRECT("Table!" &amp; $AP$112 &amp; $AM9),0)))))</f>
        <v>0.71691791486417267</v>
      </c>
      <c r="G9" s="596">
        <f ca="1">IF(ISERROR(MATCH(G$1,INDIRECT("Table!A"&amp;$AM9):INDIRECT("Table!" &amp; $AP$112 &amp; $AM9),0)),"",INDIRECT(CONCATENATE("Table!",ADDRESS($AI9,MATCH(G$1,INDIRECT("Table!A" &amp; $AM9):INDIRECT("Table!" &amp; $AP$112 &amp; $AM9),0)))))</f>
        <v>0.53432767230202438</v>
      </c>
      <c r="H9" s="596">
        <f ca="1">IF(ISERROR(MATCH(H$1,INDIRECT("Table!A"&amp;$AM9):INDIRECT("Table!" &amp; $AP$112 &amp; $AM9),0)),"",INDIRECT(CONCATENATE("Table!",ADDRESS($AI9,MATCH(H$1,INDIRECT("Table!A" &amp; $AM9):INDIRECT("Table!" &amp; $AP$112 &amp; $AM9),0)))))</f>
        <v>0.56315928722405229</v>
      </c>
      <c r="I9" s="596">
        <f ca="1">IF(ISERROR(MATCH(I$1,INDIRECT("Table!A"&amp;$AM9):INDIRECT("Table!" &amp; $AP$91 &amp; $AM9),0)),"",INDIRECT(CONCATENATE("Table!",ADDRESS($AI9,MATCH(I$1,INDIRECT("Table!A" &amp; $AM9):INDIRECT("Table!" &amp; $AP$91 &amp; $AM9),0)))))</f>
        <v>0.31690290104649621</v>
      </c>
      <c r="J9" s="596">
        <f ca="1">IF(ISERROR(MATCH(J$1,INDIRECT("Table!A"&amp;$AM9):INDIRECT("Table!" &amp; $AP$91 &amp; $AM9),0)),"",INDIRECT(CONCATENATE("Table!",ADDRESS($AI9,MATCH(J$1,INDIRECT("Table!A" &amp; $AM9):INDIRECT("Table!" &amp; $AP$91 &amp; $AM9),0)))))</f>
        <v>0.8134442086386624</v>
      </c>
      <c r="K9" s="596">
        <f ca="1">IF(ISERROR(MATCH(K$1,INDIRECT("Table!A"&amp;$AM9):INDIRECT("Table!" &amp; $AP$91 &amp; $AM9),0)),"",INDIRECT(CONCATENATE("Table!",ADDRESS($AI9,MATCH(K$1,INDIRECT("Table!A" &amp; $AM9):INDIRECT("Table!" &amp; $AP$91 &amp; $AM9),0)))))</f>
        <v>0.4352620952625772</v>
      </c>
      <c r="L9" s="596">
        <f ca="1">IF(ISERROR(MATCH(L$1,INDIRECT("Table!A"&amp;$AM9):INDIRECT("Table!" &amp; $AP$91 &amp; $AM9),0)),"",INDIRECT(CONCATENATE("Table!",ADDRESS($AI9,MATCH(L$1,INDIRECT("Table!A" &amp; $AM9):INDIRECT("Table!" &amp; $AP$91 &amp; $AM9),0)))))</f>
        <v>0.41830066036675295</v>
      </c>
      <c r="M9" s="596">
        <f ca="1">IF(ISERROR(MATCH(M$1,INDIRECT("Table!A"&amp;$AM9):INDIRECT("Table!" &amp; $AP$91 &amp; $AM9),0)),"",INDIRECT(CONCATENATE("Table!",ADDRESS($AI9,MATCH(M$1,INDIRECT("Table!A" &amp; $AM9):INDIRECT("Table!" &amp; $AP$91 &amp; $AM9),0)))))</f>
        <v>0.48682271161122531</v>
      </c>
      <c r="N9" s="596">
        <f ca="1">IF(ISERROR(MATCH(N$1,INDIRECT("Table!A"&amp;$AM9):INDIRECT("Table!" &amp; $AP$91 &amp; $AM9),0)),"",INDIRECT(CONCATENATE("Table!",ADDRESS($AI9,MATCH(N$1,INDIRECT("Table!A" &amp; $AM9):INDIRECT("Table!" &amp; $AP$91 &amp; $AM9),0)))))</f>
        <v>0.72133508673054048</v>
      </c>
      <c r="O9" s="596">
        <f ca="1">IF(ISERROR(MATCH(O$1,INDIRECT("Table!A"&amp;$AM9):INDIRECT("Table!" &amp; $AP$91 &amp; $AM9),0)),"",INDIRECT(CONCATENATE("Table!",ADDRESS($AI9,MATCH(O$1,INDIRECT("Table!A" &amp; $AM9):INDIRECT("Table!" &amp; $AP$91 &amp; $AM9),0)))))</f>
        <v>0.66014897309387155</v>
      </c>
      <c r="P9" s="596">
        <f ca="1">IF(ISERROR(MATCH(P$1,INDIRECT("Table!A"&amp;$AM9):INDIRECT("Table!" &amp; $AP$91 &amp; $AM9),0)),"",INDIRECT(CONCATENATE("Table!",ADDRESS($AI9,MATCH(P$1,INDIRECT("Table!A" &amp; $AM9):INDIRECT("Table!" &amp; $AP$91 &amp; $AM9),0)))))</f>
        <v>0.32754567744235225</v>
      </c>
      <c r="Q9" s="596">
        <f ca="1">IF(ISERROR(MATCH(Q$1,INDIRECT("Table!A"&amp;$AM9):INDIRECT("Table!" &amp; $AP$91 &amp; $AM9),0)),"",INDIRECT(CONCATENATE("Table!",ADDRESS($AI9,MATCH(Q$1,INDIRECT("Table!A" &amp; $AM9):INDIRECT("Table!" &amp; $AP$91 &amp; $AM9),0)))))</f>
        <v>0.80624544015130073</v>
      </c>
      <c r="R9" s="596">
        <f ca="1">IF(ISERROR(MATCH(R$1,INDIRECT("Table!A"&amp;$AM9):INDIRECT("Table!" &amp; $AP$91 &amp; $AM9),0)),"",INDIRECT(CONCATENATE("Table!",ADDRESS($AI9,MATCH(R$1,INDIRECT("Table!A" &amp; $AM9):INDIRECT("Table!" &amp; $AP$91 &amp; $AM9),0)))))</f>
        <v>0.70628036489535007</v>
      </c>
      <c r="S9" s="596" t="str">
        <f ca="1">IF(ISERROR(MATCH(S$1,INDIRECT("Table!A"&amp;$AM9):INDIRECT("Table!" &amp; $AP$91 &amp; $AM9),0)),"",INDIRECT(CONCATENATE("Table!",ADDRESS($AI9,MATCH(S$1,INDIRECT("Table!A" &amp; $AM9):INDIRECT("Table!" &amp; $AP$91 &amp; $AM9),0)))))</f>
        <v/>
      </c>
      <c r="T9" s="596">
        <f ca="1">IF(ISERROR(MATCH(T$1,INDIRECT("Table!A"&amp;$AM9):INDIRECT("Table!" &amp; $AP$65 &amp; $AM9),0)),"",INDIRECT(CONCATENATE("Table!",ADDRESS($AI9,MATCH(T$1,INDIRECT("Table!A" &amp; $AM9):INDIRECT("Table!" &amp; $AP$65 &amp; $AM9),0)))))</f>
        <v>0.349145525150723</v>
      </c>
      <c r="U9" s="596">
        <f ca="1">IF(ISERROR(MATCH(U$1,INDIRECT("Table!A"&amp;$AM9):INDIRECT("Table!" &amp; $AP$65 &amp; $AM9),0)),"",INDIRECT(CONCATENATE("Table!",ADDRESS($AI9,MATCH(U$1,INDIRECT("Table!A" &amp; $AM9):INDIRECT("Table!" &amp; $AP$65 &amp; $AM9),0)))))</f>
        <v>0.15285650682753324</v>
      </c>
      <c r="V9" s="596">
        <f ca="1">IF(ISERROR(MATCH(V$1,INDIRECT("Table!A"&amp;$AM9):INDIRECT("Table!" &amp; $AP$65 &amp; $AM9),0)),"",INDIRECT(CONCATENATE("Table!",ADDRESS($AI9,MATCH(V$1,INDIRECT("Table!A" &amp; $AM9):INDIRECT("Table!" &amp; $AP$65 &amp; $AM9),0)))))</f>
        <v>0.14913232440637433</v>
      </c>
      <c r="W9" s="596">
        <f ca="1">IF(ISERROR(MATCH(W$1,INDIRECT("Table!A"&amp;$AM9):INDIRECT("Table!" &amp; $AP$65 &amp; $AM9),0)),"",INDIRECT(CONCATENATE("Table!",ADDRESS($AI9,MATCH(W$1,INDIRECT("Table!A" &amp; $AM9):INDIRECT("Table!" &amp; $AP$65 &amp; $AM9),0)))))</f>
        <v>0.3382288043132593</v>
      </c>
      <c r="X9" s="596">
        <f ca="1">IF(ISERROR(MATCH(X$1,INDIRECT("Table!A"&amp;$AM9):INDIRECT("Table!" &amp; $AP$65 &amp; $AM9),0)),"",INDIRECT(CONCATENATE("Table!",ADDRESS($AI9,MATCH(X$1,INDIRECT("Table!A" &amp; $AM9):INDIRECT("Table!" &amp; $AP$65 &amp; $AM9),0)))))</f>
        <v>0.32576582425004713</v>
      </c>
      <c r="Y9" s="596">
        <f ca="1">IF(ISERROR(MATCH(Y$1,INDIRECT("Table!A"&amp;$AM9):INDIRECT("Table!" &amp; $AP$65 &amp; $AM9),0)),"",INDIRECT(CONCATENATE("Table!",ADDRESS($AI9,MATCH(Y$1,INDIRECT("Table!A" &amp; $AM9):INDIRECT("Table!" &amp; $AP$65 &amp; $AM9),0)))))</f>
        <v>0.15984206895539474</v>
      </c>
      <c r="Z9" s="596">
        <f ca="1">IF(ISERROR(MATCH(Z$1,INDIRECT("Table!A"&amp;$AM9):INDIRECT("Table!" &amp; $AP$65 &amp; $AM9),0)),"",INDIRECT(CONCATENATE("Table!",ADDRESS($AI9,MATCH(Z$1,INDIRECT("Table!A" &amp; $AM9):INDIRECT("Table!" &amp; $AP$65 &amp; $AM9),0)))))</f>
        <v>0.15509853386572089</v>
      </c>
      <c r="AA9" s="596">
        <f ca="1">IF(ISERROR(MATCH(AA$1,INDIRECT("Table!A"&amp;$AM9):INDIRECT("Table!" &amp; $AP$65 &amp; $AM9),0)),"",INDIRECT(CONCATENATE("Table!",ADDRESS($AI9,MATCH(AA$1,INDIRECT("Table!A" &amp; $AM9):INDIRECT("Table!" &amp; $AP$65 &amp; $AM9),0)))))</f>
        <v>0.41442162830488549</v>
      </c>
      <c r="AB9" s="596">
        <f ca="1">IF(ISERROR(MATCH(AB$1,INDIRECT("Table!A"&amp;$AM9):INDIRECT("Table!" &amp; $AP$65 &amp; $AM9),0)),"",INDIRECT(CONCATENATE("Table!",ADDRESS($AI9,MATCH(AB$1,INDIRECT("Table!A" &amp; $AM9):INDIRECT("Table!" &amp; $AP$65 &amp; $AM9),0)))))</f>
        <v>2.5671761900171424E-5</v>
      </c>
      <c r="AC9" s="596">
        <f ca="1">IF(ISERROR(MATCH(AC$1,INDIRECT("Table!A"&amp;$AM9):INDIRECT("Table!" &amp; $AP$65 &amp; $AM9),0)),"",INDIRECT(CONCATENATE("Table!",ADDRESS($AI9,MATCH(AC$1,INDIRECT("Table!A" &amp; $AM9):INDIRECT("Table!" &amp; $AP$65 &amp; $AM9),0)))))</f>
        <v>0.16181954664410239</v>
      </c>
      <c r="AD9" s="596">
        <f ca="1">IF(ISERROR(MATCH(AD$1,INDIRECT("Table!A"&amp;$AM9):INDIRECT("Table!" &amp; $AP$65 &amp; $AM9),0)),"",INDIRECT(CONCATENATE("Table!",ADDRESS($AI9,MATCH(AD$1,INDIRECT("Table!A" &amp; $AM9):INDIRECT("Table!" &amp; $AP$65 &amp; $AM9),0)))))</f>
        <v>0.32377342558972327</v>
      </c>
      <c r="AE9" s="596">
        <f ca="1">IF(ISERROR(MATCH(AE$1,INDIRECT("Table!A"&amp;$AM9):INDIRECT("Table!" &amp; $AP$65 &amp; $AM9),0)),"",INDIRECT(CONCATENATE("Table!",ADDRESS($AI9,MATCH(AE$1,INDIRECT("Table!A" &amp; $AM9):INDIRECT("Table!" &amp; $AP$65 &amp; $AM9),0)))))</f>
        <v>0.13704166802715337</v>
      </c>
      <c r="AF9" s="596">
        <f ca="1">IF(ISERROR(MATCH(AF$1,INDIRECT("Table!A"&amp;$AM9):INDIRECT("Table!" &amp; $AP$65 &amp; $AM9),0)),"",INDIRECT(CONCATENATE("Table!",ADDRESS($AI9,MATCH(AF$1,INDIRECT("Table!A" &amp; $AM9):INDIRECT("Table!" &amp; $AP$65 &amp; $AM9),0)))))</f>
        <v>0.13686624526790706</v>
      </c>
      <c r="AG9" s="596">
        <f ca="1">IF(ISERROR(MATCH(AG$1,INDIRECT("Table!A"&amp;$AM9):INDIRECT("Table!" &amp; $AP$65 &amp; $AM9),0)),"",INDIRECT(CONCATENATE("Table!",ADDRESS($AI9,MATCH(AG$1,INDIRECT("Table!A" &amp; $AM9):INDIRECT("Table!" &amp; $AP$65 &amp; $AM9),0)))))</f>
        <v>1.2561632195480722E-2</v>
      </c>
      <c r="AH9" s="596">
        <f ca="1">IF(ISERROR(MATCH(AH$1,INDIRECT("Table!A"&amp;$AM9):INDIRECT("Table!" &amp; $AP$65 &amp; $AM9),0)),"",INDIRECT(CONCATENATE("Table!",ADDRESS($AI9,MATCH(AH$1,INDIRECT("Table!A" &amp; $AM9):INDIRECT("Table!" &amp; $AP$65 &amp; $AM9),0)))))</f>
        <v>2.5671761900171424E-5</v>
      </c>
      <c r="AI9" s="595">
        <f>MATCH($A9,Table!$A:$A,0)+$AK$2-1</f>
        <v>90</v>
      </c>
      <c r="AJ9" s="1026"/>
      <c r="AK9" s="1026"/>
      <c r="AL9" s="1026"/>
      <c r="AM9" s="595">
        <f>MATCH($A9,Table!$A:$A,0)+$AO$2-1</f>
        <v>87</v>
      </c>
      <c r="AN9" s="1026"/>
      <c r="AP9" s="947" t="s">
        <v>302</v>
      </c>
    </row>
    <row r="10" spans="1:42" s="947" customFormat="1" ht="14.25" customHeight="1" x14ac:dyDescent="0.25">
      <c r="A10" s="592">
        <v>41928</v>
      </c>
      <c r="B10" s="596">
        <f ca="1">IF(ISERROR(MATCH(B$1,INDIRECT("Table!A"&amp;$AM10):INDIRECT("Table!" &amp; $AP$113 &amp; $AM10),0)),"",INDIRECT(CONCATENATE("Table!",ADDRESS($AI10,MATCH(B$1,INDIRECT("Table!A" &amp; $AM10):INDIRECT("Table!" &amp; $AP$112 &amp; $AM10),0)))))</f>
        <v>0.21511456756782701</v>
      </c>
      <c r="C10" s="596">
        <f ca="1">IF(ISERROR(MATCH(C$1,INDIRECT("Table!A"&amp;$AM10):INDIRECT("Table!" &amp; $AP$112 &amp; $AM10),0)),"",INDIRECT(CONCATENATE("Table!",ADDRESS($AI10,MATCH(C$1,INDIRECT("Table!A" &amp; $AM10):INDIRECT("Table!" &amp; $AP$112 &amp; $AM10),0)))))</f>
        <v>0.5786932612793132</v>
      </c>
      <c r="D10" s="596">
        <f ca="1">IF(ISERROR(MATCH(D$1,INDIRECT("Table!A"&amp;$AM10):INDIRECT("Table!" &amp; $AP$112 &amp; $AM10),0)),"",INDIRECT(CONCATENATE("Table!",ADDRESS($AI10,MATCH(D$1,INDIRECT("Table!A" &amp; $AM10):INDIRECT("Table!" &amp; $AP$112 &amp; $AM10),0)))))</f>
        <v>0.57701437780658227</v>
      </c>
      <c r="E10" s="596">
        <f ca="1">IF(ISERROR(MATCH(E$1,INDIRECT("Table!A"&amp;$AM10):INDIRECT("Table!" &amp; $AP$112 &amp; $AM10),0)),"",INDIRECT(CONCATENATE("Table!",ADDRESS($AI10,MATCH(E$1,INDIRECT("Table!A" &amp; $AM10):INDIRECT("Table!" &amp; $AP$112 &amp; $AM10),0)))))</f>
        <v>0.56239546634373416</v>
      </c>
      <c r="F10" s="596">
        <f ca="1">IF(ISERROR(MATCH(F$1,INDIRECT("Table!A"&amp;$AM10):INDIRECT("Table!" &amp; $AP$112 &amp; $AM10),0)),"",INDIRECT(CONCATENATE("Table!",ADDRESS($AI10,MATCH(F$1,INDIRECT("Table!A" &amp; $AM10):INDIRECT("Table!" &amp; $AP$112 &amp; $AM10),0)))))</f>
        <v>0.71669289847055206</v>
      </c>
      <c r="G10" s="596">
        <f ca="1">IF(ISERROR(MATCH(G$1,INDIRECT("Table!A"&amp;$AM10):INDIRECT("Table!" &amp; $AP$112 &amp; $AM10),0)),"",INDIRECT(CONCATENATE("Table!",ADDRESS($AI10,MATCH(G$1,INDIRECT("Table!A" &amp; $AM10):INDIRECT("Table!" &amp; $AP$112 &amp; $AM10),0)))))</f>
        <v>0.53365219958665489</v>
      </c>
      <c r="H10" s="596">
        <f ca="1">IF(ISERROR(MATCH(H$1,INDIRECT("Table!A"&amp;$AM10):INDIRECT("Table!" &amp; $AP$112 &amp; $AM10),0)),"",INDIRECT(CONCATENATE("Table!",ADDRESS($AI10,MATCH(H$1,INDIRECT("Table!A" &amp; $AM10):INDIRECT("Table!" &amp; $AP$112 &amp; $AM10),0)))))</f>
        <v>0.56273422667763717</v>
      </c>
      <c r="I10" s="596">
        <f ca="1">IF(ISERROR(MATCH(I$1,INDIRECT("Table!A"&amp;$AM10):INDIRECT("Table!" &amp; $AP$91 &amp; $AM10),0)),"",INDIRECT(CONCATENATE("Table!",ADDRESS($AI10,MATCH(I$1,INDIRECT("Table!A" &amp; $AM10):INDIRECT("Table!" &amp; $AP$91 &amp; $AM10),0)))))</f>
        <v>0.31640855501631765</v>
      </c>
      <c r="J10" s="596">
        <f ca="1">IF(ISERROR(MATCH(J$1,INDIRECT("Table!A"&amp;$AM10):INDIRECT("Table!" &amp; $AP$91 &amp; $AM10),0)),"",INDIRECT(CONCATENATE("Table!",ADDRESS($AI10,MATCH(J$1,INDIRECT("Table!A" &amp; $AM10):INDIRECT("Table!" &amp; $AP$91 &amp; $AM10),0)))))</f>
        <v>0.81202426721023846</v>
      </c>
      <c r="K10" s="596">
        <f ca="1">IF(ISERROR(MATCH(K$1,INDIRECT("Table!A"&amp;$AM10):INDIRECT("Table!" &amp; $AP$91 &amp; $AM10),0)),"",INDIRECT(CONCATENATE("Table!",ADDRESS($AI10,MATCH(K$1,INDIRECT("Table!A" &amp; $AM10):INDIRECT("Table!" &amp; $AP$91 &amp; $AM10),0)))))</f>
        <v>0.43053234864632306</v>
      </c>
      <c r="L10" s="596">
        <f ca="1">IF(ISERROR(MATCH(L$1,INDIRECT("Table!A"&amp;$AM10):INDIRECT("Table!" &amp; $AP$91 &amp; $AM10),0)),"",INDIRECT(CONCATENATE("Table!",ADDRESS($AI10,MATCH(L$1,INDIRECT("Table!A" &amp; $AM10):INDIRECT("Table!" &amp; $AP$91 &amp; $AM10),0)))))</f>
        <v>0.41824730053655118</v>
      </c>
      <c r="M10" s="596">
        <f ca="1">IF(ISERROR(MATCH(M$1,INDIRECT("Table!A"&amp;$AM10):INDIRECT("Table!" &amp; $AP$91 &amp; $AM10),0)),"",INDIRECT(CONCATENATE("Table!",ADDRESS($AI10,MATCH(M$1,INDIRECT("Table!A" &amp; $AM10):INDIRECT("Table!" &amp; $AP$91 &amp; $AM10),0)))))</f>
        <v>0.48611963993419738</v>
      </c>
      <c r="N10" s="596">
        <f ca="1">IF(ISERROR(MATCH(N$1,INDIRECT("Table!A"&amp;$AM10):INDIRECT("Table!" &amp; $AP$91 &amp; $AM10),0)),"",INDIRECT(CONCATENATE("Table!",ADDRESS($AI10,MATCH(N$1,INDIRECT("Table!A" &amp; $AM10):INDIRECT("Table!" &amp; $AP$91 &amp; $AM10),0)))))</f>
        <v>0.72116889935789052</v>
      </c>
      <c r="O10" s="596">
        <f ca="1">IF(ISERROR(MATCH(O$1,INDIRECT("Table!A"&amp;$AM10):INDIRECT("Table!" &amp; $AP$91 &amp; $AM10),0)),"",INDIRECT(CONCATENATE("Table!",ADDRESS($AI10,MATCH(O$1,INDIRECT("Table!A" &amp; $AM10):INDIRECT("Table!" &amp; $AP$91 &amp; $AM10),0)))))</f>
        <v>0.65966369512375311</v>
      </c>
      <c r="P10" s="596">
        <f ca="1">IF(ISERROR(MATCH(P$1,INDIRECT("Table!A"&amp;$AM10):INDIRECT("Table!" &amp; $AP$91 &amp; $AM10),0)),"",INDIRECT(CONCATENATE("Table!",ADDRESS($AI10,MATCH(P$1,INDIRECT("Table!A" &amp; $AM10):INDIRECT("Table!" &amp; $AP$91 &amp; $AM10),0)))))</f>
        <v>0.3270097833783725</v>
      </c>
      <c r="Q10" s="596">
        <f ca="1">IF(ISERROR(MATCH(Q$1,INDIRECT("Table!A"&amp;$AM10):INDIRECT("Table!" &amp; $AP$91 &amp; $AM10),0)),"",INDIRECT(CONCATENATE("Table!",ADDRESS($AI10,MATCH(Q$1,INDIRECT("Table!A" &amp; $AM10):INDIRECT("Table!" &amp; $AP$91 &amp; $AM10),0)))))</f>
        <v>0.80534886560879915</v>
      </c>
      <c r="R10" s="596">
        <f ca="1">IF(ISERROR(MATCH(R$1,INDIRECT("Table!A"&amp;$AM10):INDIRECT("Table!" &amp; $AP$91 &amp; $AM10),0)),"",INDIRECT(CONCATENATE("Table!",ADDRESS($AI10,MATCH(R$1,INDIRECT("Table!A" &amp; $AM10):INDIRECT("Table!" &amp; $AP$91 &amp; $AM10),0)))))</f>
        <v>0.69946078541638612</v>
      </c>
      <c r="S10" s="596" t="str">
        <f ca="1">IF(ISERROR(MATCH(S$1,INDIRECT("Table!A"&amp;$AM10):INDIRECT("Table!" &amp; $AP$91 &amp; $AM10),0)),"",INDIRECT(CONCATENATE("Table!",ADDRESS($AI10,MATCH(S$1,INDIRECT("Table!A" &amp; $AM10):INDIRECT("Table!" &amp; $AP$91 &amp; $AM10),0)))))</f>
        <v/>
      </c>
      <c r="T10" s="596">
        <f ca="1">IF(ISERROR(MATCH(T$1,INDIRECT("Table!A"&amp;$AM10):INDIRECT("Table!" &amp; $AP$65 &amp; $AM10),0)),"",INDIRECT(CONCATENATE("Table!",ADDRESS($AI10,MATCH(T$1,INDIRECT("Table!A" &amp; $AM10):INDIRECT("Table!" &amp; $AP$65 &amp; $AM10),0)))))</f>
        <v>0.349145525150723</v>
      </c>
      <c r="U10" s="596">
        <f ca="1">IF(ISERROR(MATCH(U$1,INDIRECT("Table!A"&amp;$AM10):INDIRECT("Table!" &amp; $AP$65 &amp; $AM10),0)),"",INDIRECT(CONCATENATE("Table!",ADDRESS($AI10,MATCH(U$1,INDIRECT("Table!A" &amp; $AM10):INDIRECT("Table!" &amp; $AP$65 &amp; $AM10),0)))))</f>
        <v>0.15266667645173759</v>
      </c>
      <c r="V10" s="596">
        <f ca="1">IF(ISERROR(MATCH(V$1,INDIRECT("Table!A"&amp;$AM10):INDIRECT("Table!" &amp; $AP$65 &amp; $AM10),0)),"",INDIRECT(CONCATENATE("Table!",ADDRESS($AI10,MATCH(V$1,INDIRECT("Table!A" &amp; $AM10):INDIRECT("Table!" &amp; $AP$65 &amp; $AM10),0)))))</f>
        <v>0.14894711844827957</v>
      </c>
      <c r="W10" s="596">
        <f ca="1">IF(ISERROR(MATCH(W$1,INDIRECT("Table!A"&amp;$AM10):INDIRECT("Table!" &amp; $AP$65 &amp; $AM10),0)),"",INDIRECT(CONCATENATE("Table!",ADDRESS($AI10,MATCH(W$1,INDIRECT("Table!A" &amp; $AM10):INDIRECT("Table!" &amp; $AP$65 &amp; $AM10),0)))))</f>
        <v>0.33802136080981243</v>
      </c>
      <c r="X10" s="596">
        <f ca="1">IF(ISERROR(MATCH(X$1,INDIRECT("Table!A"&amp;$AM10):INDIRECT("Table!" &amp; $AP$65 &amp; $AM10),0)),"",INDIRECT(CONCATENATE("Table!",ADDRESS($AI10,MATCH(X$1,INDIRECT("Table!A" &amp; $AM10):INDIRECT("Table!" &amp; $AP$65 &amp; $AM10),0)))))</f>
        <v>0.32554815951579141</v>
      </c>
      <c r="Y10" s="596">
        <f ca="1">IF(ISERROR(MATCH(Y$1,INDIRECT("Table!A"&amp;$AM10):INDIRECT("Table!" &amp; $AP$65 &amp; $AM10),0)),"",INDIRECT(CONCATENATE("Table!",ADDRESS($AI10,MATCH(Y$1,INDIRECT("Table!A" &amp; $AM10):INDIRECT("Table!" &amp; $AP$65 &amp; $AM10),0)))))</f>
        <v>0.12785760764801143</v>
      </c>
      <c r="Z10" s="596">
        <f ca="1">IF(ISERROR(MATCH(Z$1,INDIRECT("Table!A"&amp;$AM10):INDIRECT("Table!" &amp; $AP$65 &amp; $AM10),0)),"",INDIRECT(CONCATENATE("Table!",ADDRESS($AI10,MATCH(Z$1,INDIRECT("Table!A" &amp; $AM10):INDIRECT("Table!" &amp; $AP$65 &amp; $AM10),0)))))</f>
        <v>0.12397534087681657</v>
      </c>
      <c r="AA10" s="596">
        <f ca="1">IF(ISERROR(MATCH(AA$1,INDIRECT("Table!A"&amp;$AM10):INDIRECT("Table!" &amp; $AP$65 &amp; $AM10),0)),"",INDIRECT(CONCATENATE("Table!",ADDRESS($AI10,MATCH(AA$1,INDIRECT("Table!A" &amp; $AM10):INDIRECT("Table!" &amp; $AP$65 &amp; $AM10),0)))))</f>
        <v>0.41183564591147054</v>
      </c>
      <c r="AB10" s="596">
        <f ca="1">IF(ISERROR(MATCH(AB$1,INDIRECT("Table!A"&amp;$AM10):INDIRECT("Table!" &amp; $AP$65 &amp; $AM10),0)),"",INDIRECT(CONCATENATE("Table!",ADDRESS($AI10,MATCH(AB$1,INDIRECT("Table!A" &amp; $AM10):INDIRECT("Table!" &amp; $AP$65 &amp; $AM10),0)))))</f>
        <v>2.5671761900171424E-5</v>
      </c>
      <c r="AC10" s="596">
        <f ca="1">IF(ISERROR(MATCH(AC$1,INDIRECT("Table!A"&amp;$AM10):INDIRECT("Table!" &amp; $AP$65 &amp; $AM10),0)),"",INDIRECT(CONCATENATE("Table!",ADDRESS($AI10,MATCH(AC$1,INDIRECT("Table!A" &amp; $AM10):INDIRECT("Table!" &amp; $AP$65 &amp; $AM10),0)))))</f>
        <v>0.13650839554570154</v>
      </c>
      <c r="AD10" s="596">
        <f ca="1">IF(ISERROR(MATCH(AD$1,INDIRECT("Table!A"&amp;$AM10):INDIRECT("Table!" &amp; $AP$65 &amp; $AM10),0)),"",INDIRECT(CONCATENATE("Table!",ADDRESS($AI10,MATCH(AD$1,INDIRECT("Table!A" &amp; $AM10):INDIRECT("Table!" &amp; $AP$65 &amp; $AM10),0)))))</f>
        <v>0.30220795889877861</v>
      </c>
      <c r="AE10" s="596">
        <f ca="1">IF(ISERROR(MATCH(AE$1,INDIRECT("Table!A"&amp;$AM10):INDIRECT("Table!" &amp; $AP$65 &amp; $AM10),0)),"",INDIRECT(CONCATENATE("Table!",ADDRESS($AI10,MATCH(AE$1,INDIRECT("Table!A" &amp; $AM10):INDIRECT("Table!" &amp; $AP$65 &amp; $AM10),0)))))</f>
        <v>0.13191855518230203</v>
      </c>
      <c r="AF10" s="596">
        <f ca="1">IF(ISERROR(MATCH(AF$1,INDIRECT("Table!A"&amp;$AM10):INDIRECT("Table!" &amp; $AP$65 &amp; $AM10),0)),"",INDIRECT(CONCATENATE("Table!",ADDRESS($AI10,MATCH(AF$1,INDIRECT("Table!A" &amp; $AM10):INDIRECT("Table!" &amp; $AP$65 &amp; $AM10),0)))))</f>
        <v>0.131723285322557</v>
      </c>
      <c r="AG10" s="596">
        <f ca="1">IF(ISERROR(MATCH(AG$1,INDIRECT("Table!A"&amp;$AM10):INDIRECT("Table!" &amp; $AP$65 &amp; $AM10),0)),"",INDIRECT(CONCATENATE("Table!",ADDRESS($AI10,MATCH(AG$1,INDIRECT("Table!A" &amp; $AM10):INDIRECT("Table!" &amp; $AP$65 &amp; $AM10),0)))))</f>
        <v>3.274851922067628E-3</v>
      </c>
      <c r="AH10" s="596">
        <f ca="1">IF(ISERROR(MATCH(AH$1,INDIRECT("Table!A"&amp;$AM10):INDIRECT("Table!" &amp; $AP$65 &amp; $AM10),0)),"",INDIRECT(CONCATENATE("Table!",ADDRESS($AI10,MATCH(AH$1,INDIRECT("Table!A" &amp; $AM10):INDIRECT("Table!" &amp; $AP$65 &amp; $AM10),0)))))</f>
        <v>2.5671761900171424E-5</v>
      </c>
      <c r="AI10" s="595">
        <f>MATCH($A10,Table!$A:$A,0)+$AK$2-1</f>
        <v>104</v>
      </c>
      <c r="AJ10" s="1023"/>
      <c r="AK10" s="1023"/>
      <c r="AL10" s="1023"/>
      <c r="AM10" s="595">
        <f>MATCH($A10,Table!$A:$A,0)+$AO$2-1</f>
        <v>101</v>
      </c>
      <c r="AN10" s="1023"/>
      <c r="AP10" s="947" t="s">
        <v>302</v>
      </c>
    </row>
    <row r="11" spans="1:42" s="591" customFormat="1" ht="14.25" customHeight="1" x14ac:dyDescent="0.25">
      <c r="A11" s="592">
        <v>41921</v>
      </c>
      <c r="B11" s="596">
        <f ca="1">IF(ISERROR(MATCH(B$1,INDIRECT("Table!A"&amp;$AM11):INDIRECT("Table!" &amp; $AP$113 &amp; $AM11),0)),"",INDIRECT(CONCATENATE("Table!",ADDRESS($AI11,MATCH(B$1,INDIRECT("Table!A" &amp; $AM11):INDIRECT("Table!" &amp; $AP$112 &amp; $AM11),0)))))</f>
        <v>0.21498337722343638</v>
      </c>
      <c r="C11" s="596">
        <f ca="1">IF(ISERROR(MATCH(C$1,INDIRECT("Table!A"&amp;$AM11):INDIRECT("Table!" &amp; $AP$112 &amp; $AM11),0)),"",INDIRECT(CONCATENATE("Table!",ADDRESS($AI11,MATCH(C$1,INDIRECT("Table!A" &amp; $AM11):INDIRECT("Table!" &amp; $AP$112 &amp; $AM11),0)))))</f>
        <v>0.57850457789733634</v>
      </c>
      <c r="D11" s="596">
        <f ca="1">IF(ISERROR(MATCH(D$1,INDIRECT("Table!A"&amp;$AM11):INDIRECT("Table!" &amp; $AP$112 &amp; $AM11),0)),"",INDIRECT(CONCATENATE("Table!",ADDRESS($AI11,MATCH(D$1,INDIRECT("Table!A" &amp; $AM11):INDIRECT("Table!" &amp; $AP$112 &amp; $AM11),0)))))</f>
        <v>0.57682503004649976</v>
      </c>
      <c r="E11" s="596">
        <f ca="1">IF(ISERROR(MATCH(E$1,INDIRECT("Table!A"&amp;$AM11):INDIRECT("Table!" &amp; $AP$112 &amp; $AM11),0)),"",INDIRECT(CONCATENATE("Table!",ADDRESS($AI11,MATCH(E$1,INDIRECT("Table!A" &amp; $AM11):INDIRECT("Table!" &amp; $AP$112 &amp; $AM11),0)))))</f>
        <v>0.56221359701272755</v>
      </c>
      <c r="F11" s="596">
        <f ca="1">IF(ISERROR(MATCH(F$1,INDIRECT("Table!A"&amp;$AM11):INDIRECT("Table!" &amp; $AP$112 &amp; $AM11),0)),"",INDIRECT(CONCATENATE("Table!",ADDRESS($AI11,MATCH(F$1,INDIRECT("Table!A" &amp; $AM11):INDIRECT("Table!" &amp; $AP$112 &amp; $AM11),0)))))</f>
        <v>0.71628087113317163</v>
      </c>
      <c r="G11" s="596">
        <f ca="1">IF(ISERROR(MATCH(G$1,INDIRECT("Table!A"&amp;$AM11):INDIRECT("Table!" &amp; $AP$112 &amp; $AM11),0)),"",INDIRECT(CONCATENATE("Table!",ADDRESS($AI11,MATCH(G$1,INDIRECT("Table!A" &amp; $AM11):INDIRECT("Table!" &amp; $AP$112 &amp; $AM11),0)))))</f>
        <v>0.53243295978228777</v>
      </c>
      <c r="H11" s="596">
        <f ca="1">IF(ISERROR(MATCH(H$1,INDIRECT("Table!A"&amp;$AM11):INDIRECT("Table!" &amp; $AP$112 &amp; $AM11),0)),"",INDIRECT(CONCATENATE("Table!",ADDRESS($AI11,MATCH(H$1,INDIRECT("Table!A" &amp; $AM11):INDIRECT("Table!" &amp; $AP$112 &amp; $AM11),0)))))</f>
        <v>0.56152591502859417</v>
      </c>
      <c r="I11" s="596">
        <f ca="1">IF(ISERROR(MATCH(I$1,INDIRECT("Table!A"&amp;$AM11):INDIRECT("Table!" &amp; $AP$91 &amp; $AM11),0)),"",INDIRECT(CONCATENATE("Table!",ADDRESS($AI11,MATCH(I$1,INDIRECT("Table!A" &amp; $AM11):INDIRECT("Table!" &amp; $AP$91 &amp; $AM11),0)))))</f>
        <v>0.31553727766471179</v>
      </c>
      <c r="J11" s="596">
        <f ca="1">IF(ISERROR(MATCH(J$1,INDIRECT("Table!A"&amp;$AM11):INDIRECT("Table!" &amp; $AP$91 &amp; $AM11),0)),"",INDIRECT(CONCATENATE("Table!",ADDRESS($AI11,MATCH(J$1,INDIRECT("Table!A" &amp; $AM11):INDIRECT("Table!" &amp; $AP$91 &amp; $AM11),0)))))</f>
        <v>0.80884492078645887</v>
      </c>
      <c r="K11" s="596">
        <f ca="1">IF(ISERROR(MATCH(K$1,INDIRECT("Table!A"&amp;$AM11):INDIRECT("Table!" &amp; $AP$91 &amp; $AM11),0)),"",INDIRECT(CONCATENATE("Table!",ADDRESS($AI11,MATCH(K$1,INDIRECT("Table!A" &amp; $AM11):INDIRECT("Table!" &amp; $AP$91 &amp; $AM11),0)))))</f>
        <v>0.42795861315510425</v>
      </c>
      <c r="L11" s="596">
        <f ca="1">IF(ISERROR(MATCH(L$1,INDIRECT("Table!A"&amp;$AM11):INDIRECT("Table!" &amp; $AP$91 &amp; $AM11),0)),"",INDIRECT(CONCATENATE("Table!",ADDRESS($AI11,MATCH(L$1,INDIRECT("Table!A" &amp; $AM11):INDIRECT("Table!" &amp; $AP$91 &amp; $AM11),0)))))</f>
        <v>0.41784995112135942</v>
      </c>
      <c r="M11" s="596">
        <f ca="1">IF(ISERROR(MATCH(M$1,INDIRECT("Table!A"&amp;$AM11):INDIRECT("Table!" &amp; $AP$91 &amp; $AM11),0)),"",INDIRECT(CONCATENATE("Table!",ADDRESS($AI11,MATCH(M$1,INDIRECT("Table!A" &amp; $AM11):INDIRECT("Table!" &amp; $AP$91 &amp; $AM11),0)))))</f>
        <v>0.48530566503255557</v>
      </c>
      <c r="N11" s="596">
        <f ca="1">IF(ISERROR(MATCH(N$1,INDIRECT("Table!A"&amp;$AM11):INDIRECT("Table!" &amp; $AP$91 &amp; $AM11),0)),"",INDIRECT(CONCATENATE("Table!",ADDRESS($AI11,MATCH(N$1,INDIRECT("Table!A" &amp; $AM11):INDIRECT("Table!" &amp; $AP$91 &amp; $AM11),0)))))</f>
        <v>0.72077510754008967</v>
      </c>
      <c r="O11" s="596">
        <f ca="1">IF(ISERROR(MATCH(O$1,INDIRECT("Table!A"&amp;$AM11):INDIRECT("Table!" &amp; $AP$91 &amp; $AM11),0)),"",INDIRECT(CONCATENATE("Table!",ADDRESS($AI11,MATCH(O$1,INDIRECT("Table!A" &amp; $AM11):INDIRECT("Table!" &amp; $AP$91 &amp; $AM11),0)))))</f>
        <v>0.65815860912090807</v>
      </c>
      <c r="P11" s="596">
        <f ca="1">IF(ISERROR(MATCH(P$1,INDIRECT("Table!A"&amp;$AM11):INDIRECT("Table!" &amp; $AP$91 &amp; $AM11),0)),"",INDIRECT(CONCATENATE("Table!",ADDRESS($AI11,MATCH(P$1,INDIRECT("Table!A" &amp; $AM11):INDIRECT("Table!" &amp; $AP$91 &amp; $AM11),0)))))</f>
        <v>0.32611502092997491</v>
      </c>
      <c r="Q11" s="596">
        <f ca="1">IF(ISERROR(MATCH(Q$1,INDIRECT("Table!A"&amp;$AM11):INDIRECT("Table!" &amp; $AP$91 &amp; $AM11),0)),"",INDIRECT(CONCATENATE("Table!",ADDRESS($AI11,MATCH(Q$1,INDIRECT("Table!A" &amp; $AM11):INDIRECT("Table!" &amp; $AP$91 &amp; $AM11),0)))))</f>
        <v>0.80347900147272022</v>
      </c>
      <c r="R11" s="596">
        <f ca="1">IF(ISERROR(MATCH(R$1,INDIRECT("Table!A"&amp;$AM11):INDIRECT("Table!" &amp; $AP$91 &amp; $AM11),0)),"",INDIRECT(CONCATENATE("Table!",ADDRESS($AI11,MATCH(R$1,INDIRECT("Table!A" &amp; $AM11):INDIRECT("Table!" &amp; $AP$91 &amp; $AM11),0)))))</f>
        <v>0.69439995363890727</v>
      </c>
      <c r="S11" s="596" t="str">
        <f ca="1">IF(ISERROR(MATCH(S$1,INDIRECT("Table!A"&amp;$AM11):INDIRECT("Table!" &amp; $AP$91 &amp; $AM11),0)),"",INDIRECT(CONCATENATE("Table!",ADDRESS($AI11,MATCH(S$1,INDIRECT("Table!A" &amp; $AM11):INDIRECT("Table!" &amp; $AP$91 &amp; $AM11),0)))))</f>
        <v/>
      </c>
      <c r="T11" s="596">
        <f ca="1">IF(ISERROR(MATCH(T$1,INDIRECT("Table!A"&amp;$AM11):INDIRECT("Table!" &amp; $AP$65 &amp; $AM11),0)),"",INDIRECT(CONCATENATE("Table!",ADDRESS($AI11,MATCH(T$1,INDIRECT("Table!A" &amp; $AM11):INDIRECT("Table!" &amp; $AP$65 &amp; $AM11),0)))))</f>
        <v>0.349145525150723</v>
      </c>
      <c r="U11" s="596">
        <f ca="1">IF(ISERROR(MATCH(U$1,INDIRECT("Table!A"&amp;$AM11):INDIRECT("Table!" &amp; $AP$65 &amp; $AM11),0)),"",INDIRECT(CONCATENATE("Table!",ADDRESS($AI11,MATCH(U$1,INDIRECT("Table!A" &amp; $AM11):INDIRECT("Table!" &amp; $AP$65 &amp; $AM11),0)))))</f>
        <v>0.15244553384900655</v>
      </c>
      <c r="V11" s="596">
        <f ca="1">IF(ISERROR(MATCH(V$1,INDIRECT("Table!A"&amp;$AM11):INDIRECT("Table!" &amp; $AP$65 &amp; $AM11),0)),"",INDIRECT(CONCATENATE("Table!",ADDRESS($AI11,MATCH(V$1,INDIRECT("Table!A" &amp; $AM11):INDIRECT("Table!" &amp; $AP$65 &amp; $AM11),0)))))</f>
        <v>0.14873136305379803</v>
      </c>
      <c r="W11" s="596">
        <f ca="1">IF(ISERROR(MATCH(W$1,INDIRECT("Table!A"&amp;$AM11):INDIRECT("Table!" &amp; $AP$65 &amp; $AM11),0)),"",INDIRECT(CONCATENATE("Table!",ADDRESS($AI11,MATCH(W$1,INDIRECT("Table!A" &amp; $AM11):INDIRECT("Table!" &amp; $AP$65 &amp; $AM11),0)))))</f>
        <v>0.26455798388398821</v>
      </c>
      <c r="X11" s="596">
        <f ca="1">IF(ISERROR(MATCH(X$1,INDIRECT("Table!A"&amp;$AM11):INDIRECT("Table!" &amp; $AP$65 &amp; $AM11),0)),"",INDIRECT(CONCATENATE("Table!",ADDRESS($AI11,MATCH(X$1,INDIRECT("Table!A" &amp; $AM11):INDIRECT("Table!" &amp; $AP$65 &amp; $AM11),0)))))</f>
        <v>0.2538514963257143</v>
      </c>
      <c r="Y11" s="596">
        <f ca="1">IF(ISERROR(MATCH(Y$1,INDIRECT("Table!A"&amp;$AM11):INDIRECT("Table!" &amp; $AP$65 &amp; $AM11),0)),"",INDIRECT(CONCATENATE("Table!",ADDRESS($AI11,MATCH(Y$1,INDIRECT("Table!A" &amp; $AM11):INDIRECT("Table!" &amp; $AP$65 &amp; $AM11),0)))))</f>
        <v>9.7138356010235197E-2</v>
      </c>
      <c r="Z11" s="596">
        <f ca="1">IF(ISERROR(MATCH(Z$1,INDIRECT("Table!A"&amp;$AM11):INDIRECT("Table!" &amp; $AP$65 &amp; $AM11),0)),"",INDIRECT(CONCATENATE("Table!",ADDRESS($AI11,MATCH(Z$1,INDIRECT("Table!A" &amp; $AM11):INDIRECT("Table!" &amp; $AP$65 &amp; $AM11),0)))))</f>
        <v>9.4009685126004494E-2</v>
      </c>
      <c r="AA11" s="596">
        <f ca="1">IF(ISERROR(MATCH(AA$1,INDIRECT("Table!A"&amp;$AM11):INDIRECT("Table!" &amp; $AP$65 &amp; $AM11),0)),"",INDIRECT(CONCATENATE("Table!",ADDRESS($AI11,MATCH(AA$1,INDIRECT("Table!A" &amp; $AM11):INDIRECT("Table!" &amp; $AP$65 &amp; $AM11),0)))))</f>
        <v>0.4102390299584539</v>
      </c>
      <c r="AB11" s="596">
        <f ca="1">IF(ISERROR(MATCH(AB$1,INDIRECT("Table!A"&amp;$AM11):INDIRECT("Table!" &amp; $AP$65 &amp; $AM11),0)),"",INDIRECT(CONCATENATE("Table!",ADDRESS($AI11,MATCH(AB$1,INDIRECT("Table!A" &amp; $AM11):INDIRECT("Table!" &amp; $AP$65 &amp; $AM11),0)))))</f>
        <v>2.5671761900171424E-5</v>
      </c>
      <c r="AC11" s="596">
        <f ca="1">IF(ISERROR(MATCH(AC$1,INDIRECT("Table!A"&amp;$AM11):INDIRECT("Table!" &amp; $AP$65 &amp; $AM11),0)),"",INDIRECT(CONCATENATE("Table!",ADDRESS($AI11,MATCH(AC$1,INDIRECT("Table!A" &amp; $AM11):INDIRECT("Table!" &amp; $AP$65 &amp; $AM11),0)))))</f>
        <v>0.1183106084137542</v>
      </c>
      <c r="AD11" s="596">
        <f ca="1">IF(ISERROR(MATCH(AD$1,INDIRECT("Table!A"&amp;$AM11):INDIRECT("Table!" &amp; $AP$65 &amp; $AM11),0)),"",INDIRECT(CONCATENATE("Table!",ADDRESS($AI11,MATCH(AD$1,INDIRECT("Table!A" &amp; $AM11):INDIRECT("Table!" &amp; $AP$65 &amp; $AM11),0)))))</f>
        <v>0.30069058406435101</v>
      </c>
      <c r="AE11" s="596">
        <f ca="1">IF(ISERROR(MATCH(AE$1,INDIRECT("Table!A"&amp;$AM11):INDIRECT("Table!" &amp; $AP$65 &amp; $AM11),0)),"",INDIRECT(CONCATENATE("Table!",ADDRESS($AI11,MATCH(AE$1,INDIRECT("Table!A" &amp; $AM11):INDIRECT("Table!" &amp; $AP$65 &amp; $AM11),0)))))</f>
        <v>0.12116462785726222</v>
      </c>
      <c r="AF11" s="596">
        <f ca="1">IF(ISERROR(MATCH(AF$1,INDIRECT("Table!A"&amp;$AM11):INDIRECT("Table!" &amp; $AP$65 &amp; $AM11),0)),"",INDIRECT(CONCATENATE("Table!",ADDRESS($AI11,MATCH(AF$1,INDIRECT("Table!A" &amp; $AM11):INDIRECT("Table!" &amp; $AP$65 &amp; $AM11),0)))))</f>
        <v>0.12096999822656553</v>
      </c>
      <c r="AG11" s="596">
        <f ca="1">IF(ISERROR(MATCH(AG$1,INDIRECT("Table!A"&amp;$AM11):INDIRECT("Table!" &amp; $AP$65 &amp; $AM11),0)),"",INDIRECT(CONCATENATE("Table!",ADDRESS($AI11,MATCH(AG$1,INDIRECT("Table!A" &amp; $AM11):INDIRECT("Table!" &amp; $AP$65 &amp; $AM11),0)))))</f>
        <v>2.1394985165429556E-3</v>
      </c>
      <c r="AH11" s="596">
        <f ca="1">IF(ISERROR(MATCH(AH$1,INDIRECT("Table!A"&amp;$AM11):INDIRECT("Table!" &amp; $AP$65 &amp; $AM11),0)),"",INDIRECT(CONCATENATE("Table!",ADDRESS($AI11,MATCH(AH$1,INDIRECT("Table!A" &amp; $AM11):INDIRECT("Table!" &amp; $AP$65 &amp; $AM11),0)))))</f>
        <v>0</v>
      </c>
      <c r="AI11" s="595">
        <f>MATCH($A11,Table!$A:$A,0)+$AK$2-1</f>
        <v>118</v>
      </c>
      <c r="AJ11" s="697"/>
      <c r="AK11" s="697"/>
      <c r="AL11" s="697"/>
      <c r="AM11" s="595">
        <f>MATCH($A11,Table!$A:$A,0)+$AO$2-1</f>
        <v>115</v>
      </c>
      <c r="AN11" s="697"/>
      <c r="AP11" s="947" t="s">
        <v>302</v>
      </c>
    </row>
    <row r="12" spans="1:42" s="947" customFormat="1" ht="14.25" customHeight="1" x14ac:dyDescent="0.25">
      <c r="A12" s="592">
        <v>41914</v>
      </c>
      <c r="B12" s="596">
        <f ca="1">IF(ISERROR(MATCH(B$1,INDIRECT("Table!A"&amp;$AM12):INDIRECT("Table!" &amp; $AP$113 &amp; $AM12),0)),"",INDIRECT(CONCATENATE("Table!",ADDRESS($AI12,MATCH(B$1,INDIRECT("Table!A" &amp; $AM12):INDIRECT("Table!" &amp; $AP$112 &amp; $AM12),0)))))</f>
        <v>0.21444581678788444</v>
      </c>
      <c r="C12" s="596">
        <f ca="1">IF(ISERROR(MATCH(C$1,INDIRECT("Table!A"&amp;$AM12):INDIRECT("Table!" &amp; $AP$112 &amp; $AM12),0)),"",INDIRECT(CONCATENATE("Table!",ADDRESS($AI12,MATCH(C$1,INDIRECT("Table!A" &amp; $AM12):INDIRECT("Table!" &amp; $AP$112 &amp; $AM12),0)))))</f>
        <v>0.57813850556117685</v>
      </c>
      <c r="D12" s="596">
        <f ca="1">IF(ISERROR(MATCH(D$1,INDIRECT("Table!A"&amp;$AM12):INDIRECT("Table!" &amp; $AP$112 &amp; $AM12),0)),"",INDIRECT(CONCATENATE("Table!",ADDRESS($AI12,MATCH(D$1,INDIRECT("Table!A" &amp; $AM12):INDIRECT("Table!" &amp; $AP$112 &amp; $AM12),0)))))</f>
        <v>0.57645895771034039</v>
      </c>
      <c r="E12" s="596">
        <f ca="1">IF(ISERROR(MATCH(E$1,INDIRECT("Table!A"&amp;$AM12):INDIRECT("Table!" &amp; $AP$112 &amp; $AM12),0)),"",INDIRECT(CONCATENATE("Table!",ADDRESS($AI12,MATCH(E$1,INDIRECT("Table!A" &amp; $AM12):INDIRECT("Table!" &amp; $AP$112 &amp; $AM12),0)))))</f>
        <v>0.56193996883495934</v>
      </c>
      <c r="F12" s="596">
        <f ca="1">IF(ISERROR(MATCH(F$1,INDIRECT("Table!A"&amp;$AM12):INDIRECT("Table!" &amp; $AP$112 &amp; $AM12),0)),"",INDIRECT(CONCATENATE("Table!",ADDRESS($AI12,MATCH(F$1,INDIRECT("Table!A" &amp; $AM12):INDIRECT("Table!" &amp; $AP$112 &amp; $AM12),0)))))</f>
        <v>0.71590805576786987</v>
      </c>
      <c r="G12" s="596">
        <f ca="1">IF(ISERROR(MATCH(G$1,INDIRECT("Table!A"&amp;$AM12):INDIRECT("Table!" &amp; $AP$112 &amp; $AM12),0)),"",INDIRECT(CONCATENATE("Table!",ADDRESS($AI12,MATCH(G$1,INDIRECT("Table!A" &amp; $AM12):INDIRECT("Table!" &amp; $AP$112 &amp; $AM12),0)))))</f>
        <v>0.53158983838461638</v>
      </c>
      <c r="H12" s="596">
        <f ca="1">IF(ISERROR(MATCH(H$1,INDIRECT("Table!A"&amp;$AM12):INDIRECT("Table!" &amp; $AP$112 &amp; $AM12),0)),"",INDIRECT(CONCATENATE("Table!",ADDRESS($AI12,MATCH(H$1,INDIRECT("Table!A" &amp; $AM12):INDIRECT("Table!" &amp; $AP$112 &amp; $AM12),0)))))</f>
        <v>0.5583644181874744</v>
      </c>
      <c r="I12" s="596">
        <f ca="1">IF(ISERROR(MATCH(I$1,INDIRECT("Table!A"&amp;$AM12):INDIRECT("Table!" &amp; $AP$91 &amp; $AM12),0)),"",INDIRECT(CONCATENATE("Table!",ADDRESS($AI12,MATCH(I$1,INDIRECT("Table!A" &amp; $AM12):INDIRECT("Table!" &amp; $AP$91 &amp; $AM12),0)))))</f>
        <v>0.31531629716157467</v>
      </c>
      <c r="J12" s="596">
        <f ca="1">IF(ISERROR(MATCH(J$1,INDIRECT("Table!A"&amp;$AM12):INDIRECT("Table!" &amp; $AP$91 &amp; $AM12),0)),"",INDIRECT(CONCATENATE("Table!",ADDRESS($AI12,MATCH(J$1,INDIRECT("Table!A" &amp; $AM12):INDIRECT("Table!" &amp; $AP$91 &amp; $AM12),0)))))</f>
        <v>0.79045986427907933</v>
      </c>
      <c r="K12" s="596">
        <f ca="1">IF(ISERROR(MATCH(K$1,INDIRECT("Table!A"&amp;$AM12):INDIRECT("Table!" &amp; $AP$91 &amp; $AM12),0)),"",INDIRECT(CONCATENATE("Table!",ADDRESS($AI12,MATCH(K$1,INDIRECT("Table!A" &amp; $AM12):INDIRECT("Table!" &amp; $AP$91 &amp; $AM12),0)))))</f>
        <v>0.42259870969584662</v>
      </c>
      <c r="L12" s="596">
        <f ca="1">IF(ISERROR(MATCH(L$1,INDIRECT("Table!A"&amp;$AM12):INDIRECT("Table!" &amp; $AP$91 &amp; $AM12),0)),"",INDIRECT(CONCATENATE("Table!",ADDRESS($AI12,MATCH(L$1,INDIRECT("Table!A" &amp; $AM12):INDIRECT("Table!" &amp; $AP$91 &amp; $AM12),0)))))</f>
        <v>0.42058528998995487</v>
      </c>
      <c r="M12" s="596">
        <f ca="1">IF(ISERROR(MATCH(M$1,INDIRECT("Table!A"&amp;$AM12):INDIRECT("Table!" &amp; $AP$91 &amp; $AM12),0)),"",INDIRECT(CONCATENATE("Table!",ADDRESS($AI12,MATCH(M$1,INDIRECT("Table!A" &amp; $AM12):INDIRECT("Table!" &amp; $AP$91 &amp; $AM12),0)))))</f>
        <v>0.48447320626014467</v>
      </c>
      <c r="N12" s="596">
        <f ca="1">IF(ISERROR(MATCH(N$1,INDIRECT("Table!A"&amp;$AM12):INDIRECT("Table!" &amp; $AP$91 &amp; $AM12),0)),"",INDIRECT(CONCATENATE("Table!",ADDRESS($AI12,MATCH(N$1,INDIRECT("Table!A" &amp; $AM12):INDIRECT("Table!" &amp; $AP$91 &amp; $AM12),0)))))</f>
        <v>0.72044032428214277</v>
      </c>
      <c r="O12" s="596">
        <f ca="1">IF(ISERROR(MATCH(O$1,INDIRECT("Table!A"&amp;$AM12):INDIRECT("Table!" &amp; $AP$91 &amp; $AM12),0)),"",INDIRECT(CONCATENATE("Table!",ADDRESS($AI12,MATCH(O$1,INDIRECT("Table!A" &amp; $AM12):INDIRECT("Table!" &amp; $AP$91 &amp; $AM12),0)))))</f>
        <v>0.65564023374463654</v>
      </c>
      <c r="P12" s="596">
        <f ca="1">IF(ISERROR(MATCH(P$1,INDIRECT("Table!A"&amp;$AM12):INDIRECT("Table!" &amp; $AP$91 &amp; $AM12),0)),"",INDIRECT(CONCATENATE("Table!",ADDRESS($AI12,MATCH(P$1,INDIRECT("Table!A" &amp; $AM12):INDIRECT("Table!" &amp; $AP$91 &amp; $AM12),0)))))</f>
        <v>0.32589223351011815</v>
      </c>
      <c r="Q12" s="596">
        <f ca="1">IF(ISERROR(MATCH(Q$1,INDIRECT("Table!A"&amp;$AM12):INDIRECT("Table!" &amp; $AP$91 &amp; $AM12),0)),"",INDIRECT(CONCATENATE("Table!",ADDRESS($AI12,MATCH(Q$1,INDIRECT("Table!A" &amp; $AM12):INDIRECT("Table!" &amp; $AP$91 &amp; $AM12),0)))))</f>
        <v>0.78873457740444275</v>
      </c>
      <c r="R12" s="596">
        <f ca="1">IF(ISERROR(MATCH(R$1,INDIRECT("Table!A"&amp;$AM12):INDIRECT("Table!" &amp; $AP$91 &amp; $AM12),0)),"",INDIRECT(CONCATENATE("Table!",ADDRESS($AI12,MATCH(R$1,INDIRECT("Table!A" &amp; $AM12):INDIRECT("Table!" &amp; $AP$91 &amp; $AM12),0)))))</f>
        <v>0.68741185768822077</v>
      </c>
      <c r="S12" s="596" t="str">
        <f ca="1">IF(ISERROR(MATCH(S$1,INDIRECT("Table!A"&amp;$AM12):INDIRECT("Table!" &amp; $AP$91 &amp; $AM12),0)),"",INDIRECT(CONCATENATE("Table!",ADDRESS($AI12,MATCH(S$1,INDIRECT("Table!A" &amp; $AM12):INDIRECT("Table!" &amp; $AP$91 &amp; $AM12),0)))))</f>
        <v/>
      </c>
      <c r="T12" s="596">
        <f ca="1">IF(ISERROR(MATCH(T$1,INDIRECT("Table!A"&amp;$AM12):INDIRECT("Table!" &amp; $AP$65 &amp; $AM12),0)),"",INDIRECT(CONCATENATE("Table!",ADDRESS($AI12,MATCH(T$1,INDIRECT("Table!A" &amp; $AM12):INDIRECT("Table!" &amp; $AP$65 &amp; $AM12),0)))))</f>
        <v>0.349145525150723</v>
      </c>
      <c r="U12" s="596">
        <f ca="1">IF(ISERROR(MATCH(U$1,INDIRECT("Table!A"&amp;$AM12):INDIRECT("Table!" &amp; $AP$65 &amp; $AM12),0)),"",INDIRECT(CONCATENATE("Table!",ADDRESS($AI12,MATCH(U$1,INDIRECT("Table!A" &amp; $AM12):INDIRECT("Table!" &amp; $AP$65 &amp; $AM12),0)))))</f>
        <v>0.15231245688453127</v>
      </c>
      <c r="V12" s="596">
        <f ca="1">IF(ISERROR(MATCH(V$1,INDIRECT("Table!A"&amp;$AM12):INDIRECT("Table!" &amp; $AP$65 &amp; $AM12),0)),"",INDIRECT(CONCATENATE("Table!",ADDRESS($AI12,MATCH(V$1,INDIRECT("Table!A" &amp; $AM12):INDIRECT("Table!" &amp; $AP$65 &amp; $AM12),0)))))</f>
        <v>0.14860152794915429</v>
      </c>
      <c r="W12" s="596">
        <f ca="1">IF(ISERROR(MATCH(W$1,INDIRECT("Table!A"&amp;$AM12):INDIRECT("Table!" &amp; $AP$65 &amp; $AM12),0)),"",INDIRECT(CONCATENATE("Table!",ADDRESS($AI12,MATCH(W$1,INDIRECT("Table!A" &amp; $AM12):INDIRECT("Table!" &amp; $AP$65 &amp; $AM12),0)))))</f>
        <v>0.26439065917130233</v>
      </c>
      <c r="X12" s="596">
        <f ca="1">IF(ISERROR(MATCH(X$1,INDIRECT("Table!A"&amp;$AM12):INDIRECT("Table!" &amp; $AP$65 &amp; $AM12),0)),"",INDIRECT(CONCATENATE("Table!",ADDRESS($AI12,MATCH(X$1,INDIRECT("Table!A" &amp; $AM12):INDIRECT("Table!" &amp; $AP$65 &amp; $AM12),0)))))</f>
        <v>0.25366294902301473</v>
      </c>
      <c r="Y12" s="596">
        <f ca="1">IF(ISERROR(MATCH(Y$1,INDIRECT("Table!A"&amp;$AM12):INDIRECT("Table!" &amp; $AP$65 &amp; $AM12),0)),"",INDIRECT(CONCATENATE("Table!",ADDRESS($AI12,MATCH(Y$1,INDIRECT("Table!A" &amp; $AM12):INDIRECT("Table!" &amp; $AP$65 &amp; $AM12),0)))))</f>
        <v>9.2822161228613503E-2</v>
      </c>
      <c r="Z12" s="596">
        <f ca="1">IF(ISERROR(MATCH(Z$1,INDIRECT("Table!A"&amp;$AM12):INDIRECT("Table!" &amp; $AP$65 &amp; $AM12),0)),"",INDIRECT(CONCATENATE("Table!",ADDRESS($AI12,MATCH(Z$1,INDIRECT("Table!A" &amp; $AM12):INDIRECT("Table!" &amp; $AP$65 &amp; $AM12),0)))))</f>
        <v>9.0089810569627657E-2</v>
      </c>
      <c r="AA12" s="596">
        <f ca="1">IF(ISERROR(MATCH(AA$1,INDIRECT("Table!A"&amp;$AM12):INDIRECT("Table!" &amp; $AP$65 &amp; $AM12),0)),"",INDIRECT(CONCATENATE("Table!",ADDRESS($AI12,MATCH(AA$1,INDIRECT("Table!A" &amp; $AM12):INDIRECT("Table!" &amp; $AP$65 &amp; $AM12),0)))))</f>
        <v>0.3908195191167988</v>
      </c>
      <c r="AB12" s="596">
        <f ca="1">IF(ISERROR(MATCH(AB$1,INDIRECT("Table!A"&amp;$AM12):INDIRECT("Table!" &amp; $AP$65 &amp; $AM12),0)),"",INDIRECT(CONCATENATE("Table!",ADDRESS($AI12,MATCH(AB$1,INDIRECT("Table!A" &amp; $AM12):INDIRECT("Table!" &amp; $AP$65 &amp; $AM12),0)))))</f>
        <v>2.5671761900171424E-5</v>
      </c>
      <c r="AC12" s="596">
        <f ca="1">IF(ISERROR(MATCH(AC$1,INDIRECT("Table!A"&amp;$AM12):INDIRECT("Table!" &amp; $AP$65 &amp; $AM12),0)),"",INDIRECT(CONCATENATE("Table!",ADDRESS($AI12,MATCH(AC$1,INDIRECT("Table!A" &amp; $AM12):INDIRECT("Table!" &amp; $AP$65 &amp; $AM12),0)))))</f>
        <v>0.10812589926773276</v>
      </c>
      <c r="AD12" s="596">
        <f ca="1">IF(ISERROR(MATCH(AD$1,INDIRECT("Table!A"&amp;$AM12):INDIRECT("Table!" &amp; $AP$65 &amp; $AM12),0)),"",INDIRECT(CONCATENATE("Table!",ADDRESS($AI12,MATCH(AD$1,INDIRECT("Table!A" &amp; $AM12):INDIRECT("Table!" &amp; $AP$65 &amp; $AM12),0)))))</f>
        <v>0.2845184923363645</v>
      </c>
      <c r="AE12" s="596">
        <f ca="1">IF(ISERROR(MATCH(AE$1,INDIRECT("Table!A"&amp;$AM12):INDIRECT("Table!" &amp; $AP$65 &amp; $AM12),0)),"",INDIRECT(CONCATENATE("Table!",ADDRESS($AI12,MATCH(AE$1,INDIRECT("Table!A" &amp; $AM12):INDIRECT("Table!" &amp; $AP$65 &amp; $AM12),0)))))</f>
        <v>0.11667021993788498</v>
      </c>
      <c r="AF12" s="596">
        <f ca="1">IF(ISERROR(MATCH(AF$1,INDIRECT("Table!A"&amp;$AM12):INDIRECT("Table!" &amp; $AP$65 &amp; $AM12),0)),"",INDIRECT(CONCATENATE("Table!",ADDRESS($AI12,MATCH(AF$1,INDIRECT("Table!A" &amp; $AM12):INDIRECT("Table!" &amp; $AP$65 &amp; $AM12),0)))))</f>
        <v>0.11666893947978828</v>
      </c>
      <c r="AG12" s="596">
        <f ca="1">IF(ISERROR(MATCH(AG$1,INDIRECT("Table!A"&amp;$AM12):INDIRECT("Table!" &amp; $AP$65 &amp; $AM12),0)),"",INDIRECT(CONCATENATE("Table!",ADDRESS($AI12,MATCH(AG$1,INDIRECT("Table!A" &amp; $AM12):INDIRECT("Table!" &amp; $AP$65 &amp; $AM12),0)))))</f>
        <v>2.0560429006494362E-3</v>
      </c>
      <c r="AH12" s="596">
        <f ca="1">IF(ISERROR(MATCH(AH$1,INDIRECT("Table!A"&amp;$AM12):INDIRECT("Table!" &amp; $AP$65 &amp; $AM12),0)),"",INDIRECT(CONCATENATE("Table!",ADDRESS($AI12,MATCH(AH$1,INDIRECT("Table!A" &amp; $AM12):INDIRECT("Table!" &amp; $AP$65 &amp; $AM12),0)))))</f>
        <v>0</v>
      </c>
      <c r="AI12" s="595">
        <f>MATCH($A12,Table!$A:$A,0)+$AK$2-1</f>
        <v>132</v>
      </c>
      <c r="AJ12" s="1017"/>
      <c r="AK12" s="1017"/>
      <c r="AL12" s="1017"/>
      <c r="AM12" s="595">
        <f>MATCH($A12,Table!$A:$A,0)+$AO$2-1</f>
        <v>129</v>
      </c>
      <c r="AN12" s="1017"/>
      <c r="AP12" s="947" t="s">
        <v>302</v>
      </c>
    </row>
    <row r="13" spans="1:42" s="947" customFormat="1" ht="14.25" customHeight="1" x14ac:dyDescent="0.25">
      <c r="A13" s="592">
        <v>41907</v>
      </c>
      <c r="B13" s="596">
        <f ca="1">IF(ISERROR(MATCH(B$1,INDIRECT("Table!A"&amp;$AM13):INDIRECT("Table!" &amp; $AP$113 &amp; $AM13),0)),"",INDIRECT(CONCATENATE("Table!",ADDRESS($AI13,MATCH(B$1,INDIRECT("Table!A" &amp; $AM13):INDIRECT("Table!" &amp; $AP$112 &amp; $AM13),0)))))</f>
        <v>0.21429822765044493</v>
      </c>
      <c r="C13" s="596">
        <f ca="1">IF(ISERROR(MATCH(C$1,INDIRECT("Table!A"&amp;$AM13):INDIRECT("Table!" &amp; $AP$112 &amp; $AM13),0)),"",INDIRECT(CONCATENATE("Table!",ADDRESS($AI13,MATCH(C$1,INDIRECT("Table!A" &amp; $AM13):INDIRECT("Table!" &amp; $AP$112 &amp; $AM13),0)))))</f>
        <v>0.57784019979178392</v>
      </c>
      <c r="D13" s="596">
        <f ca="1">IF(ISERROR(MATCH(D$1,INDIRECT("Table!A"&amp;$AM13):INDIRECT("Table!" &amp; $AP$112 &amp; $AM13),0)),"",INDIRECT(CONCATENATE("Table!",ADDRESS($AI13,MATCH(D$1,INDIRECT("Table!A" &amp; $AM13):INDIRECT("Table!" &amp; $AP$112 &amp; $AM13),0)))))</f>
        <v>0.57616131631905287</v>
      </c>
      <c r="E13" s="596">
        <f ca="1">IF(ISERROR(MATCH(E$1,INDIRECT("Table!A"&amp;$AM13):INDIRECT("Table!" &amp; $AP$112 &amp; $AM13),0)),"",INDIRECT(CONCATENATE("Table!",ADDRESS($AI13,MATCH(E$1,INDIRECT("Table!A" &amp; $AM13):INDIRECT("Table!" &amp; $AP$112 &amp; $AM13),0)))))</f>
        <v>0.56173612133706385</v>
      </c>
      <c r="F13" s="596">
        <f ca="1">IF(ISERROR(MATCH(F$1,INDIRECT("Table!A"&amp;$AM13):INDIRECT("Table!" &amp; $AP$112 &amp; $AM13),0)),"",INDIRECT(CONCATENATE("Table!",ADDRESS($AI13,MATCH(F$1,INDIRECT("Table!A" &amp; $AM13):INDIRECT("Table!" &amp; $AP$112 &amp; $AM13),0)))))</f>
        <v>0.71529876204787834</v>
      </c>
      <c r="G13" s="596">
        <f ca="1">IF(ISERROR(MATCH(G$1,INDIRECT("Table!A"&amp;$AM13):INDIRECT("Table!" &amp; $AP$112 &amp; $AM13),0)),"",INDIRECT(CONCATENATE("Table!",ADDRESS($AI13,MATCH(G$1,INDIRECT("Table!A" &amp; $AM13):INDIRECT("Table!" &amp; $AP$112 &amp; $AM13),0)))))</f>
        <v>0.53079446990410906</v>
      </c>
      <c r="H13" s="596">
        <f ca="1">IF(ISERROR(MATCH(H$1,INDIRECT("Table!A"&amp;$AM13):INDIRECT("Table!" &amp; $AP$112 &amp; $AM13),0)),"",INDIRECT(CONCATENATE("Table!",ADDRESS($AI13,MATCH(H$1,INDIRECT("Table!A" &amp; $AM13):INDIRECT("Table!" &amp; $AP$112 &amp; $AM13),0)))))</f>
        <v>0.55801146093484244</v>
      </c>
      <c r="I13" s="596">
        <f ca="1">IF(ISERROR(MATCH(I$1,INDIRECT("Table!A"&amp;$AM13):INDIRECT("Table!" &amp; $AP$91 &amp; $AM13),0)),"",INDIRECT(CONCATENATE("Table!",ADDRESS($AI13,MATCH(I$1,INDIRECT("Table!A" &amp; $AM13):INDIRECT("Table!" &amp; $AP$91 &amp; $AM13),0)))))</f>
        <v>0.31398017798865591</v>
      </c>
      <c r="J13" s="596">
        <f ca="1">IF(ISERROR(MATCH(J$1,INDIRECT("Table!A"&amp;$AM13):INDIRECT("Table!" &amp; $AP$91 &amp; $AM13),0)),"",INDIRECT(CONCATENATE("Table!",ADDRESS($AI13,MATCH(J$1,INDIRECT("Table!A" &amp; $AM13):INDIRECT("Table!" &amp; $AP$91 &amp; $AM13),0)))))</f>
        <v>0.7894035762204562</v>
      </c>
      <c r="K13" s="596">
        <f ca="1">IF(ISERROR(MATCH(K$1,INDIRECT("Table!A"&amp;$AM13):INDIRECT("Table!" &amp; $AP$91 &amp; $AM13),0)),"",INDIRECT(CONCATENATE("Table!",ADDRESS($AI13,MATCH(K$1,INDIRECT("Table!A" &amp; $AM13):INDIRECT("Table!" &amp; $AP$91 &amp; $AM13),0)))))</f>
        <v>0.41810951161952092</v>
      </c>
      <c r="L13" s="596">
        <f ca="1">IF(ISERROR(MATCH(L$1,INDIRECT("Table!A"&amp;$AM13):INDIRECT("Table!" &amp; $AP$91 &amp; $AM13),0)),"",INDIRECT(CONCATENATE("Table!",ADDRESS($AI13,MATCH(L$1,INDIRECT("Table!A" &amp; $AM13):INDIRECT("Table!" &amp; $AP$91 &amp; $AM13),0)))))</f>
        <v>0.4204039701785896</v>
      </c>
      <c r="M13" s="596">
        <f ca="1">IF(ISERROR(MATCH(M$1,INDIRECT("Table!A"&amp;$AM13):INDIRECT("Table!" &amp; $AP$91 &amp; $AM13),0)),"",INDIRECT(CONCATENATE("Table!",ADDRESS($AI13,MATCH(M$1,INDIRECT("Table!A" &amp; $AM13):INDIRECT("Table!" &amp; $AP$91 &amp; $AM13),0)))))</f>
        <v>0.48370350136997425</v>
      </c>
      <c r="N13" s="596">
        <f ca="1">IF(ISERROR(MATCH(N$1,INDIRECT("Table!A"&amp;$AM13):INDIRECT("Table!" &amp; $AP$91 &amp; $AM13),0)),"",INDIRECT(CONCATENATE("Table!",ADDRESS($AI13,MATCH(N$1,INDIRECT("Table!A" &amp; $AM13):INDIRECT("Table!" &amp; $AP$91 &amp; $AM13),0)))))</f>
        <v>0.71988275360433907</v>
      </c>
      <c r="O13" s="596">
        <f ca="1">IF(ISERROR(MATCH(O$1,INDIRECT("Table!A"&amp;$AM13):INDIRECT("Table!" &amp; $AP$91 &amp; $AM13),0)),"",INDIRECT(CONCATENATE("Table!",ADDRESS($AI13,MATCH(O$1,INDIRECT("Table!A" &amp; $AM13):INDIRECT("Table!" &amp; $AP$91 &amp; $AM13),0)))))</f>
        <v>0.65523281753838036</v>
      </c>
      <c r="P13" s="596">
        <f ca="1">IF(ISERROR(MATCH(P$1,INDIRECT("Table!A"&amp;$AM13):INDIRECT("Table!" &amp; $AP$91 &amp; $AM13),0)),"",INDIRECT(CONCATENATE("Table!",ADDRESS($AI13,MATCH(P$1,INDIRECT("Table!A" &amp; $AM13):INDIRECT("Table!" &amp; $AP$91 &amp; $AM13),0)))))</f>
        <v>0.32452781109553608</v>
      </c>
      <c r="Q13" s="596">
        <f ca="1">IF(ISERROR(MATCH(Q$1,INDIRECT("Table!A"&amp;$AM13):INDIRECT("Table!" &amp; $AP$91 &amp; $AM13),0)),"",INDIRECT(CONCATENATE("Table!",ADDRESS($AI13,MATCH(Q$1,INDIRECT("Table!A" &amp; $AM13):INDIRECT("Table!" &amp; $AP$91 &amp; $AM13),0)))))</f>
        <v>0.78792254597945277</v>
      </c>
      <c r="R13" s="596">
        <f ca="1">IF(ISERROR(MATCH(R$1,INDIRECT("Table!A"&amp;$AM13):INDIRECT("Table!" &amp; $AP$91 &amp; $AM13),0)),"",INDIRECT(CONCATENATE("Table!",ADDRESS($AI13,MATCH(R$1,INDIRECT("Table!A" &amp; $AM13):INDIRECT("Table!" &amp; $AP$91 &amp; $AM13),0)))))</f>
        <v>0.68266022694822392</v>
      </c>
      <c r="S13" s="596" t="str">
        <f ca="1">IF(ISERROR(MATCH(S$1,INDIRECT("Table!A"&amp;$AM13):INDIRECT("Table!" &amp; $AP$91 &amp; $AM13),0)),"",INDIRECT(CONCATENATE("Table!",ADDRESS($AI13,MATCH(S$1,INDIRECT("Table!A" &amp; $AM13):INDIRECT("Table!" &amp; $AP$91 &amp; $AM13),0)))))</f>
        <v/>
      </c>
      <c r="T13" s="596">
        <f ca="1">IF(ISERROR(MATCH(T$1,INDIRECT("Table!A"&amp;$AM13):INDIRECT("Table!" &amp; $AP$65 &amp; $AM13),0)),"",INDIRECT(CONCATENATE("Table!",ADDRESS($AI13,MATCH(T$1,INDIRECT("Table!A" &amp; $AM13):INDIRECT("Table!" &amp; $AP$65 &amp; $AM13),0)))))</f>
        <v>0.349145525150723</v>
      </c>
      <c r="U13" s="596">
        <f ca="1">IF(ISERROR(MATCH(U$1,INDIRECT("Table!A"&amp;$AM13):INDIRECT("Table!" &amp; $AP$65 &amp; $AM13),0)),"",INDIRECT(CONCATENATE("Table!",ADDRESS($AI13,MATCH(U$1,INDIRECT("Table!A" &amp; $AM13):INDIRECT("Table!" &amp; $AP$65 &amp; $AM13),0)))))</f>
        <v>0.15195432328895805</v>
      </c>
      <c r="V13" s="596">
        <f ca="1">IF(ISERROR(MATCH(V$1,INDIRECT("Table!A"&amp;$AM13):INDIRECT("Table!" &amp; $AP$65 &amp; $AM13),0)),"",INDIRECT(CONCATENATE("Table!",ADDRESS($AI13,MATCH(V$1,INDIRECT("Table!A" &amp; $AM13):INDIRECT("Table!" &amp; $AP$65 &amp; $AM13),0)))))</f>
        <v>0.14825164143553712</v>
      </c>
      <c r="W13" s="596">
        <f ca="1">IF(ISERROR(MATCH(W$1,INDIRECT("Table!A"&amp;$AM13):INDIRECT("Table!" &amp; $AP$65 &amp; $AM13),0)),"",INDIRECT(CONCATENATE("Table!",ADDRESS($AI13,MATCH(W$1,INDIRECT("Table!A" &amp; $AM13):INDIRECT("Table!" &amp; $AP$65 &amp; $AM13),0)))))</f>
        <v>0.26219978179291858</v>
      </c>
      <c r="X13" s="596">
        <f ca="1">IF(ISERROR(MATCH(X$1,INDIRECT("Table!A"&amp;$AM13):INDIRECT("Table!" &amp; $AP$65 &amp; $AM13),0)),"",INDIRECT(CONCATENATE("Table!",ADDRESS($AI13,MATCH(X$1,INDIRECT("Table!A" &amp; $AM13):INDIRECT("Table!" &amp; $AP$65 &amp; $AM13),0)))))</f>
        <v>0.25144381887048234</v>
      </c>
      <c r="Y13" s="596">
        <f ca="1">IF(ISERROR(MATCH(Y$1,INDIRECT("Table!A"&amp;$AM13):INDIRECT("Table!" &amp; $AP$65 &amp; $AM13),0)),"",INDIRECT(CONCATENATE("Table!",ADDRESS($AI13,MATCH(Y$1,INDIRECT("Table!A" &amp; $AM13):INDIRECT("Table!" &amp; $AP$65 &amp; $AM13),0)))))</f>
        <v>9.1120537396094783E-2</v>
      </c>
      <c r="Z13" s="596">
        <f ca="1">IF(ISERROR(MATCH(Z$1,INDIRECT("Table!A"&amp;$AM13):INDIRECT("Table!" &amp; $AP$65 &amp; $AM13),0)),"",INDIRECT(CONCATENATE("Table!",ADDRESS($AI13,MATCH(Z$1,INDIRECT("Table!A" &amp; $AM13):INDIRECT("Table!" &amp; $AP$65 &amp; $AM13),0)))))</f>
        <v>8.8429162301040823E-2</v>
      </c>
      <c r="AA13" s="596">
        <f ca="1">IF(ISERROR(MATCH(AA$1,INDIRECT("Table!A"&amp;$AM13):INDIRECT("Table!" &amp; $AP$65 &amp; $AM13),0)),"",INDIRECT(CONCATENATE("Table!",ADDRESS($AI13,MATCH(AA$1,INDIRECT("Table!A" &amp; $AM13):INDIRECT("Table!" &amp; $AP$65 &amp; $AM13),0)))))</f>
        <v>0.36589429964295189</v>
      </c>
      <c r="AB13" s="596">
        <f ca="1">IF(ISERROR(MATCH(AB$1,INDIRECT("Table!A"&amp;$AM13):INDIRECT("Table!" &amp; $AP$65 &amp; $AM13),0)),"",INDIRECT(CONCATENATE("Table!",ADDRESS($AI13,MATCH(AB$1,INDIRECT("Table!A" &amp; $AM13):INDIRECT("Table!" &amp; $AP$65 &amp; $AM13),0)))))</f>
        <v>2.5671761900171424E-5</v>
      </c>
      <c r="AC13" s="596">
        <f ca="1">IF(ISERROR(MATCH(AC$1,INDIRECT("Table!A"&amp;$AM13):INDIRECT("Table!" &amp; $AP$65 &amp; $AM13),0)),"",INDIRECT(CONCATENATE("Table!",ADDRESS($AI13,MATCH(AC$1,INDIRECT("Table!A" &amp; $AM13):INDIRECT("Table!" &amp; $AP$65 &amp; $AM13),0)))))</f>
        <v>0.10021055807261263</v>
      </c>
      <c r="AD13" s="596">
        <f ca="1">IF(ISERROR(MATCH(AD$1,INDIRECT("Table!A"&amp;$AM13):INDIRECT("Table!" &amp; $AP$65 &amp; $AM13),0)),"",INDIRECT(CONCATENATE("Table!",ADDRESS($AI13,MATCH(AD$1,INDIRECT("Table!A" &amp; $AM13):INDIRECT("Table!" &amp; $AP$65 &amp; $AM13),0)))))</f>
        <v>0.28396911338895853</v>
      </c>
      <c r="AE13" s="596">
        <f ca="1">IF(ISERROR(MATCH(AE$1,INDIRECT("Table!A"&amp;$AM13):INDIRECT("Table!" &amp; $AP$65 &amp; $AM13),0)),"",INDIRECT(CONCATENATE("Table!",ADDRESS($AI13,MATCH(AE$1,INDIRECT("Table!A" &amp; $AM13):INDIRECT("Table!" &amp; $AP$65 &amp; $AM13),0)))))</f>
        <v>0.11665741535691809</v>
      </c>
      <c r="AF13" s="596">
        <f ca="1">IF(ISERROR(MATCH(AF$1,INDIRECT("Table!A"&amp;$AM13):INDIRECT("Table!" &amp; $AP$65 &amp; $AM13),0)),"",INDIRECT(CONCATENATE("Table!",ADDRESS($AI13,MATCH(AF$1,INDIRECT("Table!A" &amp; $AM13):INDIRECT("Table!" &amp; $AP$65 &amp; $AM13),0)))))</f>
        <v>0.1166561348988214</v>
      </c>
      <c r="AG13" s="596">
        <f ca="1">IF(ISERROR(MATCH(AG$1,INDIRECT("Table!A"&amp;$AM13):INDIRECT("Table!" &amp; $AP$65 &amp; $AM13),0)),"",INDIRECT(CONCATENATE("Table!",ADDRESS($AI13,MATCH(AG$1,INDIRECT("Table!A" &amp; $AM13):INDIRECT("Table!" &amp; $AP$65 &amp; $AM13),0)))))</f>
        <v>1.8400401301015034E-3</v>
      </c>
      <c r="AH13" s="596">
        <f ca="1">IF(ISERROR(MATCH(AH$1,INDIRECT("Table!A"&amp;$AM13):INDIRECT("Table!" &amp; $AP$65 &amp; $AM13),0)),"",INDIRECT(CONCATENATE("Table!",ADDRESS($AI13,MATCH(AH$1,INDIRECT("Table!A" &amp; $AM13):INDIRECT("Table!" &amp; $AP$65 &amp; $AM13),0)))))</f>
        <v>0</v>
      </c>
      <c r="AI13" s="595">
        <f>MATCH($A13,Table!$A:$A,0)+$AK$2-1</f>
        <v>146</v>
      </c>
      <c r="AJ13" s="1014"/>
      <c r="AK13" s="1014"/>
      <c r="AL13" s="1014"/>
      <c r="AM13" s="595">
        <f>MATCH($A13,Table!$A:$A,0)+$AO$2-1</f>
        <v>143</v>
      </c>
      <c r="AN13" s="1014"/>
      <c r="AP13" s="947" t="s">
        <v>302</v>
      </c>
    </row>
    <row r="14" spans="1:42" s="947" customFormat="1" ht="14.25" customHeight="1" x14ac:dyDescent="0.25">
      <c r="A14" s="592">
        <v>41900</v>
      </c>
      <c r="B14" s="596">
        <f ca="1">IF(ISERROR(MATCH(B$1,INDIRECT("Table!A"&amp;$AM14):INDIRECT("Table!" &amp; $AP$113 &amp; $AM14),0)),"",INDIRECT(CONCATENATE("Table!",ADDRESS($AI14,MATCH(B$1,INDIRECT("Table!A" &amp; $AM14):INDIRECT("Table!" &amp; $AP$112 &amp; $AM14),0)))))</f>
        <v>0.21409504260486428</v>
      </c>
      <c r="C14" s="596">
        <f ca="1">IF(ISERROR(MATCH(C$1,INDIRECT("Table!A"&amp;$AM14):INDIRECT("Table!" &amp; $AP$112 &amp; $AM14),0)),"",INDIRECT(CONCATENATE("Table!",ADDRESS($AI14,MATCH(C$1,INDIRECT("Table!A" &amp; $AM14):INDIRECT("Table!" &amp; $AP$112 &amp; $AM14),0)))))</f>
        <v>0.57677520168858332</v>
      </c>
      <c r="D14" s="596">
        <f ca="1">IF(ISERROR(MATCH(D$1,INDIRECT("Table!A"&amp;$AM14):INDIRECT("Table!" &amp; $AP$112 &amp; $AM14),0)),"",INDIRECT(CONCATENATE("Table!",ADDRESS($AI14,MATCH(D$1,INDIRECT("Table!A" &amp; $AM14):INDIRECT("Table!" &amp; $AP$112 &amp; $AM14),0)))))</f>
        <v>0.57509565383774686</v>
      </c>
      <c r="E14" s="596">
        <f ca="1">IF(ISERROR(MATCH(E$1,INDIRECT("Table!A"&amp;$AM14):INDIRECT("Table!" &amp; $AP$112 &amp; $AM14),0)),"",INDIRECT(CONCATENATE("Table!",ADDRESS($AI14,MATCH(E$1,INDIRECT("Table!A" &amp; $AM14):INDIRECT("Table!" &amp; $AP$112 &amp; $AM14),0)))))</f>
        <v>0.56153776838089042</v>
      </c>
      <c r="F14" s="596">
        <f ca="1">IF(ISERROR(MATCH(F$1,INDIRECT("Table!A"&amp;$AM14):INDIRECT("Table!" &amp; $AP$112 &amp; $AM14),0)),"",INDIRECT(CONCATENATE("Table!",ADDRESS($AI14,MATCH(F$1,INDIRECT("Table!A" &amp; $AM14):INDIRECT("Table!" &amp; $AP$112 &amp; $AM14),0)))))</f>
        <v>0.71461526721149182</v>
      </c>
      <c r="G14" s="596">
        <f ca="1">IF(ISERROR(MATCH(G$1,INDIRECT("Table!A"&amp;$AM14):INDIRECT("Table!" &amp; $AP$112 &amp; $AM14),0)),"",INDIRECT(CONCATENATE("Table!",ADDRESS($AI14,MATCH(G$1,INDIRECT("Table!A" &amp; $AM14):INDIRECT("Table!" &amp; $AP$112 &amp; $AM14),0)))))</f>
        <v>0.52902812544126521</v>
      </c>
      <c r="H14" s="596">
        <f ca="1">IF(ISERROR(MATCH(H$1,INDIRECT("Table!A"&amp;$AM14):INDIRECT("Table!" &amp; $AP$112 &amp; $AM14),0)),"",INDIRECT(CONCATENATE("Table!",ADDRESS($AI14,MATCH(H$1,INDIRECT("Table!A" &amp; $AM14):INDIRECT("Table!" &amp; $AP$112 &amp; $AM14),0)))))</f>
        <v>0.55722530244133617</v>
      </c>
      <c r="I14" s="596">
        <f ca="1">IF(ISERROR(MATCH(I$1,INDIRECT("Table!A"&amp;$AM14):INDIRECT("Table!" &amp; $AP$91 &amp; $AM14),0)),"",INDIRECT(CONCATENATE("Table!",ADDRESS($AI14,MATCH(I$1,INDIRECT("Table!A" &amp; $AM14):INDIRECT("Table!" &amp; $AP$91 &amp; $AM14),0)))))</f>
        <v>0.31345933838316936</v>
      </c>
      <c r="J14" s="596">
        <f ca="1">IF(ISERROR(MATCH(J$1,INDIRECT("Table!A"&amp;$AM14):INDIRECT("Table!" &amp; $AP$91 &amp; $AM14),0)),"",INDIRECT(CONCATENATE("Table!",ADDRESS($AI14,MATCH(J$1,INDIRECT("Table!A" &amp; $AM14):INDIRECT("Table!" &amp; $AP$91 &amp; $AM14),0)))))</f>
        <v>0.78568318453916819</v>
      </c>
      <c r="K14" s="596">
        <f ca="1">IF(ISERROR(MATCH(K$1,INDIRECT("Table!A"&amp;$AM14):INDIRECT("Table!" &amp; $AP$91 &amp; $AM14),0)),"",INDIRECT(CONCATENATE("Table!",ADDRESS($AI14,MATCH(K$1,INDIRECT("Table!A" &amp; $AM14):INDIRECT("Table!" &amp; $AP$91 &amp; $AM14),0)))))</f>
        <v>0.40864912581358065</v>
      </c>
      <c r="L14" s="596">
        <f ca="1">IF(ISERROR(MATCH(L$1,INDIRECT("Table!A"&amp;$AM14):INDIRECT("Table!" &amp; $AP$91 &amp; $AM14),0)),"",INDIRECT(CONCATENATE("Table!",ADDRESS($AI14,MATCH(L$1,INDIRECT("Table!A" &amp; $AM14):INDIRECT("Table!" &amp; $AP$91 &amp; $AM14),0)))))</f>
        <v>0.42031849083894601</v>
      </c>
      <c r="M14" s="596">
        <f ca="1">IF(ISERROR(MATCH(M$1,INDIRECT("Table!A"&amp;$AM14):INDIRECT("Table!" &amp; $AP$91 &amp; $AM14),0)),"",INDIRECT(CONCATENATE("Table!",ADDRESS($AI14,MATCH(M$1,INDIRECT("Table!A" &amp; $AM14):INDIRECT("Table!" &amp; $AP$91 &amp; $AM14),0)))))</f>
        <v>0.4822768203817307</v>
      </c>
      <c r="N14" s="596">
        <f ca="1">IF(ISERROR(MATCH(N$1,INDIRECT("Table!A"&amp;$AM14):INDIRECT("Table!" &amp; $AP$91 &amp; $AM14),0)),"",INDIRECT(CONCATENATE("Table!",ADDRESS($AI14,MATCH(N$1,INDIRECT("Table!A" &amp; $AM14):INDIRECT("Table!" &amp; $AP$91 &amp; $AM14),0)))))</f>
        <v>0.71942031917609606</v>
      </c>
      <c r="O14" s="596">
        <f ca="1">IF(ISERROR(MATCH(O$1,INDIRECT("Table!A"&amp;$AM14):INDIRECT("Table!" &amp; $AP$91 &amp; $AM14),0)),"",INDIRECT(CONCATENATE("Table!",ADDRESS($AI14,MATCH(O$1,INDIRECT("Table!A" &amp; $AM14):INDIRECT("Table!" &amp; $AP$91 &amp; $AM14),0)))))</f>
        <v>0.65417498399306995</v>
      </c>
      <c r="P14" s="596">
        <f ca="1">IF(ISERROR(MATCH(P$1,INDIRECT("Table!A"&amp;$AM14):INDIRECT("Table!" &amp; $AP$91 &amp; $AM14),0)),"",INDIRECT(CONCATENATE("Table!",ADDRESS($AI14,MATCH(P$1,INDIRECT("Table!A" &amp; $AM14):INDIRECT("Table!" &amp; $AP$91 &amp; $AM14),0)))))</f>
        <v>0.32397505744302663</v>
      </c>
      <c r="Q14" s="596">
        <f ca="1">IF(ISERROR(MATCH(Q$1,INDIRECT("Table!A"&amp;$AM14):INDIRECT("Table!" &amp; $AP$91 &amp; $AM14),0)),"",INDIRECT(CONCATENATE("Table!",ADDRESS($AI14,MATCH(Q$1,INDIRECT("Table!A" &amp; $AM14):INDIRECT("Table!" &amp; $AP$91 &amp; $AM14),0)))))</f>
        <v>0.78636162953205913</v>
      </c>
      <c r="R14" s="596">
        <f ca="1">IF(ISERROR(MATCH(R$1,INDIRECT("Table!A"&amp;$AM14):INDIRECT("Table!" &amp; $AP$91 &amp; $AM14),0)),"",INDIRECT(CONCATENATE("Table!",ADDRESS($AI14,MATCH(R$1,INDIRECT("Table!A" &amp; $AM14):INDIRECT("Table!" &amp; $AP$91 &amp; $AM14),0)))))</f>
        <v>0.67829252400692519</v>
      </c>
      <c r="S14" s="596" t="str">
        <f ca="1">IF(ISERROR(MATCH(S$1,INDIRECT("Table!A"&amp;$AM14):INDIRECT("Table!" &amp; $AP$91 &amp; $AM14),0)),"",INDIRECT(CONCATENATE("Table!",ADDRESS($AI14,MATCH(S$1,INDIRECT("Table!A" &amp; $AM14):INDIRECT("Table!" &amp; $AP$91 &amp; $AM14),0)))))</f>
        <v/>
      </c>
      <c r="T14" s="596">
        <f ca="1">IF(ISERROR(MATCH(T$1,INDIRECT("Table!A"&amp;$AM14):INDIRECT("Table!" &amp; $AP$65 &amp; $AM14),0)),"",INDIRECT(CONCATENATE("Table!",ADDRESS($AI14,MATCH(T$1,INDIRECT("Table!A" &amp; $AM14):INDIRECT("Table!" &amp; $AP$65 &amp; $AM14),0)))))</f>
        <v>0.349145525150723</v>
      </c>
      <c r="U14" s="596">
        <f ca="1">IF(ISERROR(MATCH(U$1,INDIRECT("Table!A"&amp;$AM14):INDIRECT("Table!" &amp; $AP$65 &amp; $AM14),0)),"",INDIRECT(CONCATENATE("Table!",ADDRESS($AI14,MATCH(U$1,INDIRECT("Table!A" &amp; $AM14):INDIRECT("Table!" &amp; $AP$65 &amp; $AM14),0)))))</f>
        <v>0.15174198725005258</v>
      </c>
      <c r="V14" s="596">
        <f ca="1">IF(ISERROR(MATCH(V$1,INDIRECT("Table!A"&amp;$AM14):INDIRECT("Table!" &amp; $AP$65 &amp; $AM14),0)),"",INDIRECT(CONCATENATE("Table!",ADDRESS($AI14,MATCH(V$1,INDIRECT("Table!A" &amp; $AM14):INDIRECT("Table!" &amp; $AP$65 &amp; $AM14),0)))))</f>
        <v>0.14804495540498291</v>
      </c>
      <c r="W14" s="596">
        <f ca="1">IF(ISERROR(MATCH(W$1,INDIRECT("Table!A"&amp;$AM14):INDIRECT("Table!" &amp; $AP$65 &amp; $AM14),0)),"",INDIRECT(CONCATENATE("Table!",ADDRESS($AI14,MATCH(W$1,INDIRECT("Table!A" &amp; $AM14):INDIRECT("Table!" &amp; $AP$65 &amp; $AM14),0)))))</f>
        <v>0.26121540365863799</v>
      </c>
      <c r="X14" s="596">
        <f ca="1">IF(ISERROR(MATCH(X$1,INDIRECT("Table!A"&amp;$AM14):INDIRECT("Table!" &amp; $AP$65 &amp; $AM14),0)),"",INDIRECT(CONCATENATE("Table!",ADDRESS($AI14,MATCH(X$1,INDIRECT("Table!A" &amp; $AM14):INDIRECT("Table!" &amp; $AP$65 &amp; $AM14),0)))))</f>
        <v>0.2505407011572986</v>
      </c>
      <c r="Y14" s="596">
        <f ca="1">IF(ISERROR(MATCH(Y$1,INDIRECT("Table!A"&amp;$AM14):INDIRECT("Table!" &amp; $AP$65 &amp; $AM14),0)),"",INDIRECT(CONCATENATE("Table!",ADDRESS($AI14,MATCH(Y$1,INDIRECT("Table!A" &amp; $AM14):INDIRECT("Table!" &amp; $AP$65 &amp; $AM14),0)))))</f>
        <v>8.4891361250140671E-2</v>
      </c>
      <c r="Z14" s="596">
        <f ca="1">IF(ISERROR(MATCH(Z$1,INDIRECT("Table!A"&amp;$AM14):INDIRECT("Table!" &amp; $AP$65 &amp; $AM14),0)),"",INDIRECT(CONCATENATE("Table!",ADDRESS($AI14,MATCH(Z$1,INDIRECT("Table!A" &amp; $AM14):INDIRECT("Table!" &amp; $AP$65 &amp; $AM14),0)))))</f>
        <v>8.2365576513211428E-2</v>
      </c>
      <c r="AA14" s="596">
        <f ca="1">IF(ISERROR(MATCH(AA$1,INDIRECT("Table!A"&amp;$AM14):INDIRECT("Table!" &amp; $AP$65 &amp; $AM14),0)),"",INDIRECT(CONCATENATE("Table!",ADDRESS($AI14,MATCH(AA$1,INDIRECT("Table!A" &amp; $AM14):INDIRECT("Table!" &amp; $AP$65 &amp; $AM14),0)))))</f>
        <v>0.31035074439784943</v>
      </c>
      <c r="AB14" s="596">
        <f ca="1">IF(ISERROR(MATCH(AB$1,INDIRECT("Table!A"&amp;$AM14):INDIRECT("Table!" &amp; $AP$65 &amp; $AM14),0)),"",INDIRECT(CONCATENATE("Table!",ADDRESS($AI14,MATCH(AB$1,INDIRECT("Table!A" &amp; $AM14):INDIRECT("Table!" &amp; $AP$65 &amp; $AM14),0)))))</f>
        <v>2.5671761900171424E-5</v>
      </c>
      <c r="AC14" s="596">
        <f ca="1">IF(ISERROR(MATCH(AC$1,INDIRECT("Table!A"&amp;$AM14):INDIRECT("Table!" &amp; $AP$65 &amp; $AM14),0)),"",INDIRECT(CONCATENATE("Table!",ADDRESS($AI14,MATCH(AC$1,INDIRECT("Table!A" &amp; $AM14):INDIRECT("Table!" &amp; $AP$65 &amp; $AM14),0)))))</f>
        <v>8.1623162637590202E-2</v>
      </c>
      <c r="AD14" s="596">
        <f ca="1">IF(ISERROR(MATCH(AD$1,INDIRECT("Table!A"&amp;$AM14):INDIRECT("Table!" &amp; $AP$65 &amp; $AM14),0)),"",INDIRECT(CONCATENATE("Table!",ADDRESS($AI14,MATCH(AD$1,INDIRECT("Table!A" &amp; $AM14):INDIRECT("Table!" &amp; $AP$65 &amp; $AM14),0)))))</f>
        <v>0.26934652913895224</v>
      </c>
      <c r="AE14" s="596">
        <f ca="1">IF(ISERROR(MATCH(AE$1,INDIRECT("Table!A"&amp;$AM14):INDIRECT("Table!" &amp; $AP$65 &amp; $AM14),0)),"",INDIRECT(CONCATENATE("Table!",ADDRESS($AI14,MATCH(AE$1,INDIRECT("Table!A" &amp; $AM14):INDIRECT("Table!" &amp; $AP$65 &amp; $AM14),0)))))</f>
        <v>8.6687653374871387E-2</v>
      </c>
      <c r="AF14" s="596">
        <f ca="1">IF(ISERROR(MATCH(AF$1,INDIRECT("Table!A"&amp;$AM14):INDIRECT("Table!" &amp; $AP$65 &amp; $AM14),0)),"",INDIRECT(CONCATENATE("Table!",ADDRESS($AI14,MATCH(AF$1,INDIRECT("Table!A" &amp; $AM14):INDIRECT("Table!" &amp; $AP$65 &amp; $AM14),0)))))</f>
        <v>8.6686372916774695E-2</v>
      </c>
      <c r="AG14" s="596">
        <f ca="1">IF(ISERROR(MATCH(AG$1,INDIRECT("Table!A"&amp;$AM14):INDIRECT("Table!" &amp; $AP$65 &amp; $AM14),0)),"",INDIRECT(CONCATENATE("Table!",ADDRESS($AI14,MATCH(AG$1,INDIRECT("Table!A" &amp; $AM14):INDIRECT("Table!" &amp; $AP$65 &amp; $AM14),0)))))</f>
        <v>4.5074958316820724E-5</v>
      </c>
      <c r="AH14" s="596">
        <f ca="1">IF(ISERROR(MATCH(AH$1,INDIRECT("Table!A"&amp;$AM14):INDIRECT("Table!" &amp; $AP$65 &amp; $AM14),0)),"",INDIRECT(CONCATENATE("Table!",ADDRESS($AI14,MATCH(AH$1,INDIRECT("Table!A" &amp; $AM14):INDIRECT("Table!" &amp; $AP$65 &amp; $AM14),0)))))</f>
        <v>0</v>
      </c>
      <c r="AI14" s="595">
        <f>MATCH($A14,Table!$A:$A,0)+$AK$2-1</f>
        <v>160</v>
      </c>
      <c r="AJ14" s="1011"/>
      <c r="AK14" s="1011"/>
      <c r="AL14" s="1011"/>
      <c r="AM14" s="595">
        <f>MATCH($A14,Table!$A:$A,0)+$AO$2-1</f>
        <v>157</v>
      </c>
      <c r="AN14" s="1011"/>
      <c r="AP14" s="947" t="s">
        <v>302</v>
      </c>
    </row>
    <row r="15" spans="1:42" s="947" customFormat="1" ht="15.75" customHeight="1" x14ac:dyDescent="0.25">
      <c r="A15" s="592">
        <v>41893</v>
      </c>
      <c r="B15" s="596">
        <f ca="1">IF(ISERROR(MATCH(B$1,INDIRECT("Table!A"&amp;$AM15):INDIRECT("Table!" &amp; $AP$113 &amp; $AM15),0)),"",INDIRECT(CONCATENATE("Table!",ADDRESS($AI15,MATCH(B$1,INDIRECT("Table!A" &amp; $AM15):INDIRECT("Table!" &amp; $AP$112 &amp; $AM15),0)))))</f>
        <v>0.21370347142450316</v>
      </c>
      <c r="C15" s="596">
        <f ca="1">IF(ISERROR(MATCH(C$1,INDIRECT("Table!A"&amp;$AM15):INDIRECT("Table!" &amp; $AP$112 &amp; $AM15),0)),"",INDIRECT(CONCATENATE("Table!",ADDRESS($AI15,MATCH(C$1,INDIRECT("Table!A" &amp; $AM15):INDIRECT("Table!" &amp; $AP$112 &amp; $AM15),0)))))</f>
        <v>0.57651343671499566</v>
      </c>
      <c r="D15" s="596">
        <f ca="1">IF(ISERROR(MATCH(D$1,INDIRECT("Table!A"&amp;$AM15):INDIRECT("Table!" &amp; $AP$112 &amp; $AM15),0)),"",INDIRECT(CONCATENATE("Table!",ADDRESS($AI15,MATCH(D$1,INDIRECT("Table!A" &amp; $AM15):INDIRECT("Table!" &amp; $AP$112 &amp; $AM15),0)))))</f>
        <v>0.57483455324226473</v>
      </c>
      <c r="E15" s="596">
        <f ca="1">IF(ISERROR(MATCH(E$1,INDIRECT("Table!A"&amp;$AM15):INDIRECT("Table!" &amp; $AP$112 &amp; $AM15),0)),"",INDIRECT(CONCATENATE("Table!",ADDRESS($AI15,MATCH(E$1,INDIRECT("Table!A" &amp; $AM15):INDIRECT("Table!" &amp; $AP$112 &amp; $AM15),0)))))</f>
        <v>0.56120315079000527</v>
      </c>
      <c r="F15" s="596">
        <f ca="1">IF(ISERROR(MATCH(F$1,INDIRECT("Table!A"&amp;$AM15):INDIRECT("Table!" &amp; $AP$112 &amp; $AM15),0)),"",INDIRECT(CONCATENATE("Table!",ADDRESS($AI15,MATCH(F$1,INDIRECT("Table!A" &amp; $AM15):INDIRECT("Table!" &amp; $AP$112 &amp; $AM15),0)))))</f>
        <v>0.71380086471447346</v>
      </c>
      <c r="G15" s="596">
        <f ca="1">IF(ISERROR(MATCH(G$1,INDIRECT("Table!A"&amp;$AM15):INDIRECT("Table!" &amp; $AP$112 &amp; $AM15),0)),"",INDIRECT(CONCATENATE("Table!",ADDRESS($AI15,MATCH(G$1,INDIRECT("Table!A" &amp; $AM15):INDIRECT("Table!" &amp; $AP$112 &amp; $AM15),0)))))</f>
        <v>0.52805535230613221</v>
      </c>
      <c r="H15" s="596">
        <f ca="1">IF(ISERROR(MATCH(H$1,INDIRECT("Table!A"&amp;$AM15):INDIRECT("Table!" &amp; $AP$112 &amp; $AM15),0)),"",INDIRECT(CONCATENATE("Table!",ADDRESS($AI15,MATCH(H$1,INDIRECT("Table!A" &amp; $AM15):INDIRECT("Table!" &amp; $AP$112 &amp; $AM15),0)))))</f>
        <v>0.55603036479033352</v>
      </c>
      <c r="I15" s="596">
        <f ca="1">IF(ISERROR(MATCH(I$1,INDIRECT("Table!A"&amp;$AM15):INDIRECT("Table!" &amp; $AP$91 &amp; $AM15),0)),"",INDIRECT(CONCATENATE("Table!",ADDRESS($AI15,MATCH(I$1,INDIRECT("Table!A" &amp; $AM15):INDIRECT("Table!" &amp; $AP$91 &amp; $AM15),0)))))</f>
        <v>0.31304387095220315</v>
      </c>
      <c r="J15" s="596">
        <f ca="1">IF(ISERROR(MATCH(J$1,INDIRECT("Table!A"&amp;$AM15):INDIRECT("Table!" &amp; $AP$91 &amp; $AM15),0)),"",INDIRECT(CONCATENATE("Table!",ADDRESS($AI15,MATCH(J$1,INDIRECT("Table!A" &amp; $AM15):INDIRECT("Table!" &amp; $AP$91 &amp; $AM15),0)))))</f>
        <v>0.78127257714934462</v>
      </c>
      <c r="K15" s="596">
        <f ca="1">IF(ISERROR(MATCH(K$1,INDIRECT("Table!A"&amp;$AM15):INDIRECT("Table!" &amp; $AP$91 &amp; $AM15),0)),"",INDIRECT(CONCATENATE("Table!",ADDRESS($AI15,MATCH(K$1,INDIRECT("Table!A" &amp; $AM15):INDIRECT("Table!" &amp; $AP$91 &amp; $AM15),0)))))</f>
        <v>0.38871929993680582</v>
      </c>
      <c r="L15" s="596">
        <f ca="1">IF(ISERROR(MATCH(L$1,INDIRECT("Table!A"&amp;$AM15):INDIRECT("Table!" &amp; $AP$91 &amp; $AM15),0)),"",INDIRECT(CONCATENATE("Table!",ADDRESS($AI15,MATCH(L$1,INDIRECT("Table!A" &amp; $AM15):INDIRECT("Table!" &amp; $AP$91 &amp; $AM15),0)))))</f>
        <v>0.42023352955590632</v>
      </c>
      <c r="M15" s="596">
        <f ca="1">IF(ISERROR(MATCH(M$1,INDIRECT("Table!A"&amp;$AM15):INDIRECT("Table!" &amp; $AP$91 &amp; $AM15),0)),"",INDIRECT(CONCATENATE("Table!",ADDRESS($AI15,MATCH(M$1,INDIRECT("Table!A" &amp; $AM15):INDIRECT("Table!" &amp; $AP$91 &amp; $AM15),0)))))</f>
        <v>0.48173325766356112</v>
      </c>
      <c r="N15" s="596">
        <f ca="1">IF(ISERROR(MATCH(N$1,INDIRECT("Table!A"&amp;$AM15):INDIRECT("Table!" &amp; $AP$91 &amp; $AM15),0)),"",INDIRECT(CONCATENATE("Table!",ADDRESS($AI15,MATCH(N$1,INDIRECT("Table!A" &amp; $AM15):INDIRECT("Table!" &amp; $AP$91 &amp; $AM15),0)))))</f>
        <v>0.71864477810372984</v>
      </c>
      <c r="O15" s="596">
        <f ca="1">IF(ISERROR(MATCH(O$1,INDIRECT("Table!A"&amp;$AM15):INDIRECT("Table!" &amp; $AP$91 &amp; $AM15),0)),"",INDIRECT(CONCATENATE("Table!",ADDRESS($AI15,MATCH(O$1,INDIRECT("Table!A" &amp; $AM15):INDIRECT("Table!" &amp; $AP$91 &amp; $AM15),0)))))</f>
        <v>0.65273110095809794</v>
      </c>
      <c r="P15" s="596">
        <f ca="1">IF(ISERROR(MATCH(P$1,INDIRECT("Table!A"&amp;$AM15):INDIRECT("Table!" &amp; $AP$91 &amp; $AM15),0)),"",INDIRECT(CONCATENATE("Table!",ADDRESS($AI15,MATCH(P$1,INDIRECT("Table!A" &amp; $AM15):INDIRECT("Table!" &amp; $AP$91 &amp; $AM15),0)))))</f>
        <v>0.32353429962860736</v>
      </c>
      <c r="Q15" s="596">
        <f ca="1">IF(ISERROR(MATCH(Q$1,INDIRECT("Table!A"&amp;$AM15):INDIRECT("Table!" &amp; $AP$91 &amp; $AM15),0)),"",INDIRECT(CONCATENATE("Table!",ADDRESS($AI15,MATCH(Q$1,INDIRECT("Table!A" &amp; $AM15):INDIRECT("Table!" &amp; $AP$91 &amp; $AM15),0)))))</f>
        <v>0.78100462273416615</v>
      </c>
      <c r="R15" s="596">
        <f ca="1">IF(ISERROR(MATCH(R$1,INDIRECT("Table!A"&amp;$AM15):INDIRECT("Table!" &amp; $AP$91 &amp; $AM15),0)),"",INDIRECT(CONCATENATE("Table!",ADDRESS($AI15,MATCH(R$1,INDIRECT("Table!A" &amp; $AM15):INDIRECT("Table!" &amp; $AP$91 &amp; $AM15),0)))))</f>
        <v>0.67158045956195622</v>
      </c>
      <c r="S15" s="596" t="str">
        <f ca="1">IF(ISERROR(MATCH(S$1,INDIRECT("Table!A"&amp;$AM15):INDIRECT("Table!" &amp; $AP$91 &amp; $AM15),0)),"",INDIRECT(CONCATENATE("Table!",ADDRESS($AI15,MATCH(S$1,INDIRECT("Table!A" &amp; $AM15):INDIRECT("Table!" &amp; $AP$91 &amp; $AM15),0)))))</f>
        <v/>
      </c>
      <c r="T15" s="596">
        <f ca="1">IF(ISERROR(MATCH(T$1,INDIRECT("Table!A"&amp;$AM15):INDIRECT("Table!" &amp; $AP$65 &amp; $AM15),0)),"",INDIRECT(CONCATENATE("Table!",ADDRESS($AI15,MATCH(T$1,INDIRECT("Table!A" &amp; $AM15):INDIRECT("Table!" &amp; $AP$65 &amp; $AM15),0)))))</f>
        <v>0.349145525150723</v>
      </c>
      <c r="U15" s="596">
        <f ca="1">IF(ISERROR(MATCH(U$1,INDIRECT("Table!A"&amp;$AM15):INDIRECT("Table!" &amp; $AP$65 &amp; $AM15),0)),"",INDIRECT(CONCATENATE("Table!",ADDRESS($AI15,MATCH(U$1,INDIRECT("Table!A" &amp; $AM15):INDIRECT("Table!" &amp; $AP$65 &amp; $AM15),0)))))</f>
        <v>0.15155607090262388</v>
      </c>
      <c r="V15" s="596">
        <f ca="1">IF(ISERROR(MATCH(V$1,INDIRECT("Table!A"&amp;$AM15):INDIRECT("Table!" &amp; $AP$65 &amp; $AM15),0)),"",INDIRECT(CONCATENATE("Table!",ADDRESS($AI15,MATCH(V$1,INDIRECT("Table!A" &amp; $AM15):INDIRECT("Table!" &amp; $AP$65 &amp; $AM15),0)))))</f>
        <v>0.14786261345654939</v>
      </c>
      <c r="W15" s="596">
        <f ca="1">IF(ISERROR(MATCH(W$1,INDIRECT("Table!A"&amp;$AM15):INDIRECT("Table!" &amp; $AP$65 &amp; $AM15),0)),"",INDIRECT(CONCATENATE("Table!",ADDRESS($AI15,MATCH(W$1,INDIRECT("Table!A" &amp; $AM15):INDIRECT("Table!" &amp; $AP$65 &amp; $AM15),0)))))</f>
        <v>0.26108917624380484</v>
      </c>
      <c r="X15" s="596">
        <f ca="1">IF(ISERROR(MATCH(X$1,INDIRECT("Table!A"&amp;$AM15):INDIRECT("Table!" &amp; $AP$65 &amp; $AM15),0)),"",INDIRECT(CONCATENATE("Table!",ADDRESS($AI15,MATCH(X$1,INDIRECT("Table!A" &amp; $AM15):INDIRECT("Table!" &amp; $AP$65 &amp; $AM15),0)))))</f>
        <v>0.25039750067423561</v>
      </c>
      <c r="Y15" s="596">
        <f ca="1">IF(ISERROR(MATCH(Y$1,INDIRECT("Table!A"&amp;$AM15):INDIRECT("Table!" &amp; $AP$65 &amp; $AM15),0)),"",INDIRECT(CONCATENATE("Table!",ADDRESS($AI15,MATCH(Y$1,INDIRECT("Table!A" &amp; $AM15):INDIRECT("Table!" &amp; $AP$65 &amp; $AM15),0)))))</f>
        <v>7.7529073891963035E-2</v>
      </c>
      <c r="Z15" s="596">
        <f ca="1">IF(ISERROR(MATCH(Z$1,INDIRECT("Table!A"&amp;$AM15):INDIRECT("Table!" &amp; $AP$65 &amp; $AM15),0)),"",INDIRECT(CONCATENATE("Table!",ADDRESS($AI15,MATCH(Z$1,INDIRECT("Table!A" &amp; $AM15):INDIRECT("Table!" &amp; $AP$65 &amp; $AM15),0)))))</f>
        <v>7.5630857794760295E-2</v>
      </c>
      <c r="AA15" s="596">
        <f ca="1">IF(ISERROR(MATCH(AA$1,INDIRECT("Table!A"&amp;$AM15):INDIRECT("Table!" &amp; $AP$65 &amp; $AM15),0)),"",INDIRECT(CONCATENATE("Table!",ADDRESS($AI15,MATCH(AA$1,INDIRECT("Table!A" &amp; $AM15):INDIRECT("Table!" &amp; $AP$65 &amp; $AM15),0)))))</f>
        <v>0.29318164670491076</v>
      </c>
      <c r="AB15" s="596">
        <f ca="1">IF(ISERROR(MATCH(AB$1,INDIRECT("Table!A"&amp;$AM15):INDIRECT("Table!" &amp; $AP$65 &amp; $AM15),0)),"",INDIRECT(CONCATENATE("Table!",ADDRESS($AI15,MATCH(AB$1,INDIRECT("Table!A" &amp; $AM15):INDIRECT("Table!" &amp; $AP$65 &amp; $AM15),0)))))</f>
        <v>2.5671761900171424E-5</v>
      </c>
      <c r="AC15" s="596">
        <f ca="1">IF(ISERROR(MATCH(AC$1,INDIRECT("Table!A"&amp;$AM15):INDIRECT("Table!" &amp; $AP$65 &amp; $AM15),0)),"",INDIRECT(CONCATENATE("Table!",ADDRESS($AI15,MATCH(AC$1,INDIRECT("Table!A" &amp; $AM15):INDIRECT("Table!" &amp; $AP$65 &amp; $AM15),0)))))</f>
        <v>7.8928037159617118E-2</v>
      </c>
      <c r="AD15" s="596">
        <f ca="1">IF(ISERROR(MATCH(AD$1,INDIRECT("Table!A"&amp;$AM15):INDIRECT("Table!" &amp; $AP$65 &amp; $AM15),0)),"",INDIRECT(CONCATENATE("Table!",ADDRESS($AI15,MATCH(AD$1,INDIRECT("Table!A" &amp; $AM15):INDIRECT("Table!" &amp; $AP$65 &amp; $AM15),0)))))</f>
        <v>0.26242551474709824</v>
      </c>
      <c r="AE15" s="596">
        <f ca="1">IF(ISERROR(MATCH(AE$1,INDIRECT("Table!A"&amp;$AM15):INDIRECT("Table!" &amp; $AP$65 &amp; $AM15),0)),"",INDIRECT(CONCATENATE("Table!",ADDRESS($AI15,MATCH(AE$1,INDIRECT("Table!A" &amp; $AM15):INDIRECT("Table!" &amp; $AP$65 &amp; $AM15),0)))))</f>
        <v>8.2615156398353068E-2</v>
      </c>
      <c r="AF15" s="596">
        <f ca="1">IF(ISERROR(MATCH(AF$1,INDIRECT("Table!A"&amp;$AM15):INDIRECT("Table!" &amp; $AP$65 &amp; $AM15),0)),"",INDIRECT(CONCATENATE("Table!",ADDRESS($AI15,MATCH(AF$1,INDIRECT("Table!A" &amp; $AM15):INDIRECT("Table!" &amp; $AP$65 &amp; $AM15),0)))))</f>
        <v>8.2614516169304722E-2</v>
      </c>
      <c r="AG15" s="596">
        <f ca="1">IF(ISERROR(MATCH(AG$1,INDIRECT("Table!A"&amp;$AM15):INDIRECT("Table!" &amp; $AP$65 &amp; $AM15),0)),"",INDIRECT(CONCATENATE("Table!",ADDRESS($AI15,MATCH(AG$1,INDIRECT("Table!A" &amp; $AM15):INDIRECT("Table!" &amp; $AP$65 &amp; $AM15),0)))))</f>
        <v>2.855853696743952E-2</v>
      </c>
      <c r="AH15" s="596">
        <f ca="1">IF(ISERROR(MATCH(AH$1,INDIRECT("Table!A"&amp;$AM15):INDIRECT("Table!" &amp; $AP$65 &amp; $AM15),0)),"",INDIRECT(CONCATENATE("Table!",ADDRESS($AI15,MATCH(AH$1,INDIRECT("Table!A" &amp; $AM15):INDIRECT("Table!" &amp; $AP$65 &amp; $AM15),0)))))</f>
        <v>0</v>
      </c>
      <c r="AI15" s="595">
        <f>MATCH($A15,Table!$A:$A,0)+$AK$2-1</f>
        <v>174</v>
      </c>
      <c r="AJ15" s="1008"/>
      <c r="AK15" s="1008"/>
      <c r="AL15" s="1008"/>
      <c r="AM15" s="595">
        <f>MATCH($A15,Table!$A:$A,0)+$AO$2-1</f>
        <v>171</v>
      </c>
      <c r="AN15" s="1008"/>
      <c r="AP15" s="947" t="s">
        <v>302</v>
      </c>
    </row>
    <row r="16" spans="1:42" s="947" customFormat="1" ht="15.75" customHeight="1" x14ac:dyDescent="0.25">
      <c r="A16" s="592">
        <v>41886</v>
      </c>
      <c r="B16" s="596">
        <f ca="1">IF(ISERROR(MATCH(B$1,INDIRECT("Table!A"&amp;$AM16):INDIRECT("Table!" &amp; $AP$113 &amp; $AM16),0)),"",INDIRECT(CONCATENATE("Table!",ADDRESS($AI16,MATCH(B$1,INDIRECT("Table!A" &amp; $AM16):INDIRECT("Table!" &amp; $AP$112 &amp; $AM16),0)))))</f>
        <v>0.23033664722276442</v>
      </c>
      <c r="C16" s="596">
        <f ca="1">IF(ISERROR(MATCH(C$1,INDIRECT("Table!A"&amp;$AM16):INDIRECT("Table!" &amp; $AP$112 &amp; $AM16),0)),"",INDIRECT(CONCATENATE("Table!",ADDRESS($AI16,MATCH(C$1,INDIRECT("Table!A" &amp; $AM16):INDIRECT("Table!" &amp; $AP$112 &amp; $AM16),0)))))</f>
        <v>0.57300817783010127</v>
      </c>
      <c r="D16" s="596">
        <f ca="1">IF(ISERROR(MATCH(D$1,INDIRECT("Table!A"&amp;$AM16):INDIRECT("Table!" &amp; $AP$112 &amp; $AM16),0)),"",INDIRECT(CONCATENATE("Table!",ADDRESS($AI16,MATCH(D$1,INDIRECT("Table!A" &amp; $AM16):INDIRECT("Table!" &amp; $AP$112 &amp; $AM16),0)))))</f>
        <v>0.5713286299792647</v>
      </c>
      <c r="E16" s="596">
        <f ca="1">IF(ISERROR(MATCH(E$1,INDIRECT("Table!A"&amp;$AM16):INDIRECT("Table!" &amp; $AP$112 &amp; $AM16),0)),"",INDIRECT(CONCATENATE("Table!",ADDRESS($AI16,MATCH(E$1,INDIRECT("Table!A" &amp; $AM16):INDIRECT("Table!" &amp; $AP$112 &amp; $AM16),0)))))</f>
        <v>0.56176139622898613</v>
      </c>
      <c r="F16" s="596">
        <f ca="1">IF(ISERROR(MATCH(F$1,INDIRECT("Table!A"&amp;$AM16):INDIRECT("Table!" &amp; $AP$112 &amp; $AM16),0)),"",INDIRECT(CONCATENATE("Table!",ADDRESS($AI16,MATCH(F$1,INDIRECT("Table!A" &amp; $AM16):INDIRECT("Table!" &amp; $AP$112 &amp; $AM16),0)))))</f>
        <v>0.71322233731103601</v>
      </c>
      <c r="G16" s="596">
        <f ca="1">IF(ISERROR(MATCH(G$1,INDIRECT("Table!A"&amp;$AM16):INDIRECT("Table!" &amp; $AP$112 &amp; $AM16),0)),"",INDIRECT(CONCATENATE("Table!",ADDRESS($AI16,MATCH(G$1,INDIRECT("Table!A" &amp; $AM16):INDIRECT("Table!" &amp; $AP$112 &amp; $AM16),0)))))</f>
        <v>0.5264299559697565</v>
      </c>
      <c r="H16" s="596">
        <f ca="1">IF(ISERROR(MATCH(H$1,INDIRECT("Table!A"&amp;$AM16):INDIRECT("Table!" &amp; $AP$112 &amp; $AM16),0)),"",INDIRECT(CONCATENATE("Table!",ADDRESS($AI16,MATCH(H$1,INDIRECT("Table!A" &amp; $AM16):INDIRECT("Table!" &amp; $AP$112 &amp; $AM16),0)))))</f>
        <v>0.60245965268308566</v>
      </c>
      <c r="I16" s="596">
        <f ca="1">IF(ISERROR(MATCH(I$1,INDIRECT("Table!A"&amp;$AM16):INDIRECT("Table!" &amp; $AP$91 &amp; $AM16),0)),"",INDIRECT(CONCATENATE("Table!",ADDRESS($AI16,MATCH(I$1,INDIRECT("Table!A" &amp; $AM16):INDIRECT("Table!" &amp; $AP$91 &amp; $AM16),0)))))</f>
        <v>0.31168005395055332</v>
      </c>
      <c r="J16" s="596">
        <f ca="1">IF(ISERROR(MATCH(J$1,INDIRECT("Table!A"&amp;$AM16):INDIRECT("Table!" &amp; $AP$91 &amp; $AM16),0)),"",INDIRECT(CONCATENATE("Table!",ADDRESS($AI16,MATCH(J$1,INDIRECT("Table!A" &amp; $AM16):INDIRECT("Table!" &amp; $AP$91 &amp; $AM16),0)))))</f>
        <v>0.73311309861698837</v>
      </c>
      <c r="K16" s="596">
        <f ca="1">IF(ISERROR(MATCH(K$1,INDIRECT("Table!A"&amp;$AM16):INDIRECT("Table!" &amp; $AP$91 &amp; $AM16),0)),"",INDIRECT(CONCATENATE("Table!",ADDRESS($AI16,MATCH(K$1,INDIRECT("Table!A" &amp; $AM16):INDIRECT("Table!" &amp; $AP$91 &amp; $AM16),0)))))</f>
        <v>0.38388913880944986</v>
      </c>
      <c r="L16" s="596">
        <f ca="1">IF(ISERROR(MATCH(L$1,INDIRECT("Table!A"&amp;$AM16):INDIRECT("Table!" &amp; $AP$91 &amp; $AM16),0)),"",INDIRECT(CONCATENATE("Table!",ADDRESS($AI16,MATCH(L$1,INDIRECT("Table!A" &amp; $AM16):INDIRECT("Table!" &amp; $AP$91 &amp; $AM16),0)))))</f>
        <v>0.49225997530942223</v>
      </c>
      <c r="M16" s="596">
        <f ca="1">IF(ISERROR(MATCH(M$1,INDIRECT("Table!A"&amp;$AM16):INDIRECT("Table!" &amp; $AP$91 &amp; $AM16),0)),"",INDIRECT(CONCATENATE("Table!",ADDRESS($AI16,MATCH(M$1,INDIRECT("Table!A" &amp; $AM16):INDIRECT("Table!" &amp; $AP$91 &amp; $AM16),0)))))</f>
        <v>0.4806253663970988</v>
      </c>
      <c r="N16" s="596">
        <f ca="1">IF(ISERROR(MATCH(N$1,INDIRECT("Table!A"&amp;$AM16):INDIRECT("Table!" &amp; $AP$91 &amp; $AM16),0)),"",INDIRECT(CONCATENATE("Table!",ADDRESS($AI16,MATCH(N$1,INDIRECT("Table!A" &amp; $AM16):INDIRECT("Table!" &amp; $AP$91 &amp; $AM16),0)))))</f>
        <v>0.71811129255239714</v>
      </c>
      <c r="O16" s="596">
        <f ca="1">IF(ISERROR(MATCH(O$1,INDIRECT("Table!A"&amp;$AM16):INDIRECT("Table!" &amp; $AP$91 &amp; $AM16),0)),"",INDIRECT(CONCATENATE("Table!",ADDRESS($AI16,MATCH(O$1,INDIRECT("Table!A" &amp; $AM16):INDIRECT("Table!" &amp; $AP$91 &amp; $AM16),0)))))</f>
        <v>0.68420608524088611</v>
      </c>
      <c r="P16" s="596">
        <f ca="1">IF(ISERROR(MATCH(P$1,INDIRECT("Table!A"&amp;$AM16):INDIRECT("Table!" &amp; $AP$91 &amp; $AM16),0)),"",INDIRECT(CONCATENATE("Table!",ADDRESS($AI16,MATCH(P$1,INDIRECT("Table!A" &amp; $AM16):INDIRECT("Table!" &amp; $AP$91 &amp; $AM16),0)))))</f>
        <v>0.32216987721402524</v>
      </c>
      <c r="Q16" s="596">
        <f ca="1">IF(ISERROR(MATCH(Q$1,INDIRECT("Table!A"&amp;$AM16):INDIRECT("Table!" &amp; $AP$91 &amp; $AM16),0)),"",INDIRECT(CONCATENATE("Table!",ADDRESS($AI16,MATCH(Q$1,INDIRECT("Table!A" &amp; $AM16):INDIRECT("Table!" &amp; $AP$91 &amp; $AM16),0)))))</f>
        <v>0.76395300655156961</v>
      </c>
      <c r="R16" s="596">
        <f ca="1">IF(ISERROR(MATCH(R$1,INDIRECT("Table!A"&amp;$AM16):INDIRECT("Table!" &amp; $AP$91 &amp; $AM16),0)),"",INDIRECT(CONCATENATE("Table!",ADDRESS($AI16,MATCH(R$1,INDIRECT("Table!A" &amp; $AM16):INDIRECT("Table!" &amp; $AP$91 &amp; $AM16),0)))))</f>
        <v>0.65628396779276588</v>
      </c>
      <c r="S16" s="596" t="str">
        <f ca="1">IF(ISERROR(MATCH(S$1,INDIRECT("Table!A"&amp;$AM16):INDIRECT("Table!" &amp; $AP$91 &amp; $AM16),0)),"",INDIRECT(CONCATENATE("Table!",ADDRESS($AI16,MATCH(S$1,INDIRECT("Table!A" &amp; $AM16):INDIRECT("Table!" &amp; $AP$91 &amp; $AM16),0)))))</f>
        <v/>
      </c>
      <c r="T16" s="596">
        <f ca="1">IF(ISERROR(MATCH(T$1,INDIRECT("Table!A"&amp;$AM16):INDIRECT("Table!" &amp; $AP$65 &amp; $AM16),0)),"",INDIRECT(CONCATENATE("Table!",ADDRESS($AI16,MATCH(T$1,INDIRECT("Table!A" &amp; $AM16):INDIRECT("Table!" &amp; $AP$65 &amp; $AM16),0)))))</f>
        <v>0.349145525150723</v>
      </c>
      <c r="U16" s="596">
        <f ca="1">IF(ISERROR(MATCH(U$1,INDIRECT("Table!A"&amp;$AM16):INDIRECT("Table!" &amp; $AP$65 &amp; $AM16),0)),"",INDIRECT(CONCATENATE("Table!",ADDRESS($AI16,MATCH(U$1,INDIRECT("Table!A" &amp; $AM16):INDIRECT("Table!" &amp; $AP$65 &amp; $AM16),0)))))</f>
        <v>0.15135841247009438</v>
      </c>
      <c r="V16" s="596">
        <f ca="1">IF(ISERROR(MATCH(V$1,INDIRECT("Table!A"&amp;$AM16):INDIRECT("Table!" &amp; $AP$65 &amp; $AM16),0)),"",INDIRECT(CONCATENATE("Table!",ADDRESS($AI16,MATCH(V$1,INDIRECT("Table!A" &amp; $AM16):INDIRECT("Table!" &amp; $AP$65 &amp; $AM16),0)))))</f>
        <v>0.14767024747430149</v>
      </c>
      <c r="W16" s="596">
        <f ca="1">IF(ISERROR(MATCH(W$1,INDIRECT("Table!A"&amp;$AM16):INDIRECT("Table!" &amp; $AP$65 &amp; $AM16),0)),"",INDIRECT(CONCATENATE("Table!",ADDRESS($AI16,MATCH(W$1,INDIRECT("Table!A" &amp; $AM16):INDIRECT("Table!" &amp; $AP$65 &amp; $AM16),0)))))</f>
        <v>0.26088858229000017</v>
      </c>
      <c r="X16" s="596">
        <f ca="1">IF(ISERROR(MATCH(X$1,INDIRECT("Table!A"&amp;$AM16):INDIRECT("Table!" &amp; $AP$65 &amp; $AM16),0)),"",INDIRECT(CONCATENATE("Table!",ADDRESS($AI16,MATCH(X$1,INDIRECT("Table!A" &amp; $AM16):INDIRECT("Table!" &amp; $AP$65 &amp; $AM16),0)))))</f>
        <v>0.25018269994964115</v>
      </c>
      <c r="Y16" s="596">
        <f ca="1">IF(ISERROR(MATCH(Y$1,INDIRECT("Table!A"&amp;$AM16):INDIRECT("Table!" &amp; $AP$65 &amp; $AM16),0)),"",INDIRECT(CONCATENATE("Table!",ADDRESS($AI16,MATCH(Y$1,INDIRECT("Table!A" &amp; $AM16):INDIRECT("Table!" &amp; $AP$65 &amp; $AM16),0)))))</f>
        <v>7.5022138722950396E-2</v>
      </c>
      <c r="Z16" s="596">
        <f ca="1">IF(ISERROR(MATCH(Z$1,INDIRECT("Table!A"&amp;$AM16):INDIRECT("Table!" &amp; $AP$65 &amp; $AM16),0)),"",INDIRECT(CONCATENATE("Table!",ADDRESS($AI16,MATCH(Z$1,INDIRECT("Table!A" &amp; $AM16):INDIRECT("Table!" &amp; $AP$65 &amp; $AM16),0)))))</f>
        <v>7.3185948213931984E-2</v>
      </c>
      <c r="AA16" s="596">
        <f ca="1">IF(ISERROR(MATCH(AA$1,INDIRECT("Table!A"&amp;$AM16):INDIRECT("Table!" &amp; $AP$65 &amp; $AM16),0)),"",INDIRECT(CONCATENATE("Table!",ADDRESS($AI16,MATCH(AA$1,INDIRECT("Table!A" &amp; $AM16):INDIRECT("Table!" &amp; $AP$65 &amp; $AM16),0)))))</f>
        <v>0.23564323421820579</v>
      </c>
      <c r="AB16" s="596">
        <f ca="1">IF(ISERROR(MATCH(AB$1,INDIRECT("Table!A"&amp;$AM16):INDIRECT("Table!" &amp; $AP$65 &amp; $AM16),0)),"",INDIRECT(CONCATENATE("Table!",ADDRESS($AI16,MATCH(AB$1,INDIRECT("Table!A" &amp; $AM16):INDIRECT("Table!" &amp; $AP$65 &amp; $AM16),0)))))</f>
        <v>2.5671761900171424E-5</v>
      </c>
      <c r="AC16" s="596">
        <f ca="1">IF(ISERROR(MATCH(AC$1,INDIRECT("Table!A"&amp;$AM16):INDIRECT("Table!" &amp; $AP$65 &amp; $AM16),0)),"",INDIRECT(CONCATENATE("Table!",ADDRESS($AI16,MATCH(AC$1,INDIRECT("Table!A" &amp; $AM16):INDIRECT("Table!" &amp; $AP$65 &amp; $AM16),0)))))</f>
        <v>4.9214713894512103E-2</v>
      </c>
      <c r="AD16" s="596">
        <f ca="1">IF(ISERROR(MATCH(AD$1,INDIRECT("Table!A"&amp;$AM16):INDIRECT("Table!" &amp; $AP$65 &amp; $AM16),0)),"",INDIRECT(CONCATENATE("Table!",ADDRESS($AI16,MATCH(AD$1,INDIRECT("Table!A" &amp; $AM16):INDIRECT("Table!" &amp; $AP$65 &amp; $AM16),0)))))</f>
        <v>0.25137724080560109</v>
      </c>
      <c r="AE16" s="596">
        <f ca="1">IF(ISERROR(MATCH(AE$1,INDIRECT("Table!A"&amp;$AM16):INDIRECT("Table!" &amp; $AP$65 &amp; $AM16),0)),"",INDIRECT(CONCATENATE("Table!",ADDRESS($AI16,MATCH(AE$1,INDIRECT("Table!A" &amp; $AM16):INDIRECT("Table!" &amp; $AP$65 &amp; $AM16),0)))))</f>
        <v>5.2920052678046094E-2</v>
      </c>
      <c r="AF16" s="596">
        <f ca="1">IF(ISERROR(MATCH(AF$1,INDIRECT("Table!A"&amp;$AM16):INDIRECT("Table!" &amp; $AP$65 &amp; $AM16),0)),"",INDIRECT(CONCATENATE("Table!",ADDRESS($AI16,MATCH(AF$1,INDIRECT("Table!A" &amp; $AM16):INDIRECT("Table!" &amp; $AP$65 &amp; $AM16),0)))))</f>
        <v>5.2920052678046094E-2</v>
      </c>
      <c r="AG16" s="596">
        <f ca="1">IF(ISERROR(MATCH(AG$1,INDIRECT("Table!A"&amp;$AM16):INDIRECT("Table!" &amp; $AP$65 &amp; $AM16),0)),"",INDIRECT(CONCATENATE("Table!",ADDRESS($AI16,MATCH(AG$1,INDIRECT("Table!A" &amp; $AM16):INDIRECT("Table!" &amp; $AP$65 &amp; $AM16),0)))))</f>
        <v>2.855853696743952E-2</v>
      </c>
      <c r="AH16" s="596">
        <f ca="1">IF(ISERROR(MATCH(AH$1,INDIRECT("Table!A"&amp;$AM16):INDIRECT("Table!" &amp; $AP$65 &amp; $AM16),0)),"",INDIRECT(CONCATENATE("Table!",ADDRESS($AI16,MATCH(AH$1,INDIRECT("Table!A" &amp; $AM16):INDIRECT("Table!" &amp; $AP$65 &amp; $AM16),0)))))</f>
        <v>0</v>
      </c>
      <c r="AI16" s="595">
        <f>MATCH($A16,Table!$A:$A,0)+$AK$2-1</f>
        <v>188</v>
      </c>
      <c r="AJ16" s="1005"/>
      <c r="AK16" s="1005"/>
      <c r="AL16" s="1005"/>
      <c r="AM16" s="595">
        <f>MATCH($A16,Table!$A:$A,0)+$AO$2-1</f>
        <v>185</v>
      </c>
      <c r="AN16" s="1005"/>
      <c r="AP16" s="947" t="s">
        <v>302</v>
      </c>
    </row>
    <row r="17" spans="1:42" s="947" customFormat="1" ht="15.75" customHeight="1" x14ac:dyDescent="0.25">
      <c r="A17" s="592">
        <v>41878</v>
      </c>
      <c r="B17" s="596">
        <f ca="1">IF(ISERROR(MATCH(B$1,INDIRECT("Table!A"&amp;$AM17):INDIRECT("Table!" &amp; $AP$113 &amp; $AM17),0)),"",INDIRECT(CONCATENATE("Table!",ADDRESS($AI17,MATCH(B$1,INDIRECT("Table!A" &amp; $AM17):INDIRECT("Table!" &amp; $AP$112 &amp; $AM17),0)))))</f>
        <v>0.22744526002886187</v>
      </c>
      <c r="C17" s="596">
        <f ca="1">IF(ISERROR(MATCH(C$1,INDIRECT("Table!A"&amp;$AM17):INDIRECT("Table!" &amp; $AP$112 &amp; $AM17),0)),"",INDIRECT(CONCATENATE("Table!",ADDRESS($AI17,MATCH(C$1,INDIRECT("Table!A" &amp; $AM17):INDIRECT("Table!" &amp; $AP$112 &amp; $AM17),0)))))</f>
        <v>0.57286600091551299</v>
      </c>
      <c r="D17" s="596">
        <f ca="1">IF(ISERROR(MATCH(D$1,INDIRECT("Table!A"&amp;$AM17):INDIRECT("Table!" &amp; $AP$112 &amp; $AM17),0)),"",INDIRECT(CONCATENATE("Table!",ADDRESS($AI17,MATCH(D$1,INDIRECT("Table!A" &amp; $AM17):INDIRECT("Table!" &amp; $AP$112 &amp; $AM17),0)))))</f>
        <v>0.57118645306467652</v>
      </c>
      <c r="E17" s="596">
        <f ca="1">IF(ISERROR(MATCH(E$1,INDIRECT("Table!A"&amp;$AM17):INDIRECT("Table!" &amp; $AP$112 &amp; $AM17),0)),"",INDIRECT(CONCATENATE("Table!",ADDRESS($AI17,MATCH(E$1,INDIRECT("Table!A" &amp; $AM17):INDIRECT("Table!" &amp; $AP$112 &amp; $AM17),0)))))</f>
        <v>0.56047402510346234</v>
      </c>
      <c r="F17" s="596">
        <f ca="1">IF(ISERROR(MATCH(F$1,INDIRECT("Table!A"&amp;$AM17):INDIRECT("Table!" &amp; $AP$112 &amp; $AM17),0)),"",INDIRECT(CONCATENATE("Table!",ADDRESS($AI17,MATCH(F$1,INDIRECT("Table!A" &amp; $AM17):INDIRECT("Table!" &amp; $AP$112 &amp; $AM17),0)))))</f>
        <v>0.71220342929809954</v>
      </c>
      <c r="G17" s="596">
        <f ca="1">IF(ISERROR(MATCH(G$1,INDIRECT("Table!A"&amp;$AM17):INDIRECT("Table!" &amp; $AP$112 &amp; $AM17),0)),"",INDIRECT(CONCATENATE("Table!",ADDRESS($AI17,MATCH(G$1,INDIRECT("Table!A" &amp; $AM17):INDIRECT("Table!" &amp; $AP$112 &amp; $AM17),0)))))</f>
        <v>0.52538298609773937</v>
      </c>
      <c r="H17" s="596">
        <f ca="1">IF(ISERROR(MATCH(H$1,INDIRECT("Table!A"&amp;$AM17):INDIRECT("Table!" &amp; $AP$112 &amp; $AM17),0)),"",INDIRECT(CONCATENATE("Table!",ADDRESS($AI17,MATCH(H$1,INDIRECT("Table!A" &amp; $AM17):INDIRECT("Table!" &amp; $AP$112 &amp; $AM17),0)))))</f>
        <v>0.6012275004288401</v>
      </c>
      <c r="I17" s="596">
        <f ca="1">IF(ISERROR(MATCH(I$1,INDIRECT("Table!A"&amp;$AM17):INDIRECT("Table!" &amp; $AP$91 &amp; $AM17),0)),"",INDIRECT(CONCATENATE("Table!",ADDRESS($AI17,MATCH(I$1,INDIRECT("Table!A" &amp; $AM17):INDIRECT("Table!" &amp; $AP$91 &amp; $AM17),0)))))</f>
        <v>0.31065704066763811</v>
      </c>
      <c r="J17" s="596">
        <f ca="1">IF(ISERROR(MATCH(J$1,INDIRECT("Table!A"&amp;$AM17):INDIRECT("Table!" &amp; $AP$91 &amp; $AM17),0)),"",INDIRECT(CONCATENATE("Table!",ADDRESS($AI17,MATCH(J$1,INDIRECT("Table!A" &amp; $AM17):INDIRECT("Table!" &amp; $AP$91 &amp; $AM17),0)))))</f>
        <v>0.72825094824027259</v>
      </c>
      <c r="K17" s="596">
        <f ca="1">IF(ISERROR(MATCH(K$1,INDIRECT("Table!A"&amp;$AM17):INDIRECT("Table!" &amp; $AP$91 &amp; $AM17),0)),"",INDIRECT(CONCATENATE("Table!",ADDRESS($AI17,MATCH(K$1,INDIRECT("Table!A" &amp; $AM17):INDIRECT("Table!" &amp; $AP$91 &amp; $AM17),0)))))</f>
        <v>0.37676193995480006</v>
      </c>
      <c r="L17" s="596">
        <f ca="1">IF(ISERROR(MATCH(L$1,INDIRECT("Table!A"&amp;$AM17):INDIRECT("Table!" &amp; $AP$91 &amp; $AM17),0)),"",INDIRECT(CONCATENATE("Table!",ADDRESS($AI17,MATCH(L$1,INDIRECT("Table!A" &amp; $AM17):INDIRECT("Table!" &amp; $AP$91 &amp; $AM17),0)))))</f>
        <v>0.4920589693471088</v>
      </c>
      <c r="M17" s="596">
        <f ca="1">IF(ISERROR(MATCH(M$1,INDIRECT("Table!A"&amp;$AM17):INDIRECT("Table!" &amp; $AP$91 &amp; $AM17),0)),"",INDIRECT(CONCATENATE("Table!",ADDRESS($AI17,MATCH(M$1,INDIRECT("Table!A" &amp; $AM17):INDIRECT("Table!" &amp; $AP$91 &amp; $AM17),0)))))</f>
        <v>0.48005168181545382</v>
      </c>
      <c r="N17" s="596">
        <f ca="1">IF(ISERROR(MATCH(N$1,INDIRECT("Table!A"&amp;$AM17):INDIRECT("Table!" &amp; $AP$91 &amp; $AM17),0)),"",INDIRECT(CONCATENATE("Table!",ADDRESS($AI17,MATCH(N$1,INDIRECT("Table!A" &amp; $AM17):INDIRECT("Table!" &amp; $AP$91 &amp; $AM17),0)))))</f>
        <v>0.71711898534179197</v>
      </c>
      <c r="O17" s="596">
        <f ca="1">IF(ISERROR(MATCH(O$1,INDIRECT("Table!A"&amp;$AM17):INDIRECT("Table!" &amp; $AP$91 &amp; $AM17),0)),"",INDIRECT(CONCATENATE("Table!",ADDRESS($AI17,MATCH(O$1,INDIRECT("Table!A" &amp; $AM17):INDIRECT("Table!" &amp; $AP$91 &amp; $AM17),0)))))</f>
        <v>0.68306676845432446</v>
      </c>
      <c r="P17" s="596">
        <f ca="1">IF(ISERROR(MATCH(P$1,INDIRECT("Table!A"&amp;$AM17):INDIRECT("Table!" &amp; $AP$91 &amp; $AM17),0)),"",INDIRECT(CONCATENATE("Table!",ADDRESS($AI17,MATCH(P$1,INDIRECT("Table!A" &amp; $AM17):INDIRECT("Table!" &amp; $AP$91 &amp; $AM17),0)))))</f>
        <v>0.32114746359533136</v>
      </c>
      <c r="Q17" s="596">
        <f ca="1">IF(ISERROR(MATCH(Q$1,INDIRECT("Table!A"&amp;$AM17):INDIRECT("Table!" &amp; $AP$91 &amp; $AM17),0)),"",INDIRECT(CONCATENATE("Table!",ADDRESS($AI17,MATCH(Q$1,INDIRECT("Table!A" &amp; $AM17):INDIRECT("Table!" &amp; $AP$91 &amp; $AM17),0)))))</f>
        <v>0.75860121846463424</v>
      </c>
      <c r="R17" s="596">
        <f ca="1">IF(ISERROR(MATCH(R$1,INDIRECT("Table!A"&amp;$AM17):INDIRECT("Table!" &amp; $AP$91 &amp; $AM17),0)),"",INDIRECT(CONCATENATE("Table!",ADDRESS($AI17,MATCH(R$1,INDIRECT("Table!A" &amp; $AM17):INDIRECT("Table!" &amp; $AP$91 &amp; $AM17),0)))))</f>
        <v>0.65147400442794179</v>
      </c>
      <c r="S17" s="596" t="str">
        <f ca="1">IF(ISERROR(MATCH(S$1,INDIRECT("Table!A"&amp;$AM17):INDIRECT("Table!" &amp; $AP$91 &amp; $AM17),0)),"",INDIRECT(CONCATENATE("Table!",ADDRESS($AI17,MATCH(S$1,INDIRECT("Table!A" &amp; $AM17):INDIRECT("Table!" &amp; $AP$91 &amp; $AM17),0)))))</f>
        <v/>
      </c>
      <c r="T17" s="596">
        <f ca="1">IF(ISERROR(MATCH(T$1,INDIRECT("Table!A"&amp;$AM17):INDIRECT("Table!" &amp; $AP$65 &amp; $AM17),0)),"",INDIRECT(CONCATENATE("Table!",ADDRESS($AI17,MATCH(T$1,INDIRECT("Table!A" &amp; $AM17):INDIRECT("Table!" &amp; $AP$65 &amp; $AM17),0)))))</f>
        <v>0.349145525150723</v>
      </c>
      <c r="U17" s="596">
        <f ca="1">IF(ISERROR(MATCH(U$1,INDIRECT("Table!A"&amp;$AM17):INDIRECT("Table!" &amp; $AP$65 &amp; $AM17),0)),"",INDIRECT(CONCATENATE("Table!",ADDRESS($AI17,MATCH(U$1,INDIRECT("Table!A" &amp; $AM17):INDIRECT("Table!" &amp; $AP$65 &amp; $AM17),0)))))</f>
        <v>0.15056386471160951</v>
      </c>
      <c r="V17" s="596">
        <f ca="1">IF(ISERROR(MATCH(V$1,INDIRECT("Table!A"&amp;$AM17):INDIRECT("Table!" &amp; $AP$65 &amp; $AM17),0)),"",INDIRECT(CONCATENATE("Table!",ADDRESS($AI17,MATCH(V$1,INDIRECT("Table!A" &amp; $AM17):INDIRECT("Table!" &amp; $AP$65 &amp; $AM17),0)))))</f>
        <v>0.14689505552598731</v>
      </c>
      <c r="W17" s="596">
        <f ca="1">IF(ISERROR(MATCH(W$1,INDIRECT("Table!A"&amp;$AM17):INDIRECT("Table!" &amp; $AP$65 &amp; $AM17),0)),"",INDIRECT(CONCATENATE("Table!",ADDRESS($AI17,MATCH(W$1,INDIRECT("Table!A" &amp; $AM17):INDIRECT("Table!" &amp; $AP$65 &amp; $AM17),0)))))</f>
        <v>0.25413688335706214</v>
      </c>
      <c r="X17" s="596">
        <f ca="1">IF(ISERROR(MATCH(X$1,INDIRECT("Table!A"&amp;$AM17):INDIRECT("Table!" &amp; $AP$65 &amp; $AM17),0)),"",INDIRECT(CONCATENATE("Table!",ADDRESS($AI17,MATCH(X$1,INDIRECT("Table!A" &amp; $AM17):INDIRECT("Table!" &amp; $AP$65 &amp; $AM17),0)))))</f>
        <v>0.24359404572391424</v>
      </c>
      <c r="Y17" s="596">
        <f ca="1">IF(ISERROR(MATCH(Y$1,INDIRECT("Table!A"&amp;$AM17):INDIRECT("Table!" &amp; $AP$65 &amp; $AM17),0)),"",INDIRECT(CONCATENATE("Table!",ADDRESS($AI17,MATCH(Y$1,INDIRECT("Table!A" &amp; $AM17):INDIRECT("Table!" &amp; $AP$65 &amp; $AM17),0)))))</f>
        <v>7.448493832959055E-2</v>
      </c>
      <c r="Z17" s="596">
        <f ca="1">IF(ISERROR(MATCH(Z$1,INDIRECT("Table!A"&amp;$AM17):INDIRECT("Table!" &amp; $AP$65 &amp; $AM17),0)),"",INDIRECT(CONCATENATE("Table!",ADDRESS($AI17,MATCH(Z$1,INDIRECT("Table!A" &amp; $AM17):INDIRECT("Table!" &amp; $AP$65 &amp; $AM17),0)))))</f>
        <v>7.2661357110977987E-2</v>
      </c>
      <c r="AA17" s="596">
        <f ca="1">IF(ISERROR(MATCH(AA$1,INDIRECT("Table!A"&amp;$AM17):INDIRECT("Table!" &amp; $AP$65 &amp; $AM17),0)),"",INDIRECT(CONCATENATE("Table!",ADDRESS($AI17,MATCH(AA$1,INDIRECT("Table!A" &amp; $AM17):INDIRECT("Table!" &amp; $AP$65 &amp; $AM17),0)))))</f>
        <v>0.18480038649788619</v>
      </c>
      <c r="AB17" s="596">
        <f ca="1">IF(ISERROR(MATCH(AB$1,INDIRECT("Table!A"&amp;$AM17):INDIRECT("Table!" &amp; $AP$65 &amp; $AM17),0)),"",INDIRECT(CONCATENATE("Table!",ADDRESS($AI17,MATCH(AB$1,INDIRECT("Table!A" &amp; $AM17):INDIRECT("Table!" &amp; $AP$65 &amp; $AM17),0)))))</f>
        <v>2.5671761900171424E-5</v>
      </c>
      <c r="AC17" s="596">
        <f ca="1">IF(ISERROR(MATCH(AC$1,INDIRECT("Table!A"&amp;$AM17):INDIRECT("Table!" &amp; $AP$65 &amp; $AM17),0)),"",INDIRECT(CONCATENATE("Table!",ADDRESS($AI17,MATCH(AC$1,INDIRECT("Table!A" &amp; $AM17):INDIRECT("Table!" &amp; $AP$65 &amp; $AM17),0)))))</f>
        <v>4.8801452395488575E-2</v>
      </c>
      <c r="AD17" s="596">
        <f ca="1">IF(ISERROR(MATCH(AD$1,INDIRECT("Table!A"&amp;$AM17):INDIRECT("Table!" &amp; $AP$65 &amp; $AM17),0)),"",INDIRECT(CONCATENATE("Table!",ADDRESS($AI17,MATCH(AD$1,INDIRECT("Table!A" &amp; $AM17):INDIRECT("Table!" &amp; $AP$65 &amp; $AM17),0)))))</f>
        <v>0.25074440624230154</v>
      </c>
      <c r="AE17" s="596">
        <f ca="1">IF(ISERROR(MATCH(AE$1,INDIRECT("Table!A"&amp;$AM17):INDIRECT("Table!" &amp; $AP$65 &amp; $AM17),0)),"",INDIRECT(CONCATENATE("Table!",ADDRESS($AI17,MATCH(AE$1,INDIRECT("Table!A" &amp; $AM17):INDIRECT("Table!" &amp; $AP$65 &amp; $AM17),0)))))</f>
        <v>5.1957788418384561E-2</v>
      </c>
      <c r="AF17" s="596">
        <f ca="1">IF(ISERROR(MATCH(AF$1,INDIRECT("Table!A"&amp;$AM17):INDIRECT("Table!" &amp; $AP$65 &amp; $AM17),0)),"",INDIRECT(CONCATENATE("Table!",ADDRESS($AI17,MATCH(AF$1,INDIRECT("Table!A" &amp; $AM17):INDIRECT("Table!" &amp; $AP$65 &amp; $AM17),0)))))</f>
        <v>5.1957788418384561E-2</v>
      </c>
      <c r="AG17" s="596">
        <f ca="1">IF(ISERROR(MATCH(AG$1,INDIRECT("Table!A"&amp;$AM17):INDIRECT("Table!" &amp; $AP$65 &amp; $AM17),0)),"",INDIRECT(CONCATENATE("Table!",ADDRESS($AI17,MATCH(AG$1,INDIRECT("Table!A" &amp; $AM17):INDIRECT("Table!" &amp; $AP$65 &amp; $AM17),0)))))</f>
        <v>2.855853696743952E-2</v>
      </c>
      <c r="AH17" s="596">
        <f ca="1">IF(ISERROR(MATCH(AH$1,INDIRECT("Table!A"&amp;$AM17):INDIRECT("Table!" &amp; $AP$65 &amp; $AM17),0)),"",INDIRECT(CONCATENATE("Table!",ADDRESS($AI17,MATCH(AH$1,INDIRECT("Table!A" &amp; $AM17):INDIRECT("Table!" &amp; $AP$65 &amp; $AM17),0)))))</f>
        <v>0</v>
      </c>
      <c r="AI17" s="595">
        <f>MATCH($A17,Table!$A:$A,0)+$AK$2-1</f>
        <v>202</v>
      </c>
      <c r="AJ17" s="1002"/>
      <c r="AK17" s="1002"/>
      <c r="AL17" s="1002"/>
      <c r="AM17" s="595">
        <f>MATCH($A17,Table!$A:$A,0)+$AO$2-1</f>
        <v>199</v>
      </c>
      <c r="AN17" s="1002"/>
      <c r="AP17" s="947" t="s">
        <v>302</v>
      </c>
    </row>
    <row r="18" spans="1:42" s="947" customFormat="1" ht="15.75" customHeight="1" x14ac:dyDescent="0.25">
      <c r="A18" s="592">
        <v>41871</v>
      </c>
      <c r="B18" s="596">
        <f ca="1">IF(ISERROR(MATCH(B$1,INDIRECT("Table!A"&amp;$AM18):INDIRECT("Table!" &amp; $AP$113 &amp; $AM18),0)),"",INDIRECT(CONCATENATE("Table!",ADDRESS($AI18,MATCH(B$1,INDIRECT("Table!A" &amp; $AM18):INDIRECT("Table!" &amp; $AP$112 &amp; $AM18),0)))))</f>
        <v>0.30123702895466897</v>
      </c>
      <c r="C18" s="596">
        <f ca="1">IF(ISERROR(MATCH(C$1,INDIRECT("Table!A"&amp;$AM18):INDIRECT("Table!" &amp; $AP$112 &amp; $AM18),0)),"",INDIRECT(CONCATENATE("Table!",ADDRESS($AI18,MATCH(C$1,INDIRECT("Table!A" &amp; $AM18):INDIRECT("Table!" &amp; $AP$112 &amp; $AM18),0)))))</f>
        <v>0.5726932626080693</v>
      </c>
      <c r="D18" s="596">
        <f ca="1">IF(ISERROR(MATCH(D$1,INDIRECT("Table!A"&amp;$AM18):INDIRECT("Table!" &amp; $AP$112 &amp; $AM18),0)),"",INDIRECT(CONCATENATE("Table!",ADDRESS($AI18,MATCH(D$1,INDIRECT("Table!A" &amp; $AM18):INDIRECT("Table!" &amp; $AP$112 &amp; $AM18),0)))))</f>
        <v>0.57101437913533837</v>
      </c>
      <c r="E18" s="596">
        <f ca="1">IF(ISERROR(MATCH(E$1,INDIRECT("Table!A"&amp;$AM18):INDIRECT("Table!" &amp; $AP$112 &amp; $AM18),0)),"",INDIRECT(CONCATENATE("Table!",ADDRESS($AI18,MATCH(E$1,INDIRECT("Table!A" &amp; $AM18):INDIRECT("Table!" &amp; $AP$112 &amp; $AM18),0)))))</f>
        <v>0.7124063455363443</v>
      </c>
      <c r="F18" s="596">
        <f ca="1">IF(ISERROR(MATCH(F$1,INDIRECT("Table!A"&amp;$AM18):INDIRECT("Table!" &amp; $AP$112 &amp; $AM18),0)),"",INDIRECT(CONCATENATE("Table!",ADDRESS($AI18,MATCH(F$1,INDIRECT("Table!A" &amp; $AM18):INDIRECT("Table!" &amp; $AP$112 &amp; $AM18),0)))))</f>
        <v>0.71107110819668962</v>
      </c>
      <c r="G18" s="596">
        <f ca="1">IF(ISERROR(MATCH(G$1,INDIRECT("Table!A"&amp;$AM18):INDIRECT("Table!" &amp; $AP$112 &amp; $AM18),0)),"",INDIRECT(CONCATENATE("Table!",ADDRESS($AI18,MATCH(G$1,INDIRECT("Table!A" &amp; $AM18):INDIRECT("Table!" &amp; $AP$112 &amp; $AM18),0)))))</f>
        <v>0.56293423704445389</v>
      </c>
      <c r="H18" s="596">
        <f ca="1">IF(ISERROR(MATCH(H$1,INDIRECT("Table!A"&amp;$AM18):INDIRECT("Table!" &amp; $AP$112 &amp; $AM18),0)),"",INDIRECT(CONCATENATE("Table!",ADDRESS($AI18,MATCH(H$1,INDIRECT("Table!A" &amp; $AM18):INDIRECT("Table!" &amp; $AP$112 &amp; $AM18),0)))))</f>
        <v>0.59985056010885274</v>
      </c>
      <c r="I18" s="596">
        <f ca="1">IF(ISERROR(MATCH(I$1,INDIRECT("Table!A"&amp;$AM18):INDIRECT("Table!" &amp; $AP$91 &amp; $AM18),0)),"",INDIRECT(CONCATENATE("Table!",ADDRESS($AI18,MATCH(I$1,INDIRECT("Table!A" &amp; $AM18):INDIRECT("Table!" &amp; $AP$91 &amp; $AM18),0)))))</f>
        <v>0.30985621214128301</v>
      </c>
      <c r="J18" s="596">
        <f ca="1">IF(ISERROR(MATCH(J$1,INDIRECT("Table!A"&amp;$AM18):INDIRECT("Table!" &amp; $AP$91 &amp; $AM18),0)),"",INDIRECT(CONCATENATE("Table!",ADDRESS($AI18,MATCH(J$1,INDIRECT("Table!A" &amp; $AM18):INDIRECT("Table!" &amp; $AP$91 &amp; $AM18),0)))))</f>
        <v>0.72429510914439055</v>
      </c>
      <c r="K18" s="596">
        <f ca="1">IF(ISERROR(MATCH(K$1,INDIRECT("Table!A"&amp;$AM18):INDIRECT("Table!" &amp; $AP$91 &amp; $AM18),0)),"",INDIRECT(CONCATENATE("Table!",ADDRESS($AI18,MATCH(K$1,INDIRECT("Table!A" &amp; $AM18):INDIRECT("Table!" &amp; $AP$91 &amp; $AM18),0)))))</f>
        <v>0.37347905487184424</v>
      </c>
      <c r="L18" s="596">
        <f ca="1">IF(ISERROR(MATCH(L$1,INDIRECT("Table!A"&amp;$AM18):INDIRECT("Table!" &amp; $AP$91 &amp; $AM18),0)),"",INDIRECT(CONCATENATE("Table!",ADDRESS($AI18,MATCH(L$1,INDIRECT("Table!A" &amp; $AM18):INDIRECT("Table!" &amp; $AP$91 &amp; $AM18),0)))))</f>
        <v>0.52981648880920029</v>
      </c>
      <c r="M18" s="596">
        <f ca="1">IF(ISERROR(MATCH(M$1,INDIRECT("Table!A"&amp;$AM18):INDIRECT("Table!" &amp; $AP$91 &amp; $AM18),0)),"",INDIRECT(CONCATENATE("Table!",ADDRESS($AI18,MATCH(M$1,INDIRECT("Table!A" &amp; $AM18):INDIRECT("Table!" &amp; $AP$91 &amp; $AM18),0)))))</f>
        <v>0.47981549902229453</v>
      </c>
      <c r="N18" s="596">
        <f ca="1">IF(ISERROR(MATCH(N$1,INDIRECT("Table!A"&amp;$AM18):INDIRECT("Table!" &amp; $AP$91 &amp; $AM18),0)),"",INDIRECT(CONCATENATE("Table!",ADDRESS($AI18,MATCH(N$1,INDIRECT("Table!A" &amp; $AM18):INDIRECT("Table!" &amp; $AP$91 &amp; $AM18),0)))))</f>
        <v>0.71600866101147898</v>
      </c>
      <c r="O18" s="596">
        <f ca="1">IF(ISERROR(MATCH(O$1,INDIRECT("Table!A"&amp;$AM18):INDIRECT("Table!" &amp; $AP$91 &amp; $AM18),0)),"",INDIRECT(CONCATENATE("Table!",ADDRESS($AI18,MATCH(O$1,INDIRECT("Table!A" &amp; $AM18):INDIRECT("Table!" &amp; $AP$91 &amp; $AM18),0)))))</f>
        <v>0.68128753661313635</v>
      </c>
      <c r="P18" s="596">
        <f ca="1">IF(ISERROR(MATCH(P$1,INDIRECT("Table!A"&amp;$AM18):INDIRECT("Table!" &amp; $AP$91 &amp; $AM18),0)),"",INDIRECT(CONCATENATE("Table!",ADDRESS($AI18,MATCH(P$1,INDIRECT("Table!A" &amp; $AM18):INDIRECT("Table!" &amp; $AP$91 &amp; $AM18),0)))))</f>
        <v>0.32027919478605177</v>
      </c>
      <c r="Q18" s="596">
        <f ca="1">IF(ISERROR(MATCH(Q$1,INDIRECT("Table!A"&amp;$AM18):INDIRECT("Table!" &amp; $AP$91 &amp; $AM18),0)),"",INDIRECT(CONCATENATE("Table!",ADDRESS($AI18,MATCH(Q$1,INDIRECT("Table!A" &amp; $AM18):INDIRECT("Table!" &amp; $AP$91 &amp; $AM18),0)))))</f>
        <v>0.75442416221423636</v>
      </c>
      <c r="R18" s="596">
        <f ca="1">IF(ISERROR(MATCH(R$1,INDIRECT("Table!A"&amp;$AM18):INDIRECT("Table!" &amp; $AP$91 &amp; $AM18),0)),"",INDIRECT(CONCATENATE("Table!",ADDRESS($AI18,MATCH(R$1,INDIRECT("Table!A" &amp; $AM18):INDIRECT("Table!" &amp; $AP$91 &amp; $AM18),0)))))</f>
        <v>0.64631976419894244</v>
      </c>
      <c r="S18" s="596" t="str">
        <f ca="1">IF(ISERROR(MATCH(S$1,INDIRECT("Table!A"&amp;$AM18):INDIRECT("Table!" &amp; $AP$91 &amp; $AM18),0)),"",INDIRECT(CONCATENATE("Table!",ADDRESS($AI18,MATCH(S$1,INDIRECT("Table!A" &amp; $AM18):INDIRECT("Table!" &amp; $AP$91 &amp; $AM18),0)))))</f>
        <v/>
      </c>
      <c r="T18" s="596">
        <f ca="1">IF(ISERROR(MATCH(T$1,INDIRECT("Table!A"&amp;$AM18):INDIRECT("Table!" &amp; $AP$65 &amp; $AM18),0)),"",INDIRECT(CONCATENATE("Table!",ADDRESS($AI18,MATCH(T$1,INDIRECT("Table!A" &amp; $AM18):INDIRECT("Table!" &amp; $AP$65 &amp; $AM18),0)))))</f>
        <v>0.349145525150723</v>
      </c>
      <c r="U18" s="596">
        <f ca="1">IF(ISERROR(MATCH(U$1,INDIRECT("Table!A"&amp;$AM18):INDIRECT("Table!" &amp; $AP$65 &amp; $AM18),0)),"",INDIRECT(CONCATENATE("Table!",ADDRESS($AI18,MATCH(U$1,INDIRECT("Table!A" &amp; $AM18):INDIRECT("Table!" &amp; $AP$65 &amp; $AM18),0)))))</f>
        <v>0.15038088388545595</v>
      </c>
      <c r="V18" s="596">
        <f ca="1">IF(ISERROR(MATCH(V$1,INDIRECT("Table!A"&amp;$AM18):INDIRECT("Table!" &amp; $AP$65 &amp; $AM18),0)),"",INDIRECT(CONCATENATE("Table!",ADDRESS($AI18,MATCH(V$1,INDIRECT("Table!A" &amp; $AM18):INDIRECT("Table!" &amp; $AP$65 &amp; $AM18),0)))))</f>
        <v>0.1467170095920457</v>
      </c>
      <c r="W18" s="596">
        <f ca="1">IF(ISERROR(MATCH(W$1,INDIRECT("Table!A"&amp;$AM18):INDIRECT("Table!" &amp; $AP$65 &amp; $AM18),0)),"",INDIRECT(CONCATENATE("Table!",ADDRESS($AI18,MATCH(W$1,INDIRECT("Table!A" &amp; $AM18):INDIRECT("Table!" &amp; $AP$65 &amp; $AM18),0)))))</f>
        <v>0.25410557113012677</v>
      </c>
      <c r="X18" s="596">
        <f ca="1">IF(ISERROR(MATCH(X$1,INDIRECT("Table!A"&amp;$AM18):INDIRECT("Table!" &amp; $AP$65 &amp; $AM18),0)),"",INDIRECT(CONCATENATE("Table!",ADDRESS($AI18,MATCH(X$1,INDIRECT("Table!A" &amp; $AM18):INDIRECT("Table!" &amp; $AP$65 &amp; $AM18),0)))))</f>
        <v>0.24356588296224518</v>
      </c>
      <c r="Y18" s="596">
        <f ca="1">IF(ISERROR(MATCH(Y$1,INDIRECT("Table!A"&amp;$AM18):INDIRECT("Table!" &amp; $AP$65 &amp; $AM18),0)),"",INDIRECT(CONCATENATE("Table!",ADDRESS($AI18,MATCH(Y$1,INDIRECT("Table!A" &amp; $AM18):INDIRECT("Table!" &amp; $AP$65 &amp; $AM18),0)))))</f>
        <v>6.935560415474111E-2</v>
      </c>
      <c r="Z18" s="596">
        <f ca="1">IF(ISERROR(MATCH(Z$1,INDIRECT("Table!A"&amp;$AM18):INDIRECT("Table!" &amp; $AP$65 &amp; $AM18),0)),"",INDIRECT(CONCATENATE("Table!",ADDRESS($AI18,MATCH(Z$1,INDIRECT("Table!A" &amp; $AM18):INDIRECT("Table!" &amp; $AP$65 &amp; $AM18),0)))))</f>
        <v>6.7656977562870979E-2</v>
      </c>
      <c r="AA18" s="596">
        <f ca="1">IF(ISERROR(MATCH(AA$1,INDIRECT("Table!A"&amp;$AM18):INDIRECT("Table!" &amp; $AP$65 &amp; $AM18),0)),"",INDIRECT(CONCATENATE("Table!",ADDRESS($AI18,MATCH(AA$1,INDIRECT("Table!A" &amp; $AM18):INDIRECT("Table!" &amp; $AP$65 &amp; $AM18),0)))))</f>
        <v>0.16648341685549409</v>
      </c>
      <c r="AB18" s="596">
        <f ca="1">IF(ISERROR(MATCH(AB$1,INDIRECT("Table!A"&amp;$AM18):INDIRECT("Table!" &amp; $AP$65 &amp; $AM18),0)),"",INDIRECT(CONCATENATE("Table!",ADDRESS($AI18,MATCH(AB$1,INDIRECT("Table!A" &amp; $AM18):INDIRECT("Table!" &amp; $AP$65 &amp; $AM18),0)))))</f>
        <v>2.5671761900171424E-5</v>
      </c>
      <c r="AC18" s="596">
        <f ca="1">IF(ISERROR(MATCH(AC$1,INDIRECT("Table!A"&amp;$AM18):INDIRECT("Table!" &amp; $AP$65 &amp; $AM18),0)),"",INDIRECT(CONCATENATE("Table!",ADDRESS($AI18,MATCH(AC$1,INDIRECT("Table!A" &amp; $AM18):INDIRECT("Table!" &amp; $AP$65 &amp; $AM18),0)))))</f>
        <v>4.8166832685325019E-2</v>
      </c>
      <c r="AD18" s="596">
        <f ca="1">IF(ISERROR(MATCH(AD$1,INDIRECT("Table!A"&amp;$AM18):INDIRECT("Table!" &amp; $AP$65 &amp; $AM18),0)),"",INDIRECT(CONCATENATE("Table!",ADDRESS($AI18,MATCH(AD$1,INDIRECT("Table!A" &amp; $AM18):INDIRECT("Table!" &amp; $AP$65 &amp; $AM18),0)))))</f>
        <v>0.24646719435607964</v>
      </c>
      <c r="AE18" s="596">
        <f ca="1">IF(ISERROR(MATCH(AE$1,INDIRECT("Table!A"&amp;$AM18):INDIRECT("Table!" &amp; $AP$65 &amp; $AM18),0)),"",INDIRECT(CONCATENATE("Table!",ADDRESS($AI18,MATCH(AE$1,INDIRECT("Table!A" &amp; $AM18):INDIRECT("Table!" &amp; $AP$65 &amp; $AM18),0)))))</f>
        <v>4.1812718918320217E-2</v>
      </c>
      <c r="AF18" s="596">
        <f ca="1">IF(ISERROR(MATCH(AF$1,INDIRECT("Table!A"&amp;$AM18):INDIRECT("Table!" &amp; $AP$65 &amp; $AM18),0)),"",INDIRECT(CONCATENATE("Table!",ADDRESS($AI18,MATCH(AF$1,INDIRECT("Table!A" &amp; $AM18):INDIRECT("Table!" &amp; $AP$65 &amp; $AM18),0)))))</f>
        <v>4.1812718918320217E-2</v>
      </c>
      <c r="AG18" s="596">
        <f ca="1">IF(ISERROR(MATCH(AG$1,INDIRECT("Table!A"&amp;$AM18):INDIRECT("Table!" &amp; $AP$65 &amp; $AM18),0)),"",INDIRECT(CONCATENATE("Table!",ADDRESS($AI18,MATCH(AG$1,INDIRECT("Table!A" &amp; $AM18):INDIRECT("Table!" &amp; $AP$65 &amp; $AM18),0)))))</f>
        <v>2.855853696743952E-2</v>
      </c>
      <c r="AH18" s="596">
        <f ca="1">IF(ISERROR(MATCH(AH$1,INDIRECT("Table!A"&amp;$AM18):INDIRECT("Table!" &amp; $AP$65 &amp; $AM18),0)),"",INDIRECT(CONCATENATE("Table!",ADDRESS($AI18,MATCH(AH$1,INDIRECT("Table!A" &amp; $AM18):INDIRECT("Table!" &amp; $AP$65 &amp; $AM18),0)))))</f>
        <v>0</v>
      </c>
      <c r="AI18" s="595">
        <f>MATCH($A18,Table!$A:$A,0)+$AK$2-1</f>
        <v>216</v>
      </c>
      <c r="AJ18" s="999"/>
      <c r="AK18" s="999"/>
      <c r="AL18" s="999"/>
      <c r="AM18" s="595">
        <f>MATCH($A18,Table!$A:$A,0)+$AO$2-1</f>
        <v>213</v>
      </c>
      <c r="AN18" s="999"/>
      <c r="AP18" s="947" t="s">
        <v>302</v>
      </c>
    </row>
    <row r="19" spans="1:42" s="947" customFormat="1" ht="15.75" customHeight="1" x14ac:dyDescent="0.25">
      <c r="A19" s="592">
        <v>41864</v>
      </c>
      <c r="B19" s="596">
        <f ca="1">IF(ISERROR(MATCH(B$1,INDIRECT("Table!A"&amp;$AM19):INDIRECT("Table!" &amp; $AP$113 &amp; $AM19),0)),"",INDIRECT(CONCATENATE("Table!",ADDRESS($AI19,MATCH(B$1,INDIRECT("Table!A" &amp; $AM19):INDIRECT("Table!" &amp; $AP$112 &amp; $AM19),0)))))</f>
        <v>0.30109423946397545</v>
      </c>
      <c r="C19" s="596">
        <f ca="1">IF(ISERROR(MATCH(C$1,INDIRECT("Table!A"&amp;$AM19):INDIRECT("Table!" &amp; $AP$112 &amp; $AM19),0)),"",INDIRECT(CONCATENATE("Table!",ADDRESS($AI19,MATCH(C$1,INDIRECT("Table!A" &amp; $AM19):INDIRECT("Table!" &amp; $AP$112 &amp; $AM19),0)))))</f>
        <v>0.57171596241480183</v>
      </c>
      <c r="D19" s="596">
        <f ca="1">IF(ISERROR(MATCH(D$1,INDIRECT("Table!A"&amp;$AM19):INDIRECT("Table!" &amp; $AP$112 &amp; $AM19),0)),"",INDIRECT(CONCATENATE("Table!",ADDRESS($AI19,MATCH(D$1,INDIRECT("Table!A" &amp; $AM19):INDIRECT("Table!" &amp; $AP$112 &amp; $AM19),0)))))</f>
        <v>0.57003575018585972</v>
      </c>
      <c r="E19" s="596">
        <f ca="1">IF(ISERROR(MATCH(E$1,INDIRECT("Table!A"&amp;$AM19):INDIRECT("Table!" &amp; $AP$112 &amp; $AM19),0)),"",INDIRECT(CONCATENATE("Table!",ADDRESS($AI19,MATCH(E$1,INDIRECT("Table!A" &amp; $AM19):INDIRECT("Table!" &amp; $AP$112 &amp; $AM19),0)))))</f>
        <v>0.71218766277579859</v>
      </c>
      <c r="F19" s="596">
        <f ca="1">IF(ISERROR(MATCH(F$1,INDIRECT("Table!A"&amp;$AM19):INDIRECT("Table!" &amp; $AP$112 &amp; $AM19),0)),"",INDIRECT(CONCATENATE("Table!",ADDRESS($AI19,MATCH(F$1,INDIRECT("Table!A" &amp; $AM19):INDIRECT("Table!" &amp; $AP$112 &amp; $AM19),0)))))</f>
        <v>0.71030617311060118</v>
      </c>
      <c r="G19" s="596">
        <f ca="1">IF(ISERROR(MATCH(G$1,INDIRECT("Table!A"&amp;$AM19):INDIRECT("Table!" &amp; $AP$112 &amp; $AM19),0)),"",INDIRECT(CONCATENATE("Table!",ADDRESS($AI19,MATCH(G$1,INDIRECT("Table!A" &amp; $AM19):INDIRECT("Table!" &amp; $AP$112 &amp; $AM19),0)))))</f>
        <v>0.56169497182321149</v>
      </c>
      <c r="H19" s="596">
        <f ca="1">IF(ISERROR(MATCH(H$1,INDIRECT("Table!A"&amp;$AM19):INDIRECT("Table!" &amp; $AP$112 &amp; $AM19),0)),"",INDIRECT(CONCATENATE("Table!",ADDRESS($AI19,MATCH(H$1,INDIRECT("Table!A" &amp; $AM19):INDIRECT("Table!" &amp; $AP$112 &amp; $AM19),0)))))</f>
        <v>0.64063136900314288</v>
      </c>
      <c r="I19" s="596">
        <f ca="1">IF(ISERROR(MATCH(I$1,INDIRECT("Table!A"&amp;$AM19):INDIRECT("Table!" &amp; $AP$91 &amp; $AM19),0)),"",INDIRECT(CONCATENATE("Table!",ADDRESS($AI19,MATCH(I$1,INDIRECT("Table!A" &amp; $AM19):INDIRECT("Table!" &amp; $AP$91 &amp; $AM19),0)))))</f>
        <v>0.30905417936150481</v>
      </c>
      <c r="J19" s="596">
        <f ca="1">IF(ISERROR(MATCH(J$1,INDIRECT("Table!A"&amp;$AM19):INDIRECT("Table!" &amp; $AP$91 &amp; $AM19),0)),"",INDIRECT(CONCATENATE("Table!",ADDRESS($AI19,MATCH(J$1,INDIRECT("Table!A" &amp; $AM19):INDIRECT("Table!" &amp; $AP$91 &amp; $AM19),0)))))</f>
        <v>0.72136007972959026</v>
      </c>
      <c r="K19" s="596">
        <f ca="1">IF(ISERROR(MATCH(K$1,INDIRECT("Table!A"&amp;$AM19):INDIRECT("Table!" &amp; $AP$91 &amp; $AM19),0)),"",INDIRECT(CONCATENATE("Table!",ADDRESS($AI19,MATCH(K$1,INDIRECT("Table!A" &amp; $AM19):INDIRECT("Table!" &amp; $AP$91 &amp; $AM19),0)))))</f>
        <v>0.37047822299340566</v>
      </c>
      <c r="L19" s="596">
        <f ca="1">IF(ISERROR(MATCH(L$1,INDIRECT("Table!A"&amp;$AM19):INDIRECT("Table!" &amp; $AP$91 &amp; $AM19),0)),"",INDIRECT(CONCATENATE("Table!",ADDRESS($AI19,MATCH(L$1,INDIRECT("Table!A" &amp; $AM19):INDIRECT("Table!" &amp; $AP$91 &amp; $AM19),0)))))</f>
        <v>0.5297185761110631</v>
      </c>
      <c r="M19" s="596">
        <f ca="1">IF(ISERROR(MATCH(M$1,INDIRECT("Table!A"&amp;$AM19):INDIRECT("Table!" &amp; $AP$91 &amp; $AM19),0)),"",INDIRECT(CONCATENATE("Table!",ADDRESS($AI19,MATCH(M$1,INDIRECT("Table!A" &amp; $AM19):INDIRECT("Table!" &amp; $AP$91 &amp; $AM19),0)))))</f>
        <v>0.48029744883790076</v>
      </c>
      <c r="N19" s="596">
        <f ca="1">IF(ISERROR(MATCH(N$1,INDIRECT("Table!A"&amp;$AM19):INDIRECT("Table!" &amp; $AP$91 &amp; $AM19),0)),"",INDIRECT(CONCATENATE("Table!",ADDRESS($AI19,MATCH(N$1,INDIRECT("Table!A" &amp; $AM19):INDIRECT("Table!" &amp; $AP$91 &amp; $AM19),0)))))</f>
        <v>0.71530176254955513</v>
      </c>
      <c r="O19" s="596">
        <f ca="1">IF(ISERROR(MATCH(O$1,INDIRECT("Table!A"&amp;$AM19):INDIRECT("Table!" &amp; $AP$91 &amp; $AM19),0)),"",INDIRECT(CONCATENATE("Table!",ADDRESS($AI19,MATCH(O$1,INDIRECT("Table!A" &amp; $AM19):INDIRECT("Table!" &amp; $AP$91 &amp; $AM19),0)))))</f>
        <v>0.73211460961922337</v>
      </c>
      <c r="P19" s="596">
        <f ca="1">IF(ISERROR(MATCH(P$1,INDIRECT("Table!A"&amp;$AM19):INDIRECT("Table!" &amp; $AP$91 &amp; $AM19),0)),"",INDIRECT(CONCATENATE("Table!",ADDRESS($AI19,MATCH(P$1,INDIRECT("Table!A" &amp; $AM19):INDIRECT("Table!" &amp; $AP$91 &amp; $AM19),0)))))</f>
        <v>0.31947595581824401</v>
      </c>
      <c r="Q19" s="596">
        <f ca="1">IF(ISERROR(MATCH(Q$1,INDIRECT("Table!A"&amp;$AM19):INDIRECT("Table!" &amp; $AP$91 &amp; $AM19),0)),"",INDIRECT(CONCATENATE("Table!",ADDRESS($AI19,MATCH(Q$1,INDIRECT("Table!A" &amp; $AM19):INDIRECT("Table!" &amp; $AP$91 &amp; $AM19),0)))))</f>
        <v>0.75059258462922629</v>
      </c>
      <c r="R19" s="596">
        <f ca="1">IF(ISERROR(MATCH(R$1,INDIRECT("Table!A"&amp;$AM19):INDIRECT("Table!" &amp; $AP$91 &amp; $AM19),0)),"",INDIRECT(CONCATENATE("Table!",ADDRESS($AI19,MATCH(R$1,INDIRECT("Table!A" &amp; $AM19):INDIRECT("Table!" &amp; $AP$91 &amp; $AM19),0)))))</f>
        <v>0.68808249224423901</v>
      </c>
      <c r="S19" s="596" t="str">
        <f ca="1">IF(ISERROR(MATCH(S$1,INDIRECT("Table!A"&amp;$AM19):INDIRECT("Table!" &amp; $AP$91 &amp; $AM19),0)),"",INDIRECT(CONCATENATE("Table!",ADDRESS($AI19,MATCH(S$1,INDIRECT("Table!A" &amp; $AM19):INDIRECT("Table!" &amp; $AP$91 &amp; $AM19),0)))))</f>
        <v/>
      </c>
      <c r="T19" s="596">
        <f ca="1">IF(ISERROR(MATCH(T$1,INDIRECT("Table!A"&amp;$AM19):INDIRECT("Table!" &amp; $AP$65 &amp; $AM19),0)),"",INDIRECT(CONCATENATE("Table!",ADDRESS($AI19,MATCH(T$1,INDIRECT("Table!A" &amp; $AM19):INDIRECT("Table!" &amp; $AP$65 &amp; $AM19),0)))))</f>
        <v>0.349145525150723</v>
      </c>
      <c r="U19" s="596">
        <f ca="1">IF(ISERROR(MATCH(U$1,INDIRECT("Table!A"&amp;$AM19):INDIRECT("Table!" &amp; $AP$65 &amp; $AM19),0)),"",INDIRECT(CONCATENATE("Table!",ADDRESS($AI19,MATCH(U$1,INDIRECT("Table!A" &amp; $AM19):INDIRECT("Table!" &amp; $AP$65 &amp; $AM19),0)))))</f>
        <v>0.15003351386789177</v>
      </c>
      <c r="V19" s="596">
        <f ca="1">IF(ISERROR(MATCH(V$1,INDIRECT("Table!A"&amp;$AM19):INDIRECT("Table!" &amp; $AP$65 &amp; $AM19),0)),"",INDIRECT(CONCATENATE("Table!",ADDRESS($AI19,MATCH(V$1,INDIRECT("Table!A" &amp; $AM19):INDIRECT("Table!" &amp; $AP$65 &amp; $AM19),0)))))</f>
        <v>0.14637762444718647</v>
      </c>
      <c r="W19" s="596">
        <f ca="1">IF(ISERROR(MATCH(W$1,INDIRECT("Table!A"&amp;$AM19):INDIRECT("Table!" &amp; $AP$65 &amp; $AM19),0)),"",INDIRECT(CONCATENATE("Table!",ADDRESS($AI19,MATCH(W$1,INDIRECT("Table!A" &amp; $AM19):INDIRECT("Table!" &amp; $AP$65 &amp; $AM19),0)))))</f>
        <v>0.24943809230257397</v>
      </c>
      <c r="X19" s="596">
        <f ca="1">IF(ISERROR(MATCH(X$1,INDIRECT("Table!A"&amp;$AM19):INDIRECT("Table!" &amp; $AP$65 &amp; $AM19),0)),"",INDIRECT(CONCATENATE("Table!",ADDRESS($AI19,MATCH(X$1,INDIRECT("Table!A" &amp; $AM19):INDIRECT("Table!" &amp; $AP$65 &amp; $AM19),0)))))</f>
        <v>0.23901210760084296</v>
      </c>
      <c r="Y19" s="596">
        <f ca="1">IF(ISERROR(MATCH(Y$1,INDIRECT("Table!A"&amp;$AM19):INDIRECT("Table!" &amp; $AP$65 &amp; $AM19),0)),"",INDIRECT(CONCATENATE("Table!",ADDRESS($AI19,MATCH(Y$1,INDIRECT("Table!A" &amp; $AM19):INDIRECT("Table!" &amp; $AP$65 &amp; $AM19),0)))))</f>
        <v>6.0805409187203091E-2</v>
      </c>
      <c r="Z19" s="596">
        <f ca="1">IF(ISERROR(MATCH(Z$1,INDIRECT("Table!A"&amp;$AM19):INDIRECT("Table!" &amp; $AP$65 &amp; $AM19),0)),"",INDIRECT(CONCATENATE("Table!",ADDRESS($AI19,MATCH(Z$1,INDIRECT("Table!A" &amp; $AM19):INDIRECT("Table!" &amp; $AP$65 &amp; $AM19),0)))))</f>
        <v>5.931459475456631E-2</v>
      </c>
      <c r="AA19" s="596">
        <f ca="1">IF(ISERROR(MATCH(AA$1,INDIRECT("Table!A"&amp;$AM19):INDIRECT("Table!" &amp; $AP$65 &amp; $AM19),0)),"",INDIRECT(CONCATENATE("Table!",ADDRESS($AI19,MATCH(AA$1,INDIRECT("Table!A" &amp; $AM19):INDIRECT("Table!" &amp; $AP$65 &amp; $AM19),0)))))</f>
        <v>0.15602053209173725</v>
      </c>
      <c r="AB19" s="596">
        <f ca="1">IF(ISERROR(MATCH(AB$1,INDIRECT("Table!A"&amp;$AM19):INDIRECT("Table!" &amp; $AP$65 &amp; $AM19),0)),"",INDIRECT(CONCATENATE("Table!",ADDRESS($AI19,MATCH(AB$1,INDIRECT("Table!A" &amp; $AM19):INDIRECT("Table!" &amp; $AP$65 &amp; $AM19),0)))))</f>
        <v>2.5671761900171424E-5</v>
      </c>
      <c r="AC19" s="596">
        <f ca="1">IF(ISERROR(MATCH(AC$1,INDIRECT("Table!A"&amp;$AM19):INDIRECT("Table!" &amp; $AP$65 &amp; $AM19),0)),"",INDIRECT(CONCATENATE("Table!",ADDRESS($AI19,MATCH(AC$1,INDIRECT("Table!A" &amp; $AM19):INDIRECT("Table!" &amp; $AP$65 &amp; $AM19),0)))))</f>
        <v>4.0184548482803679E-2</v>
      </c>
      <c r="AD19" s="596">
        <f ca="1">IF(ISERROR(MATCH(AD$1,INDIRECT("Table!A"&amp;$AM19):INDIRECT("Table!" &amp; $AP$65 &amp; $AM19),0)),"",INDIRECT(CONCATENATE("Table!",ADDRESS($AI19,MATCH(AD$1,INDIRECT("Table!A" &amp; $AM19):INDIRECT("Table!" &amp; $AP$65 &amp; $AM19),0)))))</f>
        <v>0.24519750864903653</v>
      </c>
      <c r="AE19" s="596">
        <f ca="1">IF(ISERROR(MATCH(AE$1,INDIRECT("Table!A"&amp;$AM19):INDIRECT("Table!" &amp; $AP$65 &amp; $AM19),0)),"",INDIRECT(CONCATENATE("Table!",ADDRESS($AI19,MATCH(AE$1,INDIRECT("Table!A" &amp; $AM19):INDIRECT("Table!" &amp; $AP$65 &amp; $AM19),0)))))</f>
        <v>3.6592291258120503E-2</v>
      </c>
      <c r="AF19" s="596">
        <f ca="1">IF(ISERROR(MATCH(AF$1,INDIRECT("Table!A"&amp;$AM19):INDIRECT("Table!" &amp; $AP$65 &amp; $AM19),0)),"",INDIRECT(CONCATENATE("Table!",ADDRESS($AI19,MATCH(AF$1,INDIRECT("Table!A" &amp; $AM19):INDIRECT("Table!" &amp; $AP$65 &amp; $AM19),0)))))</f>
        <v>3.6592291258120503E-2</v>
      </c>
      <c r="AG19" s="596">
        <f ca="1">IF(ISERROR(MATCH(AG$1,INDIRECT("Table!A"&amp;$AM19):INDIRECT("Table!" &amp; $AP$65 &amp; $AM19),0)),"",INDIRECT(CONCATENATE("Table!",ADDRESS($AI19,MATCH(AG$1,INDIRECT("Table!A" &amp; $AM19):INDIRECT("Table!" &amp; $AP$65 &amp; $AM19),0)))))</f>
        <v>2.855853696743952E-2</v>
      </c>
      <c r="AH19" s="596">
        <f ca="1">IF(ISERROR(MATCH(AH$1,INDIRECT("Table!A"&amp;$AM19):INDIRECT("Table!" &amp; $AP$65 &amp; $AM19),0)),"",INDIRECT(CONCATENATE("Table!",ADDRESS($AI19,MATCH(AH$1,INDIRECT("Table!A" &amp; $AM19):INDIRECT("Table!" &amp; $AP$65 &amp; $AM19),0)))))</f>
        <v>0</v>
      </c>
      <c r="AI19" s="595">
        <f>MATCH($A19,Table!$A:$A,0)+$AK$2-1</f>
        <v>230</v>
      </c>
      <c r="AJ19" s="996"/>
      <c r="AK19" s="996"/>
      <c r="AL19" s="996"/>
      <c r="AM19" s="595">
        <f>MATCH($A19,Table!$A:$A,0)+$AO$2-1</f>
        <v>227</v>
      </c>
      <c r="AN19" s="996"/>
      <c r="AP19" s="947" t="s">
        <v>302</v>
      </c>
    </row>
    <row r="20" spans="1:42" s="947" customFormat="1" ht="15.75" customHeight="1" x14ac:dyDescent="0.25">
      <c r="A20" s="592">
        <v>41857</v>
      </c>
      <c r="B20" s="596">
        <f ca="1">IF(ISERROR(MATCH(B$1,INDIRECT("Table!A"&amp;$AM20):INDIRECT("Table!" &amp; $AP$113 &amp; $AM20),0)),"",INDIRECT(CONCATENATE("Table!",ADDRESS($AI20,MATCH(B$1,INDIRECT("Table!A" &amp; $AM20):INDIRECT("Table!" &amp; $AP$112 &amp; $AM20),0)))))</f>
        <v>0.36102382864621169</v>
      </c>
      <c r="C20" s="596">
        <f ca="1">IF(ISERROR(MATCH(C$1,INDIRECT("Table!A"&amp;$AM20):INDIRECT("Table!" &amp; $AP$112 &amp; $AM20),0)),"",INDIRECT(CONCATENATE("Table!",ADDRESS($AI20,MATCH(C$1,INDIRECT("Table!A" &amp; $AM20):INDIRECT("Table!" &amp; $AP$112 &amp; $AM20),0)))))</f>
        <v>0.56682082453309168</v>
      </c>
      <c r="D20" s="596">
        <f ca="1">IF(ISERROR(MATCH(D$1,INDIRECT("Table!A"&amp;$AM20):INDIRECT("Table!" &amp; $AP$112 &amp; $AM20),0)),"",INDIRECT(CONCATENATE("Table!",ADDRESS($AI20,MATCH(D$1,INDIRECT("Table!A" &amp; $AM20):INDIRECT("Table!" &amp; $AP$112 &amp; $AM20),0)))))</f>
        <v>0.57156249107241919</v>
      </c>
      <c r="E20" s="596">
        <f ca="1">IF(ISERROR(MATCH(E$1,INDIRECT("Table!A"&amp;$AM20):INDIRECT("Table!" &amp; $AP$112 &amp; $AM20),0)),"",INDIRECT(CONCATENATE("Table!",ADDRESS($AI20,MATCH(E$1,INDIRECT("Table!A" &amp; $AM20):INDIRECT("Table!" &amp; $AP$112 &amp; $AM20),0)))))</f>
        <v>0.71183766046809105</v>
      </c>
      <c r="F20" s="596">
        <f ca="1">IF(ISERROR(MATCH(F$1,INDIRECT("Table!A"&amp;$AM20):INDIRECT("Table!" &amp; $AP$112 &amp; $AM20),0)),"",INDIRECT(CONCATENATE("Table!",ADDRESS($AI20,MATCH(F$1,INDIRECT("Table!A" &amp; $AM20):INDIRECT("Table!" &amp; $AP$112 &amp; $AM20),0)))))</f>
        <v>0.70865565071664405</v>
      </c>
      <c r="G20" s="596">
        <f ca="1">IF(ISERROR(MATCH(G$1,INDIRECT("Table!A"&amp;$AM20):INDIRECT("Table!" &amp; $AP$112 &amp; $AM20),0)),"",INDIRECT(CONCATENATE("Table!",ADDRESS($AI20,MATCH(G$1,INDIRECT("Table!A" &amp; $AM20):INDIRECT("Table!" &amp; $AP$112 &amp; $AM20),0)))))</f>
        <v>0.56045236903248996</v>
      </c>
      <c r="H20" s="596">
        <f ca="1">IF(ISERROR(MATCH(H$1,INDIRECT("Table!A"&amp;$AM20):INDIRECT("Table!" &amp; $AP$112 &amp; $AM20),0)),"",INDIRECT(CONCATENATE("Table!",ADDRESS($AI20,MATCH(H$1,INDIRECT("Table!A" &amp; $AM20):INDIRECT("Table!" &amp; $AP$112 &amp; $AM20),0)))))</f>
        <v>0.70925102703582776</v>
      </c>
      <c r="I20" s="596">
        <f ca="1">IF(ISERROR(MATCH(I$1,INDIRECT("Table!A"&amp;$AM20):INDIRECT("Table!" &amp; $AP$91 &amp; $AM20),0)),"",INDIRECT(CONCATENATE("Table!",ADDRESS($AI20,MATCH(I$1,INDIRECT("Table!A" &amp; $AM20):INDIRECT("Table!" &amp; $AP$91 &amp; $AM20),0)))))</f>
        <v>0.30715446958657977</v>
      </c>
      <c r="J20" s="596">
        <f ca="1">IF(ISERROR(MATCH(J$1,INDIRECT("Table!A"&amp;$AM20):INDIRECT("Table!" &amp; $AP$91 &amp; $AM20),0)),"",INDIRECT(CONCATENATE("Table!",ADDRESS($AI20,MATCH(J$1,INDIRECT("Table!A" &amp; $AM20):INDIRECT("Table!" &amp; $AP$91 &amp; $AM20),0)))))</f>
        <v>0.70805004386417592</v>
      </c>
      <c r="K20" s="596">
        <f ca="1">IF(ISERROR(MATCH(K$1,INDIRECT("Table!A"&amp;$AM20):INDIRECT("Table!" &amp; $AP$91 &amp; $AM20),0)),"",INDIRECT(CONCATENATE("Table!",ADDRESS($AI20,MATCH(K$1,INDIRECT("Table!A" &amp; $AM20):INDIRECT("Table!" &amp; $AP$91 &amp; $AM20),0)))))</f>
        <v>0.36850697456879777</v>
      </c>
      <c r="L20" s="596">
        <f ca="1">IF(ISERROR(MATCH(L$1,INDIRECT("Table!A"&amp;$AM20):INDIRECT("Table!" &amp; $AP$91 &amp; $AM20),0)),"",INDIRECT(CONCATENATE("Table!",ADDRESS($AI20,MATCH(L$1,INDIRECT("Table!A" &amp; $AM20):INDIRECT("Table!" &amp; $AP$91 &amp; $AM20),0)))))</f>
        <v>0.67631875193947433</v>
      </c>
      <c r="M20" s="596">
        <f ca="1">IF(ISERROR(MATCH(M$1,INDIRECT("Table!A"&amp;$AM20):INDIRECT("Table!" &amp; $AP$91 &amp; $AM20),0)),"",INDIRECT(CONCATENATE("Table!",ADDRESS($AI20,MATCH(M$1,INDIRECT("Table!A" &amp; $AM20):INDIRECT("Table!" &amp; $AP$91 &amp; $AM20),0)))))</f>
        <v>0.48871080478088735</v>
      </c>
      <c r="N20" s="596">
        <f ca="1">IF(ISERROR(MATCH(N$1,INDIRECT("Table!A"&amp;$AM20):INDIRECT("Table!" &amp; $AP$91 &amp; $AM20),0)),"",INDIRECT(CONCATENATE("Table!",ADDRESS($AI20,MATCH(N$1,INDIRECT("Table!A" &amp; $AM20):INDIRECT("Table!" &amp; $AP$91 &amp; $AM20),0)))))</f>
        <v>0.71369046758864529</v>
      </c>
      <c r="O20" s="596">
        <f ca="1">IF(ISERROR(MATCH(O$1,INDIRECT("Table!A"&amp;$AM20):INDIRECT("Table!" &amp; $AP$91 &amp; $AM20),0)),"",INDIRECT(CONCATENATE("Table!",ADDRESS($AI20,MATCH(O$1,INDIRECT("Table!A" &amp; $AM20):INDIRECT("Table!" &amp; $AP$91 &amp; $AM20),0)))))</f>
        <v>0.81643817558660681</v>
      </c>
      <c r="P20" s="596">
        <f ca="1">IF(ISERROR(MATCH(P$1,INDIRECT("Table!A"&amp;$AM20):INDIRECT("Table!" &amp; $AP$91 &amp; $AM20),0)),"",INDIRECT(CONCATENATE("Table!",ADDRESS($AI20,MATCH(P$1,INDIRECT("Table!A" &amp; $AM20):INDIRECT("Table!" &amp; $AP$91 &amp; $AM20),0)))))</f>
        <v>0.31755034995688763</v>
      </c>
      <c r="Q20" s="596">
        <f ca="1">IF(ISERROR(MATCH(Q$1,INDIRECT("Table!A"&amp;$AM20):INDIRECT("Table!" &amp; $AP$91 &amp; $AM20),0)),"",INDIRECT(CONCATENATE("Table!",ADDRESS($AI20,MATCH(Q$1,INDIRECT("Table!A" &amp; $AM20):INDIRECT("Table!" &amp; $AP$91 &amp; $AM20),0)))))</f>
        <v>0.7328635797643438</v>
      </c>
      <c r="R20" s="596">
        <f ca="1">IF(ISERROR(MATCH(R$1,INDIRECT("Table!A"&amp;$AM20):INDIRECT("Table!" &amp; $AP$91 &amp; $AM20),0)),"",INDIRECT(CONCATENATE("Table!",ADDRESS($AI20,MATCH(R$1,INDIRECT("Table!A" &amp; $AM20):INDIRECT("Table!" &amp; $AP$91 &amp; $AM20),0)))))</f>
        <v>0.6816049020755357</v>
      </c>
      <c r="S20" s="596" t="str">
        <f ca="1">IF(ISERROR(MATCH(S$1,INDIRECT("Table!A"&amp;$AM20):INDIRECT("Table!" &amp; $AP$91 &amp; $AM20),0)),"",INDIRECT(CONCATENATE("Table!",ADDRESS($AI20,MATCH(S$1,INDIRECT("Table!A" &amp; $AM20):INDIRECT("Table!" &amp; $AP$91 &amp; $AM20),0)))))</f>
        <v/>
      </c>
      <c r="T20" s="596">
        <f ca="1">IF(ISERROR(MATCH(T$1,INDIRECT("Table!A"&amp;$AM20):INDIRECT("Table!" &amp; $AP$65 &amp; $AM20),0)),"",INDIRECT(CONCATENATE("Table!",ADDRESS($AI20,MATCH(T$1,INDIRECT("Table!A" &amp; $AM20):INDIRECT("Table!" &amp; $AP$65 &amp; $AM20),0)))))</f>
        <v>0.349145525150723</v>
      </c>
      <c r="U20" s="596">
        <f ca="1">IF(ISERROR(MATCH(U$1,INDIRECT("Table!A"&amp;$AM20):INDIRECT("Table!" &amp; $AP$65 &amp; $AM20),0)),"",INDIRECT(CONCATENATE("Table!",ADDRESS($AI20,MATCH(U$1,INDIRECT("Table!A" &amp; $AM20):INDIRECT("Table!" &amp; $AP$65 &amp; $AM20),0)))))</f>
        <v>0.14865577588273571</v>
      </c>
      <c r="V20" s="596">
        <f ca="1">IF(ISERROR(MATCH(V$1,INDIRECT("Table!A"&amp;$AM20):INDIRECT("Table!" &amp; $AP$65 &amp; $AM20),0)),"",INDIRECT(CONCATENATE("Table!",ADDRESS($AI20,MATCH(V$1,INDIRECT("Table!A" &amp; $AM20):INDIRECT("Table!" &amp; $AP$65 &amp; $AM20),0)))))</f>
        <v>0.14503344924616879</v>
      </c>
      <c r="W20" s="596">
        <f ca="1">IF(ISERROR(MATCH(W$1,INDIRECT("Table!A"&amp;$AM20):INDIRECT("Table!" &amp; $AP$65 &amp; $AM20),0)),"",INDIRECT(CONCATENATE("Table!",ADDRESS($AI20,MATCH(W$1,INDIRECT("Table!A" &amp; $AM20):INDIRECT("Table!" &amp; $AP$65 &amp; $AM20),0)))))</f>
        <v>0.20749047178719426</v>
      </c>
      <c r="X20" s="596">
        <f ca="1">IF(ISERROR(MATCH(X$1,INDIRECT("Table!A"&amp;$AM20):INDIRECT("Table!" &amp; $AP$65 &amp; $AM20),0)),"",INDIRECT(CONCATENATE("Table!",ADDRESS($AI20,MATCH(X$1,INDIRECT("Table!A" &amp; $AM20):INDIRECT("Table!" &amp; $AP$65 &amp; $AM20),0)))))</f>
        <v>0.19807347616785959</v>
      </c>
      <c r="Y20" s="596">
        <f ca="1">IF(ISERROR(MATCH(Y$1,INDIRECT("Table!A"&amp;$AM20):INDIRECT("Table!" &amp; $AP$65 &amp; $AM20),0)),"",INDIRECT(CONCATENATE("Table!",ADDRESS($AI20,MATCH(Y$1,INDIRECT("Table!A" &amp; $AM20):INDIRECT("Table!" &amp; $AP$65 &amp; $AM20),0)))))</f>
        <v>3.0195750343700617E-2</v>
      </c>
      <c r="Z20" s="596">
        <f ca="1">IF(ISERROR(MATCH(Z$1,INDIRECT("Table!A"&amp;$AM20):INDIRECT("Table!" &amp; $AP$65 &amp; $AM20),0)),"",INDIRECT(CONCATENATE("Table!",ADDRESS($AI20,MATCH(Z$1,INDIRECT("Table!A" &amp; $AM20):INDIRECT("Table!" &amp; $AP$65 &amp; $AM20),0)))))</f>
        <v>2.9069698061781463E-2</v>
      </c>
      <c r="AA20" s="596">
        <f ca="1">IF(ISERROR(MATCH(AA$1,INDIRECT("Table!A"&amp;$AM20):INDIRECT("Table!" &amp; $AP$65 &amp; $AM20),0)),"",INDIRECT(CONCATENATE("Table!",ADDRESS($AI20,MATCH(AA$1,INDIRECT("Table!A" &amp; $AM20):INDIRECT("Table!" &amp; $AP$65 &amp; $AM20),0)))))</f>
        <v>0.11136122462390689</v>
      </c>
      <c r="AB20" s="596">
        <f ca="1">IF(ISERROR(MATCH(AB$1,INDIRECT("Table!A"&amp;$AM20):INDIRECT("Table!" &amp; $AP$65 &amp; $AM20),0)),"",INDIRECT(CONCATENATE("Table!",ADDRESS($AI20,MATCH(AB$1,INDIRECT("Table!A" &amp; $AM20):INDIRECT("Table!" &amp; $AP$65 &amp; $AM20),0)))))</f>
        <v>2.5671761900171424E-5</v>
      </c>
      <c r="AC20" s="596">
        <f ca="1">IF(ISERROR(MATCH(AC$1,INDIRECT("Table!A"&amp;$AM20):INDIRECT("Table!" &amp; $AP$65 &amp; $AM20),0)),"",INDIRECT(CONCATENATE("Table!",ADDRESS($AI20,MATCH(AC$1,INDIRECT("Table!A" &amp; $AM20):INDIRECT("Table!" &amp; $AP$65 &amp; $AM20),0)))))</f>
        <v>2.2624505068031944E-2</v>
      </c>
      <c r="AD20" s="596">
        <f ca="1">IF(ISERROR(MATCH(AD$1,INDIRECT("Table!A"&amp;$AM20):INDIRECT("Table!" &amp; $AP$65 &amp; $AM20),0)),"",INDIRECT(CONCATENATE("Table!",ADDRESS($AI20,MATCH(AD$1,INDIRECT("Table!A" &amp; $AM20):INDIRECT("Table!" &amp; $AP$65 &amp; $AM20),0)))))</f>
        <v>0.19470909246703724</v>
      </c>
      <c r="AE20" s="596">
        <f ca="1">IF(ISERROR(MATCH(AE$1,INDIRECT("Table!A"&amp;$AM20):INDIRECT("Table!" &amp; $AP$65 &amp; $AM20),0)),"",INDIRECT(CONCATENATE("Table!",ADDRESS($AI20,MATCH(AE$1,INDIRECT("Table!A" &amp; $AM20):INDIRECT("Table!" &amp; $AP$65 &amp; $AM20),0)))))</f>
        <v>2.988012991527849E-2</v>
      </c>
      <c r="AF20" s="596">
        <f ca="1">IF(ISERROR(MATCH(AF$1,INDIRECT("Table!A"&amp;$AM20):INDIRECT("Table!" &amp; $AP$65 &amp; $AM20),0)),"",INDIRECT(CONCATENATE("Table!",ADDRESS($AI20,MATCH(AF$1,INDIRECT("Table!A" &amp; $AM20):INDIRECT("Table!" &amp; $AP$65 &amp; $AM20),0)))))</f>
        <v>2.988012991527849E-2</v>
      </c>
      <c r="AG20" s="596">
        <f ca="1">IF(ISERROR(MATCH(AG$1,INDIRECT("Table!A"&amp;$AM20):INDIRECT("Table!" &amp; $AP$65 &amp; $AM20),0)),"",INDIRECT(CONCATENATE("Table!",ADDRESS($AI20,MATCH(AG$1,INDIRECT("Table!A" &amp; $AM20):INDIRECT("Table!" &amp; $AP$65 &amp; $AM20),0)))))</f>
        <v>2.855853696743952E-2</v>
      </c>
      <c r="AH20" s="596">
        <f ca="1">IF(ISERROR(MATCH(AH$1,INDIRECT("Table!A"&amp;$AM20):INDIRECT("Table!" &amp; $AP$65 &amp; $AM20),0)),"",INDIRECT(CONCATENATE("Table!",ADDRESS($AI20,MATCH(AH$1,INDIRECT("Table!A" &amp; $AM20):INDIRECT("Table!" &amp; $AP$65 &amp; $AM20),0)))))</f>
        <v>0</v>
      </c>
      <c r="AI20" s="595">
        <f>MATCH($A20,Table!$A:$A,0)+$AK$2-1</f>
        <v>244</v>
      </c>
      <c r="AJ20" s="982"/>
      <c r="AK20" s="982"/>
      <c r="AL20" s="982"/>
      <c r="AM20" s="595">
        <f>MATCH($A20,Table!$A:$A,0)+$AO$2-1</f>
        <v>241</v>
      </c>
      <c r="AN20" s="982"/>
      <c r="AP20" s="947" t="s">
        <v>302</v>
      </c>
    </row>
    <row r="21" spans="1:42" s="947" customFormat="1" ht="15.75" customHeight="1" x14ac:dyDescent="0.25">
      <c r="A21" s="592">
        <v>41850</v>
      </c>
      <c r="B21" s="596">
        <f ca="1">IF(ISERROR(MATCH(B$1,INDIRECT("Table!A"&amp;$AM21):INDIRECT("Table!" &amp; $AP$113 &amp; $AM21),0)),"",INDIRECT(CONCATENATE("Table!",ADDRESS($AI21,MATCH(B$1,INDIRECT("Table!A" &amp; $AM21):INDIRECT("Table!" &amp; $AP$112 &amp; $AM21),0)))))</f>
        <v>0.41432390576053607</v>
      </c>
      <c r="C21" s="596">
        <f ca="1">IF(ISERROR(MATCH(C$1,INDIRECT("Table!A"&amp;$AM21):INDIRECT("Table!" &amp; $AP$112 &amp; $AM21),0)),"",INDIRECT(CONCATENATE("Table!",ADDRESS($AI21,MATCH(C$1,INDIRECT("Table!A" &amp; $AM21):INDIRECT("Table!" &amp; $AP$112 &amp; $AM21),0)))))</f>
        <v>0.56476058802777362</v>
      </c>
      <c r="D21" s="596">
        <f ca="1">IF(ISERROR(MATCH(D$1,INDIRECT("Table!A"&amp;$AM21):INDIRECT("Table!" &amp; $AP$112 &amp; $AM21),0)),"",INDIRECT(CONCATENATE("Table!",ADDRESS($AI21,MATCH(D$1,INDIRECT("Table!A" &amp; $AM21):INDIRECT("Table!" &amp; $AP$112 &amp; $AM21),0)))))</f>
        <v>0.5694630562588735</v>
      </c>
      <c r="E21" s="596">
        <f ca="1">IF(ISERROR(MATCH(E$1,INDIRECT("Table!A"&amp;$AM21):INDIRECT("Table!" &amp; $AP$112 &amp; $AM21),0)),"",INDIRECT(CONCATENATE("Table!",ADDRESS($AI21,MATCH(E$1,INDIRECT("Table!A" &amp; $AM21):INDIRECT("Table!" &amp; $AP$112 &amp; $AM21),0)))))</f>
        <v>0.71126457976646007</v>
      </c>
      <c r="F21" s="596">
        <f ca="1">IF(ISERROR(MATCH(F$1,INDIRECT("Table!A"&amp;$AM21):INDIRECT("Table!" &amp; $AP$112 &amp; $AM21),0)),"",INDIRECT(CONCATENATE("Table!",ADDRESS($AI21,MATCH(F$1,INDIRECT("Table!A" &amp; $AM21):INDIRECT("Table!" &amp; $AP$112 &amp; $AM21),0)))))</f>
        <v>0.70529488307894816</v>
      </c>
      <c r="G21" s="596">
        <f ca="1">IF(ISERROR(MATCH(G$1,INDIRECT("Table!A"&amp;$AM21):INDIRECT("Table!" &amp; $AP$112 &amp; $AM21),0)),"",INDIRECT(CONCATENATE("Table!",ADDRESS($AI21,MATCH(G$1,INDIRECT("Table!A" &amp; $AM21):INDIRECT("Table!" &amp; $AP$112 &amp; $AM21),0)))))</f>
        <v>0.55863544755523031</v>
      </c>
      <c r="H21" s="596">
        <f ca="1">IF(ISERROR(MATCH(H$1,INDIRECT("Table!A"&amp;$AM21):INDIRECT("Table!" &amp; $AP$112 &amp; $AM21),0)),"",INDIRECT(CONCATENATE("Table!",ADDRESS($AI21,MATCH(H$1,INDIRECT("Table!A" &amp; $AM21):INDIRECT("Table!" &amp; $AP$112 &amp; $AM21),0)))))</f>
        <v>0.70446778756276329</v>
      </c>
      <c r="I21" s="596">
        <f ca="1">IF(ISERROR(MATCH(I$1,INDIRECT("Table!A"&amp;$AM21):INDIRECT("Table!" &amp; $AP$91 &amp; $AM21),0)),"",INDIRECT(CONCATENATE("Table!",ADDRESS($AI21,MATCH(I$1,INDIRECT("Table!A" &amp; $AM21):INDIRECT("Table!" &amp; $AP$91 &amp; $AM21),0)))))</f>
        <v>0.30523850239044303</v>
      </c>
      <c r="J21" s="596">
        <f ca="1">IF(ISERROR(MATCH(J$1,INDIRECT("Table!A"&amp;$AM21):INDIRECT("Table!" &amp; $AP$91 &amp; $AM21),0)),"",INDIRECT(CONCATENATE("Table!",ADDRESS($AI21,MATCH(J$1,INDIRECT("Table!A" &amp; $AM21):INDIRECT("Table!" &amp; $AP$91 &amp; $AM21),0)))))</f>
        <v>0.70410146170915477</v>
      </c>
      <c r="K21" s="596">
        <f ca="1">IF(ISERROR(MATCH(K$1,INDIRECT("Table!A"&amp;$AM21):INDIRECT("Table!" &amp; $AP$91 &amp; $AM21),0)),"",INDIRECT(CONCATENATE("Table!",ADDRESS($AI21,MATCH(K$1,INDIRECT("Table!A" &amp; $AM21):INDIRECT("Table!" &amp; $AP$91 &amp; $AM21),0)))))</f>
        <v>0.36098079539003669</v>
      </c>
      <c r="L21" s="596">
        <f ca="1">IF(ISERROR(MATCH(L$1,INDIRECT("Table!A"&amp;$AM21):INDIRECT("Table!" &amp; $AP$91 &amp; $AM21),0)),"",INDIRECT(CONCATENATE("Table!",ADDRESS($AI21,MATCH(L$1,INDIRECT("Table!A" &amp; $AM21):INDIRECT("Table!" &amp; $AP$91 &amp; $AM21),0)))))</f>
        <v>0.67572298684498866</v>
      </c>
      <c r="M21" s="596">
        <f ca="1">IF(ISERROR(MATCH(M$1,INDIRECT("Table!A"&amp;$AM21):INDIRECT("Table!" &amp; $AP$91 &amp; $AM21),0)),"",INDIRECT(CONCATENATE("Table!",ADDRESS($AI21,MATCH(M$1,INDIRECT("Table!A" &amp; $AM21):INDIRECT("Table!" &amp; $AP$91 &amp; $AM21),0)))))</f>
        <v>0.48787674863692859</v>
      </c>
      <c r="N21" s="596">
        <f ca="1">IF(ISERROR(MATCH(N$1,INDIRECT("Table!A"&amp;$AM21):INDIRECT("Table!" &amp; $AP$91 &amp; $AM21),0)),"",INDIRECT(CONCATENATE("Table!",ADDRESS($AI21,MATCH(N$1,INDIRECT("Table!A" &amp; $AM21):INDIRECT("Table!" &amp; $AP$91 &amp; $AM21),0)))))</f>
        <v>0.71037635418623579</v>
      </c>
      <c r="O21" s="596">
        <f ca="1">IF(ISERROR(MATCH(O$1,INDIRECT("Table!A"&amp;$AM21):INDIRECT("Table!" &amp; $AP$91 &amp; $AM21),0)),"",INDIRECT(CONCATENATE("Table!",ADDRESS($AI21,MATCH(O$1,INDIRECT("Table!A" &amp; $AM21):INDIRECT("Table!" &amp; $AP$91 &amp; $AM21),0)))))</f>
        <v>0.81061447779744633</v>
      </c>
      <c r="P21" s="596">
        <f ca="1">IF(ISERROR(MATCH(P$1,INDIRECT("Table!A"&amp;$AM21):INDIRECT("Table!" &amp; $AP$91 &amp; $AM21),0)),"",INDIRECT(CONCATENATE("Table!",ADDRESS($AI21,MATCH(P$1,INDIRECT("Table!A" &amp; $AM21):INDIRECT("Table!" &amp; $AP$91 &amp; $AM21),0)))))</f>
        <v>0.3155753695862657</v>
      </c>
      <c r="Q21" s="596">
        <f ca="1">IF(ISERROR(MATCH(Q$1,INDIRECT("Table!A"&amp;$AM21):INDIRECT("Table!" &amp; $AP$91 &amp; $AM21),0)),"",INDIRECT(CONCATENATE("Table!",ADDRESS($AI21,MATCH(Q$1,INDIRECT("Table!A" &amp; $AM21):INDIRECT("Table!" &amp; $AP$91 &amp; $AM21),0)))))</f>
        <v>0.72822832069187571</v>
      </c>
      <c r="R21" s="596">
        <f ca="1">IF(ISERROR(MATCH(R$1,INDIRECT("Table!A"&amp;$AM21):INDIRECT("Table!" &amp; $AP$91 &amp; $AM21),0)),"",INDIRECT(CONCATENATE("Table!",ADDRESS($AI21,MATCH(R$1,INDIRECT("Table!A" &amp; $AM21):INDIRECT("Table!" &amp; $AP$91 &amp; $AM21),0)))))</f>
        <v>0.67240397897127935</v>
      </c>
      <c r="S21" s="596" t="str">
        <f ca="1">IF(ISERROR(MATCH(S$1,INDIRECT("Table!A"&amp;$AM21):INDIRECT("Table!" &amp; $AP$91 &amp; $AM21),0)),"",INDIRECT(CONCATENATE("Table!",ADDRESS($AI21,MATCH(S$1,INDIRECT("Table!A" &amp; $AM21):INDIRECT("Table!" &amp; $AP$91 &amp; $AM21),0)))))</f>
        <v/>
      </c>
      <c r="T21" s="596">
        <f ca="1">IF(ISERROR(MATCH(T$1,INDIRECT("Table!A"&amp;$AM21):INDIRECT("Table!" &amp; $AP$65 &amp; $AM21),0)),"",INDIRECT(CONCATENATE("Table!",ADDRESS($AI21,MATCH(T$1,INDIRECT("Table!A" &amp; $AM21):INDIRECT("Table!" &amp; $AP$65 &amp; $AM21),0)))))</f>
        <v>0.349145525150723</v>
      </c>
      <c r="U21" s="596">
        <f ca="1">IF(ISERROR(MATCH(U$1,INDIRECT("Table!A"&amp;$AM21):INDIRECT("Table!" &amp; $AP$65 &amp; $AM21),0)),"",INDIRECT(CONCATENATE("Table!",ADDRESS($AI21,MATCH(U$1,INDIRECT("Table!A" &amp; $AM21):INDIRECT("Table!" &amp; $AP$65 &amp; $AM21),0)))))</f>
        <v>0.14650403878802112</v>
      </c>
      <c r="V21" s="596">
        <f ca="1">IF(ISERROR(MATCH(V$1,INDIRECT("Table!A"&amp;$AM21):INDIRECT("Table!" &amp; $AP$65 &amp; $AM21),0)),"",INDIRECT(CONCATENATE("Table!",ADDRESS($AI21,MATCH(V$1,INDIRECT("Table!A" &amp; $AM21):INDIRECT("Table!" &amp; $AP$65 &amp; $AM21),0)))))</f>
        <v>0.14293413016446577</v>
      </c>
      <c r="W21" s="596">
        <f ca="1">IF(ISERROR(MATCH(W$1,INDIRECT("Table!A"&amp;$AM21):INDIRECT("Table!" &amp; $AP$65 &amp; $AM21),0)),"",INDIRECT(CONCATENATE("Table!",ADDRESS($AI21,MATCH(W$1,INDIRECT("Table!A" &amp; $AM21):INDIRECT("Table!" &amp; $AP$65 &amp; $AM21),0)))))</f>
        <v>0.20679475324497415</v>
      </c>
      <c r="X21" s="596">
        <f ca="1">IF(ISERROR(MATCH(X$1,INDIRECT("Table!A"&amp;$AM21):INDIRECT("Table!" &amp; $AP$65 &amp; $AM21),0)),"",INDIRECT(CONCATENATE("Table!",ADDRESS($AI21,MATCH(X$1,INDIRECT("Table!A" &amp; $AM21):INDIRECT("Table!" &amp; $AP$65 &amp; $AM21),0)))))</f>
        <v>0.19731928695706133</v>
      </c>
      <c r="Y21" s="596">
        <f ca="1">IF(ISERROR(MATCH(Y$1,INDIRECT("Table!A"&amp;$AM21):INDIRECT("Table!" &amp; $AP$65 &amp; $AM21),0)),"",INDIRECT(CONCATENATE("Table!",ADDRESS($AI21,MATCH(Y$1,INDIRECT("Table!A" &amp; $AM21):INDIRECT("Table!" &amp; $AP$65 &amp; $AM21),0)))))</f>
        <v>1.6037731233457114E-3</v>
      </c>
      <c r="Z21" s="596">
        <f ca="1">IF(ISERROR(MATCH(Z$1,INDIRECT("Table!A"&amp;$AM21):INDIRECT("Table!" &amp; $AP$65 &amp; $AM21),0)),"",INDIRECT(CONCATENATE("Table!",ADDRESS($AI21,MATCH(Z$1,INDIRECT("Table!A" &amp; $AM21):INDIRECT("Table!" &amp; $AP$65 &amp; $AM21),0)))))</f>
        <v>1.5632719401040113E-3</v>
      </c>
      <c r="AA21" s="596">
        <f ca="1">IF(ISERROR(MATCH(AA$1,INDIRECT("Table!A"&amp;$AM21):INDIRECT("Table!" &amp; $AP$65 &amp; $AM21),0)),"",INDIRECT(CONCATENATE("Table!",ADDRESS($AI21,MATCH(AA$1,INDIRECT("Table!A" &amp; $AM21):INDIRECT("Table!" &amp; $AP$65 &amp; $AM21),0)))))</f>
        <v>0.10628752716802678</v>
      </c>
      <c r="AB21" s="596">
        <f ca="1">IF(ISERROR(MATCH(AB$1,INDIRECT("Table!A"&amp;$AM21):INDIRECT("Table!" &amp; $AP$65 &amp; $AM21),0)),"",INDIRECT(CONCATENATE("Table!",ADDRESS($AI21,MATCH(AB$1,INDIRECT("Table!A" &amp; $AM21):INDIRECT("Table!" &amp; $AP$65 &amp; $AM21),0)))))</f>
        <v>2.5671761900171424E-5</v>
      </c>
      <c r="AC21" s="596">
        <f ca="1">IF(ISERROR(MATCH(AC$1,INDIRECT("Table!A"&amp;$AM21):INDIRECT("Table!" &amp; $AP$65 &amp; $AM21),0)),"",INDIRECT(CONCATENATE("Table!",ADDRESS($AI21,MATCH(AC$1,INDIRECT("Table!A" &amp; $AM21):INDIRECT("Table!" &amp; $AP$65 &amp; $AM21),0)))))</f>
        <v>1.7105277251159453E-2</v>
      </c>
      <c r="AD21" s="596">
        <f ca="1">IF(ISERROR(MATCH(AD$1,INDIRECT("Table!A"&amp;$AM21):INDIRECT("Table!" &amp; $AP$65 &amp; $AM21),0)),"",INDIRECT(CONCATENATE("Table!",ADDRESS($AI21,MATCH(AD$1,INDIRECT("Table!A" &amp; $AM21):INDIRECT("Table!" &amp; $AP$65 &amp; $AM21),0)))))</f>
        <v>0.18381969659643896</v>
      </c>
      <c r="AE21" s="596">
        <f ca="1">IF(ISERROR(MATCH(AE$1,INDIRECT("Table!A"&amp;$AM21):INDIRECT("Table!" &amp; $AP$65 &amp; $AM21),0)),"",INDIRECT(CONCATENATE("Table!",ADDRESS($AI21,MATCH(AE$1,INDIRECT("Table!A" &amp; $AM21):INDIRECT("Table!" &amp; $AP$65 &amp; $AM21),0)))))</f>
        <v>2.591519141888202E-2</v>
      </c>
      <c r="AF21" s="596">
        <f ca="1">IF(ISERROR(MATCH(AF$1,INDIRECT("Table!A"&amp;$AM21):INDIRECT("Table!" &amp; $AP$65 &amp; $AM21),0)),"",INDIRECT(CONCATENATE("Table!",ADDRESS($AI21,MATCH(AF$1,INDIRECT("Table!A" &amp; $AM21):INDIRECT("Table!" &amp; $AP$65 &amp; $AM21),0)))))</f>
        <v>2.591519141888202E-2</v>
      </c>
      <c r="AG21" s="596">
        <f ca="1">IF(ISERROR(MATCH(AG$1,INDIRECT("Table!A"&amp;$AM21):INDIRECT("Table!" &amp; $AP$65 &amp; $AM21),0)),"",INDIRECT(CONCATENATE("Table!",ADDRESS($AI21,MATCH(AG$1,INDIRECT("Table!A" &amp; $AM21):INDIRECT("Table!" &amp; $AP$65 &amp; $AM21),0)))))</f>
        <v>2.855853696743952E-2</v>
      </c>
      <c r="AH21" s="596">
        <f ca="1">IF(ISERROR(MATCH(AH$1,INDIRECT("Table!A"&amp;$AM21):INDIRECT("Table!" &amp; $AP$65 &amp; $AM21),0)),"",INDIRECT(CONCATENATE("Table!",ADDRESS($AI21,MATCH(AH$1,INDIRECT("Table!A" &amp; $AM21):INDIRECT("Table!" &amp; $AP$65 &amp; $AM21),0)))))</f>
        <v>0</v>
      </c>
      <c r="AI21" s="595">
        <f>MATCH($A21,Table!$A:$A,0)+$AK$2-1</f>
        <v>258</v>
      </c>
      <c r="AJ21" s="972"/>
      <c r="AK21" s="972"/>
      <c r="AL21" s="972"/>
      <c r="AM21" s="595">
        <f>MATCH($A21,Table!$A:$A,0)+$AO$2-1</f>
        <v>255</v>
      </c>
      <c r="AN21" s="972"/>
      <c r="AP21" s="947" t="s">
        <v>302</v>
      </c>
    </row>
    <row r="22" spans="1:42" s="947" customFormat="1" ht="15.75" customHeight="1" x14ac:dyDescent="0.25">
      <c r="A22" s="592">
        <v>41843</v>
      </c>
      <c r="B22" s="596">
        <f ca="1">IF(ISERROR(MATCH(B$1,INDIRECT("Table!A"&amp;$AM22):INDIRECT("Table!" &amp; $AP$113 &amp; $AM22),0)),"",INDIRECT(CONCATENATE("Table!",ADDRESS($AI22,MATCH(B$1,INDIRECT("Table!A" &amp; $AM22):INDIRECT("Table!" &amp; $AP$112 &amp; $AM22),0)))))</f>
        <v>0.41432390576053607</v>
      </c>
      <c r="C22" s="596">
        <f ca="1">IF(ISERROR(MATCH(C$1,INDIRECT("Table!A"&amp;$AM22):INDIRECT("Table!" &amp; $AP$112 &amp; $AM22),0)),"",INDIRECT(CONCATENATE("Table!",ADDRESS($AI22,MATCH(C$1,INDIRECT("Table!A" &amp; $AM22):INDIRECT("Table!" &amp; $AP$112 &amp; $AM22),0)))))</f>
        <v>0.56476058802777362</v>
      </c>
      <c r="D22" s="596">
        <f ca="1">IF(ISERROR(MATCH(D$1,INDIRECT("Table!A"&amp;$AM22):INDIRECT("Table!" &amp; $AP$112 &amp; $AM22),0)),"",INDIRECT(CONCATENATE("Table!",ADDRESS($AI22,MATCH(D$1,INDIRECT("Table!A" &amp; $AM22):INDIRECT("Table!" &amp; $AP$112 &amp; $AM22),0)))))</f>
        <v>0.5694630562588735</v>
      </c>
      <c r="E22" s="596">
        <f ca="1">IF(ISERROR(MATCH(E$1,INDIRECT("Table!A"&amp;$AM22):INDIRECT("Table!" &amp; $AP$112 &amp; $AM22),0)),"",INDIRECT(CONCATENATE("Table!",ADDRESS($AI22,MATCH(E$1,INDIRECT("Table!A" &amp; $AM22):INDIRECT("Table!" &amp; $AP$112 &amp; $AM22),0)))))</f>
        <v>0.71126457976646007</v>
      </c>
      <c r="F22" s="596">
        <f ca="1">IF(ISERROR(MATCH(F$1,INDIRECT("Table!A"&amp;$AM22):INDIRECT("Table!" &amp; $AP$112 &amp; $AM22),0)),"",INDIRECT(CONCATENATE("Table!",ADDRESS($AI22,MATCH(F$1,INDIRECT("Table!A" &amp; $AM22):INDIRECT("Table!" &amp; $AP$112 &amp; $AM22),0)))))</f>
        <v>0.70529488307894816</v>
      </c>
      <c r="G22" s="596">
        <f ca="1">IF(ISERROR(MATCH(G$1,INDIRECT("Table!A"&amp;$AM22):INDIRECT("Table!" &amp; $AP$112 &amp; $AM22),0)),"",INDIRECT(CONCATENATE("Table!",ADDRESS($AI22,MATCH(G$1,INDIRECT("Table!A" &amp; $AM22):INDIRECT("Table!" &amp; $AP$112 &amp; $AM22),0)))))</f>
        <v>0.55863544755523031</v>
      </c>
      <c r="H22" s="596">
        <f ca="1">IF(ISERROR(MATCH(H$1,INDIRECT("Table!A"&amp;$AM22):INDIRECT("Table!" &amp; $AP$112 &amp; $AM22),0)),"",INDIRECT(CONCATENATE("Table!",ADDRESS($AI22,MATCH(H$1,INDIRECT("Table!A" &amp; $AM22):INDIRECT("Table!" &amp; $AP$112 &amp; $AM22),0)))))</f>
        <v>0.70446778756276329</v>
      </c>
      <c r="I22" s="596">
        <f ca="1">IF(ISERROR(MATCH(I$1,INDIRECT("Table!A"&amp;$AM22):INDIRECT("Table!" &amp; $AP$91 &amp; $AM22),0)),"",INDIRECT(CONCATENATE("Table!",ADDRESS($AI22,MATCH(I$1,INDIRECT("Table!A" &amp; $AM22):INDIRECT("Table!" &amp; $AP$91 &amp; $AM22),0)))))</f>
        <v>0.30523850239044303</v>
      </c>
      <c r="J22" s="596">
        <f ca="1">IF(ISERROR(MATCH(J$1,INDIRECT("Table!A"&amp;$AM22):INDIRECT("Table!" &amp; $AP$91 &amp; $AM22),0)),"",INDIRECT(CONCATENATE("Table!",ADDRESS($AI22,MATCH(J$1,INDIRECT("Table!A" &amp; $AM22):INDIRECT("Table!" &amp; $AP$91 &amp; $AM22),0)))))</f>
        <v>0.70410146170915477</v>
      </c>
      <c r="K22" s="596">
        <f ca="1">IF(ISERROR(MATCH(K$1,INDIRECT("Table!A"&amp;$AM22):INDIRECT("Table!" &amp; $AP$91 &amp; $AM22),0)),"",INDIRECT(CONCATENATE("Table!",ADDRESS($AI22,MATCH(K$1,INDIRECT("Table!A" &amp; $AM22):INDIRECT("Table!" &amp; $AP$91 &amp; $AM22),0)))))</f>
        <v>0.36098079539003669</v>
      </c>
      <c r="L22" s="596">
        <f ca="1">IF(ISERROR(MATCH(L$1,INDIRECT("Table!A"&amp;$AM22):INDIRECT("Table!" &amp; $AP$91 &amp; $AM22),0)),"",INDIRECT(CONCATENATE("Table!",ADDRESS($AI22,MATCH(L$1,INDIRECT("Table!A" &amp; $AM22):INDIRECT("Table!" &amp; $AP$91 &amp; $AM22),0)))))</f>
        <v>0.67572298684498866</v>
      </c>
      <c r="M22" s="596">
        <f ca="1">IF(ISERROR(MATCH(M$1,INDIRECT("Table!A"&amp;$AM22):INDIRECT("Table!" &amp; $AP$91 &amp; $AM22),0)),"",INDIRECT(CONCATENATE("Table!",ADDRESS($AI22,MATCH(M$1,INDIRECT("Table!A" &amp; $AM22):INDIRECT("Table!" &amp; $AP$91 &amp; $AM22),0)))))</f>
        <v>0.48787674863692859</v>
      </c>
      <c r="N22" s="596">
        <f ca="1">IF(ISERROR(MATCH(N$1,INDIRECT("Table!A"&amp;$AM22):INDIRECT("Table!" &amp; $AP$91 &amp; $AM22),0)),"",INDIRECT(CONCATENATE("Table!",ADDRESS($AI22,MATCH(N$1,INDIRECT("Table!A" &amp; $AM22):INDIRECT("Table!" &amp; $AP$91 &amp; $AM22),0)))))</f>
        <v>0.71037635418623579</v>
      </c>
      <c r="O22" s="596">
        <f ca="1">IF(ISERROR(MATCH(O$1,INDIRECT("Table!A"&amp;$AM22):INDIRECT("Table!" &amp; $AP$91 &amp; $AM22),0)),"",INDIRECT(CONCATENATE("Table!",ADDRESS($AI22,MATCH(O$1,INDIRECT("Table!A" &amp; $AM22):INDIRECT("Table!" &amp; $AP$91 &amp; $AM22),0)))))</f>
        <v>0.81061447779744633</v>
      </c>
      <c r="P22" s="596">
        <f ca="1">IF(ISERROR(MATCH(P$1,INDIRECT("Table!A"&amp;$AM22):INDIRECT("Table!" &amp; $AP$91 &amp; $AM22),0)),"",INDIRECT(CONCATENATE("Table!",ADDRESS($AI22,MATCH(P$1,INDIRECT("Table!A" &amp; $AM22):INDIRECT("Table!" &amp; $AP$91 &amp; $AM22),0)))))</f>
        <v>0.3155753695862657</v>
      </c>
      <c r="Q22" s="596">
        <f ca="1">IF(ISERROR(MATCH(Q$1,INDIRECT("Table!A"&amp;$AM22):INDIRECT("Table!" &amp; $AP$91 &amp; $AM22),0)),"",INDIRECT(CONCATENATE("Table!",ADDRESS($AI22,MATCH(Q$1,INDIRECT("Table!A" &amp; $AM22):INDIRECT("Table!" &amp; $AP$91 &amp; $AM22),0)))))</f>
        <v>0.72822832069187571</v>
      </c>
      <c r="R22" s="596">
        <f ca="1">IF(ISERROR(MATCH(R$1,INDIRECT("Table!A"&amp;$AM22):INDIRECT("Table!" &amp; $AP$91 &amp; $AM22),0)),"",INDIRECT(CONCATENATE("Table!",ADDRESS($AI22,MATCH(R$1,INDIRECT("Table!A" &amp; $AM22):INDIRECT("Table!" &amp; $AP$91 &amp; $AM22),0)))))</f>
        <v>0.67240397897127935</v>
      </c>
      <c r="S22" s="596" t="str">
        <f ca="1">IF(ISERROR(MATCH(S$1,INDIRECT("Table!A"&amp;$AM22):INDIRECT("Table!" &amp; $AP$91 &amp; $AM22),0)),"",INDIRECT(CONCATENATE("Table!",ADDRESS($AI22,MATCH(S$1,INDIRECT("Table!A" &amp; $AM22):INDIRECT("Table!" &amp; $AP$91 &amp; $AM22),0)))))</f>
        <v/>
      </c>
      <c r="T22" s="596">
        <f ca="1">IF(ISERROR(MATCH(T$1,INDIRECT("Table!A"&amp;$AM22):INDIRECT("Table!" &amp; $AP$65 &amp; $AM22),0)),"",INDIRECT(CONCATENATE("Table!",ADDRESS($AI22,MATCH(T$1,INDIRECT("Table!A" &amp; $AM22):INDIRECT("Table!" &amp; $AP$65 &amp; $AM22),0)))))</f>
        <v>0.349145525150723</v>
      </c>
      <c r="U22" s="596">
        <f ca="1">IF(ISERROR(MATCH(U$1,INDIRECT("Table!A"&amp;$AM22):INDIRECT("Table!" &amp; $AP$65 &amp; $AM22),0)),"",INDIRECT(CONCATENATE("Table!",ADDRESS($AI22,MATCH(U$1,INDIRECT("Table!A" &amp; $AM22):INDIRECT("Table!" &amp; $AP$65 &amp; $AM22),0)))))</f>
        <v>0.14650403878802112</v>
      </c>
      <c r="V22" s="596">
        <f ca="1">IF(ISERROR(MATCH(V$1,INDIRECT("Table!A"&amp;$AM22):INDIRECT("Table!" &amp; $AP$65 &amp; $AM22),0)),"",INDIRECT(CONCATENATE("Table!",ADDRESS($AI22,MATCH(V$1,INDIRECT("Table!A" &amp; $AM22):INDIRECT("Table!" &amp; $AP$65 &amp; $AM22),0)))))</f>
        <v>0.14293413016446577</v>
      </c>
      <c r="W22" s="596">
        <f ca="1">IF(ISERROR(MATCH(W$1,INDIRECT("Table!A"&amp;$AM22):INDIRECT("Table!" &amp; $AP$65 &amp; $AM22),0)),"",INDIRECT(CONCATENATE("Table!",ADDRESS($AI22,MATCH(W$1,INDIRECT("Table!A" &amp; $AM22):INDIRECT("Table!" &amp; $AP$65 &amp; $AM22),0)))))</f>
        <v>0.20679475324497415</v>
      </c>
      <c r="X22" s="596">
        <f ca="1">IF(ISERROR(MATCH(X$1,INDIRECT("Table!A"&amp;$AM22):INDIRECT("Table!" &amp; $AP$65 &amp; $AM22),0)),"",INDIRECT(CONCATENATE("Table!",ADDRESS($AI22,MATCH(X$1,INDIRECT("Table!A" &amp; $AM22):INDIRECT("Table!" &amp; $AP$65 &amp; $AM22),0)))))</f>
        <v>0.19731928695706133</v>
      </c>
      <c r="Y22" s="596">
        <f ca="1">IF(ISERROR(MATCH(Y$1,INDIRECT("Table!A"&amp;$AM22):INDIRECT("Table!" &amp; $AP$65 &amp; $AM22),0)),"",INDIRECT(CONCATENATE("Table!",ADDRESS($AI22,MATCH(Y$1,INDIRECT("Table!A" &amp; $AM22):INDIRECT("Table!" &amp; $AP$65 &amp; $AM22),0)))))</f>
        <v>1.6037731233457114E-3</v>
      </c>
      <c r="Z22" s="596">
        <f ca="1">IF(ISERROR(MATCH(Z$1,INDIRECT("Table!A"&amp;$AM22):INDIRECT("Table!" &amp; $AP$65 &amp; $AM22),0)),"",INDIRECT(CONCATENATE("Table!",ADDRESS($AI22,MATCH(Z$1,INDIRECT("Table!A" &amp; $AM22):INDIRECT("Table!" &amp; $AP$65 &amp; $AM22),0)))))</f>
        <v>1.5632719401040113E-3</v>
      </c>
      <c r="AA22" s="596">
        <f ca="1">IF(ISERROR(MATCH(AA$1,INDIRECT("Table!A"&amp;$AM22):INDIRECT("Table!" &amp; $AP$65 &amp; $AM22),0)),"",INDIRECT(CONCATENATE("Table!",ADDRESS($AI22,MATCH(AA$1,INDIRECT("Table!A" &amp; $AM22):INDIRECT("Table!" &amp; $AP$65 &amp; $AM22),0)))))</f>
        <v>0.10628752716802678</v>
      </c>
      <c r="AB22" s="596">
        <f ca="1">IF(ISERROR(MATCH(AB$1,INDIRECT("Table!A"&amp;$AM22):INDIRECT("Table!" &amp; $AP$65 &amp; $AM22),0)),"",INDIRECT(CONCATENATE("Table!",ADDRESS($AI22,MATCH(AB$1,INDIRECT("Table!A" &amp; $AM22):INDIRECT("Table!" &amp; $AP$65 &amp; $AM22),0)))))</f>
        <v>2.5671761900171424E-5</v>
      </c>
      <c r="AC22" s="596">
        <f ca="1">IF(ISERROR(MATCH(AC$1,INDIRECT("Table!A"&amp;$AM22):INDIRECT("Table!" &amp; $AP$65 &amp; $AM22),0)),"",INDIRECT(CONCATENATE("Table!",ADDRESS($AI22,MATCH(AC$1,INDIRECT("Table!A" &amp; $AM22):INDIRECT("Table!" &amp; $AP$65 &amp; $AM22),0)))))</f>
        <v>1.7105277251159453E-2</v>
      </c>
      <c r="AD22" s="596">
        <f ca="1">IF(ISERROR(MATCH(AD$1,INDIRECT("Table!A"&amp;$AM22):INDIRECT("Table!" &amp; $AP$65 &amp; $AM22),0)),"",INDIRECT(CONCATENATE("Table!",ADDRESS($AI22,MATCH(AD$1,INDIRECT("Table!A" &amp; $AM22):INDIRECT("Table!" &amp; $AP$65 &amp; $AM22),0)))))</f>
        <v>0.18381969659643896</v>
      </c>
      <c r="AE22" s="596">
        <f ca="1">IF(ISERROR(MATCH(AE$1,INDIRECT("Table!A"&amp;$AM22):INDIRECT("Table!" &amp; $AP$65 &amp; $AM22),0)),"",INDIRECT(CONCATENATE("Table!",ADDRESS($AI22,MATCH(AE$1,INDIRECT("Table!A" &amp; $AM22):INDIRECT("Table!" &amp; $AP$65 &amp; $AM22),0)))))</f>
        <v>2.591519141888202E-2</v>
      </c>
      <c r="AF22" s="596">
        <f ca="1">IF(ISERROR(MATCH(AF$1,INDIRECT("Table!A"&amp;$AM22):INDIRECT("Table!" &amp; $AP$65 &amp; $AM22),0)),"",INDIRECT(CONCATENATE("Table!",ADDRESS($AI22,MATCH(AF$1,INDIRECT("Table!A" &amp; $AM22):INDIRECT("Table!" &amp; $AP$65 &amp; $AM22),0)))))</f>
        <v>2.591519141888202E-2</v>
      </c>
      <c r="AG22" s="596">
        <f ca="1">IF(ISERROR(MATCH(AG$1,INDIRECT("Table!A"&amp;$AM22):INDIRECT("Table!" &amp; $AP$65 &amp; $AM22),0)),"",INDIRECT(CONCATENATE("Table!",ADDRESS($AI22,MATCH(AG$1,INDIRECT("Table!A" &amp; $AM22):INDIRECT("Table!" &amp; $AP$65 &amp; $AM22),0)))))</f>
        <v>2.855853696743952E-2</v>
      </c>
      <c r="AH22" s="596">
        <f ca="1">IF(ISERROR(MATCH(AH$1,INDIRECT("Table!A"&amp;$AM22):INDIRECT("Table!" &amp; $AP$65 &amp; $AM22),0)),"",INDIRECT(CONCATENATE("Table!",ADDRESS($AI22,MATCH(AH$1,INDIRECT("Table!A" &amp; $AM22):INDIRECT("Table!" &amp; $AP$65 &amp; $AM22),0)))))</f>
        <v>0</v>
      </c>
      <c r="AI22" s="595">
        <f>MATCH($A22,Table!$A:$A,0)+$AK$2-1</f>
        <v>286</v>
      </c>
      <c r="AJ22" s="969"/>
      <c r="AK22" s="969"/>
      <c r="AL22" s="969"/>
      <c r="AM22" s="595">
        <f>MATCH($A22,Table!$A:$A,0)+$AO$2-1</f>
        <v>283</v>
      </c>
      <c r="AN22" s="969"/>
      <c r="AP22" s="947" t="s">
        <v>302</v>
      </c>
    </row>
    <row r="23" spans="1:42" s="947" customFormat="1" ht="15.75" customHeight="1" x14ac:dyDescent="0.25">
      <c r="A23" s="592">
        <v>41836</v>
      </c>
      <c r="B23" s="596">
        <f ca="1">IF(ISERROR(MATCH(B$1,INDIRECT("Table!A"&amp;$AM23):INDIRECT("Table!" &amp; $AP$113 &amp; $AM23),0)),"",INDIRECT(CONCATENATE("Table!",ADDRESS($AI23,MATCH(B$1,INDIRECT("Table!A" &amp; $AM23):INDIRECT("Table!" &amp; $AP$112 &amp; $AM23),0)))))</f>
        <v>0.41397153169526724</v>
      </c>
      <c r="C23" s="596">
        <f ca="1">IF(ISERROR(MATCH(C$1,INDIRECT("Table!A"&amp;$AM23):INDIRECT("Table!" &amp; $AP$112 &amp; $AM23),0)),"",INDIRECT(CONCATENATE("Table!",ADDRESS($AI23,MATCH(C$1,INDIRECT("Table!A" &amp; $AM23):INDIRECT("Table!" &amp; $AP$112 &amp; $AM23),0)))))</f>
        <v>0.56333948325999705</v>
      </c>
      <c r="D23" s="596">
        <f ca="1">IF(ISERROR(MATCH(D$1,INDIRECT("Table!A"&amp;$AM23):INDIRECT("Table!" &amp; $AP$112 &amp; $AM23),0)),"",INDIRECT(CONCATENATE("Table!",ADDRESS($AI23,MATCH(D$1,INDIRECT("Table!A" &amp; $AM23):INDIRECT("Table!" &amp; $AP$112 &amp; $AM23),0)))))</f>
        <v>0.56805125278457469</v>
      </c>
      <c r="E23" s="596">
        <f ca="1">IF(ISERROR(MATCH(E$1,INDIRECT("Table!A"&amp;$AM23):INDIRECT("Table!" &amp; $AP$112 &amp; $AM23),0)),"",INDIRECT(CONCATENATE("Table!",ADDRESS($AI23,MATCH(E$1,INDIRECT("Table!A" &amp; $AM23):INDIRECT("Table!" &amp; $AP$112 &amp; $AM23),0)))))</f>
        <v>0.73072734545502505</v>
      </c>
      <c r="F23" s="596">
        <f ca="1">IF(ISERROR(MATCH(F$1,INDIRECT("Table!A"&amp;$AM23):INDIRECT("Table!" &amp; $AP$112 &amp; $AM23),0)),"",INDIRECT(CONCATENATE("Table!",ADDRESS($AI23,MATCH(F$1,INDIRECT("Table!A" &amp; $AM23):INDIRECT("Table!" &amp; $AP$112 &amp; $AM23),0)))))</f>
        <v>0.70325163770309529</v>
      </c>
      <c r="G23" s="596">
        <f ca="1">IF(ISERROR(MATCH(G$1,INDIRECT("Table!A"&amp;$AM23):INDIRECT("Table!" &amp; $AP$112 &amp; $AM23),0)),"",INDIRECT(CONCATENATE("Table!",ADDRESS($AI23,MATCH(G$1,INDIRECT("Table!A" &amp; $AM23):INDIRECT("Table!" &amp; $AP$112 &amp; $AM23),0)))))</f>
        <v>0.55742185594536653</v>
      </c>
      <c r="H23" s="596">
        <f ca="1">IF(ISERROR(MATCH(H$1,INDIRECT("Table!A"&amp;$AM23):INDIRECT("Table!" &amp; $AP$112 &amp; $AM23),0)),"",INDIRECT(CONCATENATE("Table!",ADDRESS($AI23,MATCH(H$1,INDIRECT("Table!A" &amp; $AM23):INDIRECT("Table!" &amp; $AP$112 &amp; $AM23),0)))))</f>
        <v>0.70452070207674933</v>
      </c>
      <c r="I23" s="596">
        <f ca="1">IF(ISERROR(MATCH(I$1,INDIRECT("Table!A"&amp;$AM23):INDIRECT("Table!" &amp; $AP$91 &amp; $AM23),0)),"",INDIRECT(CONCATENATE("Table!",ADDRESS($AI23,MATCH(I$1,INDIRECT("Table!A" &amp; $AM23):INDIRECT("Table!" &amp; $AP$91 &amp; $AM23),0)))))</f>
        <v>0.30442141644287624</v>
      </c>
      <c r="J23" s="596">
        <f ca="1">IF(ISERROR(MATCH(J$1,INDIRECT("Table!A"&amp;$AM23):INDIRECT("Table!" &amp; $AP$91 &amp; $AM23),0)),"",INDIRECT(CONCATENATE("Table!",ADDRESS($AI23,MATCH(J$1,INDIRECT("Table!A" &amp; $AM23):INDIRECT("Table!" &amp; $AP$91 &amp; $AM23),0)))))</f>
        <v>0.69293222339766747</v>
      </c>
      <c r="K23" s="596">
        <f ca="1">IF(ISERROR(MATCH(K$1,INDIRECT("Table!A"&amp;$AM23):INDIRECT("Table!" &amp; $AP$91 &amp; $AM23),0)),"",INDIRECT(CONCATENATE("Table!",ADDRESS($AI23,MATCH(K$1,INDIRECT("Table!A" &amp; $AM23):INDIRECT("Table!" &amp; $AP$91 &amp; $AM23),0)))))</f>
        <v>0.35308509081042094</v>
      </c>
      <c r="L23" s="596">
        <f ca="1">IF(ISERROR(MATCH(L$1,INDIRECT("Table!A"&amp;$AM23):INDIRECT("Table!" &amp; $AP$91 &amp; $AM23),0)),"",INDIRECT(CONCATENATE("Table!",ADDRESS($AI23,MATCH(L$1,INDIRECT("Table!A" &amp; $AM23):INDIRECT("Table!" &amp; $AP$91 &amp; $AM23),0)))))</f>
        <v>0.67546965716568119</v>
      </c>
      <c r="M23" s="596">
        <f ca="1">IF(ISERROR(MATCH(M$1,INDIRECT("Table!A"&amp;$AM23):INDIRECT("Table!" &amp; $AP$91 &amp; $AM23),0)),"",INDIRECT(CONCATENATE("Table!",ADDRESS($AI23,MATCH(M$1,INDIRECT("Table!A" &amp; $AM23):INDIRECT("Table!" &amp; $AP$91 &amp; $AM23),0)))))</f>
        <v>0.48616345355379798</v>
      </c>
      <c r="N23" s="596">
        <f ca="1">IF(ISERROR(MATCH(N$1,INDIRECT("Table!A"&amp;$AM23):INDIRECT("Table!" &amp; $AP$91 &amp; $AM23),0)),"",INDIRECT(CONCATENATE("Table!",ADDRESS($AI23,MATCH(N$1,INDIRECT("Table!A" &amp; $AM23):INDIRECT("Table!" &amp; $AP$91 &amp; $AM23),0)))))</f>
        <v>0.708392944021349</v>
      </c>
      <c r="O23" s="596">
        <f ca="1">IF(ISERROR(MATCH(O$1,INDIRECT("Table!A"&amp;$AM23):INDIRECT("Table!" &amp; $AP$91 &amp; $AM23),0)),"",INDIRECT(CONCATENATE("Table!",ADDRESS($AI23,MATCH(O$1,INDIRECT("Table!A" &amp; $AM23):INDIRECT("Table!" &amp; $AP$91 &amp; $AM23),0)))))</f>
        <v>0.81074231594927604</v>
      </c>
      <c r="P23" s="596">
        <f ca="1">IF(ISERROR(MATCH(P$1,INDIRECT("Table!A"&amp;$AM23):INDIRECT("Table!" &amp; $AP$91 &amp; $AM23),0)),"",INDIRECT(CONCATENATE("Table!",ADDRESS($AI23,MATCH(P$1,INDIRECT("Table!A" &amp; $AM23):INDIRECT("Table!" &amp; $AP$91 &amp; $AM23),0)))))</f>
        <v>0.31475767954257527</v>
      </c>
      <c r="Q23" s="596">
        <f ca="1">IF(ISERROR(MATCH(Q$1,INDIRECT("Table!A"&amp;$AM23):INDIRECT("Table!" &amp; $AP$91 &amp; $AM23),0)),"",INDIRECT(CONCATENATE("Table!",ADDRESS($AI23,MATCH(Q$1,INDIRECT("Table!A" &amp; $AM23):INDIRECT("Table!" &amp; $AP$91 &amp; $AM23),0)))))</f>
        <v>0.71386851562116749</v>
      </c>
      <c r="R23" s="596">
        <f ca="1">IF(ISERROR(MATCH(R$1,INDIRECT("Table!A"&amp;$AM23):INDIRECT("Table!" &amp; $AP$91 &amp; $AM23),0)),"",INDIRECT(CONCATENATE("Table!",ADDRESS($AI23,MATCH(R$1,INDIRECT("Table!A" &amp; $AM23):INDIRECT("Table!" &amp; $AP$91 &amp; $AM23),0)))))</f>
        <v>0.66929176187021244</v>
      </c>
      <c r="S23" s="596" t="str">
        <f ca="1">IF(ISERROR(MATCH(S$1,INDIRECT("Table!A"&amp;$AM23):INDIRECT("Table!" &amp; $AP$91 &amp; $AM23),0)),"",INDIRECT(CONCATENATE("Table!",ADDRESS($AI23,MATCH(S$1,INDIRECT("Table!A" &amp; $AM23):INDIRECT("Table!" &amp; $AP$91 &amp; $AM23),0)))))</f>
        <v/>
      </c>
      <c r="T23" s="596">
        <f ca="1">IF(ISERROR(MATCH(T$1,INDIRECT("Table!A"&amp;$AM23):INDIRECT("Table!" &amp; $AP$65 &amp; $AM23),0)),"",INDIRECT(CONCATENATE("Table!",ADDRESS($AI23,MATCH(T$1,INDIRECT("Table!A" &amp; $AM23):INDIRECT("Table!" &amp; $AP$65 &amp; $AM23),0)))))</f>
        <v>0.349145525150723</v>
      </c>
      <c r="U23" s="596">
        <f ca="1">IF(ISERROR(MATCH(U$1,INDIRECT("Table!A"&amp;$AM23):INDIRECT("Table!" &amp; $AP$65 &amp; $AM23),0)),"",INDIRECT(CONCATENATE("Table!",ADDRESS($AI23,MATCH(U$1,INDIRECT("Table!A" &amp; $AM23):INDIRECT("Table!" &amp; $AP$65 &amp; $AM23),0)))))</f>
        <v>0.14614101265698923</v>
      </c>
      <c r="V23" s="596">
        <f ca="1">IF(ISERROR(MATCH(V$1,INDIRECT("Table!A"&amp;$AM23):INDIRECT("Table!" &amp; $AP$65 &amp; $AM23),0)),"",INDIRECT(CONCATENATE("Table!",ADDRESS($AI23,MATCH(V$1,INDIRECT("Table!A" &amp; $AM23):INDIRECT("Table!" &amp; $AP$65 &amp; $AM23),0)))))</f>
        <v>0.1425799476363567</v>
      </c>
      <c r="W23" s="596">
        <f ca="1">IF(ISERROR(MATCH(W$1,INDIRECT("Table!A"&amp;$AM23):INDIRECT("Table!" &amp; $AP$65 &amp; $AM23),0)),"",INDIRECT(CONCATENATE("Table!",ADDRESS($AI23,MATCH(W$1,INDIRECT("Table!A" &amp; $AM23):INDIRECT("Table!" &amp; $AP$65 &amp; $AM23),0)))))</f>
        <v>0.20238560028963809</v>
      </c>
      <c r="X23" s="596">
        <f ca="1">IF(ISERROR(MATCH(X$1,INDIRECT("Table!A"&amp;$AM23):INDIRECT("Table!" &amp; $AP$65 &amp; $AM23),0)),"",INDIRECT(CONCATENATE("Table!",ADDRESS($AI23,MATCH(X$1,INDIRECT("Table!A" &amp; $AM23):INDIRECT("Table!" &amp; $AP$65 &amp; $AM23),0)))))</f>
        <v>0.19299892838305174</v>
      </c>
      <c r="Y23" s="596">
        <f ca="1">IF(ISERROR(MATCH(Y$1,INDIRECT("Table!A"&amp;$AM23):INDIRECT("Table!" &amp; $AP$65 &amp; $AM23),0)),"",INDIRECT(CONCATENATE("Table!",ADDRESS($AI23,MATCH(Y$1,INDIRECT("Table!A" &amp; $AM23):INDIRECT("Table!" &amp; $AP$65 &amp; $AM23),0)))))</f>
        <v>3.0333719843634569E-5</v>
      </c>
      <c r="Z23" s="596">
        <f ca="1">IF(ISERROR(MATCH(Z$1,INDIRECT("Table!A"&amp;$AM23):INDIRECT("Table!" &amp; $AP$65 &amp; $AM23),0)),"",INDIRECT(CONCATENATE("Table!",ADDRESS($AI23,MATCH(Z$1,INDIRECT("Table!A" &amp; $AM23):INDIRECT("Table!" &amp; $AP$65 &amp; $AM23),0)))))</f>
        <v>2.8640096612592574E-5</v>
      </c>
      <c r="AA23" s="596">
        <f ca="1">IF(ISERROR(MATCH(AA$1,INDIRECT("Table!A"&amp;$AM23):INDIRECT("Table!" &amp; $AP$65 &amp; $AM23),0)),"",INDIRECT(CONCATENATE("Table!",ADDRESS($AI23,MATCH(AA$1,INDIRECT("Table!A" &amp; $AM23):INDIRECT("Table!" &amp; $AP$65 &amp; $AM23),0)))))</f>
        <v>0.10404593678277017</v>
      </c>
      <c r="AB23" s="596">
        <f ca="1">IF(ISERROR(MATCH(AB$1,INDIRECT("Table!A"&amp;$AM23):INDIRECT("Table!" &amp; $AP$65 &amp; $AM23),0)),"",INDIRECT(CONCATENATE("Table!",ADDRESS($AI23,MATCH(AB$1,INDIRECT("Table!A" &amp; $AM23):INDIRECT("Table!" &amp; $AP$65 &amp; $AM23),0)))))</f>
        <v>2.5671761900171424E-5</v>
      </c>
      <c r="AC23" s="596">
        <f ca="1">IF(ISERROR(MATCH(AC$1,INDIRECT("Table!A"&amp;$AM23):INDIRECT("Table!" &amp; $AP$65 &amp; $AM23),0)),"",INDIRECT(CONCATENATE("Table!",ADDRESS($AI23,MATCH(AC$1,INDIRECT("Table!A" &amp; $AM23):INDIRECT("Table!" &amp; $AP$65 &amp; $AM23),0)))))</f>
        <v>1.6375598470486166E-2</v>
      </c>
      <c r="AD23" s="596">
        <f ca="1">IF(ISERROR(MATCH(AD$1,INDIRECT("Table!A"&amp;$AM23):INDIRECT("Table!" &amp; $AP$65 &amp; $AM23),0)),"",INDIRECT(CONCATENATE("Table!",ADDRESS($AI23,MATCH(AD$1,INDIRECT("Table!A" &amp; $AM23):INDIRECT("Table!" &amp; $AP$65 &amp; $AM23),0)))))</f>
        <v>5.0546433455080347E-3</v>
      </c>
      <c r="AE23" s="596">
        <f ca="1">IF(ISERROR(MATCH(AE$1,INDIRECT("Table!A"&amp;$AM23):INDIRECT("Table!" &amp; $AP$65 &amp; $AM23),0)),"",INDIRECT(CONCATENATE("Table!",ADDRESS($AI23,MATCH(AE$1,INDIRECT("Table!A" &amp; $AM23):INDIRECT("Table!" &amp; $AP$65 &amp; $AM23),0)))))</f>
        <v>1.1933229232090073E-2</v>
      </c>
      <c r="AF23" s="596">
        <f ca="1">IF(ISERROR(MATCH(AF$1,INDIRECT("Table!A"&amp;$AM23):INDIRECT("Table!" &amp; $AP$65 &amp; $AM23),0)),"",INDIRECT(CONCATENATE("Table!",ADDRESS($AI23,MATCH(AF$1,INDIRECT("Table!A" &amp; $AM23):INDIRECT("Table!" &amp; $AP$65 &amp; $AM23),0)))))</f>
        <v>1.1933229232090073E-2</v>
      </c>
      <c r="AG23" s="596">
        <f ca="1">IF(ISERROR(MATCH(AG$1,INDIRECT("Table!A"&amp;$AM23):INDIRECT("Table!" &amp; $AP$65 &amp; $AM23),0)),"",INDIRECT(CONCATENATE("Table!",ADDRESS($AI23,MATCH(AG$1,INDIRECT("Table!A" &amp; $AM23):INDIRECT("Table!" &amp; $AP$65 &amp; $AM23),0)))))</f>
        <v>0</v>
      </c>
      <c r="AH23" s="596">
        <f ca="1">IF(ISERROR(MATCH(AH$1,INDIRECT("Table!A"&amp;$AM23):INDIRECT("Table!" &amp; $AP$65 &amp; $AM23),0)),"",INDIRECT(CONCATENATE("Table!",ADDRESS($AI23,MATCH(AH$1,INDIRECT("Table!A" &amp; $AM23):INDIRECT("Table!" &amp; $AP$65 &amp; $AM23),0)))))</f>
        <v>0</v>
      </c>
      <c r="AI23" s="595">
        <f>MATCH($A23,Table!$A:$A,0)+$AK$2-1</f>
        <v>300</v>
      </c>
      <c r="AJ23" s="964"/>
      <c r="AK23" s="964"/>
      <c r="AL23" s="964"/>
      <c r="AM23" s="595">
        <f>MATCH($A23,Table!$A:$A,0)+$AO$2-1</f>
        <v>297</v>
      </c>
      <c r="AN23" s="964"/>
      <c r="AP23" s="947" t="s">
        <v>302</v>
      </c>
    </row>
    <row r="24" spans="1:42" s="947" customFormat="1" ht="15.75" customHeight="1" x14ac:dyDescent="0.25">
      <c r="A24" s="592">
        <v>41829</v>
      </c>
      <c r="B24" s="596">
        <f ca="1">IF(ISERROR(MATCH(B$1,INDIRECT("Table!A"&amp;$AM24):INDIRECT("Table!" &amp; $AP$113 &amp; $AM24),0)),"",INDIRECT(CONCATENATE("Table!",ADDRESS($AI24,MATCH(B$1,INDIRECT("Table!A" &amp; $AM24):INDIRECT("Table!" &amp; $AP$112 &amp; $AM24),0)))))</f>
        <v>0.41351836504833245</v>
      </c>
      <c r="C24" s="596">
        <f ca="1">IF(ISERROR(MATCH(C$1,INDIRECT("Table!A"&amp;$AM24):INDIRECT("Table!" &amp; $AP$112 &amp; $AM24),0)),"",INDIRECT(CONCATENATE("Table!",ADDRESS($AI24,MATCH(C$1,INDIRECT("Table!A" &amp; $AM24):INDIRECT("Table!" &amp; $AP$112 &amp; $AM24),0)))))</f>
        <v>0.56273091291531097</v>
      </c>
      <c r="D24" s="596">
        <f ca="1">IF(ISERROR(MATCH(D$1,INDIRECT("Table!A"&amp;$AM24):INDIRECT("Table!" &amp; $AP$112 &amp; $AM24),0)),"",INDIRECT(CONCATENATE("Table!",ADDRESS($AI24,MATCH(D$1,INDIRECT("Table!A" &amp; $AM24):INDIRECT("Table!" &amp; $AP$112 &amp; $AM24),0)))))</f>
        <v>0.56744334681799424</v>
      </c>
      <c r="E24" s="596">
        <f ca="1">IF(ISERROR(MATCH(E$1,INDIRECT("Table!A"&amp;$AM24):INDIRECT("Table!" &amp; $AP$112 &amp; $AM24),0)),"",INDIRECT(CONCATENATE("Table!",ADDRESS($AI24,MATCH(E$1,INDIRECT("Table!A" &amp; $AM24):INDIRECT("Table!" &amp; $AP$112 &amp; $AM24),0)))))</f>
        <v>0.75853632001969251</v>
      </c>
      <c r="F24" s="596">
        <f ca="1">IF(ISERROR(MATCH(F$1,INDIRECT("Table!A"&amp;$AM24):INDIRECT("Table!" &amp; $AP$112 &amp; $AM24),0)),"",INDIRECT(CONCATENATE("Table!",ADDRESS($AI24,MATCH(F$1,INDIRECT("Table!A" &amp; $AM24):INDIRECT("Table!" &amp; $AP$112 &amp; $AM24),0)))))</f>
        <v>0.70169160447547341</v>
      </c>
      <c r="G24" s="596">
        <f ca="1">IF(ISERROR(MATCH(G$1,INDIRECT("Table!A"&amp;$AM24):INDIRECT("Table!" &amp; $AP$112 &amp; $AM24),0)),"",INDIRECT(CONCATENATE("Table!",ADDRESS($AI24,MATCH(G$1,INDIRECT("Table!A" &amp; $AM24):INDIRECT("Table!" &amp; $AP$112 &amp; $AM24),0)))))</f>
        <v>0.55612302794572599</v>
      </c>
      <c r="H24" s="596">
        <f ca="1">IF(ISERROR(MATCH(H$1,INDIRECT("Table!A"&amp;$AM24):INDIRECT("Table!" &amp; $AP$112 &amp; $AM24),0)),"",INDIRECT(CONCATENATE("Table!",ADDRESS($AI24,MATCH(H$1,INDIRECT("Table!A" &amp; $AM24):INDIRECT("Table!" &amp; $AP$112 &amp; $AM24),0)))))</f>
        <v>0.71439245706510524</v>
      </c>
      <c r="I24" s="596">
        <f ca="1">IF(ISERROR(MATCH(I$1,INDIRECT("Table!A"&amp;$AM24):INDIRECT("Table!" &amp; $AP$91 &amp; $AM24),0)),"",INDIRECT(CONCATENATE("Table!",ADDRESS($AI24,MATCH(I$1,INDIRECT("Table!A" &amp; $AM24):INDIRECT("Table!" &amp; $AP$91 &amp; $AM24),0)))))</f>
        <v>0.303938510820217</v>
      </c>
      <c r="J24" s="596">
        <f ca="1">IF(ISERROR(MATCH(J$1,INDIRECT("Table!A"&amp;$AM24):INDIRECT("Table!" &amp; $AP$91 &amp; $AM24),0)),"",INDIRECT(CONCATENATE("Table!",ADDRESS($AI24,MATCH(J$1,INDIRECT("Table!A" &amp; $AM24):INDIRECT("Table!" &amp; $AP$91 &amp; $AM24),0)))))</f>
        <v>0.68264833187119411</v>
      </c>
      <c r="K24" s="596">
        <f ca="1">IF(ISERROR(MATCH(K$1,INDIRECT("Table!A"&amp;$AM24):INDIRECT("Table!" &amp; $AP$91 &amp; $AM24),0)),"",INDIRECT(CONCATENATE("Table!",ADDRESS($AI24,MATCH(K$1,INDIRECT("Table!A" &amp; $AM24):INDIRECT("Table!" &amp; $AP$91 &amp; $AM24),0)))))</f>
        <v>0.3521697567558883</v>
      </c>
      <c r="L24" s="596">
        <f ca="1">IF(ISERROR(MATCH(L$1,INDIRECT("Table!A"&amp;$AM24):INDIRECT("Table!" &amp; $AP$91 &amp; $AM24),0)),"",INDIRECT(CONCATENATE("Table!",ADDRESS($AI24,MATCH(L$1,INDIRECT("Table!A" &amp; $AM24):INDIRECT("Table!" &amp; $AP$91 &amp; $AM24),0)))))</f>
        <v>0.70237337271945011</v>
      </c>
      <c r="M24" s="596">
        <f ca="1">IF(ISERROR(MATCH(M$1,INDIRECT("Table!A"&amp;$AM24):INDIRECT("Table!" &amp; $AP$91 &amp; $AM24),0)),"",INDIRECT(CONCATENATE("Table!",ADDRESS($AI24,MATCH(M$1,INDIRECT("Table!A" &amp; $AM24):INDIRECT("Table!" &amp; $AP$91 &amp; $AM24),0)))))</f>
        <v>0.4851822110314935</v>
      </c>
      <c r="N24" s="596">
        <f ca="1">IF(ISERROR(MATCH(N$1,INDIRECT("Table!A"&amp;$AM24):INDIRECT("Table!" &amp; $AP$91 &amp; $AM24),0)),"",INDIRECT(CONCATENATE("Table!",ADDRESS($AI24,MATCH(N$1,INDIRECT("Table!A" &amp; $AM24):INDIRECT("Table!" &amp; $AP$91 &amp; $AM24),0)))))</f>
        <v>0.70684547464558733</v>
      </c>
      <c r="O24" s="596">
        <f ca="1">IF(ISERROR(MATCH(O$1,INDIRECT("Table!A"&amp;$AM24):INDIRECT("Table!" &amp; $AP$91 &amp; $AM24),0)),"",INDIRECT(CONCATENATE("Table!",ADDRESS($AI24,MATCH(O$1,INDIRECT("Table!A" &amp; $AM24):INDIRECT("Table!" &amp; $AP$91 &amp; $AM24),0)))))</f>
        <v>0.82342219473118483</v>
      </c>
      <c r="P24" s="596">
        <f ca="1">IF(ISERROR(MATCH(P$1,INDIRECT("Table!A"&amp;$AM24):INDIRECT("Table!" &amp; $AP$91 &amp; $AM24),0)),"",INDIRECT(CONCATENATE("Table!",ADDRESS($AI24,MATCH(P$1,INDIRECT("Table!A" &amp; $AM24):INDIRECT("Table!" &amp; $AP$91 &amp; $AM24),0)))))</f>
        <v>0.31427115998786109</v>
      </c>
      <c r="Q24" s="596">
        <f ca="1">IF(ISERROR(MATCH(Q$1,INDIRECT("Table!A"&amp;$AM24):INDIRECT("Table!" &amp; $AP$91 &amp; $AM24),0)),"",INDIRECT(CONCATENATE("Table!",ADDRESS($AI24,MATCH(Q$1,INDIRECT("Table!A" &amp; $AM24):INDIRECT("Table!" &amp; $AP$91 &amp; $AM24),0)))))</f>
        <v>0.6999684789858166</v>
      </c>
      <c r="R24" s="596">
        <f ca="1">IF(ISERROR(MATCH(R$1,INDIRECT("Table!A"&amp;$AM24):INDIRECT("Table!" &amp; $AP$91 &amp; $AM24),0)),"",INDIRECT(CONCATENATE("Table!",ADDRESS($AI24,MATCH(R$1,INDIRECT("Table!A" &amp; $AM24):INDIRECT("Table!" &amp; $AP$91 &amp; $AM24),0)))))</f>
        <v>0.66658406055307717</v>
      </c>
      <c r="S24" s="596" t="str">
        <f ca="1">IF(ISERROR(MATCH(S$1,INDIRECT("Table!A"&amp;$AM24):INDIRECT("Table!" &amp; $AP$91 &amp; $AM24),0)),"",INDIRECT(CONCATENATE("Table!",ADDRESS($AI24,MATCH(S$1,INDIRECT("Table!A" &amp; $AM24):INDIRECT("Table!" &amp; $AP$91 &amp; $AM24),0)))))</f>
        <v/>
      </c>
      <c r="T24" s="596">
        <f ca="1">IF(ISERROR(MATCH(T$1,INDIRECT("Table!A"&amp;$AM24):INDIRECT("Table!" &amp; $AP$65 &amp; $AM24),0)),"",INDIRECT(CONCATENATE("Table!",ADDRESS($AI24,MATCH(T$1,INDIRECT("Table!A" &amp; $AM24):INDIRECT("Table!" &amp; $AP$65 &amp; $AM24),0)))))</f>
        <v>0.30904942506157357</v>
      </c>
      <c r="U24" s="596">
        <f ca="1">IF(ISERROR(MATCH(U$1,INDIRECT("Table!A"&amp;$AM24):INDIRECT("Table!" &amp; $AP$65 &amp; $AM24),0)),"",INDIRECT(CONCATENATE("Table!",ADDRESS($AI24,MATCH(U$1,INDIRECT("Table!A" &amp; $AM24):INDIRECT("Table!" &amp; $AP$65 &amp; $AM24),0)))))</f>
        <v>0.14582104083799347</v>
      </c>
      <c r="V24" s="596">
        <f ca="1">IF(ISERROR(MATCH(V$1,INDIRECT("Table!A"&amp;$AM24):INDIRECT("Table!" &amp; $AP$65 &amp; $AM24),0)),"",INDIRECT(CONCATENATE("Table!",ADDRESS($AI24,MATCH(V$1,INDIRECT("Table!A" &amp; $AM24):INDIRECT("Table!" &amp; $AP$65 &amp; $AM24),0)))))</f>
        <v>0.14226777058327944</v>
      </c>
      <c r="W24" s="596">
        <f ca="1">IF(ISERROR(MATCH(W$1,INDIRECT("Table!A"&amp;$AM24):INDIRECT("Table!" &amp; $AP$65 &amp; $AM24),0)),"",INDIRECT(CONCATENATE("Table!",ADDRESS($AI24,MATCH(W$1,INDIRECT("Table!A" &amp; $AM24):INDIRECT("Table!" &amp; $AP$65 &amp; $AM24),0)))))</f>
        <v>0.15439961251119169</v>
      </c>
      <c r="X24" s="596">
        <f ca="1">IF(ISERROR(MATCH(X$1,INDIRECT("Table!A"&amp;$AM24):INDIRECT("Table!" &amp; $AP$65 &amp; $AM24),0)),"",INDIRECT(CONCATENATE("Table!",ADDRESS($AI24,MATCH(X$1,INDIRECT("Table!A" &amp; $AM24):INDIRECT("Table!" &amp; $AP$65 &amp; $AM24),0)))))</f>
        <v>0.15027076824672489</v>
      </c>
      <c r="Y24" s="596">
        <f ca="1">IF(ISERROR(MATCH(Y$1,INDIRECT("Table!A"&amp;$AM24):INDIRECT("Table!" &amp; $AP$65 &amp; $AM24),0)),"",INDIRECT(CONCATENATE("Table!",ADDRESS($AI24,MATCH(Y$1,INDIRECT("Table!A" &amp; $AM24):INDIRECT("Table!" &amp; $AP$65 &amp; $AM24),0)))))</f>
        <v>3.0333719843634569E-5</v>
      </c>
      <c r="Z24" s="596">
        <f ca="1">IF(ISERROR(MATCH(Z$1,INDIRECT("Table!A"&amp;$AM24):INDIRECT("Table!" &amp; $AP$65 &amp; $AM24),0)),"",INDIRECT(CONCATENATE("Table!",ADDRESS($AI24,MATCH(Z$1,INDIRECT("Table!A" &amp; $AM24):INDIRECT("Table!" &amp; $AP$65 &amp; $AM24),0)))))</f>
        <v>2.8640096612592574E-5</v>
      </c>
      <c r="AA24" s="596">
        <f ca="1">IF(ISERROR(MATCH(AA$1,INDIRECT("Table!A"&amp;$AM24):INDIRECT("Table!" &amp; $AP$65 &amp; $AM24),0)),"",INDIRECT(CONCATENATE("Table!",ADDRESS($AI24,MATCH(AA$1,INDIRECT("Table!A" &amp; $AM24):INDIRECT("Table!" &amp; $AP$65 &amp; $AM24),0)))))</f>
        <v>7.1220084747206536E-2</v>
      </c>
      <c r="AB24" s="596">
        <f ca="1">IF(ISERROR(MATCH(AB$1,INDIRECT("Table!A"&amp;$AM24):INDIRECT("Table!" &amp; $AP$65 &amp; $AM24),0)),"",INDIRECT(CONCATENATE("Table!",ADDRESS($AI24,MATCH(AB$1,INDIRECT("Table!A" &amp; $AM24):INDIRECT("Table!" &amp; $AP$65 &amp; $AM24),0)))))</f>
        <v>2.5671761900171424E-5</v>
      </c>
      <c r="AC24" s="596">
        <f ca="1">IF(ISERROR(MATCH(AC$1,INDIRECT("Table!A"&amp;$AM24):INDIRECT("Table!" &amp; $AP$65 &amp; $AM24),0)),"",INDIRECT(CONCATENATE("Table!",ADDRESS($AI24,MATCH(AC$1,INDIRECT("Table!A" &amp; $AM24):INDIRECT("Table!" &amp; $AP$65 &amp; $AM24),0)))))</f>
        <v>2.1868049084398175E-5</v>
      </c>
      <c r="AD24" s="596">
        <f ca="1">IF(ISERROR(MATCH(AD$1,INDIRECT("Table!A"&amp;$AM24):INDIRECT("Table!" &amp; $AP$65 &amp; $AM24),0)),"",INDIRECT(CONCATENATE("Table!",ADDRESS($AI24,MATCH(AD$1,INDIRECT("Table!A" &amp; $AM24):INDIRECT("Table!" &amp; $AP$65 &amp; $AM24),0)))))</f>
        <v>1.3022646373117117E-3</v>
      </c>
      <c r="AE24" s="596">
        <f ca="1">IF(ISERROR(MATCH(AE$1,INDIRECT("Table!A"&amp;$AM24):INDIRECT("Table!" &amp; $AP$65 &amp; $AM24),0)),"",INDIRECT(CONCATENATE("Table!",ADDRESS($AI24,MATCH(AE$1,INDIRECT("Table!A" &amp; $AM24):INDIRECT("Table!" &amp; $AP$65 &amp; $AM24),0)))))</f>
        <v>3.6966825251401937E-3</v>
      </c>
      <c r="AF24" s="596">
        <f ca="1">IF(ISERROR(MATCH(AF$1,INDIRECT("Table!A"&amp;$AM24):INDIRECT("Table!" &amp; $AP$65 &amp; $AM24),0)),"",INDIRECT(CONCATENATE("Table!",ADDRESS($AI24,MATCH(AF$1,INDIRECT("Table!A" &amp; $AM24):INDIRECT("Table!" &amp; $AP$65 &amp; $AM24),0)))))</f>
        <v>3.6966825251401937E-3</v>
      </c>
      <c r="AG24" s="596">
        <f ca="1">IF(ISERROR(MATCH(AG$1,INDIRECT("Table!A"&amp;$AM24):INDIRECT("Table!" &amp; $AP$65 &amp; $AM24),0)),"",INDIRECT(CONCATENATE("Table!",ADDRESS($AI24,MATCH(AG$1,INDIRECT("Table!A" &amp; $AM24):INDIRECT("Table!" &amp; $AP$65 &amp; $AM24),0)))))</f>
        <v>0</v>
      </c>
      <c r="AH24" s="596">
        <f ca="1">IF(ISERROR(MATCH(AH$1,INDIRECT("Table!A"&amp;$AM24):INDIRECT("Table!" &amp; $AP$65 &amp; $AM24),0)),"",INDIRECT(CONCATENATE("Table!",ADDRESS($AI24,MATCH(AH$1,INDIRECT("Table!A" &amp; $AM24):INDIRECT("Table!" &amp; $AP$65 &amp; $AM24),0)))))</f>
        <v>0</v>
      </c>
      <c r="AI24" s="595">
        <f>MATCH($A24,Table!$A:$A,0)+$AK$2-1</f>
        <v>314</v>
      </c>
      <c r="AJ24" s="961"/>
      <c r="AK24" s="961"/>
      <c r="AL24" s="961"/>
      <c r="AM24" s="595">
        <f>MATCH($A24,Table!$A:$A,0)+$AO$2-1</f>
        <v>311</v>
      </c>
      <c r="AN24" s="961"/>
      <c r="AP24" s="947" t="s">
        <v>302</v>
      </c>
    </row>
    <row r="25" spans="1:42" s="947" customFormat="1" ht="15.75" customHeight="1" x14ac:dyDescent="0.25">
      <c r="A25" s="592">
        <v>41822</v>
      </c>
      <c r="B25" s="596">
        <f ca="1">IF(ISERROR(MATCH(B$1,INDIRECT("Table!A"&amp;$AM25):INDIRECT("Table!" &amp; $AP$113 &amp; $AM25),0)),"",INDIRECT(CONCATENATE("Table!",ADDRESS($AI25,MATCH(B$1,INDIRECT("Table!A" &amp; $AM25):INDIRECT("Table!" &amp; $AP$112 &amp; $AM25),0)))))</f>
        <v>0.41351836504833245</v>
      </c>
      <c r="C25" s="596">
        <f ca="1">IF(ISERROR(MATCH(C$1,INDIRECT("Table!A"&amp;$AM25):INDIRECT("Table!" &amp; $AP$112 &amp; $AM25),0)),"",INDIRECT(CONCATENATE("Table!",ADDRESS($AI25,MATCH(C$1,INDIRECT("Table!A" &amp; $AM25):INDIRECT("Table!" &amp; $AP$112 &amp; $AM25),0)))))</f>
        <v>0.56273091291531097</v>
      </c>
      <c r="D25" s="596">
        <f ca="1">IF(ISERROR(MATCH(D$1,INDIRECT("Table!A"&amp;$AM25):INDIRECT("Table!" &amp; $AP$112 &amp; $AM25),0)),"",INDIRECT(CONCATENATE("Table!",ADDRESS($AI25,MATCH(D$1,INDIRECT("Table!A" &amp; $AM25):INDIRECT("Table!" &amp; $AP$112 &amp; $AM25),0)))))</f>
        <v>0.56744334681799424</v>
      </c>
      <c r="E25" s="596">
        <f ca="1">IF(ISERROR(MATCH(E$1,INDIRECT("Table!A"&amp;$AM25):INDIRECT("Table!" &amp; $AP$112 &amp; $AM25),0)),"",INDIRECT(CONCATENATE("Table!",ADDRESS($AI25,MATCH(E$1,INDIRECT("Table!A" &amp; $AM25):INDIRECT("Table!" &amp; $AP$112 &amp; $AM25),0)))))</f>
        <v>0.75853632001969251</v>
      </c>
      <c r="F25" s="596">
        <f ca="1">IF(ISERROR(MATCH(F$1,INDIRECT("Table!A"&amp;$AM25):INDIRECT("Table!" &amp; $AP$112 &amp; $AM25),0)),"",INDIRECT(CONCATENATE("Table!",ADDRESS($AI25,MATCH(F$1,INDIRECT("Table!A" &amp; $AM25):INDIRECT("Table!" &amp; $AP$112 &amp; $AM25),0)))))</f>
        <v>0.70169160447547341</v>
      </c>
      <c r="G25" s="596">
        <f ca="1">IF(ISERROR(MATCH(G$1,INDIRECT("Table!A"&amp;$AM25):INDIRECT("Table!" &amp; $AP$112 &amp; $AM25),0)),"",INDIRECT(CONCATENATE("Table!",ADDRESS($AI25,MATCH(G$1,INDIRECT("Table!A" &amp; $AM25):INDIRECT("Table!" &amp; $AP$112 &amp; $AM25),0)))))</f>
        <v>0.55612302794572599</v>
      </c>
      <c r="H25" s="596">
        <f ca="1">IF(ISERROR(MATCH(H$1,INDIRECT("Table!A"&amp;$AM25):INDIRECT("Table!" &amp; $AP$112 &amp; $AM25),0)),"",INDIRECT(CONCATENATE("Table!",ADDRESS($AI25,MATCH(H$1,INDIRECT("Table!A" &amp; $AM25):INDIRECT("Table!" &amp; $AP$112 &amp; $AM25),0)))))</f>
        <v>0.71439245706510524</v>
      </c>
      <c r="I25" s="596">
        <f ca="1">IF(ISERROR(MATCH(I$1,INDIRECT("Table!A"&amp;$AM25):INDIRECT("Table!" &amp; $AP$91 &amp; $AM25),0)),"",INDIRECT(CONCATENATE("Table!",ADDRESS($AI25,MATCH(I$1,INDIRECT("Table!A" &amp; $AM25):INDIRECT("Table!" &amp; $AP$91 &amp; $AM25),0)))))</f>
        <v>0.303938510820217</v>
      </c>
      <c r="J25" s="596">
        <f ca="1">IF(ISERROR(MATCH(J$1,INDIRECT("Table!A"&amp;$AM25):INDIRECT("Table!" &amp; $AP$91 &amp; $AM25),0)),"",INDIRECT(CONCATENATE("Table!",ADDRESS($AI25,MATCH(J$1,INDIRECT("Table!A" &amp; $AM25):INDIRECT("Table!" &amp; $AP$91 &amp; $AM25),0)))))</f>
        <v>0.68264833187119411</v>
      </c>
      <c r="K25" s="596">
        <f ca="1">IF(ISERROR(MATCH(K$1,INDIRECT("Table!A"&amp;$AM25):INDIRECT("Table!" &amp; $AP$91 &amp; $AM25),0)),"",INDIRECT(CONCATENATE("Table!",ADDRESS($AI25,MATCH(K$1,INDIRECT("Table!A" &amp; $AM25):INDIRECT("Table!" &amp; $AP$91 &amp; $AM25),0)))))</f>
        <v>0.3521697567558883</v>
      </c>
      <c r="L25" s="596">
        <f ca="1">IF(ISERROR(MATCH(L$1,INDIRECT("Table!A"&amp;$AM25):INDIRECT("Table!" &amp; $AP$91 &amp; $AM25),0)),"",INDIRECT(CONCATENATE("Table!",ADDRESS($AI25,MATCH(L$1,INDIRECT("Table!A" &amp; $AM25):INDIRECT("Table!" &amp; $AP$91 &amp; $AM25),0)))))</f>
        <v>0.70237337271945011</v>
      </c>
      <c r="M25" s="596">
        <f ca="1">IF(ISERROR(MATCH(M$1,INDIRECT("Table!A"&amp;$AM25):INDIRECT("Table!" &amp; $AP$91 &amp; $AM25),0)),"",INDIRECT(CONCATENATE("Table!",ADDRESS($AI25,MATCH(M$1,INDIRECT("Table!A" &amp; $AM25):INDIRECT("Table!" &amp; $AP$91 &amp; $AM25),0)))))</f>
        <v>0.4851822110314935</v>
      </c>
      <c r="N25" s="596">
        <f ca="1">IF(ISERROR(MATCH(N$1,INDIRECT("Table!A"&amp;$AM25):INDIRECT("Table!" &amp; $AP$91 &amp; $AM25),0)),"",INDIRECT(CONCATENATE("Table!",ADDRESS($AI25,MATCH(N$1,INDIRECT("Table!A" &amp; $AM25):INDIRECT("Table!" &amp; $AP$91 &amp; $AM25),0)))))</f>
        <v>0.70684547464558733</v>
      </c>
      <c r="O25" s="596">
        <f ca="1">IF(ISERROR(MATCH(O$1,INDIRECT("Table!A"&amp;$AM25):INDIRECT("Table!" &amp; $AP$91 &amp; $AM25),0)),"",INDIRECT(CONCATENATE("Table!",ADDRESS($AI25,MATCH(O$1,INDIRECT("Table!A" &amp; $AM25):INDIRECT("Table!" &amp; $AP$91 &amp; $AM25),0)))))</f>
        <v>0.82342219473118483</v>
      </c>
      <c r="P25" s="596">
        <f ca="1">IF(ISERROR(MATCH(P$1,INDIRECT("Table!A"&amp;$AM25):INDIRECT("Table!" &amp; $AP$91 &amp; $AM25),0)),"",INDIRECT(CONCATENATE("Table!",ADDRESS($AI25,MATCH(P$1,INDIRECT("Table!A" &amp; $AM25):INDIRECT("Table!" &amp; $AP$91 &amp; $AM25),0)))))</f>
        <v>0.31427115998786109</v>
      </c>
      <c r="Q25" s="596">
        <f ca="1">IF(ISERROR(MATCH(Q$1,INDIRECT("Table!A"&amp;$AM25):INDIRECT("Table!" &amp; $AP$91 &amp; $AM25),0)),"",INDIRECT(CONCATENATE("Table!",ADDRESS($AI25,MATCH(Q$1,INDIRECT("Table!A" &amp; $AM25):INDIRECT("Table!" &amp; $AP$91 &amp; $AM25),0)))))</f>
        <v>0.6999684789858166</v>
      </c>
      <c r="R25" s="596">
        <f ca="1">IF(ISERROR(MATCH(R$1,INDIRECT("Table!A"&amp;$AM25):INDIRECT("Table!" &amp; $AP$91 &amp; $AM25),0)),"",INDIRECT(CONCATENATE("Table!",ADDRESS($AI25,MATCH(R$1,INDIRECT("Table!A" &amp; $AM25):INDIRECT("Table!" &amp; $AP$91 &amp; $AM25),0)))))</f>
        <v>0.66658406055307717</v>
      </c>
      <c r="S25" s="596" t="str">
        <f ca="1">IF(ISERROR(MATCH(S$1,INDIRECT("Table!A"&amp;$AM25):INDIRECT("Table!" &amp; $AP$91 &amp; $AM25),0)),"",INDIRECT(CONCATENATE("Table!",ADDRESS($AI25,MATCH(S$1,INDIRECT("Table!A" &amp; $AM25):INDIRECT("Table!" &amp; $AP$91 &amp; $AM25),0)))))</f>
        <v/>
      </c>
      <c r="T25" s="596">
        <f ca="1">IF(ISERROR(MATCH(T$1,INDIRECT("Table!A"&amp;$AM25):INDIRECT("Table!" &amp; $AP$65 &amp; $AM25),0)),"",INDIRECT(CONCATENATE("Table!",ADDRESS($AI25,MATCH(T$1,INDIRECT("Table!A" &amp; $AM25):INDIRECT("Table!" &amp; $AP$65 &amp; $AM25),0)))))</f>
        <v>0.30904942506157357</v>
      </c>
      <c r="U25" s="596">
        <f ca="1">IF(ISERROR(MATCH(U$1,INDIRECT("Table!A"&amp;$AM25):INDIRECT("Table!" &amp; $AP$65 &amp; $AM25),0)),"",INDIRECT(CONCATENATE("Table!",ADDRESS($AI25,MATCH(U$1,INDIRECT("Table!A" &amp; $AM25):INDIRECT("Table!" &amp; $AP$65 &amp; $AM25),0)))))</f>
        <v>0.14582104083799347</v>
      </c>
      <c r="V25" s="596">
        <f ca="1">IF(ISERROR(MATCH(V$1,INDIRECT("Table!A"&amp;$AM25):INDIRECT("Table!" &amp; $AP$65 &amp; $AM25),0)),"",INDIRECT(CONCATENATE("Table!",ADDRESS($AI25,MATCH(V$1,INDIRECT("Table!A" &amp; $AM25):INDIRECT("Table!" &amp; $AP$65 &amp; $AM25),0)))))</f>
        <v>0.14226777058327944</v>
      </c>
      <c r="W25" s="596">
        <f ca="1">IF(ISERROR(MATCH(W$1,INDIRECT("Table!A"&amp;$AM25):INDIRECT("Table!" &amp; $AP$65 &amp; $AM25),0)),"",INDIRECT(CONCATENATE("Table!",ADDRESS($AI25,MATCH(W$1,INDIRECT("Table!A" &amp; $AM25):INDIRECT("Table!" &amp; $AP$65 &amp; $AM25),0)))))</f>
        <v>0.15439961251119169</v>
      </c>
      <c r="X25" s="596">
        <f ca="1">IF(ISERROR(MATCH(X$1,INDIRECT("Table!A"&amp;$AM25):INDIRECT("Table!" &amp; $AP$65 &amp; $AM25),0)),"",INDIRECT(CONCATENATE("Table!",ADDRESS($AI25,MATCH(X$1,INDIRECT("Table!A" &amp; $AM25):INDIRECT("Table!" &amp; $AP$65 &amp; $AM25),0)))))</f>
        <v>0.15027076824672489</v>
      </c>
      <c r="Y25" s="596">
        <f ca="1">IF(ISERROR(MATCH(Y$1,INDIRECT("Table!A"&amp;$AM25):INDIRECT("Table!" &amp; $AP$65 &amp; $AM25),0)),"",INDIRECT(CONCATENATE("Table!",ADDRESS($AI25,MATCH(Y$1,INDIRECT("Table!A" &amp; $AM25):INDIRECT("Table!" &amp; $AP$65 &amp; $AM25),0)))))</f>
        <v>3.0333719843634569E-5</v>
      </c>
      <c r="Z25" s="596">
        <f ca="1">IF(ISERROR(MATCH(Z$1,INDIRECT("Table!A"&amp;$AM25):INDIRECT("Table!" &amp; $AP$65 &amp; $AM25),0)),"",INDIRECT(CONCATENATE("Table!",ADDRESS($AI25,MATCH(Z$1,INDIRECT("Table!A" &amp; $AM25):INDIRECT("Table!" &amp; $AP$65 &amp; $AM25),0)))))</f>
        <v>2.8640096612592574E-5</v>
      </c>
      <c r="AA25" s="596">
        <f ca="1">IF(ISERROR(MATCH(AA$1,INDIRECT("Table!A"&amp;$AM25):INDIRECT("Table!" &amp; $AP$65 &amp; $AM25),0)),"",INDIRECT(CONCATENATE("Table!",ADDRESS($AI25,MATCH(AA$1,INDIRECT("Table!A" &amp; $AM25):INDIRECT("Table!" &amp; $AP$65 &amp; $AM25),0)))))</f>
        <v>7.1220084747206536E-2</v>
      </c>
      <c r="AB25" s="596">
        <f ca="1">IF(ISERROR(MATCH(AB$1,INDIRECT("Table!A"&amp;$AM25):INDIRECT("Table!" &amp; $AP$65 &amp; $AM25),0)),"",INDIRECT(CONCATENATE("Table!",ADDRESS($AI25,MATCH(AB$1,INDIRECT("Table!A" &amp; $AM25):INDIRECT("Table!" &amp; $AP$65 &amp; $AM25),0)))))</f>
        <v>2.5671761900171424E-5</v>
      </c>
      <c r="AC25" s="596">
        <f ca="1">IF(ISERROR(MATCH(AC$1,INDIRECT("Table!A"&amp;$AM25):INDIRECT("Table!" &amp; $AP$65 &amp; $AM25),0)),"",INDIRECT(CONCATENATE("Table!",ADDRESS($AI25,MATCH(AC$1,INDIRECT("Table!A" &amp; $AM25):INDIRECT("Table!" &amp; $AP$65 &amp; $AM25),0)))))</f>
        <v>2.1868049084398175E-5</v>
      </c>
      <c r="AD25" s="596">
        <f ca="1">IF(ISERROR(MATCH(AD$1,INDIRECT("Table!A"&amp;$AM25):INDIRECT("Table!" &amp; $AP$65 &amp; $AM25),0)),"",INDIRECT(CONCATENATE("Table!",ADDRESS($AI25,MATCH(AD$1,INDIRECT("Table!A" &amp; $AM25):INDIRECT("Table!" &amp; $AP$65 &amp; $AM25),0)))))</f>
        <v>1.3022646373117117E-3</v>
      </c>
      <c r="AE25" s="596">
        <f ca="1">IF(ISERROR(MATCH(AE$1,INDIRECT("Table!A"&amp;$AM25):INDIRECT("Table!" &amp; $AP$65 &amp; $AM25),0)),"",INDIRECT(CONCATENATE("Table!",ADDRESS($AI25,MATCH(AE$1,INDIRECT("Table!A" &amp; $AM25):INDIRECT("Table!" &amp; $AP$65 &amp; $AM25),0)))))</f>
        <v>3.6966825251401937E-3</v>
      </c>
      <c r="AF25" s="596">
        <f ca="1">IF(ISERROR(MATCH(AF$1,INDIRECT("Table!A"&amp;$AM25):INDIRECT("Table!" &amp; $AP$65 &amp; $AM25),0)),"",INDIRECT(CONCATENATE("Table!",ADDRESS($AI25,MATCH(AF$1,INDIRECT("Table!A" &amp; $AM25):INDIRECT("Table!" &amp; $AP$65 &amp; $AM25),0)))))</f>
        <v>3.6966825251401937E-3</v>
      </c>
      <c r="AG25" s="596">
        <f ca="1">IF(ISERROR(MATCH(AG$1,INDIRECT("Table!A"&amp;$AM25):INDIRECT("Table!" &amp; $AP$65 &amp; $AM25),0)),"",INDIRECT(CONCATENATE("Table!",ADDRESS($AI25,MATCH(AG$1,INDIRECT("Table!A" &amp; $AM25):INDIRECT("Table!" &amp; $AP$65 &amp; $AM25),0)))))</f>
        <v>0</v>
      </c>
      <c r="AH25" s="596">
        <f ca="1">IF(ISERROR(MATCH(AH$1,INDIRECT("Table!A"&amp;$AM25):INDIRECT("Table!" &amp; $AP$65 &amp; $AM25),0)),"",INDIRECT(CONCATENATE("Table!",ADDRESS($AI25,MATCH(AH$1,INDIRECT("Table!A" &amp; $AM25):INDIRECT("Table!" &amp; $AP$65 &amp; $AM25),0)))))</f>
        <v>0</v>
      </c>
      <c r="AI25" s="595">
        <f>MATCH($A25,Table!$A:$A,0)+$AK$2-1</f>
        <v>328</v>
      </c>
      <c r="AJ25" s="958"/>
      <c r="AK25" s="958"/>
      <c r="AL25" s="958"/>
      <c r="AM25" s="595">
        <f>MATCH($A25,Table!$A:$A,0)+$AO$2-1</f>
        <v>325</v>
      </c>
      <c r="AN25" s="958"/>
      <c r="AP25" s="947" t="s">
        <v>302</v>
      </c>
    </row>
    <row r="26" spans="1:42" s="743" customFormat="1" ht="15.75" customHeight="1" x14ac:dyDescent="0.25">
      <c r="A26" s="592">
        <v>41815</v>
      </c>
      <c r="B26" s="596">
        <f ca="1">IF(ISERROR(MATCH(B$1,INDIRECT("Table!A"&amp;$AM26):INDIRECT("Table!" &amp; $AP$113 &amp; $AM26),0)),"",INDIRECT(CONCATENATE("Table!",ADDRESS($AI26,MATCH(B$1,INDIRECT("Table!A" &amp; $AM26):INDIRECT("Table!" &amp; $AP$112 &amp; $AM26),0)))))</f>
        <v>0.41327078327035133</v>
      </c>
      <c r="C26" s="596">
        <f ca="1">IF(ISERROR(MATCH(C$1,INDIRECT("Table!A"&amp;$AM26):INDIRECT("Table!" &amp; $AP$112 &amp; $AM26),0)),"",INDIRECT(CONCATENATE("Table!",ADDRESS($AI26,MATCH(C$1,INDIRECT("Table!A" &amp; $AM26):INDIRECT("Table!" &amp; $AP$112 &amp; $AM26),0)))))</f>
        <v>0.55710030847075431</v>
      </c>
      <c r="D26" s="596">
        <f ca="1">IF(ISERROR(MATCH(D$1,INDIRECT("Table!A"&amp;$AM26):INDIRECT("Table!" &amp; $AP$112 &amp; $AM26),0)),"",INDIRECT(CONCATENATE("Table!",ADDRESS($AI26,MATCH(D$1,INDIRECT("Table!A" &amp; $AM26):INDIRECT("Table!" &amp; $AP$112 &amp; $AM26),0)))))</f>
        <v>0.56181141361722653</v>
      </c>
      <c r="E26" s="596">
        <f ca="1">IF(ISERROR(MATCH(E$1,INDIRECT("Table!A"&amp;$AM26):INDIRECT("Table!" &amp; $AP$112 &amp; $AM26),0)),"",INDIRECT(CONCATENATE("Table!",ADDRESS($AI26,MATCH(E$1,INDIRECT("Table!A" &amp; $AM26):INDIRECT("Table!" &amp; $AP$112 &amp; $AM26),0)))))</f>
        <v>0.75977753699474948</v>
      </c>
      <c r="F26" s="596">
        <f ca="1">IF(ISERROR(MATCH(F$1,INDIRECT("Table!A"&amp;$AM26):INDIRECT("Table!" &amp; $AP$112 &amp; $AM26),0)),"",INDIRECT(CONCATENATE("Table!",ADDRESS($AI26,MATCH(F$1,INDIRECT("Table!A" &amp; $AM26):INDIRECT("Table!" &amp; $AP$112 &amp; $AM26),0)))))</f>
        <v>0.69977444067138139</v>
      </c>
      <c r="G26" s="596">
        <f ca="1">IF(ISERROR(MATCH(G$1,INDIRECT("Table!A"&amp;$AM26):INDIRECT("Table!" &amp; $AP$112 &amp; $AM26),0)),"",INDIRECT(CONCATENATE("Table!",ADDRESS($AI26,MATCH(G$1,INDIRECT("Table!A" &amp; $AM26):INDIRECT("Table!" &amp; $AP$112 &amp; $AM26),0)))))</f>
        <v>0.55547733661955567</v>
      </c>
      <c r="H26" s="596">
        <f ca="1">IF(ISERROR(MATCH(H$1,INDIRECT("Table!A"&amp;$AM26):INDIRECT("Table!" &amp; $AP$112 &amp; $AM26),0)),"",INDIRECT(CONCATENATE("Table!",ADDRESS($AI26,MATCH(H$1,INDIRECT("Table!A" &amp; $AM26):INDIRECT("Table!" &amp; $AP$112 &amp; $AM26),0)))))</f>
        <v>0.71175603501661577</v>
      </c>
      <c r="I26" s="596">
        <f ca="1">IF(ISERROR(MATCH(I$1,INDIRECT("Table!A"&amp;$AM26):INDIRECT("Table!" &amp; $AP$91 &amp; $AM26),0)),"",INDIRECT(CONCATENATE("Table!",ADDRESS($AI26,MATCH(I$1,INDIRECT("Table!A" &amp; $AM26):INDIRECT("Table!" &amp; $AP$91 &amp; $AM26),0)))))</f>
        <v>0.30330025650597914</v>
      </c>
      <c r="J26" s="596">
        <f ca="1">IF(ISERROR(MATCH(J$1,INDIRECT("Table!A"&amp;$AM26):INDIRECT("Table!" &amp; $AP$91 &amp; $AM26),0)),"",INDIRECT(CONCATENATE("Table!",ADDRESS($AI26,MATCH(J$1,INDIRECT("Table!A" &amp; $AM26):INDIRECT("Table!" &amp; $AP$91 &amp; $AM26),0)))))</f>
        <v>0.67940851094024146</v>
      </c>
      <c r="K26" s="596">
        <f ca="1">IF(ISERROR(MATCH(K$1,INDIRECT("Table!A"&amp;$AM26):INDIRECT("Table!" &amp; $AP$91 &amp; $AM26),0)),"",INDIRECT(CONCATENATE("Table!",ADDRESS($AI26,MATCH(K$1,INDIRECT("Table!A" &amp; $AM26):INDIRECT("Table!" &amp; $AP$91 &amp; $AM26),0)))))</f>
        <v>0.34418613369321893</v>
      </c>
      <c r="L26" s="596">
        <f ca="1">IF(ISERROR(MATCH(L$1,INDIRECT("Table!A"&amp;$AM26):INDIRECT("Table!" &amp; $AP$91 &amp; $AM26),0)),"",INDIRECT(CONCATENATE("Table!",ADDRESS($AI26,MATCH(L$1,INDIRECT("Table!A" &amp; $AM26):INDIRECT("Table!" &amp; $AP$91 &amp; $AM26),0)))))</f>
        <v>0.7032255758328666</v>
      </c>
      <c r="M26" s="596">
        <f ca="1">IF(ISERROR(MATCH(M$1,INDIRECT("Table!A"&amp;$AM26):INDIRECT("Table!" &amp; $AP$91 &amp; $AM26),0)),"",INDIRECT(CONCATENATE("Table!",ADDRESS($AI26,MATCH(M$1,INDIRECT("Table!A" &amp; $AM26):INDIRECT("Table!" &amp; $AP$91 &amp; $AM26),0)))))</f>
        <v>0.48427855512723178</v>
      </c>
      <c r="N26" s="596">
        <f ca="1">IF(ISERROR(MATCH(N$1,INDIRECT("Table!A"&amp;$AM26):INDIRECT("Table!" &amp; $AP$91 &amp; $AM26),0)),"",INDIRECT(CONCATENATE("Table!",ADDRESS($AI26,MATCH(N$1,INDIRECT("Table!A" &amp; $AM26):INDIRECT("Table!" &amp; $AP$91 &amp; $AM26),0)))))</f>
        <v>0.70495840498658457</v>
      </c>
      <c r="O26" s="596">
        <f ca="1">IF(ISERROR(MATCH(O$1,INDIRECT("Table!A"&amp;$AM26):INDIRECT("Table!" &amp; $AP$91 &amp; $AM26),0)),"",INDIRECT(CONCATENATE("Table!",ADDRESS($AI26,MATCH(O$1,INDIRECT("Table!A" &amp; $AM26):INDIRECT("Table!" &amp; $AP$91 &amp; $AM26),0)))))</f>
        <v>0.82018930186607486</v>
      </c>
      <c r="P26" s="596">
        <f ca="1">IF(ISERROR(MATCH(P$1,INDIRECT("Table!A"&amp;$AM26):INDIRECT("Table!" &amp; $AP$91 &amp; $AM26),0)),"",INDIRECT(CONCATENATE("Table!",ADDRESS($AI26,MATCH(P$1,INDIRECT("Table!A" &amp; $AM26):INDIRECT("Table!" &amp; $AP$91 &amp; $AM26),0)))))</f>
        <v>0.31363290413637962</v>
      </c>
      <c r="Q26" s="596">
        <f ca="1">IF(ISERROR(MATCH(Q$1,INDIRECT("Table!A"&amp;$AM26):INDIRECT("Table!" &amp; $AP$91 &amp; $AM26),0)),"",INDIRECT(CONCATENATE("Table!",ADDRESS($AI26,MATCH(Q$1,INDIRECT("Table!A" &amp; $AM26):INDIRECT("Table!" &amp; $AP$91 &amp; $AM26),0)))))</f>
        <v>0.695391147604977</v>
      </c>
      <c r="R26" s="596">
        <f ca="1">IF(ISERROR(MATCH(R$1,INDIRECT("Table!A"&amp;$AM26):INDIRECT("Table!" &amp; $AP$91 &amp; $AM26),0)),"",INDIRECT(CONCATENATE("Table!",ADDRESS($AI26,MATCH(R$1,INDIRECT("Table!A" &amp; $AM26):INDIRECT("Table!" &amp; $AP$91 &amp; $AM26),0)))))</f>
        <v>0.67203323942897353</v>
      </c>
      <c r="S26" s="596" t="str">
        <f ca="1">IF(ISERROR(MATCH(S$1,INDIRECT("Table!A"&amp;$AM26):INDIRECT("Table!" &amp; $AP$91 &amp; $AM26),0)),"",INDIRECT(CONCATENATE("Table!",ADDRESS($AI26,MATCH(S$1,INDIRECT("Table!A" &amp; $AM26):INDIRECT("Table!" &amp; $AP$91 &amp; $AM26),0)))))</f>
        <v/>
      </c>
      <c r="T26" s="596">
        <f ca="1">IF(ISERROR(MATCH(T$1,INDIRECT("Table!A"&amp;$AM26):INDIRECT("Table!" &amp; $AP$65 &amp; $AM26),0)),"",INDIRECT(CONCATENATE("Table!",ADDRESS($AI26,MATCH(T$1,INDIRECT("Table!A" &amp; $AM26):INDIRECT("Table!" &amp; $AP$65 &amp; $AM26),0)))))</f>
        <v>0.30904942506157357</v>
      </c>
      <c r="U26" s="596">
        <f ca="1">IF(ISERROR(MATCH(U$1,INDIRECT("Table!A"&amp;$AM26):INDIRECT("Table!" &amp; $AP$65 &amp; $AM26),0)),"",INDIRECT(CONCATENATE("Table!",ADDRESS($AI26,MATCH(U$1,INDIRECT("Table!A" &amp; $AM26):INDIRECT("Table!" &amp; $AP$65 &amp; $AM26),0)))))</f>
        <v>0.14541887442329238</v>
      </c>
      <c r="V26" s="596">
        <f ca="1">IF(ISERROR(MATCH(V$1,INDIRECT("Table!A"&amp;$AM26):INDIRECT("Table!" &amp; $AP$65 &amp; $AM26),0)),"",INDIRECT(CONCATENATE("Table!",ADDRESS($AI26,MATCH(V$1,INDIRECT("Table!A" &amp; $AM26):INDIRECT("Table!" &amp; $AP$65 &amp; $AM26),0)))))</f>
        <v>0.14187492392474338</v>
      </c>
      <c r="W26" s="596">
        <f ca="1">IF(ISERROR(MATCH(W$1,INDIRECT("Table!A"&amp;$AM26):INDIRECT("Table!" &amp; $AP$65 &amp; $AM26),0)),"",INDIRECT(CONCATENATE("Table!",ADDRESS($AI26,MATCH(W$1,INDIRECT("Table!A" &amp; $AM26):INDIRECT("Table!" &amp; $AP$65 &amp; $AM26),0)))))</f>
        <v>0.15130753010132442</v>
      </c>
      <c r="X26" s="596">
        <f ca="1">IF(ISERROR(MATCH(X$1,INDIRECT("Table!A"&amp;$AM26):INDIRECT("Table!" &amp; $AP$65 &amp; $AM26),0)),"",INDIRECT(CONCATENATE("Table!",ADDRESS($AI26,MATCH(X$1,INDIRECT("Table!A" &amp; $AM26):INDIRECT("Table!" &amp; $AP$65 &amp; $AM26),0)))))</f>
        <v>0.14758432718446371</v>
      </c>
      <c r="Y26" s="596">
        <f ca="1">IF(ISERROR(MATCH(Y$1,INDIRECT("Table!A"&amp;$AM26):INDIRECT("Table!" &amp; $AP$65 &amp; $AM26),0)),"",INDIRECT(CONCATENATE("Table!",ADDRESS($AI26,MATCH(Y$1,INDIRECT("Table!A" &amp; $AM26):INDIRECT("Table!" &amp; $AP$65 &amp; $AM26),0)))))</f>
        <v>3.0333719843634569E-5</v>
      </c>
      <c r="Z26" s="596">
        <f ca="1">IF(ISERROR(MATCH(Z$1,INDIRECT("Table!A"&amp;$AM26):INDIRECT("Table!" &amp; $AP$65 &amp; $AM26),0)),"",INDIRECT(CONCATENATE("Table!",ADDRESS($AI26,MATCH(Z$1,INDIRECT("Table!A" &amp; $AM26):INDIRECT("Table!" &amp; $AP$65 &amp; $AM26),0)))))</f>
        <v>2.8640096612592574E-5</v>
      </c>
      <c r="AA26" s="596">
        <f ca="1">IF(ISERROR(MATCH(AA$1,INDIRECT("Table!A"&amp;$AM26):INDIRECT("Table!" &amp; $AP$65 &amp; $AM26),0)),"",INDIRECT(CONCATENATE("Table!",ADDRESS($AI26,MATCH(AA$1,INDIRECT("Table!A" &amp; $AM26):INDIRECT("Table!" &amp; $AP$65 &amp; $AM26),0)))))</f>
        <v>7.1185402159812491E-2</v>
      </c>
      <c r="AB26" s="596">
        <f ca="1">IF(ISERROR(MATCH(AB$1,INDIRECT("Table!A"&amp;$AM26):INDIRECT("Table!" &amp; $AP$65 &amp; $AM26),0)),"",INDIRECT(CONCATENATE("Table!",ADDRESS($AI26,MATCH(AB$1,INDIRECT("Table!A" &amp; $AM26):INDIRECT("Table!" &amp; $AP$65 &amp; $AM26),0)))))</f>
        <v>2.5671761900171424E-5</v>
      </c>
      <c r="AC26" s="596" t="str">
        <f ca="1">IF(ISERROR(MATCH(AC$1,INDIRECT("Table!A"&amp;$AM26):INDIRECT("Table!" &amp; $AP$65 &amp; $AM26),0)),"",INDIRECT(CONCATENATE("Table!",ADDRESS($AI26,MATCH(AC$1,INDIRECT("Table!A" &amp; $AM26):INDIRECT("Table!" &amp; $AP$65 &amp; $AM26),0)))))</f>
        <v/>
      </c>
      <c r="AD26" s="596" t="str">
        <f ca="1">IF(ISERROR(MATCH(AD$1,INDIRECT("Table!A"&amp;$AM26):INDIRECT("Table!" &amp; $AP$65 &amp; $AM26),0)),"",INDIRECT(CONCATENATE("Table!",ADDRESS($AI26,MATCH(AD$1,INDIRECT("Table!A" &amp; $AM26):INDIRECT("Table!" &amp; $AP$65 &amp; $AM26),0)))))</f>
        <v/>
      </c>
      <c r="AE26" s="596" t="str">
        <f ca="1">IF(ISERROR(MATCH(AE$1,INDIRECT("Table!A"&amp;$AM26):INDIRECT("Table!" &amp; $AP$65 &amp; $AM26),0)),"",INDIRECT(CONCATENATE("Table!",ADDRESS($AI26,MATCH(AE$1,INDIRECT("Table!A" &amp; $AM26):INDIRECT("Table!" &amp; $AP$65 &amp; $AM26),0)))))</f>
        <v/>
      </c>
      <c r="AF26" s="596" t="str">
        <f ca="1">IF(ISERROR(MATCH(AF$1,INDIRECT("Table!A"&amp;$AM26):INDIRECT("Table!" &amp; $AP$65 &amp; $AM26),0)),"",INDIRECT(CONCATENATE("Table!",ADDRESS($AI26,MATCH(AF$1,INDIRECT("Table!A" &amp; $AM26):INDIRECT("Table!" &amp; $AP$65 &amp; $AM26),0)))))</f>
        <v/>
      </c>
      <c r="AG26" s="596" t="str">
        <f ca="1">IF(ISERROR(MATCH(AG$1,INDIRECT("Table!A"&amp;$AM26):INDIRECT("Table!" &amp; $AP$65 &amp; $AM26),0)),"",INDIRECT(CONCATENATE("Table!",ADDRESS($AI26,MATCH(AG$1,INDIRECT("Table!A" &amp; $AM26):INDIRECT("Table!" &amp; $AP$65 &amp; $AM26),0)))))</f>
        <v/>
      </c>
      <c r="AH26" s="596" t="str">
        <f ca="1">IF(ISERROR(MATCH(AH$1,INDIRECT("Table!A"&amp;$AM26):INDIRECT("Table!" &amp; $AP$65 &amp; $AM26),0)),"",INDIRECT(CONCATENATE("Table!",ADDRESS($AI26,MATCH(AH$1,INDIRECT("Table!A" &amp; $AM26):INDIRECT("Table!" &amp; $AP$65 &amp; $AM26),0)))))</f>
        <v/>
      </c>
      <c r="AI26" s="595">
        <f>MATCH($A26,Table!$A:$A,0)+$AK$2-1</f>
        <v>342</v>
      </c>
      <c r="AJ26" s="911"/>
      <c r="AK26" s="911"/>
      <c r="AL26" s="911"/>
      <c r="AM26" s="595">
        <f>MATCH($A26,Table!$A:$A,0)+$AO$2-1</f>
        <v>339</v>
      </c>
      <c r="AN26" s="911"/>
      <c r="AP26" s="947" t="s">
        <v>302</v>
      </c>
    </row>
    <row r="27" spans="1:42" s="743" customFormat="1" ht="15.75" customHeight="1" x14ac:dyDescent="0.25">
      <c r="A27" s="592">
        <v>41808</v>
      </c>
      <c r="B27" s="596">
        <f ca="1">IF(ISERROR(MATCH(B$1,INDIRECT("Table!A"&amp;$AM27):INDIRECT("Table!" &amp; $AP$113 &amp; $AM27),0)),"",INDIRECT(CONCATENATE("Table!",ADDRESS($AI27,MATCH(B$1,INDIRECT("Table!A" &amp; $AM27):INDIRECT("Table!" &amp; $AP$112 &amp; $AM27),0)))))</f>
        <v>0.41078536619704786</v>
      </c>
      <c r="C27" s="596">
        <f ca="1">IF(ISERROR(MATCH(C$1,INDIRECT("Table!A"&amp;$AM27):INDIRECT("Table!" &amp; $AP$112 &amp; $AM27),0)),"",INDIRECT(CONCATENATE("Table!",ADDRESS($AI27,MATCH(C$1,INDIRECT("Table!A" &amp; $AM27):INDIRECT("Table!" &amp; $AP$112 &amp; $AM27),0)))))</f>
        <v>0.55513972868126926</v>
      </c>
      <c r="D27" s="596">
        <f ca="1">IF(ISERROR(MATCH(D$1,INDIRECT("Table!A"&amp;$AM27):INDIRECT("Table!" &amp; $AP$112 &amp; $AM27),0)),"",INDIRECT(CONCATENATE("Table!",ADDRESS($AI27,MATCH(D$1,INDIRECT("Table!A" &amp; $AM27):INDIRECT("Table!" &amp; $AP$112 &amp; $AM27),0)))))</f>
        <v>0.5601345232788123</v>
      </c>
      <c r="E27" s="596">
        <f ca="1">IF(ISERROR(MATCH(E$1,INDIRECT("Table!A"&amp;$AM27):INDIRECT("Table!" &amp; $AP$112 &amp; $AM27),0)),"",INDIRECT(CONCATENATE("Table!",ADDRESS($AI27,MATCH(E$1,INDIRECT("Table!A" &amp; $AM27):INDIRECT("Table!" &amp; $AP$112 &amp; $AM27),0)))))</f>
        <v>0.75893137756952256</v>
      </c>
      <c r="F27" s="596">
        <f ca="1">IF(ISERROR(MATCH(F$1,INDIRECT("Table!A"&amp;$AM27):INDIRECT("Table!" &amp; $AP$112 &amp; $AM27),0)),"",INDIRECT(CONCATENATE("Table!",ADDRESS($AI27,MATCH(F$1,INDIRECT("Table!A" &amp; $AM27):INDIRECT("Table!" &amp; $AP$112 &amp; $AM27),0)))))</f>
        <v>0.69667790139938479</v>
      </c>
      <c r="G27" s="596">
        <f ca="1">IF(ISERROR(MATCH(G$1,INDIRECT("Table!A"&amp;$AM27):INDIRECT("Table!" &amp; $AP$112 &amp; $AM27),0)),"",INDIRECT(CONCATENATE("Table!",ADDRESS($AI27,MATCH(G$1,INDIRECT("Table!A" &amp; $AM27):INDIRECT("Table!" &amp; $AP$112 &amp; $AM27),0)))))</f>
        <v>0.55158059588452013</v>
      </c>
      <c r="H27" s="596">
        <f ca="1">IF(ISERROR(MATCH(H$1,INDIRECT("Table!A"&amp;$AM27):INDIRECT("Table!" &amp; $AP$112 &amp; $AM27),0)),"",INDIRECT(CONCATENATE("Table!",ADDRESS($AI27,MATCH(H$1,INDIRECT("Table!A" &amp; $AM27):INDIRECT("Table!" &amp; $AP$112 &amp; $AM27),0)))))</f>
        <v>0.70945628883183942</v>
      </c>
      <c r="I27" s="596">
        <f ca="1">IF(ISERROR(MATCH(I$1,INDIRECT("Table!A"&amp;$AM27):INDIRECT("Table!" &amp; $AP$91 &amp; $AM27),0)),"",INDIRECT(CONCATENATE("Table!",ADDRESS($AI27,MATCH(I$1,INDIRECT("Table!A" &amp; $AM27):INDIRECT("Table!" &amp; $AP$91 &amp; $AM27),0)))))</f>
        <v>0.30148303809053578</v>
      </c>
      <c r="J27" s="596">
        <f ca="1">IF(ISERROR(MATCH(J$1,INDIRECT("Table!A"&amp;$AM27):INDIRECT("Table!" &amp; $AP$91 &amp; $AM27),0)),"",INDIRECT(CONCATENATE("Table!",ADDRESS($AI27,MATCH(J$1,INDIRECT("Table!A" &amp; $AM27):INDIRECT("Table!" &amp; $AP$91 &amp; $AM27),0)))))</f>
        <v>0.6720120755495923</v>
      </c>
      <c r="K27" s="596">
        <f ca="1">IF(ISERROR(MATCH(K$1,INDIRECT("Table!A"&amp;$AM27):INDIRECT("Table!" &amp; $AP$91 &amp; $AM27),0)),"",INDIRECT(CONCATENATE("Table!",ADDRESS($AI27,MATCH(K$1,INDIRECT("Table!A" &amp; $AM27):INDIRECT("Table!" &amp; $AP$91 &amp; $AM27),0)))))</f>
        <v>0.3234074704825966</v>
      </c>
      <c r="L27" s="596">
        <f ca="1">IF(ISERROR(MATCH(L$1,INDIRECT("Table!A"&amp;$AM27):INDIRECT("Table!" &amp; $AP$91 &amp; $AM27),0)),"",INDIRECT(CONCATENATE("Table!",ADDRESS($AI27,MATCH(L$1,INDIRECT("Table!A" &amp; $AM27):INDIRECT("Table!" &amp; $AP$91 &amp; $AM27),0)))))</f>
        <v>0.70067570122846756</v>
      </c>
      <c r="M27" s="596">
        <f ca="1">IF(ISERROR(MATCH(M$1,INDIRECT("Table!A"&amp;$AM27):INDIRECT("Table!" &amp; $AP$91 &amp; $AM27),0)),"",INDIRECT(CONCATENATE("Table!",ADDRESS($AI27,MATCH(M$1,INDIRECT("Table!A" &amp; $AM27):INDIRECT("Table!" &amp; $AP$91 &amp; $AM27),0)))))</f>
        <v>0.48248721703418762</v>
      </c>
      <c r="N27" s="596">
        <f ca="1">IF(ISERROR(MATCH(N$1,INDIRECT("Table!A"&amp;$AM27):INDIRECT("Table!" &amp; $AP$91 &amp; $AM27),0)),"",INDIRECT(CONCATENATE("Table!",ADDRESS($AI27,MATCH(N$1,INDIRECT("Table!A" &amp; $AM27):INDIRECT("Table!" &amp; $AP$91 &amp; $AM27),0)))))</f>
        <v>0.70197666632947486</v>
      </c>
      <c r="O27" s="596">
        <f ca="1">IF(ISERROR(MATCH(O$1,INDIRECT("Table!A"&amp;$AM27):INDIRECT("Table!" &amp; $AP$91 &amp; $AM27),0)),"",INDIRECT(CONCATENATE("Table!",ADDRESS($AI27,MATCH(O$1,INDIRECT("Table!A" &amp; $AM27):INDIRECT("Table!" &amp; $AP$91 &amp; $AM27),0)))))</f>
        <v>0.81713205065432848</v>
      </c>
      <c r="P27" s="596">
        <f ca="1">IF(ISERROR(MATCH(P$1,INDIRECT("Table!A"&amp;$AM27):INDIRECT("Table!" &amp; $AP$91 &amp; $AM27),0)),"",INDIRECT(CONCATENATE("Table!",ADDRESS($AI27,MATCH(P$1,INDIRECT("Table!A" &amp; $AM27):INDIRECT("Table!" &amp; $AP$91 &amp; $AM27),0)))))</f>
        <v>0.31180845580620142</v>
      </c>
      <c r="Q27" s="596">
        <f ca="1">IF(ISERROR(MATCH(Q$1,INDIRECT("Table!A"&amp;$AM27):INDIRECT("Table!" &amp; $AP$91 &amp; $AM27),0)),"",INDIRECT(CONCATENATE("Table!",ADDRESS($AI27,MATCH(Q$1,INDIRECT("Table!A" &amp; $AM27):INDIRECT("Table!" &amp; $AP$91 &amp; $AM27),0)))))</f>
        <v>0.68739660428915417</v>
      </c>
      <c r="R27" s="596">
        <f ca="1">IF(ISERROR(MATCH(R$1,INDIRECT("Table!A"&amp;$AM27):INDIRECT("Table!" &amp; $AP$91 &amp; $AM27),0)),"",INDIRECT(CONCATENATE("Table!",ADDRESS($AI27,MATCH(R$1,INDIRECT("Table!A" &amp; $AM27):INDIRECT("Table!" &amp; $AP$91 &amp; $AM27),0)))))</f>
        <v>0.66487156171416495</v>
      </c>
      <c r="S27" s="596" t="str">
        <f ca="1">IF(ISERROR(MATCH(S$1,INDIRECT("Table!A"&amp;$AM27):INDIRECT("Table!" &amp; $AP$91 &amp; $AM27),0)),"",INDIRECT(CONCATENATE("Table!",ADDRESS($AI27,MATCH(S$1,INDIRECT("Table!A" &amp; $AM27):INDIRECT("Table!" &amp; $AP$91 &amp; $AM27),0)))))</f>
        <v/>
      </c>
      <c r="T27" s="596">
        <f ca="1">IF(ISERROR(MATCH(T$1,INDIRECT("Table!A"&amp;$AM27):INDIRECT("Table!" &amp; $AP$65 &amp; $AM27),0)),"",INDIRECT(CONCATENATE("Table!",ADDRESS($AI27,MATCH(T$1,INDIRECT("Table!A" &amp; $AM27):INDIRECT("Table!" &amp; $AP$65 &amp; $AM27),0)))))</f>
        <v>0.30904942506157357</v>
      </c>
      <c r="U27" s="596">
        <f ca="1">IF(ISERROR(MATCH(U$1,INDIRECT("Table!A"&amp;$AM27):INDIRECT("Table!" &amp; $AP$65 &amp; $AM27),0)),"",INDIRECT(CONCATENATE("Table!",ADDRESS($AI27,MATCH(U$1,INDIRECT("Table!A" &amp; $AM27):INDIRECT("Table!" &amp; $AP$65 &amp; $AM27),0)))))</f>
        <v>0.14429065574652752</v>
      </c>
      <c r="V27" s="596">
        <f ca="1">IF(ISERROR(MATCH(V$1,INDIRECT("Table!A"&amp;$AM27):INDIRECT("Table!" &amp; $AP$65 &amp; $AM27),0)),"",INDIRECT(CONCATENATE("Table!",ADDRESS($AI27,MATCH(V$1,INDIRECT("Table!A" &amp; $AM27):INDIRECT("Table!" &amp; $AP$65 &amp; $AM27),0)))))</f>
        <v>0.14077514421481982</v>
      </c>
      <c r="W27" s="596">
        <f ca="1">IF(ISERROR(MATCH(W$1,INDIRECT("Table!A"&amp;$AM27):INDIRECT("Table!" &amp; $AP$65 &amp; $AM27),0)),"",INDIRECT(CONCATENATE("Table!",ADDRESS($AI27,MATCH(W$1,INDIRECT("Table!A" &amp; $AM27):INDIRECT("Table!" &amp; $AP$65 &amp; $AM27),0)))))</f>
        <v>0.14800800418801036</v>
      </c>
      <c r="X27" s="596">
        <f ca="1">IF(ISERROR(MATCH(X$1,INDIRECT("Table!A"&amp;$AM27):INDIRECT("Table!" &amp; $AP$65 &amp; $AM27),0)),"",INDIRECT(CONCATENATE("Table!",ADDRESS($AI27,MATCH(X$1,INDIRECT("Table!A" &amp; $AM27):INDIRECT("Table!" &amp; $AP$65 &amp; $AM27),0)))))</f>
        <v>0.14432938020444255</v>
      </c>
      <c r="Y27" s="596">
        <f ca="1">IF(ISERROR(MATCH(Y$1,INDIRECT("Table!A"&amp;$AM27):INDIRECT("Table!" &amp; $AP$65 &amp; $AM27),0)),"",INDIRECT(CONCATENATE("Table!",ADDRESS($AI27,MATCH(Y$1,INDIRECT("Table!A" &amp; $AM27):INDIRECT("Table!" &amp; $AP$65 &amp; $AM27),0)))))</f>
        <v>3.0333719843634569E-5</v>
      </c>
      <c r="Z27" s="596">
        <f ca="1">IF(ISERROR(MATCH(Z$1,INDIRECT("Table!A"&amp;$AM27):INDIRECT("Table!" &amp; $AP$65 &amp; $AM27),0)),"",INDIRECT(CONCATENATE("Table!",ADDRESS($AI27,MATCH(Z$1,INDIRECT("Table!A" &amp; $AM27):INDIRECT("Table!" &amp; $AP$65 &amp; $AM27),0)))))</f>
        <v>2.8640096612592574E-5</v>
      </c>
      <c r="AA27" s="596">
        <f ca="1">IF(ISERROR(MATCH(AA$1,INDIRECT("Table!A"&amp;$AM27):INDIRECT("Table!" &amp; $AP$65 &amp; $AM27),0)),"",INDIRECT(CONCATENATE("Table!",ADDRESS($AI27,MATCH(AA$1,INDIRECT("Table!A" &amp; $AM27):INDIRECT("Table!" &amp; $AP$65 &amp; $AM27),0)))))</f>
        <v>6.9917942692757376E-2</v>
      </c>
      <c r="AB27" s="596">
        <f ca="1">IF(ISERROR(MATCH(AB$1,INDIRECT("Table!A"&amp;$AM27):INDIRECT("Table!" &amp; $AP$65 &amp; $AM27),0)),"",INDIRECT(CONCATENATE("Table!",ADDRESS($AI27,MATCH(AB$1,INDIRECT("Table!A" &amp; $AM27):INDIRECT("Table!" &amp; $AP$65 &amp; $AM27),0)))))</f>
        <v>2.5671761900171424E-5</v>
      </c>
      <c r="AC27" s="596" t="str">
        <f ca="1">IF(ISERROR(MATCH(AC$1,INDIRECT("Table!A"&amp;$AM27):INDIRECT("Table!" &amp; $AP$65 &amp; $AM27),0)),"",INDIRECT(CONCATENATE("Table!",ADDRESS($AI27,MATCH(AC$1,INDIRECT("Table!A" &amp; $AM27):INDIRECT("Table!" &amp; $AP$65 &amp; $AM27),0)))))</f>
        <v/>
      </c>
      <c r="AD27" s="596" t="str">
        <f ca="1">IF(ISERROR(MATCH(AD$1,INDIRECT("Table!A"&amp;$AM27):INDIRECT("Table!" &amp; $AP$65 &amp; $AM27),0)),"",INDIRECT(CONCATENATE("Table!",ADDRESS($AI27,MATCH(AD$1,INDIRECT("Table!A" &amp; $AM27):INDIRECT("Table!" &amp; $AP$65 &amp; $AM27),0)))))</f>
        <v/>
      </c>
      <c r="AE27" s="596" t="str">
        <f ca="1">IF(ISERROR(MATCH(AE$1,INDIRECT("Table!A"&amp;$AM27):INDIRECT("Table!" &amp; $AP$65 &amp; $AM27),0)),"",INDIRECT(CONCATENATE("Table!",ADDRESS($AI27,MATCH(AE$1,INDIRECT("Table!A" &amp; $AM27):INDIRECT("Table!" &amp; $AP$65 &amp; $AM27),0)))))</f>
        <v/>
      </c>
      <c r="AF27" s="596" t="str">
        <f ca="1">IF(ISERROR(MATCH(AF$1,INDIRECT("Table!A"&amp;$AM27):INDIRECT("Table!" &amp; $AP$65 &amp; $AM27),0)),"",INDIRECT(CONCATENATE("Table!",ADDRESS($AI27,MATCH(AF$1,INDIRECT("Table!A" &amp; $AM27):INDIRECT("Table!" &amp; $AP$65 &amp; $AM27),0)))))</f>
        <v/>
      </c>
      <c r="AG27" s="596" t="str">
        <f ca="1">IF(ISERROR(MATCH(AG$1,INDIRECT("Table!A"&amp;$AM27):INDIRECT("Table!" &amp; $AP$65 &amp; $AM27),0)),"",INDIRECT(CONCATENATE("Table!",ADDRESS($AI27,MATCH(AG$1,INDIRECT("Table!A" &amp; $AM27):INDIRECT("Table!" &amp; $AP$65 &amp; $AM27),0)))))</f>
        <v/>
      </c>
      <c r="AH27" s="596" t="str">
        <f ca="1">IF(ISERROR(MATCH(AH$1,INDIRECT("Table!A"&amp;$AM27):INDIRECT("Table!" &amp; $AP$65 &amp; $AM27),0)),"",INDIRECT(CONCATENATE("Table!",ADDRESS($AI27,MATCH(AH$1,INDIRECT("Table!A" &amp; $AM27):INDIRECT("Table!" &amp; $AP$65 &amp; $AM27),0)))))</f>
        <v/>
      </c>
      <c r="AI27" s="595">
        <f>MATCH($A27,Table!$A:$A,0)+$AK$2-1</f>
        <v>356</v>
      </c>
      <c r="AJ27" s="908"/>
      <c r="AK27" s="908"/>
      <c r="AL27" s="908"/>
      <c r="AM27" s="595">
        <f>MATCH($A27,Table!$A:$A,0)+$AO$2-1</f>
        <v>353</v>
      </c>
      <c r="AN27" s="908"/>
      <c r="AP27" s="947" t="s">
        <v>302</v>
      </c>
    </row>
    <row r="28" spans="1:42" s="743" customFormat="1" ht="15.75" customHeight="1" x14ac:dyDescent="0.25">
      <c r="A28" s="592">
        <v>41801</v>
      </c>
      <c r="B28" s="596">
        <f ca="1">IF(ISERROR(MATCH(B$1,INDIRECT("Table!A"&amp;$AM28):INDIRECT("Table!" &amp; $AP$113 &amp; $AM28),0)),"",INDIRECT(CONCATENATE("Table!",ADDRESS($AI28,MATCH(B$1,INDIRECT("Table!A" &amp; $AM28):INDIRECT("Table!" &amp; $AP$112 &amp; $AM28),0)))))</f>
        <v>0.41078536619704786</v>
      </c>
      <c r="C28" s="596">
        <f ca="1">IF(ISERROR(MATCH(C$1,INDIRECT("Table!A"&amp;$AM28):INDIRECT("Table!" &amp; $AP$112 &amp; $AM28),0)),"",INDIRECT(CONCATENATE("Table!",ADDRESS($AI28,MATCH(C$1,INDIRECT("Table!A" &amp; $AM28):INDIRECT("Table!" &amp; $AP$112 &amp; $AM28),0)))))</f>
        <v>0.55513972868126926</v>
      </c>
      <c r="D28" s="596">
        <f ca="1">IF(ISERROR(MATCH(D$1,INDIRECT("Table!A"&amp;$AM28):INDIRECT("Table!" &amp; $AP$112 &amp; $AM28),0)),"",INDIRECT(CONCATENATE("Table!",ADDRESS($AI28,MATCH(D$1,INDIRECT("Table!A" &amp; $AM28):INDIRECT("Table!" &amp; $AP$112 &amp; $AM28),0)))))</f>
        <v>0.55985083382774126</v>
      </c>
      <c r="E28" s="596">
        <f ca="1">IF(ISERROR(MATCH(E$1,INDIRECT("Table!A"&amp;$AM28):INDIRECT("Table!" &amp; $AP$112 &amp; $AM28),0)),"",INDIRECT(CONCATENATE("Table!",ADDRESS($AI28,MATCH(E$1,INDIRECT("Table!A" &amp; $AM28):INDIRECT("Table!" &amp; $AP$112 &amp; $AM28),0)))))</f>
        <v>0.81215590432464391</v>
      </c>
      <c r="F28" s="596">
        <f ca="1">IF(ISERROR(MATCH(F$1,INDIRECT("Table!A"&amp;$AM28):INDIRECT("Table!" &amp; $AP$112 &amp; $AM28),0)),"",INDIRECT(CONCATENATE("Table!",ADDRESS($AI28,MATCH(F$1,INDIRECT("Table!A" &amp; $AM28):INDIRECT("Table!" &amp; $AP$112 &amp; $AM28),0)))))</f>
        <v>0.69209130718839895</v>
      </c>
      <c r="G28" s="596">
        <f ca="1">IF(ISERROR(MATCH(G$1,INDIRECT("Table!A"&amp;$AM28):INDIRECT("Table!" &amp; $AP$112 &amp; $AM28),0)),"",INDIRECT(CONCATENATE("Table!",ADDRESS($AI28,MATCH(G$1,INDIRECT("Table!A" &amp; $AM28):INDIRECT("Table!" &amp; $AP$112 &amp; $AM28),0)))))</f>
        <v>0.55006559607707217</v>
      </c>
      <c r="H28" s="596">
        <f ca="1">IF(ISERROR(MATCH(H$1,INDIRECT("Table!A"&amp;$AM28):INDIRECT("Table!" &amp; $AP$112 &amp; $AM28),0)),"",INDIRECT(CONCATENATE("Table!",ADDRESS($AI28,MATCH(H$1,INDIRECT("Table!A" &amp; $AM28):INDIRECT("Table!" &amp; $AP$112 &amp; $AM28),0)))))</f>
        <v>0.70824390683556671</v>
      </c>
      <c r="I28" s="596">
        <f ca="1">IF(ISERROR(MATCH(I$1,INDIRECT("Table!A"&amp;$AM28):INDIRECT("Table!" &amp; $AP$91 &amp; $AM28),0)),"",INDIRECT(CONCATENATE("Table!",ADDRESS($AI28,MATCH(I$1,INDIRECT("Table!A" &amp; $AM28):INDIRECT("Table!" &amp; $AP$91 &amp; $AM28),0)))))</f>
        <v>0.30110550464239694</v>
      </c>
      <c r="J28" s="596">
        <f ca="1">IF(ISERROR(MATCH(J$1,INDIRECT("Table!A"&amp;$AM28):INDIRECT("Table!" &amp; $AP$91 &amp; $AM28),0)),"",INDIRECT(CONCATENATE("Table!",ADDRESS($AI28,MATCH(J$1,INDIRECT("Table!A" &amp; $AM28):INDIRECT("Table!" &amp; $AP$91 &amp; $AM28),0)))))</f>
        <v>0.66655808132934258</v>
      </c>
      <c r="K28" s="596">
        <f ca="1">IF(ISERROR(MATCH(K$1,INDIRECT("Table!A"&amp;$AM28):INDIRECT("Table!" &amp; $AP$91 &amp; $AM28),0)),"",INDIRECT(CONCATENATE("Table!",ADDRESS($AI28,MATCH(K$1,INDIRECT("Table!A" &amp; $AM28):INDIRECT("Table!" &amp; $AP$91 &amp; $AM28),0)))))</f>
        <v>0.31912936602294267</v>
      </c>
      <c r="L28" s="596">
        <f ca="1">IF(ISERROR(MATCH(L$1,INDIRECT("Table!A"&amp;$AM28):INDIRECT("Table!" &amp; $AP$91 &amp; $AM28),0)),"",INDIRECT(CONCATENATE("Table!",ADDRESS($AI28,MATCH(L$1,INDIRECT("Table!A" &amp; $AM28):INDIRECT("Table!" &amp; $AP$91 &amp; $AM28),0)))))</f>
        <v>0.76297977869657985</v>
      </c>
      <c r="M28" s="596">
        <f ca="1">IF(ISERROR(MATCH(M$1,INDIRECT("Table!A"&amp;$AM28):INDIRECT("Table!" &amp; $AP$91 &amp; $AM28),0)),"",INDIRECT(CONCATENATE("Table!",ADDRESS($AI28,MATCH(M$1,INDIRECT("Table!A" &amp; $AM28):INDIRECT("Table!" &amp; $AP$91 &amp; $AM28),0)))))</f>
        <v>0.48167255754473948</v>
      </c>
      <c r="N28" s="596">
        <f ca="1">IF(ISERROR(MATCH(N$1,INDIRECT("Table!A"&amp;$AM28):INDIRECT("Table!" &amp; $AP$91 &amp; $AM28),0)),"",INDIRECT(CONCATENATE("Table!",ADDRESS($AI28,MATCH(N$1,INDIRECT("Table!A" &amp; $AM28):INDIRECT("Table!" &amp; $AP$91 &amp; $AM28),0)))))</f>
        <v>0.69744384552763283</v>
      </c>
      <c r="O28" s="596">
        <f ca="1">IF(ISERROR(MATCH(O$1,INDIRECT("Table!A"&amp;$AM28):INDIRECT("Table!" &amp; $AP$91 &amp; $AM28),0)),"",INDIRECT(CONCATENATE("Table!",ADDRESS($AI28,MATCH(O$1,INDIRECT("Table!A" &amp; $AM28):INDIRECT("Table!" &amp; $AP$91 &amp; $AM28),0)))))</f>
        <v>0.81565521217511727</v>
      </c>
      <c r="P28" s="596">
        <f ca="1">IF(ISERROR(MATCH(P$1,INDIRECT("Table!A"&amp;$AM28):INDIRECT("Table!" &amp; $AP$91 &amp; $AM28),0)),"",INDIRECT(CONCATENATE("Table!",ADDRESS($AI28,MATCH(P$1,INDIRECT("Table!A" &amp; $AM28):INDIRECT("Table!" &amp; $AP$91 &amp; $AM28),0)))))</f>
        <v>0.31143031932060672</v>
      </c>
      <c r="Q28" s="596">
        <f ca="1">IF(ISERROR(MATCH(Q$1,INDIRECT("Table!A"&amp;$AM28):INDIRECT("Table!" &amp; $AP$91 &amp; $AM28),0)),"",INDIRECT(CONCATENATE("Table!",ADDRESS($AI28,MATCH(Q$1,INDIRECT("Table!A" &amp; $AM28):INDIRECT("Table!" &amp; $AP$91 &amp; $AM28),0)))))</f>
        <v>0.65722880185702603</v>
      </c>
      <c r="R28" s="596">
        <f ca="1">IF(ISERROR(MATCH(R$1,INDIRECT("Table!A"&amp;$AM28):INDIRECT("Table!" &amp; $AP$91 &amp; $AM28),0)),"",INDIRECT(CONCATENATE("Table!",ADDRESS($AI28,MATCH(R$1,INDIRECT("Table!A" &amp; $AM28):INDIRECT("Table!" &amp; $AP$91 &amp; $AM28),0)))))</f>
        <v>0.65023682899259938</v>
      </c>
      <c r="S28" s="596" t="str">
        <f ca="1">IF(ISERROR(MATCH(S$1,INDIRECT("Table!A"&amp;$AM28):INDIRECT("Table!" &amp; $AP$91 &amp; $AM28),0)),"",INDIRECT(CONCATENATE("Table!",ADDRESS($AI28,MATCH(S$1,INDIRECT("Table!A" &amp; $AM28):INDIRECT("Table!" &amp; $AP$91 &amp; $AM28),0)))))</f>
        <v/>
      </c>
      <c r="T28" s="596">
        <f ca="1">IF(ISERROR(MATCH(T$1,INDIRECT("Table!A"&amp;$AM28):INDIRECT("Table!" &amp; $AP$65 &amp; $AM28),0)),"",INDIRECT(CONCATENATE("Table!",ADDRESS($AI28,MATCH(T$1,INDIRECT("Table!A" &amp; $AM28):INDIRECT("Table!" &amp; $AP$65 &amp; $AM28),0)))))</f>
        <v>0.30904942506157357</v>
      </c>
      <c r="U28" s="596">
        <f ca="1">IF(ISERROR(MATCH(U$1,INDIRECT("Table!A"&amp;$AM28):INDIRECT("Table!" &amp; $AP$65 &amp; $AM28),0)),"",INDIRECT(CONCATENATE("Table!",ADDRESS($AI28,MATCH(U$1,INDIRECT("Table!A" &amp; $AM28):INDIRECT("Table!" &amp; $AP$65 &amp; $AM28),0)))))</f>
        <v>0.1412093369146693</v>
      </c>
      <c r="V28" s="596">
        <f ca="1">IF(ISERROR(MATCH(V$1,INDIRECT("Table!A"&amp;$AM28):INDIRECT("Table!" &amp; $AP$65 &amp; $AM28),0)),"",INDIRECT(CONCATENATE("Table!",ADDRESS($AI28,MATCH(V$1,INDIRECT("Table!A" &amp; $AM28):INDIRECT("Table!" &amp; $AP$65 &amp; $AM28),0)))))</f>
        <v>0.13776936607532822</v>
      </c>
      <c r="W28" s="596">
        <f ca="1">IF(ISERROR(MATCH(W$1,INDIRECT("Table!A"&amp;$AM28):INDIRECT("Table!" &amp; $AP$65 &amp; $AM28),0)),"",INDIRECT(CONCATENATE("Table!",ADDRESS($AI28,MATCH(W$1,INDIRECT("Table!A" &amp; $AM28):INDIRECT("Table!" &amp; $AP$65 &amp; $AM28),0)))))</f>
        <v>7.8645550483627133E-2</v>
      </c>
      <c r="X28" s="596">
        <f ca="1">IF(ISERROR(MATCH(X$1,INDIRECT("Table!A"&amp;$AM28):INDIRECT("Table!" &amp; $AP$65 &amp; $AM28),0)),"",INDIRECT(CONCATENATE("Table!",ADDRESS($AI28,MATCH(X$1,INDIRECT("Table!A" &amp; $AM28):INDIRECT("Table!" &amp; $AP$65 &amp; $AM28),0)))))</f>
        <v>7.6656173253491111E-2</v>
      </c>
      <c r="Y28" s="596">
        <f ca="1">IF(ISERROR(MATCH(Y$1,INDIRECT("Table!A"&amp;$AM28):INDIRECT("Table!" &amp; $AP$65 &amp; $AM28),0)),"",INDIRECT(CONCATENATE("Table!",ADDRESS($AI28,MATCH(Y$1,INDIRECT("Table!A" &amp; $AM28):INDIRECT("Table!" &amp; $AP$65 &amp; $AM28),0)))))</f>
        <v>3.0333719843634569E-5</v>
      </c>
      <c r="Z28" s="596">
        <f ca="1">IF(ISERROR(MATCH(Z$1,INDIRECT("Table!A"&amp;$AM28):INDIRECT("Table!" &amp; $AP$65 &amp; $AM28),0)),"",INDIRECT(CONCATENATE("Table!",ADDRESS($AI28,MATCH(Z$1,INDIRECT("Table!A" &amp; $AM28):INDIRECT("Table!" &amp; $AP$65 &amp; $AM28),0)))))</f>
        <v>2.8640096612592574E-5</v>
      </c>
      <c r="AA28" s="596">
        <f ca="1">IF(ISERROR(MATCH(AA$1,INDIRECT("Table!A"&amp;$AM28):INDIRECT("Table!" &amp; $AP$65 &amp; $AM28),0)),"",INDIRECT(CONCATENATE("Table!",ADDRESS($AI28,MATCH(AA$1,INDIRECT("Table!A" &amp; $AM28):INDIRECT("Table!" &amp; $AP$65 &amp; $AM28),0)))))</f>
        <v>7.9003438471665868E-2</v>
      </c>
      <c r="AB28" s="596" t="str">
        <f ca="1">IF(ISERROR(MATCH(AB$1,INDIRECT("Table!A"&amp;$AM28):INDIRECT("Table!" &amp; $AP$65 &amp; $AM28),0)),"",INDIRECT(CONCATENATE("Table!",ADDRESS($AI28,MATCH(AB$1,INDIRECT("Table!A" &amp; $AM28):INDIRECT("Table!" &amp; $AP$65 &amp; $AM28),0)))))</f>
        <v/>
      </c>
      <c r="AC28" s="596"/>
      <c r="AD28" s="596"/>
      <c r="AE28" s="596"/>
      <c r="AF28" s="596"/>
      <c r="AG28" s="596"/>
      <c r="AH28" s="596"/>
      <c r="AI28" s="595">
        <f>MATCH($A28,Table!$A:$A,0)+$AK$2-1</f>
        <v>370</v>
      </c>
      <c r="AJ28" s="899"/>
      <c r="AK28" s="899"/>
      <c r="AL28" s="899"/>
      <c r="AM28" s="595">
        <f>MATCH($A28,Table!$A:$A,0)+$AO$2-1</f>
        <v>367</v>
      </c>
      <c r="AN28" s="899"/>
      <c r="AP28" s="947" t="s">
        <v>302</v>
      </c>
    </row>
    <row r="29" spans="1:42" s="743" customFormat="1" ht="15.75" customHeight="1" x14ac:dyDescent="0.25">
      <c r="A29" s="592">
        <v>41794</v>
      </c>
      <c r="B29" s="596">
        <f ca="1">IF(ISERROR(MATCH(B$1,INDIRECT("Table!A"&amp;$AM29):INDIRECT("Table!" &amp; $AP$113 &amp; $AM29),0)),"",INDIRECT(CONCATENATE("Table!",ADDRESS($AI29,MATCH(B$1,INDIRECT("Table!A" &amp; $AM29):INDIRECT("Table!" &amp; $AP$112 &amp; $AM29),0)))))</f>
        <v>0.40852113284462266</v>
      </c>
      <c r="C29" s="596">
        <f ca="1">IF(ISERROR(MATCH(C$1,INDIRECT("Table!A"&amp;$AM29):INDIRECT("Table!" &amp; $AP$112 &amp; $AM29),0)),"",INDIRECT(CONCATENATE("Table!",ADDRESS($AI29,MATCH(C$1,INDIRECT("Table!A" &amp; $AM29):INDIRECT("Table!" &amp; $AP$112 &amp; $AM29),0)))))</f>
        <v>0.55490985385674807</v>
      </c>
      <c r="D29" s="596">
        <f ca="1">IF(ISERROR(MATCH(D$1,INDIRECT("Table!A"&amp;$AM29):INDIRECT("Table!" &amp; $AP$112 &amp; $AM29),0)),"",INDIRECT(CONCATENATE("Table!",ADDRESS($AI29,MATCH(D$1,INDIRECT("Table!A" &amp; $AM29):INDIRECT("Table!" &amp; $AP$112 &amp; $AM29),0)))))</f>
        <v>0.55941433741239333</v>
      </c>
      <c r="E29" s="596">
        <f ca="1">IF(ISERROR(MATCH(E$1,INDIRECT("Table!A"&amp;$AM29):INDIRECT("Table!" &amp; $AP$112 &amp; $AM29),0)),"",INDIRECT(CONCATENATE("Table!",ADDRESS($AI29,MATCH(E$1,INDIRECT("Table!A" &amp; $AM29):INDIRECT("Table!" &amp; $AP$112 &amp; $AM29),0)))))</f>
        <v>0.8110789741470823</v>
      </c>
      <c r="F29" s="596">
        <f ca="1">IF(ISERROR(MATCH(F$1,INDIRECT("Table!A"&amp;$AM29):INDIRECT("Table!" &amp; $AP$112 &amp; $AM29),0)),"",INDIRECT(CONCATENATE("Table!",ADDRESS($AI29,MATCH(F$1,INDIRECT("Table!A" &amp; $AM29):INDIRECT("Table!" &amp; $AP$112 &amp; $AM29),0)))))</f>
        <v>0.69008787704573371</v>
      </c>
      <c r="G29" s="596">
        <f ca="1">IF(ISERROR(MATCH(G$1,INDIRECT("Table!A"&amp;$AM29):INDIRECT("Table!" &amp; $AP$112 &amp; $AM29),0)),"",INDIRECT(CONCATENATE("Table!",ADDRESS($AI29,MATCH(G$1,INDIRECT("Table!A" &amp; $AM29):INDIRECT("Table!" &amp; $AP$112 &amp; $AM29),0)))))</f>
        <v>0.54898525051026303</v>
      </c>
      <c r="H29" s="596">
        <f ca="1">IF(ISERROR(MATCH(H$1,INDIRECT("Table!A"&amp;$AM29):INDIRECT("Table!" &amp; $AP$112 &amp; $AM29),0)),"",INDIRECT(CONCATENATE("Table!",ADDRESS($AI29,MATCH(H$1,INDIRECT("Table!A" &amp; $AM29):INDIRECT("Table!" &amp; $AP$112 &amp; $AM29),0)))))</f>
        <v>0.70301990690534411</v>
      </c>
      <c r="I29" s="596">
        <f ca="1">IF(ISERROR(MATCH(I$1,INDIRECT("Table!A"&amp;$AM29):INDIRECT("Table!" &amp; $AP$91 &amp; $AM29),0)),"",INDIRECT(CONCATENATE("Table!",ADDRESS($AI29,MATCH(I$1,INDIRECT("Table!A" &amp; $AM29):INDIRECT("Table!" &amp; $AP$91 &amp; $AM29),0)))))</f>
        <v>0.29703753657919774</v>
      </c>
      <c r="J29" s="596">
        <f ca="1">IF(ISERROR(MATCH(J$1,INDIRECT("Table!A"&amp;$AM29):INDIRECT("Table!" &amp; $AP$91 &amp; $AM29),0)),"",INDIRECT(CONCATENATE("Table!",ADDRESS($AI29,MATCH(J$1,INDIRECT("Table!A" &amp; $AM29):INDIRECT("Table!" &amp; $AP$91 &amp; $AM29),0)))))</f>
        <v>0.66562193595830321</v>
      </c>
      <c r="K29" s="596">
        <f ca="1">IF(ISERROR(MATCH(K$1,INDIRECT("Table!A"&amp;$AM29):INDIRECT("Table!" &amp; $AP$91 &amp; $AM29),0)),"",INDIRECT(CONCATENATE("Table!",ADDRESS($AI29,MATCH(K$1,INDIRECT("Table!A" &amp; $AM29):INDIRECT("Table!" &amp; $AP$91 &amp; $AM29),0)))))</f>
        <v>0.29859303649911278</v>
      </c>
      <c r="L29" s="596">
        <f ca="1">IF(ISERROR(MATCH(L$1,INDIRECT("Table!A"&amp;$AM29):INDIRECT("Table!" &amp; $AP$91 &amp; $AM29),0)),"",INDIRECT(CONCATENATE("Table!",ADDRESS($AI29,MATCH(L$1,INDIRECT("Table!A" &amp; $AM29):INDIRECT("Table!" &amp; $AP$91 &amp; $AM29),0)))))</f>
        <v>0.76165407184719813</v>
      </c>
      <c r="M29" s="596">
        <f ca="1">IF(ISERROR(MATCH(M$1,INDIRECT("Table!A"&amp;$AM29):INDIRECT("Table!" &amp; $AP$91 &amp; $AM29),0)),"",INDIRECT(CONCATENATE("Table!",ADDRESS($AI29,MATCH(M$1,INDIRECT("Table!A" &amp; $AM29):INDIRECT("Table!" &amp; $AP$91 &amp; $AM29),0)))))</f>
        <v>0.48081522541536792</v>
      </c>
      <c r="N29" s="596">
        <f ca="1">IF(ISERROR(MATCH(N$1,INDIRECT("Table!A"&amp;$AM29):INDIRECT("Table!" &amp; $AP$91 &amp; $AM29),0)),"",INDIRECT(CONCATENATE("Table!",ADDRESS($AI29,MATCH(N$1,INDIRECT("Table!A" &amp; $AM29):INDIRECT("Table!" &amp; $AP$91 &amp; $AM29),0)))))</f>
        <v>0.69554955033068877</v>
      </c>
      <c r="O29" s="596">
        <f ca="1">IF(ISERROR(MATCH(O$1,INDIRECT("Table!A"&amp;$AM29):INDIRECT("Table!" &amp; $AP$91 &amp; $AM29),0)),"",INDIRECT(CONCATENATE("Table!",ADDRESS($AI29,MATCH(O$1,INDIRECT("Table!A" &amp; $AM29):INDIRECT("Table!" &amp; $AP$91 &amp; $AM29),0)))))</f>
        <v>0.80929662217560971</v>
      </c>
      <c r="P29" s="596">
        <f ca="1">IF(ISERROR(MATCH(P$1,INDIRECT("Table!A"&amp;$AM29):INDIRECT("Table!" &amp; $AP$91 &amp; $AM29),0)),"",INDIRECT(CONCATENATE("Table!",ADDRESS($AI29,MATCH(P$1,INDIRECT("Table!A" &amp; $AM29):INDIRECT("Table!" &amp; $AP$91 &amp; $AM29),0)))))</f>
        <v>0.30736234145965502</v>
      </c>
      <c r="Q29" s="596">
        <f ca="1">IF(ISERROR(MATCH(Q$1,INDIRECT("Table!A"&amp;$AM29):INDIRECT("Table!" &amp; $AP$91 &amp; $AM29),0)),"",INDIRECT(CONCATENATE("Table!",ADDRESS($AI29,MATCH(Q$1,INDIRECT("Table!A" &amp; $AM29):INDIRECT("Table!" &amp; $AP$91 &amp; $AM29),0)))))</f>
        <v>0.6562054126382566</v>
      </c>
      <c r="R29" s="596">
        <f ca="1">IF(ISERROR(MATCH(R$1,INDIRECT("Table!A"&amp;$AM29):INDIRECT("Table!" &amp; $AP$91 &amp; $AM29),0)),"",INDIRECT(CONCATENATE("Table!",ADDRESS($AI29,MATCH(R$1,INDIRECT("Table!A" &amp; $AM29):INDIRECT("Table!" &amp; $AP$91 &amp; $AM29),0)))))</f>
        <v>0.64428382253433203</v>
      </c>
      <c r="S29" s="596" t="str">
        <f ca="1">IF(ISERROR(MATCH(S$1,INDIRECT("Table!A"&amp;$AM29):INDIRECT("Table!" &amp; $AP$91 &amp; $AM29),0)),"",INDIRECT(CONCATENATE("Table!",ADDRESS($AI29,MATCH(S$1,INDIRECT("Table!A" &amp; $AM29):INDIRECT("Table!" &amp; $AP$91 &amp; $AM29),0)))))</f>
        <v/>
      </c>
      <c r="T29" s="596">
        <f ca="1">IF(ISERROR(MATCH(T$1,INDIRECT("Table!A"&amp;$AM29):INDIRECT("Table!" &amp; $AP$65 &amp; $AM29),0)),"",INDIRECT(CONCATENATE("Table!",ADDRESS($AI29,MATCH(T$1,INDIRECT("Table!A" &amp; $AM29):INDIRECT("Table!" &amp; $AP$65 &amp; $AM29),0)))))</f>
        <v>0.30904942506157357</v>
      </c>
      <c r="U29" s="596">
        <f ca="1">IF(ISERROR(MATCH(U$1,INDIRECT("Table!A"&amp;$AM29):INDIRECT("Table!" &amp; $AP$65 &amp; $AM29),0)),"",INDIRECT(CONCATENATE("Table!",ADDRESS($AI29,MATCH(U$1,INDIRECT("Table!A" &amp; $AM29):INDIRECT("Table!" &amp; $AP$65 &amp; $AM29),0)))))</f>
        <v>0.12244450641656025</v>
      </c>
      <c r="V29" s="596">
        <f ca="1">IF(ISERROR(MATCH(V$1,INDIRECT("Table!A"&amp;$AM29):INDIRECT("Table!" &amp; $AP$65 &amp; $AM29),0)),"",INDIRECT(CONCATENATE("Table!",ADDRESS($AI29,MATCH(V$1,INDIRECT("Table!A" &amp; $AM29):INDIRECT("Table!" &amp; $AP$65 &amp; $AM29),0)))))</f>
        <v>0.11946118431572843</v>
      </c>
      <c r="W29" s="596">
        <f ca="1">IF(ISERROR(MATCH(W$1,INDIRECT("Table!A"&amp;$AM29):INDIRECT("Table!" &amp; $AP$65 &amp; $AM29),0)),"",INDIRECT(CONCATENATE("Table!",ADDRESS($AI29,MATCH(W$1,INDIRECT("Table!A" &amp; $AM29):INDIRECT("Table!" &amp; $AP$65 &amp; $AM29),0)))))</f>
        <v>6.7088403223202364E-2</v>
      </c>
      <c r="X29" s="596">
        <f ca="1">IF(ISERROR(MATCH(X$1,INDIRECT("Table!A"&amp;$AM29):INDIRECT("Table!" &amp; $AP$65 &amp; $AM29),0)),"",INDIRECT(CONCATENATE("Table!",ADDRESS($AI29,MATCH(X$1,INDIRECT("Table!A" &amp; $AM29):INDIRECT("Table!" &amp; $AP$65 &amp; $AM29),0)))))</f>
        <v>6.5378657877339236E-2</v>
      </c>
      <c r="Y29" s="596">
        <f ca="1">IF(ISERROR(MATCH(Y$1,INDIRECT("Table!A"&amp;$AM29):INDIRECT("Table!" &amp; $AP$65 &amp; $AM29),0)),"",INDIRECT(CONCATENATE("Table!",ADDRESS($AI29,MATCH(Y$1,INDIRECT("Table!A" &amp; $AM29):INDIRECT("Table!" &amp; $AP$65 &amp; $AM29),0)))))</f>
        <v>3.0333719843634569E-5</v>
      </c>
      <c r="Z29" s="596">
        <f ca="1">IF(ISERROR(MATCH(Z$1,INDIRECT("Table!A"&amp;$AM29):INDIRECT("Table!" &amp; $AP$65 &amp; $AM29),0)),"",INDIRECT(CONCATENATE("Table!",ADDRESS($AI29,MATCH(Z$1,INDIRECT("Table!A" &amp; $AM29):INDIRECT("Table!" &amp; $AP$65 &amp; $AM29),0)))))</f>
        <v>2.8640096612592574E-5</v>
      </c>
      <c r="AA29" s="596">
        <f ca="1">IF(ISERROR(MATCH(AA$1,INDIRECT("Table!A"&amp;$AM29):INDIRECT("Table!" &amp; $AP$65 &amp; $AM29),0)),"",INDIRECT(CONCATENATE("Table!",ADDRESS($AI29,MATCH(AA$1,INDIRECT("Table!A" &amp; $AM29):INDIRECT("Table!" &amp; $AP$65 &amp; $AM29),0)))))</f>
        <v>6.4428450376761259E-2</v>
      </c>
      <c r="AB29" s="596" t="str">
        <f ca="1">IF(ISERROR(MATCH(AB$1,INDIRECT("Table!A"&amp;$AM29):INDIRECT("Table!" &amp; $AP$65 &amp; $AM29),0)),"",INDIRECT(CONCATENATE("Table!",ADDRESS($AI29,MATCH(AB$1,INDIRECT("Table!A" &amp; $AM29):INDIRECT("Table!" &amp; $AP$65 &amp; $AM29),0)))))</f>
        <v/>
      </c>
      <c r="AC29" s="596"/>
      <c r="AD29" s="596"/>
      <c r="AE29" s="596"/>
      <c r="AF29" s="596"/>
      <c r="AG29" s="596"/>
      <c r="AH29" s="596"/>
      <c r="AI29" s="595">
        <f>MATCH($A29,Table!$A:$A,0)+$AK$2-1</f>
        <v>384</v>
      </c>
      <c r="AJ29" s="896"/>
      <c r="AK29" s="896"/>
      <c r="AL29" s="896"/>
      <c r="AM29" s="595">
        <f>MATCH($A29,Table!$A:$A,0)+$AO$2-1</f>
        <v>381</v>
      </c>
      <c r="AN29" s="896"/>
      <c r="AP29" s="947" t="s">
        <v>302</v>
      </c>
    </row>
    <row r="30" spans="1:42" s="743" customFormat="1" ht="15.75" customHeight="1" x14ac:dyDescent="0.25">
      <c r="A30" s="592">
        <v>41787</v>
      </c>
      <c r="B30" s="596">
        <f ca="1">IF(ISERROR(MATCH(B$1,INDIRECT("Table!A"&amp;$AM30):INDIRECT("Table!" &amp; $AP$113 &amp; $AM30),0)),"",INDIRECT(CONCATENATE("Table!",ADDRESS($AI30,MATCH(B$1,INDIRECT("Table!A" &amp; $AM30):INDIRECT("Table!" &amp; $AP$112 &amp; $AM30),0)))))</f>
        <v>0.41715289754674056</v>
      </c>
      <c r="C30" s="596">
        <f ca="1">IF(ISERROR(MATCH(C$1,INDIRECT("Table!A"&amp;$AM30):INDIRECT("Table!" &amp; $AP$112 &amp; $AM30),0)),"",INDIRECT(CONCATENATE("Table!",ADDRESS($AI30,MATCH(C$1,INDIRECT("Table!A" &amp; $AM30):INDIRECT("Table!" &amp; $AP$112 &amp; $AM30),0)))))</f>
        <v>0.55433715992976196</v>
      </c>
      <c r="D30" s="596">
        <f ca="1">IF(ISERROR(MATCH(D$1,INDIRECT("Table!A"&amp;$AM30):INDIRECT("Table!" &amp; $AP$112 &amp; $AM30),0)),"",INDIRECT(CONCATENATE("Table!",ADDRESS($AI30,MATCH(D$1,INDIRECT("Table!A" &amp; $AM30):INDIRECT("Table!" &amp; $AP$112 &amp; $AM30),0)))))</f>
        <v>0.56324580594711404</v>
      </c>
      <c r="E30" s="596">
        <f ca="1">IF(ISERROR(MATCH(E$1,INDIRECT("Table!A"&amp;$AM30):INDIRECT("Table!" &amp; $AP$112 &amp; $AM30),0)),"",INDIRECT(CONCATENATE("Table!",ADDRESS($AI30,MATCH(E$1,INDIRECT("Table!A" &amp; $AM30):INDIRECT("Table!" &amp; $AP$112 &amp; $AM30),0)))))</f>
        <v>0.80957292026101269</v>
      </c>
      <c r="F30" s="596">
        <f ca="1">IF(ISERROR(MATCH(F$1,INDIRECT("Table!A"&amp;$AM30):INDIRECT("Table!" &amp; $AP$112 &amp; $AM30),0)),"",INDIRECT(CONCATENATE("Table!",ADDRESS($AI30,MATCH(F$1,INDIRECT("Table!A" &amp; $AM30):INDIRECT("Table!" &amp; $AP$112 &amp; $AM30),0)))))</f>
        <v>0.68725978896719886</v>
      </c>
      <c r="G30" s="596">
        <f ca="1">IF(ISERROR(MATCH(G$1,INDIRECT("Table!A"&amp;$AM30):INDIRECT("Table!" &amp; $AP$112 &amp; $AM30),0)),"",INDIRECT(CONCATENATE("Table!",ADDRESS($AI30,MATCH(G$1,INDIRECT("Table!A" &amp; $AM30):INDIRECT("Table!" &amp; $AP$112 &amp; $AM30),0)))))</f>
        <v>0.54726922632572117</v>
      </c>
      <c r="H30" s="596">
        <f ca="1">IF(ISERROR(MATCH(H$1,INDIRECT("Table!A"&amp;$AM30):INDIRECT("Table!" &amp; $AP$112 &amp; $AM30),0)),"",INDIRECT(CONCATENATE("Table!",ADDRESS($AI30,MATCH(H$1,INDIRECT("Table!A" &amp; $AM30):INDIRECT("Table!" &amp; $AP$112 &amp; $AM30),0)))))</f>
        <v>0.71789818898622182</v>
      </c>
      <c r="I30" s="596">
        <f ca="1">IF(ISERROR(MATCH(I$1,INDIRECT("Table!A"&amp;$AM30):INDIRECT("Table!" &amp; $AP$91 &amp; $AM30),0)),"",INDIRECT(CONCATENATE("Table!",ADDRESS($AI30,MATCH(I$1,INDIRECT("Table!A" &amp; $AM30):INDIRECT("Table!" &amp; $AP$91 &amp; $AM30),0)))))</f>
        <v>0.29617830176182275</v>
      </c>
      <c r="J30" s="596">
        <f ca="1">IF(ISERROR(MATCH(J$1,INDIRECT("Table!A"&amp;$AM30):INDIRECT("Table!" &amp; $AP$91 &amp; $AM30),0)),"",INDIRECT(CONCATENATE("Table!",ADDRESS($AI30,MATCH(J$1,INDIRECT("Table!A" &amp; $AM30):INDIRECT("Table!" &amp; $AP$91 &amp; $AM30),0)))))</f>
        <v>0.66391574852926005</v>
      </c>
      <c r="K30" s="596">
        <f ca="1">IF(ISERROR(MATCH(K$1,INDIRECT("Table!A"&amp;$AM30):INDIRECT("Table!" &amp; $AP$91 &amp; $AM30),0)),"",INDIRECT(CONCATENATE("Table!",ADDRESS($AI30,MATCH(K$1,INDIRECT("Table!A" &amp; $AM30):INDIRECT("Table!" &amp; $AP$91 &amp; $AM30),0)))))</f>
        <v>0.26282940422508561</v>
      </c>
      <c r="L30" s="596">
        <f ca="1">IF(ISERROR(MATCH(L$1,INDIRECT("Table!A"&amp;$AM30):INDIRECT("Table!" &amp; $AP$91 &amp; $AM30),0)),"",INDIRECT(CONCATENATE("Table!",ADDRESS($AI30,MATCH(L$1,INDIRECT("Table!A" &amp; $AM30):INDIRECT("Table!" &amp; $AP$91 &amp; $AM30),0)))))</f>
        <v>0.79776313519567776</v>
      </c>
      <c r="M30" s="596">
        <f ca="1">IF(ISERROR(MATCH(M$1,INDIRECT("Table!A"&amp;$AM30):INDIRECT("Table!" &amp; $AP$91 &amp; $AM30),0)),"",INDIRECT(CONCATENATE("Table!",ADDRESS($AI30,MATCH(M$1,INDIRECT("Table!A" &amp; $AM30):INDIRECT("Table!" &amp; $AP$91 &amp; $AM30),0)))))</f>
        <v>0.47945517764026685</v>
      </c>
      <c r="N30" s="596">
        <f ca="1">IF(ISERROR(MATCH(N$1,INDIRECT("Table!A"&amp;$AM30):INDIRECT("Table!" &amp; $AP$91 &amp; $AM30),0)),"",INDIRECT(CONCATENATE("Table!",ADDRESS($AI30,MATCH(N$1,INDIRECT("Table!A" &amp; $AM30):INDIRECT("Table!" &amp; $AP$91 &amp; $AM30),0)))))</f>
        <v>0.6931169525571178</v>
      </c>
      <c r="O30" s="596">
        <f ca="1">IF(ISERROR(MATCH(O$1,INDIRECT("Table!A"&amp;$AM30):INDIRECT("Table!" &amp; $AP$91 &amp; $AM30),0)),"",INDIRECT(CONCATENATE("Table!",ADDRESS($AI30,MATCH(O$1,INDIRECT("Table!A" &amp; $AM30):INDIRECT("Table!" &amp; $AP$91 &amp; $AM30),0)))))</f>
        <v>0.82789471930653047</v>
      </c>
      <c r="P30" s="596">
        <f ca="1">IF(ISERROR(MATCH(P$1,INDIRECT("Table!A"&amp;$AM30):INDIRECT("Table!" &amp; $AP$91 &amp; $AM30),0)),"",INDIRECT(CONCATENATE("Table!",ADDRESS($AI30,MATCH(P$1,INDIRECT("Table!A" &amp; $AM30):INDIRECT("Table!" &amp; $AP$91 &amp; $AM30),0)))))</f>
        <v>0.30650250244464033</v>
      </c>
      <c r="Q30" s="596">
        <f ca="1">IF(ISERROR(MATCH(Q$1,INDIRECT("Table!A"&amp;$AM30):INDIRECT("Table!" &amp; $AP$91 &amp; $AM30),0)),"",INDIRECT(CONCATENATE("Table!",ADDRESS($AI30,MATCH(Q$1,INDIRECT("Table!A" &amp; $AM30):INDIRECT("Table!" &amp; $AP$91 &amp; $AM30),0)))))</f>
        <v>0.67485134501837507</v>
      </c>
      <c r="R30" s="596">
        <f ca="1">IF(ISERROR(MATCH(R$1,INDIRECT("Table!A"&amp;$AM30):INDIRECT("Table!" &amp; $AP$91 &amp; $AM30),0)),"",INDIRECT(CONCATENATE("Table!",ADDRESS($AI30,MATCH(R$1,INDIRECT("Table!A" &amp; $AM30):INDIRECT("Table!" &amp; $AP$91 &amp; $AM30),0)))))</f>
        <v>0.63343951699681833</v>
      </c>
      <c r="S30" s="596" t="str">
        <f ca="1">IF(ISERROR(MATCH(S$1,INDIRECT("Table!A"&amp;$AM30):INDIRECT("Table!" &amp; $AP$91 &amp; $AM30),0)),"",INDIRECT(CONCATENATE("Table!",ADDRESS($AI30,MATCH(S$1,INDIRECT("Table!A" &amp; $AM30):INDIRECT("Table!" &amp; $AP$91 &amp; $AM30),0)))))</f>
        <v/>
      </c>
      <c r="T30" s="596">
        <f ca="1">IF(ISERROR(MATCH(T$1,INDIRECT("Table!A"&amp;$AM30):INDIRECT("Table!" &amp; $AP$65 &amp; $AM30),0)),"",INDIRECT(CONCATENATE("Table!",ADDRESS($AI30,MATCH(T$1,INDIRECT("Table!A" &amp; $AM30):INDIRECT("Table!" &amp; $AP$65 &amp; $AM30),0)))))</f>
        <v>0.30904942506157357</v>
      </c>
      <c r="U30" s="596">
        <f ca="1">IF(ISERROR(MATCH(U$1,INDIRECT("Table!A"&amp;$AM30):INDIRECT("Table!" &amp; $AP$65 &amp; $AM30),0)),"",INDIRECT(CONCATENATE("Table!",ADDRESS($AI30,MATCH(U$1,INDIRECT("Table!A" &amp; $AM30):INDIRECT("Table!" &amp; $AP$65 &amp; $AM30),0)))))</f>
        <v>0.12180554128566047</v>
      </c>
      <c r="V30" s="596">
        <f ca="1">IF(ISERROR(MATCH(V$1,INDIRECT("Table!A"&amp;$AM30):INDIRECT("Table!" &amp; $AP$65 &amp; $AM30),0)),"",INDIRECT(CONCATENATE("Table!",ADDRESS($AI30,MATCH(V$1,INDIRECT("Table!A" &amp; $AM30):INDIRECT("Table!" &amp; $AP$65 &amp; $AM30),0)))))</f>
        <v>0.11883826221440454</v>
      </c>
      <c r="W30" s="596">
        <f ca="1">IF(ISERROR(MATCH(W$1,INDIRECT("Table!A"&amp;$AM30):INDIRECT("Table!" &amp; $AP$65 &amp; $AM30),0)),"",INDIRECT(CONCATENATE("Table!",ADDRESS($AI30,MATCH(W$1,INDIRECT("Table!A" &amp; $AM30):INDIRECT("Table!" &amp; $AP$65 &amp; $AM30),0)))))</f>
        <v>6.464115698678527E-2</v>
      </c>
      <c r="X30" s="596">
        <f ca="1">IF(ISERROR(MATCH(X$1,INDIRECT("Table!A"&amp;$AM30):INDIRECT("Table!" &amp; $AP$65 &amp; $AM30),0)),"",INDIRECT(CONCATENATE("Table!",ADDRESS($AI30,MATCH(X$1,INDIRECT("Table!A" &amp; $AM30):INDIRECT("Table!" &amp; $AP$65 &amp; $AM30),0)))))</f>
        <v>6.297479910165564E-2</v>
      </c>
      <c r="Y30" s="596">
        <f ca="1">IF(ISERROR(MATCH(Y$1,INDIRECT("Table!A"&amp;$AM30):INDIRECT("Table!" &amp; $AP$65 &amp; $AM30),0)),"",INDIRECT(CONCATENATE("Table!",ADDRESS($AI30,MATCH(Y$1,INDIRECT("Table!A" &amp; $AM30):INDIRECT("Table!" &amp; $AP$65 &amp; $AM30),0)))))</f>
        <v>3.0333719843634569E-5</v>
      </c>
      <c r="Z30" s="596">
        <f ca="1">IF(ISERROR(MATCH(Z$1,INDIRECT("Table!A"&amp;$AM30):INDIRECT("Table!" &amp; $AP$65 &amp; $AM30),0)),"",INDIRECT(CONCATENATE("Table!",ADDRESS($AI30,MATCH(Z$1,INDIRECT("Table!A" &amp; $AM30):INDIRECT("Table!" &amp; $AP$65 &amp; $AM30),0)))))</f>
        <v>2.8640096612592574E-5</v>
      </c>
      <c r="AA30" s="596">
        <f ca="1">IF(ISERROR(MATCH(AA$1,INDIRECT("Table!A"&amp;$AM30):INDIRECT("Table!" &amp; $AP$65 &amp; $AM30),0)),"",INDIRECT(CONCATENATE("Table!",ADDRESS($AI30,MATCH(AA$1,INDIRECT("Table!A" &amp; $AM30):INDIRECT("Table!" &amp; $AP$65 &amp; $AM30),0)))))</f>
        <v>2.63741631418247E-2</v>
      </c>
      <c r="AB30" s="596" t="str">
        <f ca="1">IF(ISERROR(MATCH(AB$1,INDIRECT("Table!A"&amp;$AM30):INDIRECT("Table!" &amp; $AP$65 &amp; $AM30),0)),"",INDIRECT(CONCATENATE("Table!",ADDRESS($AI30,MATCH(AB$1,INDIRECT("Table!A" &amp; $AM30):INDIRECT("Table!" &amp; $AP$65 &amp; $AM30),0)))))</f>
        <v/>
      </c>
      <c r="AC30" s="596"/>
      <c r="AD30" s="596"/>
      <c r="AE30" s="596"/>
      <c r="AF30" s="596"/>
      <c r="AG30" s="596"/>
      <c r="AH30" s="596"/>
      <c r="AI30" s="595">
        <f>MATCH($A30,Table!$A:$A,0)+$AK$2-1</f>
        <v>398</v>
      </c>
      <c r="AJ30" s="893"/>
      <c r="AK30" s="893"/>
      <c r="AL30" s="893"/>
      <c r="AM30" s="595">
        <f>MATCH($A30,Table!$A:$A,0)+$AO$2-1</f>
        <v>395</v>
      </c>
      <c r="AN30" s="893"/>
      <c r="AP30" s="947" t="s">
        <v>302</v>
      </c>
    </row>
    <row r="31" spans="1:42" s="743" customFormat="1" ht="15.75" customHeight="1" x14ac:dyDescent="0.25">
      <c r="A31" s="592">
        <v>41780</v>
      </c>
      <c r="B31" s="596">
        <f ca="1">IF(ISERROR(MATCH(B$1,INDIRECT("Table!A"&amp;$AM31):INDIRECT("Table!" &amp; $AP$113 &amp; $AM31),0)),"",INDIRECT(CONCATENATE("Table!",ADDRESS($AI31,MATCH(B$1,INDIRECT("Table!A" &amp; $AM31):INDIRECT("Table!" &amp; $AP$112 &amp; $AM31),0)))))</f>
        <v>0.41723449154142256</v>
      </c>
      <c r="C31" s="596">
        <f ca="1">IF(ISERROR(MATCH(C$1,INDIRECT("Table!A"&amp;$AM31):INDIRECT("Table!" &amp; $AP$112 &amp; $AM31),0)),"",INDIRECT(CONCATENATE("Table!",ADDRESS($AI31,MATCH(C$1,INDIRECT("Table!A" &amp; $AM31):INDIRECT("Table!" &amp; $AP$112 &amp; $AM31),0)))))</f>
        <v>0.56120948705359597</v>
      </c>
      <c r="D31" s="596">
        <f ca="1">IF(ISERROR(MATCH(D$1,INDIRECT("Table!A"&amp;$AM31):INDIRECT("Table!" &amp; $AP$112 &amp; $AM31),0)),"",INDIRECT(CONCATENATE("Table!",ADDRESS($AI31,MATCH(D$1,INDIRECT("Table!A" &amp; $AM31):INDIRECT("Table!" &amp; $AP$112 &amp; $AM31),0)))))</f>
        <v>0.57010285237452052</v>
      </c>
      <c r="E31" s="596">
        <f ca="1">IF(ISERROR(MATCH(E$1,INDIRECT("Table!A"&amp;$AM31):INDIRECT("Table!" &amp; $AP$112 &amp; $AM31),0)),"",INDIRECT(CONCATENATE("Table!",ADDRESS($AI31,MATCH(E$1,INDIRECT("Table!A" &amp; $AM31):INDIRECT("Table!" &amp; $AP$112 &amp; $AM31),0)))))</f>
        <v>0.8321043875014561</v>
      </c>
      <c r="F31" s="596">
        <f ca="1">IF(ISERROR(MATCH(F$1,INDIRECT("Table!A"&amp;$AM31):INDIRECT("Table!" &amp; $AP$112 &amp; $AM31),0)),"",INDIRECT(CONCATENATE("Table!",ADDRESS($AI31,MATCH(F$1,INDIRECT("Table!A" &amp; $AM31):INDIRECT("Table!" &amp; $AP$112 &amp; $AM31),0)))))</f>
        <v>0.68662214197508886</v>
      </c>
      <c r="G31" s="596">
        <f ca="1">IF(ISERROR(MATCH(G$1,INDIRECT("Table!A"&amp;$AM31):INDIRECT("Table!" &amp; $AP$112 &amp; $AM31),0)),"",INDIRECT(CONCATENATE("Table!",ADDRESS($AI31,MATCH(G$1,INDIRECT("Table!A" &amp; $AM31):INDIRECT("Table!" &amp; $AP$112 &amp; $AM31),0)))))</f>
        <v>0.54451881233873756</v>
      </c>
      <c r="H31" s="596">
        <f ca="1">IF(ISERROR(MATCH(H$1,INDIRECT("Table!A"&amp;$AM31):INDIRECT("Table!" &amp; $AP$112 &amp; $AM31),0)),"",INDIRECT(CONCATENATE("Table!",ADDRESS($AI31,MATCH(H$1,INDIRECT("Table!A" &amp; $AM31):INDIRECT("Table!" &amp; $AP$112 &amp; $AM31),0)))))</f>
        <v>0.7321356821175109</v>
      </c>
      <c r="I31" s="596">
        <f ca="1">IF(ISERROR(MATCH(I$1,INDIRECT("Table!A"&amp;$AM31):INDIRECT("Table!" &amp; $AP$91 &amp; $AM31),0)),"",INDIRECT(CONCATENATE("Table!",ADDRESS($AI31,MATCH(I$1,INDIRECT("Table!A" &amp; $AM31):INDIRECT("Table!" &amp; $AP$91 &amp; $AM31),0)))))</f>
        <v>0.2950896566673491</v>
      </c>
      <c r="J31" s="596">
        <f ca="1">IF(ISERROR(MATCH(J$1,INDIRECT("Table!A"&amp;$AM31):INDIRECT("Table!" &amp; $AP$91 &amp; $AM31),0)),"",INDIRECT(CONCATENATE("Table!",ADDRESS($AI31,MATCH(J$1,INDIRECT("Table!A" &amp; $AM31):INDIRECT("Table!" &amp; $AP$91 &amp; $AM31),0)))))</f>
        <v>0.6620579716689029</v>
      </c>
      <c r="K31" s="596">
        <f ca="1">IF(ISERROR(MATCH(K$1,INDIRECT("Table!A"&amp;$AM31):INDIRECT("Table!" &amp; $AP$91 &amp; $AM31),0)),"",INDIRECT(CONCATENATE("Table!",ADDRESS($AI31,MATCH(K$1,INDIRECT("Table!A" &amp; $AM31):INDIRECT("Table!" &amp; $AP$91 &amp; $AM31),0)))))</f>
        <v>0.26014811363530876</v>
      </c>
      <c r="L31" s="596">
        <f ca="1">IF(ISERROR(MATCH(L$1,INDIRECT("Table!A"&amp;$AM31):INDIRECT("Table!" &amp; $AP$91 &amp; $AM31),0)),"",INDIRECT(CONCATENATE("Table!",ADDRESS($AI31,MATCH(L$1,INDIRECT("Table!A" &amp; $AM31):INDIRECT("Table!" &amp; $AP$91 &amp; $AM31),0)))))</f>
        <v>0.82850565018435052</v>
      </c>
      <c r="M31" s="596">
        <f ca="1">IF(ISERROR(MATCH(M$1,INDIRECT("Table!A"&amp;$AM31):INDIRECT("Table!" &amp; $AP$91 &amp; $AM31),0)),"",INDIRECT(CONCATENATE("Table!",ADDRESS($AI31,MATCH(M$1,INDIRECT("Table!A" &amp; $AM31):INDIRECT("Table!" &amp; $AP$91 &amp; $AM31),0)))))</f>
        <v>0.47754152652583781</v>
      </c>
      <c r="N31" s="596">
        <f ca="1">IF(ISERROR(MATCH(N$1,INDIRECT("Table!A"&amp;$AM31):INDIRECT("Table!" &amp; $AP$91 &amp; $AM31),0)),"",INDIRECT(CONCATENATE("Table!",ADDRESS($AI31,MATCH(N$1,INDIRECT("Table!A" &amp; $AM31):INDIRECT("Table!" &amp; $AP$91 &amp; $AM31),0)))))</f>
        <v>0.69082043574810814</v>
      </c>
      <c r="O31" s="596">
        <f ca="1">IF(ISERROR(MATCH(O$1,INDIRECT("Table!A"&amp;$AM31):INDIRECT("Table!" &amp; $AP$91 &amp; $AM31),0)),"",INDIRECT(CONCATENATE("Table!",ADDRESS($AI31,MATCH(O$1,INDIRECT("Table!A" &amp; $AM31):INDIRECT("Table!" &amp; $AP$91 &amp; $AM31),0)))))</f>
        <v>0.84565589301286626</v>
      </c>
      <c r="P31" s="596">
        <f ca="1">IF(ISERROR(MATCH(P$1,INDIRECT("Table!A"&amp;$AM31):INDIRECT("Table!" &amp; $AP$91 &amp; $AM31),0)),"",INDIRECT(CONCATENATE("Table!",ADDRESS($AI31,MATCH(P$1,INDIRECT("Table!A" &amp; $AM31):INDIRECT("Table!" &amp; $AP$91 &amp; $AM31),0)))))</f>
        <v>0.30540542493388634</v>
      </c>
      <c r="Q31" s="596">
        <f ca="1">IF(ISERROR(MATCH(Q$1,INDIRECT("Table!A"&amp;$AM31):INDIRECT("Table!" &amp; $AP$91 &amp; $AM31),0)),"",INDIRECT(CONCATENATE("Table!",ADDRESS($AI31,MATCH(Q$1,INDIRECT("Table!A" &amp; $AM31):INDIRECT("Table!" &amp; $AP$91 &amp; $AM31),0)))))</f>
        <v>0.67254102167748153</v>
      </c>
      <c r="R31" s="596">
        <f ca="1">IF(ISERROR(MATCH(R$1,INDIRECT("Table!A"&amp;$AM31):INDIRECT("Table!" &amp; $AP$91 &amp; $AM31),0)),"",INDIRECT(CONCATENATE("Table!",ADDRESS($AI31,MATCH(R$1,INDIRECT("Table!A" &amp; $AM31):INDIRECT("Table!" &amp; $AP$91 &amp; $AM31),0)))))</f>
        <v>0.61635952250311665</v>
      </c>
      <c r="S31" s="596" t="str">
        <f ca="1">IF(ISERROR(MATCH(S$1,INDIRECT("Table!A"&amp;$AM31):INDIRECT("Table!" &amp; $AP$91 &amp; $AM31),0)),"",INDIRECT(CONCATENATE("Table!",ADDRESS($AI31,MATCH(S$1,INDIRECT("Table!A" &amp; $AM31):INDIRECT("Table!" &amp; $AP$91 &amp; $AM31),0)))))</f>
        <v/>
      </c>
      <c r="T31" s="596">
        <f ca="1">IF(ISERROR(MATCH(T$1,INDIRECT("Table!A"&amp;$AM31):INDIRECT("Table!" &amp; $AP$65 &amp; $AM31),0)),"",INDIRECT(CONCATENATE("Table!",ADDRESS($AI31,MATCH(T$1,INDIRECT("Table!A" &amp; $AM31):INDIRECT("Table!" &amp; $AP$65 &amp; $AM31),0)))))</f>
        <v>0.30904942506157357</v>
      </c>
      <c r="U31" s="596">
        <f ca="1">IF(ISERROR(MATCH(U$1,INDIRECT("Table!A"&amp;$AM31):INDIRECT("Table!" &amp; $AP$65 &amp; $AM31),0)),"",INDIRECT(CONCATENATE("Table!",ADDRESS($AI31,MATCH(U$1,INDIRECT("Table!A" &amp; $AM31):INDIRECT("Table!" &amp; $AP$65 &amp; $AM31),0)))))</f>
        <v>0.11861658667371193</v>
      </c>
      <c r="V31" s="596">
        <f ca="1">IF(ISERROR(MATCH(V$1,INDIRECT("Table!A"&amp;$AM31):INDIRECT("Table!" &amp; $AP$65 &amp; $AM31),0)),"",INDIRECT(CONCATENATE("Table!",ADDRESS($AI31,MATCH(V$1,INDIRECT("Table!A" &amp; $AM31):INDIRECT("Table!" &amp; $AP$65 &amp; $AM31),0)))))</f>
        <v>0.11573033439699469</v>
      </c>
      <c r="W31" s="596">
        <f ca="1">IF(ISERROR(MATCH(W$1,INDIRECT("Table!A"&amp;$AM31):INDIRECT("Table!" &amp; $AP$65 &amp; $AM31),0)),"",INDIRECT(CONCATENATE("Table!",ADDRESS($AI31,MATCH(W$1,INDIRECT("Table!A" &amp; $AM31):INDIRECT("Table!" &amp; $AP$65 &amp; $AM31),0)))))</f>
        <v>3.6915158542611536E-2</v>
      </c>
      <c r="X31" s="596">
        <f ca="1">IF(ISERROR(MATCH(X$1,INDIRECT("Table!A"&amp;$AM31):INDIRECT("Table!" &amp; $AP$65 &amp; $AM31),0)),"",INDIRECT(CONCATENATE("Table!",ADDRESS($AI31,MATCH(X$1,INDIRECT("Table!A" &amp; $AM31):INDIRECT("Table!" &amp; $AP$65 &amp; $AM31),0)))))</f>
        <v>3.5969574670698556E-2</v>
      </c>
      <c r="Y31" s="596">
        <f ca="1">IF(ISERROR(MATCH(Y$1,INDIRECT("Table!A"&amp;$AM31):INDIRECT("Table!" &amp; $AP$65 &amp; $AM31),0)),"",INDIRECT(CONCATENATE("Table!",ADDRESS($AI31,MATCH(Y$1,INDIRECT("Table!A" &amp; $AM31):INDIRECT("Table!" &amp; $AP$65 &amp; $AM31),0)))))</f>
        <v>3.0333719843634569E-5</v>
      </c>
      <c r="Z31" s="596">
        <f ca="1">IF(ISERROR(MATCH(Z$1,INDIRECT("Table!A"&amp;$AM31):INDIRECT("Table!" &amp; $AP$65 &amp; $AM31),0)),"",INDIRECT(CONCATENATE("Table!",ADDRESS($AI31,MATCH(Z$1,INDIRECT("Table!A" &amp; $AM31):INDIRECT("Table!" &amp; $AP$65 &amp; $AM31),0)))))</f>
        <v>2.8640096612592574E-5</v>
      </c>
      <c r="AA31" s="596">
        <f ca="1">IF(ISERROR(MATCH(AA$1,INDIRECT("Table!A"&amp;$AM31):INDIRECT("Table!" &amp; $AP$65 &amp; $AM31),0)),"",INDIRECT(CONCATENATE("Table!",ADDRESS($AI31,MATCH(AA$1,INDIRECT("Table!A" &amp; $AM31):INDIRECT("Table!" &amp; $AP$65 &amp; $AM31),0)))))</f>
        <v>3.9391859715958426E-5</v>
      </c>
      <c r="AB31" s="596" t="str">
        <f ca="1">IF(ISERROR(MATCH(AB$1,INDIRECT("Table!A"&amp;$AM31):INDIRECT("Table!" &amp; $AP$65 &amp; $AM31),0)),"",INDIRECT(CONCATENATE("Table!",ADDRESS($AI31,MATCH(AB$1,INDIRECT("Table!A" &amp; $AM31):INDIRECT("Table!" &amp; $AP$65 &amp; $AM31),0)))))</f>
        <v/>
      </c>
      <c r="AC31" s="596"/>
      <c r="AD31" s="596"/>
      <c r="AE31" s="596"/>
      <c r="AF31" s="596"/>
      <c r="AG31" s="596"/>
      <c r="AH31" s="596"/>
      <c r="AI31" s="595">
        <f>MATCH($A31,Table!$A:$A,0)+$AK$2-1</f>
        <v>412</v>
      </c>
      <c r="AJ31" s="893"/>
      <c r="AK31" s="893"/>
      <c r="AL31" s="893"/>
      <c r="AM31" s="595">
        <f>MATCH($A31,Table!$A:$A,0)+$AO$2-1</f>
        <v>409</v>
      </c>
      <c r="AN31" s="893"/>
      <c r="AP31" s="947" t="s">
        <v>302</v>
      </c>
    </row>
    <row r="32" spans="1:42" s="743" customFormat="1" ht="15.75" customHeight="1" x14ac:dyDescent="0.25">
      <c r="A32" s="592">
        <v>41773</v>
      </c>
      <c r="B32" s="596">
        <f ca="1">IF(ISERROR(MATCH(B$1,INDIRECT("Table!A"&amp;$AM32):INDIRECT("Table!" &amp; $AP$113 &amp; $AM32),0)),"",INDIRECT(CONCATENATE("Table!",ADDRESS($AI32,MATCH(B$1,INDIRECT("Table!A" &amp; $AM32):INDIRECT("Table!" &amp; $AP$112 &amp; $AM32),0)))))</f>
        <v>0.41590378948109424</v>
      </c>
      <c r="C32" s="596">
        <f ca="1">IF(ISERROR(MATCH(C$1,INDIRECT("Table!A"&amp;$AM32):INDIRECT("Table!" &amp; $AP$112 &amp; $AM32),0)),"",INDIRECT(CONCATENATE("Table!",ADDRESS($AI32,MATCH(C$1,INDIRECT("Table!A" &amp; $AM32):INDIRECT("Table!" &amp; $AP$112 &amp; $AM32),0)))))</f>
        <v>0.56102611869646357</v>
      </c>
      <c r="D32" s="596">
        <f ca="1">IF(ISERROR(MATCH(D$1,INDIRECT("Table!A"&amp;$AM32):INDIRECT("Table!" &amp; $AP$112 &amp; $AM32),0)),"",INDIRECT(CONCATENATE("Table!",ADDRESS($AI32,MATCH(D$1,INDIRECT("Table!A" &amp; $AM32):INDIRECT("Table!" &amp; $AP$112 &amp; $AM32),0)))))</f>
        <v>0.56992612779844354</v>
      </c>
      <c r="E32" s="596">
        <f ca="1">IF(ISERROR(MATCH(E$1,INDIRECT("Table!A"&amp;$AM32):INDIRECT("Table!" &amp; $AP$112 &amp; $AM32),0)),"",INDIRECT(CONCATENATE("Table!",ADDRESS($AI32,MATCH(E$1,INDIRECT("Table!A" &amp; $AM32):INDIRECT("Table!" &amp; $AP$112 &amp; $AM32),0)))))</f>
        <v>0.8316417470884423</v>
      </c>
      <c r="F32" s="596">
        <f ca="1">IF(ISERROR(MATCH(F$1,INDIRECT("Table!A"&amp;$AM32):INDIRECT("Table!" &amp; $AP$112 &amp; $AM32),0)),"",INDIRECT(CONCATENATE("Table!",ADDRESS($AI32,MATCH(F$1,INDIRECT("Table!A" &amp; $AM32):INDIRECT("Table!" &amp; $AP$112 &amp; $AM32),0)))))</f>
        <v>0.68186603139250157</v>
      </c>
      <c r="G32" s="596">
        <f ca="1">IF(ISERROR(MATCH(G$1,INDIRECT("Table!A"&amp;$AM32):INDIRECT("Table!" &amp; $AP$112 &amp; $AM32),0)),"",INDIRECT(CONCATENATE("Table!",ADDRESS($AI32,MATCH(G$1,INDIRECT("Table!A" &amp; $AM32):INDIRECT("Table!" &amp; $AP$112 &amp; $AM32),0)))))</f>
        <v>0.54150832466848953</v>
      </c>
      <c r="H32" s="596">
        <f ca="1">IF(ISERROR(MATCH(H$1,INDIRECT("Table!A"&amp;$AM32):INDIRECT("Table!" &amp; $AP$112 &amp; $AM32),0)),"",INDIRECT(CONCATENATE("Table!",ADDRESS($AI32,MATCH(H$1,INDIRECT("Table!A" &amp; $AM32):INDIRECT("Table!" &amp; $AP$112 &amp; $AM32),0)))))</f>
        <v>0.7279792761178191</v>
      </c>
      <c r="I32" s="596">
        <f ca="1">IF(ISERROR(MATCH(I$1,INDIRECT("Table!A"&amp;$AM32):INDIRECT("Table!" &amp; $AP$91 &amp; $AM32),0)),"",INDIRECT(CONCATENATE("Table!",ADDRESS($AI32,MATCH(I$1,INDIRECT("Table!A" &amp; $AM32):INDIRECT("Table!" &amp; $AP$91 &amp; $AM32),0)))))</f>
        <v>0.29272992208480353</v>
      </c>
      <c r="J32" s="596">
        <f ca="1">IF(ISERROR(MATCH(J$1,INDIRECT("Table!A"&amp;$AM32):INDIRECT("Table!" &amp; $AP$91 &amp; $AM32),0)),"",INDIRECT(CONCATENATE("Table!",ADDRESS($AI32,MATCH(J$1,INDIRECT("Table!A" &amp; $AM32):INDIRECT("Table!" &amp; $AP$91 &amp; $AM32),0)))))</f>
        <v>0.66008569640829806</v>
      </c>
      <c r="K32" s="596">
        <f ca="1">IF(ISERROR(MATCH(K$1,INDIRECT("Table!A"&amp;$AM32):INDIRECT("Table!" &amp; $AP$91 &amp; $AM32),0)),"",INDIRECT(CONCATENATE("Table!",ADDRESS($AI32,MATCH(K$1,INDIRECT("Table!A" &amp; $AM32):INDIRECT("Table!" &amp; $AP$91 &amp; $AM32),0)))))</f>
        <v>0.24417774350295796</v>
      </c>
      <c r="L32" s="596">
        <f ca="1">IF(ISERROR(MATCH(L$1,INDIRECT("Table!A"&amp;$AM32):INDIRECT("Table!" &amp; $AP$91 &amp; $AM32),0)),"",INDIRECT(CONCATENATE("Table!",ADDRESS($AI32,MATCH(L$1,INDIRECT("Table!A" &amp; $AM32):INDIRECT("Table!" &amp; $AP$91 &amp; $AM32),0)))))</f>
        <v>0.82799070192007307</v>
      </c>
      <c r="M32" s="596">
        <f ca="1">IF(ISERROR(MATCH(M$1,INDIRECT("Table!A"&amp;$AM32):INDIRECT("Table!" &amp; $AP$91 &amp; $AM32),0)),"",INDIRECT(CONCATENATE("Table!",ADDRESS($AI32,MATCH(M$1,INDIRECT("Table!A" &amp; $AM32):INDIRECT("Table!" &amp; $AP$91 &amp; $AM32),0)))))</f>
        <v>0.47618649906131599</v>
      </c>
      <c r="N32" s="596">
        <f ca="1">IF(ISERROR(MATCH(N$1,INDIRECT("Table!A"&amp;$AM32):INDIRECT("Table!" &amp; $AP$91 &amp; $AM32),0)),"",INDIRECT(CONCATENATE("Table!",ADDRESS($AI32,MATCH(N$1,INDIRECT("Table!A" &amp; $AM32):INDIRECT("Table!" &amp; $AP$91 &amp; $AM32),0)))))</f>
        <v>0.68623101489905924</v>
      </c>
      <c r="O32" s="596">
        <f ca="1">IF(ISERROR(MATCH(O$1,INDIRECT("Table!A"&amp;$AM32):INDIRECT("Table!" &amp; $AP$91 &amp; $AM32),0)),"",INDIRECT(CONCATENATE("Table!",ADDRESS($AI32,MATCH(O$1,INDIRECT("Table!A" &amp; $AM32):INDIRECT("Table!" &amp; $AP$91 &amp; $AM32),0)))))</f>
        <v>0.8410754484113302</v>
      </c>
      <c r="P32" s="596">
        <f ca="1">IF(ISERROR(MATCH(P$1,INDIRECT("Table!A"&amp;$AM32):INDIRECT("Table!" &amp; $AP$91 &amp; $AM32),0)),"",INDIRECT(CONCATENATE("Table!",ADDRESS($AI32,MATCH(P$1,INDIRECT("Table!A" &amp; $AM32):INDIRECT("Table!" &amp; $AP$91 &amp; $AM32),0)))))</f>
        <v>0.30302942720752224</v>
      </c>
      <c r="Q32" s="596">
        <f ca="1">IF(ISERROR(MATCH(Q$1,INDIRECT("Table!A"&amp;$AM32):INDIRECT("Table!" &amp; $AP$91 &amp; $AM32),0)),"",INDIRECT(CONCATENATE("Table!",ADDRESS($AI32,MATCH(Q$1,INDIRECT("Table!A" &amp; $AM32):INDIRECT("Table!" &amp; $AP$91 &amp; $AM32),0)))))</f>
        <v>0.65761185524130794</v>
      </c>
      <c r="R32" s="596">
        <f ca="1">IF(ISERROR(MATCH(R$1,INDIRECT("Table!A"&amp;$AM32):INDIRECT("Table!" &amp; $AP$91 &amp; $AM32),0)),"",INDIRECT(CONCATENATE("Table!",ADDRESS($AI32,MATCH(R$1,INDIRECT("Table!A" &amp; $AM32):INDIRECT("Table!" &amp; $AP$91 &amp; $AM32),0)))))</f>
        <v>0.68146374902263207</v>
      </c>
      <c r="S32" s="596" t="str">
        <f ca="1">IF(ISERROR(MATCH(S$1,INDIRECT("Table!A"&amp;$AM32):INDIRECT("Table!" &amp; $AP$91 &amp; $AM32),0)),"",INDIRECT(CONCATENATE("Table!",ADDRESS($AI32,MATCH(S$1,INDIRECT("Table!A" &amp; $AM32):INDIRECT("Table!" &amp; $AP$91 &amp; $AM32),0)))))</f>
        <v/>
      </c>
      <c r="T32" s="596">
        <f ca="1">IF(ISERROR(MATCH(T$1,INDIRECT("Table!A"&amp;$AM32):INDIRECT("Table!" &amp; $AP$65 &amp; $AM32),0)),"",INDIRECT(CONCATENATE("Table!",ADDRESS($AI32,MATCH(T$1,INDIRECT("Table!A" &amp; $AM32):INDIRECT("Table!" &amp; $AP$65 &amp; $AM32),0)))))</f>
        <v>0.28577386258896059</v>
      </c>
      <c r="U32" s="596">
        <f ca="1">IF(ISERROR(MATCH(U$1,INDIRECT("Table!A"&amp;$AM32):INDIRECT("Table!" &amp; $AP$65 &amp; $AM32),0)),"",INDIRECT(CONCATENATE("Table!",ADDRESS($AI32,MATCH(U$1,INDIRECT("Table!A" &amp; $AM32):INDIRECT("Table!" &amp; $AP$65 &amp; $AM32),0)))))</f>
        <v>0.11014565078060404</v>
      </c>
      <c r="V32" s="596">
        <f ca="1">IF(ISERROR(MATCH(V$1,INDIRECT("Table!A"&amp;$AM32):INDIRECT("Table!" &amp; $AP$65 &amp; $AM32),0)),"",INDIRECT(CONCATENATE("Table!",ADDRESS($AI32,MATCH(V$1,INDIRECT("Table!A" &amp; $AM32):INDIRECT("Table!" &amp; $AP$65 &amp; $AM32),0)))))</f>
        <v>0.10746146116999568</v>
      </c>
      <c r="W32" s="596">
        <f ca="1">IF(ISERROR(MATCH(W$1,INDIRECT("Table!A"&amp;$AM32):INDIRECT("Table!" &amp; $AP$65 &amp; $AM32),0)),"",INDIRECT(CONCATENATE("Table!",ADDRESS($AI32,MATCH(W$1,INDIRECT("Table!A" &amp; $AM32):INDIRECT("Table!" &amp; $AP$65 &amp; $AM32),0)))))</f>
        <v>1.274407636269344E-2</v>
      </c>
      <c r="X32" s="596">
        <f ca="1">IF(ISERROR(MATCH(X$1,INDIRECT("Table!A"&amp;$AM32):INDIRECT("Table!" &amp; $AP$65 &amp; $AM32),0)),"",INDIRECT(CONCATENATE("Table!",ADDRESS($AI32,MATCH(X$1,INDIRECT("Table!A" &amp; $AM32):INDIRECT("Table!" &amp; $AP$65 &amp; $AM32),0)))))</f>
        <v>1.2382068435510856E-2</v>
      </c>
      <c r="Y32" s="596">
        <f ca="1">IF(ISERROR(MATCH(Y$1,INDIRECT("Table!A"&amp;$AM32):INDIRECT("Table!" &amp; $AP$65 &amp; $AM32),0)),"",INDIRECT(CONCATENATE("Table!",ADDRESS($AI32,MATCH(Y$1,INDIRECT("Table!A" &amp; $AM32):INDIRECT("Table!" &amp; $AP$65 &amp; $AM32),0)))))</f>
        <v>3.0333719843634569E-5</v>
      </c>
      <c r="Z32" s="596">
        <f ca="1">IF(ISERROR(MATCH(Z$1,INDIRECT("Table!A"&amp;$AM32):INDIRECT("Table!" &amp; $AP$65 &amp; $AM32),0)),"",INDIRECT(CONCATENATE("Table!",ADDRESS($AI32,MATCH(Z$1,INDIRECT("Table!A" &amp; $AM32):INDIRECT("Table!" &amp; $AP$65 &amp; $AM32),0)))))</f>
        <v>2.8640096612592574E-5</v>
      </c>
      <c r="AA32" s="596" t="str">
        <f ca="1">IF(ISERROR(MATCH(AA$1,INDIRECT("Table!A"&amp;$AM32):INDIRECT("Table!" &amp; $AP$65 &amp; $AM32),0)),"",INDIRECT(CONCATENATE("Table!",ADDRESS($AI32,MATCH(AA$1,INDIRECT("Table!A" &amp; $AM32):INDIRECT("Table!" &amp; $AP$65 &amp; $AM32),0)))))</f>
        <v/>
      </c>
      <c r="AB32" s="596" t="str">
        <f ca="1">IF(ISERROR(MATCH(AB$1,INDIRECT("Table!A"&amp;$AM32):INDIRECT("Table!" &amp; $AP$65 &amp; $AM32),0)),"",INDIRECT(CONCATENATE("Table!",ADDRESS($AI32,MATCH(AB$1,INDIRECT("Table!A" &amp; $AM32):INDIRECT("Table!" &amp; $AP$65 &amp; $AM32),0)))))</f>
        <v/>
      </c>
      <c r="AC32" s="596"/>
      <c r="AD32" s="596"/>
      <c r="AE32" s="596"/>
      <c r="AF32" s="596"/>
      <c r="AG32" s="596"/>
      <c r="AH32" s="596"/>
      <c r="AI32" s="595">
        <f>MATCH($A32,Table!$A:$A,0)+$AK$2-1</f>
        <v>426</v>
      </c>
      <c r="AJ32" s="890"/>
      <c r="AK32" s="890"/>
      <c r="AL32" s="890"/>
      <c r="AM32" s="595">
        <f>MATCH($A32,Table!$A:$A,0)+$AO$2-1</f>
        <v>423</v>
      </c>
      <c r="AN32" s="890"/>
      <c r="AP32" s="947" t="s">
        <v>302</v>
      </c>
    </row>
    <row r="33" spans="1:42" s="743" customFormat="1" ht="15.75" customHeight="1" x14ac:dyDescent="0.25">
      <c r="A33" s="592">
        <v>41766</v>
      </c>
      <c r="B33" s="596">
        <f ca="1">IF(ISERROR(MATCH(B$1,INDIRECT("Table!A"&amp;$AM33):INDIRECT("Table!" &amp; $AP$113 &amp; $AM33),0)),"",INDIRECT(CONCATENATE("Table!",ADDRESS($AI33,MATCH(B$1,INDIRECT("Table!A" &amp; $AM33):INDIRECT("Table!" &amp; $AP$112 &amp; $AM33),0)))))</f>
        <v>0.41549999999999998</v>
      </c>
      <c r="C33" s="596">
        <f ca="1">IF(ISERROR(MATCH(C$1,INDIRECT("Table!A"&amp;$AM33):INDIRECT("Table!" &amp; $AP$112 &amp; $AM33),0)),"",INDIRECT(CONCATENATE("Table!",ADDRESS($AI33,MATCH(C$1,INDIRECT("Table!A" &amp; $AM33):INDIRECT("Table!" &amp; $AP$112 &amp; $AM33),0)))))</f>
        <v>0.55869999999999997</v>
      </c>
      <c r="D33" s="596">
        <f ca="1">IF(ISERROR(MATCH(D$1,INDIRECT("Table!A"&amp;$AM33):INDIRECT("Table!" &amp; $AP$112 &amp; $AM33),0)),"",INDIRECT(CONCATENATE("Table!",ADDRESS($AI33,MATCH(D$1,INDIRECT("Table!A" &amp; $AM33):INDIRECT("Table!" &amp; $AP$112 &amp; $AM33),0)))))</f>
        <v>0.56759999999999999</v>
      </c>
      <c r="E33" s="596">
        <f ca="1">IF(ISERROR(MATCH(E$1,INDIRECT("Table!A"&amp;$AM33):INDIRECT("Table!" &amp; $AP$112 &amp; $AM33),0)),"",INDIRECT(CONCATENATE("Table!",ADDRESS($AI33,MATCH(E$1,INDIRECT("Table!A" &amp; $AM33):INDIRECT("Table!" &amp; $AP$112 &amp; $AM33),0)))))</f>
        <v>0.83040000000000003</v>
      </c>
      <c r="F33" s="596">
        <f ca="1">IF(ISERROR(MATCH(F$1,INDIRECT("Table!A"&amp;$AM33):INDIRECT("Table!" &amp; $AP$112 &amp; $AM33),0)),"",INDIRECT(CONCATENATE("Table!",ADDRESS($AI33,MATCH(F$1,INDIRECT("Table!A" &amp; $AM33):INDIRECT("Table!" &amp; $AP$112 &amp; $AM33),0)))))</f>
        <v>0.67100000000000004</v>
      </c>
      <c r="G33" s="596">
        <f ca="1">IF(ISERROR(MATCH(G$1,INDIRECT("Table!A"&amp;$AM33):INDIRECT("Table!" &amp; $AP$112 &amp; $AM33),0)),"",INDIRECT(CONCATENATE("Table!",ADDRESS($AI33,MATCH(G$1,INDIRECT("Table!A" &amp; $AM33):INDIRECT("Table!" &amp; $AP$112 &amp; $AM33),0)))))</f>
        <v>0.54020000000000001</v>
      </c>
      <c r="H33" s="596">
        <f ca="1">IF(ISERROR(MATCH(H$1,INDIRECT("Table!A"&amp;$AM33):INDIRECT("Table!" &amp; $AP$112 &amp; $AM33),0)),"",INDIRECT(CONCATENATE("Table!",ADDRESS($AI33,MATCH(H$1,INDIRECT("Table!A" &amp; $AM33):INDIRECT("Table!" &amp; $AP$112 &amp; $AM33),0)))))</f>
        <v>0.72689999999999999</v>
      </c>
      <c r="I33" s="596">
        <f ca="1">IF(ISERROR(MATCH(I$1,INDIRECT("Table!A"&amp;$AM33):INDIRECT("Table!" &amp; $AP$91 &amp; $AM33),0)),"",INDIRECT(CONCATENATE("Table!",ADDRESS($AI33,MATCH(I$1,INDIRECT("Table!A" &amp; $AM33):INDIRECT("Table!" &amp; $AP$91 &amp; $AM33),0)))))</f>
        <v>0.28689999999999999</v>
      </c>
      <c r="J33" s="596">
        <f ca="1">IF(ISERROR(MATCH(J$1,INDIRECT("Table!A"&amp;$AM33):INDIRECT("Table!" &amp; $AP$91 &amp; $AM33),0)),"",INDIRECT(CONCATENATE("Table!",ADDRESS($AI33,MATCH(J$1,INDIRECT("Table!A" &amp; $AM33):INDIRECT("Table!" &amp; $AP$91 &amp; $AM33),0)))))</f>
        <v>0.65800000000000003</v>
      </c>
      <c r="K33" s="596">
        <f ca="1">IF(ISERROR(MATCH(K$1,INDIRECT("Table!A"&amp;$AM33):INDIRECT("Table!" &amp; $AP$91 &amp; $AM33),0)),"",INDIRECT(CONCATENATE("Table!",ADDRESS($AI33,MATCH(K$1,INDIRECT("Table!A" &amp; $AM33):INDIRECT("Table!" &amp; $AP$91 &amp; $AM33),0)))))</f>
        <v>0.2329</v>
      </c>
      <c r="L33" s="596">
        <f ca="1">IF(ISERROR(MATCH(L$1,INDIRECT("Table!A"&amp;$AM33):INDIRECT("Table!" &amp; $AP$91 &amp; $AM33),0)),"",INDIRECT(CONCATENATE("Table!",ADDRESS($AI33,MATCH(L$1,INDIRECT("Table!A" &amp; $AM33):INDIRECT("Table!" &amp; $AP$91 &amp; $AM33),0)))))</f>
        <v>0.82699999999999996</v>
      </c>
      <c r="M33" s="596">
        <f ca="1">IF(ISERROR(MATCH(M$1,INDIRECT("Table!A"&amp;$AM33):INDIRECT("Table!" &amp; $AP$91 &amp; $AM33),0)),"",INDIRECT(CONCATENATE("Table!",ADDRESS($AI33,MATCH(M$1,INDIRECT("Table!A" &amp; $AM33):INDIRECT("Table!" &amp; $AP$91 &amp; $AM33),0)))))</f>
        <v>0.47499999999999998</v>
      </c>
      <c r="N33" s="596">
        <f ca="1">IF(ISERROR(MATCH(N$1,INDIRECT("Table!A"&amp;$AM33):INDIRECT("Table!" &amp; $AP$91 &amp; $AM33),0)),"",INDIRECT(CONCATENATE("Table!",ADDRESS($AI33,MATCH(N$1,INDIRECT("Table!A" &amp; $AM33):INDIRECT("Table!" &amp; $AP$91 &amp; $AM33),0)))))</f>
        <v>0.67559999999999998</v>
      </c>
      <c r="O33" s="596">
        <f ca="1">IF(ISERROR(MATCH(O$1,INDIRECT("Table!A"&amp;$AM33):INDIRECT("Table!" &amp; $AP$91 &amp; $AM33),0)),"",INDIRECT(CONCATENATE("Table!",ADDRESS($AI33,MATCH(O$1,INDIRECT("Table!A" &amp; $AM33):INDIRECT("Table!" &amp; $AP$91 &amp; $AM33),0)))))</f>
        <v>0.83979999999999999</v>
      </c>
      <c r="P33" s="596">
        <f ca="1">IF(ISERROR(MATCH(P$1,INDIRECT("Table!A"&amp;$AM33):INDIRECT("Table!" &amp; $AP$91 &amp; $AM33),0)),"",INDIRECT(CONCATENATE("Table!",ADDRESS($AI33,MATCH(P$1,INDIRECT("Table!A" &amp; $AM33):INDIRECT("Table!" &amp; $AP$91 &amp; $AM33),0)))))</f>
        <v>0.29670000000000002</v>
      </c>
      <c r="Q33" s="596">
        <f ca="1">IF(ISERROR(MATCH(Q$1,INDIRECT("Table!A"&amp;$AM33):INDIRECT("Table!" &amp; $AP$91 &amp; $AM33),0)),"",INDIRECT(CONCATENATE("Table!",ADDRESS($AI33,MATCH(Q$1,INDIRECT("Table!A" &amp; $AM33):INDIRECT("Table!" &amp; $AP$91 &amp; $AM33),0)))))</f>
        <v>0.65610000000000002</v>
      </c>
      <c r="R33" s="596">
        <f ca="1">IF(ISERROR(MATCH(R$1,INDIRECT("Table!A"&amp;$AM33):INDIRECT("Table!" &amp; $AP$91 &amp; $AM33),0)),"",INDIRECT(CONCATENATE("Table!",ADDRESS($AI33,MATCH(R$1,INDIRECT("Table!A" &amp; $AM33):INDIRECT("Table!" &amp; $AP$91 &amp; $AM33),0)))))</f>
        <v>0.67</v>
      </c>
      <c r="S33" s="596" t="str">
        <f ca="1">IF(ISERROR(MATCH(S$1,INDIRECT("Table!A"&amp;$AM33):INDIRECT("Table!" &amp; $AP$91 &amp; $AM33),0)),"",INDIRECT(CONCATENATE("Table!",ADDRESS($AI33,MATCH(S$1,INDIRECT("Table!A" &amp; $AM33):INDIRECT("Table!" &amp; $AP$91 &amp; $AM33),0)))))</f>
        <v/>
      </c>
      <c r="T33" s="596">
        <f ca="1">IF(ISERROR(MATCH(T$1,INDIRECT("Table!A"&amp;$AM33):INDIRECT("Table!" &amp; $AP$65 &amp; $AM33),0)),"",INDIRECT(CONCATENATE("Table!",ADDRESS($AI33,MATCH(T$1,INDIRECT("Table!A" &amp; $AM33):INDIRECT("Table!" &amp; $AP$65 &amp; $AM33),0)))))</f>
        <v>0.2858</v>
      </c>
      <c r="U33" s="596">
        <f ca="1">IF(ISERROR(MATCH(U$1,INDIRECT("Table!A"&amp;$AM33):INDIRECT("Table!" &amp; $AP$65 &amp; $AM33),0)),"",INDIRECT(CONCATENATE("Table!",ADDRESS($AI33,MATCH(U$1,INDIRECT("Table!A" &amp; $AM33):INDIRECT("Table!" &amp; $AP$65 &amp; $AM33),0)))))</f>
        <v>9.3100000000000002E-2</v>
      </c>
      <c r="V33" s="596">
        <f ca="1">IF(ISERROR(MATCH(V$1,INDIRECT("Table!A"&amp;$AM33):INDIRECT("Table!" &amp; $AP$65 &amp; $AM33),0)),"",INDIRECT(CONCATENATE("Table!",ADDRESS($AI33,MATCH(V$1,INDIRECT("Table!A" &amp; $AM33):INDIRECT("Table!" &amp; $AP$65 &amp; $AM33),0)))))</f>
        <v>9.0899999999999995E-2</v>
      </c>
      <c r="W33" s="596">
        <f ca="1">IF(ISERROR(MATCH(W$1,INDIRECT("Table!A"&amp;$AM33):INDIRECT("Table!" &amp; $AP$65 &amp; $AM33),0)),"",INDIRECT(CONCATENATE("Table!",ADDRESS($AI33,MATCH(W$1,INDIRECT("Table!A" &amp; $AM33):INDIRECT("Table!" &amp; $AP$65 &amp; $AM33),0)))))</f>
        <v>1.26E-2</v>
      </c>
      <c r="X33" s="596">
        <f ca="1">IF(ISERROR(MATCH(X$1,INDIRECT("Table!A"&amp;$AM33):INDIRECT("Table!" &amp; $AP$65 &amp; $AM33),0)),"",INDIRECT(CONCATENATE("Table!",ADDRESS($AI33,MATCH(X$1,INDIRECT("Table!A" &amp; $AM33):INDIRECT("Table!" &amp; $AP$65 &amp; $AM33),0)))))</f>
        <v>1.2200000000000001E-2</v>
      </c>
      <c r="Y33" s="596">
        <f ca="1">IF(ISERROR(MATCH(Y$1,INDIRECT("Table!A"&amp;$AM33):INDIRECT("Table!" &amp; $AP$65 &amp; $AM33),0)),"",INDIRECT(CONCATENATE("Table!",ADDRESS($AI33,MATCH(Y$1,INDIRECT("Table!A" &amp; $AM33):INDIRECT("Table!" &amp; $AP$65 &amp; $AM33),0)))))</f>
        <v>0</v>
      </c>
      <c r="Z33" s="596">
        <f ca="1">IF(ISERROR(MATCH(Z$1,INDIRECT("Table!A"&amp;$AM33):INDIRECT("Table!" &amp; $AP$65 &amp; $AM33),0)),"",INDIRECT(CONCATENATE("Table!",ADDRESS($AI33,MATCH(Z$1,INDIRECT("Table!A" &amp; $AM33):INDIRECT("Table!" &amp; $AP$65 &amp; $AM33),0)))))</f>
        <v>0</v>
      </c>
      <c r="AA33" s="596" t="str">
        <f ca="1">IF(ISERROR(MATCH(AA$1,INDIRECT("Table!A"&amp;$AM33):INDIRECT("Table!" &amp; $AP$65 &amp; $AM33),0)),"",INDIRECT(CONCATENATE("Table!",ADDRESS($AI33,MATCH(AA$1,INDIRECT("Table!A" &amp; $AM33):INDIRECT("Table!" &amp; $AP$65 &amp; $AM33),0)))))</f>
        <v/>
      </c>
      <c r="AB33" s="596" t="str">
        <f ca="1">IF(ISERROR(MATCH(AB$1,INDIRECT("Table!A"&amp;$AM33):INDIRECT("Table!" &amp; $AP$65 &amp; $AM33),0)),"",INDIRECT(CONCATENATE("Table!",ADDRESS($AI33,MATCH(AB$1,INDIRECT("Table!A" &amp; $AM33):INDIRECT("Table!" &amp; $AP$65 &amp; $AM33),0)))))</f>
        <v/>
      </c>
      <c r="AC33" s="596"/>
      <c r="AD33" s="596"/>
      <c r="AE33" s="596"/>
      <c r="AF33" s="596"/>
      <c r="AG33" s="596"/>
      <c r="AH33" s="596"/>
      <c r="AI33" s="595">
        <f>MATCH($A33,Table!$A:$A,0)+$AK$2-1</f>
        <v>440</v>
      </c>
      <c r="AJ33" s="883"/>
      <c r="AK33" s="883"/>
      <c r="AL33" s="883"/>
      <c r="AM33" s="595">
        <f>MATCH($A33,Table!$A:$A,0)+$AO$2-1</f>
        <v>437</v>
      </c>
      <c r="AN33" s="883"/>
      <c r="AP33" s="947" t="s">
        <v>302</v>
      </c>
    </row>
    <row r="34" spans="1:42" s="743" customFormat="1" ht="15.75" customHeight="1" x14ac:dyDescent="0.25">
      <c r="A34" s="592">
        <v>41752</v>
      </c>
      <c r="B34" s="596">
        <f ca="1">IF(ISERROR(MATCH(B$1,INDIRECT("Table!A"&amp;$AM34):INDIRECT("Table!" &amp; $AP$113 &amp; $AM34),0)),"",INDIRECT(CONCATENATE("Table!",ADDRESS($AI34,MATCH(B$1,INDIRECT("Table!A" &amp; $AM34):INDIRECT("Table!" &amp; $AP$112 &amp; $AM34),0)))))</f>
        <v>0.41939273269487365</v>
      </c>
      <c r="C34" s="596">
        <f ca="1">IF(ISERROR(MATCH(C$1,INDIRECT("Table!A"&amp;$AM34):INDIRECT("Table!" &amp; $AP$112 &amp; $AM34),0)),"",INDIRECT(CONCATENATE("Table!",ADDRESS($AI34,MATCH(C$1,INDIRECT("Table!A" &amp; $AM34):INDIRECT("Table!" &amp; $AP$112 &amp; $AM34),0)))))</f>
        <v>0.55751155851809131</v>
      </c>
      <c r="D34" s="596">
        <f ca="1">IF(ISERROR(MATCH(D$1,INDIRECT("Table!A"&amp;$AM34):INDIRECT("Table!" &amp; $AP$112 &amp; $AM34),0)),"",INDIRECT(CONCATENATE("Table!",ADDRESS($AI34,MATCH(D$1,INDIRECT("Table!A" &amp; $AM34):INDIRECT("Table!" &amp; $AP$112 &amp; $AM34),0)))))</f>
        <v>0.56642751269460467</v>
      </c>
      <c r="E34" s="596">
        <f ca="1">IF(ISERROR(MATCH(E$1,INDIRECT("Table!A"&amp;$AM34):INDIRECT("Table!" &amp; $AP$112 &amp; $AM34),0)),"",INDIRECT(CONCATENATE("Table!",ADDRESS($AI34,MATCH(E$1,INDIRECT("Table!A" &amp; $AM34):INDIRECT("Table!" &amp; $AP$112 &amp; $AM34),0)))))</f>
        <v>0.8284939241357635</v>
      </c>
      <c r="F34" s="596">
        <f ca="1">IF(ISERROR(MATCH(F$1,INDIRECT("Table!A"&amp;$AM34):INDIRECT("Table!" &amp; $AP$112 &amp; $AM34),0)),"",INDIRECT(CONCATENATE("Table!",ADDRESS($AI34,MATCH(F$1,INDIRECT("Table!A" &amp; $AM34):INDIRECT("Table!" &amp; $AP$112 &amp; $AM34),0)))))</f>
        <v>0.67248049506019636</v>
      </c>
      <c r="G34" s="596">
        <f ca="1">IF(ISERROR(MATCH(G$1,INDIRECT("Table!A"&amp;$AM34):INDIRECT("Table!" &amp; $AP$112 &amp; $AM34),0)),"",INDIRECT(CONCATENATE("Table!",ADDRESS($AI34,MATCH(G$1,INDIRECT("Table!A" &amp; $AM34):INDIRECT("Table!" &amp; $AP$112 &amp; $AM34),0)))))</f>
        <v>0.53690812698168189</v>
      </c>
      <c r="H34" s="596">
        <f ca="1">IF(ISERROR(MATCH(H$1,INDIRECT("Table!A"&amp;$AM34):INDIRECT("Table!" &amp; $AP$112 &amp; $AM34),0)),"",INDIRECT(CONCATENATE("Table!",ADDRESS($AI34,MATCH(H$1,INDIRECT("Table!A" &amp; $AM34):INDIRECT("Table!" &amp; $AP$112 &amp; $AM34),0)))))</f>
        <v>0.72578477748283909</v>
      </c>
      <c r="I34" s="596">
        <f ca="1">IF(ISERROR(MATCH(I$1,INDIRECT("Table!A"&amp;$AM34):INDIRECT("Table!" &amp; $AP$91 &amp; $AM34),0)),"",INDIRECT(CONCATENATE("Table!",ADDRESS($AI34,MATCH(I$1,INDIRECT("Table!A" &amp; $AM34):INDIRECT("Table!" &amp; $AP$91 &amp; $AM34),0)))))</f>
        <v>0.2753804088322408</v>
      </c>
      <c r="J34" s="596">
        <f ca="1">IF(ISERROR(MATCH(J$1,INDIRECT("Table!A"&amp;$AM34):INDIRECT("Table!" &amp; $AP$91 &amp; $AM34),0)),"",INDIRECT(CONCATENATE("Table!",ADDRESS($AI34,MATCH(J$1,INDIRECT("Table!A" &amp; $AM34):INDIRECT("Table!" &amp; $AP$91 &amp; $AM34),0)))))</f>
        <v>0.62700936629167092</v>
      </c>
      <c r="K34" s="596">
        <f ca="1">IF(ISERROR(MATCH(K$1,INDIRECT("Table!A"&amp;$AM34):INDIRECT("Table!" &amp; $AP$91 &amp; $AM34),0)),"",INDIRECT(CONCATENATE("Table!",ADDRESS($AI34,MATCH(K$1,INDIRECT("Table!A" &amp; $AM34):INDIRECT("Table!" &amp; $AP$91 &amp; $AM34),0)))))</f>
        <v>0.20100932203692398</v>
      </c>
      <c r="L34" s="596">
        <f ca="1">IF(ISERROR(MATCH(L$1,INDIRECT("Table!A"&amp;$AM34):INDIRECT("Table!" &amp; $AP$91 &amp; $AM34),0)),"",INDIRECT(CONCATENATE("Table!",ADDRESS($AI34,MATCH(L$1,INDIRECT("Table!A" &amp; $AM34):INDIRECT("Table!" &amp; $AP$91 &amp; $AM34),0)))))</f>
        <v>0.82499633474952727</v>
      </c>
      <c r="M34" s="596">
        <f ca="1">IF(ISERROR(MATCH(M$1,INDIRECT("Table!A"&amp;$AM34):INDIRECT("Table!" &amp; $AP$91 &amp; $AM34),0)),"",INDIRECT(CONCATENATE("Table!",ADDRESS($AI34,MATCH(M$1,INDIRECT("Table!A" &amp; $AM34):INDIRECT("Table!" &amp; $AP$91 &amp; $AM34),0)))))</f>
        <v>0.472260844384292</v>
      </c>
      <c r="N34" s="596">
        <f ca="1">IF(ISERROR(MATCH(N$1,INDIRECT("Table!A"&amp;$AM34):INDIRECT("Table!" &amp; $AP$91 &amp; $AM34),0)),"",INDIRECT(CONCATENATE("Table!",ADDRESS($AI34,MATCH(N$1,INDIRECT("Table!A" &amp; $AM34):INDIRECT("Table!" &amp; $AP$91 &amp; $AM34),0)))))</f>
        <v>0.67560947412534866</v>
      </c>
      <c r="O34" s="596">
        <f ca="1">IF(ISERROR(MATCH(O$1,INDIRECT("Table!A"&amp;$AM34):INDIRECT("Table!" &amp; $AP$91 &amp; $AM34),0)),"",INDIRECT(CONCATENATE("Table!",ADDRESS($AI34,MATCH(O$1,INDIRECT("Table!A" &amp; $AM34):INDIRECT("Table!" &amp; $AP$91 &amp; $AM34),0)))))</f>
        <v>0.83332005458290714</v>
      </c>
      <c r="P34" s="596">
        <f ca="1">IF(ISERROR(MATCH(P$1,INDIRECT("Table!A"&amp;$AM34):INDIRECT("Table!" &amp; $AP$91 &amp; $AM34),0)),"",INDIRECT(CONCATENATE("Table!",ADDRESS($AI34,MATCH(P$1,INDIRECT("Table!A" &amp; $AM34):INDIRECT("Table!" &amp; $AP$91 &amp; $AM34),0)))))</f>
        <v>0.28523533577074811</v>
      </c>
      <c r="Q34" s="596">
        <f ca="1">IF(ISERROR(MATCH(Q$1,INDIRECT("Table!A"&amp;$AM34):INDIRECT("Table!" &amp; $AP$91 &amp; $AM34),0)),"",INDIRECT(CONCATENATE("Table!",ADDRESS($AI34,MATCH(Q$1,INDIRECT("Table!A" &amp; $AM34):INDIRECT("Table!" &amp; $AP$91 &amp; $AM34),0)))))</f>
        <v>0.6226767603494866</v>
      </c>
      <c r="R34" s="596">
        <f ca="1">IF(ISERROR(MATCH(R$1,INDIRECT("Table!A"&amp;$AM34):INDIRECT("Table!" &amp; $AP$91 &amp; $AM34),0)),"",INDIRECT(CONCATENATE("Table!",ADDRESS($AI34,MATCH(R$1,INDIRECT("Table!A" &amp; $AM34):INDIRECT("Table!" &amp; $AP$91 &amp; $AM34),0)))))</f>
        <v>0.6459031772043885</v>
      </c>
      <c r="S34" s="596" t="str">
        <f ca="1">IF(ISERROR(MATCH(S$1,INDIRECT("Table!A"&amp;$AM34):INDIRECT("Table!" &amp; $AP$91 &amp; $AM34),0)),"",INDIRECT(CONCATENATE("Table!",ADDRESS($AI34,MATCH(S$1,INDIRECT("Table!A" &amp; $AM34):INDIRECT("Table!" &amp; $AP$91 &amp; $AM34),0)))))</f>
        <v/>
      </c>
      <c r="T34" s="596">
        <f ca="1">IF(ISERROR(MATCH(T$1,INDIRECT("Table!A"&amp;$AM34):INDIRECT("Table!" &amp; $AP$65 &amp; $AM34),0)),"",INDIRECT(CONCATENATE("Table!",ADDRESS($AI34,MATCH(T$1,INDIRECT("Table!A" &amp; $AM34):INDIRECT("Table!" &amp; $AP$65 &amp; $AM34),0)))))</f>
        <v>0.28577386258896059</v>
      </c>
      <c r="U34" s="596">
        <f ca="1">IF(ISERROR(MATCH(U$1,INDIRECT("Table!A"&amp;$AM34):INDIRECT("Table!" &amp; $AP$65 &amp; $AM34),0)),"",INDIRECT(CONCATENATE("Table!",ADDRESS($AI34,MATCH(U$1,INDIRECT("Table!A" &amp; $AM34):INDIRECT("Table!" &amp; $AP$65 &amp; $AM34),0)))))</f>
        <v>7.5581844779420038E-2</v>
      </c>
      <c r="V34" s="596">
        <f ca="1">IF(ISERROR(MATCH(V$1,INDIRECT("Table!A"&amp;$AM34):INDIRECT("Table!" &amp; $AP$65 &amp; $AM34),0)),"",INDIRECT(CONCATENATE("Table!",ADDRESS($AI34,MATCH(V$1,INDIRECT("Table!A" &amp; $AM34):INDIRECT("Table!" &amp; $AP$65 &amp; $AM34),0)))))</f>
        <v>7.3739179413498557E-2</v>
      </c>
      <c r="W34" s="596">
        <f ca="1">IF(ISERROR(MATCH(W$1,INDIRECT("Table!A"&amp;$AM34):INDIRECT("Table!" &amp; $AP$65 &amp; $AM34),0)),"",INDIRECT(CONCATENATE("Table!",ADDRESS($AI34,MATCH(W$1,INDIRECT("Table!A" &amp; $AM34):INDIRECT("Table!" &amp; $AP$65 &amp; $AM34),0)))))</f>
        <v>1.2519019731595506E-2</v>
      </c>
      <c r="X34" s="596">
        <f ca="1">IF(ISERROR(MATCH(X$1,INDIRECT("Table!A"&amp;$AM34):INDIRECT("Table!" &amp; $AP$65 &amp; $AM34),0)),"",INDIRECT(CONCATENATE("Table!",ADDRESS($AI34,MATCH(X$1,INDIRECT("Table!A" &amp; $AM34):INDIRECT("Table!" &amp; $AP$65 &amp; $AM34),0)))))</f>
        <v>1.2162971696424522E-2</v>
      </c>
      <c r="Y34" s="596" t="str">
        <f ca="1">IF(ISERROR(MATCH(Y$1,INDIRECT("Table!A"&amp;$AM34):INDIRECT("Table!" &amp; $AP$65 &amp; $AM34),0)),"",INDIRECT(CONCATENATE("Table!",ADDRESS($AI34,MATCH(Y$1,INDIRECT("Table!A" &amp; $AM34):INDIRECT("Table!" &amp; $AP$65 &amp; $AM34),0)))))</f>
        <v/>
      </c>
      <c r="Z34" s="596" t="str">
        <f ca="1">IF(ISERROR(MATCH(Z$1,INDIRECT("Table!A"&amp;$AM34):INDIRECT("Table!" &amp; $AP$65 &amp; $AM34),0)),"",INDIRECT(CONCATENATE("Table!",ADDRESS($AI34,MATCH(Z$1,INDIRECT("Table!A" &amp; $AM34):INDIRECT("Table!" &amp; $AP$65 &amp; $AM34),0)))))</f>
        <v/>
      </c>
      <c r="AA34" s="596" t="str">
        <f ca="1">IF(ISERROR(MATCH(AA$1,INDIRECT("Table!A"&amp;$AM34):INDIRECT("Table!" &amp; $AP$65 &amp; $AM34),0)),"",INDIRECT(CONCATENATE("Table!",ADDRESS($AI34,MATCH(AA$1,INDIRECT("Table!A" &amp; $AM34):INDIRECT("Table!" &amp; $AP$65 &amp; $AM34),0)))))</f>
        <v/>
      </c>
      <c r="AB34" s="596" t="str">
        <f ca="1">IF(ISERROR(MATCH(AB$1,INDIRECT("Table!A"&amp;$AM34):INDIRECT("Table!" &amp; $AP$65 &amp; $AM34),0)),"",INDIRECT(CONCATENATE("Table!",ADDRESS($AI34,MATCH(AB$1,INDIRECT("Table!A" &amp; $AM34):INDIRECT("Table!" &amp; $AP$65 &amp; $AM34),0)))))</f>
        <v/>
      </c>
      <c r="AC34" s="596"/>
      <c r="AD34" s="596"/>
      <c r="AE34" s="596"/>
      <c r="AF34" s="596"/>
      <c r="AG34" s="596"/>
      <c r="AH34" s="596"/>
      <c r="AI34" s="595">
        <f>MATCH($A34,Table!$A:$A,0)+$AK$2-1</f>
        <v>454</v>
      </c>
      <c r="AJ34" s="814"/>
      <c r="AK34" s="814"/>
      <c r="AL34" s="814"/>
      <c r="AM34" s="595">
        <f>MATCH($A34,Table!$A:$A,0)+$AO$2-1</f>
        <v>451</v>
      </c>
      <c r="AN34" s="814"/>
      <c r="AP34" s="947" t="s">
        <v>302</v>
      </c>
    </row>
    <row r="35" spans="1:42" s="743" customFormat="1" ht="15.75" customHeight="1" x14ac:dyDescent="0.25">
      <c r="A35" s="592">
        <v>41745</v>
      </c>
      <c r="B35" s="596">
        <f ca="1">IF(ISERROR(MATCH(B$1,INDIRECT("Table!A"&amp;$AM35):INDIRECT("Table!" &amp; $AP$113 &amp; $AM35),0)),"",INDIRECT(CONCATENATE("Table!",ADDRESS($AI35,MATCH(B$1,INDIRECT("Table!A" &amp; $AM35):INDIRECT("Table!" &amp; $AP$112 &amp; $AM35),0)))))</f>
        <v>0.42210173331242823</v>
      </c>
      <c r="C35" s="596">
        <f ca="1">IF(ISERROR(MATCH(C$1,INDIRECT("Table!A"&amp;$AM35):INDIRECT("Table!" &amp; $AP$112 &amp; $AM35),0)),"",INDIRECT(CONCATENATE("Table!",ADDRESS($AI35,MATCH(C$1,INDIRECT("Table!A" &amp; $AM35):INDIRECT("Table!" &amp; $AP$112 &amp; $AM35),0)))))</f>
        <v>0.55731025195210893</v>
      </c>
      <c r="D35" s="596">
        <f ca="1">IF(ISERROR(MATCH(D$1,INDIRECT("Table!A"&amp;$AM35):INDIRECT("Table!" &amp; $AP$112 &amp; $AM35),0)),"",INDIRECT(CONCATENATE("Table!",ADDRESS($AI35,MATCH(D$1,INDIRECT("Table!A" &amp; $AM35):INDIRECT("Table!" &amp; $AP$112 &amp; $AM35),0)))))</f>
        <v>0.56622687050672782</v>
      </c>
      <c r="E35" s="596">
        <f ca="1">IF(ISERROR(MATCH(E$1,INDIRECT("Table!A"&amp;$AM35):INDIRECT("Table!" &amp; $AP$112 &amp; $AM35),0)),"",INDIRECT(CONCATENATE("Table!",ADDRESS($AI35,MATCH(E$1,INDIRECT("Table!A" &amp; $AM35):INDIRECT("Table!" &amp; $AP$112 &amp; $AM35),0)))))</f>
        <v>0.8271065523508947</v>
      </c>
      <c r="F35" s="596">
        <f ca="1">IF(ISERROR(MATCH(F$1,INDIRECT("Table!A"&amp;$AM35):INDIRECT("Table!" &amp; $AP$112 &amp; $AM35),0)),"",INDIRECT(CONCATENATE("Table!",ADDRESS($AI35,MATCH(F$1,INDIRECT("Table!A" &amp; $AM35):INDIRECT("Table!" &amp; $AP$112 &amp; $AM35),0)))))</f>
        <v>0.67939989997930805</v>
      </c>
      <c r="G35" s="596">
        <f ca="1">IF(ISERROR(MATCH(G$1,INDIRECT("Table!A"&amp;$AM35):INDIRECT("Table!" &amp; $AP$112 &amp; $AM35),0)),"",INDIRECT(CONCATENATE("Table!",ADDRESS($AI35,MATCH(G$1,INDIRECT("Table!A" &amp; $AM35):INDIRECT("Table!" &amp; $AP$112 &amp; $AM35),0)))))</f>
        <v>0.53466451008331084</v>
      </c>
      <c r="H35" s="596">
        <f ca="1">IF(ISERROR(MATCH(H$1,INDIRECT("Table!A"&amp;$AM35):INDIRECT("Table!" &amp; $AP$112 &amp; $AM35),0)),"",INDIRECT(CONCATENATE("Table!",ADDRESS($AI35,MATCH(H$1,INDIRECT("Table!A" &amp; $AM35):INDIRECT("Table!" &amp; $AP$112 &amp; $AM35),0)))))</f>
        <v>0.71225494329134087</v>
      </c>
      <c r="I35" s="596">
        <f ca="1">IF(ISERROR(MATCH(I$1,INDIRECT("Table!A"&amp;$AM35):INDIRECT("Table!" &amp; $AP$91 &amp; $AM35),0)),"",INDIRECT(CONCATENATE("Table!",ADDRESS($AI35,MATCH(I$1,INDIRECT("Table!A" &amp; $AM35):INDIRECT("Table!" &amp; $AP$91 &amp; $AM35),0)))))</f>
        <v>0.26910323408472769</v>
      </c>
      <c r="J35" s="596">
        <f ca="1">IF(ISERROR(MATCH(J$1,INDIRECT("Table!A"&amp;$AM35):INDIRECT("Table!" &amp; $AP$91 &amp; $AM35),0)),"",INDIRECT(CONCATENATE("Table!",ADDRESS($AI35,MATCH(J$1,INDIRECT("Table!A" &amp; $AM35):INDIRECT("Table!" &amp; $AP$91 &amp; $AM35),0)))))</f>
        <v>0.62171341211683351</v>
      </c>
      <c r="K35" s="596">
        <f ca="1">IF(ISERROR(MATCH(K$1,INDIRECT("Table!A"&amp;$AM35):INDIRECT("Table!" &amp; $AP$91 &amp; $AM35),0)),"",INDIRECT(CONCATENATE("Table!",ADDRESS($AI35,MATCH(K$1,INDIRECT("Table!A" &amp; $AM35):INDIRECT("Table!" &amp; $AP$91 &amp; $AM35),0)))))</f>
        <v>0.18831871298051692</v>
      </c>
      <c r="L35" s="596">
        <f ca="1">IF(ISERROR(MATCH(L$1,INDIRECT("Table!A"&amp;$AM35):INDIRECT("Table!" &amp; $AP$91 &amp; $AM35),0)),"",INDIRECT(CONCATENATE("Table!",ADDRESS($AI35,MATCH(L$1,INDIRECT("Table!A" &amp; $AM35):INDIRECT("Table!" &amp; $AP$91 &amp; $AM35),0)))))</f>
        <v>0.82261327437158427</v>
      </c>
      <c r="M35" s="596">
        <f ca="1">IF(ISERROR(MATCH(M$1,INDIRECT("Table!A"&amp;$AM35):INDIRECT("Table!" &amp; $AP$91 &amp; $AM35),0)),"",INDIRECT(CONCATENATE("Table!",ADDRESS($AI35,MATCH(M$1,INDIRECT("Table!A" &amp; $AM35):INDIRECT("Table!" &amp; $AP$91 &amp; $AM35),0)))))</f>
        <v>0.47082754571392121</v>
      </c>
      <c r="N35" s="596">
        <f ca="1">IF(ISERROR(MATCH(N$1,INDIRECT("Table!A"&amp;$AM35):INDIRECT("Table!" &amp; $AP$91 &amp; $AM35),0)),"",INDIRECT(CONCATENATE("Table!",ADDRESS($AI35,MATCH(N$1,INDIRECT("Table!A" &amp; $AM35):INDIRECT("Table!" &amp; $AP$91 &amp; $AM35),0)))))</f>
        <v>0.69701633453277267</v>
      </c>
      <c r="O35" s="596">
        <f ca="1">IF(ISERROR(MATCH(O$1,INDIRECT("Table!A"&amp;$AM35):INDIRECT("Table!" &amp; $AP$91 &amp; $AM35),0)),"",INDIRECT(CONCATENATE("Table!",ADDRESS($AI35,MATCH(O$1,INDIRECT("Table!A" &amp; $AM35):INDIRECT("Table!" &amp; $AP$91 &amp; $AM35),0)))))</f>
        <v>0.81769048246770359</v>
      </c>
      <c r="P35" s="596">
        <f ca="1">IF(ISERROR(MATCH(P$1,INDIRECT("Table!A"&amp;$AM35):INDIRECT("Table!" &amp; $AP$91 &amp; $AM35),0)),"",INDIRECT(CONCATENATE("Table!",ADDRESS($AI35,MATCH(P$1,INDIRECT("Table!A" &amp; $AM35):INDIRECT("Table!" &amp; $AP$91 &amp; $AM35),0)))))</f>
        <v>0.27895875181240576</v>
      </c>
      <c r="Q35" s="596">
        <f ca="1">IF(ISERROR(MATCH(Q$1,INDIRECT("Table!A"&amp;$AM35):INDIRECT("Table!" &amp; $AP$91 &amp; $AM35),0)),"",INDIRECT(CONCATENATE("Table!",ADDRESS($AI35,MATCH(Q$1,INDIRECT("Table!A" &amp; $AM35):INDIRECT("Table!" &amp; $AP$91 &amp; $AM35),0)))))</f>
        <v>0.61634855144239953</v>
      </c>
      <c r="R35" s="596">
        <f ca="1">IF(ISERROR(MATCH(R$1,INDIRECT("Table!A"&amp;$AM35):INDIRECT("Table!" &amp; $AP$91 &amp; $AM35),0)),"",INDIRECT(CONCATENATE("Table!",ADDRESS($AI35,MATCH(R$1,INDIRECT("Table!A" &amp; $AM35):INDIRECT("Table!" &amp; $AP$91 &amp; $AM35),0)))))</f>
        <v>0.63729162873229583</v>
      </c>
      <c r="S35" s="596" t="str">
        <f ca="1">IF(ISERROR(MATCH(S$1,INDIRECT("Table!A"&amp;$AM35):INDIRECT("Table!" &amp; $AP$91 &amp; $AM35),0)),"",INDIRECT(CONCATENATE("Table!",ADDRESS($AI35,MATCH(S$1,INDIRECT("Table!A" &amp; $AM35):INDIRECT("Table!" &amp; $AP$91 &amp; $AM35),0)))))</f>
        <v/>
      </c>
      <c r="T35" s="596">
        <f ca="1">IF(ISERROR(MATCH(T$1,INDIRECT("Table!A"&amp;$AM35):INDIRECT("Table!" &amp; $AP$65 &amp; $AM35),0)),"",INDIRECT(CONCATENATE("Table!",ADDRESS($AI35,MATCH(T$1,INDIRECT("Table!A" &amp; $AM35):INDIRECT("Table!" &amp; $AP$65 &amp; $AM35),0)))))</f>
        <v>0.28577386258896059</v>
      </c>
      <c r="U35" s="596">
        <f ca="1">IF(ISERROR(MATCH(U$1,INDIRECT("Table!A"&amp;$AM35):INDIRECT("Table!" &amp; $AP$65 &amp; $AM35),0)),"",INDIRECT(CONCATENATE("Table!",ADDRESS($AI35,MATCH(U$1,INDIRECT("Table!A" &amp; $AM35):INDIRECT("Table!" &amp; $AP$65 &amp; $AM35),0)))))</f>
        <v>7.0175593097610969E-2</v>
      </c>
      <c r="V35" s="596">
        <f ca="1">IF(ISERROR(MATCH(V$1,INDIRECT("Table!A"&amp;$AM35):INDIRECT("Table!" &amp; $AP$65 &amp; $AM35),0)),"",INDIRECT(CONCATENATE("Table!",ADDRESS($AI35,MATCH(V$1,INDIRECT("Table!A" &amp; $AM35):INDIRECT("Table!" &amp; $AP$65 &amp; $AM35),0)))))</f>
        <v>6.8465582957233179E-2</v>
      </c>
      <c r="W35" s="596">
        <f ca="1">IF(ISERROR(MATCH(W$1,INDIRECT("Table!A"&amp;$AM35):INDIRECT("Table!" &amp; $AP$65 &amp; $AM35),0)),"",INDIRECT(CONCATENATE("Table!",ADDRESS($AI35,MATCH(W$1,INDIRECT("Table!A" &amp; $AM35):INDIRECT("Table!" &amp; $AP$65 &amp; $AM35),0)))))</f>
        <v>3.0333719843634569E-5</v>
      </c>
      <c r="X35" s="596">
        <f ca="1">IF(ISERROR(MATCH(X$1,INDIRECT("Table!A"&amp;$AM35):INDIRECT("Table!" &amp; $AP$65 &amp; $AM35),0)),"",INDIRECT(CONCATENATE("Table!",ADDRESS($AI35,MATCH(X$1,INDIRECT("Table!A" &amp; $AM35):INDIRECT("Table!" &amp; $AP$65 &amp; $AM35),0)))))</f>
        <v>2.8640096612592574E-5</v>
      </c>
      <c r="Y35" s="596" t="str">
        <f ca="1">IF(ISERROR(MATCH(Y$1,INDIRECT("Table!A"&amp;$AM35):INDIRECT("Table!" &amp; $AP$65 &amp; $AM35),0)),"",INDIRECT(CONCATENATE("Table!",ADDRESS($AI35,MATCH(Y$1,INDIRECT("Table!A" &amp; $AM35):INDIRECT("Table!" &amp; $AP$65 &amp; $AM35),0)))))</f>
        <v/>
      </c>
      <c r="Z35" s="596" t="str">
        <f ca="1">IF(ISERROR(MATCH(Z$1,INDIRECT("Table!A"&amp;$AM35):INDIRECT("Table!" &amp; $AP$65 &amp; $AM35),0)),"",INDIRECT(CONCATENATE("Table!",ADDRESS($AI35,MATCH(Z$1,INDIRECT("Table!A" &amp; $AM35):INDIRECT("Table!" &amp; $AP$65 &amp; $AM35),0)))))</f>
        <v/>
      </c>
      <c r="AA35" s="596" t="str">
        <f ca="1">IF(ISERROR(MATCH(AA$1,INDIRECT("Table!A"&amp;$AM35):INDIRECT("Table!" &amp; $AP$65 &amp; $AM35),0)),"",INDIRECT(CONCATENATE("Table!",ADDRESS($AI35,MATCH(AA$1,INDIRECT("Table!A" &amp; $AM35):INDIRECT("Table!" &amp; $AP$65 &amp; $AM35),0)))))</f>
        <v/>
      </c>
      <c r="AB35" s="596" t="str">
        <f ca="1">IF(ISERROR(MATCH(AB$1,INDIRECT("Table!A"&amp;$AM35):INDIRECT("Table!" &amp; $AP$65 &amp; $AM35),0)),"",INDIRECT(CONCATENATE("Table!",ADDRESS($AI35,MATCH(AB$1,INDIRECT("Table!A" &amp; $AM35):INDIRECT("Table!" &amp; $AP$65 &amp; $AM35),0)))))</f>
        <v/>
      </c>
      <c r="AC35" s="596"/>
      <c r="AD35" s="596"/>
      <c r="AE35" s="596"/>
      <c r="AF35" s="596"/>
      <c r="AG35" s="596"/>
      <c r="AH35" s="596"/>
      <c r="AI35" s="595">
        <f>MATCH($A35,Table!$A:$A,0)+$AK$2-1</f>
        <v>468</v>
      </c>
      <c r="AJ35" s="769"/>
      <c r="AK35" s="769"/>
      <c r="AL35" s="769"/>
      <c r="AM35" s="595">
        <f>MATCH($A35,Table!$A:$A,0)+$AO$2-1</f>
        <v>465</v>
      </c>
      <c r="AN35" s="769"/>
      <c r="AP35" s="947" t="s">
        <v>302</v>
      </c>
    </row>
    <row r="36" spans="1:42" s="743" customFormat="1" ht="15.75" customHeight="1" x14ac:dyDescent="0.25">
      <c r="A36" s="592">
        <v>41739</v>
      </c>
      <c r="B36" s="596">
        <f ca="1">IF(ISERROR(MATCH(B$1,INDIRECT("Table!A"&amp;$AM36):INDIRECT("Table!" &amp; $AP$113 &amp; $AM36),0)),"",INDIRECT(CONCATENATE("Table!",ADDRESS($AI36,MATCH(B$1,INDIRECT("Table!A" &amp; $AM36):INDIRECT("Table!" &amp; $AP$112 &amp; $AM36),0)))))</f>
        <v>0.42175055915884591</v>
      </c>
      <c r="C36" s="596">
        <f ca="1">IF(ISERROR(MATCH(C$1,INDIRECT("Table!A"&amp;$AM36):INDIRECT("Table!" &amp; $AP$112 &amp; $AM36),0)),"",INDIRECT(CONCATENATE("Table!",ADDRESS($AI36,MATCH(C$1,INDIRECT("Table!A" &amp; $AM36):INDIRECT("Table!" &amp; $AP$112 &amp; $AM36),0)))))</f>
        <v>0.5567475236967061</v>
      </c>
      <c r="D36" s="596">
        <f ca="1">IF(ISERROR(MATCH(D$1,INDIRECT("Table!A"&amp;$AM36):INDIRECT("Table!" &amp; $AP$112 &amp; $AM36),0)),"",INDIRECT(CONCATENATE("Table!",ADDRESS($AI36,MATCH(D$1,INDIRECT("Table!A" &amp; $AM36):INDIRECT("Table!" &amp; $AP$112 &amp; $AM36),0)))))</f>
        <v>0.56566347787321936</v>
      </c>
      <c r="E36" s="596">
        <f ca="1">IF(ISERROR(MATCH(E$1,INDIRECT("Table!A"&amp;$AM36):INDIRECT("Table!" &amp; $AP$112 &amp; $AM36),0)),"",INDIRECT(CONCATENATE("Table!",ADDRESS($AI36,MATCH(E$1,INDIRECT("Table!A" &amp; $AM36):INDIRECT("Table!" &amp; $AP$112 &amp; $AM36),0)))))</f>
        <v>0.82636863539759609</v>
      </c>
      <c r="F36" s="596">
        <f ca="1">IF(ISERROR(MATCH(F$1,INDIRECT("Table!A"&amp;$AM36):INDIRECT("Table!" &amp; $AP$112 &amp; $AM36),0)),"",INDIRECT(CONCATENATE("Table!",ADDRESS($AI36,MATCH(F$1,INDIRECT("Table!A" &amp; $AM36):INDIRECT("Table!" &amp; $AP$112 &amp; $AM36),0)))))</f>
        <v>0.69521378668807843</v>
      </c>
      <c r="G36" s="596">
        <f ca="1">IF(ISERROR(MATCH(G$1,INDIRECT("Table!A"&amp;$AM36):INDIRECT("Table!" &amp; $AP$112 &amp; $AM36),0)),"",INDIRECT(CONCATENATE("Table!",ADDRESS($AI36,MATCH(G$1,INDIRECT("Table!A" &amp; $AM36):INDIRECT("Table!" &amp; $AP$112 &amp; $AM36),0)))))</f>
        <v>0.53042399969191667</v>
      </c>
      <c r="H36" s="596">
        <f ca="1">IF(ISERROR(MATCH(H$1,INDIRECT("Table!A"&amp;$AM36):INDIRECT("Table!" &amp; $AP$112 &amp; $AM36),0)),"",INDIRECT(CONCATENATE("Table!",ADDRESS($AI36,MATCH(H$1,INDIRECT("Table!A" &amp; $AM36):INDIRECT("Table!" &amp; $AP$112 &amp; $AM36),0)))))</f>
        <v>0.70575110989646783</v>
      </c>
      <c r="I36" s="596">
        <f ca="1">IF(ISERROR(MATCH(I$1,INDIRECT("Table!A"&amp;$AM36):INDIRECT("Table!" &amp; $AP$91 &amp; $AM36),0)),"",INDIRECT(CONCATENATE("Table!",ADDRESS($AI36,MATCH(I$1,INDIRECT("Table!A" &amp; $AM36):INDIRECT("Table!" &amp; $AP$91 &amp; $AM36),0)))))</f>
        <v>0.26867933662455989</v>
      </c>
      <c r="J36" s="596">
        <f ca="1">IF(ISERROR(MATCH(J$1,INDIRECT("Table!A"&amp;$AM36):INDIRECT("Table!" &amp; $AP$91 &amp; $AM36),0)),"",INDIRECT(CONCATENATE("Table!",ADDRESS($AI36,MATCH(J$1,INDIRECT("Table!A" &amp; $AM36):INDIRECT("Table!" &amp; $AP$91 &amp; $AM36),0)))))</f>
        <v>0.61931458999896782</v>
      </c>
      <c r="K36" s="596">
        <f ca="1">IF(ISERROR(MATCH(K$1,INDIRECT("Table!A"&amp;$AM36):INDIRECT("Table!" &amp; $AP$91 &amp; $AM36),0)),"",INDIRECT(CONCATENATE("Table!",ADDRESS($AI36,MATCH(K$1,INDIRECT("Table!A" &amp; $AM36):INDIRECT("Table!" &amp; $AP$91 &amp; $AM36),0)))))</f>
        <v>0.15712461039169692</v>
      </c>
      <c r="L36" s="596">
        <f ca="1">IF(ISERROR(MATCH(L$1,INDIRECT("Table!A"&amp;$AM36):INDIRECT("Table!" &amp; $AP$91 &amp; $AM36),0)),"",INDIRECT(CONCATENATE("Table!",ADDRESS($AI36,MATCH(L$1,INDIRECT("Table!A" &amp; $AM36):INDIRECT("Table!" &amp; $AP$91 &amp; $AM36),0)))))</f>
        <v>0.82109692269196721</v>
      </c>
      <c r="M36" s="596">
        <f ca="1">IF(ISERROR(MATCH(M$1,INDIRECT("Table!A"&amp;$AM36):INDIRECT("Table!" &amp; $AP$91 &amp; $AM36),0)),"",INDIRECT(CONCATENATE("Table!",ADDRESS($AI36,MATCH(M$1,INDIRECT("Table!A" &amp; $AM36):INDIRECT("Table!" &amp; $AP$91 &amp; $AM36),0)))))</f>
        <v>0.46752737609588241</v>
      </c>
      <c r="N36" s="596">
        <f ca="1">IF(ISERROR(MATCH(N$1,INDIRECT("Table!A"&amp;$AM36):INDIRECT("Table!" &amp; $AP$91 &amp; $AM36),0)),"",INDIRECT(CONCATENATE("Table!",ADDRESS($AI36,MATCH(N$1,INDIRECT("Table!A" &amp; $AM36):INDIRECT("Table!" &amp; $AP$91 &amp; $AM36),0)))))</f>
        <v>0.71278366257701209</v>
      </c>
      <c r="O36" s="596">
        <f ca="1">IF(ISERROR(MATCH(O$1,INDIRECT("Table!A"&amp;$AM36):INDIRECT("Table!" &amp; $AP$91 &amp; $AM36),0)),"",INDIRECT(CONCATENATE("Table!",ADDRESS($AI36,MATCH(O$1,INDIRECT("Table!A" &amp; $AM36):INDIRECT("Table!" &amp; $AP$91 &amp; $AM36),0)))))</f>
        <v>0.80970874630247158</v>
      </c>
      <c r="P36" s="596">
        <f ca="1">IF(ISERROR(MATCH(P$1,INDIRECT("Table!A"&amp;$AM36):INDIRECT("Table!" &amp; $AP$91 &amp; $AM36),0)),"",INDIRECT(CONCATENATE("Table!",ADDRESS($AI36,MATCH(P$1,INDIRECT("Table!A" &amp; $AM36):INDIRECT("Table!" &amp; $AP$91 &amp; $AM36),0)))))</f>
        <v>0.27841322369783761</v>
      </c>
      <c r="Q36" s="596">
        <f ca="1">IF(ISERROR(MATCH(Q$1,INDIRECT("Table!A"&amp;$AM36):INDIRECT("Table!" &amp; $AP$91 &amp; $AM36),0)),"",INDIRECT(CONCATENATE("Table!",ADDRESS($AI36,MATCH(Q$1,INDIRECT("Table!A" &amp; $AM36):INDIRECT("Table!" &amp; $AP$91 &amp; $AM36),0)))))</f>
        <v>0.6158031961473388</v>
      </c>
      <c r="R36" s="596">
        <f ca="1">IF(ISERROR(MATCH(R$1,INDIRECT("Table!A"&amp;$AM36):INDIRECT("Table!" &amp; $AP$91 &amp; $AM36),0)),"",INDIRECT(CONCATENATE("Table!",ADDRESS($AI36,MATCH(R$1,INDIRECT("Table!A" &amp; $AM36):INDIRECT("Table!" &amp; $AP$91 &amp; $AM36),0)))))</f>
        <v>0.62493261070588269</v>
      </c>
      <c r="S36" s="596" t="str">
        <f ca="1">IF(ISERROR(MATCH(S$1,INDIRECT("Table!A"&amp;$AM36):INDIRECT("Table!" &amp; $AP$91 &amp; $AM36),0)),"",INDIRECT(CONCATENATE("Table!",ADDRESS($AI36,MATCH(S$1,INDIRECT("Table!A" &amp; $AM36):INDIRECT("Table!" &amp; $AP$91 &amp; $AM36),0)))))</f>
        <v/>
      </c>
      <c r="T36" s="596">
        <f ca="1">IF(ISERROR(MATCH(T$1,INDIRECT("Table!A"&amp;$AM36):INDIRECT("Table!" &amp; $AP$65 &amp; $AM36),0)),"",INDIRECT(CONCATENATE("Table!",ADDRESS($AI36,MATCH(T$1,INDIRECT("Table!A" &amp; $AM36):INDIRECT("Table!" &amp; $AP$65 &amp; $AM36),0)))))</f>
        <v>0.22119641588975689</v>
      </c>
      <c r="U36" s="596">
        <f ca="1">IF(ISERROR(MATCH(U$1,INDIRECT("Table!A"&amp;$AM36):INDIRECT("Table!" &amp; $AP$65 &amp; $AM36),0)),"",INDIRECT(CONCATENATE("Table!",ADDRESS($AI36,MATCH(U$1,INDIRECT("Table!A" &amp; $AM36):INDIRECT("Table!" &amp; $AP$65 &amp; $AM36),0)))))</f>
        <v>6.9868341870807704E-2</v>
      </c>
      <c r="V36" s="596">
        <f ca="1">IF(ISERROR(MATCH(V$1,INDIRECT("Table!A"&amp;$AM36):INDIRECT("Table!" &amp; $AP$65 &amp; $AM36),0)),"",INDIRECT(CONCATENATE("Table!",ADDRESS($AI36,MATCH(V$1,INDIRECT("Table!A" &amp; $AM36):INDIRECT("Table!" &amp; $AP$65 &amp; $AM36),0)))))</f>
        <v>6.8165816612688043E-2</v>
      </c>
      <c r="W36" s="596" t="str">
        <f ca="1">IF(ISERROR(MATCH(W$1,INDIRECT("Table!A"&amp;$AM36):INDIRECT("Table!" &amp; $AP$65 &amp; $AM36),0)),"",INDIRECT(CONCATENATE("Table!",ADDRESS($AI36,MATCH(W$1,INDIRECT("Table!A" &amp; $AM36):INDIRECT("Table!" &amp; $AP$65 &amp; $AM36),0)))))</f>
        <v/>
      </c>
      <c r="X36" s="596" t="str">
        <f ca="1">IF(ISERROR(MATCH(X$1,INDIRECT("Table!A"&amp;$AM36):INDIRECT("Table!" &amp; $AP$65 &amp; $AM36),0)),"",INDIRECT(CONCATENATE("Table!",ADDRESS($AI36,MATCH(X$1,INDIRECT("Table!A" &amp; $AM36):INDIRECT("Table!" &amp; $AP$65 &amp; $AM36),0)))))</f>
        <v/>
      </c>
      <c r="Y36" s="596" t="str">
        <f ca="1">IF(ISERROR(MATCH(Y$1,INDIRECT("Table!A"&amp;$AM36):INDIRECT("Table!" &amp; $AP$65 &amp; $AM36),0)),"",INDIRECT(CONCATENATE("Table!",ADDRESS($AI36,MATCH(Y$1,INDIRECT("Table!A" &amp; $AM36):INDIRECT("Table!" &amp; $AP$65 &amp; $AM36),0)))))</f>
        <v/>
      </c>
      <c r="Z36" s="596" t="str">
        <f ca="1">IF(ISERROR(MATCH(Z$1,INDIRECT("Table!A"&amp;$AM36):INDIRECT("Table!" &amp; $AP$65 &amp; $AM36),0)),"",INDIRECT(CONCATENATE("Table!",ADDRESS($AI36,MATCH(Z$1,INDIRECT("Table!A" &amp; $AM36):INDIRECT("Table!" &amp; $AP$65 &amp; $AM36),0)))))</f>
        <v/>
      </c>
      <c r="AA36" s="596" t="str">
        <f ca="1">IF(ISERROR(MATCH(AA$1,INDIRECT("Table!A"&amp;$AM36):INDIRECT("Table!" &amp; $AP$65 &amp; $AM36),0)),"",INDIRECT(CONCATENATE("Table!",ADDRESS($AI36,MATCH(AA$1,INDIRECT("Table!A" &amp; $AM36):INDIRECT("Table!" &amp; $AP$65 &amp; $AM36),0)))))</f>
        <v/>
      </c>
      <c r="AB36" s="596" t="str">
        <f ca="1">IF(ISERROR(MATCH(AB$1,INDIRECT("Table!A"&amp;$AM36):INDIRECT("Table!" &amp; $AP$65 &amp; $AM36),0)),"",INDIRECT(CONCATENATE("Table!",ADDRESS($AI36,MATCH(AB$1,INDIRECT("Table!A" &amp; $AM36):INDIRECT("Table!" &amp; $AP$65 &amp; $AM36),0)))))</f>
        <v/>
      </c>
      <c r="AC36" s="596"/>
      <c r="AD36" s="596"/>
      <c r="AE36" s="596"/>
      <c r="AF36" s="596"/>
      <c r="AG36" s="596"/>
      <c r="AH36" s="596"/>
      <c r="AI36" s="595">
        <f>MATCH($A36,Table!$A:$A,0)+$AK$2-1</f>
        <v>482</v>
      </c>
      <c r="AJ36" s="764"/>
      <c r="AK36" s="764"/>
      <c r="AL36" s="764"/>
      <c r="AM36" s="595">
        <f>MATCH($A36,Table!$A:$A,0)+$AO$2-1</f>
        <v>479</v>
      </c>
      <c r="AN36" s="764"/>
      <c r="AP36" s="947" t="s">
        <v>302</v>
      </c>
    </row>
    <row r="37" spans="1:42" s="743" customFormat="1" ht="15.75" customHeight="1" x14ac:dyDescent="0.25">
      <c r="A37" s="592">
        <v>41732</v>
      </c>
      <c r="B37" s="596">
        <f ca="1">IF(ISERROR(MATCH(B$1,INDIRECT("Table!A"&amp;$AM37):INDIRECT("Table!" &amp; $AP$113 &amp; $AM37),0)),"",INDIRECT(CONCATENATE("Table!",ADDRESS($AI37,MATCH(B$1,INDIRECT("Table!A" &amp; $AM37):INDIRECT("Table!" &amp; $AP$112 &amp; $AM37),0)))))</f>
        <v>0.41818722142050346</v>
      </c>
      <c r="C37" s="596">
        <f ca="1">IF(ISERROR(MATCH(C$1,INDIRECT("Table!A"&amp;$AM37):INDIRECT("Table!" &amp; $AP$112 &amp; $AM37),0)),"",INDIRECT(CONCATENATE("Table!",ADDRESS($AI37,MATCH(C$1,INDIRECT("Table!A" &amp; $AM37):INDIRECT("Table!" &amp; $AP$112 &amp; $AM37),0)))))</f>
        <v>0.55370932262001493</v>
      </c>
      <c r="D37" s="596">
        <f ca="1">IF(ISERROR(MATCH(D$1,INDIRECT("Table!A"&amp;$AM37):INDIRECT("Table!" &amp; $AP$112 &amp; $AM37),0)),"",INDIRECT(CONCATENATE("Table!",ADDRESS($AI37,MATCH(D$1,INDIRECT("Table!A" &amp; $AM37):INDIRECT("Table!" &amp; $AP$112 &amp; $AM37),0)))))</f>
        <v>0.56266381072665028</v>
      </c>
      <c r="E37" s="596">
        <f ca="1">IF(ISERROR(MATCH(E$1,INDIRECT("Table!A"&amp;$AM37):INDIRECT("Table!" &amp; $AP$112 &amp; $AM37),0)),"",INDIRECT(CONCATENATE("Table!",ADDRESS($AI37,MATCH(E$1,INDIRECT("Table!A" &amp; $AM37):INDIRECT("Table!" &amp; $AP$112 &amp; $AM37),0)))))</f>
        <v>0.82532412301619573</v>
      </c>
      <c r="F37" s="596">
        <f ca="1">IF(ISERROR(MATCH(F$1,INDIRECT("Table!A"&amp;$AM37):INDIRECT("Table!" &amp; $AP$112 &amp; $AM37),0)),"",INDIRECT(CONCATENATE("Table!",ADDRESS($AI37,MATCH(F$1,INDIRECT("Table!A" &amp; $AM37):INDIRECT("Table!" &amp; $AP$112 &amp; $AM37),0)))))</f>
        <v>0.69374243284346515</v>
      </c>
      <c r="G37" s="596">
        <f ca="1">IF(ISERROR(MATCH(G$1,INDIRECT("Table!A"&amp;$AM37):INDIRECT("Table!" &amp; $AP$112 &amp; $AM37),0)),"",INDIRECT(CONCATENATE("Table!",ADDRESS($AI37,MATCH(G$1,INDIRECT("Table!A" &amp; $AM37):INDIRECT("Table!" &amp; $AP$112 &amp; $AM37),0)))))</f>
        <v>0.52918011322062619</v>
      </c>
      <c r="H37" s="596">
        <f ca="1">IF(ISERROR(MATCH(H$1,INDIRECT("Table!A"&amp;$AM37):INDIRECT("Table!" &amp; $AP$112 &amp; $AM37),0)),"",INDIRECT(CONCATENATE("Table!",ADDRESS($AI37,MATCH(H$1,INDIRECT("Table!A" &amp; $AM37):INDIRECT("Table!" &amp; $AP$112 &amp; $AM37),0)))))</f>
        <v>0.70290128535750729</v>
      </c>
      <c r="I37" s="596">
        <f ca="1">IF(ISERROR(MATCH(I$1,INDIRECT("Table!A"&amp;$AM37):INDIRECT("Table!" &amp; $AP$91 &amp; $AM37),0)),"",INDIRECT(CONCATENATE("Table!",ADDRESS($AI37,MATCH(I$1,INDIRECT("Table!A" &amp; $AM37):INDIRECT("Table!" &amp; $AP$91 &amp; $AM37),0)))))</f>
        <v>0.26061324233988992</v>
      </c>
      <c r="J37" s="596">
        <f ca="1">IF(ISERROR(MATCH(J$1,INDIRECT("Table!A"&amp;$AM37):INDIRECT("Table!" &amp; $AP$91 &amp; $AM37),0)),"",INDIRECT(CONCATENATE("Table!",ADDRESS($AI37,MATCH(J$1,INDIRECT("Table!A" &amp; $AM37):INDIRECT("Table!" &amp; $AP$91 &amp; $AM37),0)))))</f>
        <v>0.61362837367117351</v>
      </c>
      <c r="K37" s="596">
        <f ca="1">IF(ISERROR(MATCH(K$1,INDIRECT("Table!A"&amp;$AM37):INDIRECT("Table!" &amp; $AP$91 &amp; $AM37),0)),"",INDIRECT(CONCATENATE("Table!",ADDRESS($AI37,MATCH(K$1,INDIRECT("Table!A" &amp; $AM37):INDIRECT("Table!" &amp; $AP$91 &amp; $AM37),0)))))</f>
        <v>0.14275507070966728</v>
      </c>
      <c r="L37" s="596">
        <f ca="1">IF(ISERROR(MATCH(L$1,INDIRECT("Table!A"&amp;$AM37):INDIRECT("Table!" &amp; $AP$91 &amp; $AM37),0)),"",INDIRECT(CONCATENATE("Table!",ADDRESS($AI37,MATCH(L$1,INDIRECT("Table!A" &amp; $AM37):INDIRECT("Table!" &amp; $AP$91 &amp; $AM37),0)))))</f>
        <v>0.82046023112577326</v>
      </c>
      <c r="M37" s="596">
        <f ca="1">IF(ISERROR(MATCH(M$1,INDIRECT("Table!A"&amp;$AM37):INDIRECT("Table!" &amp; $AP$91 &amp; $AM37),0)),"",INDIRECT(CONCATENATE("Table!",ADDRESS($AI37,MATCH(M$1,INDIRECT("Table!A" &amp; $AM37):INDIRECT("Table!" &amp; $AP$91 &amp; $AM37),0)))))</f>
        <v>0.46492320408087356</v>
      </c>
      <c r="N37" s="596">
        <f ca="1">IF(ISERROR(MATCH(N$1,INDIRECT("Table!A"&amp;$AM37):INDIRECT("Table!" &amp; $AP$91 &amp; $AM37),0)),"",INDIRECT(CONCATENATE("Table!",ADDRESS($AI37,MATCH(N$1,INDIRECT("Table!A" &amp; $AM37):INDIRECT("Table!" &amp; $AP$91 &amp; $AM37),0)))))</f>
        <v>0.7174140281410617</v>
      </c>
      <c r="O37" s="596">
        <f ca="1">IF(ISERROR(MATCH(O$1,INDIRECT("Table!A"&amp;$AM37):INDIRECT("Table!" &amp; $AP$91 &amp; $AM37),0)),"",INDIRECT(CONCATENATE("Table!",ADDRESS($AI37,MATCH(O$1,INDIRECT("Table!A" &amp; $AM37):INDIRECT("Table!" &amp; $AP$91 &amp; $AM37),0)))))</f>
        <v>0.8071719013915164</v>
      </c>
      <c r="P37" s="596">
        <f ca="1">IF(ISERROR(MATCH(P$1,INDIRECT("Table!A"&amp;$AM37):INDIRECT("Table!" &amp; $AP$91 &amp; $AM37),0)),"",INDIRECT(CONCATENATE("Table!",ADDRESS($AI37,MATCH(P$1,INDIRECT("Table!A" &amp; $AM37):INDIRECT("Table!" &amp; $AP$91 &amp; $AM37),0)))))</f>
        <v>0.27034109356108227</v>
      </c>
      <c r="Q37" s="596">
        <f ca="1">IF(ISERROR(MATCH(Q$1,INDIRECT("Table!A"&amp;$AM37):INDIRECT("Table!" &amp; $AP$91 &amp; $AM37),0)),"",INDIRECT(CONCATENATE("Table!",ADDRESS($AI37,MATCH(Q$1,INDIRECT("Table!A" &amp; $AM37):INDIRECT("Table!" &amp; $AP$91 &amp; $AM37),0)))))</f>
        <v>0.60439457212310732</v>
      </c>
      <c r="R37" s="596">
        <f ca="1">IF(ISERROR(MATCH(R$1,INDIRECT("Table!A"&amp;$AM37):INDIRECT("Table!" &amp; $AP$91 &amp; $AM37),0)),"",INDIRECT(CONCATENATE("Table!",ADDRESS($AI37,MATCH(R$1,INDIRECT("Table!A" &amp; $AM37):INDIRECT("Table!" &amp; $AP$91 &amp; $AM37),0)))))</f>
        <v>0.55907988175187173</v>
      </c>
      <c r="S37" s="596" t="str">
        <f ca="1">IF(ISERROR(MATCH(S$1,INDIRECT("Table!A"&amp;$AM37):INDIRECT("Table!" &amp; $AP$91 &amp; $AM37),0)),"",INDIRECT(CONCATENATE("Table!",ADDRESS($AI37,MATCH(S$1,INDIRECT("Table!A" &amp; $AM37):INDIRECT("Table!" &amp; $AP$91 &amp; $AM37),0)))))</f>
        <v/>
      </c>
      <c r="T37" s="596">
        <f ca="1">IF(ISERROR(MATCH(T$1,INDIRECT("Table!A"&amp;$AM37):INDIRECT("Table!" &amp; $AP$65 &amp; $AM37),0)),"",INDIRECT(CONCATENATE("Table!",ADDRESS($AI37,MATCH(T$1,INDIRECT("Table!A" &amp; $AM37):INDIRECT("Table!" &amp; $AP$65 &amp; $AM37),0)))))</f>
        <v>0.22119641588975689</v>
      </c>
      <c r="U37" s="596">
        <f ca="1">IF(ISERROR(MATCH(U$1,INDIRECT("Table!A"&amp;$AM37):INDIRECT("Table!" &amp; $AP$65 &amp; $AM37),0)),"",INDIRECT(CONCATENATE("Table!",ADDRESS($AI37,MATCH(U$1,INDIRECT("Table!A" &amp; $AM37):INDIRECT("Table!" &amp; $AP$65 &amp; $AM37),0)))))</f>
        <v>6.9826266065863313E-2</v>
      </c>
      <c r="V37" s="596">
        <f ca="1">IF(ISERROR(MATCH(V$1,INDIRECT("Table!A"&amp;$AM37):INDIRECT("Table!" &amp; $AP$65 &amp; $AM37),0)),"",INDIRECT(CONCATENATE("Table!",ADDRESS($AI37,MATCH(V$1,INDIRECT("Table!A" &amp; $AM37):INDIRECT("Table!" &amp; $AP$65 &amp; $AM37),0)))))</f>
        <v>6.8124765807543328E-2</v>
      </c>
      <c r="W37" s="596" t="str">
        <f ca="1">IF(ISERROR(MATCH(W$1,INDIRECT("Table!A"&amp;$AM37):INDIRECT("Table!" &amp; $AP$65 &amp; $AM37),0)),"",INDIRECT(CONCATENATE("Table!",ADDRESS($AI37,MATCH(W$1,INDIRECT("Table!A" &amp; $AM37):INDIRECT("Table!" &amp; $AP$65 &amp; $AM37),0)))))</f>
        <v/>
      </c>
      <c r="X37" s="596"/>
      <c r="Y37" s="596"/>
      <c r="Z37" s="596"/>
      <c r="AA37" s="596"/>
      <c r="AB37" s="596"/>
      <c r="AC37" s="596"/>
      <c r="AD37" s="596"/>
      <c r="AE37" s="596"/>
      <c r="AF37" s="596"/>
      <c r="AG37" s="596"/>
      <c r="AH37" s="596"/>
      <c r="AI37" s="595">
        <f>MATCH($A37,Table!$A:$A,0)+$AK$2-1</f>
        <v>496</v>
      </c>
      <c r="AJ37" s="759"/>
      <c r="AK37" s="759"/>
      <c r="AL37" s="759"/>
      <c r="AM37" s="595">
        <f>MATCH($A37,Table!$A:$A,0)+$AO$2-1</f>
        <v>493</v>
      </c>
      <c r="AN37" s="759"/>
      <c r="AP37" s="947" t="s">
        <v>302</v>
      </c>
    </row>
    <row r="38" spans="1:42" s="743" customFormat="1" ht="15.75" customHeight="1" x14ac:dyDescent="0.25">
      <c r="A38" s="592">
        <v>41725</v>
      </c>
      <c r="B38" s="596">
        <f ca="1">IF(ISERROR(MATCH(B$1,INDIRECT("Table!A"&amp;$AM38):INDIRECT("Table!" &amp; $AP$113 &amp; $AM38),0)),"",INDIRECT(CONCATENATE("Table!",ADDRESS($AI38,MATCH(B$1,INDIRECT("Table!A" &amp; $AM38):INDIRECT("Table!" &amp; $AP$112 &amp; $AM38),0)))))</f>
        <v>0.41609097570418818</v>
      </c>
      <c r="C38" s="596">
        <f ca="1">IF(ISERROR(MATCH(C$1,INDIRECT("Table!A"&amp;$AM38):INDIRECT("Table!" &amp; $AP$112 &amp; $AM38),0)),"",INDIRECT(CONCATENATE("Table!",ADDRESS($AI38,MATCH(C$1,INDIRECT("Table!A" &amp; $AM38):INDIRECT("Table!" &amp; $AP$112 &amp; $AM38),0)))))</f>
        <v>0.55306221834520686</v>
      </c>
      <c r="D38" s="596">
        <f ca="1">IF(ISERROR(MATCH(D$1,INDIRECT("Table!A"&amp;$AM38):INDIRECT("Table!" &amp; $AP$112 &amp; $AM38),0)),"",INDIRECT(CONCATENATE("Table!",ADDRESS($AI38,MATCH(D$1,INDIRECT("Table!A" &amp; $AM38):INDIRECT("Table!" &amp; $AP$112 &amp; $AM38),0)))))</f>
        <v>0.56197817252172022</v>
      </c>
      <c r="E38" s="596">
        <f ca="1">IF(ISERROR(MATCH(E$1,INDIRECT("Table!A"&amp;$AM38):INDIRECT("Table!" &amp; $AP$112 &amp; $AM38),0)),"",INDIRECT(CONCATENATE("Table!",ADDRESS($AI38,MATCH(E$1,INDIRECT("Table!A" &amp; $AM38):INDIRECT("Table!" &amp; $AP$112 &amp; $AM38),0)))))</f>
        <v>0.82396367448576591</v>
      </c>
      <c r="F38" s="596">
        <f ca="1">IF(ISERROR(MATCH(F$1,INDIRECT("Table!A"&amp;$AM38):INDIRECT("Table!" &amp; $AP$112 &amp; $AM38),0)),"",INDIRECT(CONCATENATE("Table!",ADDRESS($AI38,MATCH(F$1,INDIRECT("Table!A" &amp; $AM38):INDIRECT("Table!" &amp; $AP$112 &amp; $AM38),0)))))</f>
        <v>0.69109954592536327</v>
      </c>
      <c r="G38" s="596">
        <f ca="1">IF(ISERROR(MATCH(G$1,INDIRECT("Table!A"&amp;$AM38):INDIRECT("Table!" &amp; $AP$112 &amp; $AM38),0)),"",INDIRECT(CONCATENATE("Table!",ADDRESS($AI38,MATCH(G$1,INDIRECT("Table!A" &amp; $AM38):INDIRECT("Table!" &amp; $AP$112 &amp; $AM38),0)))))</f>
        <v>0.52777242910874056</v>
      </c>
      <c r="H38" s="596">
        <f ca="1">IF(ISERROR(MATCH(H$1,INDIRECT("Table!A"&amp;$AM38):INDIRECT("Table!" &amp; $AP$112 &amp; $AM38),0)),"",INDIRECT(CONCATENATE("Table!",ADDRESS($AI38,MATCH(H$1,INDIRECT("Table!A" &amp; $AM38):INDIRECT("Table!" &amp; $AP$112 &amp; $AM38),0)))))</f>
        <v>0.69767147064552792</v>
      </c>
      <c r="I38" s="596">
        <f ca="1">IF(ISERROR(MATCH(I$1,INDIRECT("Table!A"&amp;$AM38):INDIRECT("Table!" &amp; $AP$91 &amp; $AM38),0)),"",INDIRECT(CONCATENATE("Table!",ADDRESS($AI38,MATCH(I$1,INDIRECT("Table!A" &amp; $AM38):INDIRECT("Table!" &amp; $AP$91 &amp; $AM38),0)))))</f>
        <v>0.25961491565102884</v>
      </c>
      <c r="J38" s="596">
        <f ca="1">IF(ISERROR(MATCH(J$1,INDIRECT("Table!A"&amp;$AM38):INDIRECT("Table!" &amp; $AP$91 &amp; $AM38),0)),"",INDIRECT(CONCATENATE("Table!",ADDRESS($AI38,MATCH(J$1,INDIRECT("Table!A" &amp; $AM38):INDIRECT("Table!" &amp; $AP$91 &amp; $AM38),0)))))</f>
        <v>0.60936532407885236</v>
      </c>
      <c r="K38" s="596">
        <f ca="1">IF(ISERROR(MATCH(K$1,INDIRECT("Table!A"&amp;$AM38):INDIRECT("Table!" &amp; $AP$91 &amp; $AM38),0)),"",INDIRECT(CONCATENATE("Table!",ADDRESS($AI38,MATCH(K$1,INDIRECT("Table!A" &amp; $AM38):INDIRECT("Table!" &amp; $AP$91 &amp; $AM38),0)))))</f>
        <v>0.14091012142568968</v>
      </c>
      <c r="L38" s="596">
        <f ca="1">IF(ISERROR(MATCH(L$1,INDIRECT("Table!A"&amp;$AM38):INDIRECT("Table!" &amp; $AP$91 &amp; $AM38),0)),"",INDIRECT(CONCATENATE("Table!",ADDRESS($AI38,MATCH(L$1,INDIRECT("Table!A" &amp; $AM38):INDIRECT("Table!" &amp; $AP$91 &amp; $AM38),0)))))</f>
        <v>0.81976499916333856</v>
      </c>
      <c r="M38" s="596">
        <f ca="1">IF(ISERROR(MATCH(M$1,INDIRECT("Table!A"&amp;$AM38):INDIRECT("Table!" &amp; $AP$91 &amp; $AM38),0)),"",INDIRECT(CONCATENATE("Table!",ADDRESS($AI38,MATCH(M$1,INDIRECT("Table!A" &amp; $AM38):INDIRECT("Table!" &amp; $AP$91 &amp; $AM38),0)))))</f>
        <v>0.46427124829337962</v>
      </c>
      <c r="N38" s="596">
        <f ca="1">IF(ISERROR(MATCH(N$1,INDIRECT("Table!A"&amp;$AM38):INDIRECT("Table!" &amp; $AP$91 &amp; $AM38),0)),"",INDIRECT(CONCATENATE("Table!",ADDRESS($AI38,MATCH(N$1,INDIRECT("Table!A" &amp; $AM38):INDIRECT("Table!" &amp; $AP$91 &amp; $AM38),0)))))</f>
        <v>0.7148345110960177</v>
      </c>
      <c r="O38" s="596">
        <f ca="1">IF(ISERROR(MATCH(O$1,INDIRECT("Table!A"&amp;$AM38):INDIRECT("Table!" &amp; $AP$91 &amp; $AM38),0)),"",INDIRECT(CONCATENATE("Table!",ADDRESS($AI38,MATCH(O$1,INDIRECT("Table!A" &amp; $AM38):INDIRECT("Table!" &amp; $AP$91 &amp; $AM38),0)))))</f>
        <v>0.80071191002511843</v>
      </c>
      <c r="P38" s="596">
        <f ca="1">IF(ISERROR(MATCH(P$1,INDIRECT("Table!A"&amp;$AM38):INDIRECT("Table!" &amp; $AP$91 &amp; $AM38),0)),"",INDIRECT(CONCATENATE("Table!",ADDRESS($AI38,MATCH(P$1,INDIRECT("Table!A" &amp; $AM38):INDIRECT("Table!" &amp; $AP$91 &amp; $AM38),0)))))</f>
        <v>0.26874424967605504</v>
      </c>
      <c r="Q38" s="596">
        <f ca="1">IF(ISERROR(MATCH(Q$1,INDIRECT("Table!A"&amp;$AM38):INDIRECT("Table!" &amp; $AP$91 &amp; $AM38),0)),"",INDIRECT(CONCATENATE("Table!",ADDRESS($AI38,MATCH(Q$1,INDIRECT("Table!A" &amp; $AM38):INDIRECT("Table!" &amp; $AP$91 &amp; $AM38),0)))))</f>
        <v>0.60289836769158667</v>
      </c>
      <c r="R38" s="596">
        <f ca="1">IF(ISERROR(MATCH(R$1,INDIRECT("Table!A"&amp;$AM38):INDIRECT("Table!" &amp; $AP$91 &amp; $AM38),0)),"",INDIRECT(CONCATENATE("Table!",ADDRESS($AI38,MATCH(R$1,INDIRECT("Table!A" &amp; $AM38):INDIRECT("Table!" &amp; $AP$91 &amp; $AM38),0)))))</f>
        <v>0.5356922263994659</v>
      </c>
      <c r="S38" s="596" t="str">
        <f ca="1">IF(ISERROR(MATCH(S$1,INDIRECT("Table!A"&amp;$AM38):INDIRECT("Table!" &amp; $AP$91 &amp; $AM38),0)),"",INDIRECT(CONCATENATE("Table!",ADDRESS($AI38,MATCH(S$1,INDIRECT("Table!A" &amp; $AM38):INDIRECT("Table!" &amp; $AP$91 &amp; $AM38),0)))))</f>
        <v/>
      </c>
      <c r="T38" s="596">
        <f ca="1">IF(ISERROR(MATCH(T$1,INDIRECT("Table!A"&amp;$AM38):INDIRECT("Table!" &amp; $AP$65 &amp; $AM38),0)),"",INDIRECT(CONCATENATE("Table!",ADDRESS($AI38,MATCH(T$1,INDIRECT("Table!A" &amp; $AM38):INDIRECT("Table!" &amp; $AP$65 &amp; $AM38),0)))))</f>
        <v>0.22119641588975689</v>
      </c>
      <c r="U38" s="596">
        <f ca="1">IF(ISERROR(MATCH(U$1,INDIRECT("Table!A"&amp;$AM38):INDIRECT("Table!" &amp; $AP$65 &amp; $AM38),0)),"",INDIRECT(CONCATENATE("Table!",ADDRESS($AI38,MATCH(U$1,INDIRECT("Table!A" &amp; $AM38):INDIRECT("Table!" &amp; $AP$65 &amp; $AM38),0)))))</f>
        <v>6.1437524768460761E-2</v>
      </c>
      <c r="V38" s="596">
        <f ca="1">IF(ISERROR(MATCH(V$1,INDIRECT("Table!A"&amp;$AM38):INDIRECT("Table!" &amp; $AP$65 &amp; $AM38),0)),"",INDIRECT(CONCATENATE("Table!",ADDRESS($AI38,MATCH(V$1,INDIRECT("Table!A" &amp; $AM38):INDIRECT("Table!" &amp; $AP$65 &amp; $AM38),0)))))</f>
        <v>5.9940380865551451E-2</v>
      </c>
      <c r="W38" s="596" t="str">
        <f ca="1">IF(ISERROR(MATCH(W$1,INDIRECT("Table!A"&amp;$AM38):INDIRECT("Table!" &amp; $AP$65 &amp; $AM38),0)),"",INDIRECT(CONCATENATE("Table!",ADDRESS($AI38,MATCH(W$1,INDIRECT("Table!A" &amp; $AM38):INDIRECT("Table!" &amp; $AP$65 &amp; $AM38),0)))))</f>
        <v/>
      </c>
      <c r="X38" s="596"/>
      <c r="Y38" s="596"/>
      <c r="Z38" s="596"/>
      <c r="AA38" s="596"/>
      <c r="AB38" s="596"/>
      <c r="AC38" s="596"/>
      <c r="AD38" s="596"/>
      <c r="AE38" s="596"/>
      <c r="AF38" s="596"/>
      <c r="AG38" s="596"/>
      <c r="AH38" s="596"/>
      <c r="AI38" s="595">
        <f>MATCH($A38,Table!$A:$A,0)+$AK$2-1</f>
        <v>510</v>
      </c>
      <c r="AJ38" s="742"/>
      <c r="AK38" s="742"/>
      <c r="AL38" s="742"/>
      <c r="AM38" s="595">
        <f>MATCH($A38,Table!$A:$A,0)+$AO$2-1</f>
        <v>507</v>
      </c>
      <c r="AN38" s="742"/>
      <c r="AP38" s="947" t="s">
        <v>302</v>
      </c>
    </row>
    <row r="39" spans="1:42" s="743" customFormat="1" ht="15.75" customHeight="1" x14ac:dyDescent="0.25">
      <c r="A39" s="592">
        <v>41709</v>
      </c>
      <c r="B39" s="596">
        <f ca="1">IF(ISERROR(MATCH(B$1,INDIRECT("Table!A"&amp;$AM39):INDIRECT("Table!" &amp; $AP$113 &amp; $AM39),0)),"",INDIRECT(CONCATENATE("Table!",ADDRESS($AI39,MATCH(B$1,INDIRECT("Table!A" &amp; $AM39):INDIRECT("Table!" &amp; $AP$112 &amp; $AM39),0)))))</f>
        <v>0.4051489810349958</v>
      </c>
      <c r="C39" s="596">
        <f ca="1">IF(ISERROR(MATCH(C$1,INDIRECT("Table!A"&amp;$AM39):INDIRECT("Table!" &amp; $AP$112 &amp; $AM39),0)),"",INDIRECT(CONCATENATE("Table!",ADDRESS($AI39,MATCH(C$1,INDIRECT("Table!A" &amp; $AM39):INDIRECT("Table!" &amp; $AP$112 &amp; $AM39),0)))))</f>
        <v>0.55216397914649995</v>
      </c>
      <c r="D39" s="596">
        <f ca="1">IF(ISERROR(MATCH(D$1,INDIRECT("Table!A"&amp;$AM39):INDIRECT("Table!" &amp; $AP$112 &amp; $AM39),0)),"",INDIRECT(CONCATENATE("Table!",ADDRESS($AI39,MATCH(D$1,INDIRECT("Table!A" &amp; $AM39):INDIRECT("Table!" &amp; $AP$112 &amp; $AM39),0)))))</f>
        <v>0.56108126207922437</v>
      </c>
      <c r="E39" s="596">
        <f ca="1">IF(ISERROR(MATCH(E$1,INDIRECT("Table!A"&amp;$AM39):INDIRECT("Table!" &amp; $AP$112 &amp; $AM39),0)),"",INDIRECT(CONCATENATE("Table!",ADDRESS($AI39,MATCH(E$1,INDIRECT("Table!A" &amp; $AM39):INDIRECT("Table!" &amp; $AP$112 &amp; $AM39),0)))))</f>
        <v>0.80805203111229307</v>
      </c>
      <c r="F39" s="596">
        <f ca="1">IF(ISERROR(MATCH(F$1,INDIRECT("Table!A"&amp;$AM39):INDIRECT("Table!" &amp; $AP$112 &amp; $AM39),0)),"",INDIRECT(CONCATENATE("Table!",ADDRESS($AI39,MATCH(F$1,INDIRECT("Table!A" &amp; $AM39):INDIRECT("Table!" &amp; $AP$112 &amp; $AM39),0)))))</f>
        <v>0.69110256223090782</v>
      </c>
      <c r="G39" s="596">
        <f ca="1">IF(ISERROR(MATCH(G$1,INDIRECT("Table!A"&amp;$AM39):INDIRECT("Table!" &amp; $AP$112 &amp; $AM39),0)),"",INDIRECT(CONCATENATE("Table!",ADDRESS($AI39,MATCH(G$1,INDIRECT("Table!A" &amp; $AM39):INDIRECT("Table!" &amp; $AP$112 &amp; $AM39),0)))))</f>
        <v>0.52144670800118098</v>
      </c>
      <c r="H39" s="596">
        <f ca="1">IF(ISERROR(MATCH(H$1,INDIRECT("Table!A"&amp;$AM39):INDIRECT("Table!" &amp; $AP$112 &amp; $AM39),0)),"",INDIRECT(CONCATENATE("Table!",ADDRESS($AI39,MATCH(H$1,INDIRECT("Table!A" &amp; $AM39):INDIRECT("Table!" &amp; $AP$112 &amp; $AM39),0)))))</f>
        <v>0.6887888100339874</v>
      </c>
      <c r="I39" s="596">
        <f ca="1">IF(ISERROR(MATCH(I$1,INDIRECT("Table!A"&amp;$AM39):INDIRECT("Table!" &amp; $AP$91 &amp; $AM39),0)),"",INDIRECT(CONCATENATE("Table!",ADDRESS($AI39,MATCH(I$1,INDIRECT("Table!A" &amp; $AM39):INDIRECT("Table!" &amp; $AP$91 &amp; $AM39),0)))))</f>
        <v>0.245810550350167</v>
      </c>
      <c r="J39" s="596">
        <f ca="1">IF(ISERROR(MATCH(J$1,INDIRECT("Table!A"&amp;$AM39):INDIRECT("Table!" &amp; $AP$91 &amp; $AM39),0)),"",INDIRECT(CONCATENATE("Table!",ADDRESS($AI39,MATCH(J$1,INDIRECT("Table!A" &amp; $AM39):INDIRECT("Table!" &amp; $AP$91 &amp; $AM39),0)))))</f>
        <v>0.52744575033543195</v>
      </c>
      <c r="K39" s="596">
        <f ca="1">IF(ISERROR(MATCH(K$1,INDIRECT("Table!A"&amp;$AM39):INDIRECT("Table!" &amp; $AP$91 &amp; $AM39),0)),"",INDIRECT(CONCATENATE("Table!",ADDRESS($AI39,MATCH(K$1,INDIRECT("Table!A" &amp; $AM39):INDIRECT("Table!" &amp; $AP$91 &amp; $AM39),0)))))</f>
        <v>0.11505539310719091</v>
      </c>
      <c r="L39" s="596">
        <f ca="1">IF(ISERROR(MATCH(L$1,INDIRECT("Table!A"&amp;$AM39):INDIRECT("Table!" &amp; $AP$91 &amp; $AM39),0)),"",INDIRECT(CONCATENATE("Table!",ADDRESS($AI39,MATCH(L$1,INDIRECT("Table!A" &amp; $AM39):INDIRECT("Table!" &amp; $AP$91 &amp; $AM39),0)))))</f>
        <v>0.81026694938742394</v>
      </c>
      <c r="M39" s="596">
        <f ca="1">IF(ISERROR(MATCH(M$1,INDIRECT("Table!A"&amp;$AM39):INDIRECT("Table!" &amp; $AP$91 &amp; $AM39),0)),"",INDIRECT(CONCATENATE("Table!",ADDRESS($AI39,MATCH(M$1,INDIRECT("Table!A" &amp; $AM39):INDIRECT("Table!" &amp; $AP$91 &amp; $AM39),0)))))</f>
        <v>0.46092589588012772</v>
      </c>
      <c r="N39" s="596">
        <f ca="1">IF(ISERROR(MATCH(N$1,INDIRECT("Table!A"&amp;$AM39):INDIRECT("Table!" &amp; $AP$91 &amp; $AM39),0)),"",INDIRECT(CONCATENATE("Table!",ADDRESS($AI39,MATCH(N$1,INDIRECT("Table!A" &amp; $AM39):INDIRECT("Table!" &amp; $AP$91 &amp; $AM39),0)))))</f>
        <v>0.71232965794303382</v>
      </c>
      <c r="O39" s="596">
        <f ca="1">IF(ISERROR(MATCH(O$1,INDIRECT("Table!A"&amp;$AM39):INDIRECT("Table!" &amp; $AP$91 &amp; $AM39),0)),"",INDIRECT(CONCATENATE("Table!",ADDRESS($AI39,MATCH(O$1,INDIRECT("Table!A" &amp; $AM39):INDIRECT("Table!" &amp; $AP$91 &amp; $AM39),0)))))</f>
        <v>0.79081549876435187</v>
      </c>
      <c r="P39" s="596">
        <f ca="1">IF(ISERROR(MATCH(P$1,INDIRECT("Table!A"&amp;$AM39):INDIRECT("Table!" &amp; $AP$91 &amp; $AM39),0)),"",INDIRECT(CONCATENATE("Table!",ADDRESS($AI39,MATCH(P$1,INDIRECT("Table!A" &amp; $AM39):INDIRECT("Table!" &amp; $AP$91 &amp; $AM39),0)))))</f>
        <v>0.25488687216096573</v>
      </c>
      <c r="Q39" s="596">
        <f ca="1">IF(ISERROR(MATCH(Q$1,INDIRECT("Table!A"&amp;$AM39):INDIRECT("Table!" &amp; $AP$91 &amp; $AM39),0)),"",INDIRECT(CONCATENATE("Table!",ADDRESS($AI39,MATCH(Q$1,INDIRECT("Table!A" &amp; $AM39):INDIRECT("Table!" &amp; $AP$91 &amp; $AM39),0)))))</f>
        <v>0.56088931009684884</v>
      </c>
      <c r="R39" s="596">
        <f ca="1">IF(ISERROR(MATCH(R$1,INDIRECT("Table!A"&amp;$AM39):INDIRECT("Table!" &amp; $AP$91 &amp; $AM39),0)),"",INDIRECT(CONCATENATE("Table!",ADDRESS($AI39,MATCH(R$1,INDIRECT("Table!A" &amp; $AM39):INDIRECT("Table!" &amp; $AP$91 &amp; $AM39),0)))))</f>
        <v>0.51607301607703271</v>
      </c>
      <c r="S39" s="596" t="str">
        <f ca="1">IF(ISERROR(MATCH(S$1,INDIRECT("Table!A"&amp;$AM39):INDIRECT("Table!" &amp; $AP$91 &amp; $AM39),0)),"",INDIRECT(CONCATENATE("Table!",ADDRESS($AI39,MATCH(S$1,INDIRECT("Table!A" &amp; $AM39):INDIRECT("Table!" &amp; $AP$91 &amp; $AM39),0)))))</f>
        <v/>
      </c>
      <c r="T39" s="596">
        <f ca="1">IF(ISERROR(MATCH(T$1,INDIRECT("Table!A"&amp;$AM39):INDIRECT("Table!" &amp; $AP$65 &amp; $AM39),0)),"",INDIRECT(CONCATENATE("Table!",ADDRESS($AI39,MATCH(T$1,INDIRECT("Table!A" &amp; $AM39):INDIRECT("Table!" &amp; $AP$65 &amp; $AM39),0)))))</f>
        <v>0.22119641588975689</v>
      </c>
      <c r="U39" s="596">
        <f ca="1">IF(ISERROR(MATCH(U$1,INDIRECT("Table!A"&amp;$AM39):INDIRECT("Table!" &amp; $AP$65 &amp; $AM39),0)),"",INDIRECT(CONCATENATE("Table!",ADDRESS($AI39,MATCH(U$1,INDIRECT("Table!A" &amp; $AM39):INDIRECT("Table!" &amp; $AP$65 &amp; $AM39),0)))))</f>
        <v>3.14188842083633E-2</v>
      </c>
      <c r="V39" s="596">
        <f ca="1">IF(ISERROR(MATCH(V$1,INDIRECT("Table!A"&amp;$AM39):INDIRECT("Table!" &amp; $AP$65 &amp; $AM39),0)),"",INDIRECT(CONCATENATE("Table!",ADDRESS($AI39,MATCH(V$1,INDIRECT("Table!A" &amp; $AM39):INDIRECT("Table!" &amp; $AP$65 &amp; $AM39),0)))))</f>
        <v>3.0652540734570747E-2</v>
      </c>
      <c r="W39" s="596" t="str">
        <f ca="1">IF(ISERROR(MATCH(W$1,INDIRECT("Table!A"&amp;$AM39):INDIRECT("Table!" &amp; $AP$65 &amp; $AM39),0)),"",INDIRECT(CONCATENATE("Table!",ADDRESS($AI39,MATCH(W$1,INDIRECT("Table!A" &amp; $AM39):INDIRECT("Table!" &amp; $AP$65 &amp; $AM39),0)))))</f>
        <v/>
      </c>
      <c r="X39" s="596"/>
      <c r="Y39" s="596"/>
      <c r="Z39" s="596"/>
      <c r="AA39" s="596"/>
      <c r="AB39" s="596"/>
      <c r="AC39" s="596"/>
      <c r="AD39" s="596"/>
      <c r="AE39" s="596"/>
      <c r="AF39" s="596"/>
      <c r="AG39" s="596"/>
      <c r="AH39" s="596"/>
      <c r="AI39" s="595">
        <f>MATCH($A39,Table!$A:$A,0)+$AK$2-1</f>
        <v>524</v>
      </c>
      <c r="AJ39" s="737"/>
      <c r="AK39" s="737"/>
      <c r="AL39" s="737"/>
      <c r="AM39" s="595">
        <f>MATCH($A39,Table!$A:$A,0)+$AO$2-1</f>
        <v>521</v>
      </c>
      <c r="AN39" s="737"/>
      <c r="AP39" s="947" t="s">
        <v>302</v>
      </c>
    </row>
    <row r="40" spans="1:42" s="591" customFormat="1" ht="15.75" customHeight="1" x14ac:dyDescent="0.25">
      <c r="A40" s="592">
        <v>41704</v>
      </c>
      <c r="B40" s="596">
        <f ca="1">IF(ISERROR(MATCH(B$1,INDIRECT("Table!A"&amp;$AM40):INDIRECT("Table!" &amp; $AP$113 &amp; $AM40),0)),"",INDIRECT(CONCATENATE("Table!",ADDRESS($AI40,MATCH(B$1,INDIRECT("Table!A" &amp; $AM40):INDIRECT("Table!" &amp; $AP$112 &amp; $AM40),0)))))</f>
        <v>0.40285155012591073</v>
      </c>
      <c r="C40" s="596">
        <f ca="1">IF(ISERROR(MATCH(C$1,INDIRECT("Table!A"&amp;$AM40):INDIRECT("Table!" &amp; $AP$112 &amp; $AM40),0)),"",INDIRECT(CONCATENATE("Table!",ADDRESS($AI40,MATCH(C$1,INDIRECT("Table!A" &amp; $AM40):INDIRECT("Table!" &amp; $AP$112 &amp; $AM40),0)))))</f>
        <v>0.54977952612567238</v>
      </c>
      <c r="D40" s="596">
        <f ca="1">IF(ISERROR(MATCH(D$1,INDIRECT("Table!A"&amp;$AM40):INDIRECT("Table!" &amp; $AP$112 &amp; $AM40),0)),"",INDIRECT(CONCATENATE("Table!",ADDRESS($AI40,MATCH(D$1,INDIRECT("Table!A" &amp; $AM40):INDIRECT("Table!" &amp; $AP$112 &amp; $AM40),0)))))</f>
        <v>0.55869548030218574</v>
      </c>
      <c r="E40" s="596">
        <f ca="1">IF(ISERROR(MATCH(E$1,INDIRECT("Table!A"&amp;$AM40):INDIRECT("Table!" &amp; $AP$112 &amp; $AM40),0)),"",INDIRECT(CONCATENATE("Table!",ADDRESS($AI40,MATCH(E$1,INDIRECT("Table!A" &amp; $AM40):INDIRECT("Table!" &amp; $AP$112 &amp; $AM40),0)))))</f>
        <v>0.86177326443910629</v>
      </c>
      <c r="F40" s="596">
        <f ca="1">IF(ISERROR(MATCH(F$1,INDIRECT("Table!A"&amp;$AM40):INDIRECT("Table!" &amp; $AP$112 &amp; $AM40),0)),"",INDIRECT(CONCATENATE("Table!",ADDRESS($AI40,MATCH(F$1,INDIRECT("Table!A" &amp; $AM40):INDIRECT("Table!" &amp; $AP$112 &amp; $AM40),0)))))</f>
        <v>0.6892740778098243</v>
      </c>
      <c r="G40" s="596">
        <f ca="1">IF(ISERROR(MATCH(G$1,INDIRECT("Table!A"&amp;$AM40):INDIRECT("Table!" &amp; $AP$112 &amp; $AM40),0)),"",INDIRECT(CONCATENATE("Table!",ADDRESS($AI40,MATCH(G$1,INDIRECT("Table!A" &amp; $AM40):INDIRECT("Table!" &amp; $AP$112 &amp; $AM40),0)))))</f>
        <v>0.52003363243090595</v>
      </c>
      <c r="H40" s="596">
        <f ca="1">IF(ISERROR(MATCH(H$1,INDIRECT("Table!A"&amp;$AM40):INDIRECT("Table!" &amp; $AP$112 &amp; $AM40),0)),"",INDIRECT(CONCATENATE("Table!",ADDRESS($AI40,MATCH(H$1,INDIRECT("Table!A" &amp; $AM40):INDIRECT("Table!" &amp; $AP$112 &amp; $AM40),0)))))</f>
        <v>0.6877875046154831</v>
      </c>
      <c r="I40" s="596">
        <f ca="1">IF(ISERROR(MATCH(I$1,INDIRECT("Table!A"&amp;$AM40):INDIRECT("Table!" &amp; $AP$91 &amp; $AM40),0)),"",INDIRECT(CONCATENATE("Table!",ADDRESS($AI40,MATCH(I$1,INDIRECT("Table!A" &amp; $AM40):INDIRECT("Table!" &amp; $AP$91 &amp; $AM40),0)))))</f>
        <v>0.23374091314979295</v>
      </c>
      <c r="J40" s="596">
        <f ca="1">IF(ISERROR(MATCH(J$1,INDIRECT("Table!A"&amp;$AM40):INDIRECT("Table!" &amp; $AP$91 &amp; $AM40),0)),"",INDIRECT(CONCATENATE("Table!",ADDRESS($AI40,MATCH(J$1,INDIRECT("Table!A" &amp; $AM40):INDIRECT("Table!" &amp; $AP$91 &amp; $AM40),0)))))</f>
        <v>0.52594275725049022</v>
      </c>
      <c r="K40" s="596">
        <f ca="1">IF(ISERROR(MATCH(K$1,INDIRECT("Table!A"&amp;$AM40):INDIRECT("Table!" &amp; $AP$91 &amp; $AM40),0)),"",INDIRECT(CONCATENATE("Table!",ADDRESS($AI40,MATCH(K$1,INDIRECT("Table!A" &amp; $AM40):INDIRECT("Table!" &amp; $AP$91 &amp; $AM40),0)))))</f>
        <v>0.10829504193309983</v>
      </c>
      <c r="L40" s="596">
        <f ca="1">IF(ISERROR(MATCH(L$1,INDIRECT("Table!A"&amp;$AM40):INDIRECT("Table!" &amp; $AP$91 &amp; $AM40),0)),"",INDIRECT(CONCATENATE("Table!",ADDRESS($AI40,MATCH(L$1,INDIRECT("Table!A" &amp; $AM40):INDIRECT("Table!" &amp; $AP$91 &amp; $AM40),0)))))</f>
        <v>0.87432672068615558</v>
      </c>
      <c r="M40" s="596">
        <f ca="1">IF(ISERROR(MATCH(M$1,INDIRECT("Table!A"&amp;$AM40):INDIRECT("Table!" &amp; $AP$91 &amp; $AM40),0)),"",INDIRECT(CONCATENATE("Table!",ADDRESS($AI40,MATCH(M$1,INDIRECT("Table!A" &amp; $AM40):INDIRECT("Table!" &amp; $AP$91 &amp; $AM40),0)))))</f>
        <v>0.45734572984932903</v>
      </c>
      <c r="N40" s="596">
        <f ca="1">IF(ISERROR(MATCH(N$1,INDIRECT("Table!A"&amp;$AM40):INDIRECT("Table!" &amp; $AP$91 &amp; $AM40),0)),"",INDIRECT(CONCATENATE("Table!",ADDRESS($AI40,MATCH(N$1,INDIRECT("Table!A" &amp; $AM40):INDIRECT("Table!" &amp; $AP$91 &amp; $AM40),0)))))</f>
        <v>0.71031734562638182</v>
      </c>
      <c r="O40" s="596">
        <f ca="1">IF(ISERROR(MATCH(O$1,INDIRECT("Table!A"&amp;$AM40):INDIRECT("Table!" &amp; $AP$91 &amp; $AM40),0)),"",INDIRECT(CONCATENATE("Table!",ADDRESS($AI40,MATCH(O$1,INDIRECT("Table!A" &amp; $AM40):INDIRECT("Table!" &amp; $AP$91 &amp; $AM40),0)))))</f>
        <v>0.78955413818978271</v>
      </c>
      <c r="P40" s="596">
        <f ca="1">IF(ISERROR(MATCH(P$1,INDIRECT("Table!A"&amp;$AM40):INDIRECT("Table!" &amp; $AP$91 &amp; $AM40),0)),"",INDIRECT(CONCATENATE("Table!",ADDRESS($AI40,MATCH(P$1,INDIRECT("Table!A" &amp; $AM40):INDIRECT("Table!" &amp; $AP$91 &amp; $AM40),0)))))</f>
        <v>0.24275278544487638</v>
      </c>
      <c r="Q40" s="596">
        <f ca="1">IF(ISERROR(MATCH(Q$1,INDIRECT("Table!A"&amp;$AM40):INDIRECT("Table!" &amp; $AP$91 &amp; $AM40),0)),"",INDIRECT(CONCATENATE("Table!",ADDRESS($AI40,MATCH(Q$1,INDIRECT("Table!A" &amp; $AM40):INDIRECT("Table!" &amp; $AP$91 &amp; $AM40),0)))))</f>
        <v>0.55893959968311979</v>
      </c>
      <c r="R40" s="596">
        <f ca="1">IF(ISERROR(MATCH(R$1,INDIRECT("Table!A"&amp;$AM40):INDIRECT("Table!" &amp; $AP$91 &amp; $AM40),0)),"",INDIRECT(CONCATENATE("Table!",ADDRESS($AI40,MATCH(R$1,INDIRECT("Table!A" &amp; $AM40):INDIRECT("Table!" &amp; $AP$91 &amp; $AM40),0)))))</f>
        <v>0.50014370432255462</v>
      </c>
      <c r="S40" s="596" t="str">
        <f ca="1">IF(ISERROR(MATCH(S$1,INDIRECT("Table!A"&amp;$AM40):INDIRECT("Table!" &amp; $AP$91 &amp; $AM40),0)),"",INDIRECT(CONCATENATE("Table!",ADDRESS($AI40,MATCH(S$1,INDIRECT("Table!A" &amp; $AM40):INDIRECT("Table!" &amp; $AP$91 &amp; $AM40),0)))))</f>
        <v/>
      </c>
      <c r="T40" s="596">
        <f ca="1">IF(ISERROR(MATCH(T$1,INDIRECT("Table!A"&amp;$AM40):INDIRECT("Table!" &amp; $AP$65 &amp; $AM40),0)),"",INDIRECT(CONCATENATE("Table!",ADDRESS($AI40,MATCH(T$1,INDIRECT("Table!A" &amp; $AM40):INDIRECT("Table!" &amp; $AP$65 &amp; $AM40),0)))))</f>
        <v>0.22119641588975689</v>
      </c>
      <c r="U40" s="596">
        <f ca="1">IF(ISERROR(MATCH(U$1,INDIRECT("Table!A"&amp;$AM40):INDIRECT("Table!" &amp; $AP$65 &amp; $AM40),0)),"",INDIRECT(CONCATENATE("Table!",ADDRESS($AI40,MATCH(U$1,INDIRECT("Table!A" &amp; $AM40):INDIRECT("Table!" &amp; $AP$65 &amp; $AM40),0)))))</f>
        <v>3.1309291414089523E-2</v>
      </c>
      <c r="V40" s="596">
        <f ca="1">IF(ISERROR(MATCH(V$1,INDIRECT("Table!A"&amp;$AM40):INDIRECT("Table!" &amp; $AP$65 &amp; $AM40),0)),"",INDIRECT(CONCATENATE("Table!",ADDRESS($AI40,MATCH(V$1,INDIRECT("Table!A" &amp; $AM40):INDIRECT("Table!" &amp; $AP$65 &amp; $AM40),0)))))</f>
        <v>3.0546095042160611E-2</v>
      </c>
      <c r="W40" s="596" t="str">
        <f ca="1">IF(ISERROR(MATCH(W$1,INDIRECT("Table!A"&amp;$AM40):INDIRECT("Table!" &amp; $AP$65 &amp; $AM40),0)),"",INDIRECT(CONCATENATE("Table!",ADDRESS($AI40,MATCH(W$1,INDIRECT("Table!A" &amp; $AM40):INDIRECT("Table!" &amp; $AP$65 &amp; $AM40),0)))))</f>
        <v/>
      </c>
      <c r="X40" s="596"/>
      <c r="Y40" s="596"/>
      <c r="Z40" s="596"/>
      <c r="AA40" s="596"/>
      <c r="AB40" s="596"/>
      <c r="AC40" s="596"/>
      <c r="AD40" s="596"/>
      <c r="AE40" s="596"/>
      <c r="AF40" s="596"/>
      <c r="AG40" s="596"/>
      <c r="AH40" s="596"/>
      <c r="AI40" s="595">
        <f>MATCH($A40,Table!$A:$A,0)+$AK$2-1</f>
        <v>538</v>
      </c>
      <c r="AJ40" s="732"/>
      <c r="AK40" s="732"/>
      <c r="AL40" s="732"/>
      <c r="AM40" s="595">
        <f>MATCH($A40,Table!$A:$A,0)+$AO$2-1</f>
        <v>535</v>
      </c>
      <c r="AN40" s="732"/>
      <c r="AP40" s="947" t="s">
        <v>302</v>
      </c>
    </row>
    <row r="41" spans="1:42" s="591" customFormat="1" ht="15.75" customHeight="1" x14ac:dyDescent="0.25">
      <c r="A41" s="592">
        <v>41703</v>
      </c>
      <c r="B41" s="596">
        <f ca="1">IF(ISERROR(MATCH(B$1,INDIRECT("Table!A"&amp;$AM41):INDIRECT("Table!" &amp; $AP$113 &amp; $AM41),0)),"",INDIRECT(CONCATENATE("Table!",ADDRESS($AI41,MATCH(B$1,INDIRECT("Table!A" &amp; $AM41):INDIRECT("Table!" &amp; $AP$112 &amp; $AM41),0)))))</f>
        <v>0.40271356028196326</v>
      </c>
      <c r="C41" s="596">
        <f ca="1">IF(ISERROR(MATCH(C$1,INDIRECT("Table!A"&amp;$AM41):INDIRECT("Table!" &amp; $AP$112 &amp; $AM41),0)),"",INDIRECT(CONCATENATE("Table!",ADDRESS($AI41,MATCH(C$1,INDIRECT("Table!A" &amp; $AM41):INDIRECT("Table!" &amp; $AP$112 &amp; $AM41),0)))))</f>
        <v>0.54977155358840579</v>
      </c>
      <c r="D41" s="596">
        <f ca="1">IF(ISERROR(MATCH(D$1,INDIRECT("Table!A"&amp;$AM41):INDIRECT("Table!" &amp; $AP$112 &amp; $AM41),0)),"",INDIRECT(CONCATENATE("Table!",ADDRESS($AI41,MATCH(D$1,INDIRECT("Table!A" &amp; $AM41):INDIRECT("Table!" &amp; $AP$112 &amp; $AM41),0)))))</f>
        <v>0.55868817214302458</v>
      </c>
      <c r="E41" s="596">
        <f ca="1">IF(ISERROR(MATCH(E$1,INDIRECT("Table!A"&amp;$AM41):INDIRECT("Table!" &amp; $AP$112 &amp; $AM41),0)),"",INDIRECT(CONCATENATE("Table!",ADDRESS($AI41,MATCH(E$1,INDIRECT("Table!A" &amp; $AM41):INDIRECT("Table!" &amp; $AP$112 &amp; $AM41),0)))))</f>
        <v>0.86158699947472184</v>
      </c>
      <c r="F41" s="596">
        <f ca="1">IF(ISERROR(MATCH(F$1,INDIRECT("Table!A"&amp;$AM41):INDIRECT("Table!" &amp; $AP$112 &amp; $AM41),0)),"",INDIRECT(CONCATENATE("Table!",ADDRESS($AI41,MATCH(F$1,INDIRECT("Table!A" &amp; $AM41):INDIRECT("Table!" &amp; $AP$112 &amp; $AM41),0)))))</f>
        <v>0.68787873486493278</v>
      </c>
      <c r="G41" s="596">
        <f ca="1">IF(ISERROR(MATCH(G$1,INDIRECT("Table!A"&amp;$AM41):INDIRECT("Table!" &amp; $AP$112 &amp; $AM41),0)),"",INDIRECT(CONCATENATE("Table!",ADDRESS($AI41,MATCH(G$1,INDIRECT("Table!A" &amp; $AM41):INDIRECT("Table!" &amp; $AP$112 &amp; $AM41),0)))))</f>
        <v>0.51952734881452101</v>
      </c>
      <c r="H41" s="596">
        <f ca="1">IF(ISERROR(MATCH(H$1,INDIRECT("Table!A"&amp;$AM41):INDIRECT("Table!" &amp; $AP$112 &amp; $AM41),0)),"",INDIRECT(CONCATENATE("Table!",ADDRESS($AI41,MATCH(H$1,INDIRECT("Table!A" &amp; $AM41):INDIRECT("Table!" &amp; $AP$112 &amp; $AM41),0)))))</f>
        <v>0.68673037729211428</v>
      </c>
      <c r="I41" s="596">
        <f ca="1">IF(ISERROR(MATCH(I$1,INDIRECT("Table!A"&amp;$AM41):INDIRECT("Table!" &amp; $AP$91 &amp; $AM41),0)),"",INDIRECT(CONCATENATE("Table!",ADDRESS($AI41,MATCH(I$1,INDIRECT("Table!A" &amp; $AM41):INDIRECT("Table!" &amp; $AP$91 &amp; $AM41),0)))))</f>
        <v>0.2335012665743004</v>
      </c>
      <c r="J41" s="596">
        <f ca="1">IF(ISERROR(MATCH(J$1,INDIRECT("Table!A"&amp;$AM41):INDIRECT("Table!" &amp; $AP$91 &amp; $AM41),0)),"",INDIRECT(CONCATENATE("Table!",ADDRESS($AI41,MATCH(J$1,INDIRECT("Table!A" &amp; $AM41):INDIRECT("Table!" &amp; $AP$91 &amp; $AM41),0)))))</f>
        <v>0.52587341314893177</v>
      </c>
      <c r="K41" s="596">
        <f ca="1">IF(ISERROR(MATCH(K$1,INDIRECT("Table!A"&amp;$AM41):INDIRECT("Table!" &amp; $AP$91 &amp; $AM41),0)),"",INDIRECT(CONCATENATE("Table!",ADDRESS($AI41,MATCH(K$1,INDIRECT("Table!A" &amp; $AM41):INDIRECT("Table!" &amp; $AP$91 &amp; $AM41),0)))))</f>
        <v>0.10479303007258406</v>
      </c>
      <c r="L41" s="596">
        <f ca="1">IF(ISERROR(MATCH(L$1,INDIRECT("Table!A"&amp;$AM41):INDIRECT("Table!" &amp; $AP$91 &amp; $AM41),0)),"",INDIRECT(CONCATENATE("Table!",ADDRESS($AI41,MATCH(L$1,INDIRECT("Table!A" &amp; $AM41):INDIRECT("Table!" &amp; $AP$91 &amp; $AM41),0)))))</f>
        <v>0.87375012368601424</v>
      </c>
      <c r="M41" s="596">
        <f ca="1">IF(ISERROR(MATCH(M$1,INDIRECT("Table!A"&amp;$AM41):INDIRECT("Table!" &amp; $AP$91 &amp; $AM41),0)),"",INDIRECT(CONCATENATE("Table!",ADDRESS($AI41,MATCH(M$1,INDIRECT("Table!A" &amp; $AM41):INDIRECT("Table!" &amp; $AP$91 &amp; $AM41),0)))))</f>
        <v>0.45694684335421554</v>
      </c>
      <c r="N41" s="596">
        <f ca="1">IF(ISERROR(MATCH(N$1,INDIRECT("Table!A"&amp;$AM41):INDIRECT("Table!" &amp; $AP$91 &amp; $AM41),0)),"",INDIRECT(CONCATENATE("Table!",ADDRESS($AI41,MATCH(N$1,INDIRECT("Table!A" &amp; $AM41):INDIRECT("Table!" &amp; $AP$91 &amp; $AM41),0)))))</f>
        <v>0.70893606362327</v>
      </c>
      <c r="O41" s="596">
        <f ca="1">IF(ISERROR(MATCH(O$1,INDIRECT("Table!A"&amp;$AM41):INDIRECT("Table!" &amp; $AP$91 &amp; $AM41),0)),"",INDIRECT(CONCATENATE("Table!",ADDRESS($AI41,MATCH(O$1,INDIRECT("Table!A" &amp; $AM41):INDIRECT("Table!" &amp; $AP$91 &amp; $AM41),0)))))</f>
        <v>0.78829096687651912</v>
      </c>
      <c r="P41" s="596">
        <f ca="1">IF(ISERROR(MATCH(P$1,INDIRECT("Table!A"&amp;$AM41):INDIRECT("Table!" &amp; $AP$91 &amp; $AM41),0)),"",INDIRECT(CONCATENATE("Table!",ADDRESS($AI41,MATCH(P$1,INDIRECT("Table!A" &amp; $AM41):INDIRECT("Table!" &amp; $AP$91 &amp; $AM41),0)))))</f>
        <v>0.24251554694913702</v>
      </c>
      <c r="Q41" s="596">
        <f ca="1">IF(ISERROR(MATCH(Q$1,INDIRECT("Table!A"&amp;$AM41):INDIRECT("Table!" &amp; $AP$91 &amp; $AM41),0)),"",INDIRECT(CONCATENATE("Table!",ADDRESS($AI41,MATCH(Q$1,INDIRECT("Table!A" &amp; $AM41):INDIRECT("Table!" &amp; $AP$91 &amp; $AM41),0)))))</f>
        <v>0.55889471876888519</v>
      </c>
      <c r="R41" s="596">
        <f ca="1">IF(ISERROR(MATCH(R$1,INDIRECT("Table!A"&amp;$AM41):INDIRECT("Table!" &amp; $AP$91 &amp; $AM41),0)),"",INDIRECT(CONCATENATE("Table!",ADDRESS($AI41,MATCH(R$1,INDIRECT("Table!A" &amp; $AM41):INDIRECT("Table!" &amp; $AP$91 &amp; $AM41),0)))))</f>
        <v>0.48440540328252807</v>
      </c>
      <c r="S41" s="596" t="str">
        <f ca="1">IF(ISERROR(MATCH(S$1,INDIRECT("Table!A"&amp;$AM41):INDIRECT("Table!" &amp; $AP$91 &amp; $AM41),0)),"",INDIRECT(CONCATENATE("Table!",ADDRESS($AI41,MATCH(S$1,INDIRECT("Table!A" &amp; $AM41):INDIRECT("Table!" &amp; $AP$91 &amp; $AM41),0)))))</f>
        <v/>
      </c>
      <c r="T41" s="596">
        <f ca="1">IF(ISERROR(MATCH(T$1,INDIRECT("Table!A"&amp;$AM41):INDIRECT("Table!" &amp; $AP$65 &amp; $AM41),0)),"",INDIRECT(CONCATENATE("Table!",ADDRESS($AI41,MATCH(T$1,INDIRECT("Table!A" &amp; $AM41):INDIRECT("Table!" &amp; $AP$65 &amp; $AM41),0)))))</f>
        <v>0.22119641588975689</v>
      </c>
      <c r="U41" s="596">
        <f ca="1">IF(ISERROR(MATCH(U$1,INDIRECT("Table!A"&amp;$AM41):INDIRECT("Table!" &amp; $AP$65 &amp; $AM41),0)),"",INDIRECT(CONCATENATE("Table!",ADDRESS($AI41,MATCH(U$1,INDIRECT("Table!A" &amp; $AM41):INDIRECT("Table!" &amp; $AP$65 &amp; $AM41),0)))))</f>
        <v>3.1299506343172218E-2</v>
      </c>
      <c r="V41" s="596">
        <f ca="1">IF(ISERROR(MATCH(V$1,INDIRECT("Table!A"&amp;$AM41):INDIRECT("Table!" &amp; $AP$65 &amp; $AM41),0)),"",INDIRECT(CONCATENATE("Table!",ADDRESS($AI41,MATCH(V$1,INDIRECT("Table!A" &amp; $AM41):INDIRECT("Table!" &amp; $AP$65 &amp; $AM41),0)))))</f>
        <v>3.0536548343289744E-2</v>
      </c>
      <c r="W41" s="596" t="str">
        <f ca="1">IF(ISERROR(MATCH(W$1,INDIRECT("Table!A"&amp;$AM41):INDIRECT("Table!" &amp; $AP$65 &amp; $AM41),0)),"",INDIRECT(CONCATENATE("Table!",ADDRESS($AI41,MATCH(W$1,INDIRECT("Table!A" &amp; $AM41):INDIRECT("Table!" &amp; $AP$65 &amp; $AM41),0)))))</f>
        <v/>
      </c>
      <c r="X41" s="596"/>
      <c r="Y41" s="596"/>
      <c r="Z41" s="596"/>
      <c r="AA41" s="596"/>
      <c r="AB41" s="596"/>
      <c r="AC41" s="596"/>
      <c r="AD41" s="596"/>
      <c r="AE41" s="596"/>
      <c r="AF41" s="596"/>
      <c r="AG41" s="596"/>
      <c r="AH41" s="596"/>
      <c r="AI41" s="595">
        <f>MATCH($A41,Table!$A:$A,0)+$AK$2-1</f>
        <v>552</v>
      </c>
      <c r="AJ41" s="723"/>
      <c r="AK41" s="723"/>
      <c r="AL41" s="723"/>
      <c r="AM41" s="595">
        <f>MATCH($A41,Table!$A:$A,0)+$AO$2-1</f>
        <v>549</v>
      </c>
      <c r="AN41" s="723"/>
      <c r="AP41" s="947" t="s">
        <v>302</v>
      </c>
    </row>
    <row r="42" spans="1:42" s="591" customFormat="1" ht="15.75" customHeight="1" x14ac:dyDescent="0.25">
      <c r="A42" s="592">
        <v>41702</v>
      </c>
      <c r="B42" s="596">
        <f ca="1">IF(ISERROR(MATCH(B$1,INDIRECT("Table!A"&amp;$AM42):INDIRECT("Table!" &amp; $AP$113 &amp; $AM42),0)),"",INDIRECT(CONCATENATE("Table!",ADDRESS($AI42,MATCH(B$1,INDIRECT("Table!A" &amp; $AM42):INDIRECT("Table!" &amp; $AP$112 &amp; $AM42),0)))))</f>
        <v>0.40272515942826609</v>
      </c>
      <c r="C42" s="596">
        <f ca="1">IF(ISERROR(MATCH(C$1,INDIRECT("Table!A"&amp;$AM42):INDIRECT("Table!" &amp; $AP$112 &amp; $AM42),0)),"",INDIRECT(CONCATENATE("Table!",ADDRESS($AI42,MATCH(C$1,INDIRECT("Table!A" &amp; $AM42):INDIRECT("Table!" &amp; $AP$112 &amp; $AM42),0)))))</f>
        <v>0.54977155358840579</v>
      </c>
      <c r="D42" s="596">
        <f ca="1">IF(ISERROR(MATCH(D$1,INDIRECT("Table!A"&amp;$AM42):INDIRECT("Table!" &amp; $AP$112 &amp; $AM42),0)),"",INDIRECT(CONCATENATE("Table!",ADDRESS($AI42,MATCH(D$1,INDIRECT("Table!A" &amp; $AM42):INDIRECT("Table!" &amp; $AP$112 &amp; $AM42),0)))))</f>
        <v>0.55868817214302458</v>
      </c>
      <c r="E42" s="596">
        <f ca="1">IF(ISERROR(MATCH(E$1,INDIRECT("Table!A"&amp;$AM42):INDIRECT("Table!" &amp; $AP$112 &amp; $AM42),0)),"",INDIRECT(CONCATENATE("Table!",ADDRESS($AI42,MATCH(E$1,INDIRECT("Table!A" &amp; $AM42):INDIRECT("Table!" &amp; $AP$112 &amp; $AM42),0)))))</f>
        <v>0.86158699947472184</v>
      </c>
      <c r="F42" s="596">
        <f ca="1">IF(ISERROR(MATCH(F$1,INDIRECT("Table!A"&amp;$AM42):INDIRECT("Table!" &amp; $AP$112 &amp; $AM42),0)),"",INDIRECT(CONCATENATE("Table!",ADDRESS($AI42,MATCH(F$1,INDIRECT("Table!A" &amp; $AM42):INDIRECT("Table!" &amp; $AP$112 &amp; $AM42),0)))))</f>
        <v>0.68917671732541164</v>
      </c>
      <c r="G42" s="596">
        <f ca="1">IF(ISERROR(MATCH(G$1,INDIRECT("Table!A"&amp;$AM42):INDIRECT("Table!" &amp; $AP$112 &amp; $AM42),0)),"",INDIRECT(CONCATENATE("Table!",ADDRESS($AI42,MATCH(G$1,INDIRECT("Table!A" &amp; $AM42):INDIRECT("Table!" &amp; $AP$112 &amp; $AM42),0)))))</f>
        <v>0.51954069909243783</v>
      </c>
      <c r="H42" s="596">
        <f ca="1">IF(ISERROR(MATCH(H$1,INDIRECT("Table!A"&amp;$AM42):INDIRECT("Table!" &amp; $AP$112 &amp; $AM42),0)),"",INDIRECT(CONCATENATE("Table!",ADDRESS($AI42,MATCH(H$1,INDIRECT("Table!A" &amp; $AM42):INDIRECT("Table!" &amp; $AP$112 &amp; $AM42),0)))))</f>
        <v>0.69077479724347046</v>
      </c>
      <c r="I42" s="596">
        <f ca="1">IF(ISERROR(MATCH(I$1,INDIRECT("Table!A"&amp;$AM42):INDIRECT("Table!" &amp; $AP$91 &amp; $AM42),0)),"",INDIRECT(CONCATENATE("Table!",ADDRESS($AI42,MATCH(I$1,INDIRECT("Table!A" &amp; $AM42):INDIRECT("Table!" &amp; $AP$91 &amp; $AM42),0)))))</f>
        <v>0.23438246999912363</v>
      </c>
      <c r="J42" s="596">
        <f ca="1">IF(ISERROR(MATCH(J$1,INDIRECT("Table!A"&amp;$AM42):INDIRECT("Table!" &amp; $AP$91 &amp; $AM42),0)),"",INDIRECT(CONCATENATE("Table!",ADDRESS($AI42,MATCH(J$1,INDIRECT("Table!A" &amp; $AM42):INDIRECT("Table!" &amp; $AP$91 &amp; $AM42),0)))))</f>
        <v>0.53729611987220571</v>
      </c>
      <c r="K42" s="596">
        <f ca="1">IF(ISERROR(MATCH(K$1,INDIRECT("Table!A"&amp;$AM42):INDIRECT("Table!" &amp; $AP$91 &amp; $AM42),0)),"",INDIRECT(CONCATENATE("Table!",ADDRESS($AI42,MATCH(K$1,INDIRECT("Table!A" &amp; $AM42):INDIRECT("Table!" &amp; $AP$91 &amp; $AM42),0)))))</f>
        <v>0.10487336168146552</v>
      </c>
      <c r="L42" s="596">
        <f ca="1">IF(ISERROR(MATCH(L$1,INDIRECT("Table!A"&amp;$AM42):INDIRECT("Table!" &amp; $AP$91 &amp; $AM42),0)),"",INDIRECT(CONCATENATE("Table!",ADDRESS($AI42,MATCH(L$1,INDIRECT("Table!A" &amp; $AM42):INDIRECT("Table!" &amp; $AP$91 &amp; $AM42),0)))))</f>
        <v>0.87375012368601424</v>
      </c>
      <c r="M42" s="596">
        <f ca="1">IF(ISERROR(MATCH(M$1,INDIRECT("Table!A"&amp;$AM42):INDIRECT("Table!" &amp; $AP$91 &amp; $AM42),0)),"",INDIRECT(CONCATENATE("Table!",ADDRESS($AI42,MATCH(M$1,INDIRECT("Table!A" &amp; $AM42):INDIRECT("Table!" &amp; $AP$91 &amp; $AM42),0)))))</f>
        <v>0.45695551479976149</v>
      </c>
      <c r="N42" s="596">
        <f ca="1">IF(ISERROR(MATCH(N$1,INDIRECT("Table!A"&amp;$AM42):INDIRECT("Table!" &amp; $AP$91 &amp; $AM42),0)),"",INDIRECT(CONCATENATE("Table!",ADDRESS($AI42,MATCH(N$1,INDIRECT("Table!A" &amp; $AM42):INDIRECT("Table!" &amp; $AP$91 &amp; $AM42),0)))))</f>
        <v>0.71161150101660153</v>
      </c>
      <c r="O42" s="596">
        <f ca="1">IF(ISERROR(MATCH(O$1,INDIRECT("Table!A"&amp;$AM42):INDIRECT("Table!" &amp; $AP$91 &amp; $AM42),0)),"",INDIRECT(CONCATENATE("Table!",ADDRESS($AI42,MATCH(O$1,INDIRECT("Table!A" &amp; $AM42):INDIRECT("Table!" &amp; $AP$91 &amp; $AM42),0)))))</f>
        <v>0.78936410944497837</v>
      </c>
      <c r="P42" s="596">
        <f ca="1">IF(ISERROR(MATCH(P$1,INDIRECT("Table!A"&amp;$AM42):INDIRECT("Table!" &amp; $AP$91 &amp; $AM42),0)),"",INDIRECT(CONCATENATE("Table!",ADDRESS($AI42,MATCH(P$1,INDIRECT("Table!A" &amp; $AM42):INDIRECT("Table!" &amp; $AP$91 &amp; $AM42),0)))))</f>
        <v>0.24343077075571823</v>
      </c>
      <c r="Q42" s="596">
        <f ca="1">IF(ISERROR(MATCH(Q$1,INDIRECT("Table!A"&amp;$AM42):INDIRECT("Table!" &amp; $AP$91 &amp; $AM42),0)),"",INDIRECT(CONCATENATE("Table!",ADDRESS($AI42,MATCH(Q$1,INDIRECT("Table!A" &amp; $AM42):INDIRECT("Table!" &amp; $AP$91 &amp; $AM42),0)))))</f>
        <v>0.56669220707201118</v>
      </c>
      <c r="R42" s="596">
        <f ca="1">IF(ISERROR(MATCH(R$1,INDIRECT("Table!A"&amp;$AM42):INDIRECT("Table!" &amp; $AP$91 &amp; $AM42),0)),"",INDIRECT(CONCATENATE("Table!",ADDRESS($AI42,MATCH(R$1,INDIRECT("Table!A" &amp; $AM42):INDIRECT("Table!" &amp; $AP$91 &amp; $AM42),0)))))</f>
        <v>0.48454955389179866</v>
      </c>
      <c r="S42" s="596" t="str">
        <f ca="1">IF(ISERROR(MATCH(S$1,INDIRECT("Table!A"&amp;$AM42):INDIRECT("Table!" &amp; $AP$91 &amp; $AM42),0)),"",INDIRECT(CONCATENATE("Table!",ADDRESS($AI42,MATCH(S$1,INDIRECT("Table!A" &amp; $AM42):INDIRECT("Table!" &amp; $AP$91 &amp; $AM42),0)))))</f>
        <v/>
      </c>
      <c r="T42" s="596">
        <f ca="1">IF(ISERROR(MATCH(T$1,INDIRECT("Table!A"&amp;$AM42):INDIRECT("Table!" &amp; $AP$65 &amp; $AM42),0)),"",INDIRECT(CONCATENATE("Table!",ADDRESS($AI42,MATCH(T$1,INDIRECT("Table!A" &amp; $AM42):INDIRECT("Table!" &amp; $AP$65 &amp; $AM42),0)))))</f>
        <v>0.22119641588975689</v>
      </c>
      <c r="U42" s="596">
        <f ca="1">IF(ISERROR(MATCH(U$1,INDIRECT("Table!A"&amp;$AM42):INDIRECT("Table!" &amp; $AP$65 &amp; $AM42),0)),"",INDIRECT(CONCATENATE("Table!",ADDRESS($AI42,MATCH(U$1,INDIRECT("Table!A" &amp; $AM42):INDIRECT("Table!" &amp; $AP$65 &amp; $AM42),0)))))</f>
        <v>3.1883379018190876E-2</v>
      </c>
      <c r="V42" s="596">
        <f ca="1">IF(ISERROR(MATCH(V$1,INDIRECT("Table!A"&amp;$AM42):INDIRECT("Table!" &amp; $AP$65 &amp; $AM42),0)),"",INDIRECT(CONCATENATE("Table!",ADDRESS($AI42,MATCH(V$1,INDIRECT("Table!A" &amp; $AM42):INDIRECT("Table!" &amp; $AP$65 &amp; $AM42),0)))))</f>
        <v>3.0811800120409391E-2</v>
      </c>
      <c r="W42" s="596" t="str">
        <f ca="1">IF(ISERROR(MATCH(W$1,INDIRECT("Table!A"&amp;$AM42):INDIRECT("Table!" &amp; $AP$65 &amp; $AM42),0)),"",INDIRECT(CONCATENATE("Table!",ADDRESS($AI42,MATCH(W$1,INDIRECT("Table!A" &amp; $AM42):INDIRECT("Table!" &amp; $AP$65 &amp; $AM42),0)))))</f>
        <v/>
      </c>
      <c r="X42" s="596"/>
      <c r="Y42" s="596"/>
      <c r="Z42" s="596"/>
      <c r="AA42" s="596"/>
      <c r="AB42" s="596"/>
      <c r="AC42" s="596"/>
      <c r="AD42" s="596"/>
      <c r="AE42" s="596"/>
      <c r="AF42" s="596"/>
      <c r="AG42" s="596"/>
      <c r="AH42" s="596"/>
      <c r="AI42" s="595">
        <f>MATCH($A42,Table!$A:$A,0)+$AK$2-1</f>
        <v>566</v>
      </c>
      <c r="AJ42" s="698"/>
      <c r="AK42" s="698"/>
      <c r="AL42" s="698"/>
      <c r="AM42" s="595">
        <f>MATCH($A42,Table!$A:$A,0)+$AO$2-1</f>
        <v>563</v>
      </c>
      <c r="AN42" s="698"/>
      <c r="AP42" s="947" t="s">
        <v>302</v>
      </c>
    </row>
    <row r="43" spans="1:42" s="591" customFormat="1" ht="15.75" customHeight="1" x14ac:dyDescent="0.25">
      <c r="A43" s="592">
        <v>41695</v>
      </c>
      <c r="B43" s="596">
        <f ca="1">IF(ISERROR(MATCH(B$1,INDIRECT("Table!A"&amp;$AM43):INDIRECT("Table!" &amp; $AP$113 &amp; $AM43),0)),"",INDIRECT(CONCATENATE("Table!",ADDRESS($AI43,MATCH(B$1,INDIRECT("Table!A" &amp; $AM43):INDIRECT("Table!" &amp; $AP$112 &amp; $AM43),0)))))</f>
        <v>0.36945806280641313</v>
      </c>
      <c r="C43" s="596">
        <f ca="1">IF(ISERROR(MATCH(C$1,INDIRECT("Table!A"&amp;$AM43):INDIRECT("Table!" &amp; $AP$112 &amp; $AM43),0)),"",INDIRECT(CONCATENATE("Table!",ADDRESS($AI43,MATCH(C$1,INDIRECT("Table!A" &amp; $AM43):INDIRECT("Table!" &amp; $AP$112 &amp; $AM43),0)))))</f>
        <v>0.54970511577785053</v>
      </c>
      <c r="D43" s="596">
        <f ca="1">IF(ISERROR(MATCH(D$1,INDIRECT("Table!A"&amp;$AM43):INDIRECT("Table!" &amp; $AP$112 &amp; $AM43),0)),"",INDIRECT(CONCATENATE("Table!",ADDRESS($AI43,MATCH(D$1,INDIRECT("Table!A" &amp; $AM43):INDIRECT("Table!" &amp; $AP$112 &amp; $AM43),0)))))</f>
        <v>0.55862106995436389</v>
      </c>
      <c r="E43" s="596">
        <f ca="1">IF(ISERROR(MATCH(E$1,INDIRECT("Table!A"&amp;$AM43):INDIRECT("Table!" &amp; $AP$112 &amp; $AM43),0)),"",INDIRECT(CONCATENATE("Table!",ADDRESS($AI43,MATCH(E$1,INDIRECT("Table!A" &amp; $AM43):INDIRECT("Table!" &amp; $AP$112 &amp; $AM43),0)))))</f>
        <v>0.86091666538460687</v>
      </c>
      <c r="F43" s="596">
        <f ca="1">IF(ISERROR(MATCH(F$1,INDIRECT("Table!A"&amp;$AM43):INDIRECT("Table!" &amp; $AP$112 &amp; $AM43),0)),"",INDIRECT(CONCATENATE("Table!",ADDRESS($AI43,MATCH(F$1,INDIRECT("Table!A" &amp; $AM43):INDIRECT("Table!" &amp; $AP$112 &amp; $AM43),0)))))</f>
        <v>0.6893574327530092</v>
      </c>
      <c r="G43" s="596">
        <f ca="1">IF(ISERROR(MATCH(G$1,INDIRECT("Table!A"&amp;$AM43):INDIRECT("Table!" &amp; $AP$112 &amp; $AM43),0)),"",INDIRECT(CONCATENATE("Table!",ADDRESS($AI43,MATCH(G$1,INDIRECT("Table!A" &amp; $AM43):INDIRECT("Table!" &amp; $AP$112 &amp; $AM43),0)))))</f>
        <v>0.50540781289141468</v>
      </c>
      <c r="H43" s="596">
        <f ca="1">IF(ISERROR(MATCH(H$1,INDIRECT("Table!A"&amp;$AM43):INDIRECT("Table!" &amp; $AP$112 &amp; $AM43),0)),"",INDIRECT(CONCATENATE("Table!",ADDRESS($AI43,MATCH(H$1,INDIRECT("Table!A" &amp; $AM43):INDIRECT("Table!" &amp; $AP$112 &amp; $AM43),0)))))</f>
        <v>0.68622893326610857</v>
      </c>
      <c r="I43" s="596">
        <f ca="1">IF(ISERROR(MATCH(I$1,INDIRECT("Table!A"&amp;$AM43):INDIRECT("Table!" &amp; $AP$91 &amp; $AM43),0)),"",INDIRECT(CONCATENATE("Table!",ADDRESS($AI43,MATCH(I$1,INDIRECT("Table!A" &amp; $AM43):INDIRECT("Table!" &amp; $AP$91 &amp; $AM43),0)))))</f>
        <v>0.22456762776248312</v>
      </c>
      <c r="J43" s="596">
        <f ca="1">IF(ISERROR(MATCH(J$1,INDIRECT("Table!A"&amp;$AM43):INDIRECT("Table!" &amp; $AP$91 &amp; $AM43),0)),"",INDIRECT(CONCATENATE("Table!",ADDRESS($AI43,MATCH(J$1,INDIRECT("Table!A" &amp; $AM43):INDIRECT("Table!" &amp; $AP$91 &amp; $AM43),0)))))</f>
        <v>0.5252762751827692</v>
      </c>
      <c r="K43" s="596">
        <f ca="1">IF(ISERROR(MATCH(K$1,INDIRECT("Table!A"&amp;$AM43):INDIRECT("Table!" &amp; $AP$91 &amp; $AM43),0)),"",INDIRECT(CONCATENATE("Table!",ADDRESS($AI43,MATCH(K$1,INDIRECT("Table!A" &amp; $AM43):INDIRECT("Table!" &amp; $AP$91 &amp; $AM43),0)))))</f>
        <v>9.8848383517977395E-2</v>
      </c>
      <c r="L43" s="596">
        <f ca="1">IF(ISERROR(MATCH(L$1,INDIRECT("Table!A"&amp;$AM43):INDIRECT("Table!" &amp; $AP$91 &amp; $AM43),0)),"",INDIRECT(CONCATENATE("Table!",ADDRESS($AI43,MATCH(L$1,INDIRECT("Table!A" &amp; $AM43):INDIRECT("Table!" &amp; $AP$91 &amp; $AM43),0)))))</f>
        <v>0.88929700236907283</v>
      </c>
      <c r="M43" s="596">
        <f ca="1">IF(ISERROR(MATCH(M$1,INDIRECT("Table!A"&amp;$AM43):INDIRECT("Table!" &amp; $AP$91 &amp; $AM43),0)),"",INDIRECT(CONCATENATE("Table!",ADDRESS($AI43,MATCH(M$1,INDIRECT("Table!A" &amp; $AM43):INDIRECT("Table!" &amp; $AP$91 &amp; $AM43),0)))))</f>
        <v>0.51097720552564874</v>
      </c>
      <c r="N43" s="596">
        <f ca="1">IF(ISERROR(MATCH(N$1,INDIRECT("Table!A"&amp;$AM43):INDIRECT("Table!" &amp; $AP$91 &amp; $AM43),0)),"",INDIRECT(CONCATENATE("Table!",ADDRESS($AI43,MATCH(N$1,INDIRECT("Table!A" &amp; $AM43):INDIRECT("Table!" &amp; $AP$91 &amp; $AM43),0)))))</f>
        <v>0.71286261009155449</v>
      </c>
      <c r="O43" s="596">
        <f ca="1">IF(ISERROR(MATCH(O$1,INDIRECT("Table!A"&amp;$AM43):INDIRECT("Table!" &amp; $AP$91 &amp; $AM43),0)),"",INDIRECT(CONCATENATE("Table!",ADDRESS($AI43,MATCH(O$1,INDIRECT("Table!A" &amp; $AM43):INDIRECT("Table!" &amp; $AP$91 &amp; $AM43),0)))))</f>
        <v>0.78001668147449732</v>
      </c>
      <c r="P43" s="596">
        <f ca="1">IF(ISERROR(MATCH(P$1,INDIRECT("Table!A"&amp;$AM43):INDIRECT("Table!" &amp; $AP$91 &amp; $AM43),0)),"",INDIRECT(CONCATENATE("Table!",ADDRESS($AI43,MATCH(P$1,INDIRECT("Table!A" &amp; $AM43):INDIRECT("Table!" &amp; $AP$91 &amp; $AM43),0)))))</f>
        <v>0.2330314554206265</v>
      </c>
      <c r="Q43" s="596">
        <f ca="1">IF(ISERROR(MATCH(Q$1,INDIRECT("Table!A"&amp;$AM43):INDIRECT("Table!" &amp; $AP$91 &amp; $AM43),0)),"",INDIRECT(CONCATENATE("Table!",ADDRESS($AI43,MATCH(Q$1,INDIRECT("Table!A" &amp; $AM43):INDIRECT("Table!" &amp; $AP$91 &amp; $AM43),0)))))</f>
        <v>0.55237917342217446</v>
      </c>
      <c r="R43" s="596">
        <f ca="1">IF(ISERROR(MATCH(R$1,INDIRECT("Table!A"&amp;$AM43):INDIRECT("Table!" &amp; $AP$91 &amp; $AM43),0)),"",INDIRECT(CONCATENATE("Table!",ADDRESS($AI43,MATCH(R$1,INDIRECT("Table!A" &amp; $AM43):INDIRECT("Table!" &amp; $AP$91 &amp; $AM43),0)))))</f>
        <v>0.70327214857427212</v>
      </c>
      <c r="S43" s="596" t="str">
        <f ca="1">IF(ISERROR(MATCH(S$1,INDIRECT("Table!A"&amp;$AM43):INDIRECT("Table!" &amp; $AP$91 &amp; $AM43),0)),"",INDIRECT(CONCATENATE("Table!",ADDRESS($AI43,MATCH(S$1,INDIRECT("Table!A" &amp; $AM43):INDIRECT("Table!" &amp; $AP$91 &amp; $AM43),0)))))</f>
        <v/>
      </c>
      <c r="T43" s="596">
        <f ca="1">IF(ISERROR(MATCH(T$1,INDIRECT("Table!A"&amp;$AM43):INDIRECT("Table!" &amp; $AP$65 &amp; $AM43),0)),"",INDIRECT(CONCATENATE("Table!",ADDRESS($AI43,MATCH(T$1,INDIRECT("Table!A" &amp; $AM43):INDIRECT("Table!" &amp; $AP$65 &amp; $AM43),0)))))</f>
        <v>0.22119641588975689</v>
      </c>
      <c r="U43" s="596">
        <f ca="1">IF(ISERROR(MATCH(U$1,INDIRECT("Table!A"&amp;$AM43):INDIRECT("Table!" &amp; $AP$65 &amp; $AM43),0)),"",INDIRECT(CONCATENATE("Table!",ADDRESS($AI43,MATCH(U$1,INDIRECT("Table!A" &amp; $AM43):INDIRECT("Table!" &amp; $AP$65 &amp; $AM43),0)))))</f>
        <v>1.4153999501619735E-4</v>
      </c>
      <c r="V43" s="596">
        <f ca="1">IF(ISERROR(MATCH(V$1,INDIRECT("Table!A"&amp;$AM43):INDIRECT("Table!" &amp; $AP$65 &amp; $AM43),0)),"",INDIRECT(CONCATENATE("Table!",ADDRESS($AI43,MATCH(V$1,INDIRECT("Table!A" &amp; $AM43):INDIRECT("Table!" &amp; $AP$65 &amp; $AM43),0)))))</f>
        <v>1.3668874172185431E-3</v>
      </c>
      <c r="W43" s="596" t="str">
        <f ca="1">IF(ISERROR(MATCH(W$1,INDIRECT("Table!A"&amp;$AM43):INDIRECT("Table!" &amp; $AP$65 &amp; $AM43),0)),"",INDIRECT(CONCATENATE("Table!",ADDRESS($AI43,MATCH(W$1,INDIRECT("Table!A" &amp; $AM43):INDIRECT("Table!" &amp; $AP$65 &amp; $AM43),0)))))</f>
        <v/>
      </c>
      <c r="X43" s="596"/>
      <c r="Y43" s="596"/>
      <c r="Z43" s="596"/>
      <c r="AA43" s="596"/>
      <c r="AB43" s="596"/>
      <c r="AC43" s="596"/>
      <c r="AD43" s="596"/>
      <c r="AE43" s="596"/>
      <c r="AF43" s="596"/>
      <c r="AG43" s="596"/>
      <c r="AH43" s="596"/>
      <c r="AI43" s="595">
        <f>MATCH($A43,Table!$A:$A,0)+$AK$2-1</f>
        <v>580</v>
      </c>
      <c r="AJ43" s="697"/>
      <c r="AK43" s="697"/>
      <c r="AL43" s="697"/>
      <c r="AM43" s="595">
        <f>MATCH($A43,Table!$A:$A,0)+$AO$2-1</f>
        <v>577</v>
      </c>
      <c r="AN43" s="697"/>
      <c r="AP43" s="947" t="s">
        <v>302</v>
      </c>
    </row>
    <row r="44" spans="1:42" s="591" customFormat="1" ht="15.75" customHeight="1" x14ac:dyDescent="0.25">
      <c r="A44" s="592">
        <v>41690</v>
      </c>
      <c r="B44" s="596">
        <f ca="1">IF(ISERROR(MATCH(B$1,INDIRECT("Table!A"&amp;$AM44):INDIRECT("Table!" &amp; $AP$113 &amp; $AM44),0)),"",INDIRECT(CONCATENATE("Table!",ADDRESS($AI44,MATCH(B$1,INDIRECT("Table!A" &amp; $AM44):INDIRECT("Table!" &amp; $AP$112 &amp; $AM44),0)))))</f>
        <v>0.36909263353162292</v>
      </c>
      <c r="C44" s="596">
        <f ca="1">IF(ISERROR(MATCH(C$1,INDIRECT("Table!A"&amp;$AM44):INDIRECT("Table!" &amp; $AP$112 &amp; $AM44),0)),"",INDIRECT(CONCATENATE("Table!",ADDRESS($AI44,MATCH(C$1,INDIRECT("Table!A" &amp; $AM44):INDIRECT("Table!" &amp; $AP$112 &amp; $AM44),0)))))</f>
        <v>0.54955098005736236</v>
      </c>
      <c r="D44" s="596">
        <f ca="1">IF(ISERROR(MATCH(D$1,INDIRECT("Table!A"&amp;$AM44):INDIRECT("Table!" &amp; $AP$112 &amp; $AM44),0)),"",INDIRECT(CONCATENATE("Table!",ADDRESS($AI44,MATCH(D$1,INDIRECT("Table!A" &amp; $AM44):INDIRECT("Table!" &amp; $AP$112 &amp; $AM44),0)))))</f>
        <v>0.55846693423387572</v>
      </c>
      <c r="E44" s="596">
        <f ca="1">IF(ISERROR(MATCH(E$1,INDIRECT("Table!A"&amp;$AM44):INDIRECT("Table!" &amp; $AP$112 &amp; $AM44),0)),"",INDIRECT(CONCATENATE("Table!",ADDRESS($AI44,MATCH(E$1,INDIRECT("Table!A" &amp; $AM44):INDIRECT("Table!" &amp; $AP$112 &amp; $AM44),0)))))</f>
        <v>0.85985731774055663</v>
      </c>
      <c r="F44" s="596">
        <f ca="1">IF(ISERROR(MATCH(F$1,INDIRECT("Table!A"&amp;$AM44):INDIRECT("Table!" &amp; $AP$112 &amp; $AM44),0)),"",INDIRECT(CONCATENATE("Table!",ADDRESS($AI44,MATCH(F$1,INDIRECT("Table!A" &amp; $AM44):INDIRECT("Table!" &amp; $AP$112 &amp; $AM44),0)))))</f>
        <v>0.68065468545543006</v>
      </c>
      <c r="G44" s="596">
        <f ca="1">IF(ISERROR(MATCH(G$1,INDIRECT("Table!A"&amp;$AM44):INDIRECT("Table!" &amp; $AP$112 &amp; $AM44),0)),"",INDIRECT(CONCATENATE("Table!",ADDRESS($AI44,MATCH(G$1,INDIRECT("Table!A" &amp; $AM44):INDIRECT("Table!" &amp; $AP$112 &amp; $AM44),0)))))</f>
        <v>0.50595423244324467</v>
      </c>
      <c r="H44" s="596">
        <f ca="1">IF(ISERROR(MATCH(H$1,INDIRECT("Table!A"&amp;$AM44):INDIRECT("Table!" &amp; $AP$112 &amp; $AM44),0)),"",INDIRECT(CONCATENATE("Table!",ADDRESS($AI44,MATCH(H$1,INDIRECT("Table!A" &amp; $AM44):INDIRECT("Table!" &amp; $AP$112 &amp; $AM44),0)))))</f>
        <v>0.68218550072937367</v>
      </c>
      <c r="I44" s="596">
        <f ca="1">IF(ISERROR(MATCH(I$1,INDIRECT("Table!A"&amp;$AM44):INDIRECT("Table!" &amp; $AP$91 &amp; $AM44),0)),"",INDIRECT(CONCATENATE("Table!",ADDRESS($AI44,MATCH(I$1,INDIRECT("Table!A" &amp; $AM44):INDIRECT("Table!" &amp; $AP$91 &amp; $AM44),0)))))</f>
        <v>0.21863544742178315</v>
      </c>
      <c r="J44" s="596">
        <f ca="1">IF(ISERROR(MATCH(J$1,INDIRECT("Table!A"&amp;$AM44):INDIRECT("Table!" &amp; $AP$91 &amp; $AM44),0)),"",INDIRECT(CONCATENATE("Table!",ADDRESS($AI44,MATCH(J$1,INDIRECT("Table!A" &amp; $AM44):INDIRECT("Table!" &amp; $AP$91 &amp; $AM44),0)))))</f>
        <v>0.5032821837726329</v>
      </c>
      <c r="K44" s="596">
        <f ca="1">IF(ISERROR(MATCH(K$1,INDIRECT("Table!A"&amp;$AM44):INDIRECT("Table!" &amp; $AP$91 &amp; $AM44),0)),"",INDIRECT(CONCATENATE("Table!",ADDRESS($AI44,MATCH(K$1,INDIRECT("Table!A" &amp; $AM44):INDIRECT("Table!" &amp; $AP$91 &amp; $AM44),0)))))</f>
        <v>5.3639533583905975E-2</v>
      </c>
      <c r="L44" s="596">
        <f ca="1">IF(ISERROR(MATCH(L$1,INDIRECT("Table!A"&amp;$AM44):INDIRECT("Table!" &amp; $AP$91 &amp; $AM44),0)),"",INDIRECT(CONCATENATE("Table!",ADDRESS($AI44,MATCH(L$1,INDIRECT("Table!A" &amp; $AM44):INDIRECT("Table!" &amp; $AP$91 &amp; $AM44),0)))))</f>
        <v>0.89355180125690892</v>
      </c>
      <c r="M44" s="596">
        <f ca="1">IF(ISERROR(MATCH(M$1,INDIRECT("Table!A"&amp;$AM44):INDIRECT("Table!" &amp; $AP$91 &amp; $AM44),0)),"",INDIRECT(CONCATENATE("Table!",ADDRESS($AI44,MATCH(M$1,INDIRECT("Table!A" &amp; $AM44):INDIRECT("Table!" &amp; $AP$91 &amp; $AM44),0)))))</f>
        <v>0.50355437593513808</v>
      </c>
      <c r="N44" s="596">
        <f ca="1">IF(ISERROR(MATCH(N$1,INDIRECT("Table!A"&amp;$AM44):INDIRECT("Table!" &amp; $AP$91 &amp; $AM44),0)),"",INDIRECT(CONCATENATE("Table!",ADDRESS($AI44,MATCH(N$1,INDIRECT("Table!A" &amp; $AM44):INDIRECT("Table!" &amp; $AP$91 &amp; $AM44),0)))))</f>
        <v>0.70913225008642922</v>
      </c>
      <c r="O44" s="596">
        <f ca="1">IF(ISERROR(MATCH(O$1,INDIRECT("Table!A"&amp;$AM44):INDIRECT("Table!" &amp; $AP$91 &amp; $AM44),0)),"",INDIRECT(CONCATENATE("Table!",ADDRESS($AI44,MATCH(O$1,INDIRECT("Table!A" &amp; $AM44):INDIRECT("Table!" &amp; $AP$91 &amp; $AM44),0)))))</f>
        <v>0.77838878714801185</v>
      </c>
      <c r="P44" s="596">
        <f ca="1">IF(ISERROR(MATCH(P$1,INDIRECT("Table!A"&amp;$AM44):INDIRECT("Table!" &amp; $AP$91 &amp; $AM44),0)),"",INDIRECT(CONCATENATE("Table!",ADDRESS($AI44,MATCH(P$1,INDIRECT("Table!A" &amp; $AM44):INDIRECT("Table!" &amp; $AP$91 &amp; $AM44),0)))))</f>
        <v>0.23048088522917659</v>
      </c>
      <c r="Q44" s="596">
        <f ca="1">IF(ISERROR(MATCH(Q$1,INDIRECT("Table!A"&amp;$AM44):INDIRECT("Table!" &amp; $AP$91 &amp; $AM44),0)),"",INDIRECT(CONCATENATE("Table!",ADDRESS($AI44,MATCH(Q$1,INDIRECT("Table!A" &amp; $AM44):INDIRECT("Table!" &amp; $AP$91 &amp; $AM44),0)))))</f>
        <v>0.53265397266188874</v>
      </c>
      <c r="R44" s="596">
        <f ca="1">IF(ISERROR(MATCH(R$1,INDIRECT("Table!A"&amp;$AM44):INDIRECT("Table!" &amp; $AP$91 &amp; $AM44),0)),"",INDIRECT(CONCATENATE("Table!",ADDRESS($AI44,MATCH(R$1,INDIRECT("Table!A" &amp; $AM44):INDIRECT("Table!" &amp; $AP$91 &amp; $AM44),0)))))</f>
        <v>0.60892157204484343</v>
      </c>
      <c r="S44" s="596" t="str">
        <f ca="1">IF(ISERROR(MATCH(S$1,INDIRECT("Table!A"&amp;$AM44):INDIRECT("Table!" &amp; $AP$91 &amp; $AM44),0)),"",INDIRECT(CONCATENATE("Table!",ADDRESS($AI44,MATCH(S$1,INDIRECT("Table!A" &amp; $AM44):INDIRECT("Table!" &amp; $AP$91 &amp; $AM44),0)))))</f>
        <v/>
      </c>
      <c r="T44" s="596">
        <f ca="1">IF(ISERROR(MATCH(T$1,INDIRECT("Table!A"&amp;$AM44):INDIRECT("Table!" &amp; $AP$65 &amp; $AM44),0)),"",INDIRECT(CONCATENATE("Table!",ADDRESS($AI44,MATCH(T$1,INDIRECT("Table!A" &amp; $AM44):INDIRECT("Table!" &amp; $AP$65 &amp; $AM44),0)))))</f>
        <v>0.22119641588975689</v>
      </c>
      <c r="U44" s="596">
        <f ca="1">IF(ISERROR(MATCH(U$1,INDIRECT("Table!A"&amp;$AM44):INDIRECT("Table!" &amp; $AP$65 &amp; $AM44),0)),"",INDIRECT(CONCATENATE("Table!",ADDRESS($AI44,MATCH(U$1,INDIRECT("Table!A" &amp; $AM44):INDIRECT("Table!" &amp; $AP$65 &amp; $AM44),0)))))</f>
        <v>3.089957637677548E-5</v>
      </c>
      <c r="V44" s="596"/>
      <c r="W44" s="596"/>
      <c r="X44" s="596"/>
      <c r="Y44" s="596"/>
      <c r="Z44" s="596"/>
      <c r="AA44" s="596"/>
      <c r="AB44" s="596"/>
      <c r="AC44" s="596"/>
      <c r="AD44" s="596"/>
      <c r="AE44" s="596"/>
      <c r="AF44" s="596"/>
      <c r="AG44" s="596"/>
      <c r="AH44" s="596"/>
      <c r="AI44" s="595">
        <f>MATCH($A44,Table!$A:$A,0)+$AK$2-1</f>
        <v>594</v>
      </c>
      <c r="AJ44" s="697"/>
      <c r="AK44" s="697"/>
      <c r="AL44" s="697"/>
      <c r="AM44" s="595">
        <f>MATCH($A44,Table!$A:$A,0)+$AO$2-1</f>
        <v>591</v>
      </c>
      <c r="AN44" s="697"/>
      <c r="AP44" s="947" t="s">
        <v>302</v>
      </c>
    </row>
    <row r="45" spans="1:42" s="591" customFormat="1" ht="15.75" customHeight="1" x14ac:dyDescent="0.25">
      <c r="A45" s="592">
        <v>41684</v>
      </c>
      <c r="B45" s="596">
        <f ca="1">IF(ISERROR(MATCH(B$1,INDIRECT("Table!A"&amp;$AM45):INDIRECT("Table!" &amp; $AP$113 &amp; $AM45),0)),"",INDIRECT(CONCATENATE("Table!",ADDRESS($AI45,MATCH(B$1,INDIRECT("Table!A" &amp; $AM45):INDIRECT("Table!" &amp; $AP$112 &amp; $AM45),0)))))</f>
        <v>0.36909263353162292</v>
      </c>
      <c r="C45" s="596">
        <f ca="1">IF(ISERROR(MATCH(C$1,INDIRECT("Table!A"&amp;$AM45):INDIRECT("Table!" &amp; $AP$112 &amp; $AM45),0)),"",INDIRECT(CONCATENATE("Table!",ADDRESS($AI45,MATCH(C$1,INDIRECT("Table!A" &amp; $AM45):INDIRECT("Table!" &amp; $AP$112 &amp; $AM45),0)))))</f>
        <v>0.54955098005736236</v>
      </c>
      <c r="D45" s="596">
        <f ca="1">IF(ISERROR(MATCH(D$1,INDIRECT("Table!A"&amp;$AM45):INDIRECT("Table!" &amp; $AP$112 &amp; $AM45),0)),"",INDIRECT(CONCATENATE("Table!",ADDRESS($AI45,MATCH(D$1,INDIRECT("Table!A" &amp; $AM45):INDIRECT("Table!" &amp; $AP$112 &amp; $AM45),0)))))</f>
        <v>0.55846693423387572</v>
      </c>
      <c r="E45" s="596">
        <f ca="1">IF(ISERROR(MATCH(E$1,INDIRECT("Table!A"&amp;$AM45):INDIRECT("Table!" &amp; $AP$112 &amp; $AM45),0)),"",INDIRECT(CONCATENATE("Table!",ADDRESS($AI45,MATCH(E$1,INDIRECT("Table!A" &amp; $AM45):INDIRECT("Table!" &amp; $AP$112 &amp; $AM45),0)))))</f>
        <v>0.85985731774055663</v>
      </c>
      <c r="F45" s="596">
        <f ca="1">IF(ISERROR(MATCH(F$1,INDIRECT("Table!A"&amp;$AM45):INDIRECT("Table!" &amp; $AP$112 &amp; $AM45),0)),"",INDIRECT(CONCATENATE("Table!",ADDRESS($AI45,MATCH(F$1,INDIRECT("Table!A" &amp; $AM45):INDIRECT("Table!" &amp; $AP$112 &amp; $AM45),0)))))</f>
        <v>0.68065468545543006</v>
      </c>
      <c r="G45" s="596">
        <f ca="1">IF(ISERROR(MATCH(G$1,INDIRECT("Table!A"&amp;$AM45):INDIRECT("Table!" &amp; $AP$112 &amp; $AM45),0)),"",INDIRECT(CONCATENATE("Table!",ADDRESS($AI45,MATCH(G$1,INDIRECT("Table!A" &amp; $AM45):INDIRECT("Table!" &amp; $AP$112 &amp; $AM45),0)))))</f>
        <v>0.50595423244324467</v>
      </c>
      <c r="H45" s="596">
        <f ca="1">IF(ISERROR(MATCH(H$1,INDIRECT("Table!A"&amp;$AM45):INDIRECT("Table!" &amp; $AP$112 &amp; $AM45),0)),"",INDIRECT(CONCATENATE("Table!",ADDRESS($AI45,MATCH(H$1,INDIRECT("Table!A" &amp; $AM45):INDIRECT("Table!" &amp; $AP$112 &amp; $AM45),0)))))</f>
        <v>0.68218550072937367</v>
      </c>
      <c r="I45" s="596">
        <f ca="1">IF(ISERROR(MATCH(I$1,INDIRECT("Table!A"&amp;$AM45):INDIRECT("Table!" &amp; $AP$91 &amp; $AM45),0)),"",INDIRECT(CONCATENATE("Table!",ADDRESS($AI45,MATCH(I$1,INDIRECT("Table!A" &amp; $AM45):INDIRECT("Table!" &amp; $AP$91 &amp; $AM45),0)))))</f>
        <v>0.21863544742178315</v>
      </c>
      <c r="J45" s="596">
        <f ca="1">IF(ISERROR(MATCH(J$1,INDIRECT("Table!A"&amp;$AM45):INDIRECT("Table!" &amp; $AP$91 &amp; $AM45),0)),"",INDIRECT(CONCATENATE("Table!",ADDRESS($AI45,MATCH(J$1,INDIRECT("Table!A" &amp; $AM45):INDIRECT("Table!" &amp; $AP$91 &amp; $AM45),0)))))</f>
        <v>0.5032821837726329</v>
      </c>
      <c r="K45" s="596">
        <f ca="1">IF(ISERROR(MATCH(K$1,INDIRECT("Table!A"&amp;$AM45):INDIRECT("Table!" &amp; $AP$91 &amp; $AM45),0)),"",INDIRECT(CONCATENATE("Table!",ADDRESS($AI45,MATCH(K$1,INDIRECT("Table!A" &amp; $AM45):INDIRECT("Table!" &amp; $AP$91 &amp; $AM45),0)))))</f>
        <v>5.3639533583905975E-2</v>
      </c>
      <c r="L45" s="596">
        <f ca="1">IF(ISERROR(MATCH(L$1,INDIRECT("Table!A"&amp;$AM45):INDIRECT("Table!" &amp; $AP$91 &amp; $AM45),0)),"",INDIRECT(CONCATENATE("Table!",ADDRESS($AI45,MATCH(L$1,INDIRECT("Table!A" &amp; $AM45):INDIRECT("Table!" &amp; $AP$91 &amp; $AM45),0)))))</f>
        <v>0.888112724972556</v>
      </c>
      <c r="M45" s="596">
        <f ca="1">IF(ISERROR(MATCH(M$1,INDIRECT("Table!A"&amp;$AM45):INDIRECT("Table!" &amp; $AP$91 &amp; $AM45),0)),"",INDIRECT(CONCATENATE("Table!",ADDRESS($AI45,MATCH(M$1,INDIRECT("Table!A" &amp; $AM45):INDIRECT("Table!" &amp; $AP$91 &amp; $AM45),0)))))</f>
        <v>0.51153649091180176</v>
      </c>
      <c r="N45" s="596">
        <f ca="1">IF(ISERROR(MATCH(N$1,INDIRECT("Table!A"&amp;$AM45):INDIRECT("Table!" &amp; $AP$91 &amp; $AM45),0)),"",INDIRECT(CONCATENATE("Table!",ADDRESS($AI45,MATCH(N$1,INDIRECT("Table!A" &amp; $AM45):INDIRECT("Table!" &amp; $AP$91 &amp; $AM45),0)))))</f>
        <v>0.70416528661881417</v>
      </c>
      <c r="O45" s="596">
        <f ca="1">IF(ISERROR(MATCH(O$1,INDIRECT("Table!A"&amp;$AM45):INDIRECT("Table!" &amp; $AP$91 &amp; $AM45),0)),"",INDIRECT(CONCATENATE("Table!",ADDRESS($AI45,MATCH(O$1,INDIRECT("Table!A" &amp; $AM45):INDIRECT("Table!" &amp; $AP$91 &amp; $AM45),0)))))</f>
        <v>0.77496291998331845</v>
      </c>
      <c r="P45" s="596">
        <f ca="1">IF(ISERROR(MATCH(P$1,INDIRECT("Table!A"&amp;$AM45):INDIRECT("Table!" &amp; $AP$91 &amp; $AM45),0)),"",INDIRECT(CONCATENATE("Table!",ADDRESS($AI45,MATCH(P$1,INDIRECT("Table!A" &amp; $AM45):INDIRECT("Table!" &amp; $AP$91 &amp; $AM45),0)))))</f>
        <v>0.22707327510135794</v>
      </c>
      <c r="Q45" s="596">
        <f ca="1">IF(ISERROR(MATCH(Q$1,INDIRECT("Table!A"&amp;$AM45):INDIRECT("Table!" &amp; $AP$91 &amp; $AM45),0)),"",INDIRECT(CONCATENATE("Table!",ADDRESS($AI45,MATCH(Q$1,INDIRECT("Table!A" &amp; $AM45):INDIRECT("Table!" &amp; $AP$91 &amp; $AM45),0)))))</f>
        <v>0.52999604194270766</v>
      </c>
      <c r="R45" s="596">
        <f ca="1">IF(ISERROR(MATCH(R$1,INDIRECT("Table!A"&amp;$AM45):INDIRECT("Table!" &amp; $AP$91 &amp; $AM45),0)),"",INDIRECT(CONCATENATE("Table!",ADDRESS($AI45,MATCH(R$1,INDIRECT("Table!A" &amp; $AM45):INDIRECT("Table!" &amp; $AP$91 &amp; $AM45),0)))))</f>
        <v>0.55741795588975918</v>
      </c>
      <c r="S45" s="596" t="str">
        <f ca="1">IF(ISERROR(MATCH(S$1,INDIRECT("Table!A"&amp;$AM45):INDIRECT("Table!" &amp; $AP$91 &amp; $AM45),0)),"",INDIRECT(CONCATENATE("Table!",ADDRESS($AI45,MATCH(S$1,INDIRECT("Table!A" &amp; $AM45):INDIRECT("Table!" &amp; $AP$91 &amp; $AM45),0)))))</f>
        <v/>
      </c>
      <c r="T45" s="596">
        <f ca="1">IF(ISERROR(MATCH(T$1,INDIRECT("Table!A"&amp;$AM45):INDIRECT("Table!" &amp; $AP$65 &amp; $AM45),0)),"",INDIRECT(CONCATENATE("Table!",ADDRESS($AI45,MATCH(T$1,INDIRECT("Table!A" &amp; $AM45):INDIRECT("Table!" &amp; $AP$65 &amp; $AM45),0)))))</f>
        <v>0.22119641588975689</v>
      </c>
      <c r="U45" s="596" t="str">
        <f ca="1">IF(ISERROR(MATCH(U$1,INDIRECT("Table!A"&amp;$AM45):INDIRECT("Table!" &amp; $AP$65 &amp; $AM45),0)),"",INDIRECT(CONCATENATE("Table!",ADDRESS($AI45,MATCH(U$1,INDIRECT("Table!A" &amp; $AM45):INDIRECT("Table!" &amp; $AP$65 &amp; $AM45),0)))))</f>
        <v/>
      </c>
      <c r="V45" s="596"/>
      <c r="W45" s="596"/>
      <c r="X45" s="596"/>
      <c r="Y45" s="596"/>
      <c r="Z45" s="596"/>
      <c r="AA45" s="596"/>
      <c r="AB45" s="596"/>
      <c r="AC45" s="596"/>
      <c r="AD45" s="596"/>
      <c r="AE45" s="596"/>
      <c r="AF45" s="596"/>
      <c r="AG45" s="596"/>
      <c r="AH45" s="596"/>
      <c r="AI45" s="595">
        <f>MATCH($A45,Table!$A:$A,0)+$AK$2-1</f>
        <v>608</v>
      </c>
      <c r="AJ45" s="697"/>
      <c r="AK45" s="697"/>
      <c r="AL45" s="697"/>
      <c r="AM45" s="595">
        <f>MATCH($A45,Table!$A:$A,0)+$AO$2-1</f>
        <v>605</v>
      </c>
      <c r="AN45" s="697"/>
      <c r="AP45" s="947" t="s">
        <v>302</v>
      </c>
    </row>
    <row r="46" spans="1:42" s="591" customFormat="1" ht="15.75" customHeight="1" x14ac:dyDescent="0.25">
      <c r="A46" s="592">
        <v>41676</v>
      </c>
      <c r="B46" s="596">
        <f ca="1">IF(ISERROR(MATCH(B$1,INDIRECT("Table!A"&amp;$AM46):INDIRECT("Table!" &amp; $AP$113 &amp; $AM46),0)),"",INDIRECT(CONCATENATE("Table!",ADDRESS($AI46,MATCH(B$1,INDIRECT("Table!A" &amp; $AM46):INDIRECT("Table!" &amp; $AP$112 &amp; $AM46),0)))))</f>
        <v>0.36478140495003242</v>
      </c>
      <c r="C46" s="596">
        <f ca="1">IF(ISERROR(MATCH(C$1,INDIRECT("Table!A"&amp;$AM46):INDIRECT("Table!" &amp; $AP$112 &amp; $AM46),0)),"",INDIRECT(CONCATENATE("Table!",ADDRESS($AI46,MATCH(C$1,INDIRECT("Table!A" &amp; $AM46):INDIRECT("Table!" &amp; $AP$112 &amp; $AM46),0)))))</f>
        <v>0.54930316702399129</v>
      </c>
      <c r="D46" s="596">
        <f ca="1">IF(ISERROR(MATCH(D$1,INDIRECT("Table!A"&amp;$AM46):INDIRECT("Table!" &amp; $AP$112 &amp; $AM46),0)),"",INDIRECT(CONCATENATE("Table!",ADDRESS($AI46,MATCH(D$1,INDIRECT("Table!A" &amp; $AM46):INDIRECT("Table!" &amp; $AP$112 &amp; $AM46),0)))))</f>
        <v>0.55821912120050465</v>
      </c>
      <c r="E46" s="596">
        <f ca="1">IF(ISERROR(MATCH(E$1,INDIRECT("Table!A"&amp;$AM46):INDIRECT("Table!" &amp; $AP$112 &amp; $AM46),0)),"",INDIRECT(CONCATENATE("Table!",ADDRESS($AI46,MATCH(E$1,INDIRECT("Table!A" &amp; $AM46):INDIRECT("Table!" &amp; $AP$112 &amp; $AM46),0)))))</f>
        <v>0.86433207251915944</v>
      </c>
      <c r="F46" s="596">
        <f ca="1">IF(ISERROR(MATCH(F$1,INDIRECT("Table!A"&amp;$AM46):INDIRECT("Table!" &amp; $AP$112 &amp; $AM46),0)),"",INDIRECT(CONCATENATE("Table!",ADDRESS($AI46,MATCH(F$1,INDIRECT("Table!A" &amp; $AM46):INDIRECT("Table!" &amp; $AP$112 &amp; $AM46),0)))))</f>
        <v>0.67813857065580352</v>
      </c>
      <c r="G46" s="596">
        <f ca="1">IF(ISERROR(MATCH(G$1,INDIRECT("Table!A"&amp;$AM46):INDIRECT("Table!" &amp; $AP$112 &amp; $AM46),0)),"",INDIRECT(CONCATENATE("Table!",ADDRESS($AI46,MATCH(G$1,INDIRECT("Table!A" &amp; $AM46):INDIRECT("Table!" &amp; $AP$112 &amp; $AM46),0)))))</f>
        <v>0.50687527481800521</v>
      </c>
      <c r="H46" s="596">
        <f ca="1">IF(ISERROR(MATCH(H$1,INDIRECT("Table!A"&amp;$AM46):INDIRECT("Table!" &amp; $AP$112 &amp; $AM46),0)),"",INDIRECT(CONCATENATE("Table!",ADDRESS($AI46,MATCH(H$1,INDIRECT("Table!A" &amp; $AM46):INDIRECT("Table!" &amp; $AP$112 &amp; $AM46),0)))))</f>
        <v>0.67269779362994131</v>
      </c>
      <c r="I46" s="596">
        <f ca="1">IF(ISERROR(MATCH(I$1,INDIRECT("Table!A"&amp;$AM46):INDIRECT("Table!" &amp; $AP$91 &amp; $AM46),0)),"",INDIRECT(CONCATENATE("Table!",ADDRESS($AI46,MATCH(I$1,INDIRECT("Table!A" &amp; $AM46):INDIRECT("Table!" &amp; $AP$91 &amp; $AM46),0)))))</f>
        <v>0.20166270281378154</v>
      </c>
      <c r="J46" s="596">
        <f ca="1">IF(ISERROR(MATCH(J$1,INDIRECT("Table!A"&amp;$AM46):INDIRECT("Table!" &amp; $AP$91 &amp; $AM46),0)),"",INDIRECT(CONCATENATE("Table!",ADDRESS($AI46,MATCH(J$1,INDIRECT("Table!A" &amp; $AM46):INDIRECT("Table!" &amp; $AP$91 &amp; $AM46),0)))))</f>
        <v>0.50015900137251956</v>
      </c>
      <c r="K46" s="596">
        <f ca="1">IF(ISERROR(MATCH(K$1,INDIRECT("Table!A"&amp;$AM46):INDIRECT("Table!" &amp; $AP$91 &amp; $AM46),0)),"",INDIRECT(CONCATENATE("Table!",ADDRESS($AI46,MATCH(K$1,INDIRECT("Table!A" &amp; $AM46):INDIRECT("Table!" &amp; $AP$91 &amp; $AM46),0)))))</f>
        <v>3.9735035656719486E-2</v>
      </c>
      <c r="L46" s="596">
        <f ca="1">IF(ISERROR(MATCH(L$1,INDIRECT("Table!A"&amp;$AM46):INDIRECT("Table!" &amp; $AP$91 &amp; $AM46),0)),"",INDIRECT(CONCATENATE("Table!",ADDRESS($AI46,MATCH(L$1,INDIRECT("Table!A" &amp; $AM46):INDIRECT("Table!" &amp; $AP$91 &amp; $AM46),0)))))</f>
        <v>0.88137229049920451</v>
      </c>
      <c r="M46" s="596">
        <f ca="1">IF(ISERROR(MATCH(M$1,INDIRECT("Table!A"&amp;$AM46):INDIRECT("Table!" &amp; $AP$91 &amp; $AM46),0)),"",INDIRECT(CONCATENATE("Table!",ADDRESS($AI46,MATCH(M$1,INDIRECT("Table!A" &amp; $AM46):INDIRECT("Table!" &amp; $AP$91 &amp; $AM46),0)))))</f>
        <v>0.53902169709436487</v>
      </c>
      <c r="N46" s="596">
        <f ca="1">IF(ISERROR(MATCH(N$1,INDIRECT("Table!A"&amp;$AM46):INDIRECT("Table!" &amp; $AP$91 &amp; $AM46),0)),"",INDIRECT(CONCATENATE("Table!",ADDRESS($AI46,MATCH(N$1,INDIRECT("Table!A" &amp; $AM46):INDIRECT("Table!" &amp; $AP$91 &amp; $AM46),0)))))</f>
        <v>0.70172592612291573</v>
      </c>
      <c r="O46" s="596">
        <f ca="1">IF(ISERROR(MATCH(O$1,INDIRECT("Table!A"&amp;$AM46):INDIRECT("Table!" &amp; $AP$91 &amp; $AM46),0)),"",INDIRECT(CONCATENATE("Table!",ADDRESS($AI46,MATCH(O$1,INDIRECT("Table!A" &amp; $AM46):INDIRECT("Table!" &amp; $AP$91 &amp; $AM46),0)))))</f>
        <v>0.76327573389421777</v>
      </c>
      <c r="P46" s="596">
        <f ca="1">IF(ISERROR(MATCH(P$1,INDIRECT("Table!A"&amp;$AM46):INDIRECT("Table!" &amp; $AP$91 &amp; $AM46),0)),"",INDIRECT(CONCATENATE("Table!",ADDRESS($AI46,MATCH(P$1,INDIRECT("Table!A" &amp; $AM46):INDIRECT("Table!" &amp; $AP$91 &amp; $AM46),0)))))</f>
        <v>0.20894005072129157</v>
      </c>
      <c r="Q46" s="596">
        <f ca="1">IF(ISERROR(MATCH(Q$1,INDIRECT("Table!A"&amp;$AM46):INDIRECT("Table!" &amp; $AP$91 &amp; $AM46),0)),"",INDIRECT(CONCATENATE("Table!",ADDRESS($AI46,MATCH(Q$1,INDIRECT("Table!A" &amp; $AM46):INDIRECT("Table!" &amp; $AP$91 &amp; $AM46),0)))))</f>
        <v>0.50993059641785232</v>
      </c>
      <c r="R46" s="596">
        <f ca="1">IF(ISERROR(MATCH(R$1,INDIRECT("Table!A"&amp;$AM46):INDIRECT("Table!" &amp; $AP$91 &amp; $AM46),0)),"",INDIRECT(CONCATENATE("Table!",ADDRESS($AI46,MATCH(R$1,INDIRECT("Table!A" &amp; $AM46):INDIRECT("Table!" &amp; $AP$91 &amp; $AM46),0)))))</f>
        <v>0.46932007630165351</v>
      </c>
      <c r="S46" s="596" t="str">
        <f ca="1">IF(ISERROR(MATCH(S$1,INDIRECT("Table!A"&amp;$AM46):INDIRECT("Table!" &amp; $AP$91 &amp; $AM46),0)),"",INDIRECT(CONCATENATE("Table!",ADDRESS($AI46,MATCH(S$1,INDIRECT("Table!A" &amp; $AM46):INDIRECT("Table!" &amp; $AP$91 &amp; $AM46),0)))))</f>
        <v/>
      </c>
      <c r="T46" s="596">
        <f ca="1">IF(ISERROR(MATCH(T$1,INDIRECT("Table!A"&amp;$AM46):INDIRECT("Table!" &amp; $AP$65 &amp; $AM46),0)),"",INDIRECT(CONCATENATE("Table!",ADDRESS($AI46,MATCH(T$1,INDIRECT("Table!A" &amp; $AM46):INDIRECT("Table!" &amp; $AP$65 &amp; $AM46),0)))))</f>
        <v>0.22119641588975689</v>
      </c>
      <c r="U46" s="596" t="str">
        <f ca="1">IF(ISERROR(MATCH(U$1,INDIRECT("Table!A"&amp;$AM46):INDIRECT("Table!" &amp; $AP$65 &amp; $AM46),0)),"",INDIRECT(CONCATENATE("Table!",ADDRESS($AI46,MATCH(U$1,INDIRECT("Table!A" &amp; $AM46):INDIRECT("Table!" &amp; $AP$65 &amp; $AM46),0)))))</f>
        <v/>
      </c>
      <c r="V46" s="596"/>
      <c r="W46" s="596"/>
      <c r="X46" s="596"/>
      <c r="Y46" s="596"/>
      <c r="Z46" s="596"/>
      <c r="AA46" s="596"/>
      <c r="AB46" s="596"/>
      <c r="AC46" s="596"/>
      <c r="AD46" s="596"/>
      <c r="AE46" s="596"/>
      <c r="AF46" s="596"/>
      <c r="AG46" s="596"/>
      <c r="AH46" s="596"/>
      <c r="AI46" s="595">
        <f>MATCH($A46,Table!$A:$A,0)+$AK$2-1</f>
        <v>622</v>
      </c>
      <c r="AJ46" s="697"/>
      <c r="AK46" s="697"/>
      <c r="AL46" s="697"/>
      <c r="AM46" s="595">
        <f>MATCH($A46,Table!$A:$A,0)+$AO$2-1</f>
        <v>619</v>
      </c>
      <c r="AN46" s="697"/>
      <c r="AP46" s="947" t="s">
        <v>302</v>
      </c>
    </row>
    <row r="47" spans="1:42" s="591" customFormat="1" ht="15.75" customHeight="1" x14ac:dyDescent="0.25">
      <c r="A47" s="592">
        <v>41642</v>
      </c>
      <c r="B47" s="596">
        <f ca="1">IF(ISERROR(MATCH(B$1,INDIRECT("Table!A"&amp;$AM47):INDIRECT("Table!" &amp; $AP$113 &amp; $AM47),0)),"",INDIRECT(CONCATENATE("Table!",ADDRESS($AI47,MATCH(B$1,INDIRECT("Table!A" &amp; $AM47):INDIRECT("Table!" &amp; $AP$112 &amp; $AM47),0)))))</f>
        <v>0.36238868006109087</v>
      </c>
      <c r="C47" s="596">
        <f ca="1">IF(ISERROR(MATCH(C$1,INDIRECT("Table!A"&amp;$AM47):INDIRECT("Table!" &amp; $AP$112 &amp; $AM47),0)),"",INDIRECT(CONCATENATE("Table!",ADDRESS($AI47,MATCH(C$1,INDIRECT("Table!A" &amp; $AM47):INDIRECT("Table!" &amp; $AP$112 &amp; $AM47),0)))))</f>
        <v>0.54437946088374245</v>
      </c>
      <c r="D47" s="596">
        <f ca="1">IF(ISERROR(MATCH(D$1,INDIRECT("Table!A"&amp;$AM47):INDIRECT("Table!" &amp; $AP$112 &amp; $AM47),0)),"",INDIRECT(CONCATENATE("Table!",ADDRESS($AI47,MATCH(D$1,INDIRECT("Table!A" &amp; $AM47):INDIRECT("Table!" &amp; $AP$112 &amp; $AM47),0)))))</f>
        <v>0.54497607242252843</v>
      </c>
      <c r="E47" s="596">
        <f ca="1">IF(ISERROR(MATCH(E$1,INDIRECT("Table!A"&amp;$AM47):INDIRECT("Table!" &amp; $AP$112 &amp; $AM47),0)),"",INDIRECT(CONCATENATE("Table!",ADDRESS($AI47,MATCH(E$1,INDIRECT("Table!A" &amp; $AM47):INDIRECT("Table!" &amp; $AP$112 &amp; $AM47),0)))))</f>
        <v>0.85508256098391866</v>
      </c>
      <c r="F47" s="596">
        <f ca="1">IF(ISERROR(MATCH(F$1,INDIRECT("Table!A"&amp;$AM47):INDIRECT("Table!" &amp; $AP$112 &amp; $AM47),0)),"",INDIRECT(CONCATENATE("Table!",ADDRESS($AI47,MATCH(F$1,INDIRECT("Table!A" &amp; $AM47):INDIRECT("Table!" &amp; $AP$112 &amp; $AM47),0)))))</f>
        <v>0.66667069599615603</v>
      </c>
      <c r="G47" s="596">
        <f ca="1">IF(ISERROR(MATCH(G$1,INDIRECT("Table!A"&amp;$AM47):INDIRECT("Table!" &amp; $AP$112 &amp; $AM47),0)),"",INDIRECT(CONCATENATE("Table!",ADDRESS($AI47,MATCH(G$1,INDIRECT("Table!A" &amp; $AM47):INDIRECT("Table!" &amp; $AP$112 &amp; $AM47),0)))))</f>
        <v>0.44305619569388099</v>
      </c>
      <c r="H47" s="596">
        <f ca="1">IF(ISERROR(MATCH(H$1,INDIRECT("Table!A"&amp;$AM47):INDIRECT("Table!" &amp; $AP$112 &amp; $AM47),0)),"",INDIRECT(CONCATENATE("Table!",ADDRESS($AI47,MATCH(H$1,INDIRECT("Table!A" &amp; $AM47):INDIRECT("Table!" &amp; $AP$112 &amp; $AM47),0)))))</f>
        <v>0.64884429070601268</v>
      </c>
      <c r="I47" s="596">
        <f ca="1">IF(ISERROR(MATCH(I$1,INDIRECT("Table!A"&amp;$AM47):INDIRECT("Table!" &amp; $AP$91 &amp; $AM47),0)),"",INDIRECT(CONCATENATE("Table!",ADDRESS($AI47,MATCH(I$1,INDIRECT("Table!A" &amp; $AM47):INDIRECT("Table!" &amp; $AP$91 &amp; $AM47),0)))))</f>
        <v>0.18069548241650979</v>
      </c>
      <c r="J47" s="596">
        <f ca="1">IF(ISERROR(MATCH(J$1,INDIRECT("Table!A"&amp;$AM47):INDIRECT("Table!" &amp; $AP$91 &amp; $AM47),0)),"",INDIRECT(CONCATENATE("Table!",ADDRESS($AI47,MATCH(J$1,INDIRECT("Table!A" &amp; $AM47):INDIRECT("Table!" &amp; $AP$91 &amp; $AM47),0)))))</f>
        <v>0.62613892628198187</v>
      </c>
      <c r="K47" s="596">
        <f ca="1">IF(ISERROR(MATCH(K$1,INDIRECT("Table!A"&amp;$AM47):INDIRECT("Table!" &amp; $AP$91 &amp; $AM47),0)),"",INDIRECT(CONCATENATE("Table!",ADDRESS($AI47,MATCH(K$1,INDIRECT("Table!A" &amp; $AM47):INDIRECT("Table!" &amp; $AP$91 &amp; $AM47),0)))))</f>
        <v>3.0279063561873692E-2</v>
      </c>
      <c r="L47" s="596">
        <f ca="1">IF(ISERROR(MATCH(L$1,INDIRECT("Table!A"&amp;$AM47):INDIRECT("Table!" &amp; $AP$91 &amp; $AM47),0)),"",INDIRECT(CONCATENATE("Table!",ADDRESS($AI47,MATCH(L$1,INDIRECT("Table!A" &amp; $AM47):INDIRECT("Table!" &amp; $AP$91 &amp; $AM47),0)))))</f>
        <v>0.87589902247899409</v>
      </c>
      <c r="M47" s="596">
        <f ca="1">IF(ISERROR(MATCH(M$1,INDIRECT("Table!A"&amp;$AM47):INDIRECT("Table!" &amp; $AP$91 &amp; $AM47),0)),"",INDIRECT(CONCATENATE("Table!",ADDRESS($AI47,MATCH(M$1,INDIRECT("Table!A" &amp; $AM47):INDIRECT("Table!" &amp; $AP$91 &amp; $AM47),0)))))</f>
        <v>0.53530195734748875</v>
      </c>
      <c r="N47" s="596">
        <f ca="1">IF(ISERROR(MATCH(N$1,INDIRECT("Table!A"&amp;$AM47):INDIRECT("Table!" &amp; $AP$91 &amp; $AM47),0)),"",INDIRECT(CONCATENATE("Table!",ADDRESS($AI47,MATCH(N$1,INDIRECT("Table!A" &amp; $AM47):INDIRECT("Table!" &amp; $AP$91 &amp; $AM47),0)))))</f>
        <v>0.68384292355783982</v>
      </c>
      <c r="O47" s="596">
        <f ca="1">IF(ISERROR(MATCH(O$1,INDIRECT("Table!A"&amp;$AM47):INDIRECT("Table!" &amp; $AP$91 &amp; $AM47),0)),"",INDIRECT(CONCATENATE("Table!",ADDRESS($AI47,MATCH(O$1,INDIRECT("Table!A" &amp; $AM47):INDIRECT("Table!" &amp; $AP$91 &amp; $AM47),0)))))</f>
        <v>0.73959493028231582</v>
      </c>
      <c r="P47" s="596">
        <f ca="1">IF(ISERROR(MATCH(P$1,INDIRECT("Table!A"&amp;$AM47):INDIRECT("Table!" &amp; $AP$91 &amp; $AM47),0)),"",INDIRECT(CONCATENATE("Table!",ADDRESS($AI47,MATCH(P$1,INDIRECT("Table!A" &amp; $AM47):INDIRECT("Table!" &amp; $AP$91 &amp; $AM47),0)))))</f>
        <v>0.18793229747142998</v>
      </c>
      <c r="Q47" s="596">
        <f ca="1">IF(ISERROR(MATCH(Q$1,INDIRECT("Table!A"&amp;$AM47):INDIRECT("Table!" &amp; $AP$91 &amp; $AM47),0)),"",INDIRECT(CONCATENATE("Table!",ADDRESS($AI47,MATCH(Q$1,INDIRECT("Table!A" &amp; $AM47):INDIRECT("Table!" &amp; $AP$91 &amp; $AM47),0)))))</f>
        <v>0.49229660453716129</v>
      </c>
      <c r="R47" s="596">
        <f ca="1">IF(ISERROR(MATCH(R$1,INDIRECT("Table!A"&amp;$AM47):INDIRECT("Table!" &amp; $AP$91 &amp; $AM47),0)),"",INDIRECT(CONCATENATE("Table!",ADDRESS($AI47,MATCH(R$1,INDIRECT("Table!A" &amp; $AM47):INDIRECT("Table!" &amp; $AP$91 &amp; $AM47),0)))))</f>
        <v>0.37796122654787906</v>
      </c>
      <c r="S47" s="596" t="str">
        <f ca="1">IF(ISERROR(MATCH(S$1,INDIRECT("Table!A"&amp;$AM47):INDIRECT("Table!" &amp; $AP$91 &amp; $AM47),0)),"",INDIRECT(CONCATENATE("Table!",ADDRESS($AI47,MATCH(S$1,INDIRECT("Table!A" &amp; $AM47):INDIRECT("Table!" &amp; $AP$91 &amp; $AM47),0)))))</f>
        <v/>
      </c>
      <c r="T47" s="596">
        <f ca="1">IF(ISERROR(MATCH(T$1,INDIRECT("Table!A"&amp;$AM47):INDIRECT("Table!" &amp; $AP$65 &amp; $AM47),0)),"",INDIRECT(CONCATENATE("Table!",ADDRESS($AI47,MATCH(T$1,INDIRECT("Table!A" &amp; $AM47):INDIRECT("Table!" &amp; $AP$65 &amp; $AM47),0)))))</f>
        <v>0.21148063643643947</v>
      </c>
      <c r="U47" s="596" t="str">
        <f ca="1">IF(ISERROR(MATCH(U$1,INDIRECT("Table!A"&amp;$AM47):INDIRECT("Table!" &amp; $AP$65 &amp; $AM47),0)),"",INDIRECT(CONCATENATE("Table!",ADDRESS($AI47,MATCH(U$1,INDIRECT("Table!A" &amp; $AM47):INDIRECT("Table!" &amp; $AP$65 &amp; $AM47),0)))))</f>
        <v/>
      </c>
      <c r="V47" s="596"/>
      <c r="W47" s="596"/>
      <c r="X47" s="596"/>
      <c r="Y47" s="596"/>
      <c r="Z47" s="596"/>
      <c r="AA47" s="596"/>
      <c r="AB47" s="596"/>
      <c r="AC47" s="596"/>
      <c r="AD47" s="596"/>
      <c r="AE47" s="596"/>
      <c r="AF47" s="596"/>
      <c r="AG47" s="596"/>
      <c r="AH47" s="596"/>
      <c r="AI47" s="595">
        <f>MATCH($A47,Table!$A:$A,0)+$AK$2-1</f>
        <v>664</v>
      </c>
      <c r="AJ47" s="697"/>
      <c r="AK47" s="697"/>
      <c r="AL47" s="697"/>
      <c r="AM47" s="595">
        <f>MATCH($A47,Table!$A:$A,0)+$AO$2-1</f>
        <v>661</v>
      </c>
      <c r="AN47" s="697"/>
      <c r="AP47" s="947" t="s">
        <v>302</v>
      </c>
    </row>
    <row r="48" spans="1:42" s="591" customFormat="1" ht="15.75" customHeight="1" x14ac:dyDescent="0.25">
      <c r="A48" s="592">
        <v>41626</v>
      </c>
      <c r="B48" s="596">
        <f ca="1">IF(ISERROR(MATCH(B$1,INDIRECT("Table!A"&amp;$AM48):INDIRECT("Table!" &amp; $AP$113 &amp; $AM48),0)),"",INDIRECT(CONCATENATE("Table!",ADDRESS($AI48,MATCH(B$1,INDIRECT("Table!A" &amp; $AM48):INDIRECT("Table!" &amp; $AP$112 &amp; $AM48),0)))))</f>
        <v>0.3551847021821149</v>
      </c>
      <c r="C48" s="596">
        <f ca="1">IF(ISERROR(MATCH(C$1,INDIRECT("Table!A"&amp;$AM48):INDIRECT("Table!" &amp; $AP$112 &amp; $AM48),0)),"",INDIRECT(CONCATENATE("Table!",ADDRESS($AI48,MATCH(C$1,INDIRECT("Table!A" &amp; $AM48):INDIRECT("Table!" &amp; $AP$112 &amp; $AM48),0)))))</f>
        <v>0.54437946088374245</v>
      </c>
      <c r="D48" s="596">
        <f ca="1">IF(ISERROR(MATCH(D$1,INDIRECT("Table!A"&amp;$AM48):INDIRECT("Table!" &amp; $AP$112 &amp; $AM48),0)),"",INDIRECT(CONCATENATE("Table!",ADDRESS($AI48,MATCH(D$1,INDIRECT("Table!A" &amp; $AM48):INDIRECT("Table!" &amp; $AP$112 &amp; $AM48),0)))))</f>
        <v>0.55350668729782138</v>
      </c>
      <c r="E48" s="596">
        <f ca="1">IF(ISERROR(MATCH(E$1,INDIRECT("Table!A"&amp;$AM48):INDIRECT("Table!" &amp; $AP$112 &amp; $AM48),0)),"",INDIRECT(CONCATENATE("Table!",ADDRESS($AI48,MATCH(E$1,INDIRECT("Table!A" &amp; $AM48):INDIRECT("Table!" &amp; $AP$112 &amp; $AM48),0)))))</f>
        <v>0.85207265102846841</v>
      </c>
      <c r="F48" s="596">
        <f ca="1">IF(ISERROR(MATCH(F$1,INDIRECT("Table!A"&amp;$AM48):INDIRECT("Table!" &amp; $AP$112 &amp; $AM48),0)),"",INDIRECT(CONCATENATE("Table!",ADDRESS($AI48,MATCH(F$1,INDIRECT("Table!A" &amp; $AM48):INDIRECT("Table!" &amp; $AP$112 &amp; $AM48),0)))))</f>
        <v>0.66328122402971224</v>
      </c>
      <c r="G48" s="596">
        <f ca="1">IF(ISERROR(MATCH(G$1,INDIRECT("Table!A"&amp;$AM48):INDIRECT("Table!" &amp; $AP$112 &amp; $AM48),0)),"",INDIRECT(CONCATENATE("Table!",ADDRESS($AI48,MATCH(G$1,INDIRECT("Table!A" &amp; $AM48):INDIRECT("Table!" &amp; $AP$112 &amp; $AM48),0)))))</f>
        <v>0.4763075660944398</v>
      </c>
      <c r="H48" s="596">
        <f ca="1">IF(ISERROR(MATCH(H$1,INDIRECT("Table!A"&amp;$AM48):INDIRECT("Table!" &amp; $AP$112 &amp; $AM48),0)),"",INDIRECT(CONCATENATE("Table!",ADDRESS($AI48,MATCH(H$1,INDIRECT("Table!A" &amp; $AM48):INDIRECT("Table!" &amp; $AP$112 &amp; $AM48),0)))))</f>
        <v>0.64653743435929167</v>
      </c>
      <c r="I48" s="596">
        <f ca="1">IF(ISERROR(MATCH(I$1,INDIRECT("Table!A"&amp;$AM48):INDIRECT("Table!" &amp; $AP$91 &amp; $AM48),0)),"",INDIRECT(CONCATENATE("Table!",ADDRESS($AI48,MATCH(I$1,INDIRECT("Table!A" &amp; $AM48):INDIRECT("Table!" &amp; $AP$91 &amp; $AM48),0)))))</f>
        <v>0.17841689659028065</v>
      </c>
      <c r="J48" s="596">
        <f ca="1">IF(ISERROR(MATCH(J$1,INDIRECT("Table!A"&amp;$AM48):INDIRECT("Table!" &amp; $AP$91 &amp; $AM48),0)),"",INDIRECT(CONCATENATE("Table!",ADDRESS($AI48,MATCH(J$1,INDIRECT("Table!A" &amp; $AM48):INDIRECT("Table!" &amp; $AP$91 &amp; $AM48),0)))))</f>
        <v>0.60448580048392186</v>
      </c>
      <c r="K48" s="596">
        <f ca="1">IF(ISERROR(MATCH(K$1,INDIRECT("Table!A"&amp;$AM48):INDIRECT("Table!" &amp; $AP$91 &amp; $AM48),0)),"",INDIRECT(CONCATENATE("Table!",ADDRESS($AI48,MATCH(K$1,INDIRECT("Table!A" &amp; $AM48):INDIRECT("Table!" &amp; $AP$91 &amp; $AM48),0)))))</f>
        <v>3.1627684470786489E-2</v>
      </c>
      <c r="L48" s="596">
        <f ca="1">IF(ISERROR(MATCH(L$1,INDIRECT("Table!A"&amp;$AM48):INDIRECT("Table!" &amp; $AP$91 &amp; $AM48),0)),"",INDIRECT(CONCATENATE("Table!",ADDRESS($AI48,MATCH(L$1,INDIRECT("Table!A" &amp; $AM48):INDIRECT("Table!" &amp; $AP$91 &amp; $AM48),0)))))</f>
        <v>0.87339162851611485</v>
      </c>
      <c r="M48" s="596">
        <f ca="1">IF(ISERROR(MATCH(M$1,INDIRECT("Table!A"&amp;$AM48):INDIRECT("Table!" &amp; $AP$91 &amp; $AM48),0)),"",INDIRECT(CONCATENATE("Table!",ADDRESS($AI48,MATCH(M$1,INDIRECT("Table!A" &amp; $AM48):INDIRECT("Table!" &amp; $AP$91 &amp; $AM48),0)))))</f>
        <v>0.54405829282487561</v>
      </c>
      <c r="N48" s="596">
        <f ca="1">IF(ISERROR(MATCH(N$1,INDIRECT("Table!A"&amp;$AM48):INDIRECT("Table!" &amp; $AP$91 &amp; $AM48),0)),"",INDIRECT(CONCATENATE("Table!",ADDRESS($AI48,MATCH(N$1,INDIRECT("Table!A" &amp; $AM48):INDIRECT("Table!" &amp; $AP$91 &amp; $AM48),0)))))</f>
        <v>0.68384292355783982</v>
      </c>
      <c r="O48" s="596">
        <f ca="1">IF(ISERROR(MATCH(O$1,INDIRECT("Table!A"&amp;$AM48):INDIRECT("Table!" &amp; $AP$91 &amp; $AM48),0)),"",INDIRECT(CONCATENATE("Table!",ADDRESS($AI48,MATCH(O$1,INDIRECT("Table!A" &amp; $AM48):INDIRECT("Table!" &amp; $AP$91 &amp; $AM48),0)))))</f>
        <v>0.73959493028231582</v>
      </c>
      <c r="P48" s="596">
        <f ca="1">IF(ISERROR(MATCH(P$1,INDIRECT("Table!A"&amp;$AM48):INDIRECT("Table!" &amp; $AP$91 &amp; $AM48),0)),"",INDIRECT(CONCATENATE("Table!",ADDRESS($AI48,MATCH(P$1,INDIRECT("Table!A" &amp; $AM48):INDIRECT("Table!" &amp; $AP$91 &amp; $AM48),0)))))</f>
        <v>0.1856597515188585</v>
      </c>
      <c r="Q48" s="596">
        <f ca="1">IF(ISERROR(MATCH(Q$1,INDIRECT("Table!A"&amp;$AM48):INDIRECT("Table!" &amp; $AP$91 &amp; $AM48),0)),"",INDIRECT(CONCATENATE("Table!",ADDRESS($AI48,MATCH(Q$1,INDIRECT("Table!A" &amp; $AM48):INDIRECT("Table!" &amp; $AP$91 &amp; $AM48),0)))))</f>
        <v>0.47999381950412101</v>
      </c>
      <c r="R48" s="596">
        <f ca="1">IF(ISERROR(MATCH(R$1,INDIRECT("Table!A"&amp;$AM48):INDIRECT("Table!" &amp; $AP$91 &amp; $AM48),0)),"",INDIRECT(CONCATENATE("Table!",ADDRESS($AI48,MATCH(R$1,INDIRECT("Table!A" &amp; $AM48):INDIRECT("Table!" &amp; $AP$91 &amp; $AM48),0)))))</f>
        <v>0.4429438399155729</v>
      </c>
      <c r="S48" s="596" t="str">
        <f ca="1">IF(ISERROR(MATCH(S$1,INDIRECT("Table!A"&amp;$AM48):INDIRECT("Table!" &amp; $AP$91 &amp; $AM48),0)),"",INDIRECT(CONCATENATE("Table!",ADDRESS($AI48,MATCH(S$1,INDIRECT("Table!A" &amp; $AM48):INDIRECT("Table!" &amp; $AP$91 &amp; $AM48),0)))))</f>
        <v/>
      </c>
      <c r="T48" s="596">
        <f ca="1">IF(ISERROR(MATCH(T$1,INDIRECT("Table!A"&amp;$AM48):INDIRECT("Table!" &amp; $AP$65 &amp; $AM48),0)),"",INDIRECT(CONCATENATE("Table!",ADDRESS($AI48,MATCH(T$1,INDIRECT("Table!A" &amp; $AM48):INDIRECT("Table!" &amp; $AP$65 &amp; $AM48),0)))))</f>
        <v>0.20851603934664026</v>
      </c>
      <c r="U48" s="596" t="str">
        <f ca="1">IF(ISERROR(MATCH(U$1,INDIRECT("Table!A"&amp;$AM48):INDIRECT("Table!" &amp; $AP$65 &amp; $AM48),0)),"",INDIRECT(CONCATENATE("Table!",ADDRESS($AI48,MATCH(U$1,INDIRECT("Table!A" &amp; $AM48):INDIRECT("Table!" &amp; $AP$65 &amp; $AM48),0)))))</f>
        <v/>
      </c>
      <c r="V48" s="596"/>
      <c r="W48" s="596"/>
      <c r="X48" s="596"/>
      <c r="Y48" s="596"/>
      <c r="Z48" s="596"/>
      <c r="AA48" s="596"/>
      <c r="AB48" s="596"/>
      <c r="AC48" s="596"/>
      <c r="AD48" s="596"/>
      <c r="AE48" s="596"/>
      <c r="AF48" s="596"/>
      <c r="AG48" s="596"/>
      <c r="AH48" s="596"/>
      <c r="AI48" s="595">
        <f>MATCH($A48,Table!$A:$A,0)+$AK$2-1</f>
        <v>678</v>
      </c>
      <c r="AJ48" s="607"/>
      <c r="AK48" s="607"/>
      <c r="AL48" s="607"/>
      <c r="AM48" s="595">
        <f>MATCH($A48,Table!$A:$A,0)+$AO$2-1</f>
        <v>675</v>
      </c>
      <c r="AN48" s="607"/>
      <c r="AP48" s="947" t="s">
        <v>302</v>
      </c>
    </row>
    <row r="49" spans="1:42" s="591" customFormat="1" ht="15.75" customHeight="1" x14ac:dyDescent="0.25">
      <c r="A49" s="592">
        <v>41617</v>
      </c>
      <c r="B49" s="596">
        <f ca="1">IF(ISERROR(MATCH(B$1,INDIRECT("Table!A"&amp;$AM49):INDIRECT("Table!" &amp; $AP$113 &amp; $AM49),0)),"",INDIRECT(CONCATENATE("Table!",ADDRESS($AI49,MATCH(B$1,INDIRECT("Table!A" &amp; $AM49):INDIRECT("Table!" &amp; $AP$112 &amp; $AM49),0)))))</f>
        <v>0.35053593969022201</v>
      </c>
      <c r="C49" s="596">
        <f ca="1">IF(ISERROR(MATCH(C$1,INDIRECT("Table!A"&amp;$AM49):INDIRECT("Table!" &amp; $AP$112 &amp; $AM49),0)),"",INDIRECT(CONCATENATE("Table!",ADDRESS($AI49,MATCH(C$1,INDIRECT("Table!A" &amp; $AM49):INDIRECT("Table!" &amp; $AP$112 &amp; $AM49),0)))))</f>
        <v>0.54207805512610896</v>
      </c>
      <c r="D49" s="596">
        <f ca="1">IF(ISERROR(MATCH(D$1,INDIRECT("Table!A"&amp;$AM49):INDIRECT("Table!" &amp; $AP$112 &amp; $AM49),0)),"",INDIRECT(CONCATENATE("Table!",ADDRESS($AI49,MATCH(D$1,INDIRECT("Table!A" &amp; $AM49):INDIRECT("Table!" &amp; $AP$112 &amp; $AM49),0)))))</f>
        <v>0.55122056223661553</v>
      </c>
      <c r="E49" s="596">
        <f ca="1">IF(ISERROR(MATCH(E$1,INDIRECT("Table!A"&amp;$AM49):INDIRECT("Table!" &amp; $AP$112 &amp; $AM49),0)),"",INDIRECT(CONCATENATE("Table!",ADDRESS($AI49,MATCH(E$1,INDIRECT("Table!A" &amp; $AM49):INDIRECT("Table!" &amp; $AP$112 &amp; $AM49),0)))))</f>
        <v>0.84885010230836699</v>
      </c>
      <c r="F49" s="596">
        <f ca="1">IF(ISERROR(MATCH(F$1,INDIRECT("Table!A"&amp;$AM49):INDIRECT("Table!" &amp; $AP$112 &amp; $AM49),0)),"",INDIRECT(CONCATENATE("Table!",ADDRESS($AI49,MATCH(F$1,INDIRECT("Table!A" &amp; $AM49):INDIRECT("Table!" &amp; $AP$112 &amp; $AM49),0)))))</f>
        <v>0.71304868135155797</v>
      </c>
      <c r="G49" s="596">
        <f ca="1">IF(ISERROR(MATCH(G$1,INDIRECT("Table!A"&amp;$AM49):INDIRECT("Table!" &amp; $AP$112 &amp; $AM49),0)),"",INDIRECT(CONCATENATE("Table!",ADDRESS($AI49,MATCH(G$1,INDIRECT("Table!A" &amp; $AM49):INDIRECT("Table!" &amp; $AP$112 &amp; $AM49),0)))))</f>
        <v>0.48619609499223887</v>
      </c>
      <c r="H49" s="596">
        <f ca="1">IF(ISERROR(MATCH(H$1,INDIRECT("Table!A"&amp;$AM49):INDIRECT("Table!" &amp; $AP$112 &amp; $AM49),0)),"",INDIRECT(CONCATENATE("Table!",ADDRESS($AI49,MATCH(H$1,INDIRECT("Table!A" &amp; $AM49):INDIRECT("Table!" &amp; $AP$112 &amp; $AM49),0)))))</f>
        <v>0.64493948011506197</v>
      </c>
      <c r="I49" s="596">
        <f ca="1">IF(ISERROR(MATCH(I$1,INDIRECT("Table!A"&amp;$AM49):INDIRECT("Table!" &amp; $AP$91 &amp; $AM49),0)),"",INDIRECT(CONCATENATE("Table!",ADDRESS($AI49,MATCH(I$1,INDIRECT("Table!A" &amp; $AM49):INDIRECT("Table!" &amp; $AP$91 &amp; $AM49),0)))))</f>
        <v>0.17597995811511996</v>
      </c>
      <c r="J49" s="596">
        <f ca="1">IF(ISERROR(MATCH(J$1,INDIRECT("Table!A"&amp;$AM49):INDIRECT("Table!" &amp; $AP$91 &amp; $AM49),0)),"",INDIRECT(CONCATENATE("Table!",ADDRESS($AI49,MATCH(J$1,INDIRECT("Table!A" &amp; $AM49):INDIRECT("Table!" &amp; $AP$91 &amp; $AM49),0)))))</f>
        <v>0.60106090577373394</v>
      </c>
      <c r="K49" s="596">
        <f ca="1">IF(ISERROR(MATCH(K$1,INDIRECT("Table!A"&amp;$AM49):INDIRECT("Table!" &amp; $AP$91 &amp; $AM49),0)),"",INDIRECT(CONCATENATE("Table!",ADDRESS($AI49,MATCH(K$1,INDIRECT("Table!A" &amp; $AM49):INDIRECT("Table!" &amp; $AP$91 &amp; $AM49),0)))))</f>
        <v>2.4558860760963735E-2</v>
      </c>
      <c r="L49" s="596">
        <f ca="1">IF(ISERROR(MATCH(L$1,INDIRECT("Table!A"&amp;$AM49):INDIRECT("Table!" &amp; $AP$91 &amp; $AM49),0)),"",INDIRECT(CONCATENATE("Table!",ADDRESS($AI49,MATCH(L$1,INDIRECT("Table!A" &amp; $AM49):INDIRECT("Table!" &amp; $AP$91 &amp; $AM49),0)))))</f>
        <v>0.86359362396654182</v>
      </c>
      <c r="M49" s="596">
        <f ca="1">IF(ISERROR(MATCH(M$1,INDIRECT("Table!A"&amp;$AM49):INDIRECT("Table!" &amp; $AP$91 &amp; $AM49),0)),"",INDIRECT(CONCATENATE("Table!",ADDRESS($AI49,MATCH(M$1,INDIRECT("Table!A" &amp; $AM49):INDIRECT("Table!" &amp; $AP$91 &amp; $AM49),0)))))</f>
        <v>0.19773758918385556</v>
      </c>
      <c r="N49" s="596">
        <f ca="1">IF(ISERROR(MATCH(N$1,INDIRECT("Table!A"&amp;$AM49):INDIRECT("Table!" &amp; $AP$91 &amp; $AM49),0)),"",INDIRECT(CONCATENATE("Table!",ADDRESS($AI49,MATCH(N$1,INDIRECT("Table!A" &amp; $AM49):INDIRECT("Table!" &amp; $AP$91 &amp; $AM49),0)))))</f>
        <v>0.73254068219895407</v>
      </c>
      <c r="O49" s="596">
        <f ca="1">IF(ISERROR(MATCH(O$1,INDIRECT("Table!A"&amp;$AM49):INDIRECT("Table!" &amp; $AP$91 &amp; $AM49),0)),"",INDIRECT(CONCATENATE("Table!",ADDRESS($AI49,MATCH(O$1,INDIRECT("Table!A" &amp; $AM49):INDIRECT("Table!" &amp; $AP$91 &amp; $AM49),0)))))</f>
        <v>0.7376315932621349</v>
      </c>
      <c r="P49" s="596">
        <f ca="1">IF(ISERROR(MATCH(P$1,INDIRECT("Table!A"&amp;$AM49):INDIRECT("Table!" &amp; $AP$91 &amp; $AM49),0)),"",INDIRECT(CONCATENATE("Table!",ADDRESS($AI49,MATCH(P$1,INDIRECT("Table!A" &amp; $AM49):INDIRECT("Table!" &amp; $AP$91 &amp; $AM49),0)))))</f>
        <v>0.18322280862503715</v>
      </c>
      <c r="Q49" s="596">
        <f ca="1">IF(ISERROR(MATCH(Q$1,INDIRECT("Table!A"&amp;$AM49):INDIRECT("Table!" &amp; $AP$91 &amp; $AM49),0)),"",INDIRECT(CONCATENATE("Table!",ADDRESS($AI49,MATCH(Q$1,INDIRECT("Table!A" &amp; $AM49):INDIRECT("Table!" &amp; $AP$91 &amp; $AM49),0)))))</f>
        <v>0.47757294890084534</v>
      </c>
      <c r="R49" s="596">
        <f ca="1">IF(ISERROR(MATCH(R$1,INDIRECT("Table!A"&amp;$AM49):INDIRECT("Table!" &amp; $AP$91 &amp; $AM49),0)),"",INDIRECT(CONCATENATE("Table!",ADDRESS($AI49,MATCH(R$1,INDIRECT("Table!A" &amp; $AM49):INDIRECT("Table!" &amp; $AP$91 &amp; $AM49),0)))))</f>
        <v>0.29180016398278413</v>
      </c>
      <c r="S49" s="596" t="str">
        <f ca="1">IF(ISERROR(MATCH(S$1,INDIRECT("Table!A"&amp;$AM49):INDIRECT("Table!" &amp; $AP$91 &amp; $AM49),0)),"",INDIRECT(CONCATENATE("Table!",ADDRESS($AI49,MATCH(S$1,INDIRECT("Table!A" &amp; $AM49):INDIRECT("Table!" &amp; $AP$91 &amp; $AM49),0)))))</f>
        <v/>
      </c>
      <c r="T49" s="596">
        <f ca="1">IF(ISERROR(MATCH(T$1,INDIRECT("Table!A"&amp;$AM49):INDIRECT("Table!" &amp; $AP$65 &amp; $AM49),0)),"",INDIRECT(CONCATENATE("Table!",ADDRESS($AI49,MATCH(T$1,INDIRECT("Table!A" &amp; $AM49):INDIRECT("Table!" &amp; $AP$65 &amp; $AM49),0)))))</f>
        <v>0.20851603934664026</v>
      </c>
      <c r="U49" s="596" t="str">
        <f ca="1">IF(ISERROR(MATCH(U$1,INDIRECT("Table!A"&amp;$AM49):INDIRECT("Table!" &amp; $AP$65 &amp; $AM49),0)),"",INDIRECT(CONCATENATE("Table!",ADDRESS($AI49,MATCH(U$1,INDIRECT("Table!A" &amp; $AM49):INDIRECT("Table!" &amp; $AP$65 &amp; $AM49),0)))))</f>
        <v/>
      </c>
      <c r="V49" s="596"/>
      <c r="W49" s="596"/>
      <c r="X49" s="596"/>
      <c r="Y49" s="596"/>
      <c r="Z49" s="596"/>
      <c r="AA49" s="596"/>
      <c r="AB49" s="596"/>
      <c r="AC49" s="596"/>
      <c r="AD49" s="596"/>
      <c r="AE49" s="596"/>
      <c r="AF49" s="596"/>
      <c r="AG49" s="596"/>
      <c r="AH49" s="596"/>
      <c r="AI49" s="595">
        <f>MATCH($A49,Table!$A:$A,0)+$AK$2-1</f>
        <v>690</v>
      </c>
      <c r="AJ49" s="593"/>
      <c r="AK49" s="593"/>
      <c r="AL49" s="593"/>
      <c r="AM49" s="595">
        <f>MATCH($A49,Table!$A:$A,0)+$AO$2-1</f>
        <v>687</v>
      </c>
      <c r="AN49" s="593"/>
      <c r="AP49" s="947" t="s">
        <v>302</v>
      </c>
    </row>
    <row r="50" spans="1:42" s="591" customFormat="1" ht="15.75" customHeight="1" x14ac:dyDescent="0.25">
      <c r="A50" s="592">
        <v>41610</v>
      </c>
      <c r="B50" s="596">
        <f ca="1">IF(ISERROR(MATCH(B$1,INDIRECT("Table!A"&amp;$AM50):INDIRECT("Table!" &amp; $AP$113 &amp; $AM50),0)),"",INDIRECT(CONCATENATE("Table!",ADDRESS($AI50,MATCH(B$1,INDIRECT("Table!A" &amp; $AM50):INDIRECT("Table!" &amp; $AP$112 &amp; $AM50),0)))))</f>
        <v>0.35245095646230989</v>
      </c>
      <c r="C50" s="596">
        <f ca="1">IF(ISERROR(MATCH(C$1,INDIRECT("Table!A"&amp;$AM50):INDIRECT("Table!" &amp; $AP$112 &amp; $AM50),0)),"",INDIRECT(CONCATENATE("Table!",ADDRESS($AI50,MATCH(C$1,INDIRECT("Table!A" &amp; $AM50):INDIRECT("Table!" &amp; $AP$112 &amp; $AM50),0)))))</f>
        <v>0.54063834777137687</v>
      </c>
      <c r="D50" s="596">
        <f ca="1">IF(ISERROR(MATCH(D$1,INDIRECT("Table!A"&amp;$AM50):INDIRECT("Table!" &amp; $AP$112 &amp; $AM50),0)),"",INDIRECT(CONCATENATE("Table!",ADDRESS($AI50,MATCH(D$1,INDIRECT("Table!A" &amp; $AM50):INDIRECT("Table!" &amp; $AP$112 &amp; $AM50),0)))))</f>
        <v>0.54974497846418369</v>
      </c>
      <c r="E50" s="596">
        <f ca="1">IF(ISERROR(MATCH(E$1,INDIRECT("Table!A"&amp;$AM50):INDIRECT("Table!" &amp; $AP$112 &amp; $AM50),0)),"",INDIRECT(CONCATENATE("Table!",ADDRESS($AI50,MATCH(E$1,INDIRECT("Table!A" &amp; $AM50):INDIRECT("Table!" &amp; $AP$112 &amp; $AM50),0)))))</f>
        <v>0.8454050246485143</v>
      </c>
      <c r="F50" s="596">
        <f ca="1">IF(ISERROR(MATCH(F$1,INDIRECT("Table!A"&amp;$AM50):INDIRECT("Table!" &amp; $AP$112 &amp; $AM50),0)),"",INDIRECT(CONCATENATE("Table!",ADDRESS($AI50,MATCH(F$1,INDIRECT("Table!A" &amp; $AM50):INDIRECT("Table!" &amp; $AP$112 &amp; $AM50),0)))))</f>
        <v>0.71179153055087985</v>
      </c>
      <c r="G50" s="596">
        <f ca="1">IF(ISERROR(MATCH(G$1,INDIRECT("Table!A"&amp;$AM50):INDIRECT("Table!" &amp; $AP$112 &amp; $AM50),0)),"",INDIRECT(CONCATENATE("Table!",ADDRESS($AI50,MATCH(G$1,INDIRECT("Table!A" &amp; $AM50):INDIRECT("Table!" &amp; $AP$112 &amp; $AM50),0)))))</f>
        <v>0.47801872205938112</v>
      </c>
      <c r="H50" s="596">
        <f ca="1">IF(ISERROR(MATCH(H$1,INDIRECT("Table!A"&amp;$AM50):INDIRECT("Table!" &amp; $AP$112 &amp; $AM50),0)),"",INDIRECT(CONCATENATE("Table!",ADDRESS($AI50,MATCH(H$1,INDIRECT("Table!A" &amp; $AM50):INDIRECT("Table!" &amp; $AP$112 &amp; $AM50),0)))))</f>
        <v>0.64220564477921671</v>
      </c>
      <c r="I50" s="596">
        <f ca="1">IF(ISERROR(MATCH(I$1,INDIRECT("Table!A"&amp;$AM50):INDIRECT("Table!" &amp; $AP$91 &amp; $AM50),0)),"",INDIRECT(CONCATENATE("Table!",ADDRESS($AI50,MATCH(I$1,INDIRECT("Table!A" &amp; $AM50):INDIRECT("Table!" &amp; $AP$91 &amp; $AM50),0)))))</f>
        <v>0.16327971303115377</v>
      </c>
      <c r="J50" s="596">
        <f ca="1">IF(ISERROR(MATCH(J$1,INDIRECT("Table!A"&amp;$AM50):INDIRECT("Table!" &amp; $AP$91 &amp; $AM50),0)),"",INDIRECT(CONCATENATE("Table!",ADDRESS($AI50,MATCH(J$1,INDIRECT("Table!A" &amp; $AM50):INDIRECT("Table!" &amp; $AP$91 &amp; $AM50),0)))))</f>
        <v>0.58612446922247852</v>
      </c>
      <c r="K50" s="596">
        <f ca="1">IF(ISERROR(MATCH(K$1,INDIRECT("Table!A"&amp;$AM50):INDIRECT("Table!" &amp; $AP$91 &amp; $AM50),0)),"",INDIRECT(CONCATENATE("Table!",ADDRESS($AI50,MATCH(K$1,INDIRECT("Table!A" &amp; $AM50):INDIRECT("Table!" &amp; $AP$91 &amp; $AM50),0)))))</f>
        <v>2.5353689496507816E-2</v>
      </c>
      <c r="L50" s="596">
        <f ca="1">IF(ISERROR(MATCH(L$1,INDIRECT("Table!A"&amp;$AM50):INDIRECT("Table!" &amp; $AP$91 &amp; $AM50),0)),"",INDIRECT(CONCATENATE("Table!",ADDRESS($AI50,MATCH(L$1,INDIRECT("Table!A" &amp; $AM50):INDIRECT("Table!" &amp; $AP$91 &amp; $AM50),0)))))</f>
        <v>0.86299267830601711</v>
      </c>
      <c r="M50" s="596">
        <f ca="1">IF(ISERROR(MATCH(M$1,INDIRECT("Table!A"&amp;$AM50):INDIRECT("Table!" &amp; $AP$91 &amp; $AM50),0)),"",INDIRECT(CONCATENATE("Table!",ADDRESS($AI50,MATCH(M$1,INDIRECT("Table!A" &amp; $AM50):INDIRECT("Table!" &amp; $AP$91 &amp; $AM50),0)))))</f>
        <v>0.20275016834255277</v>
      </c>
      <c r="N50" s="596">
        <f ca="1">IF(ISERROR(MATCH(N$1,INDIRECT("Table!A"&amp;$AM50):INDIRECT("Table!" &amp; $AP$91 &amp; $AM50),0)),"",INDIRECT(CONCATENATE("Table!",ADDRESS($AI50,MATCH(N$1,INDIRECT("Table!A" &amp; $AM50):INDIRECT("Table!" &amp; $AP$91 &amp; $AM50),0)))))</f>
        <v>0.73124968268972734</v>
      </c>
      <c r="O50" s="596">
        <f ca="1">IF(ISERROR(MATCH(O$1,INDIRECT("Table!A"&amp;$AM50):INDIRECT("Table!" &amp; $AP$91 &amp; $AM50),0)),"",INDIRECT(CONCATENATE("Table!",ADDRESS($AI50,MATCH(O$1,INDIRECT("Table!A" &amp; $AM50):INDIRECT("Table!" &amp; $AP$91 &amp; $AM50),0)))))</f>
        <v>0.7342390890464362</v>
      </c>
      <c r="P50" s="596">
        <f ca="1">IF(ISERROR(MATCH(P$1,INDIRECT("Table!A"&amp;$AM50):INDIRECT("Table!" &amp; $AP$91 &amp; $AM50),0)),"",INDIRECT(CONCATENATE("Table!",ADDRESS($AI50,MATCH(P$1,INDIRECT("Table!A" &amp; $AM50):INDIRECT("Table!" &amp; $AP$91 &amp; $AM50),0)))))</f>
        <v>0.17037929758989248</v>
      </c>
      <c r="Q50" s="596">
        <f ca="1">IF(ISERROR(MATCH(Q$1,INDIRECT("Table!A"&amp;$AM50):INDIRECT("Table!" &amp; $AP$91 &amp; $AM50),0)),"",INDIRECT(CONCATENATE("Table!",ADDRESS($AI50,MATCH(Q$1,INDIRECT("Table!A" &amp; $AM50):INDIRECT("Table!" &amp; $AP$91 &amp; $AM50),0)))))</f>
        <v>0.46079724163622277</v>
      </c>
      <c r="R50" s="596">
        <f ca="1">IF(ISERROR(MATCH(R$1,INDIRECT("Table!A"&amp;$AM50):INDIRECT("Table!" &amp; $AP$91 &amp; $AM50),0)),"",INDIRECT(CONCATENATE("Table!",ADDRESS($AI50,MATCH(R$1,INDIRECT("Table!A" &amp; $AM50):INDIRECT("Table!" &amp; $AP$91 &amp; $AM50),0)))))</f>
        <v>0.25803875661099146</v>
      </c>
      <c r="S50" s="596" t="str">
        <f ca="1">IF(ISERROR(MATCH(S$1,INDIRECT("Table!A"&amp;$AM50):INDIRECT("Table!" &amp; $AP$91 &amp; $AM50),0)),"",INDIRECT(CONCATENATE("Table!",ADDRESS($AI50,MATCH(S$1,INDIRECT("Table!A" &amp; $AM50):INDIRECT("Table!" &amp; $AP$91 &amp; $AM50),0)))))</f>
        <v/>
      </c>
      <c r="T50" s="596">
        <f ca="1">IF(ISERROR(MATCH(T$1,INDIRECT("Table!A"&amp;$AM50):INDIRECT("Table!" &amp; $AP$65 &amp; $AM50),0)),"",INDIRECT(CONCATENATE("Table!",ADDRESS($AI50,MATCH(T$1,INDIRECT("Table!A" &amp; $AM50):INDIRECT("Table!" &amp; $AP$65 &amp; $AM50),0)))))</f>
        <v>0.20069506353787342</v>
      </c>
      <c r="U50" s="596" t="str">
        <f ca="1">IF(ISERROR(MATCH(U$1,INDIRECT("Table!A"&amp;$AM50):INDIRECT("Table!" &amp; $AP$65 &amp; $AM50),0)),"",INDIRECT(CONCATENATE("Table!",ADDRESS($AI50,MATCH(U$1,INDIRECT("Table!A" &amp; $AM50):INDIRECT("Table!" &amp; $AP$65 &amp; $AM50),0)))))</f>
        <v/>
      </c>
      <c r="V50" s="596"/>
      <c r="W50" s="596"/>
      <c r="X50" s="596"/>
      <c r="Y50" s="596"/>
      <c r="Z50" s="596"/>
      <c r="AA50" s="596"/>
      <c r="AB50" s="596"/>
      <c r="AC50" s="596"/>
      <c r="AD50" s="596"/>
      <c r="AE50" s="596"/>
      <c r="AF50" s="596"/>
      <c r="AG50" s="596"/>
      <c r="AH50" s="596"/>
      <c r="AI50" s="595">
        <f>MATCH($A50,Table!$A:$A,0)+$AK$2-1</f>
        <v>702</v>
      </c>
      <c r="AJ50" s="593"/>
      <c r="AK50" s="593"/>
      <c r="AL50" s="593"/>
      <c r="AM50" s="595">
        <f>MATCH($A50,Table!$A:$A,0)+$AO$2-1</f>
        <v>699</v>
      </c>
      <c r="AN50" s="593"/>
      <c r="AP50" s="947" t="s">
        <v>302</v>
      </c>
    </row>
    <row r="51" spans="1:42" s="591" customFormat="1" ht="15.75" customHeight="1" x14ac:dyDescent="0.25">
      <c r="A51" s="592">
        <v>41603</v>
      </c>
      <c r="B51" s="596">
        <f ca="1">IF(ISERROR(MATCH(B$1,INDIRECT("Table!A"&amp;$AM51):INDIRECT("Table!" &amp; $AP$113 &amp; $AM51),0)),"",INDIRECT(CONCATENATE("Table!",ADDRESS($AI51,MATCH(B$1,INDIRECT("Table!A" &amp; $AM51):INDIRECT("Table!" &amp; $AP$112 &amp; $AM51),0)))))</f>
        <v>0.34557056481139248</v>
      </c>
      <c r="C51" s="596">
        <f ca="1">IF(ISERROR(MATCH(C$1,INDIRECT("Table!A"&amp;$AM51):INDIRECT("Table!" &amp; $AP$112 &amp; $AM51),0)),"",INDIRECT(CONCATENATE("Table!",ADDRESS($AI51,MATCH(C$1,INDIRECT("Table!A" &amp; $AM51):INDIRECT("Table!" &amp; $AP$112 &amp; $AM51),0)))))</f>
        <v>0.53936672807734953</v>
      </c>
      <c r="D51" s="596">
        <f ca="1">IF(ISERROR(MATCH(D$1,INDIRECT("Table!A"&amp;$AM51):INDIRECT("Table!" &amp; $AP$112 &amp; $AM51),0)),"",INDIRECT(CONCATENATE("Table!",ADDRESS($AI51,MATCH(D$1,INDIRECT("Table!A" &amp; $AM51):INDIRECT("Table!" &amp; $AP$112 &amp; $AM51),0)))))</f>
        <v>0.54847335877015635</v>
      </c>
      <c r="E51" s="596">
        <f ca="1">IF(ISERROR(MATCH(E$1,INDIRECT("Table!A"&amp;$AM51):INDIRECT("Table!" &amp; $AP$112 &amp; $AM51),0)),"",INDIRECT(CONCATENATE("Table!",ADDRESS($AI51,MATCH(E$1,INDIRECT("Table!A" &amp; $AM51):INDIRECT("Table!" &amp; $AP$112 &amp; $AM51),0)))))</f>
        <v>0.84271434756712682</v>
      </c>
      <c r="F51" s="596">
        <f ca="1">IF(ISERROR(MATCH(F$1,INDIRECT("Table!A"&amp;$AM51):INDIRECT("Table!" &amp; $AP$112 &amp; $AM51),0)),"",INDIRECT(CONCATENATE("Table!",ADDRESS($AI51,MATCH(F$1,INDIRECT("Table!A" &amp; $AM51):INDIRECT("Table!" &amp; $AP$112 &amp; $AM51),0)))))</f>
        <v>0.70782727473277995</v>
      </c>
      <c r="G51" s="596">
        <f ca="1">IF(ISERROR(MATCH(G$1,INDIRECT("Table!A"&amp;$AM51):INDIRECT("Table!" &amp; $AP$112 &amp; $AM51),0)),"",INDIRECT(CONCATENATE("Table!",ADDRESS($AI51,MATCH(G$1,INDIRECT("Table!A" &amp; $AM51):INDIRECT("Table!" &amp; $AP$112 &amp; $AM51),0)))))</f>
        <v>0.49603694462166503</v>
      </c>
      <c r="H51" s="596">
        <f ca="1">IF(ISERROR(MATCH(H$1,INDIRECT("Table!A"&amp;$AM51):INDIRECT("Table!" &amp; $AP$112 &amp; $AM51),0)),"",INDIRECT(CONCATENATE("Table!",ADDRESS($AI51,MATCH(H$1,INDIRECT("Table!A" &amp; $AM51):INDIRECT("Table!" &amp; $AP$112 &amp; $AM51),0)))))</f>
        <v>0.62494399556409774</v>
      </c>
      <c r="I51" s="596">
        <f ca="1">IF(ISERROR(MATCH(I$1,INDIRECT("Table!A"&amp;$AM51):INDIRECT("Table!" &amp; $AP$91 &amp; $AM51),0)),"",INDIRECT(CONCATENATE("Table!",ADDRESS($AI51,MATCH(I$1,INDIRECT("Table!A" &amp; $AM51):INDIRECT("Table!" &amp; $AP$91 &amp; $AM51),0)))))</f>
        <v>0.16301921687966708</v>
      </c>
      <c r="J51" s="596">
        <f ca="1">IF(ISERROR(MATCH(J$1,INDIRECT("Table!A"&amp;$AM51):INDIRECT("Table!" &amp; $AP$91 &amp; $AM51),0)),"",INDIRECT(CONCATENATE("Table!",ADDRESS($AI51,MATCH(J$1,INDIRECT("Table!A" &amp; $AM51):INDIRECT("Table!" &amp; $AP$91 &amp; $AM51),0)))))</f>
        <v>0.5796447632115449</v>
      </c>
      <c r="K51" s="596">
        <f ca="1">IF(ISERROR(MATCH(K$1,INDIRECT("Table!A"&amp;$AM51):INDIRECT("Table!" &amp; $AP$91 &amp; $AM51),0)),"",INDIRECT(CONCATENATE("Table!",ADDRESS($AI51,MATCH(K$1,INDIRECT("Table!A" &amp; $AM51):INDIRECT("Table!" &amp; $AP$91 &amp; $AM51),0)))))</f>
        <v>2.3066292247051909E-2</v>
      </c>
      <c r="L51" s="596">
        <f ca="1">IF(ISERROR(MATCH(L$1,INDIRECT("Table!A"&amp;$AM51):INDIRECT("Table!" &amp; $AP$91 &amp; $AM51),0)),"",INDIRECT(CONCATENATE("Table!",ADDRESS($AI51,MATCH(L$1,INDIRECT("Table!A" &amp; $AM51):INDIRECT("Table!" &amp; $AP$91 &amp; $AM51),0)))))</f>
        <v>0.85075928966150693</v>
      </c>
      <c r="M51" s="596">
        <f ca="1">IF(ISERROR(MATCH(M$1,INDIRECT("Table!A"&amp;$AM51):INDIRECT("Table!" &amp; $AP$91 &amp; $AM51),0)),"",INDIRECT(CONCATENATE("Table!",ADDRESS($AI51,MATCH(M$1,INDIRECT("Table!A" &amp; $AM51):INDIRECT("Table!" &amp; $AP$91 &amp; $AM51),0)))))</f>
        <v>0.20258500650987371</v>
      </c>
      <c r="N51" s="596">
        <f ca="1">IF(ISERROR(MATCH(N$1,INDIRECT("Table!A"&amp;$AM51):INDIRECT("Table!" &amp; $AP$91 &amp; $AM51),0)),"",INDIRECT(CONCATENATE("Table!",ADDRESS($AI51,MATCH(N$1,INDIRECT("Table!A" &amp; $AM51):INDIRECT("Table!" &amp; $AP$91 &amp; $AM51),0)))))</f>
        <v>0.72723041923637621</v>
      </c>
      <c r="O51" s="596">
        <f ca="1">IF(ISERROR(MATCH(O$1,INDIRECT("Table!A"&amp;$AM51):INDIRECT("Table!" &amp; $AP$91 &amp; $AM51),0)),"",INDIRECT(CONCATENATE("Table!",ADDRESS($AI51,MATCH(O$1,INDIRECT("Table!A" &amp; $AM51):INDIRECT("Table!" &amp; $AP$91 &amp; $AM51),0)))))</f>
        <v>0.71264890935794456</v>
      </c>
      <c r="P51" s="596">
        <f ca="1">IF(ISERROR(MATCH(P$1,INDIRECT("Table!A"&amp;$AM51):INDIRECT("Table!" &amp; $AP$91 &amp; $AM51),0)),"",INDIRECT(CONCATENATE("Table!",ADDRESS($AI51,MATCH(P$1,INDIRECT("Table!A" &amp; $AM51):INDIRECT("Table!" &amp; $AP$91 &amp; $AM51),0)))))</f>
        <v>0.17005775651362437</v>
      </c>
      <c r="Q51" s="596">
        <f ca="1">IF(ISERROR(MATCH(Q$1,INDIRECT("Table!A"&amp;$AM51):INDIRECT("Table!" &amp; $AP$91 &amp; $AM51),0)),"",INDIRECT(CONCATENATE("Table!",ADDRESS($AI51,MATCH(Q$1,INDIRECT("Table!A" &amp; $AM51):INDIRECT("Table!" &amp; $AP$91 &amp; $AM51),0)))))</f>
        <v>0.45400240023367355</v>
      </c>
      <c r="R51" s="596">
        <f ca="1">IF(ISERROR(MATCH(R$1,INDIRECT("Table!A"&amp;$AM51):INDIRECT("Table!" &amp; $AP$91 &amp; $AM51),0)),"",INDIRECT(CONCATENATE("Table!",ADDRESS($AI51,MATCH(R$1,INDIRECT("Table!A" &amp; $AM51):INDIRECT("Table!" &amp; $AP$91 &amp; $AM51),0)))))</f>
        <v>0.25636130099202614</v>
      </c>
      <c r="S51" s="596" t="str">
        <f ca="1">IF(ISERROR(MATCH(S$1,INDIRECT("Table!A"&amp;$AM51):INDIRECT("Table!" &amp; $AP$91 &amp; $AM51),0)),"",INDIRECT(CONCATENATE("Table!",ADDRESS($AI51,MATCH(S$1,INDIRECT("Table!A" &amp; $AM51):INDIRECT("Table!" &amp; $AP$91 &amp; $AM51),0)))))</f>
        <v/>
      </c>
      <c r="T51" s="596">
        <f ca="1">IF(ISERROR(MATCH(T$1,INDIRECT("Table!A"&amp;$AM51):INDIRECT("Table!" &amp; $AP$65 &amp; $AM51),0)),"",INDIRECT(CONCATENATE("Table!",ADDRESS($AI51,MATCH(T$1,INDIRECT("Table!A" &amp; $AM51):INDIRECT("Table!" &amp; $AP$65 &amp; $AM51),0)))))</f>
        <v>0.20069506353787342</v>
      </c>
      <c r="U51" s="596" t="str">
        <f ca="1">IF(ISERROR(MATCH(U$1,INDIRECT("Table!A"&amp;$AM51):INDIRECT("Table!" &amp; $AP$65 &amp; $AM51),0)),"",INDIRECT(CONCATENATE("Table!",ADDRESS($AI51,MATCH(U$1,INDIRECT("Table!A" &amp; $AM51):INDIRECT("Table!" &amp; $AP$65 &amp; $AM51),0)))))</f>
        <v/>
      </c>
      <c r="V51" s="596"/>
      <c r="W51" s="596"/>
      <c r="X51" s="596"/>
      <c r="Y51" s="596"/>
      <c r="Z51" s="596"/>
      <c r="AA51" s="596"/>
      <c r="AB51" s="596"/>
      <c r="AC51" s="596"/>
      <c r="AD51" s="596"/>
      <c r="AE51" s="596"/>
      <c r="AF51" s="596"/>
      <c r="AG51" s="596"/>
      <c r="AH51" s="596"/>
      <c r="AI51" s="595">
        <f>MATCH($A51,Table!$A:$A,0)+$AK$2-1</f>
        <v>714</v>
      </c>
      <c r="AJ51" s="593"/>
      <c r="AK51" s="593"/>
      <c r="AL51" s="593"/>
      <c r="AM51" s="595">
        <f>MATCH($A51,Table!$A:$A,0)+$AO$2-1</f>
        <v>711</v>
      </c>
      <c r="AN51" s="593"/>
      <c r="AP51" s="947" t="s">
        <v>302</v>
      </c>
    </row>
    <row r="52" spans="1:42" s="591" customFormat="1" ht="15.75" customHeight="1" x14ac:dyDescent="0.25">
      <c r="A52" s="592">
        <v>41596</v>
      </c>
      <c r="B52" s="596">
        <f ca="1">IF(ISERROR(MATCH(B$1,INDIRECT("Table!A"&amp;$AM52):INDIRECT("Table!" &amp; $AP$113 &amp; $AM52),0)),"",INDIRECT(CONCATENATE("Table!",ADDRESS($AI52,MATCH(B$1,INDIRECT("Table!A" &amp; $AM52):INDIRECT("Table!" &amp; $AP$112 &amp; $AM52),0)))))</f>
        <v>0.34590949348991934</v>
      </c>
      <c r="C52" s="596">
        <f ca="1">IF(ISERROR(MATCH(C$1,INDIRECT("Table!A"&amp;$AM52):INDIRECT("Table!" &amp; $AP$112 &amp; $AM52),0)),"",INDIRECT(CONCATENATE("Table!",ADDRESS($AI52,MATCH(C$1,INDIRECT("Table!A" &amp; $AM52):INDIRECT("Table!" &amp; $AP$112 &amp; $AM52),0)))))</f>
        <v>0.53913286698419505</v>
      </c>
      <c r="D52" s="596">
        <f ca="1">IF(ISERROR(MATCH(D$1,INDIRECT("Table!A"&amp;$AM52):INDIRECT("Table!" &amp; $AP$112 &amp; $AM52),0)),"",INDIRECT(CONCATENATE("Table!",ADDRESS($AI52,MATCH(D$1,INDIRECT("Table!A" &amp; $AM52):INDIRECT("Table!" &amp; $AP$112 &amp; $AM52),0)))))</f>
        <v>0.54823949767700186</v>
      </c>
      <c r="E52" s="596">
        <f ca="1">IF(ISERROR(MATCH(E$1,INDIRECT("Table!A"&amp;$AM52):INDIRECT("Table!" &amp; $AP$112 &amp; $AM52),0)),"",INDIRECT(CONCATENATE("Table!",ADDRESS($AI52,MATCH(E$1,INDIRECT("Table!A" &amp; $AM52):INDIRECT("Table!" &amp; $AP$112 &amp; $AM52),0)))))</f>
        <v>0.84059620173319827</v>
      </c>
      <c r="F52" s="596">
        <f ca="1">IF(ISERROR(MATCH(F$1,INDIRECT("Table!A"&amp;$AM52):INDIRECT("Table!" &amp; $AP$112 &amp; $AM52),0)),"",INDIRECT(CONCATENATE("Table!",ADDRESS($AI52,MATCH(F$1,INDIRECT("Table!A" &amp; $AM52):INDIRECT("Table!" &amp; $AP$112 &amp; $AM52),0)))))</f>
        <v>0.69853523799738304</v>
      </c>
      <c r="G52" s="596">
        <f ca="1">IF(ISERROR(MATCH(G$1,INDIRECT("Table!A"&amp;$AM52):INDIRECT("Table!" &amp; $AP$112 &amp; $AM52),0)),"",INDIRECT(CONCATENATE("Table!",ADDRESS($AI52,MATCH(G$1,INDIRECT("Table!A" &amp; $AM52):INDIRECT("Table!" &amp; $AP$112 &amp; $AM52),0)))))</f>
        <v>0.49594082927113536</v>
      </c>
      <c r="H52" s="596">
        <f ca="1">IF(ISERROR(MATCH(H$1,INDIRECT("Table!A"&amp;$AM52):INDIRECT("Table!" &amp; $AP$112 &amp; $AM52),0)),"",INDIRECT(CONCATENATE("Table!",ADDRESS($AI52,MATCH(H$1,INDIRECT("Table!A" &amp; $AM52):INDIRECT("Table!" &amp; $AP$112 &amp; $AM52),0)))))</f>
        <v>0.61472516005863065</v>
      </c>
      <c r="I52" s="596">
        <f ca="1">IF(ISERROR(MATCH(I$1,INDIRECT("Table!A"&amp;$AM52):INDIRECT("Table!" &amp; $AP$91 &amp; $AM52),0)),"",INDIRECT(CONCATENATE("Table!",ADDRESS($AI52,MATCH(I$1,INDIRECT("Table!A" &amp; $AM52):INDIRECT("Table!" &amp; $AP$91 &amp; $AM52),0)))))</f>
        <v>0.16047771730425769</v>
      </c>
      <c r="J52" s="596">
        <f ca="1">IF(ISERROR(MATCH(J$1,INDIRECT("Table!A"&amp;$AM52):INDIRECT("Table!" &amp; $AP$91 &amp; $AM52),0)),"",INDIRECT(CONCATENATE("Table!",ADDRESS($AI52,MATCH(J$1,INDIRECT("Table!A" &amp; $AM52):INDIRECT("Table!" &amp; $AP$91 &amp; $AM52),0)))))</f>
        <v>0.56465746724437194</v>
      </c>
      <c r="K52" s="596">
        <f ca="1">IF(ISERROR(MATCH(K$1,INDIRECT("Table!A"&amp;$AM52):INDIRECT("Table!" &amp; $AP$91 &amp; $AM52),0)),"",INDIRECT(CONCATENATE("Table!",ADDRESS($AI52,MATCH(K$1,INDIRECT("Table!A" &amp; $AM52):INDIRECT("Table!" &amp; $AP$91 &amp; $AM52),0)))))</f>
        <v>2.0594936973472415E-2</v>
      </c>
      <c r="L52" s="596">
        <f ca="1">IF(ISERROR(MATCH(L$1,INDIRECT("Table!A"&amp;$AM52):INDIRECT("Table!" &amp; $AP$91 &amp; $AM52),0)),"",INDIRECT(CONCATENATE("Table!",ADDRESS($AI52,MATCH(L$1,INDIRECT("Table!A" &amp; $AM52):INDIRECT("Table!" &amp; $AP$91 &amp; $AM52),0)))))</f>
        <v>0.83916570092281417</v>
      </c>
      <c r="M52" s="596">
        <f ca="1">IF(ISERROR(MATCH(M$1,INDIRECT("Table!A"&amp;$AM52):INDIRECT("Table!" &amp; $AP$91 &amp; $AM52),0)),"",INDIRECT(CONCATENATE("Table!",ADDRESS($AI52,MATCH(M$1,INDIRECT("Table!A" &amp; $AM52):INDIRECT("Table!" &amp; $AP$91 &amp; $AM52),0)))))</f>
        <v>0.2052631727752984</v>
      </c>
      <c r="N52" s="596">
        <f ca="1">IF(ISERROR(MATCH(N$1,INDIRECT("Table!A"&amp;$AM52):INDIRECT("Table!" &amp; $AP$91 &amp; $AM52),0)),"",INDIRECT(CONCATENATE("Table!",ADDRESS($AI52,MATCH(N$1,INDIRECT("Table!A" &amp; $AM52):INDIRECT("Table!" &amp; $AP$91 &amp; $AM52),0)))))</f>
        <v>0.72422413105337335</v>
      </c>
      <c r="O52" s="596">
        <f ca="1">IF(ISERROR(MATCH(O$1,INDIRECT("Table!A"&amp;$AM52):INDIRECT("Table!" &amp; $AP$91 &amp; $AM52),0)),"",INDIRECT(CONCATENATE("Table!",ADDRESS($AI52,MATCH(O$1,INDIRECT("Table!A" &amp; $AM52):INDIRECT("Table!" &amp; $AP$91 &amp; $AM52),0)))))</f>
        <v>0.69845116135700169</v>
      </c>
      <c r="P52" s="596">
        <f ca="1">IF(ISERROR(MATCH(P$1,INDIRECT("Table!A"&amp;$AM52):INDIRECT("Table!" &amp; $AP$91 &amp; $AM52),0)),"",INDIRECT(CONCATENATE("Table!",ADDRESS($AI52,MATCH(P$1,INDIRECT("Table!A" &amp; $AM52):INDIRECT("Table!" &amp; $AP$91 &amp; $AM52),0)))))</f>
        <v>0.16739235022350729</v>
      </c>
      <c r="Q52" s="596">
        <f ca="1">IF(ISERROR(MATCH(Q$1,INDIRECT("Table!A"&amp;$AM52):INDIRECT("Table!" &amp; $AP$91 &amp; $AM52),0)),"",INDIRECT(CONCATENATE("Table!",ADDRESS($AI52,MATCH(Q$1,INDIRECT("Table!A" &amp; $AM52):INDIRECT("Table!" &amp; $AP$91 &amp; $AM52),0)))))</f>
        <v>0.44366753165387529</v>
      </c>
      <c r="R52" s="596">
        <f ca="1">IF(ISERROR(MATCH(R$1,INDIRECT("Table!A"&amp;$AM52):INDIRECT("Table!" &amp; $AP$91 &amp; $AM52),0)),"",INDIRECT(CONCATENATE("Table!",ADDRESS($AI52,MATCH(R$1,INDIRECT("Table!A" &amp; $AM52):INDIRECT("Table!" &amp; $AP$91 &amp; $AM52),0)))))</f>
        <v>0.2529367086843517</v>
      </c>
      <c r="S52" s="596" t="str">
        <f ca="1">IF(ISERROR(MATCH(S$1,INDIRECT("Table!A"&amp;$AM52):INDIRECT("Table!" &amp; $AP$91 &amp; $AM52),0)),"",INDIRECT(CONCATENATE("Table!",ADDRESS($AI52,MATCH(S$1,INDIRECT("Table!A" &amp; $AM52):INDIRECT("Table!" &amp; $AP$91 &amp; $AM52),0)))))</f>
        <v/>
      </c>
      <c r="T52" s="596">
        <f ca="1">IF(ISERROR(MATCH(T$1,INDIRECT("Table!A"&amp;$AM52):INDIRECT("Table!" &amp; $AP$65 &amp; $AM52),0)),"",INDIRECT(CONCATENATE("Table!",ADDRESS($AI52,MATCH(T$1,INDIRECT("Table!A" &amp; $AM52):INDIRECT("Table!" &amp; $AP$65 &amp; $AM52),0)))))</f>
        <v>0.20069506353787342</v>
      </c>
      <c r="U52" s="596" t="str">
        <f ca="1">IF(ISERROR(MATCH(U$1,INDIRECT("Table!A"&amp;$AM52):INDIRECT("Table!" &amp; $AP$65 &amp; $AM52),0)),"",INDIRECT(CONCATENATE("Table!",ADDRESS($AI52,MATCH(U$1,INDIRECT("Table!A" &amp; $AM52):INDIRECT("Table!" &amp; $AP$65 &amp; $AM52),0)))))</f>
        <v/>
      </c>
      <c r="V52" s="596"/>
      <c r="W52" s="596"/>
      <c r="X52" s="596"/>
      <c r="Y52" s="596"/>
      <c r="Z52" s="596"/>
      <c r="AA52" s="596"/>
      <c r="AB52" s="596"/>
      <c r="AC52" s="596"/>
      <c r="AD52" s="596"/>
      <c r="AE52" s="596"/>
      <c r="AF52" s="596"/>
      <c r="AG52" s="596"/>
      <c r="AH52" s="596"/>
      <c r="AI52" s="595">
        <f>MATCH($A52,Table!$A:$A,0)+$AK$2-1</f>
        <v>726</v>
      </c>
      <c r="AJ52" s="593"/>
      <c r="AK52" s="593"/>
      <c r="AL52" s="593"/>
      <c r="AM52" s="595">
        <f>MATCH($A52,Table!$A:$A,0)+$AO$2-1</f>
        <v>723</v>
      </c>
      <c r="AN52" s="593"/>
      <c r="AP52" s="947" t="s">
        <v>302</v>
      </c>
    </row>
    <row r="53" spans="1:42" s="591" customFormat="1" ht="15.75" customHeight="1" x14ac:dyDescent="0.25">
      <c r="A53" s="592">
        <v>41589</v>
      </c>
      <c r="B53" s="596">
        <f ca="1">IF(ISERROR(MATCH(B$1,INDIRECT("Table!A"&amp;$AM53):INDIRECT("Table!" &amp; $AP$113 &amp; $AM53),0)),"",INDIRECT(CONCATENATE("Table!",ADDRESS($AI53,MATCH(B$1,INDIRECT("Table!A" &amp; $AM53):INDIRECT("Table!" &amp; $AP$112 &amp; $AM53),0)))))</f>
        <v>0.34312483872992405</v>
      </c>
      <c r="C53" s="596">
        <f ca="1">IF(ISERROR(MATCH(C$1,INDIRECT("Table!A"&amp;$AM53):INDIRECT("Table!" &amp; $AP$112 &amp; $AM53),0)),"",INDIRECT(CONCATENATE("Table!",ADDRESS($AI53,MATCH(C$1,INDIRECT("Table!A" &amp; $AM53):INDIRECT("Table!" &amp; $AP$112 &amp; $AM53),0)))))</f>
        <v>0.53888173206029621</v>
      </c>
      <c r="D53" s="596">
        <f ca="1">IF(ISERROR(MATCH(D$1,INDIRECT("Table!A"&amp;$AM53):INDIRECT("Table!" &amp; $AP$112 &amp; $AM53),0)),"",INDIRECT(CONCATENATE("Table!",ADDRESS($AI53,MATCH(D$1,INDIRECT("Table!A" &amp; $AM53):INDIRECT("Table!" &amp; $AP$112 &amp; $AM53),0)))))</f>
        <v>0.54798902713120867</v>
      </c>
      <c r="E53" s="596">
        <f ca="1">IF(ISERROR(MATCH(E$1,INDIRECT("Table!A"&amp;$AM53):INDIRECT("Table!" &amp; $AP$112 &amp; $AM53),0)),"",INDIRECT(CONCATENATE("Table!",ADDRESS($AI53,MATCH(E$1,INDIRECT("Table!A" &amp; $AM53):INDIRECT("Table!" &amp; $AP$112 &amp; $AM53),0)))))</f>
        <v>0.83704013433055602</v>
      </c>
      <c r="F53" s="596">
        <f ca="1">IF(ISERROR(MATCH(F$1,INDIRECT("Table!A"&amp;$AM53):INDIRECT("Table!" &amp; $AP$112 &amp; $AM53),0)),"",INDIRECT(CONCATENATE("Table!",ADDRESS($AI53,MATCH(F$1,INDIRECT("Table!A" &amp; $AM53):INDIRECT("Table!" &amp; $AP$112 &amp; $AM53),0)))))</f>
        <v>0.70090448373712255</v>
      </c>
      <c r="G53" s="596">
        <f ca="1">IF(ISERROR(MATCH(G$1,INDIRECT("Table!A"&amp;$AM53):INDIRECT("Table!" &amp; $AP$112 &amp; $AM53),0)),"",INDIRECT(CONCATENATE("Table!",ADDRESS($AI53,MATCH(G$1,INDIRECT("Table!A" &amp; $AM53):INDIRECT("Table!" &amp; $AP$112 &amp; $AM53),0)))))</f>
        <v>0.48727606826157605</v>
      </c>
      <c r="H53" s="596">
        <f ca="1">IF(ISERROR(MATCH(H$1,INDIRECT("Table!A"&amp;$AM53):INDIRECT("Table!" &amp; $AP$112 &amp; $AM53),0)),"",INDIRECT(CONCATENATE("Table!",ADDRESS($AI53,MATCH(H$1,INDIRECT("Table!A" &amp; $AM53):INDIRECT("Table!" &amp; $AP$112 &amp; $AM53),0)))))</f>
        <v>0.61167957157045205</v>
      </c>
      <c r="I53" s="596">
        <f ca="1">IF(ISERROR(MATCH(I$1,INDIRECT("Table!A"&amp;$AM53):INDIRECT("Table!" &amp; $AP$91 &amp; $AM53),0)),"",INDIRECT(CONCATENATE("Table!",ADDRESS($AI53,MATCH(I$1,INDIRECT("Table!A" &amp; $AM53):INDIRECT("Table!" &amp; $AP$91 &amp; $AM53),0)))))</f>
        <v>0.15652917587116622</v>
      </c>
      <c r="J53" s="596">
        <f ca="1">IF(ISERROR(MATCH(J$1,INDIRECT("Table!A"&amp;$AM53):INDIRECT("Table!" &amp; $AP$91 &amp; $AM53),0)),"",INDIRECT(CONCATENATE("Table!",ADDRESS($AI53,MATCH(J$1,INDIRECT("Table!A" &amp; $AM53):INDIRECT("Table!" &amp; $AP$91 &amp; $AM53),0)))))</f>
        <v>0.56050755532855179</v>
      </c>
      <c r="K53" s="596">
        <f ca="1">IF(ISERROR(MATCH(K$1,INDIRECT("Table!A"&amp;$AM53):INDIRECT("Table!" &amp; $AP$91 &amp; $AM53),0)),"",INDIRECT(CONCATENATE("Table!",ADDRESS($AI53,MATCH(K$1,INDIRECT("Table!A" &amp; $AM53):INDIRECT("Table!" &amp; $AP$91 &amp; $AM53),0)))))</f>
        <v>1.69896384249291E-2</v>
      </c>
      <c r="L53" s="596">
        <f ca="1">IF(ISERROR(MATCH(L$1,INDIRECT("Table!A"&amp;$AM53):INDIRECT("Table!" &amp; $AP$91 &amp; $AM53),0)),"",INDIRECT(CONCATENATE("Table!",ADDRESS($AI53,MATCH(L$1,INDIRECT("Table!A" &amp; $AM53):INDIRECT("Table!" &amp; $AP$91 &amp; $AM53),0)))))</f>
        <v>0.83916570092281417</v>
      </c>
      <c r="M53" s="596">
        <f ca="1">IF(ISERROR(MATCH(M$1,INDIRECT("Table!A"&amp;$AM53):INDIRECT("Table!" &amp; $AP$91 &amp; $AM53),0)),"",INDIRECT(CONCATENATE("Table!",ADDRESS($AI53,MATCH(M$1,INDIRECT("Table!A" &amp; $AM53):INDIRECT("Table!" &amp; $AP$91 &amp; $AM53),0)))))</f>
        <v>0.39497238899404902</v>
      </c>
      <c r="N53" s="596">
        <f ca="1">IF(ISERROR(MATCH(N$1,INDIRECT("Table!A"&amp;$AM53):INDIRECT("Table!" &amp; $AP$91 &amp; $AM53),0)),"",INDIRECT(CONCATENATE("Table!",ADDRESS($AI53,MATCH(N$1,INDIRECT("Table!A" &amp; $AM53):INDIRECT("Table!" &amp; $AP$91 &amp; $AM53),0)))))</f>
        <v>0.72199993714234589</v>
      </c>
      <c r="O53" s="596">
        <f ca="1">IF(ISERROR(MATCH(O$1,INDIRECT("Table!A"&amp;$AM53):INDIRECT("Table!" &amp; $AP$91 &amp; $AM53),0)),"",INDIRECT(CONCATENATE("Table!",ADDRESS($AI53,MATCH(O$1,INDIRECT("Table!A" &amp; $AM53):INDIRECT("Table!" &amp; $AP$91 &amp; $AM53),0)))))</f>
        <v>0.68345632898768838</v>
      </c>
      <c r="P53" s="596">
        <f ca="1">IF(ISERROR(MATCH(P$1,INDIRECT("Table!A"&amp;$AM53):INDIRECT("Table!" &amp; $AP$91 &amp; $AM53),0)),"",INDIRECT(CONCATENATE("Table!",ADDRESS($AI53,MATCH(P$1,INDIRECT("Table!A" &amp; $AM53):INDIRECT("Table!" &amp; $AP$91 &amp; $AM53),0)))))</f>
        <v>0.16324737146214155</v>
      </c>
      <c r="Q53" s="596">
        <f ca="1">IF(ISERROR(MATCH(Q$1,INDIRECT("Table!A"&amp;$AM53):INDIRECT("Table!" &amp; $AP$91 &amp; $AM53),0)),"",INDIRECT(CONCATENATE("Table!",ADDRESS($AI53,MATCH(Q$1,INDIRECT("Table!A" &amp; $AM53):INDIRECT("Table!" &amp; $AP$91 &amp; $AM53),0)))))</f>
        <v>0.44034445681484335</v>
      </c>
      <c r="R53" s="596">
        <f ca="1">IF(ISERROR(MATCH(R$1,INDIRECT("Table!A"&amp;$AM53):INDIRECT("Table!" &amp; $AP$91 &amp; $AM53),0)),"",INDIRECT(CONCATENATE("Table!",ADDRESS($AI53,MATCH(R$1,INDIRECT("Table!A" &amp; $AM53):INDIRECT("Table!" &amp; $AP$91 &amp; $AM53),0)))))</f>
        <v>0.21428880016166008</v>
      </c>
      <c r="S53" s="596" t="str">
        <f ca="1">IF(ISERROR(MATCH(S$1,INDIRECT("Table!A"&amp;$AM53):INDIRECT("Table!" &amp; $AP$91 &amp; $AM53),0)),"",INDIRECT(CONCATENATE("Table!",ADDRESS($AI53,MATCH(S$1,INDIRECT("Table!A" &amp; $AM53):INDIRECT("Table!" &amp; $AP$91 &amp; $AM53),0)))))</f>
        <v/>
      </c>
      <c r="T53" s="596">
        <f ca="1">IF(ISERROR(MATCH(T$1,INDIRECT("Table!A"&amp;$AM53):INDIRECT("Table!" &amp; $AP$65 &amp; $AM53),0)),"",INDIRECT(CONCATENATE("Table!",ADDRESS($AI53,MATCH(T$1,INDIRECT("Table!A" &amp; $AM53):INDIRECT("Table!" &amp; $AP$65 &amp; $AM53),0)))))</f>
        <v>0.20069506353787342</v>
      </c>
      <c r="U53" s="596" t="str">
        <f ca="1">IF(ISERROR(MATCH(U$1,INDIRECT("Table!A"&amp;$AM53):INDIRECT("Table!" &amp; $AP$65 &amp; $AM53),0)),"",INDIRECT(CONCATENATE("Table!",ADDRESS($AI53,MATCH(U$1,INDIRECT("Table!A" &amp; $AM53):INDIRECT("Table!" &amp; $AP$65 &amp; $AM53),0)))))</f>
        <v/>
      </c>
      <c r="V53" s="596"/>
      <c r="W53" s="596"/>
      <c r="X53" s="596"/>
      <c r="Y53" s="596"/>
      <c r="Z53" s="596"/>
      <c r="AA53" s="596"/>
      <c r="AB53" s="596"/>
      <c r="AC53" s="596"/>
      <c r="AD53" s="596"/>
      <c r="AE53" s="596"/>
      <c r="AF53" s="596"/>
      <c r="AG53" s="596"/>
      <c r="AH53" s="596"/>
      <c r="AI53" s="595">
        <f>MATCH($A53,Table!$A:$A,0)+$AK$2-1</f>
        <v>738</v>
      </c>
      <c r="AJ53" s="593"/>
      <c r="AK53" s="593"/>
      <c r="AL53" s="593"/>
      <c r="AM53" s="595">
        <f>MATCH($A53,Table!$A:$A,0)+$AO$2-1</f>
        <v>735</v>
      </c>
      <c r="AN53" s="593"/>
      <c r="AP53" s="947" t="s">
        <v>302</v>
      </c>
    </row>
    <row r="54" spans="1:42" s="267" customFormat="1" ht="15.75" customHeight="1" x14ac:dyDescent="0.25">
      <c r="A54" s="268">
        <v>41561</v>
      </c>
      <c r="B54" s="273">
        <f ca="1">IF(ISERROR(MATCH(B$1,INDIRECT("Table!A"&amp;$AM54):INDIRECT("Table!" &amp; $AP$113 &amp; $AM54),0)),"",INDIRECT(CONCATENATE("Table!",ADDRESS($AI54,MATCH(B$1,INDIRECT("Table!A" &amp; $AM54):INDIRECT("Table!" &amp; $AP$112 &amp; $AM54),0)))))</f>
        <v>0.3366991415201579</v>
      </c>
      <c r="C54" s="273">
        <f ca="1">IF(ISERROR(MATCH(C$1,INDIRECT("Table!A"&amp;$AM54):INDIRECT("Table!" &amp; $AP$112 &amp; $AM54),0)),"",INDIRECT(CONCATENATE("Table!",ADDRESS($AI54,MATCH(C$1,INDIRECT("Table!A" &amp; $AM54):INDIRECT("Table!" &amp; $AP$112 &amp; $AM54),0)))))</f>
        <v>0.5358833936699382</v>
      </c>
      <c r="D54" s="273">
        <f ca="1">IF(ISERROR(MATCH(D$1,INDIRECT("Table!A"&amp;$AM54):INDIRECT("Table!" &amp; $AP$112 &amp; $AM54),0)),"",INDIRECT(CONCATENATE("Table!",ADDRESS($AI54,MATCH(D$1,INDIRECT("Table!A" &amp; $AM54):INDIRECT("Table!" &amp; $AP$112 &amp; $AM54),0)))))</f>
        <v>0.54532752844036569</v>
      </c>
      <c r="E54" s="273">
        <f ca="1">IF(ISERROR(MATCH(E$1,INDIRECT("Table!A"&amp;$AM54):INDIRECT("Table!" &amp; $AP$112 &amp; $AM54),0)),"",INDIRECT(CONCATENATE("Table!",ADDRESS($AI54,MATCH(E$1,INDIRECT("Table!A" &amp; $AM54):INDIRECT("Table!" &amp; $AP$112 &amp; $AM54),0)))))</f>
        <v>0.82875381595922626</v>
      </c>
      <c r="F54" s="273">
        <f ca="1">IF(ISERROR(MATCH(F$1,INDIRECT("Table!A"&amp;$AM54):INDIRECT("Table!" &amp; $AP$112 &amp; $AM54),0)),"",INDIRECT(CONCATENATE("Table!",ADDRESS($AI54,MATCH(F$1,INDIRECT("Table!A" &amp; $AM54):INDIRECT("Table!" &amp; $AP$112 &amp; $AM54),0)))))</f>
        <v>0.7232297896387806</v>
      </c>
      <c r="G54" s="273">
        <f ca="1">IF(ISERROR(MATCH(G$1,INDIRECT("Table!A"&amp;$AM54):INDIRECT("Table!" &amp; $AP$112 &amp; $AM54),0)),"",INDIRECT(CONCATENATE("Table!",ADDRESS($AI54,MATCH(G$1,INDIRECT("Table!A" &amp; $AM54):INDIRECT("Table!" &amp; $AP$112 &amp; $AM54),0)))))</f>
        <v>0.48444255745541048</v>
      </c>
      <c r="H54" s="273">
        <f ca="1">IF(ISERROR(MATCH(H$1,INDIRECT("Table!A"&amp;$AM54):INDIRECT("Table!" &amp; $AP$112 &amp; $AM54),0)),"",INDIRECT(CONCATENATE("Table!",ADDRESS($AI54,MATCH(H$1,INDIRECT("Table!A" &amp; $AM54):INDIRECT("Table!" &amp; $AP$112 &amp; $AM54),0)))))</f>
        <v>0.59180574678625197</v>
      </c>
      <c r="I54" s="273">
        <f ca="1">IF(ISERROR(MATCH(I$1,INDIRECT("Table!A"&amp;$AM54):INDIRECT("Table!" &amp; $AP$91 &amp; $AM54),0)),"",INDIRECT(CONCATENATE("Table!",ADDRESS($AI54,MATCH(I$1,INDIRECT("Table!A" &amp; $AM54):INDIRECT("Table!" &amp; $AP$91 &amp; $AM54),0)))))</f>
        <v>0.14871247812829586</v>
      </c>
      <c r="J54" s="273">
        <f ca="1">IF(ISERROR(MATCH(J$1,INDIRECT("Table!A"&amp;$AM54):INDIRECT("Table!" &amp; $AP$91 &amp; $AM54),0)),"",INDIRECT(CONCATENATE("Table!",ADDRESS($AI54,MATCH(J$1,INDIRECT("Table!A" &amp; $AM54):INDIRECT("Table!" &amp; $AP$91 &amp; $AM54),0)))))</f>
        <v>0.49937561951097043</v>
      </c>
      <c r="K54" s="273">
        <f ca="1">IF(ISERROR(MATCH(K$1,INDIRECT("Table!A"&amp;$AM54):INDIRECT("Table!" &amp; $AP$91 &amp; $AM54),0)),"",INDIRECT(CONCATENATE("Table!",ADDRESS($AI54,MATCH(K$1,INDIRECT("Table!A" &amp; $AM54):INDIRECT("Table!" &amp; $AP$91 &amp; $AM54),0)))))</f>
        <v>5.9958237812200227E-3</v>
      </c>
      <c r="L54" s="273">
        <f ca="1">IF(ISERROR(MATCH(L$1,INDIRECT("Table!A"&amp;$AM54):INDIRECT("Table!" &amp; $AP$91 &amp; $AM54),0)),"",INDIRECT(CONCATENATE("Table!",ADDRESS($AI54,MATCH(L$1,INDIRECT("Table!A" &amp; $AM54):INDIRECT("Table!" &amp; $AP$91 &amp; $AM54),0)))))</f>
        <v>0.8334391032232964</v>
      </c>
      <c r="M54" s="273">
        <f ca="1">IF(ISERROR(MATCH(M$1,INDIRECT("Table!A"&amp;$AM54):INDIRECT("Table!" &amp; $AP$91 &amp; $AM54),0)),"",INDIRECT(CONCATENATE("Table!",ADDRESS($AI54,MATCH(M$1,INDIRECT("Table!A" &amp; $AM54):INDIRECT("Table!" &amp; $AP$91 &amp; $AM54),0)))))</f>
        <v>0.37308031765733141</v>
      </c>
      <c r="N54" s="273">
        <f ca="1">IF(ISERROR(MATCH(N$1,INDIRECT("Table!A"&amp;$AM54):INDIRECT("Table!" &amp; $AP$91 &amp; $AM54),0)),"",INDIRECT(CONCATENATE("Table!",ADDRESS($AI54,MATCH(N$1,INDIRECT("Table!A" &amp; $AM54):INDIRECT("Table!" &amp; $AP$91 &amp; $AM54),0)))))</f>
        <v>0.7433606602954792</v>
      </c>
      <c r="O54" s="273">
        <f ca="1">IF(ISERROR(MATCH(O$1,INDIRECT("Table!A"&amp;$AM54):INDIRECT("Table!" &amp; $AP$91 &amp; $AM54),0)),"",INDIRECT(CONCATENATE("Table!",ADDRESS($AI54,MATCH(O$1,INDIRECT("Table!A" &amp; $AM54):INDIRECT("Table!" &amp; $AP$91 &amp; $AM54),0)))))</f>
        <v>0.65853928305923737</v>
      </c>
      <c r="P54" s="273">
        <f ca="1">IF(ISERROR(MATCH(P$1,INDIRECT("Table!A"&amp;$AM54):INDIRECT("Table!" &amp; $AP$91 &amp; $AM54),0)),"",INDIRECT(CONCATENATE("Table!",ADDRESS($AI54,MATCH(P$1,INDIRECT("Table!A" &amp; $AM54):INDIRECT("Table!" &amp; $AP$91 &amp; $AM54),0)))))</f>
        <v>0.15463345526106473</v>
      </c>
      <c r="Q54" s="273">
        <f ca="1">IF(ISERROR(MATCH(Q$1,INDIRECT("Table!A"&amp;$AM54):INDIRECT("Table!" &amp; $AP$91 &amp; $AM54),0)),"",INDIRECT(CONCATENATE("Table!",ADDRESS($AI54,MATCH(Q$1,INDIRECT("Table!A" &amp; $AM54):INDIRECT("Table!" &amp; $AP$91 &amp; $AM54),0)))))</f>
        <v>0.38502690208993889</v>
      </c>
      <c r="R54" s="273">
        <f ca="1">IF(ISERROR(MATCH(R$1,INDIRECT("Table!A"&amp;$AM54):INDIRECT("Table!" &amp; $AP$91 &amp; $AM54),0)),"",INDIRECT(CONCATENATE("Table!",ADDRESS($AI54,MATCH(R$1,INDIRECT("Table!A" &amp; $AM54):INDIRECT("Table!" &amp; $AP$91 &amp; $AM54),0)))))</f>
        <v>0.16865002218180719</v>
      </c>
      <c r="S54" s="596" t="str">
        <f ca="1">IF(ISERROR(MATCH(S$1,INDIRECT("Table!A"&amp;$AM54):INDIRECT("Table!" &amp; $AP$91 &amp; $AM54),0)),"",INDIRECT(CONCATENATE("Table!",ADDRESS($AI54,MATCH(S$1,INDIRECT("Table!A" &amp; $AM54):INDIRECT("Table!" &amp; $AP$91 &amp; $AM54),0)))))</f>
        <v/>
      </c>
      <c r="T54" s="273">
        <f ca="1">IF(ISERROR(MATCH(T$1,INDIRECT("Table!A"&amp;$AM54):INDIRECT("Table!" &amp; $AP$65 &amp; $AM54),0)),"",INDIRECT(CONCATENATE("Table!",ADDRESS($AI54,MATCH(T$1,INDIRECT("Table!A" &amp; $AM54):INDIRECT("Table!" &amp; $AP$65 &amp; $AM54),0)))))</f>
        <v>0.18917816291684925</v>
      </c>
      <c r="U54" s="596" t="str">
        <f ca="1">IF(ISERROR(MATCH(U$1,INDIRECT("Table!A"&amp;$AM54):INDIRECT("Table!" &amp; $AP$65 &amp; $AM54),0)),"",INDIRECT(CONCATENATE("Table!",ADDRESS($AI54,MATCH(U$1,INDIRECT("Table!A" &amp; $AM54):INDIRECT("Table!" &amp; $AP$65 &amp; $AM54),0)))))</f>
        <v/>
      </c>
      <c r="V54" s="596"/>
      <c r="W54" s="596"/>
      <c r="X54" s="596"/>
      <c r="Y54" s="596"/>
      <c r="Z54" s="596"/>
      <c r="AA54" s="596"/>
      <c r="AB54" s="596"/>
      <c r="AC54" s="596"/>
      <c r="AD54" s="596"/>
      <c r="AE54" s="596"/>
      <c r="AF54" s="596"/>
      <c r="AG54" s="596"/>
      <c r="AH54" s="596"/>
      <c r="AI54" s="272">
        <f>MATCH($A54,Table!$A:$A,0)+$AK$2-1</f>
        <v>750</v>
      </c>
      <c r="AJ54" s="487"/>
      <c r="AK54" s="487"/>
      <c r="AL54" s="487"/>
      <c r="AM54" s="272">
        <f>MATCH($A54,Table!$A:$A,0)+$AO$2-1</f>
        <v>747</v>
      </c>
      <c r="AN54" s="487"/>
      <c r="AP54" s="947" t="s">
        <v>302</v>
      </c>
    </row>
    <row r="55" spans="1:42" s="267" customFormat="1" ht="15.75" customHeight="1" x14ac:dyDescent="0.25">
      <c r="A55" s="268">
        <v>41548</v>
      </c>
      <c r="B55" s="273">
        <f ca="1">IF(ISERROR(MATCH(B$1,INDIRECT("Table!A"&amp;$AM55):INDIRECT("Table!" &amp; $AP$113 &amp; $AM55),0)),"",INDIRECT(CONCATENATE("Table!",ADDRESS($AI55,MATCH(B$1,INDIRECT("Table!A" &amp; $AM55):INDIRECT("Table!" &amp; $AP$112 &amp; $AM55),0)))))</f>
        <v>0.33587901780421636</v>
      </c>
      <c r="C55" s="273">
        <f ca="1">IF(ISERROR(MATCH(C$1,INDIRECT("Table!A"&amp;$AM55):INDIRECT("Table!" &amp; $AP$112 &amp; $AM55),0)),"",INDIRECT(CONCATENATE("Table!",ADDRESS($AI55,MATCH(C$1,INDIRECT("Table!A" &amp; $AM55):INDIRECT("Table!" &amp; $AP$112 &amp; $AM55),0)))))</f>
        <v>0.53444966571815622</v>
      </c>
      <c r="D55" s="273">
        <f ca="1">IF(ISERROR(MATCH(D$1,INDIRECT("Table!A"&amp;$AM55):INDIRECT("Table!" &amp; $AP$112 &amp; $AM55),0)),"",INDIRECT(CONCATENATE("Table!",ADDRESS($AI55,MATCH(D$1,INDIRECT("Table!A" &amp; $AM55):INDIRECT("Table!" &amp; $AP$112 &amp; $AM55),0)))))</f>
        <v>0.5442685097401152</v>
      </c>
      <c r="E55" s="273">
        <f ca="1">IF(ISERROR(MATCH(E$1,INDIRECT("Table!A"&amp;$AM55):INDIRECT("Table!" &amp; $AP$112 &amp; $AM55),0)),"",INDIRECT(CONCATENATE("Table!",ADDRESS($AI55,MATCH(E$1,INDIRECT("Table!A" &amp; $AM55):INDIRECT("Table!" &amp; $AP$112 &amp; $AM55),0)))))</f>
        <v>0.8265186363866136</v>
      </c>
      <c r="F55" s="273">
        <f ca="1">IF(ISERROR(MATCH(F$1,INDIRECT("Table!A"&amp;$AM55):INDIRECT("Table!" &amp; $AP$112 &amp; $AM55),0)),"",INDIRECT(CONCATENATE("Table!",ADDRESS($AI55,MATCH(F$1,INDIRECT("Table!A" &amp; $AM55):INDIRECT("Table!" &amp; $AP$112 &amp; $AM55),0)))))</f>
        <v>0.71628524026388074</v>
      </c>
      <c r="G55" s="273">
        <f ca="1">IF(ISERROR(MATCH(G$1,INDIRECT("Table!A"&amp;$AM55):INDIRECT("Table!" &amp; $AP$112 &amp; $AM55),0)),"",INDIRECT(CONCATENATE("Table!",ADDRESS($AI55,MATCH(G$1,INDIRECT("Table!A" &amp; $AM55):INDIRECT("Table!" &amp; $AP$112 &amp; $AM55),0)))))</f>
        <v>0.45500628533847365</v>
      </c>
      <c r="H55" s="273">
        <f ca="1">IF(ISERROR(MATCH(H$1,INDIRECT("Table!A"&amp;$AM55):INDIRECT("Table!" &amp; $AP$112 &amp; $AM55),0)),"",INDIRECT(CONCATENATE("Table!",ADDRESS($AI55,MATCH(H$1,INDIRECT("Table!A" &amp; $AM55):INDIRECT("Table!" &amp; $AP$112 &amp; $AM55),0)))))</f>
        <v>0.58173430676744153</v>
      </c>
      <c r="I55" s="273">
        <f ca="1">IF(ISERROR(MATCH(I$1,INDIRECT("Table!A"&amp;$AM55):INDIRECT("Table!" &amp; $AP$91 &amp; $AM55),0)),"",INDIRECT(CONCATENATE("Table!",ADDRESS($AI55,MATCH(I$1,INDIRECT("Table!A" &amp; $AM55):INDIRECT("Table!" &amp; $AP$91 &amp; $AM55),0)))))</f>
        <v>0.14731208466427123</v>
      </c>
      <c r="J55" s="273">
        <f ca="1">IF(ISERROR(MATCH(J$1,INDIRECT("Table!A"&amp;$AM55):INDIRECT("Table!" &amp; $AP$91 &amp; $AM55),0)),"",INDIRECT(CONCATENATE("Table!",ADDRESS($AI55,MATCH(J$1,INDIRECT("Table!A" &amp; $AM55):INDIRECT("Table!" &amp; $AP$91 &amp; $AM55),0)))))</f>
        <v>0.48354752000831064</v>
      </c>
      <c r="K55" s="273">
        <f ca="1">IF(ISERROR(MATCH(K$1,INDIRECT("Table!A"&amp;$AM55):INDIRECT("Table!" &amp; $AP$91 &amp; $AM55),0)),"",INDIRECT(CONCATENATE("Table!",ADDRESS($AI55,MATCH(K$1,INDIRECT("Table!A" &amp; $AM55):INDIRECT("Table!" &amp; $AP$91 &amp; $AM55),0)))))</f>
        <v>5.6845816696977922E-3</v>
      </c>
      <c r="L55" s="273">
        <f ca="1">IF(ISERROR(MATCH(L$1,INDIRECT("Table!A"&amp;$AM55):INDIRECT("Table!" &amp; $AP$91 &amp; $AM55),0)),"",INDIRECT(CONCATENATE("Table!",ADDRESS($AI55,MATCH(L$1,INDIRECT("Table!A" &amp; $AM55):INDIRECT("Table!" &amp; $AP$91 &amp; $AM55),0)))))</f>
        <v>0.83091150505286504</v>
      </c>
      <c r="M55" s="273">
        <f ca="1">IF(ISERROR(MATCH(M$1,INDIRECT("Table!A"&amp;$AM55):INDIRECT("Table!" &amp; $AP$91 &amp; $AM55),0)),"",INDIRECT(CONCATENATE("Table!",ADDRESS($AI55,MATCH(M$1,INDIRECT("Table!A" &amp; $AM55):INDIRECT("Table!" &amp; $AP$91 &amp; $AM55),0)))))</f>
        <v>0.36728598819787944</v>
      </c>
      <c r="N55" s="273">
        <f ca="1">IF(ISERROR(MATCH(N$1,INDIRECT("Table!A"&amp;$AM55):INDIRECT("Table!" &amp; $AP$91 &amp; $AM55),0)),"",INDIRECT(CONCATENATE("Table!",ADDRESS($AI55,MATCH(N$1,INDIRECT("Table!A" &amp; $AM55):INDIRECT("Table!" &amp; $AP$91 &amp; $AM55),0)))))</f>
        <v>0.73643543914532927</v>
      </c>
      <c r="O55" s="273">
        <f ca="1">IF(ISERROR(MATCH(O$1,INDIRECT("Table!A"&amp;$AM55):INDIRECT("Table!" &amp; $AP$91 &amp; $AM55),0)),"",INDIRECT(CONCATENATE("Table!",ADDRESS($AI55,MATCH(O$1,INDIRECT("Table!A" &amp; $AM55):INDIRECT("Table!" &amp; $AP$91 &amp; $AM55),0)))))</f>
        <v>0.65033199760657101</v>
      </c>
      <c r="P55" s="273">
        <f ca="1">IF(ISERROR(MATCH(P$1,INDIRECT("Table!A"&amp;$AM55):INDIRECT("Table!" &amp; $AP$91 &amp; $AM55),0)),"",INDIRECT(CONCATENATE("Table!",ADDRESS($AI55,MATCH(P$1,INDIRECT("Table!A" &amp; $AM55):INDIRECT("Table!" &amp; $AP$91 &amp; $AM55),0)))))</f>
        <v>0.15297014503194861</v>
      </c>
      <c r="Q55" s="273">
        <f ca="1">IF(ISERROR(MATCH(Q$1,INDIRECT("Table!A"&amp;$AM55):INDIRECT("Table!" &amp; $AP$91 &amp; $AM55),0)),"",INDIRECT(CONCATENATE("Table!",ADDRESS($AI55,MATCH(Q$1,INDIRECT("Table!A" &amp; $AM55):INDIRECT("Table!" &amp; $AP$91 &amp; $AM55),0)))))</f>
        <v>0.37102342238609476</v>
      </c>
      <c r="R55" s="273">
        <f ca="1">IF(ISERROR(MATCH(R$1,INDIRECT("Table!A"&amp;$AM55):INDIRECT("Table!" &amp; $AP$91 &amp; $AM55),0)),"",INDIRECT(CONCATENATE("Table!",ADDRESS($AI55,MATCH(R$1,INDIRECT("Table!A" &amp; $AM55):INDIRECT("Table!" &amp; $AP$91 &amp; $AM55),0)))))</f>
        <v>0.16602769125711617</v>
      </c>
      <c r="S55" s="596" t="str">
        <f ca="1">IF(ISERROR(MATCH(S$1,INDIRECT("Table!A"&amp;$AM55):INDIRECT("Table!" &amp; $AP$91 &amp; $AM55),0)),"",INDIRECT(CONCATENATE("Table!",ADDRESS($AI55,MATCH(S$1,INDIRECT("Table!A" &amp; $AM55):INDIRECT("Table!" &amp; $AP$91 &amp; $AM55),0)))))</f>
        <v/>
      </c>
      <c r="T55" s="273">
        <f ca="1">IF(ISERROR(MATCH(T$1,INDIRECT("Table!A"&amp;$AM55):INDIRECT("Table!" &amp; $AP$65 &amp; $AM55),0)),"",INDIRECT(CONCATENATE("Table!",ADDRESS($AI55,MATCH(T$1,INDIRECT("Table!A" &amp; $AM55):INDIRECT("Table!" &amp; $AP$65 &amp; $AM55),0)))))</f>
        <v>0.18457261147459242</v>
      </c>
      <c r="U55" s="596" t="str">
        <f ca="1">IF(ISERROR(MATCH(U$1,INDIRECT("Table!A"&amp;$AM55):INDIRECT("Table!" &amp; $AP$65 &amp; $AM55),0)),"",INDIRECT(CONCATENATE("Table!",ADDRESS($AI55,MATCH(U$1,INDIRECT("Table!A" &amp; $AM55):INDIRECT("Table!" &amp; $AP$65 &amp; $AM55),0)))))</f>
        <v/>
      </c>
      <c r="V55" s="596"/>
      <c r="W55" s="596"/>
      <c r="X55" s="596"/>
      <c r="Y55" s="596"/>
      <c r="Z55" s="596"/>
      <c r="AA55" s="596"/>
      <c r="AB55" s="596"/>
      <c r="AC55" s="596"/>
      <c r="AD55" s="596"/>
      <c r="AE55" s="596"/>
      <c r="AF55" s="596"/>
      <c r="AG55" s="596"/>
      <c r="AH55" s="596"/>
      <c r="AI55" s="272">
        <f>MATCH($A55,Table!$A:$A,0)+$AK$2-1</f>
        <v>762</v>
      </c>
      <c r="AJ55" s="482"/>
      <c r="AK55" s="482"/>
      <c r="AL55" s="482"/>
      <c r="AM55" s="272">
        <f>MATCH($A55,Table!$A:$A,0)+$AO$2-1</f>
        <v>759</v>
      </c>
      <c r="AN55" s="482"/>
      <c r="AP55" s="947" t="s">
        <v>302</v>
      </c>
    </row>
    <row r="56" spans="1:42" s="267" customFormat="1" ht="15.75" customHeight="1" x14ac:dyDescent="0.25">
      <c r="A56" s="268">
        <v>41541</v>
      </c>
      <c r="B56" s="273">
        <f ca="1">IF(ISERROR(MATCH(B$1,INDIRECT("Table!A"&amp;$AM56):INDIRECT("Table!" &amp; $AP$113 &amp; $AM56),0)),"",INDIRECT(CONCATENATE("Table!",ADDRESS($AI56,MATCH(B$1,INDIRECT("Table!A" &amp; $AM56):INDIRECT("Table!" &amp; $AP$112 &amp; $AM56),0)))))</f>
        <v>0.33514258018173831</v>
      </c>
      <c r="C56" s="273">
        <f ca="1">IF(ISERROR(MATCH(C$1,INDIRECT("Table!A"&amp;$AM56):INDIRECT("Table!" &amp; $AP$112 &amp; $AM56),0)),"",INDIRECT(CONCATENATE("Table!",ADDRESS($AI56,MATCH(C$1,INDIRECT("Table!A" &amp; $AM56):INDIRECT("Table!" &amp; $AP$112 &amp; $AM56),0)))))</f>
        <v>0.53426031795807372</v>
      </c>
      <c r="D56" s="273">
        <f ca="1">IF(ISERROR(MATCH(D$1,INDIRECT("Table!A"&amp;$AM56):INDIRECT("Table!" &amp; $AP$112 &amp; $AM56),0)),"",INDIRECT(CONCATENATE("Table!",ADDRESS($AI56,MATCH(D$1,INDIRECT("Table!A" &amp; $AM56):INDIRECT("Table!" &amp; $AP$112 &amp; $AM56),0)))))</f>
        <v>0.5441037439699381</v>
      </c>
      <c r="E56" s="273">
        <f ca="1">IF(ISERROR(MATCH(E$1,INDIRECT("Table!A"&amp;$AM56):INDIRECT("Table!" &amp; $AP$112 &amp; $AM56),0)),"",INDIRECT(CONCATENATE("Table!",ADDRESS($AI56,MATCH(E$1,INDIRECT("Table!A" &amp; $AM56):INDIRECT("Table!" &amp; $AP$112 &amp; $AM56),0)))))</f>
        <v>0.82551478361395803</v>
      </c>
      <c r="F56" s="273">
        <f ca="1">IF(ISERROR(MATCH(F$1,INDIRECT("Table!A"&amp;$AM56):INDIRECT("Table!" &amp; $AP$112 &amp; $AM56),0)),"",INDIRECT(CONCATENATE("Table!",ADDRESS($AI56,MATCH(F$1,INDIRECT("Table!A" &amp; $AM56):INDIRECT("Table!" &amp; $AP$112 &amp; $AM56),0)))))</f>
        <v>0.71431671134185737</v>
      </c>
      <c r="G56" s="273">
        <f ca="1">IF(ISERROR(MATCH(G$1,INDIRECT("Table!A"&amp;$AM56):INDIRECT("Table!" &amp; $AP$112 &amp; $AM56),0)),"",INDIRECT(CONCATENATE("Table!",ADDRESS($AI56,MATCH(G$1,INDIRECT("Table!A" &amp; $AM56):INDIRECT("Table!" &amp; $AP$112 &amp; $AM56),0)))))</f>
        <v>0.44316820413386826</v>
      </c>
      <c r="H56" s="273">
        <f ca="1">IF(ISERROR(MATCH(H$1,INDIRECT("Table!A"&amp;$AM56):INDIRECT("Table!" &amp; $AP$112 &amp; $AM56),0)),"",INDIRECT(CONCATENATE("Table!",ADDRESS($AI56,MATCH(H$1,INDIRECT("Table!A" &amp; $AM56):INDIRECT("Table!" &amp; $AP$112 &amp; $AM56),0)))))</f>
        <v>0.57380068620787672</v>
      </c>
      <c r="I56" s="273">
        <f ca="1">IF(ISERROR(MATCH(I$1,INDIRECT("Table!A"&amp;$AM56):INDIRECT("Table!" &amp; $AP$91 &amp; $AM56),0)),"",INDIRECT(CONCATENATE("Table!",ADDRESS($AI56,MATCH(I$1,INDIRECT("Table!A" &amp; $AM56):INDIRECT("Table!" &amp; $AP$91 &amp; $AM56),0)))))</f>
        <v>0.14719785317324807</v>
      </c>
      <c r="J56" s="273">
        <f ca="1">IF(ISERROR(MATCH(J$1,INDIRECT("Table!A"&amp;$AM56):INDIRECT("Table!" &amp; $AP$91 &amp; $AM56),0)),"",INDIRECT(CONCATENATE("Table!",ADDRESS($AI56,MATCH(J$1,INDIRECT("Table!A" &amp; $AM56):INDIRECT("Table!" &amp; $AP$91 &amp; $AM56),0)))))</f>
        <v>0.48246215843032686</v>
      </c>
      <c r="K56" s="273">
        <f ca="1">IF(ISERROR(MATCH(K$1,INDIRECT("Table!A"&amp;$AM56):INDIRECT("Table!" &amp; $AP$91 &amp; $AM56),0)),"",INDIRECT(CONCATENATE("Table!",ADDRESS($AI56,MATCH(K$1,INDIRECT("Table!A" &amp; $AM56):INDIRECT("Table!" &amp; $AP$91 &amp; $AM56),0)))))</f>
        <v>1.3888668897983651E-2</v>
      </c>
      <c r="L56" s="273">
        <f ca="1">IF(ISERROR(MATCH(L$1,INDIRECT("Table!A"&amp;$AM56):INDIRECT("Table!" &amp; $AP$91 &amp; $AM56),0)),"",INDIRECT(CONCATENATE("Table!",ADDRESS($AI56,MATCH(L$1,INDIRECT("Table!A" &amp; $AM56):INDIRECT("Table!" &amp; $AP$91 &amp; $AM56),0)))))</f>
        <v>0.83008002420360449</v>
      </c>
      <c r="M56" s="273">
        <f ca="1">IF(ISERROR(MATCH(M$1,INDIRECT("Table!A"&amp;$AM56):INDIRECT("Table!" &amp; $AP$91 &amp; $AM56),0)),"",INDIRECT(CONCATENATE("Table!",ADDRESS($AI56,MATCH(M$1,INDIRECT("Table!A" &amp; $AM56):INDIRECT("Table!" &amp; $AP$91 &amp; $AM56),0)))))</f>
        <v>0.44488087372637702</v>
      </c>
      <c r="N56" s="273">
        <f ca="1">IF(ISERROR(MATCH(N$1,INDIRECT("Table!A"&amp;$AM56):INDIRECT("Table!" &amp; $AP$91 &amp; $AM56),0)),"",INDIRECT(CONCATENATE("Table!",ADDRESS($AI56,MATCH(N$1,INDIRECT("Table!A" &amp; $AM56):INDIRECT("Table!" &amp; $AP$91 &amp; $AM56),0)))))</f>
        <v>0.73449893988148907</v>
      </c>
      <c r="O56" s="273">
        <f ca="1">IF(ISERROR(MATCH(O$1,INDIRECT("Table!A"&amp;$AM56):INDIRECT("Table!" &amp; $AP$91 &amp; $AM56),0)),"",INDIRECT(CONCATENATE("Table!",ADDRESS($AI56,MATCH(O$1,INDIRECT("Table!A" &amp; $AM56):INDIRECT("Table!" &amp; $AP$91 &amp; $AM56),0)))))</f>
        <v>0.65121539047342747</v>
      </c>
      <c r="P56" s="273">
        <f ca="1">IF(ISERROR(MATCH(P$1,INDIRECT("Table!A"&amp;$AM56):INDIRECT("Table!" &amp; $AP$91 &amp; $AM56),0)),"",INDIRECT(CONCATENATE("Table!",ADDRESS($AI56,MATCH(P$1,INDIRECT("Table!A" &amp; $AM56):INDIRECT("Table!" &amp; $AP$91 &amp; $AM56),0)))))</f>
        <v>0.15285530893328142</v>
      </c>
      <c r="Q56" s="273">
        <f ca="1">IF(ISERROR(MATCH(Q$1,INDIRECT("Table!A"&amp;$AM56):INDIRECT("Table!" &amp; $AP$91 &amp; $AM56),0)),"",INDIRECT(CONCATENATE("Table!",ADDRESS($AI56,MATCH(Q$1,INDIRECT("Table!A" &amp; $AM56):INDIRECT("Table!" &amp; $AP$91 &amp; $AM56),0)))))</f>
        <v>0.37069428981445807</v>
      </c>
      <c r="R56" s="273">
        <f ca="1">IF(ISERROR(MATCH(R$1,INDIRECT("Table!A"&amp;$AM56):INDIRECT("Table!" &amp; $AP$91 &amp; $AM56),0)),"",INDIRECT(CONCATENATE("Table!",ADDRESS($AI56,MATCH(R$1,INDIRECT("Table!A" &amp; $AM56):INDIRECT("Table!" &amp; $AP$91 &amp; $AM56),0)))))</f>
        <v>0.33950990491140809</v>
      </c>
      <c r="S56" s="596" t="str">
        <f ca="1">IF(ISERROR(MATCH(S$1,INDIRECT("Table!A"&amp;$AM56):INDIRECT("Table!" &amp; $AP$91 &amp; $AM56),0)),"",INDIRECT(CONCATENATE("Table!",ADDRESS($AI56,MATCH(S$1,INDIRECT("Table!A" &amp; $AM56):INDIRECT("Table!" &amp; $AP$91 &amp; $AM56),0)))))</f>
        <v/>
      </c>
      <c r="T56" s="273">
        <f ca="1">IF(ISERROR(MATCH(T$1,INDIRECT("Table!A"&amp;$AM56):INDIRECT("Table!" &amp; $AP$65 &amp; $AM56),0)),"",INDIRECT(CONCATENATE("Table!",ADDRESS($AI56,MATCH(T$1,INDIRECT("Table!A" &amp; $AM56):INDIRECT("Table!" &amp; $AP$65 &amp; $AM56),0)))))</f>
        <v>0.18302533959897854</v>
      </c>
      <c r="U56" s="596" t="str">
        <f ca="1">IF(ISERROR(MATCH(U$1,INDIRECT("Table!A"&amp;$AM56):INDIRECT("Table!" &amp; $AP$65 &amp; $AM56),0)),"",INDIRECT(CONCATENATE("Table!",ADDRESS($AI56,MATCH(U$1,INDIRECT("Table!A" &amp; $AM56):INDIRECT("Table!" &amp; $AP$65 &amp; $AM56),0)))))</f>
        <v/>
      </c>
      <c r="V56" s="596"/>
      <c r="W56" s="596"/>
      <c r="X56" s="596"/>
      <c r="Y56" s="596"/>
      <c r="Z56" s="596"/>
      <c r="AA56" s="596"/>
      <c r="AB56" s="596"/>
      <c r="AC56" s="596"/>
      <c r="AD56" s="596"/>
      <c r="AE56" s="596"/>
      <c r="AF56" s="596"/>
      <c r="AG56" s="596"/>
      <c r="AH56" s="596"/>
      <c r="AI56" s="272">
        <f>MATCH($A56,Table!$A:$A,0)+$AK$2-1</f>
        <v>774</v>
      </c>
      <c r="AJ56" s="482"/>
      <c r="AK56" s="482"/>
      <c r="AL56" s="482"/>
      <c r="AM56" s="272">
        <f>MATCH($A56,Table!$A:$A,0)+$AO$2-1</f>
        <v>771</v>
      </c>
      <c r="AN56" s="482"/>
      <c r="AP56" s="947" t="s">
        <v>302</v>
      </c>
    </row>
    <row r="57" spans="1:42" s="267" customFormat="1" ht="15.75" customHeight="1" x14ac:dyDescent="0.25">
      <c r="A57" s="268">
        <v>41534</v>
      </c>
      <c r="B57" s="273">
        <f ca="1">IF(ISERROR(MATCH(B$1,INDIRECT("Table!A"&amp;$AM57):INDIRECT("Table!" &amp; $AP$113 &amp; $AM57),0)),"",INDIRECT(CONCATENATE("Table!",ADDRESS($AI57,MATCH(B$1,INDIRECT("Table!A" &amp; $AM57):INDIRECT("Table!" &amp; $AP$112 &amp; $AM57),0)))))</f>
        <v>0.3339939885489529</v>
      </c>
      <c r="C57" s="273">
        <f ca="1">IF(ISERROR(MATCH(C$1,INDIRECT("Table!A"&amp;$AM57):INDIRECT("Table!" &amp; $AP$112 &amp; $AM57),0)),"",INDIRECT(CONCATENATE("Table!",ADDRESS($AI57,MATCH(C$1,INDIRECT("Table!A" &amp; $AM57):INDIRECT("Table!" &amp; $AP$112 &amp; $AM57),0)))))</f>
        <v>0.53361254930516011</v>
      </c>
      <c r="D57" s="273">
        <f ca="1">IF(ISERROR(MATCH(D$1,INDIRECT("Table!A"&amp;$AM57):INDIRECT("Table!" &amp; $AP$112 &amp; $AM57),0)),"",INDIRECT(CONCATENATE("Table!",ADDRESS($AI57,MATCH(D$1,INDIRECT("Table!A" &amp; $AM57):INDIRECT("Table!" &amp; $AP$112 &amp; $AM57),0)))))</f>
        <v>0.54345198904839132</v>
      </c>
      <c r="E57" s="273">
        <f ca="1">IF(ISERROR(MATCH(E$1,INDIRECT("Table!A"&amp;$AM57):INDIRECT("Table!" &amp; $AP$112 &amp; $AM57),0)),"",INDIRECT(CONCATENATE("Table!",ADDRESS($AI57,MATCH(E$1,INDIRECT("Table!A" &amp; $AM57):INDIRECT("Table!" &amp; $AP$112 &amp; $AM57),0)))))</f>
        <v>0.82154113104042448</v>
      </c>
      <c r="F57" s="273">
        <f ca="1">IF(ISERROR(MATCH(F$1,INDIRECT("Table!A"&amp;$AM57):INDIRECT("Table!" &amp; $AP$112 &amp; $AM57),0)),"",INDIRECT(CONCATENATE("Table!",ADDRESS($AI57,MATCH(F$1,INDIRECT("Table!A" &amp; $AM57):INDIRECT("Table!" &amp; $AP$112 &amp; $AM57),0)))))</f>
        <v>0.71174438739585444</v>
      </c>
      <c r="G57" s="273">
        <f ca="1">IF(ISERROR(MATCH(G$1,INDIRECT("Table!A"&amp;$AM57):INDIRECT("Table!" &amp; $AP$112 &amp; $AM57),0)),"",INDIRECT(CONCATENATE("Table!",ADDRESS($AI57,MATCH(G$1,INDIRECT("Table!A" &amp; $AM57):INDIRECT("Table!" &amp; $AP$112 &amp; $AM57),0)))))</f>
        <v>0.44491493034664342</v>
      </c>
      <c r="H57" s="273">
        <f ca="1">IF(ISERROR(MATCH(H$1,INDIRECT("Table!A"&amp;$AM57):INDIRECT("Table!" &amp; $AP$112 &amp; $AM57),0)),"",INDIRECT(CONCATENATE("Table!",ADDRESS($AI57,MATCH(H$1,INDIRECT("Table!A" &amp; $AM57):INDIRECT("Table!" &amp; $AP$112 &amp; $AM57),0)))))</f>
        <v>0.56977831016923575</v>
      </c>
      <c r="I57" s="273">
        <f ca="1">IF(ISERROR(MATCH(I$1,INDIRECT("Table!A"&amp;$AM57):INDIRECT("Table!" &amp; $AP$91 &amp; $AM57),0)),"",INDIRECT(CONCATENATE("Table!",ADDRESS($AI57,MATCH(I$1,INDIRECT("Table!A" &amp; $AM57):INDIRECT("Table!" &amp; $AP$91 &amp; $AM57),0)))))</f>
        <v>0.14690774145001467</v>
      </c>
      <c r="J57" s="273">
        <f ca="1">IF(ISERROR(MATCH(J$1,INDIRECT("Table!A"&amp;$AM57):INDIRECT("Table!" &amp; $AP$91 &amp; $AM57),0)),"",INDIRECT(CONCATENATE("Table!",ADDRESS($AI57,MATCH(J$1,INDIRECT("Table!A" &amp; $AM57):INDIRECT("Table!" &amp; $AP$91 &amp; $AM57),0)))))</f>
        <v>0.47454540339091628</v>
      </c>
      <c r="K57" s="273">
        <f ca="1">IF(ISERROR(MATCH(K$1,INDIRECT("Table!A"&amp;$AM57):INDIRECT("Table!" &amp; $AP$91 &amp; $AM57),0)),"",INDIRECT(CONCATENATE("Table!",ADDRESS($AI57,MATCH(K$1,INDIRECT("Table!A" &amp; $AM57):INDIRECT("Table!" &amp; $AP$91 &amp; $AM57),0)))))</f>
        <v>1.3655952364996995E-2</v>
      </c>
      <c r="L57" s="273">
        <f ca="1">IF(ISERROR(MATCH(L$1,INDIRECT("Table!A"&amp;$AM57):INDIRECT("Table!" &amp; $AP$91 &amp; $AM57),0)),"",INDIRECT(CONCATENATE("Table!",ADDRESS($AI57,MATCH(L$1,INDIRECT("Table!A" &amp; $AM57):INDIRECT("Table!" &amp; $AP$91 &amp; $AM57),0)))))</f>
        <v>0.82935992552418258</v>
      </c>
      <c r="M57" s="273">
        <f ca="1">IF(ISERROR(MATCH(M$1,INDIRECT("Table!A"&amp;$AM57):INDIRECT("Table!" &amp; $AP$91 &amp; $AM57),0)),"",INDIRECT(CONCATENATE("Table!",ADDRESS($AI57,MATCH(M$1,INDIRECT("Table!A" &amp; $AM57):INDIRECT("Table!" &amp; $AP$91 &amp; $AM57),0)))))</f>
        <v>0.43781071935906957</v>
      </c>
      <c r="N57" s="273">
        <f ca="1">IF(ISERROR(MATCH(N$1,INDIRECT("Table!A"&amp;$AM57):INDIRECT("Table!" &amp; $AP$91 &amp; $AM57),0)),"",INDIRECT(CONCATENATE("Table!",ADDRESS($AI57,MATCH(N$1,INDIRECT("Table!A" &amp; $AM57):INDIRECT("Table!" &amp; $AP$91 &amp; $AM57),0)))))</f>
        <v>0.73193749048069179</v>
      </c>
      <c r="O57" s="273">
        <f ca="1">IF(ISERROR(MATCH(O$1,INDIRECT("Table!A"&amp;$AM57):INDIRECT("Table!" &amp; $AP$91 &amp; $AM57),0)),"",INDIRECT(CONCATENATE("Table!",ADDRESS($AI57,MATCH(O$1,INDIRECT("Table!A" &amp; $AM57):INDIRECT("Table!" &amp; $AP$91 &amp; $AM57),0)))))</f>
        <v>0.64565175608783165</v>
      </c>
      <c r="P57" s="273">
        <f ca="1">IF(ISERROR(MATCH(P$1,INDIRECT("Table!A"&amp;$AM57):INDIRECT("Table!" &amp; $AP$91 &amp; $AM57),0)),"",INDIRECT(CONCATENATE("Table!",ADDRESS($AI57,MATCH(P$1,INDIRECT("Table!A" &amp; $AM57):INDIRECT("Table!" &amp; $AP$91 &amp; $AM57),0)))))</f>
        <v>0.15254948227051515</v>
      </c>
      <c r="Q57" s="273">
        <f ca="1">IF(ISERROR(MATCH(Q$1,INDIRECT("Table!A"&amp;$AM57):INDIRECT("Table!" &amp; $AP$91 &amp; $AM57),0)),"",INDIRECT(CONCATENATE("Table!",ADDRESS($AI57,MATCH(Q$1,INDIRECT("Table!A" &amp; $AM57):INDIRECT("Table!" &amp; $AP$91 &amp; $AM57),0)))))</f>
        <v>0.36322107549094729</v>
      </c>
      <c r="R57" s="273">
        <f ca="1">IF(ISERROR(MATCH(R$1,INDIRECT("Table!A"&amp;$AM57):INDIRECT("Table!" &amp; $AP$91 &amp; $AM57),0)),"",INDIRECT(CONCATENATE("Table!",ADDRESS($AI57,MATCH(R$1,INDIRECT("Table!A" &amp; $AM57):INDIRECT("Table!" &amp; $AP$91 &amp; $AM57),0)))))</f>
        <v>0.28589200695705685</v>
      </c>
      <c r="S57" s="596" t="str">
        <f ca="1">IF(ISERROR(MATCH(S$1,INDIRECT("Table!A"&amp;$AM57):INDIRECT("Table!" &amp; $AP$91 &amp; $AM57),0)),"",INDIRECT(CONCATENATE("Table!",ADDRESS($AI57,MATCH(S$1,INDIRECT("Table!A" &amp; $AM57):INDIRECT("Table!" &amp; $AP$91 &amp; $AM57),0)))))</f>
        <v/>
      </c>
      <c r="T57" s="273">
        <f ca="1">IF(ISERROR(MATCH(T$1,INDIRECT("Table!A"&amp;$AM57):INDIRECT("Table!" &amp; $AP$65 &amp; $AM57),0)),"",INDIRECT(CONCATENATE("Table!",ADDRESS($AI57,MATCH(T$1,INDIRECT("Table!A" &amp; $AM57):INDIRECT("Table!" &amp; $AP$65 &amp; $AM57),0)))))</f>
        <v>0.18028134963206963</v>
      </c>
      <c r="U57" s="596" t="str">
        <f ca="1">IF(ISERROR(MATCH(U$1,INDIRECT("Table!A"&amp;$AM57):INDIRECT("Table!" &amp; $AP$65 &amp; $AM57),0)),"",INDIRECT(CONCATENATE("Table!",ADDRESS($AI57,MATCH(U$1,INDIRECT("Table!A" &amp; $AM57):INDIRECT("Table!" &amp; $AP$65 &amp; $AM57),0)))))</f>
        <v/>
      </c>
      <c r="V57" s="596"/>
      <c r="W57" s="596"/>
      <c r="X57" s="596"/>
      <c r="Y57" s="596"/>
      <c r="Z57" s="596"/>
      <c r="AA57" s="596"/>
      <c r="AB57" s="596"/>
      <c r="AC57" s="596"/>
      <c r="AD57" s="596"/>
      <c r="AE57" s="596"/>
      <c r="AF57" s="596"/>
      <c r="AG57" s="596"/>
      <c r="AH57" s="596"/>
      <c r="AI57" s="272">
        <f>MATCH($A57,Table!$A:$A,0)+$AK$2-1</f>
        <v>786</v>
      </c>
      <c r="AJ57" s="473"/>
      <c r="AK57" s="473"/>
      <c r="AL57" s="473"/>
      <c r="AM57" s="272">
        <f>MATCH($A57,Table!$A:$A,0)+$AO$2-1</f>
        <v>783</v>
      </c>
      <c r="AN57" s="473"/>
      <c r="AP57" s="947" t="s">
        <v>302</v>
      </c>
    </row>
    <row r="58" spans="1:42" s="267" customFormat="1" ht="15.75" customHeight="1" x14ac:dyDescent="0.25">
      <c r="A58" s="268">
        <v>41519</v>
      </c>
      <c r="B58" s="273">
        <f ca="1">IF(ISERROR(MATCH(B$1,INDIRECT("Table!A"&amp;$AM58):INDIRECT("Table!" &amp; $AP$113 &amp; $AM58),0)),"",INDIRECT(CONCATENATE("Table!",ADDRESS($AI58,MATCH(B$1,INDIRECT("Table!A" &amp; $AM58):INDIRECT("Table!" &amp; $AP$112 &amp; $AM58),0)))))</f>
        <v>0.32788350895789892</v>
      </c>
      <c r="C58" s="273">
        <f ca="1">IF(ISERROR(MATCH(C$1,INDIRECT("Table!A"&amp;$AM58):INDIRECT("Table!" &amp; $AP$112 &amp; $AM58),0)),"",INDIRECT(CONCATENATE("Table!",ADDRESS($AI58,MATCH(C$1,INDIRECT("Table!A" &amp; $AM58):INDIRECT("Table!" &amp; $AP$112 &amp; $AM58),0)))))</f>
        <v>0.52864698734426141</v>
      </c>
      <c r="D58" s="273">
        <f ca="1">IF(ISERROR(MATCH(D$1,INDIRECT("Table!A"&amp;$AM58):INDIRECT("Table!" &amp; $AP$112 &amp; $AM58),0)),"",INDIRECT(CONCATENATE("Table!",ADDRESS($AI58,MATCH(D$1,INDIRECT("Table!A" &amp; $AM58):INDIRECT("Table!" &amp; $AP$112 &amp; $AM58),0)))))</f>
        <v>0.53848576270938708</v>
      </c>
      <c r="E58" s="273">
        <f ca="1">IF(ISERROR(MATCH(E$1,INDIRECT("Table!A"&amp;$AM58):INDIRECT("Table!" &amp; $AP$112 &amp; $AM58),0)),"",INDIRECT(CONCATENATE("Table!",ADDRESS($AI58,MATCH(E$1,INDIRECT("Table!A" &amp; $AM58):INDIRECT("Table!" &amp; $AP$112 &amp; $AM58),0)))))</f>
        <v>0.81273722683885841</v>
      </c>
      <c r="F58" s="273">
        <f ca="1">IF(ISERROR(MATCH(F$1,INDIRECT("Table!A"&amp;$AM58):INDIRECT("Table!" &amp; $AP$112 &amp; $AM58),0)),"",INDIRECT(CONCATENATE("Table!",ADDRESS($AI58,MATCH(F$1,INDIRECT("Table!A" &amp; $AM58):INDIRECT("Table!" &amp; $AP$112 &amp; $AM58),0)))))</f>
        <v>0.70758309736572511</v>
      </c>
      <c r="G58" s="273">
        <f ca="1">IF(ISERROR(MATCH(G$1,INDIRECT("Table!A"&amp;$AM58):INDIRECT("Table!" &amp; $AP$112 &amp; $AM58),0)),"",INDIRECT(CONCATENATE("Table!",ADDRESS($AI58,MATCH(G$1,INDIRECT("Table!A" &amp; $AM58):INDIRECT("Table!" &amp; $AP$112 &amp; $AM58),0)))))</f>
        <v>0.453779490195099</v>
      </c>
      <c r="H58" s="273">
        <f ca="1">IF(ISERROR(MATCH(H$1,INDIRECT("Table!A"&amp;$AM58):INDIRECT("Table!" &amp; $AP$112 &amp; $AM58),0)),"",INDIRECT(CONCATENATE("Table!",ADDRESS($AI58,MATCH(H$1,INDIRECT("Table!A" &amp; $AM58):INDIRECT("Table!" &amp; $AP$112 &amp; $AM58),0)))))</f>
        <v>0.54729581923230342</v>
      </c>
      <c r="I58" s="273">
        <f ca="1">IF(ISERROR(MATCH(I$1,INDIRECT("Table!A"&amp;$AM58):INDIRECT("Table!" &amp; $AP$91 &amp; $AM58),0)),"",INDIRECT(CONCATENATE("Table!",ADDRESS($AI58,MATCH(I$1,INDIRECT("Table!A" &amp; $AM58):INDIRECT("Table!" &amp; $AP$91 &amp; $AM58),0)))))</f>
        <v>0.14656806897406222</v>
      </c>
      <c r="J58" s="273">
        <f ca="1">IF(ISERROR(MATCH(J$1,INDIRECT("Table!A"&amp;$AM58):INDIRECT("Table!" &amp; $AP$91 &amp; $AM58),0)),"",INDIRECT(CONCATENATE("Table!",ADDRESS($AI58,MATCH(J$1,INDIRECT("Table!A" &amp; $AM58):INDIRECT("Table!" &amp; $AP$91 &amp; $AM58),0)))))</f>
        <v>0.35935531902921275</v>
      </c>
      <c r="K58" s="273">
        <f ca="1">IF(ISERROR(MATCH(K$1,INDIRECT("Table!A"&amp;$AM58):INDIRECT("Table!" &amp; $AP$91 &amp; $AM58),0)),"",INDIRECT(CONCATENATE("Table!",ADDRESS($AI58,MATCH(K$1,INDIRECT("Table!A" &amp; $AM58):INDIRECT("Table!" &amp; $AP$91 &amp; $AM58),0)))))</f>
        <v>4.7322737165327623E-3</v>
      </c>
      <c r="L58" s="273">
        <f ca="1">IF(ISERROR(MATCH(L$1,INDIRECT("Table!A"&amp;$AM58):INDIRECT("Table!" &amp; $AP$91 &amp; $AM58),0)),"",INDIRECT(CONCATENATE("Table!",ADDRESS($AI58,MATCH(L$1,INDIRECT("Table!A" &amp; $AM58):INDIRECT("Table!" &amp; $AP$91 &amp; $AM58),0)))))</f>
        <v>0.82623449003284988</v>
      </c>
      <c r="M58" s="273">
        <f ca="1">IF(ISERROR(MATCH(M$1,INDIRECT("Table!A"&amp;$AM58):INDIRECT("Table!" &amp; $AP$91 &amp; $AM58),0)),"",INDIRECT(CONCATENATE("Table!",ADDRESS($AI58,MATCH(M$1,INDIRECT("Table!A" &amp; $AM58):INDIRECT("Table!" &amp; $AP$91 &amp; $AM58),0)))))</f>
        <v>0.41028540204597036</v>
      </c>
      <c r="N58" s="273">
        <f ca="1">IF(ISERROR(MATCH(N$1,INDIRECT("Table!A"&amp;$AM58):INDIRECT("Table!" &amp; $AP$91 &amp; $AM58),0)),"",INDIRECT(CONCATENATE("Table!",ADDRESS($AI58,MATCH(N$1,INDIRECT("Table!A" &amp; $AM58):INDIRECT("Table!" &amp; $AP$91 &amp; $AM58),0)))))</f>
        <v>0.73193144647549868</v>
      </c>
      <c r="O58" s="273">
        <f ca="1">IF(ISERROR(MATCH(O$1,INDIRECT("Table!A"&amp;$AM58):INDIRECT("Table!" &amp; $AP$91 &amp; $AM58),0)),"",INDIRECT(CONCATENATE("Table!",ADDRESS($AI58,MATCH(O$1,INDIRECT("Table!A" &amp; $AM58):INDIRECT("Table!" &amp; $AP$91 &amp; $AM58),0)))))</f>
        <v>0.61336113579082885</v>
      </c>
      <c r="P58" s="273">
        <f ca="1">IF(ISERROR(MATCH(P$1,INDIRECT("Table!A"&amp;$AM58):INDIRECT("Table!" &amp; $AP$91 &amp; $AM58),0)),"",INDIRECT(CONCATENATE("Table!",ADDRESS($AI58,MATCH(P$1,INDIRECT("Table!A" &amp; $AM58):INDIRECT("Table!" &amp; $AP$91 &amp; $AM58),0)))))</f>
        <v>0.15218684195893459</v>
      </c>
      <c r="Q58" s="273">
        <f ca="1">IF(ISERROR(MATCH(Q$1,INDIRECT("Table!A"&amp;$AM58):INDIRECT("Table!" &amp; $AP$91 &amp; $AM58),0)),"",INDIRECT(CONCATENATE("Table!",ADDRESS($AI58,MATCH(Q$1,INDIRECT("Table!A" &amp; $AM58):INDIRECT("Table!" &amp; $AP$91 &amp; $AM58),0)))))</f>
        <v>0.31183723706434913</v>
      </c>
      <c r="R58" s="273">
        <f ca="1">IF(ISERROR(MATCH(R$1,INDIRECT("Table!A"&amp;$AM58):INDIRECT("Table!" &amp; $AP$91 &amp; $AM58),0)),"",INDIRECT(CONCATENATE("Table!",ADDRESS($AI58,MATCH(R$1,INDIRECT("Table!A" &amp; $AM58):INDIRECT("Table!" &amp; $AP$91 &amp; $AM58),0)))))</f>
        <v>0.15985069669456231</v>
      </c>
      <c r="S58" s="596" t="str">
        <f ca="1">IF(ISERROR(MATCH(S$1,INDIRECT("Table!A"&amp;$AM58):INDIRECT("Table!" &amp; $AP$91 &amp; $AM58),0)),"",INDIRECT(CONCATENATE("Table!",ADDRESS($AI58,MATCH(S$1,INDIRECT("Table!A" &amp; $AM58):INDIRECT("Table!" &amp; $AP$91 &amp; $AM58),0)))))</f>
        <v/>
      </c>
      <c r="T58" s="273">
        <f ca="1">IF(ISERROR(MATCH(T$1,INDIRECT("Table!A"&amp;$AM58):INDIRECT("Table!" &amp; $AP$65 &amp; $AM58),0)),"",INDIRECT(CONCATENATE("Table!",ADDRESS($AI58,MATCH(T$1,INDIRECT("Table!A" &amp; $AM58):INDIRECT("Table!" &amp; $AP$65 &amp; $AM58),0)))))</f>
        <v>0.17748900741904775</v>
      </c>
      <c r="U58" s="596" t="str">
        <f ca="1">IF(ISERROR(MATCH(U$1,INDIRECT("Table!A"&amp;$AM58):INDIRECT("Table!" &amp; $AP$65 &amp; $AM58),0)),"",INDIRECT(CONCATENATE("Table!",ADDRESS($AI58,MATCH(U$1,INDIRECT("Table!A" &amp; $AM58):INDIRECT("Table!" &amp; $AP$65 &amp; $AM58),0)))))</f>
        <v/>
      </c>
      <c r="V58" s="596"/>
      <c r="W58" s="596"/>
      <c r="X58" s="596"/>
      <c r="Y58" s="596"/>
      <c r="Z58" s="596"/>
      <c r="AA58" s="596"/>
      <c r="AB58" s="596"/>
      <c r="AC58" s="596"/>
      <c r="AD58" s="596"/>
      <c r="AE58" s="596"/>
      <c r="AF58" s="596"/>
      <c r="AG58" s="596"/>
      <c r="AH58" s="596"/>
      <c r="AI58" s="272">
        <f>MATCH($A58,Table!$A:$A,0)+$AK$2-1</f>
        <v>798</v>
      </c>
      <c r="AJ58" s="468"/>
      <c r="AK58" s="468"/>
      <c r="AL58" s="468"/>
      <c r="AM58" s="272">
        <f>MATCH($A58,Table!$A:$A,0)+$AO$2-1</f>
        <v>795</v>
      </c>
      <c r="AN58" s="468"/>
      <c r="AP58" s="947" t="s">
        <v>302</v>
      </c>
    </row>
    <row r="59" spans="1:42" s="267" customFormat="1" ht="15.75" customHeight="1" x14ac:dyDescent="0.25">
      <c r="A59" s="268">
        <v>41513</v>
      </c>
      <c r="B59" s="273">
        <f ca="1">IF(ISERROR(MATCH(B$1,INDIRECT("Table!A"&amp;$AM59):INDIRECT("Table!" &amp; $AP$113 &amp; $AM59),0)),"",INDIRECT(CONCATENATE("Table!",ADDRESS($AI59,MATCH(B$1,INDIRECT("Table!A" &amp; $AM59):INDIRECT("Table!" &amp; $AP$112 &amp; $AM59),0)))))</f>
        <v>0.32475574121470363</v>
      </c>
      <c r="C59" s="273">
        <f ca="1">IF(ISERROR(MATCH(C$1,INDIRECT("Table!A"&amp;$AM59):INDIRECT("Table!" &amp; $AP$112 &amp; $AM59),0)),"",INDIRECT(CONCATENATE("Table!",ADDRESS($AI59,MATCH(C$1,INDIRECT("Table!A" &amp; $AM59):INDIRECT("Table!" &amp; $AP$112 &amp; $AM59),0)))))</f>
        <v>0.52792215083110383</v>
      </c>
      <c r="D59" s="273">
        <f ca="1">IF(ISERROR(MATCH(D$1,INDIRECT("Table!A"&amp;$AM59):INDIRECT("Table!" &amp; $AP$112 &amp; $AM59),0)),"",INDIRECT(CONCATENATE("Table!",ADDRESS($AI59,MATCH(D$1,INDIRECT("Table!A" &amp; $AM59):INDIRECT("Table!" &amp; $AP$112 &amp; $AM59),0)))))</f>
        <v>0.53605281008685401</v>
      </c>
      <c r="E59" s="273">
        <f ca="1">IF(ISERROR(MATCH(E$1,INDIRECT("Table!A"&amp;$AM59):INDIRECT("Table!" &amp; $AP$112 &amp; $AM59),0)),"",INDIRECT(CONCATENATE("Table!",ADDRESS($AI59,MATCH(E$1,INDIRECT("Table!A" &amp; $AM59):INDIRECT("Table!" &amp; $AP$112 &amp; $AM59),0)))))</f>
        <v>0.81115424936867719</v>
      </c>
      <c r="F59" s="273">
        <f ca="1">IF(ISERROR(MATCH(F$1,INDIRECT("Table!A"&amp;$AM59):INDIRECT("Table!" &amp; $AP$112 &amp; $AM59),0)),"",INDIRECT(CONCATENATE("Table!",ADDRESS($AI59,MATCH(F$1,INDIRECT("Table!A" &amp; $AM59):INDIRECT("Table!" &amp; $AP$112 &amp; $AM59),0)))))</f>
        <v>0.70647583762205091</v>
      </c>
      <c r="G59" s="273">
        <f ca="1">IF(ISERROR(MATCH(G$1,INDIRECT("Table!A"&amp;$AM59):INDIRECT("Table!" &amp; $AP$112 &amp; $AM59),0)),"",INDIRECT(CONCATENATE("Table!",ADDRESS($AI59,MATCH(G$1,INDIRECT("Table!A" &amp; $AM59):INDIRECT("Table!" &amp; $AP$112 &amp; $AM59),0)))))</f>
        <v>0.44502466834527965</v>
      </c>
      <c r="H59" s="273">
        <f ca="1">IF(ISERROR(MATCH(H$1,INDIRECT("Table!A"&amp;$AM59):INDIRECT("Table!" &amp; $AP$112 &amp; $AM59),0)),"",INDIRECT(CONCATENATE("Table!",ADDRESS($AI59,MATCH(H$1,INDIRECT("Table!A" &amp; $AM59):INDIRECT("Table!" &amp; $AP$112 &amp; $AM59),0)))))</f>
        <v>0.54581192101941522</v>
      </c>
      <c r="I59" s="273">
        <f ca="1">IF(ISERROR(MATCH(I$1,INDIRECT("Table!A"&amp;$AM59):INDIRECT("Table!" &amp; $AP$91 &amp; $AM59),0)),"",INDIRECT(CONCATENATE("Table!",ADDRESS($AI59,MATCH(I$1,INDIRECT("Table!A" &amp; $AM59):INDIRECT("Table!" &amp; $AP$91 &amp; $AM59),0)))))</f>
        <v>0.14205683167778257</v>
      </c>
      <c r="J59" s="273">
        <f ca="1">IF(ISERROR(MATCH(J$1,INDIRECT("Table!A"&amp;$AM59):INDIRECT("Table!" &amp; $AP$91 &amp; $AM59),0)),"",INDIRECT(CONCATENATE("Table!",ADDRESS($AI59,MATCH(J$1,INDIRECT("Table!A" &amp; $AM59):INDIRECT("Table!" &amp; $AP$91 &amp; $AM59),0)))))</f>
        <v>0.35816391015846494</v>
      </c>
      <c r="K59" s="273">
        <f ca="1">IF(ISERROR(MATCH(K$1,INDIRECT("Table!A"&amp;$AM59):INDIRECT("Table!" &amp; $AP$91 &amp; $AM59),0)),"",INDIRECT(CONCATENATE("Table!",ADDRESS($AI59,MATCH(K$1,INDIRECT("Table!A" &amp; $AM59):INDIRECT("Table!" &amp; $AP$91 &amp; $AM59),0)))))</f>
        <v>3.5058868890421872E-3</v>
      </c>
      <c r="L59" s="273">
        <f ca="1">IF(ISERROR(MATCH(L$1,INDIRECT("Table!A"&amp;$AM59):INDIRECT("Table!" &amp; $AP$91 &amp; $AM59),0)),"",INDIRECT(CONCATENATE("Table!",ADDRESS($AI59,MATCH(L$1,INDIRECT("Table!A" &amp; $AM59):INDIRECT("Table!" &amp; $AP$91 &amp; $AM59),0)))))</f>
        <v>0.82468342856077137</v>
      </c>
      <c r="M59" s="273">
        <f ca="1">IF(ISERROR(MATCH(M$1,INDIRECT("Table!A"&amp;$AM59):INDIRECT("Table!" &amp; $AP$91 &amp; $AM59),0)),"",INDIRECT(CONCATENATE("Table!",ADDRESS($AI59,MATCH(M$1,INDIRECT("Table!A" &amp; $AM59):INDIRECT("Table!" &amp; $AP$91 &amp; $AM59),0)))))</f>
        <v>0.39777829745657595</v>
      </c>
      <c r="N59" s="273">
        <f ca="1">IF(ISERROR(MATCH(N$1,INDIRECT("Table!A"&amp;$AM59):INDIRECT("Table!" &amp; $AP$91 &amp; $AM59),0)),"",INDIRECT(CONCATENATE("Table!",ADDRESS($AI59,MATCH(N$1,INDIRECT("Table!A" &amp; $AM59):INDIRECT("Table!" &amp; $AP$91 &amp; $AM59),0)))))</f>
        <v>0.72632019205430898</v>
      </c>
      <c r="O59" s="273">
        <f ca="1">IF(ISERROR(MATCH(O$1,INDIRECT("Table!A"&amp;$AM59):INDIRECT("Table!" &amp; $AP$91 &amp; $AM59),0)),"",INDIRECT(CONCATENATE("Table!",ADDRESS($AI59,MATCH(O$1,INDIRECT("Table!A" &amp; $AM59):INDIRECT("Table!" &amp; $AP$91 &amp; $AM59),0)))))</f>
        <v>0.61153487697412556</v>
      </c>
      <c r="P59" s="273">
        <f ca="1">IF(ISERROR(MATCH(P$1,INDIRECT("Table!A"&amp;$AM59):INDIRECT("Table!" &amp; $AP$91 &amp; $AM59),0)),"",INDIRECT(CONCATENATE("Table!",ADDRESS($AI59,MATCH(P$1,INDIRECT("Table!A" &amp; $AM59):INDIRECT("Table!" &amp; $AP$91 &amp; $AM59),0)))))</f>
        <v>0.14766471727352506</v>
      </c>
      <c r="Q59" s="273">
        <f ca="1">IF(ISERROR(MATCH(Q$1,INDIRECT("Table!A"&amp;$AM59):INDIRECT("Table!" &amp; $AP$91 &amp; $AM59),0)),"",INDIRECT(CONCATENATE("Table!",ADDRESS($AI59,MATCH(Q$1,INDIRECT("Table!A" &amp; $AM59):INDIRECT("Table!" &amp; $AP$91 &amp; $AM59),0)))))</f>
        <v>0.3102185609604321</v>
      </c>
      <c r="R59" s="273">
        <f ca="1">IF(ISERROR(MATCH(R$1,INDIRECT("Table!A"&amp;$AM59):INDIRECT("Table!" &amp; $AP$91 &amp; $AM59),0)),"",INDIRECT(CONCATENATE("Table!",ADDRESS($AI59,MATCH(R$1,INDIRECT("Table!A" &amp; $AM59):INDIRECT("Table!" &amp; $AP$91 &amp; $AM59),0)))))</f>
        <v>0.15516534156499034</v>
      </c>
      <c r="S59" s="596" t="str">
        <f ca="1">IF(ISERROR(MATCH(S$1,INDIRECT("Table!A"&amp;$AM59):INDIRECT("Table!" &amp; $AP$91 &amp; $AM59),0)),"",INDIRECT(CONCATENATE("Table!",ADDRESS($AI59,MATCH(S$1,INDIRECT("Table!A" &amp; $AM59):INDIRECT("Table!" &amp; $AP$91 &amp; $AM59),0)))))</f>
        <v/>
      </c>
      <c r="T59" s="273">
        <f ca="1">IF(ISERROR(MATCH(T$1,INDIRECT("Table!A"&amp;$AM59):INDIRECT("Table!" &amp; $AP$65 &amp; $AM59),0)),"",INDIRECT(CONCATENATE("Table!",ADDRESS($AI59,MATCH(T$1,INDIRECT("Table!A" &amp; $AM59):INDIRECT("Table!" &amp; $AP$65 &amp; $AM59),0)))))</f>
        <v>0.17727444432692163</v>
      </c>
      <c r="U59" s="596" t="str">
        <f ca="1">IF(ISERROR(MATCH(U$1,INDIRECT("Table!A"&amp;$AM59):INDIRECT("Table!" &amp; $AP$65 &amp; $AM59),0)),"",INDIRECT(CONCATENATE("Table!",ADDRESS($AI59,MATCH(U$1,INDIRECT("Table!A" &amp; $AM59):INDIRECT("Table!" &amp; $AP$65 &amp; $AM59),0)))))</f>
        <v/>
      </c>
      <c r="V59" s="596"/>
      <c r="W59" s="596"/>
      <c r="X59" s="596"/>
      <c r="Y59" s="596"/>
      <c r="Z59" s="596"/>
      <c r="AA59" s="596"/>
      <c r="AB59" s="596"/>
      <c r="AC59" s="596"/>
      <c r="AD59" s="596"/>
      <c r="AE59" s="596"/>
      <c r="AF59" s="596"/>
      <c r="AG59" s="596"/>
      <c r="AH59" s="596"/>
      <c r="AI59" s="272">
        <f>MATCH($A59,Table!$A:$A,0)+$AK$2-1</f>
        <v>810</v>
      </c>
      <c r="AJ59" s="463"/>
      <c r="AK59" s="463"/>
      <c r="AL59" s="463"/>
      <c r="AM59" s="272">
        <f>MATCH($A59,Table!$A:$A,0)+$AO$2-1</f>
        <v>807</v>
      </c>
      <c r="AN59" s="463"/>
      <c r="AP59" s="947" t="s">
        <v>302</v>
      </c>
    </row>
    <row r="60" spans="1:42" s="267" customFormat="1" ht="15.75" customHeight="1" x14ac:dyDescent="0.25">
      <c r="A60" s="268">
        <v>41498</v>
      </c>
      <c r="B60" s="273">
        <f ca="1">IF(ISERROR(MATCH(B$1,INDIRECT("Table!A"&amp;$AM60):INDIRECT("Table!" &amp; $AP$113 &amp; $AM60),0)),"",INDIRECT(CONCATENATE("Table!",ADDRESS($AI60,MATCH(B$1,INDIRECT("Table!A" &amp; $AM60):INDIRECT("Table!" &amp; $AP$112 &amp; $AM60),0)))))</f>
        <v>0.319028822885357</v>
      </c>
      <c r="C60" s="273">
        <f ca="1">IF(ISERROR(MATCH(C$1,INDIRECT("Table!A"&amp;$AM60):INDIRECT("Table!" &amp; $AP$112 &amp; $AM60),0)),"",INDIRECT(CONCATENATE("Table!",ADDRESS($AI60,MATCH(C$1,INDIRECT("Table!A" &amp; $AM60):INDIRECT("Table!" &amp; $AP$112 &amp; $AM60),0)))))</f>
        <v>0.52620938407498963</v>
      </c>
      <c r="D60" s="273">
        <f ca="1">IF(ISERROR(MATCH(D$1,INDIRECT("Table!A"&amp;$AM60):INDIRECT("Table!" &amp; $AP$112 &amp; $AM60),0)),"",INDIRECT(CONCATENATE("Table!",ADDRESS($AI60,MATCH(D$1,INDIRECT("Table!A" &amp; $AM60):INDIRECT("Table!" &amp; $AP$112 &amp; $AM60),0)))))</f>
        <v>0.53605281008685401</v>
      </c>
      <c r="E60" s="273">
        <f ca="1">IF(ISERROR(MATCH(E$1,INDIRECT("Table!A"&amp;$AM60):INDIRECT("Table!" &amp; $AP$112 &amp; $AM60),0)),"",INDIRECT(CONCATENATE("Table!",ADDRESS($AI60,MATCH(E$1,INDIRECT("Table!A" &amp; $AM60):INDIRECT("Table!" &amp; $AP$112 &amp; $AM60),0)))))</f>
        <v>0.80370584860999084</v>
      </c>
      <c r="F60" s="273">
        <f ca="1">IF(ISERROR(MATCH(F$1,INDIRECT("Table!A"&amp;$AM60):INDIRECT("Table!" &amp; $AP$112 &amp; $AM60),0)),"",INDIRECT(CONCATENATE("Table!",ADDRESS($AI60,MATCH(F$1,INDIRECT("Table!A" &amp; $AM60):INDIRECT("Table!" &amp; $AP$112 &amp; $AM60),0)))))</f>
        <v>0.70011755568785183</v>
      </c>
      <c r="G60" s="273">
        <f ca="1">IF(ISERROR(MATCH(G$1,INDIRECT("Table!A"&amp;$AM60):INDIRECT("Table!" &amp; $AP$112 &amp; $AM60),0)),"",INDIRECT(CONCATENATE("Table!",ADDRESS($AI60,MATCH(G$1,INDIRECT("Table!A" &amp; $AM60):INDIRECT("Table!" &amp; $AP$112 &amp; $AM60),0)))))</f>
        <v>0.42956069230297678</v>
      </c>
      <c r="H60" s="273">
        <f ca="1">IF(ISERROR(MATCH(H$1,INDIRECT("Table!A"&amp;$AM60):INDIRECT("Table!" &amp; $AP$112 &amp; $AM60),0)),"",INDIRECT(CONCATENATE("Table!",ADDRESS($AI60,MATCH(H$1,INDIRECT("Table!A" &amp; $AM60):INDIRECT("Table!" &amp; $AP$112 &amp; $AM60),0)))))</f>
        <v>0.54196092147914876</v>
      </c>
      <c r="I60" s="273">
        <f ca="1">IF(ISERROR(MATCH(I$1,INDIRECT("Table!A"&amp;$AM60):INDIRECT("Table!" &amp; $AP$91 &amp; $AM60),0)),"",INDIRECT(CONCATENATE("Table!",ADDRESS($AI60,MATCH(I$1,INDIRECT("Table!A" &amp; $AM60):INDIRECT("Table!" &amp; $AP$91 &amp; $AM60),0)))))</f>
        <v>0.13840928115754578</v>
      </c>
      <c r="J60" s="273">
        <f ca="1">IF(ISERROR(MATCH(J$1,INDIRECT("Table!A"&amp;$AM60):INDIRECT("Table!" &amp; $AP$91 &amp; $AM60),0)),"",INDIRECT(CONCATENATE("Table!",ADDRESS($AI60,MATCH(J$1,INDIRECT("Table!A" &amp; $AM60):INDIRECT("Table!" &amp; $AP$91 &amp; $AM60),0)))))</f>
        <v>0.25580554822121898</v>
      </c>
      <c r="K60" s="273">
        <f ca="1">IF(ISERROR(MATCH(K$1,INDIRECT("Table!A"&amp;$AM60):INDIRECT("Table!" &amp; $AP$91 &amp; $AM60),0)),"",INDIRECT(CONCATENATE("Table!",ADDRESS($AI60,MATCH(K$1,INDIRECT("Table!A" &amp; $AM60):INDIRECT("Table!" &amp; $AP$91 &amp; $AM60),0)))))</f>
        <v>2.7180262604724844E-3</v>
      </c>
      <c r="L60" s="273">
        <f ca="1">IF(ISERROR(MATCH(L$1,INDIRECT("Table!A"&amp;$AM60):INDIRECT("Table!" &amp; $AP$91 &amp; $AM60),0)),"",INDIRECT(CONCATENATE("Table!",ADDRESS($AI60,MATCH(L$1,INDIRECT("Table!A" &amp; $AM60):INDIRECT("Table!" &amp; $AP$91 &amp; $AM60),0)))))</f>
        <v>0.82188903123933121</v>
      </c>
      <c r="M60" s="273">
        <f ca="1">IF(ISERROR(MATCH(M$1,INDIRECT("Table!A"&amp;$AM60):INDIRECT("Table!" &amp; $AP$91 &amp; $AM60),0)),"",INDIRECT(CONCATENATE("Table!",ADDRESS($AI60,MATCH(M$1,INDIRECT("Table!A" &amp; $AM60):INDIRECT("Table!" &amp; $AP$91 &amp; $AM60),0)))))</f>
        <v>0.45165360027669116</v>
      </c>
      <c r="N60" s="273">
        <f ca="1">IF(ISERROR(MATCH(N$1,INDIRECT("Table!A"&amp;$AM60):INDIRECT("Table!" &amp; $AP$91 &amp; $AM60),0)),"",INDIRECT(CONCATENATE("Table!",ADDRESS($AI60,MATCH(N$1,INDIRECT("Table!A" &amp; $AM60):INDIRECT("Table!" &amp; $AP$91 &amp; $AM60),0)))))</f>
        <v>0.71881474640563003</v>
      </c>
      <c r="O60" s="273">
        <f ca="1">IF(ISERROR(MATCH(O$1,INDIRECT("Table!A"&amp;$AM60):INDIRECT("Table!" &amp; $AP$91 &amp; $AM60),0)),"",INDIRECT(CONCATENATE("Table!",ADDRESS($AI60,MATCH(O$1,INDIRECT("Table!A" &amp; $AM60):INDIRECT("Table!" &amp; $AP$91 &amp; $AM60),0)))))</f>
        <v>0.60881325814581777</v>
      </c>
      <c r="P60" s="273">
        <f ca="1">IF(ISERROR(MATCH(P$1,INDIRECT("Table!A"&amp;$AM60):INDIRECT("Table!" &amp; $AP$91 &amp; $AM60),0)),"",INDIRECT(CONCATENATE("Table!",ADDRESS($AI60,MATCH(P$1,INDIRECT("Table!A" &amp; $AM60):INDIRECT("Table!" &amp; $AP$91 &amp; $AM60),0)))))</f>
        <v>0.14402259974421769</v>
      </c>
      <c r="Q60" s="273">
        <f ca="1">IF(ISERROR(MATCH(Q$1,INDIRECT("Table!A"&amp;$AM60):INDIRECT("Table!" &amp; $AP$91 &amp; $AM60),0)),"",INDIRECT(CONCATENATE("Table!",ADDRESS($AI60,MATCH(Q$1,INDIRECT("Table!A" &amp; $AM60):INDIRECT("Table!" &amp; $AP$91 &amp; $AM60),0)))))</f>
        <v>0.21367688706202084</v>
      </c>
      <c r="R60" s="273">
        <f ca="1">IF(ISERROR(MATCH(R$1,INDIRECT("Table!A"&amp;$AM60):INDIRECT("Table!" &amp; $AP$91 &amp; $AM60),0)),"",INDIRECT(CONCATENATE("Table!",ADDRESS($AI60,MATCH(R$1,INDIRECT("Table!A" &amp; $AM60):INDIRECT("Table!" &amp; $AP$91 &amp; $AM60),0)))))</f>
        <v>0.15784109464315163</v>
      </c>
      <c r="S60" s="596" t="str">
        <f ca="1">IF(ISERROR(MATCH(S$1,INDIRECT("Table!A"&amp;$AM60):INDIRECT("Table!" &amp; $AP$91 &amp; $AM60),0)),"",INDIRECT(CONCATENATE("Table!",ADDRESS($AI60,MATCH(S$1,INDIRECT("Table!A" &amp; $AM60):INDIRECT("Table!" &amp; $AP$91 &amp; $AM60),0)))))</f>
        <v/>
      </c>
      <c r="T60" s="273">
        <f ca="1">IF(ISERROR(MATCH(T$1,INDIRECT("Table!A"&amp;$AM60):INDIRECT("Table!" &amp; $AP$65 &amp; $AM60),0)),"",INDIRECT(CONCATENATE("Table!",ADDRESS($AI60,MATCH(T$1,INDIRECT("Table!A" &amp; $AM60):INDIRECT("Table!" &amp; $AP$65 &amp; $AM60),0)))))</f>
        <v>0.17460298272918209</v>
      </c>
      <c r="U60" s="596" t="str">
        <f ca="1">IF(ISERROR(MATCH(U$1,INDIRECT("Table!A"&amp;$AM60):INDIRECT("Table!" &amp; $AP$65 &amp; $AM60),0)),"",INDIRECT(CONCATENATE("Table!",ADDRESS($AI60,MATCH(U$1,INDIRECT("Table!A" &amp; $AM60):INDIRECT("Table!" &amp; $AP$65 &amp; $AM60),0)))))</f>
        <v/>
      </c>
      <c r="V60" s="596"/>
      <c r="W60" s="596"/>
      <c r="X60" s="596"/>
      <c r="Y60" s="596"/>
      <c r="Z60" s="596"/>
      <c r="AA60" s="596"/>
      <c r="AB60" s="596"/>
      <c r="AC60" s="596"/>
      <c r="AD60" s="596"/>
      <c r="AE60" s="596"/>
      <c r="AF60" s="596"/>
      <c r="AG60" s="596"/>
      <c r="AH60" s="596"/>
      <c r="AI60" s="272">
        <f>MATCH($A60,Table!$A:$A,0)+$AK$2-1</f>
        <v>822</v>
      </c>
      <c r="AJ60" s="458"/>
      <c r="AK60" s="458"/>
      <c r="AL60" s="458"/>
      <c r="AM60" s="272">
        <f>MATCH($A60,Table!$A:$A,0)+$AO$2-1</f>
        <v>819</v>
      </c>
      <c r="AN60" s="458"/>
      <c r="AP60" s="947" t="s">
        <v>302</v>
      </c>
    </row>
    <row r="61" spans="1:42" s="267" customFormat="1" ht="15.75" customHeight="1" x14ac:dyDescent="0.25">
      <c r="A61" s="268">
        <v>41491</v>
      </c>
      <c r="B61" s="273">
        <f ca="1">IF(ISERROR(MATCH(B$1,INDIRECT("Table!A"&amp;$AM61):INDIRECT("Table!" &amp; $AP$113 &amp; $AM61),0)),"",INDIRECT(CONCATENATE("Table!",ADDRESS($AI61,MATCH(B$1,INDIRECT("Table!A" &amp; $AM61):INDIRECT("Table!" &amp; $AP$112 &amp; $AM61),0)))))</f>
        <v>0.3181340790694106</v>
      </c>
      <c r="C61" s="273">
        <f ca="1">IF(ISERROR(MATCH(C$1,INDIRECT("Table!A"&amp;$AM61):INDIRECT("Table!" &amp; $AP$112 &amp; $AM61),0)),"",INDIRECT(CONCATENATE("Table!",ADDRESS($AI61,MATCH(C$1,INDIRECT("Table!A" &amp; $AM61):INDIRECT("Table!" &amp; $AP$112 &amp; $AM61),0)))))</f>
        <v>0.52571774427688089</v>
      </c>
      <c r="D61" s="273">
        <f ca="1">IF(ISERROR(MATCH(D$1,INDIRECT("Table!A"&amp;$AM61):INDIRECT("Table!" &amp; $AP$112 &amp; $AM61),0)),"",INDIRECT(CONCATENATE("Table!",ADDRESS($AI61,MATCH(D$1,INDIRECT("Table!A" &amp; $AM61):INDIRECT("Table!" &amp; $AP$112 &amp; $AM61),0)))))</f>
        <v>0.53555718402011199</v>
      </c>
      <c r="E61" s="273">
        <f ca="1">IF(ISERROR(MATCH(E$1,INDIRECT("Table!A"&amp;$AM61):INDIRECT("Table!" &amp; $AP$112 &amp; $AM61),0)),"",INDIRECT(CONCATENATE("Table!",ADDRESS($AI61,MATCH(E$1,INDIRECT("Table!A" &amp; $AM61):INDIRECT("Table!" &amp; $AP$112 &amp; $AM61),0)))))</f>
        <v>0.79981406470811911</v>
      </c>
      <c r="F61" s="273">
        <f ca="1">IF(ISERROR(MATCH(F$1,INDIRECT("Table!A"&amp;$AM61):INDIRECT("Table!" &amp; $AP$112 &amp; $AM61),0)),"",INDIRECT(CONCATENATE("Table!",ADDRESS($AI61,MATCH(F$1,INDIRECT("Table!A" &amp; $AM61):INDIRECT("Table!" &amp; $AP$112 &amp; $AM61),0)))))</f>
        <v>0.69332954576361339</v>
      </c>
      <c r="G61" s="273">
        <f ca="1">IF(ISERROR(MATCH(G$1,INDIRECT("Table!A"&amp;$AM61):INDIRECT("Table!" &amp; $AP$112 &amp; $AM61),0)),"",INDIRECT(CONCATENATE("Table!",ADDRESS($AI61,MATCH(G$1,INDIRECT("Table!A" &amp; $AM61):INDIRECT("Table!" &amp; $AP$112 &amp; $AM61),0)))))</f>
        <v>0.43069061528203806</v>
      </c>
      <c r="H61" s="273">
        <f ca="1">IF(ISERROR(MATCH(H$1,INDIRECT("Table!A"&amp;$AM61):INDIRECT("Table!" &amp; $AP$112 &amp; $AM61),0)),"",INDIRECT(CONCATENATE("Table!",ADDRESS($AI61,MATCH(H$1,INDIRECT("Table!A" &amp; $AM61):INDIRECT("Table!" &amp; $AP$112 &amp; $AM61),0)))))</f>
        <v>0.53964704629972982</v>
      </c>
      <c r="I61" s="273">
        <f ca="1">IF(ISERROR(MATCH(I$1,INDIRECT("Table!A"&amp;$AM61):INDIRECT("Table!" &amp; $AP$91 &amp; $AM61),0)),"",INDIRECT(CONCATENATE("Table!",ADDRESS($AI61,MATCH(I$1,INDIRECT("Table!A" &amp; $AM61):INDIRECT("Table!" &amp; $AP$91 &amp; $AM61),0)))))</f>
        <v>0.1372718014427014</v>
      </c>
      <c r="J61" s="273">
        <f ca="1">IF(ISERROR(MATCH(J$1,INDIRECT("Table!A"&amp;$AM61):INDIRECT("Table!" &amp; $AP$91 &amp; $AM61),0)),"",INDIRECT(CONCATENATE("Table!",ADDRESS($AI61,MATCH(J$1,INDIRECT("Table!A" &amp; $AM61):INDIRECT("Table!" &amp; $AP$91 &amp; $AM61),0)))))</f>
        <v>0.25381878465474028</v>
      </c>
      <c r="K61" s="273">
        <f ca="1">IF(ISERROR(MATCH(K$1,INDIRECT("Table!A"&amp;$AM61):INDIRECT("Table!" &amp; $AP$91 &amp; $AM61),0)),"",INDIRECT(CONCATENATE("Table!",ADDRESS($AI61,MATCH(K$1,INDIRECT("Table!A" &amp; $AM61):INDIRECT("Table!" &amp; $AP$91 &amp; $AM61),0)))))</f>
        <v>2.7091999916382713E-3</v>
      </c>
      <c r="L61" s="273">
        <f ca="1">IF(ISERROR(MATCH(L$1,INDIRECT("Table!A"&amp;$AM61):INDIRECT("Table!" &amp; $AP$91 &amp; $AM61),0)),"",INDIRECT(CONCATENATE("Table!",ADDRESS($AI61,MATCH(L$1,INDIRECT("Table!A" &amp; $AM61):INDIRECT("Table!" &amp; $AP$91 &amp; $AM61),0)))))</f>
        <v>0.82037164344650626</v>
      </c>
      <c r="M61" s="273">
        <f ca="1">IF(ISERROR(MATCH(M$1,INDIRECT("Table!A"&amp;$AM61):INDIRECT("Table!" &amp; $AP$91 &amp; $AM61),0)),"",INDIRECT(CONCATENATE("Table!",ADDRESS($AI61,MATCH(M$1,INDIRECT("Table!A" &amp; $AM61):INDIRECT("Table!" &amp; $AP$91 &amp; $AM61),0)))))</f>
        <v>0.47674122039249878</v>
      </c>
      <c r="N61" s="273">
        <f ca="1">IF(ISERROR(MATCH(N$1,INDIRECT("Table!A"&amp;$AM61):INDIRECT("Table!" &amp; $AP$91 &amp; $AM61),0)),"",INDIRECT(CONCATENATE("Table!",ADDRESS($AI61,MATCH(N$1,INDIRECT("Table!A" &amp; $AM61):INDIRECT("Table!" &amp; $AP$91 &amp; $AM61),0)))))</f>
        <v>0.71201886696661043</v>
      </c>
      <c r="O61" s="273">
        <f ca="1">IF(ISERROR(MATCH(O$1,INDIRECT("Table!A"&amp;$AM61):INDIRECT("Table!" &amp; $AP$91 &amp; $AM61),0)),"",INDIRECT(CONCATENATE("Table!",ADDRESS($AI61,MATCH(O$1,INDIRECT("Table!A" &amp; $AM61):INDIRECT("Table!" &amp; $AP$91 &amp; $AM61),0)))))</f>
        <v>0.60618737647549459</v>
      </c>
      <c r="P61" s="273">
        <f ca="1">IF(ISERROR(MATCH(P$1,INDIRECT("Table!A"&amp;$AM61):INDIRECT("Table!" &amp; $AP$91 &amp; $AM61),0)),"",INDIRECT(CONCATENATE("Table!",ADDRESS($AI61,MATCH(P$1,INDIRECT("Table!A" &amp; $AM61):INDIRECT("Table!" &amp; $AP$91 &amp; $AM61),0)))))</f>
        <v>0.14285127153781249</v>
      </c>
      <c r="Q61" s="273">
        <f ca="1">IF(ISERROR(MATCH(Q$1,INDIRECT("Table!A"&amp;$AM61):INDIRECT("Table!" &amp; $AP$91 &amp; $AM61),0)),"",INDIRECT(CONCATENATE("Table!",ADDRESS($AI61,MATCH(Q$1,INDIRECT("Table!A" &amp; $AM61):INDIRECT("Table!" &amp; $AP$91 &amp; $AM61),0)))))</f>
        <v>0.21230638326694237</v>
      </c>
      <c r="R61" s="273">
        <f ca="1">IF(ISERROR(MATCH(R$1,INDIRECT("Table!A"&amp;$AM61):INDIRECT("Table!" &amp; $AP$91 &amp; $AM61),0)),"",INDIRECT(CONCATENATE("Table!",ADDRESS($AI61,MATCH(R$1,INDIRECT("Table!A" &amp; $AM61):INDIRECT("Table!" &amp; $AP$91 &amp; $AM61),0)))))</f>
        <v>0.16296590505257436</v>
      </c>
      <c r="S61" s="596" t="str">
        <f ca="1">IF(ISERROR(MATCH(S$1,INDIRECT("Table!A"&amp;$AM61):INDIRECT("Table!" &amp; $AP$91 &amp; $AM61),0)),"",INDIRECT(CONCATENATE("Table!",ADDRESS($AI61,MATCH(S$1,INDIRECT("Table!A" &amp; $AM61):INDIRECT("Table!" &amp; $AP$91 &amp; $AM61),0)))))</f>
        <v/>
      </c>
      <c r="T61" s="273">
        <f ca="1">IF(ISERROR(MATCH(T$1,INDIRECT("Table!A"&amp;$AM61):INDIRECT("Table!" &amp; $AP$65 &amp; $AM61),0)),"",INDIRECT(CONCATENATE("Table!",ADDRESS($AI61,MATCH(T$1,INDIRECT("Table!A" &amp; $AM61):INDIRECT("Table!" &amp; $AP$65 &amp; $AM61),0)))))</f>
        <v>0.17292576419213973</v>
      </c>
      <c r="U61" s="596" t="str">
        <f ca="1">IF(ISERROR(MATCH(U$1,INDIRECT("Table!A"&amp;$AM61):INDIRECT("Table!" &amp; $AP$65 &amp; $AM61),0)),"",INDIRECT(CONCATENATE("Table!",ADDRESS($AI61,MATCH(U$1,INDIRECT("Table!A" &amp; $AM61):INDIRECT("Table!" &amp; $AP$65 &amp; $AM61),0)))))</f>
        <v/>
      </c>
      <c r="V61" s="596"/>
      <c r="W61" s="596"/>
      <c r="X61" s="596"/>
      <c r="Y61" s="596"/>
      <c r="Z61" s="596"/>
      <c r="AA61" s="596"/>
      <c r="AB61" s="596"/>
      <c r="AC61" s="596"/>
      <c r="AD61" s="596"/>
      <c r="AE61" s="596"/>
      <c r="AF61" s="596"/>
      <c r="AG61" s="596"/>
      <c r="AH61" s="596"/>
      <c r="AI61" s="272">
        <f>MATCH($A61,Table!$A:$A,0)+$AK$2-1</f>
        <v>834</v>
      </c>
      <c r="AJ61" s="453"/>
      <c r="AK61" s="453"/>
      <c r="AL61" s="453"/>
      <c r="AM61" s="272">
        <f>MATCH($A61,Table!$A:$A,0)+$AO$2-1</f>
        <v>831</v>
      </c>
      <c r="AN61" s="453"/>
      <c r="AP61" s="947" t="s">
        <v>302</v>
      </c>
    </row>
    <row r="62" spans="1:42" s="267" customFormat="1" ht="15.75" customHeight="1" x14ac:dyDescent="0.25">
      <c r="A62" s="268">
        <v>41485</v>
      </c>
      <c r="B62" s="273">
        <f ca="1">IF(ISERROR(MATCH(B$1,INDIRECT("Table!A"&amp;$AM62):INDIRECT("Table!" &amp; $AP$113 &amp; $AM62),0)),"",INDIRECT(CONCATENATE("Table!",ADDRESS($AI62,MATCH(B$1,INDIRECT("Table!A" &amp; $AM62):INDIRECT("Table!" &amp; $AP$112 &amp; $AM62),0)))))</f>
        <v>0.31871778957131802</v>
      </c>
      <c r="C62" s="273">
        <f ca="1">IF(ISERROR(MATCH(C$1,INDIRECT("Table!A"&amp;$AM62):INDIRECT("Table!" &amp; $AP$112 &amp; $AM62),0)),"",INDIRECT(CONCATENATE("Table!",ADDRESS($AI62,MATCH(C$1,INDIRECT("Table!A" &amp; $AM62):INDIRECT("Table!" &amp; $AP$112 &amp; $AM62),0)))))</f>
        <v>0.52460623970629172</v>
      </c>
      <c r="D62" s="273">
        <f ca="1">IF(ISERROR(MATCH(D$1,INDIRECT("Table!A"&amp;$AM62):INDIRECT("Table!" &amp; $AP$112 &amp; $AM62),0)),"",INDIRECT(CONCATENATE("Table!",ADDRESS($AI62,MATCH(D$1,INDIRECT("Table!A" &amp; $AM62):INDIRECT("Table!" &amp; $AP$112 &amp; $AM62),0)))))</f>
        <v>0.53444567944952281</v>
      </c>
      <c r="E62" s="273">
        <f ca="1">IF(ISERROR(MATCH(E$1,INDIRECT("Table!A"&amp;$AM62):INDIRECT("Table!" &amp; $AP$112 &amp; $AM62),0)),"",INDIRECT(CONCATENATE("Table!",ADDRESS($AI62,MATCH(E$1,INDIRECT("Table!A" &amp; $AM62):INDIRECT("Table!" &amp; $AP$112 &amp; $AM62),0)))))</f>
        <v>0.79760196221073998</v>
      </c>
      <c r="F62" s="273">
        <f ca="1">IF(ISERROR(MATCH(F$1,INDIRECT("Table!A"&amp;$AM62):INDIRECT("Table!" &amp; $AP$112 &amp; $AM62),0)),"",INDIRECT(CONCATENATE("Table!",ADDRESS($AI62,MATCH(F$1,INDIRECT("Table!A" &amp; $AM62):INDIRECT("Table!" &amp; $AP$112 &amp; $AM62),0)))))</f>
        <v>0.6908865632942186</v>
      </c>
      <c r="G62" s="273">
        <f ca="1">IF(ISERROR(MATCH(G$1,INDIRECT("Table!A"&amp;$AM62):INDIRECT("Table!" &amp; $AP$112 &amp; $AM62),0)),"",INDIRECT(CONCATENATE("Table!",ADDRESS($AI62,MATCH(G$1,INDIRECT("Table!A" &amp; $AM62):INDIRECT("Table!" &amp; $AP$112 &amp; $AM62),0)))))</f>
        <v>0.42905211344033167</v>
      </c>
      <c r="H62" s="273">
        <f ca="1">IF(ISERROR(MATCH(H$1,INDIRECT("Table!A"&amp;$AM62):INDIRECT("Table!" &amp; $AP$112 &amp; $AM62),0)),"",INDIRECT(CONCATENATE("Table!",ADDRESS($AI62,MATCH(H$1,INDIRECT("Table!A" &amp; $AM62):INDIRECT("Table!" &amp; $AP$112 &amp; $AM62),0)))))</f>
        <v>0.53736885018652547</v>
      </c>
      <c r="I62" s="273">
        <f ca="1">IF(ISERROR(MATCH(I$1,INDIRECT("Table!A"&amp;$AM62):INDIRECT("Table!" &amp; $AP$91 &amp; $AM62),0)),"",INDIRECT(CONCATENATE("Table!",ADDRESS($AI62,MATCH(I$1,INDIRECT("Table!A" &amp; $AM62):INDIRECT("Table!" &amp; $AP$91 &amp; $AM62),0)))))</f>
        <v>0.13724943866403552</v>
      </c>
      <c r="J62" s="273">
        <f ca="1">IF(ISERROR(MATCH(J$1,INDIRECT("Table!A"&amp;$AM62):INDIRECT("Table!" &amp; $AP$91 &amp; $AM62),0)),"",INDIRECT(CONCATENATE("Table!",ADDRESS($AI62,MATCH(J$1,INDIRECT("Table!A" &amp; $AM62):INDIRECT("Table!" &amp; $AP$91 &amp; $AM62),0)))))</f>
        <v>0.22582121724978249</v>
      </c>
      <c r="K62" s="273">
        <f ca="1">IF(ISERROR(MATCH(K$1,INDIRECT("Table!A"&amp;$AM62):INDIRECT("Table!" &amp; $AP$91 &amp; $AM62),0)),"",INDIRECT(CONCATENATE("Table!",ADDRESS($AI62,MATCH(K$1,INDIRECT("Table!A" &amp; $AM62):INDIRECT("Table!" &amp; $AP$91 &amp; $AM62),0)))))</f>
        <v>2.6567069190979557E-3</v>
      </c>
      <c r="L62" s="273">
        <f ca="1">IF(ISERROR(MATCH(L$1,INDIRECT("Table!A"&amp;$AM62):INDIRECT("Table!" &amp; $AP$91 &amp; $AM62),0)),"",INDIRECT(CONCATENATE("Table!",ADDRESS($AI62,MATCH(L$1,INDIRECT("Table!A" &amp; $AM62):INDIRECT("Table!" &amp; $AP$91 &amp; $AM62),0)))))</f>
        <v>0.81779690212512002</v>
      </c>
      <c r="M62" s="273">
        <f ca="1">IF(ISERROR(MATCH(M$1,INDIRECT("Table!A"&amp;$AM62):INDIRECT("Table!" &amp; $AP$91 &amp; $AM62),0)),"",INDIRECT(CONCATENATE("Table!",ADDRESS($AI62,MATCH(M$1,INDIRECT("Table!A" &amp; $AM62):INDIRECT("Table!" &amp; $AP$91 &amp; $AM62),0)))))</f>
        <v>0.49172764693728815</v>
      </c>
      <c r="N62" s="273">
        <f ca="1">IF(ISERROR(MATCH(N$1,INDIRECT("Table!A"&amp;$AM62):INDIRECT("Table!" &amp; $AP$91 &amp; $AM62),0)),"",INDIRECT(CONCATENATE("Table!",ADDRESS($AI62,MATCH(N$1,INDIRECT("Table!A" &amp; $AM62):INDIRECT("Table!" &amp; $AP$91 &amp; $AM62),0)))))</f>
        <v>0.70945258236165865</v>
      </c>
      <c r="O62" s="273">
        <f ca="1">IF(ISERROR(MATCH(O$1,INDIRECT("Table!A"&amp;$AM62):INDIRECT("Table!" &amp; $AP$91 &amp; $AM62),0)),"",INDIRECT(CONCATENATE("Table!",ADDRESS($AI62,MATCH(O$1,INDIRECT("Table!A" &amp; $AM62):INDIRECT("Table!" &amp; $AP$91 &amp; $AM62),0)))))</f>
        <v>0.60371743032764591</v>
      </c>
      <c r="P62" s="273">
        <f ca="1">IF(ISERROR(MATCH(P$1,INDIRECT("Table!A"&amp;$AM62):INDIRECT("Table!" &amp; $AP$91 &amp; $AM62),0)),"",INDIRECT(CONCATENATE("Table!",ADDRESS($AI62,MATCH(P$1,INDIRECT("Table!A" &amp; $AM62):INDIRECT("Table!" &amp; $AP$91 &amp; $AM62),0)))))</f>
        <v>0.14281621630769306</v>
      </c>
      <c r="Q62" s="273">
        <f ca="1">IF(ISERROR(MATCH(Q$1,INDIRECT("Table!A"&amp;$AM62):INDIRECT("Table!" &amp; $AP$91 &amp; $AM62),0)),"",INDIRECT(CONCATENATE("Table!",ADDRESS($AI62,MATCH(Q$1,INDIRECT("Table!A" &amp; $AM62):INDIRECT("Table!" &amp; $AP$91 &amp; $AM62),0)))))</f>
        <v>0.18437932581796324</v>
      </c>
      <c r="R62" s="273">
        <f ca="1">IF(ISERROR(MATCH(R$1,INDIRECT("Table!A"&amp;$AM62):INDIRECT("Table!" &amp; $AP$91 &amp; $AM62),0)),"",INDIRECT(CONCATENATE("Table!",ADDRESS($AI62,MATCH(R$1,INDIRECT("Table!A" &amp; $AM62):INDIRECT("Table!" &amp; $AP$91 &amp; $AM62),0)))))</f>
        <v>0.16267788996430005</v>
      </c>
      <c r="S62" s="596" t="str">
        <f ca="1">IF(ISERROR(MATCH(S$1,INDIRECT("Table!A"&amp;$AM62):INDIRECT("Table!" &amp; $AP$91 &amp; $AM62),0)),"",INDIRECT(CONCATENATE("Table!",ADDRESS($AI62,MATCH(S$1,INDIRECT("Table!A" &amp; $AM62):INDIRECT("Table!" &amp; $AP$91 &amp; $AM62),0)))))</f>
        <v/>
      </c>
      <c r="T62" s="273">
        <f ca="1">IF(ISERROR(MATCH(T$1,INDIRECT("Table!A"&amp;$AM62):INDIRECT("Table!" &amp; $AP$65 &amp; $AM62),0)),"",INDIRECT(CONCATENATE("Table!",ADDRESS($AI62,MATCH(T$1,INDIRECT("Table!A" &amp; $AM62):INDIRECT("Table!" &amp; $AP$65 &amp; $AM62),0)))))</f>
        <v>0.17099469636300449</v>
      </c>
      <c r="U62" s="596" t="str">
        <f ca="1">IF(ISERROR(MATCH(U$1,INDIRECT("Table!A"&amp;$AM62):INDIRECT("Table!" &amp; $AP$65 &amp; $AM62),0)),"",INDIRECT(CONCATENATE("Table!",ADDRESS($AI62,MATCH(U$1,INDIRECT("Table!A" &amp; $AM62):INDIRECT("Table!" &amp; $AP$65 &amp; $AM62),0)))))</f>
        <v/>
      </c>
      <c r="V62" s="596"/>
      <c r="W62" s="596"/>
      <c r="X62" s="596"/>
      <c r="Y62" s="596"/>
      <c r="Z62" s="596"/>
      <c r="AA62" s="596"/>
      <c r="AB62" s="596"/>
      <c r="AC62" s="596"/>
      <c r="AD62" s="596"/>
      <c r="AE62" s="596"/>
      <c r="AF62" s="596"/>
      <c r="AG62" s="596"/>
      <c r="AH62" s="596"/>
      <c r="AI62" s="272">
        <f>MATCH($A62,Table!$A:$A,0)+$AK$2-1</f>
        <v>846</v>
      </c>
      <c r="AJ62" s="448"/>
      <c r="AK62" s="448"/>
      <c r="AL62" s="448"/>
      <c r="AM62" s="272">
        <f>MATCH($A62,Table!$A:$A,0)+$AO$2-1</f>
        <v>843</v>
      </c>
      <c r="AN62" s="448"/>
      <c r="AP62" s="947" t="s">
        <v>302</v>
      </c>
    </row>
    <row r="63" spans="1:42" s="267" customFormat="1" ht="15.75" customHeight="1" x14ac:dyDescent="0.25">
      <c r="A63" s="268">
        <v>41478</v>
      </c>
      <c r="B63" s="273">
        <f ca="1">IF(ISERROR(MATCH(B$1,INDIRECT("Table!A"&amp;$AM63):INDIRECT("Table!" &amp; $AP$113 &amp; $AM63),0)),"",INDIRECT(CONCATENATE("Table!",ADDRESS($AI63,MATCH(B$1,INDIRECT("Table!A" &amp; $AM63):INDIRECT("Table!" &amp; $AP$112 &amp; $AM63),0)))))</f>
        <v>0.31697223713849348</v>
      </c>
      <c r="C63" s="273">
        <f ca="1">IF(ISERROR(MATCH(C$1,INDIRECT("Table!A"&amp;$AM63):INDIRECT("Table!" &amp; $AP$112 &amp; $AM63),0)),"",INDIRECT(CONCATENATE("Table!",ADDRESS($AI63,MATCH(C$1,INDIRECT("Table!A" &amp; $AM63):INDIRECT("Table!" &amp; $AP$112 &amp; $AM63),0)))))</f>
        <v>0.52423883861392118</v>
      </c>
      <c r="D63" s="273">
        <f ca="1">IF(ISERROR(MATCH(D$1,INDIRECT("Table!A"&amp;$AM63):INDIRECT("Table!" &amp; $AP$112 &amp; $AM63),0)),"",INDIRECT(CONCATENATE("Table!",ADDRESS($AI63,MATCH(D$1,INDIRECT("Table!A" &amp; $AM63):INDIRECT("Table!" &amp; $AP$112 &amp; $AM63),0)))))</f>
        <v>0.53408226462578567</v>
      </c>
      <c r="E63" s="273">
        <f ca="1">IF(ISERROR(MATCH(E$1,INDIRECT("Table!A"&amp;$AM63):INDIRECT("Table!" &amp; $AP$112 &amp; $AM63),0)),"",INDIRECT(CONCATENATE("Table!",ADDRESS($AI63,MATCH(E$1,INDIRECT("Table!A" &amp; $AM63):INDIRECT("Table!" &amp; $AP$112 &amp; $AM63),0)))))</f>
        <v>0.79704756295096457</v>
      </c>
      <c r="F63" s="273">
        <f ca="1">IF(ISERROR(MATCH(F$1,INDIRECT("Table!A"&amp;$AM63):INDIRECT("Table!" &amp; $AP$112 &amp; $AM63),0)),"",INDIRECT(CONCATENATE("Table!",ADDRESS($AI63,MATCH(F$1,INDIRECT("Table!A" &amp; $AM63):INDIRECT("Table!" &amp; $AP$112 &amp; $AM63),0)))))</f>
        <v>0.68560471673310019</v>
      </c>
      <c r="G63" s="273">
        <f ca="1">IF(ISERROR(MATCH(G$1,INDIRECT("Table!A"&amp;$AM63):INDIRECT("Table!" &amp; $AP$112 &amp; $AM63),0)),"",INDIRECT(CONCATENATE("Table!",ADDRESS($AI63,MATCH(G$1,INDIRECT("Table!A" &amp; $AM63):INDIRECT("Table!" &amp; $AP$112 &amp; $AM63),0)))))</f>
        <v>0.44968437081150875</v>
      </c>
      <c r="H63" s="273">
        <f ca="1">IF(ISERROR(MATCH(H$1,INDIRECT("Table!A"&amp;$AM63):INDIRECT("Table!" &amp; $AP$112 &amp; $AM63),0)),"",INDIRECT(CONCATENATE("Table!",ADDRESS($AI63,MATCH(H$1,INDIRECT("Table!A" &amp; $AM63):INDIRECT("Table!" &amp; $AP$112 &amp; $AM63),0)))))</f>
        <v>0.53295107990590085</v>
      </c>
      <c r="I63" s="273">
        <f ca="1">IF(ISERROR(MATCH(I$1,INDIRECT("Table!A"&amp;$AM63):INDIRECT("Table!" &amp; $AP$91 &amp; $AM63),0)),"",INDIRECT(CONCATENATE("Table!",ADDRESS($AI63,MATCH(I$1,INDIRECT("Table!A" &amp; $AM63):INDIRECT("Table!" &amp; $AP$91 &amp; $AM63),0)))))</f>
        <v>0.13711163559549963</v>
      </c>
      <c r="J63" s="273">
        <f ca="1">IF(ISERROR(MATCH(J$1,INDIRECT("Table!A"&amp;$AM63):INDIRECT("Table!" &amp; $AP$91 &amp; $AM63),0)),"",INDIRECT(CONCATENATE("Table!",ADDRESS($AI63,MATCH(J$1,INDIRECT("Table!A" &amp; $AM63):INDIRECT("Table!" &amp; $AP$91 &amp; $AM63),0)))))</f>
        <v>0.21041189634201765</v>
      </c>
      <c r="K63" s="273">
        <f ca="1">IF(ISERROR(MATCH(K$1,INDIRECT("Table!A"&amp;$AM63):INDIRECT("Table!" &amp; $AP$91 &amp; $AM63),0)),"",INDIRECT(CONCATENATE("Table!",ADDRESS($AI63,MATCH(K$1,INDIRECT("Table!A" &amp; $AM63):INDIRECT("Table!" &amp; $AP$91 &amp; $AM63),0)))))</f>
        <v>1.7573565789381997E-3</v>
      </c>
      <c r="L63" s="273">
        <f ca="1">IF(ISERROR(MATCH(L$1,INDIRECT("Table!A"&amp;$AM63):INDIRECT("Table!" &amp; $AP$91 &amp; $AM63),0)),"",INDIRECT(CONCATENATE("Table!",ADDRESS($AI63,MATCH(L$1,INDIRECT("Table!A" &amp; $AM63):INDIRECT("Table!" &amp; $AP$91 &amp; $AM63),0)))))</f>
        <v>0.81680896818148141</v>
      </c>
      <c r="M63" s="273">
        <f ca="1">IF(ISERROR(MATCH(M$1,INDIRECT("Table!A"&amp;$AM63):INDIRECT("Table!" &amp; $AP$91 &amp; $AM63),0)),"",INDIRECT(CONCATENATE("Table!",ADDRESS($AI63,MATCH(M$1,INDIRECT("Table!A" &amp; $AM63):INDIRECT("Table!" &amp; $AP$91 &amp; $AM63),0)))))</f>
        <v>0.4235674839498717</v>
      </c>
      <c r="N63" s="273">
        <f ca="1">IF(ISERROR(MATCH(N$1,INDIRECT("Table!A"&amp;$AM63):INDIRECT("Table!" &amp; $AP$91 &amp; $AM63),0)),"",INDIRECT(CONCATENATE("Table!",ADDRESS($AI63,MATCH(N$1,INDIRECT("Table!A" &amp; $AM63):INDIRECT("Table!" &amp; $AP$91 &amp; $AM63),0)))))</f>
        <v>0.70406737373468742</v>
      </c>
      <c r="O63" s="273">
        <f ca="1">IF(ISERROR(MATCH(O$1,INDIRECT("Table!A"&amp;$AM63):INDIRECT("Table!" &amp; $AP$91 &amp; $AM63),0)),"",INDIRECT(CONCATENATE("Table!",ADDRESS($AI63,MATCH(O$1,INDIRECT("Table!A" &amp; $AM63):INDIRECT("Table!" &amp; $AP$91 &amp; $AM63),0)))))</f>
        <v>0.59821218110279051</v>
      </c>
      <c r="P63" s="273">
        <f ca="1">IF(ISERROR(MATCH(P$1,INDIRECT("Table!A"&amp;$AM63):INDIRECT("Table!" &amp; $AP$91 &amp; $AM63),0)),"",INDIRECT(CONCATENATE("Table!",ADDRESS($AI63,MATCH(P$1,INDIRECT("Table!A" &amp; $AM63):INDIRECT("Table!" &amp; $AP$91 &amp; $AM63),0)))))</f>
        <v>0.14266874258098361</v>
      </c>
      <c r="Q63" s="273">
        <f ca="1">IF(ISERROR(MATCH(Q$1,INDIRECT("Table!A"&amp;$AM63):INDIRECT("Table!" &amp; $AP$91 &amp; $AM63),0)),"",INDIRECT(CONCATENATE("Table!",ADDRESS($AI63,MATCH(Q$1,INDIRECT("Table!A" &amp; $AM63):INDIRECT("Table!" &amp; $AP$91 &amp; $AM63),0)))))</f>
        <v>0.16892332375215366</v>
      </c>
      <c r="R63" s="273">
        <f ca="1">IF(ISERROR(MATCH(R$1,INDIRECT("Table!A"&amp;$AM63):INDIRECT("Table!" &amp; $AP$91 &amp; $AM63),0)),"",INDIRECT(CONCATENATE("Table!",ADDRESS($AI63,MATCH(R$1,INDIRECT("Table!A" &amp; $AM63):INDIRECT("Table!" &amp; $AP$91 &amp; $AM63),0)))))</f>
        <v>0.14558651717754506</v>
      </c>
      <c r="S63" s="596" t="str">
        <f ca="1">IF(ISERROR(MATCH(S$1,INDIRECT("Table!A"&amp;$AM63):INDIRECT("Table!" &amp; $AP$91 &amp; $AM63),0)),"",INDIRECT(CONCATENATE("Table!",ADDRESS($AI63,MATCH(S$1,INDIRECT("Table!A" &amp; $AM63):INDIRECT("Table!" &amp; $AP$91 &amp; $AM63),0)))))</f>
        <v/>
      </c>
      <c r="T63" s="273">
        <f ca="1">IF(ISERROR(MATCH(T$1,INDIRECT("Table!A"&amp;$AM63):INDIRECT("Table!" &amp; $AP$65 &amp; $AM63),0)),"",INDIRECT(CONCATENATE("Table!",ADDRESS($AI63,MATCH(T$1,INDIRECT("Table!A" &amp; $AM63):INDIRECT("Table!" &amp; $AP$65 &amp; $AM63),0)))))</f>
        <v>0.16901527628775631</v>
      </c>
      <c r="U63" s="596" t="str">
        <f ca="1">IF(ISERROR(MATCH(U$1,INDIRECT("Table!A"&amp;$AM63):INDIRECT("Table!" &amp; $AP$65 &amp; $AM63),0)),"",INDIRECT(CONCATENATE("Table!",ADDRESS($AI63,MATCH(U$1,INDIRECT("Table!A" &amp; $AM63):INDIRECT("Table!" &amp; $AP$65 &amp; $AM63),0)))))</f>
        <v/>
      </c>
      <c r="V63" s="596"/>
      <c r="W63" s="596"/>
      <c r="X63" s="596"/>
      <c r="Y63" s="596"/>
      <c r="Z63" s="596"/>
      <c r="AA63" s="596"/>
      <c r="AB63" s="596"/>
      <c r="AC63" s="596"/>
      <c r="AD63" s="596"/>
      <c r="AE63" s="596"/>
      <c r="AF63" s="596"/>
      <c r="AG63" s="596"/>
      <c r="AH63" s="596"/>
      <c r="AI63" s="272">
        <f>MATCH($A63,Table!$A:$A,0)+$AK$2-1</f>
        <v>858</v>
      </c>
      <c r="AJ63" s="417"/>
      <c r="AK63" s="417"/>
      <c r="AL63" s="417"/>
      <c r="AM63" s="272">
        <f>MATCH($A63,Table!$A:$A,0)+$AO$2-1</f>
        <v>855</v>
      </c>
      <c r="AN63" s="417"/>
      <c r="AP63" s="947" t="s">
        <v>302</v>
      </c>
    </row>
    <row r="64" spans="1:42" s="267" customFormat="1" ht="15.75" customHeight="1" x14ac:dyDescent="0.25">
      <c r="A64" s="268">
        <v>41470</v>
      </c>
      <c r="B64" s="273">
        <f ca="1">IF(ISERROR(MATCH(B$1,INDIRECT("Table!A"&amp;$AM64):INDIRECT("Table!" &amp; $AP$113 &amp; $AM64),0)),"",INDIRECT(CONCATENATE("Table!",ADDRESS($AI64,MATCH(B$1,INDIRECT("Table!A" &amp; $AM64):INDIRECT("Table!" &amp; $AP$112 &amp; $AM64),0)))))</f>
        <v>0.31243575348866404</v>
      </c>
      <c r="C64" s="273">
        <f ca="1">IF(ISERROR(MATCH(C$1,INDIRECT("Table!A"&amp;$AM64):INDIRECT("Table!" &amp; $AP$112 &amp; $AM64),0)),"",INDIRECT(CONCATENATE("Table!",ADDRESS($AI64,MATCH(C$1,INDIRECT("Table!A" &amp; $AM64):INDIRECT("Table!" &amp; $AP$112 &amp; $AM64),0)))))</f>
        <v>0.52350735831970807</v>
      </c>
      <c r="D64" s="273">
        <f ca="1">IF(ISERROR(MATCH(D$1,INDIRECT("Table!A"&amp;$AM64):INDIRECT("Table!" &amp; $AP$112 &amp; $AM64),0)),"",INDIRECT(CONCATENATE("Table!",ADDRESS($AI64,MATCH(D$1,INDIRECT("Table!A" &amp; $AM64):INDIRECT("Table!" &amp; $AP$112 &amp; $AM64),0)))))</f>
        <v>0.53335078433157246</v>
      </c>
      <c r="E64" s="273">
        <f ca="1">IF(ISERROR(MATCH(E$1,INDIRECT("Table!A"&amp;$AM64):INDIRECT("Table!" &amp; $AP$112 &amp; $AM64),0)),"",INDIRECT(CONCATENATE("Table!",ADDRESS($AI64,MATCH(E$1,INDIRECT("Table!A" &amp; $AM64):INDIRECT("Table!" &amp; $AP$112 &amp; $AM64),0)))))</f>
        <v>0.79391402580676362</v>
      </c>
      <c r="F64" s="273">
        <f ca="1">IF(ISERROR(MATCH(F$1,INDIRECT("Table!A"&amp;$AM64):INDIRECT("Table!" &amp; $AP$112 &amp; $AM64),0)),"",INDIRECT(CONCATENATE("Table!",ADDRESS($AI64,MATCH(F$1,INDIRECT("Table!A" &amp; $AM64):INDIRECT("Table!" &amp; $AP$112 &amp; $AM64),0)))))</f>
        <v>0.67790345928009987</v>
      </c>
      <c r="G64" s="273">
        <f ca="1">IF(ISERROR(MATCH(G$1,INDIRECT("Table!A"&amp;$AM64):INDIRECT("Table!" &amp; $AP$112 &amp; $AM64),0)),"",INDIRECT(CONCATENATE("Table!",ADDRESS($AI64,MATCH(G$1,INDIRECT("Table!A" &amp; $AM64):INDIRECT("Table!" &amp; $AP$112 &amp; $AM64),0)))))</f>
        <v>0.45318160730597756</v>
      </c>
      <c r="H64" s="273">
        <f ca="1">IF(ISERROR(MATCH(H$1,INDIRECT("Table!A"&amp;$AM64):INDIRECT("Table!" &amp; $AP$112 &amp; $AM64),0)),"",INDIRECT(CONCATENATE("Table!",ADDRESS($AI64,MATCH(H$1,INDIRECT("Table!A" &amp; $AM64):INDIRECT("Table!" &amp; $AP$112 &amp; $AM64),0)))))</f>
        <v>0.5273272402066812</v>
      </c>
      <c r="I64" s="273">
        <f ca="1">IF(ISERROR(MATCH(I$1,INDIRECT("Table!A"&amp;$AM64):INDIRECT("Table!" &amp; $AP$91 &amp; $AM64),0)),"",INDIRECT(CONCATENATE("Table!",ADDRESS($AI64,MATCH(I$1,INDIRECT("Table!A" &amp; $AM64):INDIRECT("Table!" &amp; $AP$91 &amp; $AM64),0)))))</f>
        <v>0.13408178128598064</v>
      </c>
      <c r="J64" s="273">
        <f ca="1">IF(ISERROR(MATCH(J$1,INDIRECT("Table!A"&amp;$AM64):INDIRECT("Table!" &amp; $AP$91 &amp; $AM64),0)),"",INDIRECT(CONCATENATE("Table!",ADDRESS($AI64,MATCH(J$1,INDIRECT("Table!A" &amp; $AM64):INDIRECT("Table!" &amp; $AP$91 &amp; $AM64),0)))))</f>
        <v>0.12026628691636114</v>
      </c>
      <c r="K64" s="273">
        <f ca="1">IF(ISERROR(MATCH(K$1,INDIRECT("Table!A"&amp;$AM64):INDIRECT("Table!" &amp; $AP$91 &amp; $AM64),0)),"",INDIRECT(CONCATENATE("Table!",ADDRESS($AI64,MATCH(K$1,INDIRECT("Table!A" &amp; $AM64):INDIRECT("Table!" &amp; $AP$91 &amp; $AM64),0)))))</f>
        <v>2.8987325013413607E-4</v>
      </c>
      <c r="L64" s="273">
        <f ca="1">IF(ISERROR(MATCH(L$1,INDIRECT("Table!A"&amp;$AM64):INDIRECT("Table!" &amp; $AP$91 &amp; $AM64),0)),"",INDIRECT(CONCATENATE("Table!",ADDRESS($AI64,MATCH(L$1,INDIRECT("Table!A" &amp; $AM64):INDIRECT("Table!" &amp; $AP$91 &amp; $AM64),0)))))</f>
        <v>0.81318153584096908</v>
      </c>
      <c r="M64" s="273">
        <f ca="1">IF(ISERROR(MATCH(M$1,INDIRECT("Table!A"&amp;$AM64):INDIRECT("Table!" &amp; $AP$91 &amp; $AM64),0)),"",INDIRECT(CONCATENATE("Table!",ADDRESS($AI64,MATCH(M$1,INDIRECT("Table!A" &amp; $AM64):INDIRECT("Table!" &amp; $AP$91 &amp; $AM64),0)))))</f>
        <v>0.41888129300121318</v>
      </c>
      <c r="N64" s="273">
        <f ca="1">IF(ISERROR(MATCH(N$1,INDIRECT("Table!A"&amp;$AM64):INDIRECT("Table!" &amp; $AP$91 &amp; $AM64),0)),"",INDIRECT(CONCATENATE("Table!",ADDRESS($AI64,MATCH(N$1,INDIRECT("Table!A" &amp; $AM64):INDIRECT("Table!" &amp; $AP$91 &amp; $AM64),0)))))</f>
        <v>0.69568917373613803</v>
      </c>
      <c r="O64" s="273">
        <f ca="1">IF(ISERROR(MATCH(O$1,INDIRECT("Table!A"&amp;$AM64):INDIRECT("Table!" &amp; $AP$91 &amp; $AM64),0)),"",INDIRECT(CONCATENATE("Table!",ADDRESS($AI64,MATCH(O$1,INDIRECT("Table!A" &amp; $AM64):INDIRECT("Table!" &amp; $AP$91 &amp; $AM64),0)))))</f>
        <v>0.59514967996953816</v>
      </c>
      <c r="P64" s="273">
        <f ca="1">IF(ISERROR(MATCH(P$1,INDIRECT("Table!A"&amp;$AM64):INDIRECT("Table!" &amp; $AP$91 &amp; $AM64),0)),"",INDIRECT(CONCATENATE("Table!",ADDRESS($AI64,MATCH(P$1,INDIRECT("Table!A" &amp; $AM64):INDIRECT("Table!" &amp; $AP$91 &amp; $AM64),0)))))</f>
        <v>0.86044512889445468</v>
      </c>
      <c r="Q64" s="273">
        <f ca="1">IF(ISERROR(MATCH(Q$1,INDIRECT("Table!A"&amp;$AM64):INDIRECT("Table!" &amp; $AP$91 &amp; $AM64),0)),"",INDIRECT(CONCATENATE("Table!",ADDRESS($AI64,MATCH(Q$1,INDIRECT("Table!A" &amp; $AM64):INDIRECT("Table!" &amp; $AP$91 &amp; $AM64),0)))))</f>
        <v>9.5354785862750646E-2</v>
      </c>
      <c r="R64" s="273">
        <f ca="1">IF(ISERROR(MATCH(R$1,INDIRECT("Table!A"&amp;$AM64):INDIRECT("Table!" &amp; $AP$91 &amp; $AM64),0)),"",INDIRECT(CONCATENATE("Table!",ADDRESS($AI64,MATCH(R$1,INDIRECT("Table!A" &amp; $AM64):INDIRECT("Table!" &amp; $AP$91 &amp; $AM64),0)))))</f>
        <v>9.1727695670250603E-2</v>
      </c>
      <c r="S64" s="596" t="str">
        <f ca="1">IF(ISERROR(MATCH(S$1,INDIRECT("Table!A"&amp;$AM64):INDIRECT("Table!" &amp; $AP$91 &amp; $AM64),0)),"",INDIRECT(CONCATENATE("Table!",ADDRESS($AI64,MATCH(S$1,INDIRECT("Table!A" &amp; $AM64):INDIRECT("Table!" &amp; $AP$91 &amp; $AM64),0)))))</f>
        <v/>
      </c>
      <c r="T64" s="273">
        <f ca="1">IF(ISERROR(MATCH(T$1,INDIRECT("Table!A"&amp;$AM64):INDIRECT("Table!" &amp; $AP$65 &amp; $AM64),0)),"",INDIRECT(CONCATENATE("Table!",ADDRESS($AI64,MATCH(T$1,INDIRECT("Table!A" &amp; $AM64):INDIRECT("Table!" &amp; $AP$65 &amp; $AM64),0)))))</f>
        <v>0.16777322796573035</v>
      </c>
      <c r="U64" s="596" t="str">
        <f ca="1">IF(ISERROR(MATCH(U$1,INDIRECT("Table!A"&amp;$AM64):INDIRECT("Table!" &amp; $AP$65 &amp; $AM64),0)),"",INDIRECT(CONCATENATE("Table!",ADDRESS($AI64,MATCH(U$1,INDIRECT("Table!A" &amp; $AM64):INDIRECT("Table!" &amp; $AP$65 &amp; $AM64),0)))))</f>
        <v/>
      </c>
      <c r="V64" s="596"/>
      <c r="W64" s="596"/>
      <c r="X64" s="596"/>
      <c r="Y64" s="596"/>
      <c r="Z64" s="596"/>
      <c r="AA64" s="596"/>
      <c r="AB64" s="596"/>
      <c r="AC64" s="596"/>
      <c r="AD64" s="596"/>
      <c r="AE64" s="596"/>
      <c r="AF64" s="596"/>
      <c r="AG64" s="596"/>
      <c r="AH64" s="596"/>
      <c r="AI64" s="272">
        <f>MATCH($A64,Table!$A:$A,0)+$AK$2-1</f>
        <v>870</v>
      </c>
      <c r="AJ64" s="443"/>
      <c r="AK64" s="443"/>
      <c r="AL64" s="443"/>
      <c r="AM64" s="272">
        <f>MATCH($A64,Table!$A:$A,0)+$AO$2-1</f>
        <v>867</v>
      </c>
      <c r="AN64" s="443"/>
      <c r="AP64" s="947" t="s">
        <v>302</v>
      </c>
    </row>
    <row r="65" spans="1:42" s="267" customFormat="1" ht="15.75" customHeight="1" x14ac:dyDescent="0.25">
      <c r="A65" s="268">
        <v>41464</v>
      </c>
      <c r="B65" s="273">
        <f ca="1">IF(ISERROR(MATCH(B$1,INDIRECT("Table!A"&amp;$AM65):INDIRECT("Table!" &amp; $AP$113 &amp; $AM65),0)),"",INDIRECT(CONCATENATE("Table!",ADDRESS($AI65,MATCH(B$1,INDIRECT("Table!A" &amp; $AM65):INDIRECT("Table!" &amp; $AP$112 &amp; $AM65),0)))))</f>
        <v>0.30267725760671721</v>
      </c>
      <c r="C65" s="273">
        <f ca="1">IF(ISERROR(MATCH(C$1,INDIRECT("Table!A"&amp;$AM65):INDIRECT("Table!" &amp; $AP$112 &amp; $AM65),0)),"",INDIRECT(CONCATENATE("Table!",ADDRESS($AI65,MATCH(C$1,INDIRECT("Table!A" &amp; $AM65):INDIRECT("Table!" &amp; $AP$112 &amp; $AM65),0)))))</f>
        <v>0.52281241882130014</v>
      </c>
      <c r="D65" s="273">
        <f ca="1">IF(ISERROR(MATCH(D$1,INDIRECT("Table!A"&amp;$AM65):INDIRECT("Table!" &amp; $AP$112 &amp; $AM65),0)),"",INDIRECT(CONCATENATE("Table!",ADDRESS($AI65,MATCH(D$1,INDIRECT("Table!A" &amp; $AM65):INDIRECT("Table!" &amp; $AP$112 &amp; $AM65),0)))))</f>
        <v>0.53266647488285346</v>
      </c>
      <c r="E65" s="273">
        <f ca="1">IF(ISERROR(MATCH(E$1,INDIRECT("Table!A"&amp;$AM65):INDIRECT("Table!" &amp; $AP$112 &amp; $AM65),0)),"",INDIRECT(CONCATENATE("Table!",ADDRESS($AI65,MATCH(E$1,INDIRECT("Table!A" &amp; $AM65):INDIRECT("Table!" &amp; $AP$112 &amp; $AM65),0)))))</f>
        <v>0.79000240662249777</v>
      </c>
      <c r="F65" s="273">
        <f ca="1">IF(ISERROR(MATCH(F$1,INDIRECT("Table!A"&amp;$AM65):INDIRECT("Table!" &amp; $AP$112 &amp; $AM65),0)),"",INDIRECT(CONCATENATE("Table!",ADDRESS($AI65,MATCH(F$1,INDIRECT("Table!A" &amp; $AM65):INDIRECT("Table!" &amp; $AP$112 &amp; $AM65),0)))))</f>
        <v>0.63792810625406082</v>
      </c>
      <c r="G65" s="273">
        <f ca="1">IF(ISERROR(MATCH(G$1,INDIRECT("Table!A"&amp;$AM65):INDIRECT("Table!" &amp; $AP$112 &amp; $AM65),0)),"",INDIRECT(CONCATENATE("Table!",ADDRESS($AI65,MATCH(G$1,INDIRECT("Table!A" &amp; $AM65):INDIRECT("Table!" &amp; $AP$112 &amp; $AM65),0)))))</f>
        <v>0.44421412078293904</v>
      </c>
      <c r="H65" s="273">
        <f ca="1">IF(ISERROR(MATCH(H$1,INDIRECT("Table!A"&amp;$AM65):INDIRECT("Table!" &amp; $AP$112 &amp; $AM65),0)),"",INDIRECT(CONCATENATE("Table!",ADDRESS($AI65,MATCH(H$1,INDIRECT("Table!A" &amp; $AM65):INDIRECT("Table!" &amp; $AP$112 &amp; $AM65),0)))))</f>
        <v>0.51803547552006624</v>
      </c>
      <c r="I65" s="273">
        <f ca="1">IF(ISERROR(MATCH(I$1,INDIRECT("Table!A"&amp;$AM65):INDIRECT("Table!" &amp; $AP$91 &amp; $AM65),0)),"",INDIRECT(CONCATENATE("Table!",ADDRESS($AI65,MATCH(I$1,INDIRECT("Table!A" &amp; $AM65):INDIRECT("Table!" &amp; $AP$91 &amp; $AM65),0)))))</f>
        <v>0.10239311951696398</v>
      </c>
      <c r="J65" s="273">
        <f ca="1">IF(ISERROR(MATCH(J$1,INDIRECT("Table!A"&amp;$AM65):INDIRECT("Table!" &amp; $AP$91 &amp; $AM65),0)),"",INDIRECT(CONCATENATE("Table!",ADDRESS($AI65,MATCH(J$1,INDIRECT("Table!A" &amp; $AM65):INDIRECT("Table!" &amp; $AP$91 &amp; $AM65),0)))))</f>
        <v>9.0026576750104961E-2</v>
      </c>
      <c r="K65" s="273">
        <f ca="1">IF(ISERROR(MATCH(K$1,INDIRECT("Table!A"&amp;$AM65):INDIRECT("Table!" &amp; $AP$91 &amp; $AM65),0)),"",INDIRECT(CONCATENATE("Table!",ADDRESS($AI65,MATCH(K$1,INDIRECT("Table!A" &amp; $AM65):INDIRECT("Table!" &amp; $AP$91 &amp; $AM65),0)))))</f>
        <v>3.5587188612099643E-5</v>
      </c>
      <c r="L65" s="273">
        <f ca="1">IF(ISERROR(MATCH(L$1,INDIRECT("Table!A"&amp;$AM65):INDIRECT("Table!" &amp; $AP$91 &amp; $AM65),0)),"",INDIRECT(CONCATENATE("Table!",ADDRESS($AI65,MATCH(L$1,INDIRECT("Table!A" &amp; $AM65):INDIRECT("Table!" &amp; $AP$91 &amp; $AM65),0)))))</f>
        <v>0.83950036548893403</v>
      </c>
      <c r="M65" s="273">
        <f ca="1">IF(ISERROR(MATCH(M$1,INDIRECT("Table!A"&amp;$AM65):INDIRECT("Table!" &amp; $AP$91 &amp; $AM65),0)),"",INDIRECT(CONCATENATE("Table!",ADDRESS($AI65,MATCH(M$1,INDIRECT("Table!A" &amp; $AM65):INDIRECT("Table!" &amp; $AP$91 &amp; $AM65),0)))))</f>
        <v>0.41714743262276088</v>
      </c>
      <c r="N65" s="273">
        <f ca="1">IF(ISERROR(MATCH(N$1,INDIRECT("Table!A"&amp;$AM65):INDIRECT("Table!" &amp; $AP$91 &amp; $AM65),0)),"",INDIRECT(CONCATENATE("Table!",ADDRESS($AI65,MATCH(N$1,INDIRECT("Table!A" &amp; $AM65):INDIRECT("Table!" &amp; $AP$91 &amp; $AM65),0)))))</f>
        <v>0.65545423116627533</v>
      </c>
      <c r="O65" s="273">
        <f ca="1">IF(ISERROR(MATCH(O$1,INDIRECT("Table!A"&amp;$AM65):INDIRECT("Table!" &amp; $AP$91 &amp; $AM65),0)),"",INDIRECT(CONCATENATE("Table!",ADDRESS($AI65,MATCH(O$1,INDIRECT("Table!A" &amp; $AM65):INDIRECT("Table!" &amp; $AP$91 &amp; $AM65),0)))))</f>
        <v>0.58513172925241608</v>
      </c>
      <c r="P65" s="273">
        <f ca="1">IF(ISERROR(MATCH(P$1,INDIRECT("Table!A"&amp;$AM65):INDIRECT("Table!" &amp; $AP$91 &amp; $AM65),0)),"",INDIRECT(CONCATENATE("Table!",ADDRESS($AI65,MATCH(P$1,INDIRECT("Table!A" &amp; $AM65):INDIRECT("Table!" &amp; $AP$91 &amp; $AM65),0)))))</f>
        <v>0.10522129520613684</v>
      </c>
      <c r="Q65" s="273">
        <f ca="1">IF(ISERROR(MATCH(Q$1,INDIRECT("Table!A"&amp;$AM65):INDIRECT("Table!" &amp; $AP$91 &amp; $AM65),0)),"",INDIRECT(CONCATENATE("Table!",ADDRESS($AI65,MATCH(Q$1,INDIRECT("Table!A" &amp; $AM65):INDIRECT("Table!" &amp; $AP$91 &amp; $AM65),0)))))</f>
        <v>7.458927218311201E-2</v>
      </c>
      <c r="R65" s="273">
        <f ca="1">IF(ISERROR(MATCH(R$1,INDIRECT("Table!A"&amp;$AM65):INDIRECT("Table!" &amp; $AP$91 &amp; $AM65),0)),"",INDIRECT(CONCATENATE("Table!",ADDRESS($AI65,MATCH(R$1,INDIRECT("Table!A" &amp; $AM65):INDIRECT("Table!" &amp; $AP$91 &amp; $AM65),0)))))</f>
        <v>3.4072840160520936E-5</v>
      </c>
      <c r="S65" s="596" t="str">
        <f ca="1">IF(ISERROR(MATCH(S$1,INDIRECT("Table!A"&amp;$AM65):INDIRECT("Table!" &amp; $AP$91 &amp; $AM65),0)),"",INDIRECT(CONCATENATE("Table!",ADDRESS($AI65,MATCH(S$1,INDIRECT("Table!A" &amp; $AM65):INDIRECT("Table!" &amp; $AP$91 &amp; $AM65),0)))))</f>
        <v/>
      </c>
      <c r="T65" s="273">
        <f ca="1">IF(ISERROR(MATCH(T$1,INDIRECT("Table!A"&amp;$AM65):INDIRECT("Table!" &amp; $AP$65 &amp; $AM65),0)),"",INDIRECT(CONCATENATE("Table!",ADDRESS($AI65,MATCH(T$1,INDIRECT("Table!A" &amp; $AM65):INDIRECT("Table!" &amp; $AP$65 &amp; $AM65),0)))))</f>
        <v>0.1527326574092262</v>
      </c>
      <c r="U65" s="596" t="str">
        <f ca="1">IF(ISERROR(MATCH(U$1,INDIRECT("Table!A"&amp;$AM65):INDIRECT("Table!" &amp; $AP$65 &amp; $AM65),0)),"",INDIRECT(CONCATENATE("Table!",ADDRESS($AI65,MATCH(U$1,INDIRECT("Table!A" &amp; $AM65):INDIRECT("Table!" &amp; $AP$65 &amp; $AM65),0)))))</f>
        <v/>
      </c>
      <c r="V65" s="596"/>
      <c r="W65" s="596"/>
      <c r="X65" s="596"/>
      <c r="Y65" s="596"/>
      <c r="Z65" s="596"/>
      <c r="AA65" s="596"/>
      <c r="AB65" s="596"/>
      <c r="AC65" s="596"/>
      <c r="AD65" s="596"/>
      <c r="AE65" s="596"/>
      <c r="AF65" s="596"/>
      <c r="AG65" s="596"/>
      <c r="AH65" s="596"/>
      <c r="AI65" s="272">
        <f>MATCH($A65,Table!$A:$A,0)+$AK$2-1</f>
        <v>882</v>
      </c>
      <c r="AJ65" s="369"/>
      <c r="AK65" s="369"/>
      <c r="AL65" s="369"/>
      <c r="AM65" s="272">
        <f>MATCH($A65,Table!$A:$A,0)+$AO$2-1</f>
        <v>879</v>
      </c>
      <c r="AN65" s="369"/>
      <c r="AP65" s="947" t="s">
        <v>302</v>
      </c>
    </row>
    <row r="66" spans="1:42" s="267" customFormat="1" ht="15.75" customHeight="1" x14ac:dyDescent="0.25">
      <c r="A66" s="268">
        <v>41491</v>
      </c>
      <c r="B66" s="273">
        <f ca="1">IF(ISERROR(MATCH(B$1,INDIRECT("Table!A"&amp;$AM66):INDIRECT("Table!" &amp; $AP$113 &amp; $AM66),0)),"",INDIRECT(CONCATENATE("Table!",ADDRESS($AI66,MATCH(B$1,INDIRECT("Table!A" &amp; $AM66):INDIRECT("Table!" &amp; $AP$112 &amp; $AM66),0)))))</f>
        <v>0.3181340790694106</v>
      </c>
      <c r="C66" s="273">
        <f ca="1">IF(ISERROR(MATCH(C$1,INDIRECT("Table!A"&amp;$AM66):INDIRECT("Table!" &amp; $AP$112 &amp; $AM66),0)),"",INDIRECT(CONCATENATE("Table!",ADDRESS($AI66,MATCH(C$1,INDIRECT("Table!A" &amp; $AM66):INDIRECT("Table!" &amp; $AP$112 &amp; $AM66),0)))))</f>
        <v>0.52571774427688089</v>
      </c>
      <c r="D66" s="273">
        <f ca="1">IF(ISERROR(MATCH(D$1,INDIRECT("Table!A"&amp;$AM66):INDIRECT("Table!" &amp; $AP$112 &amp; $AM66),0)),"",INDIRECT(CONCATENATE("Table!",ADDRESS($AI66,MATCH(D$1,INDIRECT("Table!A" &amp; $AM66):INDIRECT("Table!" &amp; $AP$112 &amp; $AM66),0)))))</f>
        <v>0.53555718402011199</v>
      </c>
      <c r="E66" s="273">
        <f ca="1">IF(ISERROR(MATCH(E$1,INDIRECT("Table!A"&amp;$AM66):INDIRECT("Table!" &amp; $AP$112 &amp; $AM66),0)),"",INDIRECT(CONCATENATE("Table!",ADDRESS($AI66,MATCH(E$1,INDIRECT("Table!A" &amp; $AM66):INDIRECT("Table!" &amp; $AP$112 &amp; $AM66),0)))))</f>
        <v>0.79981406470811911</v>
      </c>
      <c r="F66" s="273">
        <f ca="1">IF(ISERROR(MATCH(F$1,INDIRECT("Table!A"&amp;$AM66):INDIRECT("Table!" &amp; $AP$112 &amp; $AM66),0)),"",INDIRECT(CONCATENATE("Table!",ADDRESS($AI66,MATCH(F$1,INDIRECT("Table!A" &amp; $AM66):INDIRECT("Table!" &amp; $AP$112 &amp; $AM66),0)))))</f>
        <v>0.69332954576361339</v>
      </c>
      <c r="G66" s="273">
        <f ca="1">IF(ISERROR(MATCH(G$1,INDIRECT("Table!A"&amp;$AM66):INDIRECT("Table!" &amp; $AP$112 &amp; $AM66),0)),"",INDIRECT(CONCATENATE("Table!",ADDRESS($AI66,MATCH(G$1,INDIRECT("Table!A" &amp; $AM66):INDIRECT("Table!" &amp; $AP$112 &amp; $AM66),0)))))</f>
        <v>0.43069061528203806</v>
      </c>
      <c r="H66" s="273">
        <f ca="1">IF(ISERROR(MATCH(H$1,INDIRECT("Table!A"&amp;$AM66):INDIRECT("Table!" &amp; $AP$112 &amp; $AM66),0)),"",INDIRECT(CONCATENATE("Table!",ADDRESS($AI66,MATCH(H$1,INDIRECT("Table!A" &amp; $AM66):INDIRECT("Table!" &amp; $AP$112 &amp; $AM66),0)))))</f>
        <v>0.53964704629972982</v>
      </c>
      <c r="I66" s="273">
        <f ca="1">IF(ISERROR(MATCH(I$1,INDIRECT("Table!A"&amp;$AM66):INDIRECT("Table!" &amp; $AP$91 &amp; $AM66),0)),"",INDIRECT(CONCATENATE("Table!",ADDRESS($AI66,MATCH(I$1,INDIRECT("Table!A" &amp; $AM66):INDIRECT("Table!" &amp; $AP$91 &amp; $AM66),0)))))</f>
        <v>0.1372718014427014</v>
      </c>
      <c r="J66" s="273">
        <f ca="1">IF(ISERROR(MATCH(J$1,INDIRECT("Table!A"&amp;$AM66):INDIRECT("Table!" &amp; $AP$91 &amp; $AM66),0)),"",INDIRECT(CONCATENATE("Table!",ADDRESS($AI66,MATCH(J$1,INDIRECT("Table!A" &amp; $AM66):INDIRECT("Table!" &amp; $AP$91 &amp; $AM66),0)))))</f>
        <v>0.25381878465474028</v>
      </c>
      <c r="K66" s="273">
        <f ca="1">IF(ISERROR(MATCH(K$1,INDIRECT("Table!A"&amp;$AM66):INDIRECT("Table!" &amp; $AP$91 &amp; $AM66),0)),"",INDIRECT(CONCATENATE("Table!",ADDRESS($AI66,MATCH(K$1,INDIRECT("Table!A" &amp; $AM66):INDIRECT("Table!" &amp; $AP$91 &amp; $AM66),0)))))</f>
        <v>2.7091999916382713E-3</v>
      </c>
      <c r="L66" s="273">
        <f ca="1">IF(ISERROR(MATCH(L$1,INDIRECT("Table!A"&amp;$AM66):INDIRECT("Table!" &amp; $AP$91 &amp; $AM66),0)),"",INDIRECT(CONCATENATE("Table!",ADDRESS($AI66,MATCH(L$1,INDIRECT("Table!A" &amp; $AM66):INDIRECT("Table!" &amp; $AP$91 &amp; $AM66),0)))))</f>
        <v>0.82037164344650626</v>
      </c>
      <c r="M66" s="273">
        <f ca="1">IF(ISERROR(MATCH(M$1,INDIRECT("Table!A"&amp;$AM66):INDIRECT("Table!" &amp; $AP$91 &amp; $AM66),0)),"",INDIRECT(CONCATENATE("Table!",ADDRESS($AI66,MATCH(M$1,INDIRECT("Table!A" &amp; $AM66):INDIRECT("Table!" &amp; $AP$91 &amp; $AM66),0)))))</f>
        <v>0.47674122039249878</v>
      </c>
      <c r="N66" s="273">
        <f ca="1">IF(ISERROR(MATCH(N$1,INDIRECT("Table!A"&amp;$AM66):INDIRECT("Table!" &amp; $AP$91 &amp; $AM66),0)),"",INDIRECT(CONCATENATE("Table!",ADDRESS($AI66,MATCH(N$1,INDIRECT("Table!A" &amp; $AM66):INDIRECT("Table!" &amp; $AP$91 &amp; $AM66),0)))))</f>
        <v>0.71201886696661043</v>
      </c>
      <c r="O66" s="273">
        <f ca="1">IF(ISERROR(MATCH(O$1,INDIRECT("Table!A"&amp;$AM66):INDIRECT("Table!" &amp; $AP$91 &amp; $AM66),0)),"",INDIRECT(CONCATENATE("Table!",ADDRESS($AI66,MATCH(O$1,INDIRECT("Table!A" &amp; $AM66):INDIRECT("Table!" &amp; $AP$91 &amp; $AM66),0)))))</f>
        <v>0.60618737647549459</v>
      </c>
      <c r="P66" s="273">
        <f ca="1">IF(ISERROR(MATCH(P$1,INDIRECT("Table!A"&amp;$AM66):INDIRECT("Table!" &amp; $AP$91 &amp; $AM66),0)),"",INDIRECT(CONCATENATE("Table!",ADDRESS($AI66,MATCH(P$1,INDIRECT("Table!A" &amp; $AM66):INDIRECT("Table!" &amp; $AP$91 &amp; $AM66),0)))))</f>
        <v>0.14285127153781249</v>
      </c>
      <c r="Q66" s="273">
        <f ca="1">IF(ISERROR(MATCH(Q$1,INDIRECT("Table!A"&amp;$AM66):INDIRECT("Table!" &amp; $AP$91 &amp; $AM66),0)),"",INDIRECT(CONCATENATE("Table!",ADDRESS($AI66,MATCH(Q$1,INDIRECT("Table!A" &amp; $AM66):INDIRECT("Table!" &amp; $AP$91 &amp; $AM66),0)))))</f>
        <v>0.21230638326694237</v>
      </c>
      <c r="R66" s="273">
        <f ca="1">IF(ISERROR(MATCH(R$1,INDIRECT("Table!A"&amp;$AM66):INDIRECT("Table!" &amp; $AP$91 &amp; $AM66),0)),"",INDIRECT(CONCATENATE("Table!",ADDRESS($AI66,MATCH(R$1,INDIRECT("Table!A" &amp; $AM66):INDIRECT("Table!" &amp; $AP$91 &amp; $AM66),0)))))</f>
        <v>0.16296590505257436</v>
      </c>
      <c r="S66" s="596" t="str">
        <f ca="1">IF(ISERROR(MATCH(S$1,INDIRECT("Table!A"&amp;$AM66):INDIRECT("Table!" &amp; $AP$91 &amp; $AM66),0)),"",INDIRECT(CONCATENATE("Table!",ADDRESS($AI66,MATCH(S$1,INDIRECT("Table!A" &amp; $AM66):INDIRECT("Table!" &amp; $AP$91 &amp; $AM66),0)))))</f>
        <v/>
      </c>
      <c r="T66" s="273">
        <f ca="1">IF(ISERROR(MATCH(T$1,INDIRECT("Table!A"&amp;$AM66):INDIRECT("Table!" &amp; $AP$65 &amp; $AM66),0)),"",INDIRECT(CONCATENATE("Table!",ADDRESS($AI66,MATCH(T$1,INDIRECT("Table!A" &amp; $AM66):INDIRECT("Table!" &amp; $AP$65 &amp; $AM66),0)))))</f>
        <v>0.17292576419213973</v>
      </c>
      <c r="U66" s="596" t="str">
        <f ca="1">IF(ISERROR(MATCH(U$1,INDIRECT("Table!A"&amp;$AM66):INDIRECT("Table!" &amp; $AP$65 &amp; $AM66),0)),"",INDIRECT(CONCATENATE("Table!",ADDRESS($AI66,MATCH(U$1,INDIRECT("Table!A" &amp; $AM66):INDIRECT("Table!" &amp; $AP$65 &amp; $AM66),0)))))</f>
        <v/>
      </c>
      <c r="V66" s="596"/>
      <c r="W66" s="596"/>
      <c r="X66" s="596"/>
      <c r="Y66" s="596"/>
      <c r="Z66" s="596"/>
      <c r="AA66" s="596"/>
      <c r="AB66" s="596"/>
      <c r="AC66" s="596"/>
      <c r="AD66" s="596"/>
      <c r="AE66" s="596"/>
      <c r="AF66" s="596"/>
      <c r="AG66" s="596"/>
      <c r="AH66" s="596"/>
      <c r="AI66" s="272">
        <f>MATCH($A66,Table!$A:$A,0)+$AK$2-1</f>
        <v>834</v>
      </c>
      <c r="AJ66" s="412"/>
      <c r="AK66" s="412"/>
      <c r="AL66" s="412"/>
      <c r="AM66" s="272">
        <f>MATCH($A66,Table!$A:$A,0)+$AO$2-1</f>
        <v>831</v>
      </c>
      <c r="AN66" s="412"/>
      <c r="AP66" s="947" t="s">
        <v>302</v>
      </c>
    </row>
    <row r="67" spans="1:42" s="267" customFormat="1" ht="15.75" customHeight="1" x14ac:dyDescent="0.25">
      <c r="A67" s="268">
        <v>41485</v>
      </c>
      <c r="B67" s="273">
        <f ca="1">IF(ISERROR(MATCH(B$1,INDIRECT("Table!A"&amp;$AM67):INDIRECT("Table!" &amp; $AP$113 &amp; $AM67),0)),"",INDIRECT(CONCATENATE("Table!",ADDRESS($AI67,MATCH(B$1,INDIRECT("Table!A" &amp; $AM67):INDIRECT("Table!" &amp; $AP$112 &amp; $AM67),0)))))</f>
        <v>0.31871778957131802</v>
      </c>
      <c r="C67" s="273">
        <f ca="1">IF(ISERROR(MATCH(C$1,INDIRECT("Table!A"&amp;$AM67):INDIRECT("Table!" &amp; $AP$112 &amp; $AM67),0)),"",INDIRECT(CONCATENATE("Table!",ADDRESS($AI67,MATCH(C$1,INDIRECT("Table!A" &amp; $AM67):INDIRECT("Table!" &amp; $AP$112 &amp; $AM67),0)))))</f>
        <v>0.52460623970629172</v>
      </c>
      <c r="D67" s="273">
        <f ca="1">IF(ISERROR(MATCH(D$1,INDIRECT("Table!A"&amp;$AM67):INDIRECT("Table!" &amp; $AP$112 &amp; $AM67),0)),"",INDIRECT(CONCATENATE("Table!",ADDRESS($AI67,MATCH(D$1,INDIRECT("Table!A" &amp; $AM67):INDIRECT("Table!" &amp; $AP$112 &amp; $AM67),0)))))</f>
        <v>0.53444567944952281</v>
      </c>
      <c r="E67" s="273">
        <f ca="1">IF(ISERROR(MATCH(E$1,INDIRECT("Table!A"&amp;$AM67):INDIRECT("Table!" &amp; $AP$112 &amp; $AM67),0)),"",INDIRECT(CONCATENATE("Table!",ADDRESS($AI67,MATCH(E$1,INDIRECT("Table!A" &amp; $AM67):INDIRECT("Table!" &amp; $AP$112 &amp; $AM67),0)))))</f>
        <v>0.79760196221073998</v>
      </c>
      <c r="F67" s="273">
        <f ca="1">IF(ISERROR(MATCH(F$1,INDIRECT("Table!A"&amp;$AM67):INDIRECT("Table!" &amp; $AP$112 &amp; $AM67),0)),"",INDIRECT(CONCATENATE("Table!",ADDRESS($AI67,MATCH(F$1,INDIRECT("Table!A" &amp; $AM67):INDIRECT("Table!" &amp; $AP$112 &amp; $AM67),0)))))</f>
        <v>0.6908865632942186</v>
      </c>
      <c r="G67" s="273">
        <f ca="1">IF(ISERROR(MATCH(G$1,INDIRECT("Table!A"&amp;$AM67):INDIRECT("Table!" &amp; $AP$112 &amp; $AM67),0)),"",INDIRECT(CONCATENATE("Table!",ADDRESS($AI67,MATCH(G$1,INDIRECT("Table!A" &amp; $AM67):INDIRECT("Table!" &amp; $AP$112 &amp; $AM67),0)))))</f>
        <v>0.42905211344033167</v>
      </c>
      <c r="H67" s="273">
        <f ca="1">IF(ISERROR(MATCH(H$1,INDIRECT("Table!A"&amp;$AM67):INDIRECT("Table!" &amp; $AP$112 &amp; $AM67),0)),"",INDIRECT(CONCATENATE("Table!",ADDRESS($AI67,MATCH(H$1,INDIRECT("Table!A" &amp; $AM67):INDIRECT("Table!" &amp; $AP$112 &amp; $AM67),0)))))</f>
        <v>0.53736885018652547</v>
      </c>
      <c r="I67" s="273">
        <f ca="1">IF(ISERROR(MATCH(I$1,INDIRECT("Table!A"&amp;$AM67):INDIRECT("Table!" &amp; $AP$91 &amp; $AM67),0)),"",INDIRECT(CONCATENATE("Table!",ADDRESS($AI67,MATCH(I$1,INDIRECT("Table!A" &amp; $AM67):INDIRECT("Table!" &amp; $AP$91 &amp; $AM67),0)))))</f>
        <v>0.13724943866403552</v>
      </c>
      <c r="J67" s="273">
        <f ca="1">IF(ISERROR(MATCH(J$1,INDIRECT("Table!A"&amp;$AM67):INDIRECT("Table!" &amp; $AP$91 &amp; $AM67),0)),"",INDIRECT(CONCATENATE("Table!",ADDRESS($AI67,MATCH(J$1,INDIRECT("Table!A" &amp; $AM67):INDIRECT("Table!" &amp; $AP$91 &amp; $AM67),0)))))</f>
        <v>0.22582121724978249</v>
      </c>
      <c r="K67" s="273">
        <f ca="1">IF(ISERROR(MATCH(K$1,INDIRECT("Table!A"&amp;$AM67):INDIRECT("Table!" &amp; $AP$91 &amp; $AM67),0)),"",INDIRECT(CONCATENATE("Table!",ADDRESS($AI67,MATCH(K$1,INDIRECT("Table!A" &amp; $AM67):INDIRECT("Table!" &amp; $AP$91 &amp; $AM67),0)))))</f>
        <v>2.6567069190979557E-3</v>
      </c>
      <c r="L67" s="273">
        <f ca="1">IF(ISERROR(MATCH(L$1,INDIRECT("Table!A"&amp;$AM67):INDIRECT("Table!" &amp; $AP$91 &amp; $AM67),0)),"",INDIRECT(CONCATENATE("Table!",ADDRESS($AI67,MATCH(L$1,INDIRECT("Table!A" &amp; $AM67):INDIRECT("Table!" &amp; $AP$91 &amp; $AM67),0)))))</f>
        <v>0.81779690212512002</v>
      </c>
      <c r="M67" s="273">
        <f ca="1">IF(ISERROR(MATCH(M$1,INDIRECT("Table!A"&amp;$AM67):INDIRECT("Table!" &amp; $AP$91 &amp; $AM67),0)),"",INDIRECT(CONCATENATE("Table!",ADDRESS($AI67,MATCH(M$1,INDIRECT("Table!A" &amp; $AM67):INDIRECT("Table!" &amp; $AP$91 &amp; $AM67),0)))))</f>
        <v>0.49172764693728815</v>
      </c>
      <c r="N67" s="273">
        <f ca="1">IF(ISERROR(MATCH(N$1,INDIRECT("Table!A"&amp;$AM67):INDIRECT("Table!" &amp; $AP$91 &amp; $AM67),0)),"",INDIRECT(CONCATENATE("Table!",ADDRESS($AI67,MATCH(N$1,INDIRECT("Table!A" &amp; $AM67):INDIRECT("Table!" &amp; $AP$91 &amp; $AM67),0)))))</f>
        <v>0.70945258236165865</v>
      </c>
      <c r="O67" s="273">
        <f ca="1">IF(ISERROR(MATCH(O$1,INDIRECT("Table!A"&amp;$AM67):INDIRECT("Table!" &amp; $AP$91 &amp; $AM67),0)),"",INDIRECT(CONCATENATE("Table!",ADDRESS($AI67,MATCH(O$1,INDIRECT("Table!A" &amp; $AM67):INDIRECT("Table!" &amp; $AP$91 &amp; $AM67),0)))))</f>
        <v>0.60371743032764591</v>
      </c>
      <c r="P67" s="273">
        <f ca="1">IF(ISERROR(MATCH(P$1,INDIRECT("Table!A"&amp;$AM67):INDIRECT("Table!" &amp; $AP$91 &amp; $AM67),0)),"",INDIRECT(CONCATENATE("Table!",ADDRESS($AI67,MATCH(P$1,INDIRECT("Table!A" &amp; $AM67):INDIRECT("Table!" &amp; $AP$91 &amp; $AM67),0)))))</f>
        <v>0.14281621630769306</v>
      </c>
      <c r="Q67" s="273">
        <f ca="1">IF(ISERROR(MATCH(Q$1,INDIRECT("Table!A"&amp;$AM67):INDIRECT("Table!" &amp; $AP$91 &amp; $AM67),0)),"",INDIRECT(CONCATENATE("Table!",ADDRESS($AI67,MATCH(Q$1,INDIRECT("Table!A" &amp; $AM67):INDIRECT("Table!" &amp; $AP$91 &amp; $AM67),0)))))</f>
        <v>0.18437932581796324</v>
      </c>
      <c r="R67" s="273">
        <f ca="1">IF(ISERROR(MATCH(R$1,INDIRECT("Table!A"&amp;$AM67):INDIRECT("Table!" &amp; $AP$91 &amp; $AM67),0)),"",INDIRECT(CONCATENATE("Table!",ADDRESS($AI67,MATCH(R$1,INDIRECT("Table!A" &amp; $AM67):INDIRECT("Table!" &amp; $AP$91 &amp; $AM67),0)))))</f>
        <v>0.16267788996430005</v>
      </c>
      <c r="S67" s="596" t="str">
        <f ca="1">IF(ISERROR(MATCH(S$1,INDIRECT("Table!A"&amp;$AM67):INDIRECT("Table!" &amp; $AP$91 &amp; $AM67),0)),"",INDIRECT(CONCATENATE("Table!",ADDRESS($AI67,MATCH(S$1,INDIRECT("Table!A" &amp; $AM67):INDIRECT("Table!" &amp; $AP$91 &amp; $AM67),0)))))</f>
        <v/>
      </c>
      <c r="T67" s="273">
        <f ca="1">IF(ISERROR(MATCH(T$1,INDIRECT("Table!A"&amp;$AM67):INDIRECT("Table!" &amp; $AP$65 &amp; $AM67),0)),"",INDIRECT(CONCATENATE("Table!",ADDRESS($AI67,MATCH(T$1,INDIRECT("Table!A" &amp; $AM67):INDIRECT("Table!" &amp; $AP$65 &amp; $AM67),0)))))</f>
        <v>0.17099469636300449</v>
      </c>
      <c r="U67" s="596" t="str">
        <f ca="1">IF(ISERROR(MATCH(U$1,INDIRECT("Table!A"&amp;$AM67):INDIRECT("Table!" &amp; $AP$65 &amp; $AM67),0)),"",INDIRECT(CONCATENATE("Table!",ADDRESS($AI67,MATCH(U$1,INDIRECT("Table!A" &amp; $AM67):INDIRECT("Table!" &amp; $AP$65 &amp; $AM67),0)))))</f>
        <v/>
      </c>
      <c r="V67" s="596"/>
      <c r="W67" s="596"/>
      <c r="X67" s="596"/>
      <c r="Y67" s="596"/>
      <c r="Z67" s="596"/>
      <c r="AA67" s="596"/>
      <c r="AB67" s="596"/>
      <c r="AC67" s="596"/>
      <c r="AD67" s="596"/>
      <c r="AE67" s="596"/>
      <c r="AF67" s="596"/>
      <c r="AG67" s="596"/>
      <c r="AH67" s="596"/>
      <c r="AI67" s="272">
        <f>MATCH($A67,Table!$A:$A,0)+$AK$2-1</f>
        <v>846</v>
      </c>
      <c r="AJ67" s="448"/>
      <c r="AK67" s="448"/>
      <c r="AL67" s="448"/>
      <c r="AM67" s="272">
        <f>MATCH($A67,Table!$A:$A,0)+$AO$2-1</f>
        <v>843</v>
      </c>
      <c r="AN67" s="448"/>
      <c r="AP67" s="947" t="s">
        <v>302</v>
      </c>
    </row>
    <row r="68" spans="1:42" s="267" customFormat="1" ht="15.75" customHeight="1" x14ac:dyDescent="0.25">
      <c r="A68" s="268">
        <v>41478</v>
      </c>
      <c r="B68" s="273">
        <f ca="1">IF(ISERROR(MATCH(B$1,INDIRECT("Table!A"&amp;$AM68):INDIRECT("Table!" &amp; $AP$113 &amp; $AM68),0)),"",INDIRECT(CONCATENATE("Table!",ADDRESS($AI68,MATCH(B$1,INDIRECT("Table!A" &amp; $AM68):INDIRECT("Table!" &amp; $AP$112 &amp; $AM68),0)))))</f>
        <v>0.31697223713849348</v>
      </c>
      <c r="C68" s="273">
        <f ca="1">IF(ISERROR(MATCH(C$1,INDIRECT("Table!A"&amp;$AM68):INDIRECT("Table!" &amp; $AP$112 &amp; $AM68),0)),"",INDIRECT(CONCATENATE("Table!",ADDRESS($AI68,MATCH(C$1,INDIRECT("Table!A" &amp; $AM68):INDIRECT("Table!" &amp; $AP$112 &amp; $AM68),0)))))</f>
        <v>0.52423883861392118</v>
      </c>
      <c r="D68" s="273">
        <f ca="1">IF(ISERROR(MATCH(D$1,INDIRECT("Table!A"&amp;$AM68):INDIRECT("Table!" &amp; $AP$112 &amp; $AM68),0)),"",INDIRECT(CONCATENATE("Table!",ADDRESS($AI68,MATCH(D$1,INDIRECT("Table!A" &amp; $AM68):INDIRECT("Table!" &amp; $AP$112 &amp; $AM68),0)))))</f>
        <v>0.53408226462578567</v>
      </c>
      <c r="E68" s="273">
        <f ca="1">IF(ISERROR(MATCH(E$1,INDIRECT("Table!A"&amp;$AM68):INDIRECT("Table!" &amp; $AP$112 &amp; $AM68),0)),"",INDIRECT(CONCATENATE("Table!",ADDRESS($AI68,MATCH(E$1,INDIRECT("Table!A" &amp; $AM68):INDIRECT("Table!" &amp; $AP$112 &amp; $AM68),0)))))</f>
        <v>0.79704756295096457</v>
      </c>
      <c r="F68" s="273">
        <f ca="1">IF(ISERROR(MATCH(F$1,INDIRECT("Table!A"&amp;$AM68):INDIRECT("Table!" &amp; $AP$112 &amp; $AM68),0)),"",INDIRECT(CONCATENATE("Table!",ADDRESS($AI68,MATCH(F$1,INDIRECT("Table!A" &amp; $AM68):INDIRECT("Table!" &amp; $AP$112 &amp; $AM68),0)))))</f>
        <v>0.68560471673310019</v>
      </c>
      <c r="G68" s="273">
        <f ca="1">IF(ISERROR(MATCH(G$1,INDIRECT("Table!A"&amp;$AM68):INDIRECT("Table!" &amp; $AP$112 &amp; $AM68),0)),"",INDIRECT(CONCATENATE("Table!",ADDRESS($AI68,MATCH(G$1,INDIRECT("Table!A" &amp; $AM68):INDIRECT("Table!" &amp; $AP$112 &amp; $AM68),0)))))</f>
        <v>0.44968437081150875</v>
      </c>
      <c r="H68" s="273">
        <f ca="1">IF(ISERROR(MATCH(H$1,INDIRECT("Table!A"&amp;$AM68):INDIRECT("Table!" &amp; $AP$112 &amp; $AM68),0)),"",INDIRECT(CONCATENATE("Table!",ADDRESS($AI68,MATCH(H$1,INDIRECT("Table!A" &amp; $AM68):INDIRECT("Table!" &amp; $AP$112 &amp; $AM68),0)))))</f>
        <v>0.53295107990590085</v>
      </c>
      <c r="I68" s="273">
        <f ca="1">IF(ISERROR(MATCH(I$1,INDIRECT("Table!A"&amp;$AM68):INDIRECT("Table!" &amp; $AP$91 &amp; $AM68),0)),"",INDIRECT(CONCATENATE("Table!",ADDRESS($AI68,MATCH(I$1,INDIRECT("Table!A" &amp; $AM68):INDIRECT("Table!" &amp; $AP$91 &amp; $AM68),0)))))</f>
        <v>0.13711163559549963</v>
      </c>
      <c r="J68" s="273">
        <f ca="1">IF(ISERROR(MATCH(J$1,INDIRECT("Table!A"&amp;$AM68):INDIRECT("Table!" &amp; $AP$91 &amp; $AM68),0)),"",INDIRECT(CONCATENATE("Table!",ADDRESS($AI68,MATCH(J$1,INDIRECT("Table!A" &amp; $AM68):INDIRECT("Table!" &amp; $AP$91 &amp; $AM68),0)))))</f>
        <v>0.21041189634201765</v>
      </c>
      <c r="K68" s="273">
        <f ca="1">IF(ISERROR(MATCH(K$1,INDIRECT("Table!A"&amp;$AM68):INDIRECT("Table!" &amp; $AP$91 &amp; $AM68),0)),"",INDIRECT(CONCATENATE("Table!",ADDRESS($AI68,MATCH(K$1,INDIRECT("Table!A" &amp; $AM68):INDIRECT("Table!" &amp; $AP$91 &amp; $AM68),0)))))</f>
        <v>1.7573565789381997E-3</v>
      </c>
      <c r="L68" s="273">
        <f ca="1">IF(ISERROR(MATCH(L$1,INDIRECT("Table!A"&amp;$AM68):INDIRECT("Table!" &amp; $AP$91 &amp; $AM68),0)),"",INDIRECT(CONCATENATE("Table!",ADDRESS($AI68,MATCH(L$1,INDIRECT("Table!A" &amp; $AM68):INDIRECT("Table!" &amp; $AP$91 &amp; $AM68),0)))))</f>
        <v>0.81680896818148141</v>
      </c>
      <c r="M68" s="273">
        <f ca="1">IF(ISERROR(MATCH(M$1,INDIRECT("Table!A"&amp;$AM68):INDIRECT("Table!" &amp; $AP$91 &amp; $AM68),0)),"",INDIRECT(CONCATENATE("Table!",ADDRESS($AI68,MATCH(M$1,INDIRECT("Table!A" &amp; $AM68):INDIRECT("Table!" &amp; $AP$91 &amp; $AM68),0)))))</f>
        <v>0.4235674839498717</v>
      </c>
      <c r="N68" s="273">
        <f ca="1">IF(ISERROR(MATCH(N$1,INDIRECT("Table!A"&amp;$AM68):INDIRECT("Table!" &amp; $AP$91 &amp; $AM68),0)),"",INDIRECT(CONCATENATE("Table!",ADDRESS($AI68,MATCH(N$1,INDIRECT("Table!A" &amp; $AM68):INDIRECT("Table!" &amp; $AP$91 &amp; $AM68),0)))))</f>
        <v>0.70406737373468742</v>
      </c>
      <c r="O68" s="273">
        <f ca="1">IF(ISERROR(MATCH(O$1,INDIRECT("Table!A"&amp;$AM68):INDIRECT("Table!" &amp; $AP$91 &amp; $AM68),0)),"",INDIRECT(CONCATENATE("Table!",ADDRESS($AI68,MATCH(O$1,INDIRECT("Table!A" &amp; $AM68):INDIRECT("Table!" &amp; $AP$91 &amp; $AM68),0)))))</f>
        <v>0.59821218110279051</v>
      </c>
      <c r="P68" s="273">
        <f ca="1">IF(ISERROR(MATCH(P$1,INDIRECT("Table!A"&amp;$AM68):INDIRECT("Table!" &amp; $AP$91 &amp; $AM68),0)),"",INDIRECT(CONCATENATE("Table!",ADDRESS($AI68,MATCH(P$1,INDIRECT("Table!A" &amp; $AM68):INDIRECT("Table!" &amp; $AP$91 &amp; $AM68),0)))))</f>
        <v>0.14266874258098361</v>
      </c>
      <c r="Q68" s="273">
        <f ca="1">IF(ISERROR(MATCH(Q$1,INDIRECT("Table!A"&amp;$AM68):INDIRECT("Table!" &amp; $AP$91 &amp; $AM68),0)),"",INDIRECT(CONCATENATE("Table!",ADDRESS($AI68,MATCH(Q$1,INDIRECT("Table!A" &amp; $AM68):INDIRECT("Table!" &amp; $AP$91 &amp; $AM68),0)))))</f>
        <v>0.16892332375215366</v>
      </c>
      <c r="R68" s="273">
        <f ca="1">IF(ISERROR(MATCH(R$1,INDIRECT("Table!A"&amp;$AM68):INDIRECT("Table!" &amp; $AP$91 &amp; $AM68),0)),"",INDIRECT(CONCATENATE("Table!",ADDRESS($AI68,MATCH(R$1,INDIRECT("Table!A" &amp; $AM68):INDIRECT("Table!" &amp; $AP$91 &amp; $AM68),0)))))</f>
        <v>0.14558651717754506</v>
      </c>
      <c r="S68" s="596" t="str">
        <f ca="1">IF(ISERROR(MATCH(S$1,INDIRECT("Table!A"&amp;$AM68):INDIRECT("Table!" &amp; $AP$91 &amp; $AM68),0)),"",INDIRECT(CONCATENATE("Table!",ADDRESS($AI68,MATCH(S$1,INDIRECT("Table!A" &amp; $AM68):INDIRECT("Table!" &amp; $AP$91 &amp; $AM68),0)))))</f>
        <v/>
      </c>
      <c r="T68" s="273">
        <f ca="1">IF(ISERROR(MATCH(T$1,INDIRECT("Table!A"&amp;$AM68):INDIRECT("Table!" &amp; $AP$65 &amp; $AM68),0)),"",INDIRECT(CONCATENATE("Table!",ADDRESS($AI68,MATCH(T$1,INDIRECT("Table!A" &amp; $AM68):INDIRECT("Table!" &amp; $AP$65 &amp; $AM68),0)))))</f>
        <v>0.16901527628775631</v>
      </c>
      <c r="U68" s="596" t="str">
        <f ca="1">IF(ISERROR(MATCH(U$1,INDIRECT("Table!A"&amp;$AM68):INDIRECT("Table!" &amp; $AP$65 &amp; $AM68),0)),"",INDIRECT(CONCATENATE("Table!",ADDRESS($AI68,MATCH(U$1,INDIRECT("Table!A" &amp; $AM68):INDIRECT("Table!" &amp; $AP$65 &amp; $AM68),0)))))</f>
        <v/>
      </c>
      <c r="V68" s="596"/>
      <c r="W68" s="596"/>
      <c r="X68" s="596"/>
      <c r="Y68" s="596"/>
      <c r="Z68" s="596"/>
      <c r="AA68" s="596"/>
      <c r="AB68" s="596"/>
      <c r="AC68" s="596"/>
      <c r="AD68" s="596"/>
      <c r="AE68" s="596"/>
      <c r="AF68" s="596"/>
      <c r="AG68" s="596"/>
      <c r="AH68" s="596"/>
      <c r="AI68" s="272">
        <f>MATCH($A68,Table!$A:$A,0)+$AK$2-1</f>
        <v>858</v>
      </c>
      <c r="AJ68" s="448"/>
      <c r="AK68" s="448"/>
      <c r="AL68" s="448"/>
      <c r="AM68" s="272">
        <f>MATCH($A68,Table!$A:$A,0)+$AO$2-1</f>
        <v>855</v>
      </c>
      <c r="AN68" s="448"/>
      <c r="AP68" s="947" t="s">
        <v>302</v>
      </c>
    </row>
    <row r="69" spans="1:42" s="267" customFormat="1" ht="15.75" customHeight="1" x14ac:dyDescent="0.25">
      <c r="A69" s="268">
        <v>41470</v>
      </c>
      <c r="B69" s="273">
        <f ca="1">IF(ISERROR(MATCH(B$1,INDIRECT("Table!A"&amp;$AM69):INDIRECT("Table!" &amp; $AP$113 &amp; $AM69),0)),"",INDIRECT(CONCATENATE("Table!",ADDRESS($AI69,MATCH(B$1,INDIRECT("Table!A" &amp; $AM69):INDIRECT("Table!" &amp; $AP$112 &amp; $AM69),0)))))</f>
        <v>0.31243575348866404</v>
      </c>
      <c r="C69" s="273">
        <f ca="1">IF(ISERROR(MATCH(C$1,INDIRECT("Table!A"&amp;$AM69):INDIRECT("Table!" &amp; $AP$112 &amp; $AM69),0)),"",INDIRECT(CONCATENATE("Table!",ADDRESS($AI69,MATCH(C$1,INDIRECT("Table!A" &amp; $AM69):INDIRECT("Table!" &amp; $AP$112 &amp; $AM69),0)))))</f>
        <v>0.52350735831970807</v>
      </c>
      <c r="D69" s="273">
        <f ca="1">IF(ISERROR(MATCH(D$1,INDIRECT("Table!A"&amp;$AM69):INDIRECT("Table!" &amp; $AP$112 &amp; $AM69),0)),"",INDIRECT(CONCATENATE("Table!",ADDRESS($AI69,MATCH(D$1,INDIRECT("Table!A" &amp; $AM69):INDIRECT("Table!" &amp; $AP$112 &amp; $AM69),0)))))</f>
        <v>0.53335078433157246</v>
      </c>
      <c r="E69" s="273">
        <f ca="1">IF(ISERROR(MATCH(E$1,INDIRECT("Table!A"&amp;$AM69):INDIRECT("Table!" &amp; $AP$112 &amp; $AM69),0)),"",INDIRECT(CONCATENATE("Table!",ADDRESS($AI69,MATCH(E$1,INDIRECT("Table!A" &amp; $AM69):INDIRECT("Table!" &amp; $AP$112 &amp; $AM69),0)))))</f>
        <v>0.79391402580676362</v>
      </c>
      <c r="F69" s="273">
        <f ca="1">IF(ISERROR(MATCH(F$1,INDIRECT("Table!A"&amp;$AM69):INDIRECT("Table!" &amp; $AP$112 &amp; $AM69),0)),"",INDIRECT(CONCATENATE("Table!",ADDRESS($AI69,MATCH(F$1,INDIRECT("Table!A" &amp; $AM69):INDIRECT("Table!" &amp; $AP$112 &amp; $AM69),0)))))</f>
        <v>0.67790345928009987</v>
      </c>
      <c r="G69" s="273">
        <f ca="1">IF(ISERROR(MATCH(G$1,INDIRECT("Table!A"&amp;$AM69):INDIRECT("Table!" &amp; $AP$112 &amp; $AM69),0)),"",INDIRECT(CONCATENATE("Table!",ADDRESS($AI69,MATCH(G$1,INDIRECT("Table!A" &amp; $AM69):INDIRECT("Table!" &amp; $AP$112 &amp; $AM69),0)))))</f>
        <v>0.45318160730597756</v>
      </c>
      <c r="H69" s="273">
        <f ca="1">IF(ISERROR(MATCH(H$1,INDIRECT("Table!A"&amp;$AM69):INDIRECT("Table!" &amp; $AP$112 &amp; $AM69),0)),"",INDIRECT(CONCATENATE("Table!",ADDRESS($AI69,MATCH(H$1,INDIRECT("Table!A" &amp; $AM69):INDIRECT("Table!" &amp; $AP$112 &amp; $AM69),0)))))</f>
        <v>0.5273272402066812</v>
      </c>
      <c r="I69" s="273">
        <f ca="1">IF(ISERROR(MATCH(I$1,INDIRECT("Table!A"&amp;$AM69):INDIRECT("Table!" &amp; $AP$91 &amp; $AM69),0)),"",INDIRECT(CONCATENATE("Table!",ADDRESS($AI69,MATCH(I$1,INDIRECT("Table!A" &amp; $AM69):INDIRECT("Table!" &amp; $AP$91 &amp; $AM69),0)))))</f>
        <v>0.13408178128598064</v>
      </c>
      <c r="J69" s="273">
        <f ca="1">IF(ISERROR(MATCH(J$1,INDIRECT("Table!A"&amp;$AM69):INDIRECT("Table!" &amp; $AP$91 &amp; $AM69),0)),"",INDIRECT(CONCATENATE("Table!",ADDRESS($AI69,MATCH(J$1,INDIRECT("Table!A" &amp; $AM69):INDIRECT("Table!" &amp; $AP$91 &amp; $AM69),0)))))</f>
        <v>0.12026628691636114</v>
      </c>
      <c r="K69" s="273">
        <f ca="1">IF(ISERROR(MATCH(K$1,INDIRECT("Table!A"&amp;$AM69):INDIRECT("Table!" &amp; $AP$91 &amp; $AM69),0)),"",INDIRECT(CONCATENATE("Table!",ADDRESS($AI69,MATCH(K$1,INDIRECT("Table!A" &amp; $AM69):INDIRECT("Table!" &amp; $AP$91 &amp; $AM69),0)))))</f>
        <v>2.8987325013413607E-4</v>
      </c>
      <c r="L69" s="273">
        <f ca="1">IF(ISERROR(MATCH(L$1,INDIRECT("Table!A"&amp;$AM69):INDIRECT("Table!" &amp; $AP$91 &amp; $AM69),0)),"",INDIRECT(CONCATENATE("Table!",ADDRESS($AI69,MATCH(L$1,INDIRECT("Table!A" &amp; $AM69):INDIRECT("Table!" &amp; $AP$91 &amp; $AM69),0)))))</f>
        <v>0.81318153584096908</v>
      </c>
      <c r="M69" s="273">
        <f ca="1">IF(ISERROR(MATCH(M$1,INDIRECT("Table!A"&amp;$AM69):INDIRECT("Table!" &amp; $AP$91 &amp; $AM69),0)),"",INDIRECT(CONCATENATE("Table!",ADDRESS($AI69,MATCH(M$1,INDIRECT("Table!A" &amp; $AM69):INDIRECT("Table!" &amp; $AP$91 &amp; $AM69),0)))))</f>
        <v>0.41888129300121318</v>
      </c>
      <c r="N69" s="273">
        <f ca="1">IF(ISERROR(MATCH(N$1,INDIRECT("Table!A"&amp;$AM69):INDIRECT("Table!" &amp; $AP$91 &amp; $AM69),0)),"",INDIRECT(CONCATENATE("Table!",ADDRESS($AI69,MATCH(N$1,INDIRECT("Table!A" &amp; $AM69):INDIRECT("Table!" &amp; $AP$91 &amp; $AM69),0)))))</f>
        <v>0.69568917373613803</v>
      </c>
      <c r="O69" s="273">
        <f ca="1">IF(ISERROR(MATCH(O$1,INDIRECT("Table!A"&amp;$AM69):INDIRECT("Table!" &amp; $AP$91 &amp; $AM69),0)),"",INDIRECT(CONCATENATE("Table!",ADDRESS($AI69,MATCH(O$1,INDIRECT("Table!A" &amp; $AM69):INDIRECT("Table!" &amp; $AP$91 &amp; $AM69),0)))))</f>
        <v>0.59514967996953816</v>
      </c>
      <c r="P69" s="273">
        <f ca="1">IF(ISERROR(MATCH(P$1,INDIRECT("Table!A"&amp;$AM69):INDIRECT("Table!" &amp; $AP$91 &amp; $AM69),0)),"",INDIRECT(CONCATENATE("Table!",ADDRESS($AI69,MATCH(P$1,INDIRECT("Table!A" &amp; $AM69):INDIRECT("Table!" &amp; $AP$91 &amp; $AM69),0)))))</f>
        <v>0.86044512889445468</v>
      </c>
      <c r="Q69" s="273">
        <f ca="1">IF(ISERROR(MATCH(Q$1,INDIRECT("Table!A"&amp;$AM69):INDIRECT("Table!" &amp; $AP$91 &amp; $AM69),0)),"",INDIRECT(CONCATENATE("Table!",ADDRESS($AI69,MATCH(Q$1,INDIRECT("Table!A" &amp; $AM69):INDIRECT("Table!" &amp; $AP$91 &amp; $AM69),0)))))</f>
        <v>9.5354785862750646E-2</v>
      </c>
      <c r="R69" s="273">
        <f ca="1">IF(ISERROR(MATCH(R$1,INDIRECT("Table!A"&amp;$AM69):INDIRECT("Table!" &amp; $AP$91 &amp; $AM69),0)),"",INDIRECT(CONCATENATE("Table!",ADDRESS($AI69,MATCH(R$1,INDIRECT("Table!A" &amp; $AM69):INDIRECT("Table!" &amp; $AP$91 &amp; $AM69),0)))))</f>
        <v>9.1727695670250603E-2</v>
      </c>
      <c r="S69" s="596" t="str">
        <f ca="1">IF(ISERROR(MATCH(S$1,INDIRECT("Table!A"&amp;$AM69):INDIRECT("Table!" &amp; $AP$91 &amp; $AM69),0)),"",INDIRECT(CONCATENATE("Table!",ADDRESS($AI69,MATCH(S$1,INDIRECT("Table!A" &amp; $AM69):INDIRECT("Table!" &amp; $AP$91 &amp; $AM69),0)))))</f>
        <v/>
      </c>
      <c r="T69" s="273">
        <f ca="1">IF(ISERROR(MATCH(T$1,INDIRECT("Table!A"&amp;$AM69):INDIRECT("Table!" &amp; $AP$65 &amp; $AM69),0)),"",INDIRECT(CONCATENATE("Table!",ADDRESS($AI69,MATCH(T$1,INDIRECT("Table!A" &amp; $AM69):INDIRECT("Table!" &amp; $AP$65 &amp; $AM69),0)))))</f>
        <v>0.16777322796573035</v>
      </c>
      <c r="U69" s="596" t="str">
        <f ca="1">IF(ISERROR(MATCH(U$1,INDIRECT("Table!A"&amp;$AM69):INDIRECT("Table!" &amp; $AP$65 &amp; $AM69),0)),"",INDIRECT(CONCATENATE("Table!",ADDRESS($AI69,MATCH(U$1,INDIRECT("Table!A" &amp; $AM69):INDIRECT("Table!" &amp; $AP$65 &amp; $AM69),0)))))</f>
        <v/>
      </c>
      <c r="V69" s="596"/>
      <c r="W69" s="596"/>
      <c r="X69" s="596"/>
      <c r="Y69" s="596"/>
      <c r="Z69" s="596"/>
      <c r="AA69" s="596"/>
      <c r="AB69" s="596"/>
      <c r="AC69" s="596"/>
      <c r="AD69" s="596"/>
      <c r="AE69" s="596"/>
      <c r="AF69" s="596"/>
      <c r="AG69" s="596"/>
      <c r="AH69" s="596"/>
      <c r="AI69" s="272">
        <f>MATCH($A69,Table!$A:$A,0)+$AK$2-1</f>
        <v>870</v>
      </c>
      <c r="AJ69" s="448"/>
      <c r="AK69" s="448"/>
      <c r="AL69" s="448"/>
      <c r="AM69" s="272">
        <f>MATCH($A69,Table!$A:$A,0)+$AO$2-1</f>
        <v>867</v>
      </c>
      <c r="AN69" s="448"/>
      <c r="AP69" s="947" t="s">
        <v>302</v>
      </c>
    </row>
    <row r="70" spans="1:42" s="267" customFormat="1" ht="15.75" customHeight="1" x14ac:dyDescent="0.25">
      <c r="A70" s="268">
        <v>41464</v>
      </c>
      <c r="B70" s="273">
        <f ca="1">IF(ISERROR(MATCH(B$1,INDIRECT("Table!A"&amp;$AM70):INDIRECT("Table!" &amp; $AP$113 &amp; $AM70),0)),"",INDIRECT(CONCATENATE("Table!",ADDRESS($AI70,MATCH(B$1,INDIRECT("Table!A" &amp; $AM70):INDIRECT("Table!" &amp; $AP$112 &amp; $AM70),0)))))</f>
        <v>0.30267725760671721</v>
      </c>
      <c r="C70" s="273">
        <f ca="1">IF(ISERROR(MATCH(C$1,INDIRECT("Table!A"&amp;$AM70):INDIRECT("Table!" &amp; $AP$112 &amp; $AM70),0)),"",INDIRECT(CONCATENATE("Table!",ADDRESS($AI70,MATCH(C$1,INDIRECT("Table!A" &amp; $AM70):INDIRECT("Table!" &amp; $AP$112 &amp; $AM70),0)))))</f>
        <v>0.52281241882130014</v>
      </c>
      <c r="D70" s="273">
        <f ca="1">IF(ISERROR(MATCH(D$1,INDIRECT("Table!A"&amp;$AM70):INDIRECT("Table!" &amp; $AP$112 &amp; $AM70),0)),"",INDIRECT(CONCATENATE("Table!",ADDRESS($AI70,MATCH(D$1,INDIRECT("Table!A" &amp; $AM70):INDIRECT("Table!" &amp; $AP$112 &amp; $AM70),0)))))</f>
        <v>0.53266647488285346</v>
      </c>
      <c r="E70" s="273">
        <f ca="1">IF(ISERROR(MATCH(E$1,INDIRECT("Table!A"&amp;$AM70):INDIRECT("Table!" &amp; $AP$112 &amp; $AM70),0)),"",INDIRECT(CONCATENATE("Table!",ADDRESS($AI70,MATCH(E$1,INDIRECT("Table!A" &amp; $AM70):INDIRECT("Table!" &amp; $AP$112 &amp; $AM70),0)))))</f>
        <v>0.79000240662249777</v>
      </c>
      <c r="F70" s="273">
        <f ca="1">IF(ISERROR(MATCH(F$1,INDIRECT("Table!A"&amp;$AM70):INDIRECT("Table!" &amp; $AP$112 &amp; $AM70),0)),"",INDIRECT(CONCATENATE("Table!",ADDRESS($AI70,MATCH(F$1,INDIRECT("Table!A" &amp; $AM70):INDIRECT("Table!" &amp; $AP$112 &amp; $AM70),0)))))</f>
        <v>0.63792810625406082</v>
      </c>
      <c r="G70" s="273">
        <f ca="1">IF(ISERROR(MATCH(G$1,INDIRECT("Table!A"&amp;$AM70):INDIRECT("Table!" &amp; $AP$112 &amp; $AM70),0)),"",INDIRECT(CONCATENATE("Table!",ADDRESS($AI70,MATCH(G$1,INDIRECT("Table!A" &amp; $AM70):INDIRECT("Table!" &amp; $AP$112 &amp; $AM70),0)))))</f>
        <v>0.44421412078293904</v>
      </c>
      <c r="H70" s="273">
        <f ca="1">IF(ISERROR(MATCH(H$1,INDIRECT("Table!A"&amp;$AM70):INDIRECT("Table!" &amp; $AP$112 &amp; $AM70),0)),"",INDIRECT(CONCATENATE("Table!",ADDRESS($AI70,MATCH(H$1,INDIRECT("Table!A" &amp; $AM70):INDIRECT("Table!" &amp; $AP$112 &amp; $AM70),0)))))</f>
        <v>0.51803547552006624</v>
      </c>
      <c r="I70" s="273">
        <f ca="1">IF(ISERROR(MATCH(I$1,INDIRECT("Table!A"&amp;$AM70):INDIRECT("Table!" &amp; $AP$91 &amp; $AM70),0)),"",INDIRECT(CONCATENATE("Table!",ADDRESS($AI70,MATCH(I$1,INDIRECT("Table!A" &amp; $AM70):INDIRECT("Table!" &amp; $AP$91 &amp; $AM70),0)))))</f>
        <v>0.10239311951696398</v>
      </c>
      <c r="J70" s="273">
        <f ca="1">IF(ISERROR(MATCH(J$1,INDIRECT("Table!A"&amp;$AM70):INDIRECT("Table!" &amp; $AP$91 &amp; $AM70),0)),"",INDIRECT(CONCATENATE("Table!",ADDRESS($AI70,MATCH(J$1,INDIRECT("Table!A" &amp; $AM70):INDIRECT("Table!" &amp; $AP$91 &amp; $AM70),0)))))</f>
        <v>9.0026576750104961E-2</v>
      </c>
      <c r="K70" s="273">
        <f ca="1">IF(ISERROR(MATCH(K$1,INDIRECT("Table!A"&amp;$AM70):INDIRECT("Table!" &amp; $AP$91 &amp; $AM70),0)),"",INDIRECT(CONCATENATE("Table!",ADDRESS($AI70,MATCH(K$1,INDIRECT("Table!A" &amp; $AM70):INDIRECT("Table!" &amp; $AP$91 &amp; $AM70),0)))))</f>
        <v>3.5587188612099643E-5</v>
      </c>
      <c r="L70" s="273">
        <f ca="1">IF(ISERROR(MATCH(L$1,INDIRECT("Table!A"&amp;$AM70):INDIRECT("Table!" &amp; $AP$91 &amp; $AM70),0)),"",INDIRECT(CONCATENATE("Table!",ADDRESS($AI70,MATCH(L$1,INDIRECT("Table!A" &amp; $AM70):INDIRECT("Table!" &amp; $AP$91 &amp; $AM70),0)))))</f>
        <v>0.83950036548893403</v>
      </c>
      <c r="M70" s="273">
        <f ca="1">IF(ISERROR(MATCH(M$1,INDIRECT("Table!A"&amp;$AM70):INDIRECT("Table!" &amp; $AP$91 &amp; $AM70),0)),"",INDIRECT(CONCATENATE("Table!",ADDRESS($AI70,MATCH(M$1,INDIRECT("Table!A" &amp; $AM70):INDIRECT("Table!" &amp; $AP$91 &amp; $AM70),0)))))</f>
        <v>0.41714743262276088</v>
      </c>
      <c r="N70" s="273">
        <f ca="1">IF(ISERROR(MATCH(N$1,INDIRECT("Table!A"&amp;$AM70):INDIRECT("Table!" &amp; $AP$91 &amp; $AM70),0)),"",INDIRECT(CONCATENATE("Table!",ADDRESS($AI70,MATCH(N$1,INDIRECT("Table!A" &amp; $AM70):INDIRECT("Table!" &amp; $AP$91 &amp; $AM70),0)))))</f>
        <v>0.65545423116627533</v>
      </c>
      <c r="O70" s="273">
        <f ca="1">IF(ISERROR(MATCH(O$1,INDIRECT("Table!A"&amp;$AM70):INDIRECT("Table!" &amp; $AP$91 &amp; $AM70),0)),"",INDIRECT(CONCATENATE("Table!",ADDRESS($AI70,MATCH(O$1,INDIRECT("Table!A" &amp; $AM70):INDIRECT("Table!" &amp; $AP$91 &amp; $AM70),0)))))</f>
        <v>0.58513172925241608</v>
      </c>
      <c r="P70" s="273">
        <f ca="1">IF(ISERROR(MATCH(P$1,INDIRECT("Table!A"&amp;$AM70):INDIRECT("Table!" &amp; $AP$91 &amp; $AM70),0)),"",INDIRECT(CONCATENATE("Table!",ADDRESS($AI70,MATCH(P$1,INDIRECT("Table!A" &amp; $AM70):INDIRECT("Table!" &amp; $AP$91 &amp; $AM70),0)))))</f>
        <v>0.10522129520613684</v>
      </c>
      <c r="Q70" s="273">
        <f ca="1">IF(ISERROR(MATCH(Q$1,INDIRECT("Table!A"&amp;$AM70):INDIRECT("Table!" &amp; $AP$91 &amp; $AM70),0)),"",INDIRECT(CONCATENATE("Table!",ADDRESS($AI70,MATCH(Q$1,INDIRECT("Table!A" &amp; $AM70):INDIRECT("Table!" &amp; $AP$91 &amp; $AM70),0)))))</f>
        <v>7.458927218311201E-2</v>
      </c>
      <c r="R70" s="273">
        <f ca="1">IF(ISERROR(MATCH(R$1,INDIRECT("Table!A"&amp;$AM70):INDIRECT("Table!" &amp; $AP$91 &amp; $AM70),0)),"",INDIRECT(CONCATENATE("Table!",ADDRESS($AI70,MATCH(R$1,INDIRECT("Table!A" &amp; $AM70):INDIRECT("Table!" &amp; $AP$91 &amp; $AM70),0)))))</f>
        <v>3.4072840160520936E-5</v>
      </c>
      <c r="S70" s="596" t="str">
        <f ca="1">IF(ISERROR(MATCH(S$1,INDIRECT("Table!A"&amp;$AM70):INDIRECT("Table!" &amp; $AP$91 &amp; $AM70),0)),"",INDIRECT(CONCATENATE("Table!",ADDRESS($AI70,MATCH(S$1,INDIRECT("Table!A" &amp; $AM70):INDIRECT("Table!" &amp; $AP$91 &amp; $AM70),0)))))</f>
        <v/>
      </c>
      <c r="T70" s="273">
        <f ca="1">IF(ISERROR(MATCH(T$1,INDIRECT("Table!A"&amp;$AM70):INDIRECT("Table!" &amp; $AP$65 &amp; $AM70),0)),"",INDIRECT(CONCATENATE("Table!",ADDRESS($AI70,MATCH(T$1,INDIRECT("Table!A" &amp; $AM70):INDIRECT("Table!" &amp; $AP$65 &amp; $AM70),0)))))</f>
        <v>0.1527326574092262</v>
      </c>
      <c r="U70" s="596" t="str">
        <f ca="1">IF(ISERROR(MATCH(U$1,INDIRECT("Table!A"&amp;$AM70):INDIRECT("Table!" &amp; $AP$65 &amp; $AM70),0)),"",INDIRECT(CONCATENATE("Table!",ADDRESS($AI70,MATCH(U$1,INDIRECT("Table!A" &amp; $AM70):INDIRECT("Table!" &amp; $AP$65 &amp; $AM70),0)))))</f>
        <v/>
      </c>
      <c r="V70" s="596"/>
      <c r="W70" s="596"/>
      <c r="X70" s="596"/>
      <c r="Y70" s="596"/>
      <c r="Z70" s="596"/>
      <c r="AA70" s="596"/>
      <c r="AB70" s="596"/>
      <c r="AC70" s="596"/>
      <c r="AD70" s="596"/>
      <c r="AE70" s="596"/>
      <c r="AF70" s="596"/>
      <c r="AG70" s="596"/>
      <c r="AH70" s="596"/>
      <c r="AI70" s="272">
        <f>MATCH($A70,Table!$A:$A,0)+$AK$2-1</f>
        <v>882</v>
      </c>
      <c r="AJ70" s="448"/>
      <c r="AK70" s="448"/>
      <c r="AL70" s="448"/>
      <c r="AM70" s="272">
        <f>MATCH($A70,Table!$A:$A,0)+$AO$2-1</f>
        <v>879</v>
      </c>
      <c r="AN70" s="448"/>
      <c r="AP70" s="947" t="s">
        <v>302</v>
      </c>
    </row>
    <row r="71" spans="1:42" s="267" customFormat="1" ht="15.75" customHeight="1" x14ac:dyDescent="0.25">
      <c r="A71" s="268">
        <v>41449</v>
      </c>
      <c r="B71" s="273">
        <f ca="1">IF(ISERROR(MATCH(B$1,INDIRECT("Table!A"&amp;$AM71):INDIRECT("Table!" &amp; $AP$113 &amp; $AM71),0)),"",INDIRECT(CONCATENATE("Table!",ADDRESS($AI71,MATCH(B$1,INDIRECT("Table!A" &amp; $AM71):INDIRECT("Table!" &amp; $AP$112 &amp; $AM71),0)))))</f>
        <v>0.30267725760671721</v>
      </c>
      <c r="C71" s="273">
        <f ca="1">IF(ISERROR(MATCH(C$1,INDIRECT("Table!A"&amp;$AM71):INDIRECT("Table!" &amp; $AP$112 &amp; $AM71),0)),"",INDIRECT(CONCATENATE("Table!",ADDRESS($AI71,MATCH(C$1,INDIRECT("Table!A" &amp; $AM71):INDIRECT("Table!" &amp; $AP$112 &amp; $AM71),0)))))</f>
        <v>0.52281241882130014</v>
      </c>
      <c r="D71" s="273">
        <f ca="1">IF(ISERROR(MATCH(D$1,INDIRECT("Table!A"&amp;$AM71):INDIRECT("Table!" &amp; $AP$112 &amp; $AM71),0)),"",INDIRECT(CONCATENATE("Table!",ADDRESS($AI71,MATCH(D$1,INDIRECT("Table!A" &amp; $AM71):INDIRECT("Table!" &amp; $AP$112 &amp; $AM71),0)))))</f>
        <v>0.53266647488285346</v>
      </c>
      <c r="E71" s="273">
        <f ca="1">IF(ISERROR(MATCH(E$1,INDIRECT("Table!A"&amp;$AM71):INDIRECT("Table!" &amp; $AP$112 &amp; $AM71),0)),"",INDIRECT(CONCATENATE("Table!",ADDRESS($AI71,MATCH(E$1,INDIRECT("Table!A" &amp; $AM71):INDIRECT("Table!" &amp; $AP$112 &amp; $AM71),0)))))</f>
        <v>0.79000240662249777</v>
      </c>
      <c r="F71" s="273">
        <f ca="1">IF(ISERROR(MATCH(F$1,INDIRECT("Table!A"&amp;$AM71):INDIRECT("Table!" &amp; $AP$112 &amp; $AM71),0)),"",INDIRECT(CONCATENATE("Table!",ADDRESS($AI71,MATCH(F$1,INDIRECT("Table!A" &amp; $AM71):INDIRECT("Table!" &amp; $AP$112 &amp; $AM71),0)))))</f>
        <v>0.63792810625406082</v>
      </c>
      <c r="G71" s="273">
        <f ca="1">IF(ISERROR(MATCH(G$1,INDIRECT("Table!A"&amp;$AM71):INDIRECT("Table!" &amp; $AP$112 &amp; $AM71),0)),"",INDIRECT(CONCATENATE("Table!",ADDRESS($AI71,MATCH(G$1,INDIRECT("Table!A" &amp; $AM71):INDIRECT("Table!" &amp; $AP$112 &amp; $AM71),0)))))</f>
        <v>0.44421412078293904</v>
      </c>
      <c r="H71" s="273">
        <f ca="1">IF(ISERROR(MATCH(H$1,INDIRECT("Table!A"&amp;$AM71):INDIRECT("Table!" &amp; $AP$112 &amp; $AM71),0)),"",INDIRECT(CONCATENATE("Table!",ADDRESS($AI71,MATCH(H$1,INDIRECT("Table!A" &amp; $AM71):INDIRECT("Table!" &amp; $AP$112 &amp; $AM71),0)))))</f>
        <v>0.51803547552006624</v>
      </c>
      <c r="I71" s="273">
        <f ca="1">IF(ISERROR(MATCH(I$1,INDIRECT("Table!A"&amp;$AM71):INDIRECT("Table!" &amp; $AP$91 &amp; $AM71),0)),"",INDIRECT(CONCATENATE("Table!",ADDRESS($AI71,MATCH(I$1,INDIRECT("Table!A" &amp; $AM71):INDIRECT("Table!" &amp; $AP$91 &amp; $AM71),0)))))</f>
        <v>0.10239311951696398</v>
      </c>
      <c r="J71" s="273">
        <f ca="1">IF(ISERROR(MATCH(J$1,INDIRECT("Table!A"&amp;$AM71):INDIRECT("Table!" &amp; $AP$91 &amp; $AM71),0)),"",INDIRECT(CONCATENATE("Table!",ADDRESS($AI71,MATCH(J$1,INDIRECT("Table!A" &amp; $AM71):INDIRECT("Table!" &amp; $AP$91 &amp; $AM71),0)))))</f>
        <v>9.0026576750104961E-2</v>
      </c>
      <c r="K71" s="273">
        <f ca="1">IF(ISERROR(MATCH(K$1,INDIRECT("Table!A"&amp;$AM71):INDIRECT("Table!" &amp; $AP$91 &amp; $AM71),0)),"",INDIRECT(CONCATENATE("Table!",ADDRESS($AI71,MATCH(K$1,INDIRECT("Table!A" &amp; $AM71):INDIRECT("Table!" &amp; $AP$91 &amp; $AM71),0)))))</f>
        <v>3.5587188612099643E-5</v>
      </c>
      <c r="L71" s="273">
        <f ca="1">IF(ISERROR(MATCH(L$1,INDIRECT("Table!A"&amp;$AM71):INDIRECT("Table!" &amp; $AP$91 &amp; $AM71),0)),"",INDIRECT(CONCATENATE("Table!",ADDRESS($AI71,MATCH(L$1,INDIRECT("Table!A" &amp; $AM71):INDIRECT("Table!" &amp; $AP$91 &amp; $AM71),0)))))</f>
        <v>0.83950036548893403</v>
      </c>
      <c r="M71" s="273">
        <f ca="1">IF(ISERROR(MATCH(M$1,INDIRECT("Table!A"&amp;$AM71):INDIRECT("Table!" &amp; $AP$91 &amp; $AM71),0)),"",INDIRECT(CONCATENATE("Table!",ADDRESS($AI71,MATCH(M$1,INDIRECT("Table!A" &amp; $AM71):INDIRECT("Table!" &amp; $AP$91 &amp; $AM71),0)))))</f>
        <v>0.41714743262276088</v>
      </c>
      <c r="N71" s="273">
        <f ca="1">IF(ISERROR(MATCH(N$1,INDIRECT("Table!A"&amp;$AM71):INDIRECT("Table!" &amp; $AP$91 &amp; $AM71),0)),"",INDIRECT(CONCATENATE("Table!",ADDRESS($AI71,MATCH(N$1,INDIRECT("Table!A" &amp; $AM71):INDIRECT("Table!" &amp; $AP$91 &amp; $AM71),0)))))</f>
        <v>0.65545423116627533</v>
      </c>
      <c r="O71" s="273">
        <f ca="1">IF(ISERROR(MATCH(O$1,INDIRECT("Table!A"&amp;$AM71):INDIRECT("Table!" &amp; $AP$91 &amp; $AM71),0)),"",INDIRECT(CONCATENATE("Table!",ADDRESS($AI71,MATCH(O$1,INDIRECT("Table!A" &amp; $AM71):INDIRECT("Table!" &amp; $AP$91 &amp; $AM71),0)))))</f>
        <v>0.58513172925241608</v>
      </c>
      <c r="P71" s="273">
        <f ca="1">IF(ISERROR(MATCH(P$1,INDIRECT("Table!A"&amp;$AM71):INDIRECT("Table!" &amp; $AP$91 &amp; $AM71),0)),"",INDIRECT(CONCATENATE("Table!",ADDRESS($AI71,MATCH(P$1,INDIRECT("Table!A" &amp; $AM71):INDIRECT("Table!" &amp; $AP$91 &amp; $AM71),0)))))</f>
        <v>0.10522129520613684</v>
      </c>
      <c r="Q71" s="273">
        <f ca="1">IF(ISERROR(MATCH(Q$1,INDIRECT("Table!A"&amp;$AM71):INDIRECT("Table!" &amp; $AP$91 &amp; $AM71),0)),"",INDIRECT(CONCATENATE("Table!",ADDRESS($AI71,MATCH(Q$1,INDIRECT("Table!A" &amp; $AM71):INDIRECT("Table!" &amp; $AP$91 &amp; $AM71),0)))))</f>
        <v>7.458927218311201E-2</v>
      </c>
      <c r="R71" s="273">
        <f ca="1">IF(ISERROR(MATCH(R$1,INDIRECT("Table!A"&amp;$AM71):INDIRECT("Table!" &amp; $AP$91 &amp; $AM71),0)),"",INDIRECT(CONCATENATE("Table!",ADDRESS($AI71,MATCH(R$1,INDIRECT("Table!A" &amp; $AM71):INDIRECT("Table!" &amp; $AP$91 &amp; $AM71),0)))))</f>
        <v>3.4072840160520936E-5</v>
      </c>
      <c r="S71" s="596" t="str">
        <f ca="1">IF(ISERROR(MATCH(S$1,INDIRECT("Table!A"&amp;$AM71):INDIRECT("Table!" &amp; $AP$91 &amp; $AM71),0)),"",INDIRECT(CONCATENATE("Table!",ADDRESS($AI71,MATCH(S$1,INDIRECT("Table!A" &amp; $AM71):INDIRECT("Table!" &amp; $AP$91 &amp; $AM71),0)))))</f>
        <v/>
      </c>
      <c r="T71" s="273">
        <f ca="1">IF(ISERROR(MATCH(T$1,INDIRECT("Table!A"&amp;$AM71):INDIRECT("Table!" &amp; $AP$65 &amp; $AM71),0)),"",INDIRECT(CONCATENATE("Table!",ADDRESS($AI71,MATCH(T$1,INDIRECT("Table!A" &amp; $AM71):INDIRECT("Table!" &amp; $AP$65 &amp; $AM71),0)))))</f>
        <v>0.1527326574092262</v>
      </c>
      <c r="U71" s="596" t="str">
        <f ca="1">IF(ISERROR(MATCH(U$1,INDIRECT("Table!A"&amp;$AM71):INDIRECT("Table!" &amp; $AP$65 &amp; $AM71),0)),"",INDIRECT(CONCATENATE("Table!",ADDRESS($AI71,MATCH(U$1,INDIRECT("Table!A" &amp; $AM71):INDIRECT("Table!" &amp; $AP$65 &amp; $AM71),0)))))</f>
        <v/>
      </c>
      <c r="V71" s="596"/>
      <c r="W71" s="596"/>
      <c r="X71" s="596"/>
      <c r="Y71" s="596"/>
      <c r="Z71" s="596"/>
      <c r="AA71" s="596"/>
      <c r="AB71" s="596"/>
      <c r="AC71" s="596"/>
      <c r="AD71" s="596"/>
      <c r="AE71" s="596"/>
      <c r="AF71" s="596"/>
      <c r="AG71" s="596"/>
      <c r="AH71" s="596"/>
      <c r="AI71" s="272">
        <f>MATCH($A71,Table!$A:$A,0)+$AK$2-1</f>
        <v>894</v>
      </c>
      <c r="AJ71" s="448"/>
      <c r="AK71" s="448"/>
      <c r="AL71" s="448"/>
      <c r="AM71" s="272">
        <f>MATCH($A71,Table!$A:$A,0)+$AO$2-1</f>
        <v>891</v>
      </c>
      <c r="AN71" s="448"/>
      <c r="AP71" s="947" t="s">
        <v>302</v>
      </c>
    </row>
    <row r="72" spans="1:42" s="267" customFormat="1" ht="15.75" customHeight="1" x14ac:dyDescent="0.25">
      <c r="A72" s="268">
        <v>41445</v>
      </c>
      <c r="B72" s="273">
        <f ca="1">IF(ISERROR(MATCH(B$1,INDIRECT("Table!A"&amp;$AM72):INDIRECT("Table!" &amp; $AP$113 &amp; $AM72),0)),"",INDIRECT(CONCATENATE("Table!",ADDRESS($AI72,MATCH(B$1,INDIRECT("Table!A" &amp; $AM72):INDIRECT("Table!" &amp; $AP$112 &amp; $AM72),0)))))</f>
        <v>0.30380771725258554</v>
      </c>
      <c r="C72" s="273">
        <f ca="1">IF(ISERROR(MATCH(C$1,INDIRECT("Table!A"&amp;$AM72):INDIRECT("Table!" &amp; $AP$112 &amp; $AM72),0)),"",INDIRECT(CONCATENATE("Table!",ADDRESS($AI72,MATCH(C$1,INDIRECT("Table!A" &amp; $AM72):INDIRECT("Table!" &amp; $AP$112 &amp; $AM72),0)))))</f>
        <v>0.52214272569090336</v>
      </c>
      <c r="D72" s="273">
        <f ca="1">IF(ISERROR(MATCH(D$1,INDIRECT("Table!A"&amp;$AM72):INDIRECT("Table!" &amp; $AP$112 &amp; $AM72),0)),"",INDIRECT(CONCATENATE("Table!",ADDRESS($AI72,MATCH(D$1,INDIRECT("Table!A" &amp; $AM72):INDIRECT("Table!" &amp; $AP$112 &amp; $AM72),0)))))</f>
        <v>0.53199146672761233</v>
      </c>
      <c r="E72" s="273">
        <f ca="1">IF(ISERROR(MATCH(E$1,INDIRECT("Table!A"&amp;$AM72):INDIRECT("Table!" &amp; $AP$112 &amp; $AM72),0)),"",INDIRECT(CONCATENATE("Table!",ADDRESS($AI72,MATCH(E$1,INDIRECT("Table!A" &amp; $AM72):INDIRECT("Table!" &amp; $AP$112 &amp; $AM72),0)))))</f>
        <v>0.78931283784749062</v>
      </c>
      <c r="F72" s="273">
        <f ca="1">IF(ISERROR(MATCH(F$1,INDIRECT("Table!A"&amp;$AM72):INDIRECT("Table!" &amp; $AP$112 &amp; $AM72),0)),"",INDIRECT(CONCATENATE("Table!",ADDRESS($AI72,MATCH(F$1,INDIRECT("Table!A" &amp; $AM72):INDIRECT("Table!" &amp; $AP$112 &amp; $AM72),0)))))</f>
        <v>0.6360091264864538</v>
      </c>
      <c r="G72" s="273">
        <f ca="1">IF(ISERROR(MATCH(G$1,INDIRECT("Table!A"&amp;$AM72):INDIRECT("Table!" &amp; $AP$112 &amp; $AM72),0)),"",INDIRECT(CONCATENATE("Table!",ADDRESS($AI72,MATCH(G$1,INDIRECT("Table!A" &amp; $AM72):INDIRECT("Table!" &amp; $AP$112 &amp; $AM72),0)))))</f>
        <v>0.43361872781116589</v>
      </c>
      <c r="H72" s="273">
        <f ca="1">IF(ISERROR(MATCH(H$1,INDIRECT("Table!A"&amp;$AM72):INDIRECT("Table!" &amp; $AP$112 &amp; $AM72),0)),"",INDIRECT(CONCATENATE("Table!",ADDRESS($AI72,MATCH(H$1,INDIRECT("Table!A" &amp; $AM72):INDIRECT("Table!" &amp; $AP$112 &amp; $AM72),0)))))</f>
        <v>0.51447283302313984</v>
      </c>
      <c r="I72" s="273">
        <f ca="1">IF(ISERROR(MATCH(I$1,INDIRECT("Table!A"&amp;$AM72):INDIRECT("Table!" &amp; $AP$91 &amp; $AM72),0)),"",INDIRECT(CONCATENATE("Table!",ADDRESS($AI72,MATCH(I$1,INDIRECT("Table!A" &amp; $AM72):INDIRECT("Table!" &amp; $AP$91 &amp; $AM72),0)))))</f>
        <v>0.10238042712907253</v>
      </c>
      <c r="J72" s="273">
        <f ca="1">IF(ISERROR(MATCH(J$1,INDIRECT("Table!A"&amp;$AM72):INDIRECT("Table!" &amp; $AP$91 &amp; $AM72),0)),"",INDIRECT(CONCATENATE("Table!",ADDRESS($AI72,MATCH(J$1,INDIRECT("Table!A" &amp; $AM72):INDIRECT("Table!" &amp; $AP$91 &amp; $AM72),0)))))</f>
        <v>9.0205125763432297E-3</v>
      </c>
      <c r="K72" s="273">
        <f ca="1">IF(ISERROR(MATCH(K$1,INDIRECT("Table!A"&amp;$AM72):INDIRECT("Table!" &amp; $AP$91 &amp; $AM72),0)),"",INDIRECT(CONCATENATE("Table!",ADDRESS($AI72,MATCH(K$1,INDIRECT("Table!A" &amp; $AM72):INDIRECT("Table!" &amp; $AP$91 &amp; $AM72),0)))))</f>
        <v>3.5587188612099643E-5</v>
      </c>
      <c r="L72" s="273">
        <f ca="1">IF(ISERROR(MATCH(L$1,INDIRECT("Table!A"&amp;$AM72):INDIRECT("Table!" &amp; $AP$91 &amp; $AM72),0)),"",INDIRECT(CONCATENATE("Table!",ADDRESS($AI72,MATCH(L$1,INDIRECT("Table!A" &amp; $AM72):INDIRECT("Table!" &amp; $AP$91 &amp; $AM72),0)))))</f>
        <v>0.83728722767707031</v>
      </c>
      <c r="M72" s="273">
        <f ca="1">IF(ISERROR(MATCH(M$1,INDIRECT("Table!A"&amp;$AM72):INDIRECT("Table!" &amp; $AP$91 &amp; $AM72),0)),"",INDIRECT(CONCATENATE("Table!",ADDRESS($AI72,MATCH(M$1,INDIRECT("Table!A" &amp; $AM72):INDIRECT("Table!" &amp; $AP$91 &amp; $AM72),0)))))</f>
        <v>0.42697617323164783</v>
      </c>
      <c r="N72" s="273">
        <f ca="1">IF(ISERROR(MATCH(N$1,INDIRECT("Table!A"&amp;$AM72):INDIRECT("Table!" &amp; $AP$91 &amp; $AM72),0)),"",INDIRECT(CONCATENATE("Table!",ADDRESS($AI72,MATCH(N$1,INDIRECT("Table!A" &amp; $AM72):INDIRECT("Table!" &amp; $AP$91 &amp; $AM72),0)))))</f>
        <v>0.65353586391801421</v>
      </c>
      <c r="O72" s="273">
        <f ca="1">IF(ISERROR(MATCH(O$1,INDIRECT("Table!A"&amp;$AM72):INDIRECT("Table!" &amp; $AP$91 &amp; $AM72),0)),"",INDIRECT(CONCATENATE("Table!",ADDRESS($AI72,MATCH(O$1,INDIRECT("Table!A" &amp; $AM72):INDIRECT("Table!" &amp; $AP$91 &amp; $AM72),0)))))</f>
        <v>0.58063861036064623</v>
      </c>
      <c r="P72" s="273">
        <f ca="1">IF(ISERROR(MATCH(P$1,INDIRECT("Table!A"&amp;$AM72):INDIRECT("Table!" &amp; $AP$91 &amp; $AM72),0)),"",INDIRECT(CONCATENATE("Table!",ADDRESS($AI72,MATCH(P$1,INDIRECT("Table!A" &amp; $AM72):INDIRECT("Table!" &amp; $AP$91 &amp; $AM72),0)))))</f>
        <v>0.10520799839471222</v>
      </c>
      <c r="Q72" s="273">
        <f ca="1">IF(ISERROR(MATCH(Q$1,INDIRECT("Table!A"&amp;$AM72):INDIRECT("Table!" &amp; $AP$91 &amp; $AM72),0)),"",INDIRECT(CONCATENATE("Table!",ADDRESS($AI72,MATCH(Q$1,INDIRECT("Table!A" &amp; $AM72):INDIRECT("Table!" &amp; $AP$91 &amp; $AM72),0)))))</f>
        <v>1.027031203037756E-2</v>
      </c>
      <c r="R72" s="273">
        <f ca="1">IF(ISERROR(MATCH(R$1,INDIRECT("Table!A"&amp;$AM72):INDIRECT("Table!" &amp; $AP$91 &amp; $AM72),0)),"",INDIRECT(CONCATENATE("Table!",ADDRESS($AI72,MATCH(R$1,INDIRECT("Table!A" &amp; $AM72):INDIRECT("Table!" &amp; $AP$91 &amp; $AM72),0)))))</f>
        <v>3.4830014386310289E-5</v>
      </c>
      <c r="S72" s="596" t="str">
        <f ca="1">IF(ISERROR(MATCH(S$1,INDIRECT("Table!A"&amp;$AM72):INDIRECT("Table!" &amp; $AP$91 &amp; $AM72),0)),"",INDIRECT(CONCATENATE("Table!",ADDRESS($AI72,MATCH(S$1,INDIRECT("Table!A" &amp; $AM72):INDIRECT("Table!" &amp; $AP$91 &amp; $AM72),0)))))</f>
        <v/>
      </c>
      <c r="T72" s="273">
        <f ca="1">IF(ISERROR(MATCH(T$1,INDIRECT("Table!A"&amp;$AM72):INDIRECT("Table!" &amp; $AP$65 &amp; $AM72),0)),"",INDIRECT(CONCATENATE("Table!",ADDRESS($AI72,MATCH(T$1,INDIRECT("Table!A" &amp; $AM72):INDIRECT("Table!" &amp; $AP$65 &amp; $AM72),0)))))</f>
        <v>0.1520315498405887</v>
      </c>
      <c r="U72" s="596" t="str">
        <f ca="1">IF(ISERROR(MATCH(U$1,INDIRECT("Table!A"&amp;$AM72):INDIRECT("Table!" &amp; $AP$65 &amp; $AM72),0)),"",INDIRECT(CONCATENATE("Table!",ADDRESS($AI72,MATCH(U$1,INDIRECT("Table!A" &amp; $AM72):INDIRECT("Table!" &amp; $AP$65 &amp; $AM72),0)))))</f>
        <v/>
      </c>
      <c r="V72" s="596"/>
      <c r="W72" s="596"/>
      <c r="X72" s="596"/>
      <c r="Y72" s="596"/>
      <c r="Z72" s="596"/>
      <c r="AA72" s="596"/>
      <c r="AB72" s="596"/>
      <c r="AC72" s="596"/>
      <c r="AD72" s="596"/>
      <c r="AE72" s="596"/>
      <c r="AF72" s="596"/>
      <c r="AG72" s="596"/>
      <c r="AH72" s="596"/>
      <c r="AI72" s="272">
        <f>MATCH($A72,Table!$A:$A,0)+$AK$2-1</f>
        <v>906</v>
      </c>
      <c r="AJ72" s="407"/>
      <c r="AK72" s="407"/>
      <c r="AL72" s="407"/>
      <c r="AM72" s="272">
        <f>MATCH($A72,Table!$A:$A,0)+$AO$2-1</f>
        <v>903</v>
      </c>
      <c r="AN72" s="407"/>
      <c r="AP72" s="947" t="s">
        <v>302</v>
      </c>
    </row>
    <row r="73" spans="1:42" s="267" customFormat="1" ht="15.75" customHeight="1" x14ac:dyDescent="0.25">
      <c r="A73" s="268">
        <v>41443</v>
      </c>
      <c r="B73" s="273">
        <f ca="1">IF(ISERROR(MATCH(B$1,INDIRECT("Table!A"&amp;$AM73):INDIRECT("Table!" &amp; $AP$113 &amp; $AM73),0)),"",INDIRECT(CONCATENATE("Table!",ADDRESS($AI73,MATCH(B$1,INDIRECT("Table!A" &amp; $AM73):INDIRECT("Table!" &amp; $AP$112 &amp; $AM73),0)))))</f>
        <v>0.29198775393498988</v>
      </c>
      <c r="C73" s="273">
        <f ca="1">IF(ISERROR(MATCH(C$1,INDIRECT("Table!A"&amp;$AM73):INDIRECT("Table!" &amp; $AP$112 &amp; $AM73),0)),"",INDIRECT(CONCATENATE("Table!",ADDRESS($AI73,MATCH(C$1,INDIRECT("Table!A" &amp; $AM73):INDIRECT("Table!" &amp; $AP$112 &amp; $AM73),0)))))</f>
        <v>0.52211083554183679</v>
      </c>
      <c r="D73" s="273">
        <f ca="1">IF(ISERROR(MATCH(D$1,INDIRECT("Table!A"&amp;$AM73):INDIRECT("Table!" &amp; $AP$112 &amp; $AM73),0)),"",INDIRECT(CONCATENATE("Table!",ADDRESS($AI73,MATCH(D$1,INDIRECT("Table!A" &amp; $AM73):INDIRECT("Table!" &amp; $AP$112 &amp; $AM73),0)))))</f>
        <v>0.53196024095665129</v>
      </c>
      <c r="E73" s="273">
        <f ca="1">IF(ISERROR(MATCH(E$1,INDIRECT("Table!A"&amp;$AM73):INDIRECT("Table!" &amp; $AP$112 &amp; $AM73),0)),"",INDIRECT(CONCATENATE("Table!",ADDRESS($AI73,MATCH(E$1,INDIRECT("Table!A" &amp; $AM73):INDIRECT("Table!" &amp; $AP$112 &amp; $AM73),0)))))</f>
        <v>0.78846942105893603</v>
      </c>
      <c r="F73" s="273">
        <f ca="1">IF(ISERROR(MATCH(F$1,INDIRECT("Table!A"&amp;$AM73):INDIRECT("Table!" &amp; $AP$112 &amp; $AM73),0)),"",INDIRECT(CONCATENATE("Table!",ADDRESS($AI73,MATCH(F$1,INDIRECT("Table!A" &amp; $AM73):INDIRECT("Table!" &amp; $AP$112 &amp; $AM73),0)))))</f>
        <v>0.63424245629410259</v>
      </c>
      <c r="G73" s="273">
        <f ca="1">IF(ISERROR(MATCH(G$1,INDIRECT("Table!A"&amp;$AM73):INDIRECT("Table!" &amp; $AP$112 &amp; $AM73),0)),"",INDIRECT(CONCATENATE("Table!",ADDRESS($AI73,MATCH(G$1,INDIRECT("Table!A" &amp; $AM73):INDIRECT("Table!" &amp; $AP$112 &amp; $AM73),0)))))</f>
        <v>0.43301479041177482</v>
      </c>
      <c r="H73" s="273">
        <f ca="1">IF(ISERROR(MATCH(H$1,INDIRECT("Table!A"&amp;$AM73):INDIRECT("Table!" &amp; $AP$112 &amp; $AM73),0)),"",INDIRECT(CONCATENATE("Table!",ADDRESS($AI73,MATCH(H$1,INDIRECT("Table!A" &amp; $AM73):INDIRECT("Table!" &amp; $AP$112 &amp; $AM73),0)))))</f>
        <v>0.51353640376069054</v>
      </c>
      <c r="I73" s="273">
        <f ca="1">IF(ISERROR(MATCH(I$1,INDIRECT("Table!A"&amp;$AM73):INDIRECT("Table!" &amp; $AP$91 &amp; $AM73),0)),"",INDIRECT(CONCATENATE("Table!",ADDRESS($AI73,MATCH(I$1,INDIRECT("Table!A" &amp; $AM73):INDIRECT("Table!" &amp; $AP$91 &amp; $AM73),0)))))</f>
        <v>0.10237800953137891</v>
      </c>
      <c r="J73" s="273">
        <f ca="1">IF(ISERROR(MATCH(J$1,INDIRECT("Table!A"&amp;$AM73):INDIRECT("Table!" &amp; $AP$91 &amp; $AM73),0)),"",INDIRECT(CONCATENATE("Table!",ADDRESS($AI73,MATCH(J$1,INDIRECT("Table!A" &amp; $AM73):INDIRECT("Table!" &amp; $AP$91 &amp; $AM73),0)))))</f>
        <v>8.9934596955360581E-3</v>
      </c>
      <c r="K73" s="273">
        <f ca="1">IF(ISERROR(MATCH(K$1,INDIRECT("Table!A"&amp;$AM73):INDIRECT("Table!" &amp; $AP$91 &amp; $AM73),0)),"",INDIRECT(CONCATENATE("Table!",ADDRESS($AI73,MATCH(K$1,INDIRECT("Table!A" &amp; $AM73):INDIRECT("Table!" &amp; $AP$91 &amp; $AM73),0)))))</f>
        <v>3.5587188612099643E-5</v>
      </c>
      <c r="L73" s="273">
        <f ca="1">IF(ISERROR(MATCH(L$1,INDIRECT("Table!A"&amp;$AM73):INDIRECT("Table!" &amp; $AP$91 &amp; $AM73),0)),"",INDIRECT(CONCATENATE("Table!",ADDRESS($AI73,MATCH(L$1,INDIRECT("Table!A" &amp; $AM73):INDIRECT("Table!" &amp; $AP$91 &amp; $AM73),0)))))</f>
        <v>0.83709192033739988</v>
      </c>
      <c r="M73" s="273">
        <f ca="1">IF(ISERROR(MATCH(M$1,INDIRECT("Table!A"&amp;$AM73):INDIRECT("Table!" &amp; $AP$91 &amp; $AM73),0)),"",INDIRECT(CONCATENATE("Table!",ADDRESS($AI73,MATCH(M$1,INDIRECT("Table!A" &amp; $AM73):INDIRECT("Table!" &amp; $AP$91 &amp; $AM73),0)))))</f>
        <v>0.43820199208524147</v>
      </c>
      <c r="N73" s="273">
        <f ca="1">IF(ISERROR(MATCH(N$1,INDIRECT("Table!A"&amp;$AM73):INDIRECT("Table!" &amp; $AP$91 &amp; $AM73),0)),"",INDIRECT(CONCATENATE("Table!",ADDRESS($AI73,MATCH(N$1,INDIRECT("Table!A" &amp; $AM73):INDIRECT("Table!" &amp; $AP$91 &amp; $AM73),0)))))</f>
        <v>0.65065770864510319</v>
      </c>
      <c r="O73" s="273">
        <f ca="1">IF(ISERROR(MATCH(O$1,INDIRECT("Table!A"&amp;$AM73):INDIRECT("Table!" &amp; $AP$91 &amp; $AM73),0)),"",INDIRECT(CONCATENATE("Table!",ADDRESS($AI73,MATCH(O$1,INDIRECT("Table!A" &amp; $AM73):INDIRECT("Table!" &amp; $AP$91 &amp; $AM73),0)))))</f>
        <v>0.57952240213232764</v>
      </c>
      <c r="P73" s="273">
        <f ca="1">IF(ISERROR(MATCH(P$1,INDIRECT("Table!A"&amp;$AM73):INDIRECT("Table!" &amp; $AP$91 &amp; $AM73),0)),"",INDIRECT(CONCATENATE("Table!",ADDRESS($AI73,MATCH(P$1,INDIRECT("Table!A" &amp; $AM73):INDIRECT("Table!" &amp; $AP$91 &amp; $AM73),0)))))</f>
        <v>0.10520558079263501</v>
      </c>
      <c r="Q73" s="273">
        <f ca="1">IF(ISERROR(MATCH(Q$1,INDIRECT("Table!A"&amp;$AM73):INDIRECT("Table!" &amp; $AP$91 &amp; $AM73),0)),"",INDIRECT(CONCATENATE("Table!",ADDRESS($AI73,MATCH(Q$1,INDIRECT("Table!A" &amp; $AM73):INDIRECT("Table!" &amp; $AP$91 &amp; $AM73),0)))))</f>
        <v>1.0269782878333128E-2</v>
      </c>
      <c r="R73" s="273">
        <f ca="1">IF(ISERROR(MATCH(R$1,INDIRECT("Table!A"&amp;$AM73):INDIRECT("Table!" &amp; $AP$91 &amp; $AM73),0)),"",INDIRECT(CONCATENATE("Table!",ADDRESS($AI73,MATCH(R$1,INDIRECT("Table!A" &amp; $AM73):INDIRECT("Table!" &amp; $AP$91 &amp; $AM73),0)))))</f>
        <v>3.5587188612099643E-5</v>
      </c>
      <c r="S73" s="596" t="str">
        <f ca="1">IF(ISERROR(MATCH(S$1,INDIRECT("Table!A"&amp;$AM73):INDIRECT("Table!" &amp; $AP$91 &amp; $AM73),0)),"",INDIRECT(CONCATENATE("Table!",ADDRESS($AI73,MATCH(S$1,INDIRECT("Table!A" &amp; $AM73):INDIRECT("Table!" &amp; $AP$91 &amp; $AM73),0)))))</f>
        <v/>
      </c>
      <c r="T73" s="273">
        <f ca="1">IF(ISERROR(MATCH(T$1,INDIRECT("Table!A"&amp;$AM73):INDIRECT("Table!" &amp; $AP$65 &amp; $AM73),0)),"",INDIRECT(CONCATENATE("Table!",ADDRESS($AI73,MATCH(T$1,INDIRECT("Table!A" &amp; $AM73):INDIRECT("Table!" &amp; $AP$65 &amp; $AM73),0)))))</f>
        <v>0.15000377751922755</v>
      </c>
      <c r="U73" s="596" t="str">
        <f ca="1">IF(ISERROR(MATCH(U$1,INDIRECT("Table!A"&amp;$AM73):INDIRECT("Table!" &amp; $AP$65 &amp; $AM73),0)),"",INDIRECT(CONCATENATE("Table!",ADDRESS($AI73,MATCH(U$1,INDIRECT("Table!A" &amp; $AM73):INDIRECT("Table!" &amp; $AP$65 &amp; $AM73),0)))))</f>
        <v/>
      </c>
      <c r="V73" s="596"/>
      <c r="W73" s="596"/>
      <c r="X73" s="596"/>
      <c r="Y73" s="596"/>
      <c r="Z73" s="596"/>
      <c r="AA73" s="596"/>
      <c r="AB73" s="596"/>
      <c r="AC73" s="596"/>
      <c r="AD73" s="596"/>
      <c r="AE73" s="596"/>
      <c r="AF73" s="596"/>
      <c r="AG73" s="596"/>
      <c r="AH73" s="596"/>
      <c r="AI73" s="272">
        <f>MATCH($A73,Table!$A:$A,0)+$AK$2-1</f>
        <v>918</v>
      </c>
      <c r="AJ73" s="407"/>
      <c r="AK73" s="407"/>
      <c r="AL73" s="407"/>
      <c r="AM73" s="272">
        <f>MATCH($A73,Table!$A:$A,0)+$AO$2-1</f>
        <v>915</v>
      </c>
      <c r="AN73" s="407"/>
      <c r="AP73" s="947" t="s">
        <v>302</v>
      </c>
    </row>
    <row r="74" spans="1:42" s="267" customFormat="1" ht="15.75" customHeight="1" x14ac:dyDescent="0.25">
      <c r="A74" s="268">
        <v>41437</v>
      </c>
      <c r="B74" s="273">
        <f ca="1">IF(ISERROR(MATCH(B$1,INDIRECT("Table!A"&amp;$AM74):INDIRECT("Table!" &amp; $AP$113 &amp; $AM74),0)),"",INDIRECT(CONCATENATE("Table!",ADDRESS($AI74,MATCH(B$1,INDIRECT("Table!A" &amp; $AM74):INDIRECT("Table!" &amp; $AP$112 &amp; $AM74),0)))))</f>
        <v>0.29061042031340439</v>
      </c>
      <c r="C74" s="273">
        <f ca="1">IF(ISERROR(MATCH(C$1,INDIRECT("Table!A"&amp;$AM74):INDIRECT("Table!" &amp; $AP$112 &amp; $AM74),0)),"",INDIRECT(CONCATENATE("Table!",ADDRESS($AI74,MATCH(C$1,INDIRECT("Table!A" &amp; $AM74):INDIRECT("Table!" &amp; $AP$112 &amp; $AM74),0)))))</f>
        <v>0.52196002171187639</v>
      </c>
      <c r="D74" s="273">
        <f ca="1">IF(ISERROR(MATCH(D$1,INDIRECT("Table!A"&amp;$AM74):INDIRECT("Table!" &amp; $AP$112 &amp; $AM74),0)),"",INDIRECT(CONCATENATE("Table!",ADDRESS($AI74,MATCH(D$1,INDIRECT("Table!A" &amp; $AM74):INDIRECT("Table!" &amp; $AP$112 &amp; $AM74),0)))))</f>
        <v>0.53181208463911311</v>
      </c>
      <c r="E74" s="273">
        <f ca="1">IF(ISERROR(MATCH(E$1,INDIRECT("Table!A"&amp;$AM74):INDIRECT("Table!" &amp; $AP$112 &amp; $AM74),0)),"",INDIRECT(CONCATENATE("Table!",ADDRESS($AI74,MATCH(E$1,INDIRECT("Table!A" &amp; $AM74):INDIRECT("Table!" &amp; $AP$112 &amp; $AM74),0)))))</f>
        <v>0.88547334088653828</v>
      </c>
      <c r="F74" s="273">
        <f ca="1">IF(ISERROR(MATCH(F$1,INDIRECT("Table!A"&amp;$AM74):INDIRECT("Table!" &amp; $AP$112 &amp; $AM74),0)),"",INDIRECT(CONCATENATE("Table!",ADDRESS($AI74,MATCH(F$1,INDIRECT("Table!A" &amp; $AM74):INDIRECT("Table!" &amp; $AP$112 &amp; $AM74),0)))))</f>
        <v>0.62832655898218526</v>
      </c>
      <c r="G74" s="273">
        <f ca="1">IF(ISERROR(MATCH(G$1,INDIRECT("Table!A"&amp;$AM74):INDIRECT("Table!" &amp; $AP$112 &amp; $AM74),0)),"",INDIRECT(CONCATENATE("Table!",ADDRESS($AI74,MATCH(G$1,INDIRECT("Table!A" &amp; $AM74):INDIRECT("Table!" &amp; $AP$112 &amp; $AM74),0)))))</f>
        <v>0.41639970060446718</v>
      </c>
      <c r="H74" s="273">
        <f ca="1">IF(ISERROR(MATCH(H$1,INDIRECT("Table!A"&amp;$AM74):INDIRECT("Table!" &amp; $AP$112 &amp; $AM74),0)),"",INDIRECT(CONCATENATE("Table!",ADDRESS($AI74,MATCH(H$1,INDIRECT("Table!A" &amp; $AM74):INDIRECT("Table!" &amp; $AP$112 &amp; $AM74),0)))))</f>
        <v>0.51215193901102307</v>
      </c>
      <c r="I74" s="273">
        <f ca="1">IF(ISERROR(MATCH(I$1,INDIRECT("Table!A"&amp;$AM74):INDIRECT("Table!" &amp; $AP$91 &amp; $AM74),0)),"",INDIRECT(CONCATENATE("Table!",ADDRESS($AI74,MATCH(I$1,INDIRECT("Table!A" &amp; $AM74):INDIRECT("Table!" &amp; $AP$91 &amp; $AM74),0)))))</f>
        <v>9.9834092358275894E-2</v>
      </c>
      <c r="J74" s="273">
        <f ca="1">IF(ISERROR(MATCH(J$1,INDIRECT("Table!A"&amp;$AM74):INDIRECT("Table!" &amp; $AP$91 &amp; $AM74),0)),"",INDIRECT(CONCATENATE("Table!",ADDRESS($AI74,MATCH(J$1,INDIRECT("Table!A" &amp; $AM74):INDIRECT("Table!" &amp; $AP$91 &amp; $AM74),0)))))</f>
        <v>2.9217111271745105E-5</v>
      </c>
      <c r="K74" s="273">
        <f ca="1">IF(ISERROR(MATCH(K$1,INDIRECT("Table!A"&amp;$AM74):INDIRECT("Table!" &amp; $AP$91 &amp; $AM74),0)),"",INDIRECT(CONCATENATE("Table!",ADDRESS($AI74,MATCH(K$1,INDIRECT("Table!A" &amp; $AM74):INDIRECT("Table!" &amp; $AP$91 &amp; $AM74),0)))))</f>
        <v>3.5587188612099643E-5</v>
      </c>
      <c r="L74" s="273">
        <f ca="1">IF(ISERROR(MATCH(L$1,INDIRECT("Table!A"&amp;$AM74):INDIRECT("Table!" &amp; $AP$91 &amp; $AM74),0)),"",INDIRECT(CONCATENATE("Table!",ADDRESS($AI74,MATCH(L$1,INDIRECT("Table!A" &amp; $AM74):INDIRECT("Table!" &amp; $AP$91 &amp; $AM74),0)))))</f>
        <v>0.83617340597868395</v>
      </c>
      <c r="M74" s="273">
        <f ca="1">IF(ISERROR(MATCH(M$1,INDIRECT("Table!A"&amp;$AM74):INDIRECT("Table!" &amp; $AP$91 &amp; $AM74),0)),"",INDIRECT(CONCATENATE("Table!",ADDRESS($AI74,MATCH(M$1,INDIRECT("Table!A" &amp; $AM74):INDIRECT("Table!" &amp; $AP$91 &amp; $AM74),0)))))</f>
        <v>0.42481849713432462</v>
      </c>
      <c r="N74" s="273">
        <f ca="1">IF(ISERROR(MATCH(N$1,INDIRECT("Table!A"&amp;$AM74):INDIRECT("Table!" &amp; $AP$91 &amp; $AM74),0)),"",INDIRECT(CONCATENATE("Table!",ADDRESS($AI74,MATCH(N$1,INDIRECT("Table!A" &amp; $AM74):INDIRECT("Table!" &amp; $AP$91 &amp; $AM74),0)))))</f>
        <v>0.64526041200774586</v>
      </c>
      <c r="O74" s="273">
        <f ca="1">IF(ISERROR(MATCH(O$1,INDIRECT("Table!A"&amp;$AM74):INDIRECT("Table!" &amp; $AP$91 &amp; $AM74),0)),"",INDIRECT(CONCATENATE("Table!",ADDRESS($AI74,MATCH(O$1,INDIRECT("Table!A" &amp; $AM74):INDIRECT("Table!" &amp; $AP$91 &amp; $AM74),0)))))</f>
        <v>0.58043625682217914</v>
      </c>
      <c r="P74" s="273">
        <f ca="1">IF(ISERROR(MATCH(P$1,INDIRECT("Table!A"&amp;$AM74):INDIRECT("Table!" &amp; $AP$91 &amp; $AM74),0)),"",INDIRECT(CONCATENATE("Table!",ADDRESS($AI74,MATCH(P$1,INDIRECT("Table!A" &amp; $AM74):INDIRECT("Table!" &amp; $AP$91 &amp; $AM74),0)))))</f>
        <v>0.1026622634074167</v>
      </c>
      <c r="Q74" s="273">
        <f ca="1">IF(ISERROR(MATCH(Q$1,INDIRECT("Table!A"&amp;$AM74):INDIRECT("Table!" &amp; $AP$91 &amp; $AM74),0)),"",INDIRECT(CONCATENATE("Table!",ADDRESS($AI74,MATCH(Q$1,INDIRECT("Table!A" &amp; $AM74):INDIRECT("Table!" &amp; $AP$91 &amp; $AM74),0)))))</f>
        <v>2.8574210399319299E-5</v>
      </c>
      <c r="R74" s="273">
        <f ca="1">IF(ISERROR(MATCH(R$1,INDIRECT("Table!A"&amp;$AM74):INDIRECT("Table!" &amp; $AP$91 &amp; $AM74),0)),"",INDIRECT(CONCATENATE("Table!",ADDRESS($AI74,MATCH(R$1,INDIRECT("Table!A" &amp; $AM74):INDIRECT("Table!" &amp; $AP$91 &amp; $AM74),0)))))</f>
        <v>3.5587188612099643E-5</v>
      </c>
      <c r="S74" s="596" t="str">
        <f ca="1">IF(ISERROR(MATCH(S$1,INDIRECT("Table!A"&amp;$AM74):INDIRECT("Table!" &amp; $AP$91 &amp; $AM74),0)),"",INDIRECT(CONCATENATE("Table!",ADDRESS($AI74,MATCH(S$1,INDIRECT("Table!A" &amp; $AM74):INDIRECT("Table!" &amp; $AP$91 &amp; $AM74),0)))))</f>
        <v/>
      </c>
      <c r="T74" s="273">
        <f ca="1">IF(ISERROR(MATCH(T$1,INDIRECT("Table!A"&amp;$AM74):INDIRECT("Table!" &amp; $AP$65 &amp; $AM74),0)),"",INDIRECT(CONCATENATE("Table!",ADDRESS($AI74,MATCH(T$1,INDIRECT("Table!A" &amp; $AM74):INDIRECT("Table!" &amp; $AP$65 &amp; $AM74),0)))))</f>
        <v>0.14198032667986279</v>
      </c>
      <c r="U74" s="596" t="str">
        <f ca="1">IF(ISERROR(MATCH(U$1,INDIRECT("Table!A"&amp;$AM74):INDIRECT("Table!" &amp; $AP$65 &amp; $AM74),0)),"",INDIRECT(CONCATENATE("Table!",ADDRESS($AI74,MATCH(U$1,INDIRECT("Table!A" &amp; $AM74):INDIRECT("Table!" &amp; $AP$65 &amp; $AM74),0)))))</f>
        <v/>
      </c>
      <c r="V74" s="596"/>
      <c r="W74" s="596"/>
      <c r="X74" s="596"/>
      <c r="Y74" s="596"/>
      <c r="Z74" s="596"/>
      <c r="AA74" s="596"/>
      <c r="AB74" s="596"/>
      <c r="AC74" s="596"/>
      <c r="AD74" s="596"/>
      <c r="AE74" s="596"/>
      <c r="AF74" s="596"/>
      <c r="AG74" s="596"/>
      <c r="AH74" s="596"/>
      <c r="AI74" s="272">
        <f>MATCH($A74,Table!$A:$A,0)+$AK$2-1</f>
        <v>930</v>
      </c>
      <c r="AJ74" s="388"/>
      <c r="AK74" s="388"/>
      <c r="AL74" s="388"/>
      <c r="AM74" s="272">
        <f>MATCH($A74,Table!$A:$A,0)+$AO$2-1</f>
        <v>927</v>
      </c>
      <c r="AN74" s="388"/>
      <c r="AP74" s="947" t="s">
        <v>302</v>
      </c>
    </row>
    <row r="75" spans="1:42" s="267" customFormat="1" ht="15.75" customHeight="1" x14ac:dyDescent="0.25">
      <c r="A75" s="268">
        <v>41430</v>
      </c>
      <c r="B75" s="273">
        <f ca="1">IF(ISERROR(MATCH(B$1,INDIRECT("Table!A"&amp;$AM75):INDIRECT("Table!" &amp; $AP$113 &amp; $AM75),0)),"",INDIRECT(CONCATENATE("Table!",ADDRESS($AI75,MATCH(B$1,INDIRECT("Table!A" &amp; $AM75):INDIRECT("Table!" &amp; $AP$112 &amp; $AM75),0)))))</f>
        <v>0.29161697777145473</v>
      </c>
      <c r="C75" s="273">
        <f ca="1">IF(ISERROR(MATCH(C$1,INDIRECT("Table!A"&amp;$AM75):INDIRECT("Table!" &amp; $AP$112 &amp; $AM75),0)),"",INDIRECT(CONCATENATE("Table!",ADDRESS($AI75,MATCH(C$1,INDIRECT("Table!A" &amp; $AM75):INDIRECT("Table!" &amp; $AP$112 &amp; $AM75),0)))))</f>
        <v>0.52170004743688048</v>
      </c>
      <c r="D75" s="273">
        <f ca="1">IF(ISERROR(MATCH(D$1,INDIRECT("Table!A"&amp;$AM75):INDIRECT("Table!" &amp; $AP$112 &amp; $AM75),0)),"",INDIRECT(CONCATENATE("Table!",ADDRESS($AI75,MATCH(D$1,INDIRECT("Table!A" &amp; $AM75):INDIRECT("Table!" &amp; $AP$112 &amp; $AM75),0)))))</f>
        <v>0.53168703883579005</v>
      </c>
      <c r="E75" s="273">
        <f ca="1">IF(ISERROR(MATCH(E$1,INDIRECT("Table!A"&amp;$AM75):INDIRECT("Table!" &amp; $AP$112 &amp; $AM75),0)),"",INDIRECT(CONCATENATE("Table!",ADDRESS($AI75,MATCH(E$1,INDIRECT("Table!A" &amp; $AM75):INDIRECT("Table!" &amp; $AP$112 &amp; $AM75),0)))))</f>
        <v>0.88431068946987279</v>
      </c>
      <c r="F75" s="273">
        <f ca="1">IF(ISERROR(MATCH(F$1,INDIRECT("Table!A"&amp;$AM75):INDIRECT("Table!" &amp; $AP$112 &amp; $AM75),0)),"",INDIRECT(CONCATENATE("Table!",ADDRESS($AI75,MATCH(F$1,INDIRECT("Table!A" &amp; $AM75):INDIRECT("Table!" &amp; $AP$112 &amp; $AM75),0)))))</f>
        <v>0.62386304226288514</v>
      </c>
      <c r="G75" s="273">
        <f ca="1">IF(ISERROR(MATCH(G$1,INDIRECT("Table!A"&amp;$AM75):INDIRECT("Table!" &amp; $AP$112 &amp; $AM75),0)),"",INDIRECT(CONCATENATE("Table!",ADDRESS($AI75,MATCH(G$1,INDIRECT("Table!A" &amp; $AM75):INDIRECT("Table!" &amp; $AP$112 &amp; $AM75),0)))))</f>
        <v>0.39464701964701965</v>
      </c>
      <c r="H75" s="273">
        <f ca="1">IF(ISERROR(MATCH(H$1,INDIRECT("Table!A"&amp;$AM75):INDIRECT("Table!" &amp; $AP$112 &amp; $AM75),0)),"",INDIRECT(CONCATENATE("Table!",ADDRESS($AI75,MATCH(H$1,INDIRECT("Table!A" &amp; $AM75):INDIRECT("Table!" &amp; $AP$112 &amp; $AM75),0)))))</f>
        <v>0.51095347332785079</v>
      </c>
      <c r="I75" s="273">
        <f ca="1">IF(ISERROR(MATCH(I$1,INDIRECT("Table!A"&amp;$AM75):INDIRECT("Table!" &amp; $AP$91 &amp; $AM75),0)),"",INDIRECT(CONCATENATE("Table!",ADDRESS($AI75,MATCH(I$1,INDIRECT("Table!A" &amp; $AM75):INDIRECT("Table!" &amp; $AP$91 &amp; $AM75),0)))))</f>
        <v>9.5759279229807218E-2</v>
      </c>
      <c r="J75" s="273">
        <f ca="1">IF(ISERROR(MATCH(J$1,INDIRECT("Table!A"&amp;$AM75):INDIRECT("Table!" &amp; $AP$91 &amp; $AM75),0)),"",INDIRECT(CONCATENATE("Table!",ADDRESS($AI75,MATCH(J$1,INDIRECT("Table!A" &amp; $AM75):INDIRECT("Table!" &amp; $AP$91 &amp; $AM75),0)))))</f>
        <v>2.8407835512319535E-5</v>
      </c>
      <c r="K75" s="273" t="str">
        <f ca="1">IF(ISERROR(MATCH(K$1,INDIRECT("Table!A"&amp;$AM75):INDIRECT("Table!" &amp; $AP$91 &amp; $AM75),0)),"",INDIRECT(CONCATENATE("Table!",ADDRESS($AI75,MATCH(K$1,INDIRECT("Table!A" &amp; $AM75):INDIRECT("Table!" &amp; $AP$91 &amp; $AM75),0)))))</f>
        <v/>
      </c>
      <c r="L75" s="273">
        <f ca="1">IF(ISERROR(MATCH(L$1,INDIRECT("Table!A"&amp;$AM75):INDIRECT("Table!" &amp; $AP$91 &amp; $AM75),0)),"",INDIRECT(CONCATENATE("Table!",ADDRESS($AI75,MATCH(L$1,INDIRECT("Table!A" &amp; $AM75):INDIRECT("Table!" &amp; $AP$91 &amp; $AM75),0)))))</f>
        <v>0.83339377392799974</v>
      </c>
      <c r="M75" s="273">
        <f ca="1">IF(ISERROR(MATCH(M$1,INDIRECT("Table!A"&amp;$AM75):INDIRECT("Table!" &amp; $AP$91 &amp; $AM75),0)),"",INDIRECT(CONCATENATE("Table!",ADDRESS($AI75,MATCH(M$1,INDIRECT("Table!A" &amp; $AM75):INDIRECT("Table!" &amp; $AP$91 &amp; $AM75),0)))))</f>
        <v>0.45924611865994808</v>
      </c>
      <c r="N75" s="273">
        <f ca="1">IF(ISERROR(MATCH(N$1,INDIRECT("Table!A"&amp;$AM75):INDIRECT("Table!" &amp; $AP$91 &amp; $AM75),0)),"",INDIRECT(CONCATENATE("Table!",ADDRESS($AI75,MATCH(N$1,INDIRECT("Table!A" &amp; $AM75):INDIRECT("Table!" &amp; $AP$91 &amp; $AM75),0)))))</f>
        <v>0.64013862580581993</v>
      </c>
      <c r="O75" s="273">
        <f ca="1">IF(ISERROR(MATCH(O$1,INDIRECT("Table!A"&amp;$AM75):INDIRECT("Table!" &amp; $AP$91 &amp; $AM75),0)),"",INDIRECT(CONCATENATE("Table!",ADDRESS($AI75,MATCH(O$1,INDIRECT("Table!A" &amp; $AM75):INDIRECT("Table!" &amp; $AP$91 &amp; $AM75),0)))))</f>
        <v>0.57929067469311524</v>
      </c>
      <c r="P75" s="273">
        <f ca="1">IF(ISERROR(MATCH(P$1,INDIRECT("Table!A"&amp;$AM75):INDIRECT("Table!" &amp; $AP$91 &amp; $AM75),0)),"",INDIRECT(CONCATENATE("Table!",ADDRESS($AI75,MATCH(P$1,INDIRECT("Table!A" &amp; $AM75):INDIRECT("Table!" &amp; $AP$91 &amp; $AM75),0)))))</f>
        <v>9.6986957935427928E-2</v>
      </c>
      <c r="Q75" s="273">
        <f ca="1">IF(ISERROR(MATCH(Q$1,INDIRECT("Table!A"&amp;$AM75):INDIRECT("Table!" &amp; $AP$91 &amp; $AM75),0)),"",INDIRECT(CONCATENATE("Table!",ADDRESS($AI75,MATCH(Q$1,INDIRECT("Table!A" &amp; $AM75):INDIRECT("Table!" &amp; $AP$91 &amp; $AM75),0)))))</f>
        <v>2.8574210399319299E-5</v>
      </c>
      <c r="R75" s="273" t="str">
        <f ca="1">IF(ISERROR(MATCH(R$1,INDIRECT("Table!A"&amp;$AM75):INDIRECT("Table!" &amp; $AP$91 &amp; $AM75),0)),"",INDIRECT(CONCATENATE("Table!",ADDRESS($AI75,MATCH(R$1,INDIRECT("Table!A" &amp; $AM75):INDIRECT("Table!" &amp; $AP$91 &amp; $AM75),0)))))</f>
        <v/>
      </c>
      <c r="S75" s="596" t="str">
        <f ca="1">IF(ISERROR(MATCH(S$1,INDIRECT("Table!A"&amp;$AM75):INDIRECT("Table!" &amp; $AP$91 &amp; $AM75),0)),"",INDIRECT(CONCATENATE("Table!",ADDRESS($AI75,MATCH(S$1,INDIRECT("Table!A" &amp; $AM75):INDIRECT("Table!" &amp; $AP$91 &amp; $AM75),0)))))</f>
        <v/>
      </c>
      <c r="T75" s="273">
        <f ca="1">IF(ISERROR(MATCH(T$1,INDIRECT("Table!A"&amp;$AM75):INDIRECT("Table!" &amp; $AP$65 &amp; $AM75),0)),"",INDIRECT(CONCATENATE("Table!",ADDRESS($AI75,MATCH(T$1,INDIRECT("Table!A" &amp; $AM75):INDIRECT("Table!" &amp; $AP$65 &amp; $AM75),0)))))</f>
        <v>0.14114625043441473</v>
      </c>
      <c r="U75" s="596" t="str">
        <f ca="1">IF(ISERROR(MATCH(U$1,INDIRECT("Table!A"&amp;$AM75):INDIRECT("Table!" &amp; $AP$65 &amp; $AM75),0)),"",INDIRECT(CONCATENATE("Table!",ADDRESS($AI75,MATCH(U$1,INDIRECT("Table!A" &amp; $AM75):INDIRECT("Table!" &amp; $AP$65 &amp; $AM75),0)))))</f>
        <v/>
      </c>
      <c r="V75" s="596"/>
      <c r="W75" s="596"/>
      <c r="X75" s="596"/>
      <c r="Y75" s="596"/>
      <c r="Z75" s="596"/>
      <c r="AA75" s="596"/>
      <c r="AB75" s="596"/>
      <c r="AC75" s="596"/>
      <c r="AD75" s="596"/>
      <c r="AE75" s="596"/>
      <c r="AF75" s="596"/>
      <c r="AG75" s="596"/>
      <c r="AH75" s="596"/>
      <c r="AI75" s="272">
        <f>MATCH($A75,Table!$A:$A,0)+$AK$2-1</f>
        <v>942</v>
      </c>
      <c r="AJ75" s="384"/>
      <c r="AK75" s="384"/>
      <c r="AL75" s="384"/>
      <c r="AM75" s="272">
        <f>MATCH($A75,Table!$A:$A,0)+$AO$2-1</f>
        <v>939</v>
      </c>
      <c r="AN75" s="384"/>
      <c r="AP75" s="947" t="s">
        <v>302</v>
      </c>
    </row>
    <row r="76" spans="1:42" s="267" customFormat="1" ht="15.75" customHeight="1" x14ac:dyDescent="0.25">
      <c r="A76" s="268">
        <v>41428</v>
      </c>
      <c r="B76" s="273">
        <f ca="1">IF(ISERROR(MATCH(B$1,INDIRECT("Table!A"&amp;$AM76):INDIRECT("Table!" &amp; $AP$113 &amp; $AM76),0)),"",INDIRECT(CONCATENATE("Table!",ADDRESS($AI76,MATCH(B$1,INDIRECT("Table!A" &amp; $AM76):INDIRECT("Table!" &amp; $AP$112 &amp; $AM76),0)))))</f>
        <v>0.28864889443079889</v>
      </c>
      <c r="C76" s="273">
        <f ca="1">IF(ISERROR(MATCH(C$1,INDIRECT("Table!A"&amp;$AM76):INDIRECT("Table!" &amp; $AP$112 &amp; $AM76),0)),"",INDIRECT(CONCATENATE("Table!",ADDRESS($AI76,MATCH(C$1,INDIRECT("Table!A" &amp; $AM76):INDIRECT("Table!" &amp; $AP$112 &amp; $AM76),0)))))</f>
        <v>0.52167280777167579</v>
      </c>
      <c r="D76" s="273">
        <f ca="1">IF(ISERROR(MATCH(D$1,INDIRECT("Table!A"&amp;$AM76):INDIRECT("Table!" &amp; $AP$112 &amp; $AM76),0)),"",INDIRECT(CONCATENATE("Table!",ADDRESS($AI76,MATCH(D$1,INDIRECT("Table!A" &amp; $AM76):INDIRECT("Table!" &amp; $AP$112 &amp; $AM76),0)))))</f>
        <v>0.53166046355266361</v>
      </c>
      <c r="E76" s="273">
        <f ca="1">IF(ISERROR(MATCH(E$1,INDIRECT("Table!A"&amp;$AM76):INDIRECT("Table!" &amp; $AP$112 &amp; $AM76),0)),"",INDIRECT(CONCATENATE("Table!",ADDRESS($AI76,MATCH(E$1,INDIRECT("Table!A" &amp; $AM76):INDIRECT("Table!" &amp; $AP$112 &amp; $AM76),0)))))</f>
        <v>0.88410629139473118</v>
      </c>
      <c r="F76" s="273">
        <f ca="1">IF(ISERROR(MATCH(F$1,INDIRECT("Table!A"&amp;$AM76):INDIRECT("Table!" &amp; $AP$112 &amp; $AM76),0)),"",INDIRECT(CONCATENATE("Table!",ADDRESS($AI76,MATCH(F$1,INDIRECT("Table!A" &amp; $AM76):INDIRECT("Table!" &amp; $AP$112 &amp; $AM76),0)))))</f>
        <v>0.62273401731614808</v>
      </c>
      <c r="G76" s="273">
        <f ca="1">IF(ISERROR(MATCH(G$1,INDIRECT("Table!A"&amp;$AM76):INDIRECT("Table!" &amp; $AP$112 &amp; $AM76),0)),"",INDIRECT(CONCATENATE("Table!",ADDRESS($AI76,MATCH(G$1,INDIRECT("Table!A" &amp; $AM76):INDIRECT("Table!" &amp; $AP$112 &amp; $AM76),0)))))</f>
        <v>0.40575182393364212</v>
      </c>
      <c r="H76" s="273">
        <f ca="1">IF(ISERROR(MATCH(H$1,INDIRECT("Table!A"&amp;$AM76):INDIRECT("Table!" &amp; $AP$112 &amp; $AM76),0)),"",INDIRECT(CONCATENATE("Table!",ADDRESS($AI76,MATCH(H$1,INDIRECT("Table!A" &amp; $AM76):INDIRECT("Table!" &amp; $AP$112 &amp; $AM76),0)))))</f>
        <v>0.5093449908345743</v>
      </c>
      <c r="I76" s="273">
        <f ca="1">IF(ISERROR(MATCH(I$1,INDIRECT("Table!A"&amp;$AM76):INDIRECT("Table!" &amp; $AP$91 &amp; $AM76),0)),"",INDIRECT(CONCATENATE("Table!",ADDRESS($AI76,MATCH(I$1,INDIRECT("Table!A" &amp; $AM76):INDIRECT("Table!" &amp; $AP$91 &amp; $AM76),0)))))</f>
        <v>9.5640660196209121E-2</v>
      </c>
      <c r="J76" s="273">
        <f ca="1">IF(ISERROR(MATCH(J$1,INDIRECT("Table!A"&amp;$AM76):INDIRECT("Table!" &amp; $AP$91 &amp; $AM76),0)),"",INDIRECT(CONCATENATE("Table!",ADDRESS($AI76,MATCH(J$1,INDIRECT("Table!A" &amp; $AM76):INDIRECT("Table!" &amp; $AP$91 &amp; $AM76),0)))))</f>
        <v>2.8407835512319535E-5</v>
      </c>
      <c r="K76" s="273" t="str">
        <f ca="1">IF(ISERROR(MATCH(K$1,INDIRECT("Table!A"&amp;$AM76):INDIRECT("Table!" &amp; $AP$91 &amp; $AM76),0)),"",INDIRECT(CONCATENATE("Table!",ADDRESS($AI76,MATCH(K$1,INDIRECT("Table!A" &amp; $AM76):INDIRECT("Table!" &amp; $AP$91 &amp; $AM76),0)))))</f>
        <v/>
      </c>
      <c r="L76" s="273">
        <f ca="1">IF(ISERROR(MATCH(L$1,INDIRECT("Table!A"&amp;$AM76):INDIRECT("Table!" &amp; $AP$91 &amp; $AM76),0)),"",INDIRECT(CONCATENATE("Table!",ADDRESS($AI76,MATCH(L$1,INDIRECT("Table!A" &amp; $AM76):INDIRECT("Table!" &amp; $AP$91 &amp; $AM76),0)))))</f>
        <v>0.83315494723536088</v>
      </c>
      <c r="M76" s="273">
        <f ca="1">IF(ISERROR(MATCH(M$1,INDIRECT("Table!A"&amp;$AM76):INDIRECT("Table!" &amp; $AP$91 &amp; $AM76),0)),"",INDIRECT(CONCATENATE("Table!",ADDRESS($AI76,MATCH(M$1,INDIRECT("Table!A" &amp; $AM76):INDIRECT("Table!" &amp; $AP$91 &amp; $AM76),0)))))</f>
        <v>0.46626560369084896</v>
      </c>
      <c r="N76" s="273">
        <f ca="1">IF(ISERROR(MATCH(N$1,INDIRECT("Table!A"&amp;$AM76):INDIRECT("Table!" &amp; $AP$91 &amp; $AM76),0)),"",INDIRECT(CONCATENATE("Table!",ADDRESS($AI76,MATCH(N$1,INDIRECT("Table!A" &amp; $AM76):INDIRECT("Table!" &amp; $AP$91 &amp; $AM76),0)))))</f>
        <v>0.63922476890662339</v>
      </c>
      <c r="O76" s="273">
        <f ca="1">IF(ISERROR(MATCH(O$1,INDIRECT("Table!A"&amp;$AM76):INDIRECT("Table!" &amp; $AP$91 &amp; $AM76),0)),"",INDIRECT(CONCATENATE("Table!",ADDRESS($AI76,MATCH(O$1,INDIRECT("Table!A" &amp; $AM76):INDIRECT("Table!" &amp; $AP$91 &amp; $AM76),0)))))</f>
        <v>0.57823974179978599</v>
      </c>
      <c r="P76" s="273">
        <f ca="1">IF(ISERROR(MATCH(P$1,INDIRECT("Table!A"&amp;$AM76):INDIRECT("Table!" &amp; $AP$91 &amp; $AM76),0)),"",INDIRECT(CONCATENATE("Table!",ADDRESS($AI76,MATCH(P$1,INDIRECT("Table!A" &amp; $AM76):INDIRECT("Table!" &amp; $AP$91 &amp; $AM76),0)))))</f>
        <v>9.6868941099965078E-2</v>
      </c>
      <c r="Q76" s="273">
        <f ca="1">IF(ISERROR(MATCH(Q$1,INDIRECT("Table!A"&amp;$AM76):INDIRECT("Table!" &amp; $AP$91 &amp; $AM76),0)),"",INDIRECT(CONCATENATE("Table!",ADDRESS($AI76,MATCH(Q$1,INDIRECT("Table!A" &amp; $AM76):INDIRECT("Table!" &amp; $AP$91 &amp; $AM76),0)))))</f>
        <v>2.8151656099369091E-5</v>
      </c>
      <c r="R76" s="273" t="str">
        <f ca="1">IF(ISERROR(MATCH(R$1,INDIRECT("Table!A"&amp;$AM76):INDIRECT("Table!" &amp; $AP$91 &amp; $AM76),0)),"",INDIRECT(CONCATENATE("Table!",ADDRESS($AI76,MATCH(R$1,INDIRECT("Table!A" &amp; $AM76):INDIRECT("Table!" &amp; $AP$91 &amp; $AM76),0)))))</f>
        <v/>
      </c>
      <c r="S76" s="596" t="str">
        <f ca="1">IF(ISERROR(MATCH(S$1,INDIRECT("Table!A"&amp;$AM76):INDIRECT("Table!" &amp; $AP$91 &amp; $AM76),0)),"",INDIRECT(CONCATENATE("Table!",ADDRESS($AI76,MATCH(S$1,INDIRECT("Table!A" &amp; $AM76):INDIRECT("Table!" &amp; $AP$91 &amp; $AM76),0)))))</f>
        <v/>
      </c>
      <c r="T76" s="273">
        <f ca="1">IF(ISERROR(MATCH(T$1,INDIRECT("Table!A"&amp;$AM76):INDIRECT("Table!" &amp; $AP$65 &amp; $AM76),0)),"",INDIRECT(CONCATENATE("Table!",ADDRESS($AI76,MATCH(T$1,INDIRECT("Table!A" &amp; $AM76):INDIRECT("Table!" &amp; $AP$65 &amp; $AM76),0)))))</f>
        <v>0.14084404889620888</v>
      </c>
      <c r="U76" s="596" t="str">
        <f ca="1">IF(ISERROR(MATCH(U$1,INDIRECT("Table!A"&amp;$AM76):INDIRECT("Table!" &amp; $AP$65 &amp; $AM76),0)),"",INDIRECT(CONCATENATE("Table!",ADDRESS($AI76,MATCH(U$1,INDIRECT("Table!A" &amp; $AM76):INDIRECT("Table!" &amp; $AP$65 &amp; $AM76),0)))))</f>
        <v/>
      </c>
      <c r="V76" s="596"/>
      <c r="W76" s="596"/>
      <c r="X76" s="596"/>
      <c r="Y76" s="596"/>
      <c r="Z76" s="596"/>
      <c r="AA76" s="596"/>
      <c r="AB76" s="596"/>
      <c r="AC76" s="596"/>
      <c r="AD76" s="596"/>
      <c r="AE76" s="596"/>
      <c r="AF76" s="596"/>
      <c r="AG76" s="596"/>
      <c r="AH76" s="596"/>
      <c r="AI76" s="272">
        <f>MATCH($A76,Table!$A:$A,0)+$AK$2-1</f>
        <v>954</v>
      </c>
      <c r="AJ76" s="380"/>
      <c r="AK76" s="380"/>
      <c r="AL76" s="380"/>
      <c r="AM76" s="272">
        <f>MATCH($A76,Table!$A:$A,0)+$AO$2-1</f>
        <v>951</v>
      </c>
      <c r="AN76" s="380"/>
      <c r="AP76" s="947" t="s">
        <v>302</v>
      </c>
    </row>
    <row r="77" spans="1:42" s="267" customFormat="1" ht="15.75" customHeight="1" x14ac:dyDescent="0.25">
      <c r="A77" s="268">
        <v>41423</v>
      </c>
      <c r="B77" s="273">
        <f ca="1">IF(ISERROR(MATCH(B$1,INDIRECT("Table!A"&amp;$AM77):INDIRECT("Table!" &amp; $AP$113 &amp; $AM77),0)),"",INDIRECT(CONCATENATE("Table!",ADDRESS($AI77,MATCH(B$1,INDIRECT("Table!A" &amp; $AM77):INDIRECT("Table!" &amp; $AP$112 &amp; $AM77),0)))))</f>
        <v>0.29081079724001724</v>
      </c>
      <c r="C77" s="273">
        <f ca="1">IF(ISERROR(MATCH(C$1,INDIRECT("Table!A"&amp;$AM77):INDIRECT("Table!" &amp; $AP$112 &amp; $AM77),0)),"",INDIRECT(CONCATENATE("Table!",ADDRESS($AI77,MATCH(C$1,INDIRECT("Table!A" &amp; $AM77):INDIRECT("Table!" &amp; $AP$112 &amp; $AM77),0)))))</f>
        <v>0.52005105111888583</v>
      </c>
      <c r="D77" s="273">
        <f ca="1">IF(ISERROR(MATCH(D$1,INDIRECT("Table!A"&amp;$AM77):INDIRECT("Table!" &amp; $AP$112 &amp; $AM77),0)),"",INDIRECT(CONCATENATE("Table!",ADDRESS($AI77,MATCH(D$1,INDIRECT("Table!A" &amp; $AM77):INDIRECT("Table!" &amp; $AP$112 &amp; $AM77),0)))))</f>
        <v>0.53003937128195189</v>
      </c>
      <c r="E77" s="273">
        <f ca="1">IF(ISERROR(MATCH(E$1,INDIRECT("Table!A"&amp;$AM77):INDIRECT("Table!" &amp; $AP$112 &amp; $AM77),0)),"",INDIRECT(CONCATENATE("Table!",ADDRESS($AI77,MATCH(E$1,INDIRECT("Table!A" &amp; $AM77):INDIRECT("Table!" &amp; $AP$112 &amp; $AM77),0)))))</f>
        <v>0.88314968642478098</v>
      </c>
      <c r="F77" s="273">
        <f ca="1">IF(ISERROR(MATCH(F$1,INDIRECT("Table!A"&amp;$AM77):INDIRECT("Table!" &amp; $AP$112 &amp; $AM77),0)),"",INDIRECT(CONCATENATE("Table!",ADDRESS($AI77,MATCH(F$1,INDIRECT("Table!A" &amp; $AM77):INDIRECT("Table!" &amp; $AP$112 &amp; $AM77),0)))))</f>
        <v>0.6177730768649613</v>
      </c>
      <c r="G77" s="273">
        <f ca="1">IF(ISERROR(MATCH(G$1,INDIRECT("Table!A"&amp;$AM77):INDIRECT("Table!" &amp; $AP$112 &amp; $AM77),0)),"",INDIRECT(CONCATENATE("Table!",ADDRESS($AI77,MATCH(G$1,INDIRECT("Table!A" &amp; $AM77):INDIRECT("Table!" &amp; $AP$112 &amp; $AM77),0)))))</f>
        <v>0.41163760481942302</v>
      </c>
      <c r="H77" s="273">
        <f ca="1">IF(ISERROR(MATCH(H$1,INDIRECT("Table!A"&amp;$AM77):INDIRECT("Table!" &amp; $AP$112 &amp; $AM77),0)),"",INDIRECT(CONCATENATE("Table!",ADDRESS($AI77,MATCH(H$1,INDIRECT("Table!A" &amp; $AM77):INDIRECT("Table!" &amp; $AP$112 &amp; $AM77),0)))))</f>
        <v>0.50634385495348266</v>
      </c>
      <c r="I77" s="273">
        <f ca="1">IF(ISERROR(MATCH(I$1,INDIRECT("Table!A"&amp;$AM77):INDIRECT("Table!" &amp; $AP$91 &amp; $AM77),0)),"",INDIRECT(CONCATENATE("Table!",ADDRESS($AI77,MATCH(I$1,INDIRECT("Table!A" &amp; $AM77):INDIRECT("Table!" &amp; $AP$91 &amp; $AM77),0)))))</f>
        <v>9.5543717737278724E-2</v>
      </c>
      <c r="J77" s="273">
        <f ca="1">IF(ISERROR(MATCH(J$1,INDIRECT("Table!A"&amp;$AM77):INDIRECT("Table!" &amp; $AP$91 &amp; $AM77),0)),"",INDIRECT(CONCATENATE("Table!",ADDRESS($AI77,MATCH(J$1,INDIRECT("Table!A" &amp; $AM77):INDIRECT("Table!" &amp; $AP$91 &amp; $AM77),0)))))</f>
        <v>2.8407835512319535E-5</v>
      </c>
      <c r="K77" s="273" t="str">
        <f ca="1">IF(ISERROR(MATCH(K$1,INDIRECT("Table!A"&amp;$AM77):INDIRECT("Table!" &amp; $AP$91 &amp; $AM77),0)),"",INDIRECT(CONCATENATE("Table!",ADDRESS($AI77,MATCH(K$1,INDIRECT("Table!A" &amp; $AM77):INDIRECT("Table!" &amp; $AP$91 &amp; $AM77),0)))))</f>
        <v/>
      </c>
      <c r="L77" s="273">
        <f ca="1">IF(ISERROR(MATCH(L$1,INDIRECT("Table!A"&amp;$AM77):INDIRECT("Table!" &amp; $AP$91 &amp; $AM77),0)),"",INDIRECT(CONCATENATE("Table!",ADDRESS($AI77,MATCH(L$1,INDIRECT("Table!A" &amp; $AM77):INDIRECT("Table!" &amp; $AP$91 &amp; $AM77),0)))))</f>
        <v>0.8326187528169634</v>
      </c>
      <c r="M77" s="273">
        <f ca="1">IF(ISERROR(MATCH(M$1,INDIRECT("Table!A"&amp;$AM77):INDIRECT("Table!" &amp; $AP$91 &amp; $AM77),0)),"",INDIRECT(CONCATENATE("Table!",ADDRESS($AI77,MATCH(M$1,INDIRECT("Table!A" &amp; $AM77):INDIRECT("Table!" &amp; $AP$91 &amp; $AM77),0)))))</f>
        <v>0.47843220653254842</v>
      </c>
      <c r="N77" s="273">
        <f ca="1">IF(ISERROR(MATCH(N$1,INDIRECT("Table!A"&amp;$AM77):INDIRECT("Table!" &amp; $AP$91 &amp; $AM77),0)),"",INDIRECT(CONCATENATE("Table!",ADDRESS($AI77,MATCH(N$1,INDIRECT("Table!A" &amp; $AM77):INDIRECT("Table!" &amp; $AP$91 &amp; $AM77),0)))))</f>
        <v>0.63447899881899705</v>
      </c>
      <c r="O77" s="273">
        <f ca="1">IF(ISERROR(MATCH(O$1,INDIRECT("Table!A"&amp;$AM77):INDIRECT("Table!" &amp; $AP$91 &amp; $AM77),0)),"",INDIRECT(CONCATENATE("Table!",ADDRESS($AI77,MATCH(O$1,INDIRECT("Table!A" &amp; $AM77):INDIRECT("Table!" &amp; $AP$91 &amp; $AM77),0)))))</f>
        <v>0.5713919965186488</v>
      </c>
      <c r="P77" s="273">
        <f ca="1">IF(ISERROR(MATCH(P$1,INDIRECT("Table!A"&amp;$AM77):INDIRECT("Table!" &amp; $AP$91 &amp; $AM77),0)),"",INDIRECT(CONCATENATE("Table!",ADDRESS($AI77,MATCH(P$1,INDIRECT("Table!A" &amp; $AM77):INDIRECT("Table!" &amp; $AP$91 &amp; $AM77),0)))))</f>
        <v>9.6771396572694762E-2</v>
      </c>
      <c r="Q77" s="273">
        <f ca="1">IF(ISERROR(MATCH(Q$1,INDIRECT("Table!A"&amp;$AM77):INDIRECT("Table!" &amp; $AP$91 &amp; $AM77),0)),"",INDIRECT(CONCATENATE("Table!",ADDRESS($AI77,MATCH(Q$1,INDIRECT("Table!A" &amp; $AM77):INDIRECT("Table!" &amp; $AP$91 &amp; $AM77),0)))))</f>
        <v>2.8151656099369091E-5</v>
      </c>
      <c r="R77" s="273" t="str">
        <f ca="1">IF(ISERROR(MATCH(R$1,INDIRECT("Table!A"&amp;$AM77):INDIRECT("Table!" &amp; $AP$91 &amp; $AM77),0)),"",INDIRECT(CONCATENATE("Table!",ADDRESS($AI77,MATCH(R$1,INDIRECT("Table!A" &amp; $AM77):INDIRECT("Table!" &amp; $AP$91 &amp; $AM77),0)))))</f>
        <v/>
      </c>
      <c r="S77" s="596" t="str">
        <f ca="1">IF(ISERROR(MATCH(S$1,INDIRECT("Table!A"&amp;$AM77):INDIRECT("Table!" &amp; $AP$91 &amp; $AM77),0)),"",INDIRECT(CONCATENATE("Table!",ADDRESS($AI77,MATCH(S$1,INDIRECT("Table!A" &amp; $AM77):INDIRECT("Table!" &amp; $AP$91 &amp; $AM77),0)))))</f>
        <v/>
      </c>
      <c r="T77" s="273">
        <f ca="1">IF(ISERROR(MATCH(T$1,INDIRECT("Table!A"&amp;$AM77):INDIRECT("Table!" &amp; $AP$65 &amp; $AM77),0)),"",INDIRECT(CONCATENATE("Table!",ADDRESS($AI77,MATCH(T$1,INDIRECT("Table!A" &amp; $AM77):INDIRECT("Table!" &amp; $AP$65 &amp; $AM77),0)))))</f>
        <v>0.14027893201976396</v>
      </c>
      <c r="U77" s="596" t="str">
        <f ca="1">IF(ISERROR(MATCH(U$1,INDIRECT("Table!A"&amp;$AM77):INDIRECT("Table!" &amp; $AP$65 &amp; $AM77),0)),"",INDIRECT(CONCATENATE("Table!",ADDRESS($AI77,MATCH(U$1,INDIRECT("Table!A" &amp; $AM77):INDIRECT("Table!" &amp; $AP$65 &amp; $AM77),0)))))</f>
        <v/>
      </c>
      <c r="V77" s="596"/>
      <c r="W77" s="596"/>
      <c r="X77" s="596"/>
      <c r="Y77" s="596"/>
      <c r="Z77" s="596"/>
      <c r="AA77" s="596"/>
      <c r="AB77" s="596"/>
      <c r="AC77" s="596"/>
      <c r="AD77" s="596"/>
      <c r="AE77" s="596"/>
      <c r="AF77" s="596"/>
      <c r="AG77" s="596"/>
      <c r="AH77" s="596"/>
      <c r="AI77" s="272">
        <f>MATCH($A77,Table!$A:$A,0)+$AK$2-1</f>
        <v>966</v>
      </c>
      <c r="AJ77" s="379"/>
      <c r="AK77" s="379"/>
      <c r="AL77" s="379"/>
      <c r="AM77" s="272">
        <f>MATCH($A77,Table!$A:$A,0)+$AO$2-1</f>
        <v>963</v>
      </c>
      <c r="AN77" s="379"/>
      <c r="AP77" s="947" t="s">
        <v>302</v>
      </c>
    </row>
    <row r="78" spans="1:42" s="267" customFormat="1" ht="15.75" customHeight="1" x14ac:dyDescent="0.25">
      <c r="A78" s="268">
        <v>41422</v>
      </c>
      <c r="B78" s="273">
        <f ca="1">IF(ISERROR(MATCH(B$1,INDIRECT("Table!A"&amp;$AM78):INDIRECT("Table!" &amp; $AP$113 &amp; $AM78),0)),"",INDIRECT(CONCATENATE("Table!",ADDRESS($AI78,MATCH(B$1,INDIRECT("Table!A" &amp; $AM78):INDIRECT("Table!" &amp; $AP$112 &amp; $AM78),0)))))</f>
        <v>0.28816211760472321</v>
      </c>
      <c r="C78" s="273">
        <f ca="1">IF(ISERROR(MATCH(C$1,INDIRECT("Table!A"&amp;$AM78):INDIRECT("Table!" &amp; $AP$112 &amp; $AM78),0)),"",INDIRECT(CONCATENATE("Table!",ADDRESS($AI78,MATCH(C$1,INDIRECT("Table!A" &amp; $AM78):INDIRECT("Table!" &amp; $AP$112 &amp; $AM78),0)))))</f>
        <v>0.52002314707160313</v>
      </c>
      <c r="D78" s="273">
        <f ca="1">IF(ISERROR(MATCH(D$1,INDIRECT("Table!A"&amp;$AM78):INDIRECT("Table!" &amp; $AP$112 &amp; $AM78),0)),"",INDIRECT(CONCATENATE("Table!",ADDRESS($AI78,MATCH(D$1,INDIRECT("Table!A" &amp; $AM78):INDIRECT("Table!" &amp; $AP$112 &amp; $AM78),0)))))</f>
        <v>0.53001146723466908</v>
      </c>
      <c r="E78" s="273">
        <f ca="1">IF(ISERROR(MATCH(E$1,INDIRECT("Table!A"&amp;$AM78):INDIRECT("Table!" &amp; $AP$112 &amp; $AM78),0)),"",INDIRECT(CONCATENATE("Table!",ADDRESS($AI78,MATCH(E$1,INDIRECT("Table!A" &amp; $AM78):INDIRECT("Table!" &amp; $AP$112 &amp; $AM78),0)))))</f>
        <v>0.88296946446605407</v>
      </c>
      <c r="F78" s="273">
        <f ca="1">IF(ISERROR(MATCH(F$1,INDIRECT("Table!A"&amp;$AM78):INDIRECT("Table!" &amp; $AP$112 &amp; $AM78),0)),"",INDIRECT(CONCATENATE("Table!",ADDRESS($AI78,MATCH(F$1,INDIRECT("Table!A" &amp; $AM78):INDIRECT("Table!" &amp; $AP$112 &amp; $AM78),0)))))</f>
        <v>0.61644218129070272</v>
      </c>
      <c r="G78" s="273">
        <f ca="1">IF(ISERROR(MATCH(G$1,INDIRECT("Table!A"&amp;$AM78):INDIRECT("Table!" &amp; $AP$112 &amp; $AM78),0)),"",INDIRECT(CONCATENATE("Table!",ADDRESS($AI78,MATCH(G$1,INDIRECT("Table!A" &amp; $AM78):INDIRECT("Table!" &amp; $AP$112 &amp; $AM78),0)))))</f>
        <v>0.41622090031180942</v>
      </c>
      <c r="H78" s="273">
        <f ca="1">IF(ISERROR(MATCH(H$1,INDIRECT("Table!A"&amp;$AM78):INDIRECT("Table!" &amp; $AP$112 &amp; $AM78),0)),"",INDIRECT(CONCATENATE("Table!",ADDRESS($AI78,MATCH(H$1,INDIRECT("Table!A" &amp; $AM78):INDIRECT("Table!" &amp; $AP$112 &amp; $AM78),0)))))</f>
        <v>0.50506876701335801</v>
      </c>
      <c r="I78" s="273">
        <f ca="1">IF(ISERROR(MATCH(I$1,INDIRECT("Table!A"&amp;$AM78):INDIRECT("Table!" &amp; $AP$91 &amp; $AM78),0)),"",INDIRECT(CONCATENATE("Table!",ADDRESS($AI78,MATCH(I$1,INDIRECT("Table!A" &amp; $AM78):INDIRECT("Table!" &amp; $AP$91 &amp; $AM78),0)))))</f>
        <v>9.5540707101908207E-2</v>
      </c>
      <c r="J78" s="273">
        <f ca="1">IF(ISERROR(MATCH(J$1,INDIRECT("Table!A"&amp;$AM78):INDIRECT("Table!" &amp; $AP$91 &amp; $AM78),0)),"",INDIRECT(CONCATENATE("Table!",ADDRESS($AI78,MATCH(J$1,INDIRECT("Table!A" &amp; $AM78):INDIRECT("Table!" &amp; $AP$91 &amp; $AM78),0)))))</f>
        <v>2.8407835512319535E-5</v>
      </c>
      <c r="K78" s="273" t="str">
        <f ca="1">IF(ISERROR(MATCH(K$1,INDIRECT("Table!A"&amp;$AM78):INDIRECT("Table!" &amp; $AP$91 &amp; $AM78),0)),"",INDIRECT(CONCATENATE("Table!",ADDRESS($AI78,MATCH(K$1,INDIRECT("Table!A" &amp; $AM78):INDIRECT("Table!" &amp; $AP$91 &amp; $AM78),0)))))</f>
        <v/>
      </c>
      <c r="L78" s="273">
        <f ca="1">IF(ISERROR(MATCH(L$1,INDIRECT("Table!A"&amp;$AM78):INDIRECT("Table!" &amp; $AP$91 &amp; $AM78),0)),"",INDIRECT(CONCATENATE("Table!",ADDRESS($AI78,MATCH(L$1,INDIRECT("Table!A" &amp; $AM78):INDIRECT("Table!" &amp; $AP$91 &amp; $AM78),0)))))</f>
        <v>0.83238976930688457</v>
      </c>
      <c r="M78" s="273">
        <f ca="1">IF(ISERROR(MATCH(M$1,INDIRECT("Table!A"&amp;$AM78):INDIRECT("Table!" &amp; $AP$91 &amp; $AM78),0)),"",INDIRECT(CONCATENATE("Table!",ADDRESS($AI78,MATCH(M$1,INDIRECT("Table!A" &amp; $AM78):INDIRECT("Table!" &amp; $AP$91 &amp; $AM78),0)))))</f>
        <v>0.48207855465965144</v>
      </c>
      <c r="N78" s="273">
        <f ca="1">IF(ISERROR(MATCH(N$1,INDIRECT("Table!A"&amp;$AM78):INDIRECT("Table!" &amp; $AP$91 &amp; $AM78),0)),"",INDIRECT(CONCATENATE("Table!",ADDRESS($AI78,MATCH(N$1,INDIRECT("Table!A" &amp; $AM78):INDIRECT("Table!" &amp; $AP$91 &amp; $AM78),0)))))</f>
        <v>0.63314689524371326</v>
      </c>
      <c r="O78" s="273">
        <f ca="1">IF(ISERROR(MATCH(O$1,INDIRECT("Table!A"&amp;$AM78):INDIRECT("Table!" &amp; $AP$91 &amp; $AM78),0)),"",INDIRECT(CONCATENATE("Table!",ADDRESS($AI78,MATCH(O$1,INDIRECT("Table!A" &amp; $AM78):INDIRECT("Table!" &amp; $AP$91 &amp; $AM78),0)))))</f>
        <v>0.5709452231147214</v>
      </c>
      <c r="P78" s="273">
        <f ca="1">IF(ISERROR(MATCH(P$1,INDIRECT("Table!A"&amp;$AM78):INDIRECT("Table!" &amp; $AP$91 &amp; $AM78),0)),"",INDIRECT(CONCATENATE("Table!",ADDRESS($AI78,MATCH(P$1,INDIRECT("Table!A" &amp; $AM78):INDIRECT("Table!" &amp; $AP$91 &amp; $AM78),0)))))</f>
        <v>8.734931779043581E-2</v>
      </c>
      <c r="Q78" s="273">
        <f ca="1">IF(ISERROR(MATCH(Q$1,INDIRECT("Table!A"&amp;$AM78):INDIRECT("Table!" &amp; $AP$91 &amp; $AM78),0)),"",INDIRECT(CONCATENATE("Table!",ADDRESS($AI78,MATCH(Q$1,INDIRECT("Table!A" &amp; $AM78):INDIRECT("Table!" &amp; $AP$91 &amp; $AM78),0)))))</f>
        <v>2.8151656099369091E-5</v>
      </c>
      <c r="R78" s="273" t="str">
        <f ca="1">IF(ISERROR(MATCH(R$1,INDIRECT("Table!A"&amp;$AM78):INDIRECT("Table!" &amp; $AP$91 &amp; $AM78),0)),"",INDIRECT(CONCATENATE("Table!",ADDRESS($AI78,MATCH(R$1,INDIRECT("Table!A" &amp; $AM78):INDIRECT("Table!" &amp; $AP$91 &amp; $AM78),0)))))</f>
        <v/>
      </c>
      <c r="S78" s="596" t="str">
        <f ca="1">IF(ISERROR(MATCH(S$1,INDIRECT("Table!A"&amp;$AM78):INDIRECT("Table!" &amp; $AP$91 &amp; $AM78),0)),"",INDIRECT(CONCATENATE("Table!",ADDRESS($AI78,MATCH(S$1,INDIRECT("Table!A" &amp; $AM78):INDIRECT("Table!" &amp; $AP$91 &amp; $AM78),0)))))</f>
        <v/>
      </c>
      <c r="T78" s="273">
        <f ca="1">IF(ISERROR(MATCH(T$1,INDIRECT("Table!A"&amp;$AM78):INDIRECT("Table!" &amp; $AP$65 &amp; $AM78),0)),"",INDIRECT(CONCATENATE("Table!",ADDRESS($AI78,MATCH(T$1,INDIRECT("Table!A" &amp; $AM78):INDIRECT("Table!" &amp; $AP$65 &amp; $AM78),0)))))</f>
        <v>0.13979540955863465</v>
      </c>
      <c r="U78" s="596" t="str">
        <f ca="1">IF(ISERROR(MATCH(U$1,INDIRECT("Table!A"&amp;$AM78):INDIRECT("Table!" &amp; $AP$65 &amp; $AM78),0)),"",INDIRECT(CONCATENATE("Table!",ADDRESS($AI78,MATCH(U$1,INDIRECT("Table!A" &amp; $AM78):INDIRECT("Table!" &amp; $AP$65 &amp; $AM78),0)))))</f>
        <v/>
      </c>
      <c r="V78" s="596"/>
      <c r="W78" s="596"/>
      <c r="X78" s="596"/>
      <c r="Y78" s="596"/>
      <c r="Z78" s="596"/>
      <c r="AA78" s="596"/>
      <c r="AB78" s="596"/>
      <c r="AC78" s="596"/>
      <c r="AD78" s="596"/>
      <c r="AE78" s="596"/>
      <c r="AF78" s="596"/>
      <c r="AG78" s="596"/>
      <c r="AH78" s="596"/>
      <c r="AI78" s="272">
        <f>MATCH($A78,Table!$A:$A,0)+$AK$2-1</f>
        <v>978</v>
      </c>
      <c r="AJ78" s="373"/>
      <c r="AK78" s="373"/>
      <c r="AL78" s="373"/>
      <c r="AM78" s="272">
        <f>MATCH($A78,Table!$A:$A,0)+$AO$2-1</f>
        <v>975</v>
      </c>
      <c r="AN78" s="373"/>
      <c r="AP78" s="947" t="s">
        <v>302</v>
      </c>
    </row>
    <row r="79" spans="1:42" s="267" customFormat="1" ht="15.75" customHeight="1" x14ac:dyDescent="0.25">
      <c r="A79" s="268">
        <v>41414</v>
      </c>
      <c r="B79" s="273">
        <f ca="1">IF(ISERROR(MATCH(B$1,INDIRECT("Table!A"&amp;$AM79):INDIRECT("Table!" &amp; $AP$113 &amp; $AM79),0)),"",INDIRECT(CONCATENATE("Table!",ADDRESS($AI79,MATCH(B$1,INDIRECT("Table!A" &amp; $AM79):INDIRECT("Table!" &amp; $AP$112 &amp; $AM79),0)))))</f>
        <v>0.28230405837974448</v>
      </c>
      <c r="C79" s="273">
        <f ca="1">IF(ISERROR(MATCH(C$1,INDIRECT("Table!A"&amp;$AM79):INDIRECT("Table!" &amp; $AP$112 &amp; $AM79),0)),"",INDIRECT(CONCATENATE("Table!",ADDRESS($AI79,MATCH(C$1,INDIRECT("Table!A" &amp; $AM79):INDIRECT("Table!" &amp; $AP$112 &amp; $AM79),0)))))</f>
        <v>0.51951755231012298</v>
      </c>
      <c r="D79" s="273">
        <f ca="1">IF(ISERROR(MATCH(D$1,INDIRECT("Table!A"&amp;$AM79):INDIRECT("Table!" &amp; $AP$112 &amp; $AM79),0)),"",INDIRECT(CONCATENATE("Table!",ADDRESS($AI79,MATCH(D$1,INDIRECT("Table!A" &amp; $AM79):INDIRECT("Table!" &amp; $AP$112 &amp; $AM79),0)))))</f>
        <v>0.52950985876565793</v>
      </c>
      <c r="E79" s="273">
        <f ca="1">IF(ISERROR(MATCH(E$1,INDIRECT("Table!A"&amp;$AM79):INDIRECT("Table!" &amp; $AP$112 &amp; $AM79),0)),"",INDIRECT(CONCATENATE("Table!",ADDRESS($AI79,MATCH(E$1,INDIRECT("Table!A" &amp; $AM79):INDIRECT("Table!" &amp; $AP$112 &amp; $AM79),0)))))</f>
        <v>0.87609905174677949</v>
      </c>
      <c r="F79" s="273">
        <f ca="1">IF(ISERROR(MATCH(F$1,INDIRECT("Table!A"&amp;$AM79):INDIRECT("Table!" &amp; $AP$112 &amp; $AM79),0)),"",INDIRECT(CONCATENATE("Table!",ADDRESS($AI79,MATCH(F$1,INDIRECT("Table!A" &amp; $AM79):INDIRECT("Table!" &amp; $AP$112 &amp; $AM79),0)))))</f>
        <v>0.60585364379504691</v>
      </c>
      <c r="G79" s="273">
        <f ca="1">IF(ISERROR(MATCH(G$1,INDIRECT("Table!A"&amp;$AM79):INDIRECT("Table!" &amp; $AP$112 &amp; $AM79),0)),"",INDIRECT(CONCATENATE("Table!",ADDRESS($AI79,MATCH(G$1,INDIRECT("Table!A" &amp; $AM79):INDIRECT("Table!" &amp; $AP$112 &amp; $AM79),0)))))</f>
        <v>0.42291950473768652</v>
      </c>
      <c r="H79" s="273">
        <f ca="1">IF(ISERROR(MATCH(H$1,INDIRECT("Table!A"&amp;$AM79):INDIRECT("Table!" &amp; $AP$112 &amp; $AM79),0)),"",INDIRECT(CONCATENATE("Table!",ADDRESS($AI79,MATCH(H$1,INDIRECT("Table!A" &amp; $AM79):INDIRECT("Table!" &amp; $AP$112 &amp; $AM79),0)))))</f>
        <v>0.50159912404967921</v>
      </c>
      <c r="I79" s="273">
        <f ca="1">IF(ISERROR(MATCH(I$1,INDIRECT("Table!A"&amp;$AM79):INDIRECT("Table!" &amp; $AP$91 &amp; $AM79),0)),"",INDIRECT(CONCATENATE("Table!",ADDRESS($AI79,MATCH(I$1,INDIRECT("Table!A" &amp; $AM79):INDIRECT("Table!" &amp; $AP$91 &amp; $AM79),0)))))</f>
        <v>8.6121633281731044E-2</v>
      </c>
      <c r="J79" s="273" t="str">
        <f ca="1">IF(ISERROR(MATCH(J$1,INDIRECT("Table!A"&amp;$AM79):INDIRECT("Table!" &amp; $AP$91 &amp; $AM79),0)),"",INDIRECT(CONCATENATE("Table!",ADDRESS($AI79,MATCH(J$1,INDIRECT("Table!A" &amp; $AM79):INDIRECT("Table!" &amp; $AP$91 &amp; $AM79),0)))))</f>
        <v/>
      </c>
      <c r="K79" s="273" t="str">
        <f ca="1">IF(ISERROR(MATCH(K$1,INDIRECT("Table!A"&amp;$AM79):INDIRECT("Table!" &amp; $AP$91 &amp; $AM79),0)),"",INDIRECT(CONCATENATE("Table!",ADDRESS($AI79,MATCH(K$1,INDIRECT("Table!A" &amp; $AM79):INDIRECT("Table!" &amp; $AP$91 &amp; $AM79),0)))))</f>
        <v/>
      </c>
      <c r="L79" s="273">
        <f ca="1">IF(ISERROR(MATCH(L$1,INDIRECT("Table!A"&amp;$AM79):INDIRECT("Table!" &amp; $AP$91 &amp; $AM79),0)),"",INDIRECT(CONCATENATE("Table!",ADDRESS($AI79,MATCH(L$1,INDIRECT("Table!A" &amp; $AM79):INDIRECT("Table!" &amp; $AP$91 &amp; $AM79),0)))))</f>
        <v>0.82796707196402575</v>
      </c>
      <c r="M79" s="273">
        <f ca="1">IF(ISERROR(MATCH(M$1,INDIRECT("Table!A"&amp;$AM79):INDIRECT("Table!" &amp; $AP$91 &amp; $AM79),0)),"",INDIRECT(CONCATENATE("Table!",ADDRESS($AI79,MATCH(M$1,INDIRECT("Table!A" &amp; $AM79):INDIRECT("Table!" &amp; $AP$91 &amp; $AM79),0)))))</f>
        <v>0.48381999240154927</v>
      </c>
      <c r="N79" s="273">
        <f ca="1">IF(ISERROR(MATCH(N$1,INDIRECT("Table!A"&amp;$AM79):INDIRECT("Table!" &amp; $AP$91 &amp; $AM79),0)),"",INDIRECT(CONCATENATE("Table!",ADDRESS($AI79,MATCH(N$1,INDIRECT("Table!A" &amp; $AM79):INDIRECT("Table!" &amp; $AP$91 &amp; $AM79),0)))))</f>
        <v>0.62255050691255387</v>
      </c>
      <c r="O79" s="273">
        <f ca="1">IF(ISERROR(MATCH(O$1,INDIRECT("Table!A"&amp;$AM79):INDIRECT("Table!" &amp; $AP$91 &amp; $AM79),0)),"",INDIRECT(CONCATENATE("Table!",ADDRESS($AI79,MATCH(O$1,INDIRECT("Table!A" &amp; $AM79):INDIRECT("Table!" &amp; $AP$91 &amp; $AM79),0)))))</f>
        <v>0.5679019419412159</v>
      </c>
      <c r="P79" s="273">
        <f ca="1">IF(ISERROR(MATCH(P$1,INDIRECT("Table!A"&amp;$AM79):INDIRECT("Table!" &amp; $AP$91 &amp; $AM79),0)),"",INDIRECT(CONCATENATE("Table!",ADDRESS($AI79,MATCH(P$1,INDIRECT("Table!A" &amp; $AM79):INDIRECT("Table!" &amp; $AP$91 &amp; $AM79),0)))))</f>
        <v>8.734931779043581E-2</v>
      </c>
      <c r="Q79" s="273" t="str">
        <f ca="1">IF(ISERROR(MATCH(Q$1,INDIRECT("Table!A"&amp;$AM79):INDIRECT("Table!" &amp; $AP$91 &amp; $AM79),0)),"",INDIRECT(CONCATENATE("Table!",ADDRESS($AI79,MATCH(Q$1,INDIRECT("Table!A" &amp; $AM79):INDIRECT("Table!" &amp; $AP$91 &amp; $AM79),0)))))</f>
        <v/>
      </c>
      <c r="R79" s="273" t="str">
        <f ca="1">IF(ISERROR(MATCH(R$1,INDIRECT("Table!A"&amp;$AM79):INDIRECT("Table!" &amp; $AP$91 &amp; $AM79),0)),"",INDIRECT(CONCATENATE("Table!",ADDRESS($AI79,MATCH(R$1,INDIRECT("Table!A" &amp; $AM79):INDIRECT("Table!" &amp; $AP$91 &amp; $AM79),0)))))</f>
        <v/>
      </c>
      <c r="S79" s="596" t="str">
        <f ca="1">IF(ISERROR(MATCH(S$1,INDIRECT("Table!A"&amp;$AM79):INDIRECT("Table!" &amp; $AP$91 &amp; $AM79),0)),"",INDIRECT(CONCATENATE("Table!",ADDRESS($AI79,MATCH(S$1,INDIRECT("Table!A" &amp; $AM79):INDIRECT("Table!" &amp; $AP$91 &amp; $AM79),0)))))</f>
        <v/>
      </c>
      <c r="T79" s="273">
        <f ca="1">IF(ISERROR(MATCH(T$1,INDIRECT("Table!A"&amp;$AM79):INDIRECT("Table!" &amp; $AP$91 &amp; $AM79),0)),"",INDIRECT(CONCATENATE("Table!",ADDRESS($AI79,MATCH(T$1,INDIRECT("Table!A" &amp; $AM79):INDIRECT("Table!" &amp; $AP$91 &amp; $AM79),0)))))</f>
        <v>0.13460963116302263</v>
      </c>
      <c r="U79" s="596" t="str">
        <f ca="1">IF(ISERROR(MATCH(U$1,INDIRECT("Table!A"&amp;$AM79):INDIRECT("Table!" &amp; $AP$91 &amp; $AM79),0)),"",INDIRECT(CONCATENATE("Table!",ADDRESS($AI79,MATCH(U$1,INDIRECT("Table!A" &amp; $AM79):INDIRECT("Table!" &amp; $AP$91 &amp; $AM79),0)))))</f>
        <v/>
      </c>
      <c r="V79" s="596"/>
      <c r="W79" s="596"/>
      <c r="X79" s="596"/>
      <c r="Y79" s="596"/>
      <c r="Z79" s="596"/>
      <c r="AA79" s="596"/>
      <c r="AB79" s="596"/>
      <c r="AC79" s="596"/>
      <c r="AD79" s="596"/>
      <c r="AE79" s="596"/>
      <c r="AF79" s="596"/>
      <c r="AG79" s="596"/>
      <c r="AH79" s="596"/>
      <c r="AI79" s="272">
        <f>MATCH($A79,Table!$A:$A,0)+$AK$2-1</f>
        <v>990</v>
      </c>
      <c r="AJ79" s="370"/>
      <c r="AK79" s="370"/>
      <c r="AL79" s="370"/>
      <c r="AM79" s="272">
        <f>MATCH($A79,Table!$A:$A,0)+$AO$2-1</f>
        <v>987</v>
      </c>
      <c r="AN79" s="370"/>
      <c r="AP79" s="947" t="s">
        <v>302</v>
      </c>
    </row>
    <row r="80" spans="1:42" s="267" customFormat="1" ht="15.75" customHeight="1" x14ac:dyDescent="0.25">
      <c r="A80" s="268">
        <v>41408</v>
      </c>
      <c r="B80" s="273">
        <f ca="1">IF(ISERROR(MATCH(B$1,INDIRECT("Table!A"&amp;$AM80):INDIRECT("Table!" &amp; $AP$113 &amp; $AM80),0)),"",INDIRECT(CONCATENATE("Table!",ADDRESS($AI80,MATCH(B$1,INDIRECT("Table!A" &amp; $AM80):INDIRECT("Table!" &amp; $AP$112 &amp; $AM80),0)))))</f>
        <v>0.27845796354334473</v>
      </c>
      <c r="C80" s="273">
        <f ca="1">IF(ISERROR(MATCH(C$1,INDIRECT("Table!A"&amp;$AM80):INDIRECT("Table!" &amp; $AP$112 &amp; $AM80),0)),"",INDIRECT(CONCATENATE("Table!",ADDRESS($AI80,MATCH(C$1,INDIRECT("Table!A" &amp; $AM80):INDIRECT("Table!" &amp; $AP$112 &amp; $AM80),0)))))</f>
        <v>0.5189103070906842</v>
      </c>
      <c r="D80" s="273">
        <f ca="1">IF(ISERROR(MATCH(D$1,INDIRECT("Table!A"&amp;$AM80):INDIRECT("Table!" &amp; $AP$112 &amp; $AM80),0)),"",INDIRECT(CONCATENATE("Table!",ADDRESS($AI80,MATCH(D$1,INDIRECT("Table!A" &amp; $AM80):INDIRECT("Table!" &amp; $AP$112 &amp; $AM80),0)))))</f>
        <v>0.52901356535327193</v>
      </c>
      <c r="E80" s="273">
        <f ca="1">IF(ISERROR(MATCH(E$1,INDIRECT("Table!A"&amp;$AM80):INDIRECT("Table!" &amp; $AP$112 &amp; $AM80),0)),"",INDIRECT(CONCATENATE("Table!",ADDRESS($AI80,MATCH(E$1,INDIRECT("Table!A" &amp; $AM80):INDIRECT("Table!" &amp; $AP$112 &amp; $AM80),0)))))</f>
        <v>0.87468804567967307</v>
      </c>
      <c r="F80" s="273">
        <f ca="1">IF(ISERROR(MATCH(F$1,INDIRECT("Table!A"&amp;$AM80):INDIRECT("Table!" &amp; $AP$112 &amp; $AM80),0)),"",INDIRECT(CONCATENATE("Table!",ADDRESS($AI80,MATCH(F$1,INDIRECT("Table!A" &amp; $AM80):INDIRECT("Table!" &amp; $AP$112 &amp; $AM80),0)))))</f>
        <v>0.6010716066544779</v>
      </c>
      <c r="G80" s="273">
        <f ca="1">IF(ISERROR(MATCH(G$1,INDIRECT("Table!A"&amp;$AM80):INDIRECT("Table!" &amp; $AP$112 &amp; $AM80),0)),"",INDIRECT(CONCATENATE("Table!",ADDRESS($AI80,MATCH(G$1,INDIRECT("Table!A" &amp; $AM80):INDIRECT("Table!" &amp; $AP$112 &amp; $AM80),0)))))</f>
        <v>0.42195229013410834</v>
      </c>
      <c r="H80" s="273">
        <f ca="1">IF(ISERROR(MATCH(H$1,INDIRECT("Table!A"&amp;$AM80):INDIRECT("Table!" &amp; $AP$112 &amp; $AM80),0)),"",INDIRECT(CONCATENATE("Table!",ADDRESS($AI80,MATCH(H$1,INDIRECT("Table!A" &amp; $AM80):INDIRECT("Table!" &amp; $AP$112 &amp; $AM80),0)))))</f>
        <v>0.49927998474573693</v>
      </c>
      <c r="I80" s="273">
        <f ca="1">IF(ISERROR(MATCH(I$1,INDIRECT("Table!A"&amp;$AM80):INDIRECT("Table!" &amp; $AP$91 &amp; $AM80),0)),"",INDIRECT(CONCATENATE("Table!",ADDRESS($AI80,MATCH(I$1,INDIRECT("Table!A" &amp; $AM80):INDIRECT("Table!" &amp; $AP$91 &amp; $AM80),0)))))</f>
        <v>8.5373189328622298E-2</v>
      </c>
      <c r="J80" s="273" t="str">
        <f ca="1">IF(ISERROR(MATCH(J$1,INDIRECT("Table!A"&amp;$AM80):INDIRECT("Table!" &amp; $AP$91 &amp; $AM80),0)),"",INDIRECT(CONCATENATE("Table!",ADDRESS($AI80,MATCH(J$1,INDIRECT("Table!A" &amp; $AM80):INDIRECT("Table!" &amp; $AP$91 &amp; $AM80),0)))))</f>
        <v/>
      </c>
      <c r="K80" s="273" t="str">
        <f ca="1">IF(ISERROR(MATCH(K$1,INDIRECT("Table!A"&amp;$AM80):INDIRECT("Table!" &amp; $AP$91 &amp; $AM80),0)),"",INDIRECT(CONCATENATE("Table!",ADDRESS($AI80,MATCH(K$1,INDIRECT("Table!A" &amp; $AM80):INDIRECT("Table!" &amp; $AP$91 &amp; $AM80),0)))))</f>
        <v/>
      </c>
      <c r="L80" s="273">
        <f ca="1">IF(ISERROR(MATCH(L$1,INDIRECT("Table!A"&amp;$AM80):INDIRECT("Table!" &amp; $AP$91 &amp; $AM80),0)),"",INDIRECT(CONCATENATE("Table!",ADDRESS($AI80,MATCH(L$1,INDIRECT("Table!A" &amp; $AM80):INDIRECT("Table!" &amp; $AP$91 &amp; $AM80),0)))))</f>
        <v>0.82496904578116004</v>
      </c>
      <c r="M80" s="273">
        <f ca="1">IF(ISERROR(MATCH(M$1,INDIRECT("Table!A"&amp;$AM80):INDIRECT("Table!" &amp; $AP$91 &amp; $AM80),0)),"",INDIRECT(CONCATENATE("Table!",ADDRESS($AI80,MATCH(M$1,INDIRECT("Table!A" &amp; $AM80):INDIRECT("Table!" &amp; $AP$91 &amp; $AM80),0)))))</f>
        <v>0.48442544663602055</v>
      </c>
      <c r="N80" s="273">
        <f ca="1">IF(ISERROR(MATCH(N$1,INDIRECT("Table!A"&amp;$AM80):INDIRECT("Table!" &amp; $AP$91 &amp; $AM80),0)),"",INDIRECT(CONCATENATE("Table!",ADDRESS($AI80,MATCH(N$1,INDIRECT("Table!A" &amp; $AM80):INDIRECT("Table!" &amp; $AP$91 &amp; $AM80),0)))))</f>
        <v>0.61796792555692681</v>
      </c>
      <c r="O80" s="273">
        <f ca="1">IF(ISERROR(MATCH(O$1,INDIRECT("Table!A"&amp;$AM80):INDIRECT("Table!" &amp; $AP$91 &amp; $AM80),0)),"",INDIRECT(CONCATENATE("Table!",ADDRESS($AI80,MATCH(O$1,INDIRECT("Table!A" &amp; $AM80):INDIRECT("Table!" &amp; $AP$91 &amp; $AM80),0)))))</f>
        <v>0.56538086344762561</v>
      </c>
      <c r="P80" s="273">
        <f ca="1">IF(ISERROR(MATCH(P$1,INDIRECT("Table!A"&amp;$AM80):INDIRECT("Table!" &amp; $AP$91 &amp; $AM80),0)),"",INDIRECT(CONCATENATE("Table!",ADDRESS($AI80,MATCH(P$1,INDIRECT("Table!A" &amp; $AM80):INDIRECT("Table!" &amp; $AP$91 &amp; $AM80),0)))))</f>
        <v>8.6601476414696704E-2</v>
      </c>
      <c r="Q80" s="273" t="str">
        <f ca="1">IF(ISERROR(MATCH(Q$1,INDIRECT("Table!A"&amp;$AM80):INDIRECT("Table!" &amp; $AP$91 &amp; $AM80),0)),"",INDIRECT(CONCATENATE("Table!",ADDRESS($AI80,MATCH(Q$1,INDIRECT("Table!A" &amp; $AM80):INDIRECT("Table!" &amp; $AP$91 &amp; $AM80),0)))))</f>
        <v/>
      </c>
      <c r="R80" s="273" t="str">
        <f ca="1">IF(ISERROR(MATCH(R$1,INDIRECT("Table!A"&amp;$AM80):INDIRECT("Table!" &amp; $AP$91 &amp; $AM80),0)),"",INDIRECT(CONCATENATE("Table!",ADDRESS($AI80,MATCH(R$1,INDIRECT("Table!A" &amp; $AM80):INDIRECT("Table!" &amp; $AP$91 &amp; $AM80),0)))))</f>
        <v/>
      </c>
      <c r="S80" s="596" t="str">
        <f ca="1">IF(ISERROR(MATCH(S$1,INDIRECT("Table!A"&amp;$AM80):INDIRECT("Table!" &amp; $AP$91 &amp; $AM80),0)),"",INDIRECT(CONCATENATE("Table!",ADDRESS($AI80,MATCH(S$1,INDIRECT("Table!A" &amp; $AM80):INDIRECT("Table!" &amp; $AP$91 &amp; $AM80),0)))))</f>
        <v/>
      </c>
      <c r="T80" s="273">
        <f ca="1">IF(ISERROR(MATCH(T$1,INDIRECT("Table!A"&amp;$AM80):INDIRECT("Table!" &amp; $AP$91 &amp; $AM80),0)),"",INDIRECT(CONCATENATE("Table!",ADDRESS($AI80,MATCH(T$1,INDIRECT("Table!A" &amp; $AM80):INDIRECT("Table!" &amp; $AP$91 &amp; $AM80),0)))))</f>
        <v>0.12060863389794654</v>
      </c>
      <c r="U80" s="596" t="str">
        <f ca="1">IF(ISERROR(MATCH(U$1,INDIRECT("Table!A"&amp;$AM80):INDIRECT("Table!" &amp; $AP$91 &amp; $AM80),0)),"",INDIRECT(CONCATENATE("Table!",ADDRESS($AI80,MATCH(U$1,INDIRECT("Table!A" &amp; $AM80):INDIRECT("Table!" &amp; $AP$91 &amp; $AM80),0)))))</f>
        <v/>
      </c>
      <c r="V80" s="596"/>
      <c r="W80" s="596"/>
      <c r="X80" s="596"/>
      <c r="Y80" s="596"/>
      <c r="Z80" s="596"/>
      <c r="AA80" s="596"/>
      <c r="AB80" s="596"/>
      <c r="AC80" s="596"/>
      <c r="AD80" s="596"/>
      <c r="AE80" s="596"/>
      <c r="AF80" s="596"/>
      <c r="AG80" s="596"/>
      <c r="AH80" s="596"/>
      <c r="AI80" s="272">
        <f>MATCH($A80,Table!$A:$A,0)+$AK$2-1</f>
        <v>1002</v>
      </c>
      <c r="AJ80" s="369"/>
      <c r="AK80" s="369"/>
      <c r="AL80" s="369"/>
      <c r="AM80" s="272">
        <f>MATCH($A80,Table!$A:$A,0)+$AO$2-1</f>
        <v>999</v>
      </c>
      <c r="AN80" s="369"/>
      <c r="AP80" s="947" t="s">
        <v>302</v>
      </c>
    </row>
    <row r="81" spans="1:42" s="267" customFormat="1" ht="15.75" customHeight="1" x14ac:dyDescent="0.25">
      <c r="A81" s="268">
        <v>41401</v>
      </c>
      <c r="B81" s="273">
        <f ca="1">IF(ISERROR(MATCH(B$1,INDIRECT("Table!A"&amp;$AM81):INDIRECT("Table!" &amp; $AP$113 &amp; $AM81),0)),"",INDIRECT(CONCATENATE("Table!",ADDRESS($AI81,MATCH(B$1,INDIRECT("Table!A" &amp; $AM81):INDIRECT("Table!" &amp; $AP$112 &amp; $AM81),0)))))</f>
        <v>0.27719848080997428</v>
      </c>
      <c r="C81" s="273">
        <f ca="1">IF(ISERROR(MATCH(C$1,INDIRECT("Table!A"&amp;$AM81):INDIRECT("Table!" &amp; $AP$112 &amp; $AM81),0)),"",INDIRECT(CONCATENATE("Table!",ADDRESS($AI81,MATCH(C$1,INDIRECT("Table!A" &amp; $AM81):INDIRECT("Table!" &amp; $AP$112 &amp; $AM81),0)))))</f>
        <v>0.51861930774044984</v>
      </c>
      <c r="D81" s="273">
        <f ca="1">IF(ISERROR(MATCH(D$1,INDIRECT("Table!A"&amp;$AM81):INDIRECT("Table!" &amp; $AP$112 &amp; $AM81),0)),"",INDIRECT(CONCATENATE("Table!",ADDRESS($AI81,MATCH(D$1,INDIRECT("Table!A" &amp; $AM81):INDIRECT("Table!" &amp; $AP$112 &amp; $AM81),0)))))</f>
        <v>0.52886673691399844</v>
      </c>
      <c r="E81" s="273">
        <f ca="1">IF(ISERROR(MATCH(E$1,INDIRECT("Table!A"&amp;$AM81):INDIRECT("Table!" &amp; $AP$112 &amp; $AM81),0)),"",INDIRECT(CONCATENATE("Table!",ADDRESS($AI81,MATCH(E$1,INDIRECT("Table!A" &amp; $AM81):INDIRECT("Table!" &amp; $AP$112 &amp; $AM81),0)))))</f>
        <v>0.87133635681310428</v>
      </c>
      <c r="F81" s="273">
        <f ca="1">IF(ISERROR(MATCH(F$1,INDIRECT("Table!A"&amp;$AM81):INDIRECT("Table!" &amp; $AP$112 &amp; $AM81),0)),"",INDIRECT(CONCATENATE("Table!",ADDRESS($AI81,MATCH(F$1,INDIRECT("Table!A" &amp; $AM81):INDIRECT("Table!" &amp; $AP$112 &amp; $AM81),0)))))</f>
        <v>0.59451202006618209</v>
      </c>
      <c r="G81" s="273">
        <f ca="1">IF(ISERROR(MATCH(G$1,INDIRECT("Table!A"&amp;$AM81):INDIRECT("Table!" &amp; $AP$112 &amp; $AM81),0)),"",INDIRECT(CONCATENATE("Table!",ADDRESS($AI81,MATCH(G$1,INDIRECT("Table!A" &amp; $AM81):INDIRECT("Table!" &amp; $AP$112 &amp; $AM81),0)))))</f>
        <v>0.38604955650410194</v>
      </c>
      <c r="H81" s="273">
        <f ca="1">IF(ISERROR(MATCH(H$1,INDIRECT("Table!A"&amp;$AM81):INDIRECT("Table!" &amp; $AP$112 &amp; $AM81),0)),"",INDIRECT(CONCATENATE("Table!",ADDRESS($AI81,MATCH(H$1,INDIRECT("Table!A" &amp; $AM81):INDIRECT("Table!" &amp; $AP$112 &amp; $AM81),0)))))</f>
        <v>0.69532884206778434</v>
      </c>
      <c r="I81" s="273">
        <f ca="1">IF(ISERROR(MATCH(I$1,INDIRECT("Table!A"&amp;$AM81):INDIRECT("Table!" &amp; $AP$91 &amp; $AM81),0)),"",INDIRECT(CONCATENATE("Table!",ADDRESS($AI81,MATCH(I$1,INDIRECT("Table!A" &amp; $AM81):INDIRECT("Table!" &amp; $AP$91 &amp; $AM81),0)))))</f>
        <v>8.2987561861030276E-2</v>
      </c>
      <c r="J81" s="273" t="str">
        <f ca="1">IF(ISERROR(MATCH(J$1,INDIRECT("Table!A"&amp;$AM81):INDIRECT("Table!" &amp; $AP$91 &amp; $AM81),0)),"",INDIRECT(CONCATENATE("Table!",ADDRESS($AI81,MATCH(J$1,INDIRECT("Table!A" &amp; $AM81):INDIRECT("Table!" &amp; $AP$91 &amp; $AM81),0)))))</f>
        <v/>
      </c>
      <c r="K81" s="273" t="str">
        <f ca="1">IF(ISERROR(MATCH(K$1,INDIRECT("Table!A"&amp;$AM81):INDIRECT("Table!" &amp; $AP$91 &amp; $AM81),0)),"",INDIRECT(CONCATENATE("Table!",ADDRESS($AI81,MATCH(K$1,INDIRECT("Table!A" &amp; $AM81):INDIRECT("Table!" &amp; $AP$91 &amp; $AM81),0)))))</f>
        <v/>
      </c>
      <c r="L81" s="273">
        <f ca="1">IF(ISERROR(MATCH(L$1,INDIRECT("Table!A"&amp;$AM81):INDIRECT("Table!" &amp; $AP$91 &amp; $AM81),0)),"",INDIRECT(CONCATENATE("Table!",ADDRESS($AI81,MATCH(L$1,INDIRECT("Table!A" &amp; $AM81):INDIRECT("Table!" &amp; $AP$91 &amp; $AM81),0)))))</f>
        <v>0.82352727856724706</v>
      </c>
      <c r="M81" s="273">
        <f ca="1">IF(ISERROR(MATCH(M$1,INDIRECT("Table!A"&amp;$AM81):INDIRECT("Table!" &amp; $AP$91 &amp; $AM81),0)),"",INDIRECT(CONCATENATE("Table!",ADDRESS($AI81,MATCH(M$1,INDIRECT("Table!A" &amp; $AM81):INDIRECT("Table!" &amp; $AP$91 &amp; $AM81),0)))))</f>
        <v>0.47882575178495473</v>
      </c>
      <c r="N81" s="273">
        <f ca="1">IF(ISERROR(MATCH(N$1,INDIRECT("Table!A"&amp;$AM81):INDIRECT("Table!" &amp; $AP$91 &amp; $AM81),0)),"",INDIRECT(CONCATENATE("Table!",ADDRESS($AI81,MATCH(N$1,INDIRECT("Table!A" &amp; $AM81):INDIRECT("Table!" &amp; $AP$91 &amp; $AM81),0)))))</f>
        <v>0.61271083077570254</v>
      </c>
      <c r="O81" s="273">
        <f ca="1">IF(ISERROR(MATCH(O$1,INDIRECT("Table!A"&amp;$AM81):INDIRECT("Table!" &amp; $AP$91 &amp; $AM81),0)),"",INDIRECT(CONCATENATE("Table!",ADDRESS($AI81,MATCH(O$1,INDIRECT("Table!A" &amp; $AM81):INDIRECT("Table!" &amp; $AP$91 &amp; $AM81),0)))))</f>
        <v>0.87670802860563657</v>
      </c>
      <c r="P81" s="273">
        <f ca="1">IF(ISERROR(MATCH(P$1,INDIRECT("Table!A"&amp;$AM81):INDIRECT("Table!" &amp; $AP$91 &amp; $AM81),0)),"",INDIRECT(CONCATENATE("Table!",ADDRESS($AI81,MATCH(P$1,INDIRECT("Table!A" &amp; $AM81):INDIRECT("Table!" &amp; $AP$91 &amp; $AM81),0)))))</f>
        <v>8.4215850383554711E-2</v>
      </c>
      <c r="Q81" s="273" t="str">
        <f ca="1">IF(ISERROR(MATCH(Q$1,INDIRECT("Table!A"&amp;$AM81):INDIRECT("Table!" &amp; $AP$91 &amp; $AM81),0)),"",INDIRECT(CONCATENATE("Table!",ADDRESS($AI81,MATCH(Q$1,INDIRECT("Table!A" &amp; $AM81):INDIRECT("Table!" &amp; $AP$91 &amp; $AM81),0)))))</f>
        <v/>
      </c>
      <c r="R81" s="273" t="str">
        <f ca="1">IF(ISERROR(MATCH(R$1,INDIRECT("Table!A"&amp;$AM81):INDIRECT("Table!" &amp; $AP$91 &amp; $AM81),0)),"",INDIRECT(CONCATENATE("Table!",ADDRESS($AI81,MATCH(R$1,INDIRECT("Table!A" &amp; $AM81):INDIRECT("Table!" &amp; $AP$91 &amp; $AM81),0)))))</f>
        <v/>
      </c>
      <c r="S81" s="596" t="str">
        <f ca="1">IF(ISERROR(MATCH(S$1,INDIRECT("Table!A"&amp;$AM81):INDIRECT("Table!" &amp; $AP$91 &amp; $AM81),0)),"",INDIRECT(CONCATENATE("Table!",ADDRESS($AI81,MATCH(S$1,INDIRECT("Table!A" &amp; $AM81):INDIRECT("Table!" &amp; $AP$91 &amp; $AM81),0)))))</f>
        <v/>
      </c>
      <c r="T81" s="273">
        <f ca="1">IF(ISERROR(MATCH(T$1,INDIRECT("Table!A"&amp;$AM81):INDIRECT("Table!" &amp; $AP$91 &amp; $AM81),0)),"",INDIRECT(CONCATENATE("Table!",ADDRESS($AI81,MATCH(T$1,INDIRECT("Table!A" &amp; $AM81):INDIRECT("Table!" &amp; $AP$91 &amp; $AM81),0)))))</f>
        <v>0.10476118523443284</v>
      </c>
      <c r="U81" s="596" t="str">
        <f ca="1">IF(ISERROR(MATCH(U$1,INDIRECT("Table!A"&amp;$AM81):INDIRECT("Table!" &amp; $AP$91 &amp; $AM81),0)),"",INDIRECT(CONCATENATE("Table!",ADDRESS($AI81,MATCH(U$1,INDIRECT("Table!A" &amp; $AM81):INDIRECT("Table!" &amp; $AP$91 &amp; $AM81),0)))))</f>
        <v/>
      </c>
      <c r="V81" s="596"/>
      <c r="W81" s="596"/>
      <c r="X81" s="596"/>
      <c r="Y81" s="596"/>
      <c r="Z81" s="596"/>
      <c r="AA81" s="596"/>
      <c r="AB81" s="596"/>
      <c r="AC81" s="596"/>
      <c r="AD81" s="596"/>
      <c r="AE81" s="596"/>
      <c r="AF81" s="596"/>
      <c r="AG81" s="596"/>
      <c r="AH81" s="596"/>
      <c r="AI81" s="272">
        <f>MATCH($A81,Table!$A:$A,0)+$AK$2-1</f>
        <v>1014</v>
      </c>
      <c r="AJ81" s="369"/>
      <c r="AK81" s="369"/>
      <c r="AL81" s="369"/>
      <c r="AM81" s="272">
        <f>MATCH($A81,Table!$A:$A,0)+$AO$2-1</f>
        <v>1011</v>
      </c>
      <c r="AN81" s="369"/>
      <c r="AP81" s="947" t="s">
        <v>302</v>
      </c>
    </row>
    <row r="82" spans="1:42" s="267" customFormat="1" ht="15.75" customHeight="1" x14ac:dyDescent="0.25">
      <c r="A82" s="268">
        <v>41395</v>
      </c>
      <c r="B82" s="273">
        <f ca="1">IF(ISERROR(MATCH(B$1,INDIRECT("Table!A"&amp;$AM82):INDIRECT("Table!" &amp; $AP$113 &amp; $AM82),0)),"",INDIRECT(CONCATENATE("Table!",ADDRESS($AI82,MATCH(B$1,INDIRECT("Table!A" &amp; $AM82):INDIRECT("Table!" &amp; $AP$112 &amp; $AM82),0)))))</f>
        <v>0.30140272622918124</v>
      </c>
      <c r="C82" s="273">
        <f ca="1">IF(ISERROR(MATCH(C$1,INDIRECT("Table!A"&amp;$AM82):INDIRECT("Table!" &amp; $AP$112 &amp; $AM82),0)),"",INDIRECT(CONCATENATE("Table!",ADDRESS($AI82,MATCH(C$1,INDIRECT("Table!A" &amp; $AM82):INDIRECT("Table!" &amp; $AP$112 &amp; $AM82),0)))))</f>
        <v>0.51693775670062547</v>
      </c>
      <c r="D82" s="273">
        <f ca="1">IF(ISERROR(MATCH(D$1,INDIRECT("Table!A"&amp;$AM82):INDIRECT("Table!" &amp; $AP$112 &amp; $AM82),0)),"",INDIRECT(CONCATENATE("Table!",ADDRESS($AI82,MATCH(D$1,INDIRECT("Table!A" &amp; $AM82):INDIRECT("Table!" &amp; $AP$112 &amp; $AM82),0)))))</f>
        <v>0.5273645690352774</v>
      </c>
      <c r="E82" s="273">
        <f ca="1">IF(ISERROR(MATCH(E$1,INDIRECT("Table!A"&amp;$AM82):INDIRECT("Table!" &amp; $AP$112 &amp; $AM82),0)),"",INDIRECT(CONCATENATE("Table!",ADDRESS($AI82,MATCH(E$1,INDIRECT("Table!A" &amp; $AM82):INDIRECT("Table!" &amp; $AP$112 &amp; $AM82),0)))))</f>
        <v>0.86762037782874302</v>
      </c>
      <c r="F82" s="273">
        <f ca="1">IF(ISERROR(MATCH(F$1,INDIRECT("Table!A"&amp;$AM82):INDIRECT("Table!" &amp; $AP$112 &amp; $AM82),0)),"",INDIRECT(CONCATENATE("Table!",ADDRESS($AI82,MATCH(F$1,INDIRECT("Table!A" &amp; $AM82):INDIRECT("Table!" &amp; $AP$112 &amp; $AM82),0)))))</f>
        <v>0.58990163339931401</v>
      </c>
      <c r="G82" s="273">
        <f ca="1">IF(ISERROR(MATCH(G$1,INDIRECT("Table!A"&amp;$AM82):INDIRECT("Table!" &amp; $AP$112 &amp; $AM82),0)),"",INDIRECT(CONCATENATE("Table!",ADDRESS($AI82,MATCH(G$1,INDIRECT("Table!A" &amp; $AM82):INDIRECT("Table!" &amp; $AP$112 &amp; $AM82),0)))))</f>
        <v>0.38434292979747525</v>
      </c>
      <c r="H82" s="273">
        <f ca="1">IF(ISERROR(MATCH(H$1,INDIRECT("Table!A"&amp;$AM82):INDIRECT("Table!" &amp; $AP$112 &amp; $AM82),0)),"",INDIRECT(CONCATENATE("Table!",ADDRESS($AI82,MATCH(H$1,INDIRECT("Table!A" &amp; $AM82):INDIRECT("Table!" &amp; $AP$112 &amp; $AM82),0)))))</f>
        <v>0.69353376443768244</v>
      </c>
      <c r="I82" s="273">
        <f ca="1">IF(ISERROR(MATCH(I$1,INDIRECT("Table!A"&amp;$AM82):INDIRECT("Table!" &amp; $AP$91 &amp; $AM82),0)),"",INDIRECT(CONCATENATE("Table!",ADDRESS($AI82,MATCH(I$1,INDIRECT("Table!A" &amp; $AM82):INDIRECT("Table!" &amp; $AP$91 &amp; $AM82),0)))))</f>
        <v>8.2836427965430684E-2</v>
      </c>
      <c r="J82" s="273" t="str">
        <f ca="1">IF(ISERROR(MATCH(J$1,INDIRECT("Table!A"&amp;$AM82):INDIRECT("Table!" &amp; $AP$91 &amp; $AM82),0)),"",INDIRECT(CONCATENATE("Table!",ADDRESS($AI82,MATCH(J$1,INDIRECT("Table!A" &amp; $AM82):INDIRECT("Table!" &amp; $AP$91 &amp; $AM82),0)))))</f>
        <v/>
      </c>
      <c r="K82" s="273" t="str">
        <f ca="1">IF(ISERROR(MATCH(K$1,INDIRECT("Table!A"&amp;$AM82):INDIRECT("Table!" &amp; $AP$91 &amp; $AM82),0)),"",INDIRECT(CONCATENATE("Table!",ADDRESS($AI82,MATCH(K$1,INDIRECT("Table!A" &amp; $AM82):INDIRECT("Table!" &amp; $AP$91 &amp; $AM82),0)))))</f>
        <v/>
      </c>
      <c r="L82" s="273">
        <f ca="1">IF(ISERROR(MATCH(L$1,INDIRECT("Table!A"&amp;$AM82):INDIRECT("Table!" &amp; $AP$91 &amp; $AM82),0)),"",INDIRECT(CONCATENATE("Table!",ADDRESS($AI82,MATCH(L$1,INDIRECT("Table!A" &amp; $AM82):INDIRECT("Table!" &amp; $AP$91 &amp; $AM82),0)))))</f>
        <v>0.82183580535365519</v>
      </c>
      <c r="M82" s="273">
        <f ca="1">IF(ISERROR(MATCH(M$1,INDIRECT("Table!A"&amp;$AM82):INDIRECT("Table!" &amp; $AP$91 &amp; $AM82),0)),"",INDIRECT(CONCATENATE("Table!",ADDRESS($AI82,MATCH(M$1,INDIRECT("Table!A" &amp; $AM82):INDIRECT("Table!" &amp; $AP$91 &amp; $AM82),0)))))</f>
        <v>0.49346487835667607</v>
      </c>
      <c r="N82" s="273">
        <f ca="1">IF(ISERROR(MATCH(N$1,INDIRECT("Table!A"&amp;$AM82):INDIRECT("Table!" &amp; $AP$91 &amp; $AM82),0)),"",INDIRECT(CONCATENATE("Table!",ADDRESS($AI82,MATCH(N$1,INDIRECT("Table!A" &amp; $AM82):INDIRECT("Table!" &amp; $AP$91 &amp; $AM82),0)))))</f>
        <v>0.60816088716647543</v>
      </c>
      <c r="O82" s="273">
        <f ca="1">IF(ISERROR(MATCH(O$1,INDIRECT("Table!A"&amp;$AM82):INDIRECT("Table!" &amp; $AP$91 &amp; $AM82),0)),"",INDIRECT(CONCATENATE("Table!",ADDRESS($AI82,MATCH(O$1,INDIRECT("Table!A" &amp; $AM82):INDIRECT("Table!" &amp; $AP$91 &amp; $AM82),0)))))</f>
        <v>0.87539798518495016</v>
      </c>
      <c r="P82" s="273">
        <f ca="1">IF(ISERROR(MATCH(P$1,INDIRECT("Table!A"&amp;$AM82):INDIRECT("Table!" &amp; $AP$91 &amp; $AM82),0)),"",INDIRECT(CONCATENATE("Table!",ADDRESS($AI82,MATCH(P$1,INDIRECT("Table!A" &amp; $AM82):INDIRECT("Table!" &amp; $AP$91 &amp; $AM82),0)))))</f>
        <v>8.4047254904322063E-2</v>
      </c>
      <c r="Q82" s="273" t="str">
        <f ca="1">IF(ISERROR(MATCH(Q$1,INDIRECT("Table!A"&amp;$AM82):INDIRECT("Table!" &amp; $AP$91 &amp; $AM82),0)),"",INDIRECT(CONCATENATE("Table!",ADDRESS($AI82,MATCH(Q$1,INDIRECT("Table!A" &amp; $AM82):INDIRECT("Table!" &amp; $AP$91 &amp; $AM82),0)))))</f>
        <v/>
      </c>
      <c r="R82" s="273" t="str">
        <f ca="1">IF(ISERROR(MATCH(R$1,INDIRECT("Table!A"&amp;$AM82):INDIRECT("Table!" &amp; $AP$91 &amp; $AM82),0)),"",INDIRECT(CONCATENATE("Table!",ADDRESS($AI82,MATCH(R$1,INDIRECT("Table!A" &amp; $AM82):INDIRECT("Table!" &amp; $AP$91 &amp; $AM82),0)))))</f>
        <v/>
      </c>
      <c r="S82" s="596" t="str">
        <f ca="1">IF(ISERROR(MATCH(S$1,INDIRECT("Table!A"&amp;$AM82):INDIRECT("Table!" &amp; $AP$91 &amp; $AM82),0)),"",INDIRECT(CONCATENATE("Table!",ADDRESS($AI82,MATCH(S$1,INDIRECT("Table!A" &amp; $AM82):INDIRECT("Table!" &amp; $AP$91 &amp; $AM82),0)))))</f>
        <v/>
      </c>
      <c r="T82" s="273">
        <f ca="1">IF(ISERROR(MATCH(T$1,INDIRECT("Table!A"&amp;$AM82):INDIRECT("Table!" &amp; $AP$91 &amp; $AM82),0)),"",INDIRECT(CONCATENATE("Table!",ADDRESS($AI82,MATCH(T$1,INDIRECT("Table!A" &amp; $AM82):INDIRECT("Table!" &amp; $AP$91 &amp; $AM82),0)))))</f>
        <v>0.10436227920400115</v>
      </c>
      <c r="U82" s="596" t="str">
        <f ca="1">IF(ISERROR(MATCH(U$1,INDIRECT("Table!A"&amp;$AM82):INDIRECT("Table!" &amp; $AP$91 &amp; $AM82),0)),"",INDIRECT(CONCATENATE("Table!",ADDRESS($AI82,MATCH(U$1,INDIRECT("Table!A" &amp; $AM82):INDIRECT("Table!" &amp; $AP$91 &amp; $AM82),0)))))</f>
        <v/>
      </c>
      <c r="V82" s="596"/>
      <c r="W82" s="596"/>
      <c r="X82" s="596"/>
      <c r="Y82" s="596"/>
      <c r="Z82" s="596"/>
      <c r="AA82" s="596"/>
      <c r="AB82" s="596"/>
      <c r="AC82" s="596"/>
      <c r="AD82" s="596"/>
      <c r="AE82" s="596"/>
      <c r="AF82" s="596"/>
      <c r="AG82" s="596"/>
      <c r="AH82" s="596"/>
      <c r="AI82" s="272">
        <f>MATCH($A82,Table!$A:$A,0)+$AK$2-1</f>
        <v>1026</v>
      </c>
      <c r="AJ82" s="366"/>
      <c r="AK82" s="366"/>
      <c r="AL82" s="366"/>
      <c r="AM82" s="272">
        <f>MATCH($A82,Table!$A:$A,0)+$AO$2-1</f>
        <v>1023</v>
      </c>
      <c r="AN82" s="366"/>
      <c r="AP82" s="947" t="s">
        <v>302</v>
      </c>
    </row>
    <row r="83" spans="1:42" s="267" customFormat="1" ht="15.75" customHeight="1" x14ac:dyDescent="0.25">
      <c r="A83" s="268">
        <v>41393</v>
      </c>
      <c r="B83" s="273">
        <f ca="1">IF(ISERROR(MATCH(B$1,INDIRECT("Table!A"&amp;$AM83):INDIRECT("Table!" &amp; $AP$113 &amp; $AM83),0)),"",INDIRECT(CONCATENATE("Table!",ADDRESS($AI83,MATCH(B$1,INDIRECT("Table!A" &amp; $AM83):INDIRECT("Table!" &amp; $AP$112 &amp; $AM83),0)))))</f>
        <v>0.29606143151440595</v>
      </c>
      <c r="C83" s="273">
        <f ca="1">IF(ISERROR(MATCH(C$1,INDIRECT("Table!A"&amp;$AM83):INDIRECT("Table!" &amp; $AP$112 &amp; $AM83),0)),"",INDIRECT(CONCATENATE("Table!",ADDRESS($AI83,MATCH(C$1,INDIRECT("Table!A" &amp; $AM83):INDIRECT("Table!" &amp; $AP$112 &amp; $AM83),0)))))</f>
        <v>0.51687929107774733</v>
      </c>
      <c r="D83" s="273">
        <f ca="1">IF(ISERROR(MATCH(D$1,INDIRECT("Table!A"&amp;$AM83):INDIRECT("Table!" &amp; $AP$112 &amp; $AM83),0)),"",INDIRECT(CONCATENATE("Table!",ADDRESS($AI83,MATCH(D$1,INDIRECT("Table!A" &amp; $AM83):INDIRECT("Table!" &amp; $AP$112 &amp; $AM83),0)))))</f>
        <v>0.52730676779447738</v>
      </c>
      <c r="E83" s="273">
        <f ca="1">IF(ISERROR(MATCH(E$1,INDIRECT("Table!A"&amp;$AM83):INDIRECT("Table!" &amp; $AP$112 &amp; $AM83),0)),"",INDIRECT(CONCATENATE("Table!",ADDRESS($AI83,MATCH(E$1,INDIRECT("Table!A" &amp; $AM83):INDIRECT("Table!" &amp; $AP$112 &amp; $AM83),0)))))</f>
        <v>0.86698960097319866</v>
      </c>
      <c r="F83" s="273">
        <f ca="1">IF(ISERROR(MATCH(F$1,INDIRECT("Table!A"&amp;$AM83):INDIRECT("Table!" &amp; $AP$112 &amp; $AM83),0)),"",INDIRECT(CONCATENATE("Table!",ADDRESS($AI83,MATCH(F$1,INDIRECT("Table!A" &amp; $AM83):INDIRECT("Table!" &amp; $AP$112 &amp; $AM83),0)))))</f>
        <v>0.58897931430470984</v>
      </c>
      <c r="G83" s="273">
        <f ca="1">IF(ISERROR(MATCH(G$1,INDIRECT("Table!A"&amp;$AM83):INDIRECT("Table!" &amp; $AP$112 &amp; $AM83),0)),"",INDIRECT(CONCATENATE("Table!",ADDRESS($AI83,MATCH(G$1,INDIRECT("Table!A" &amp; $AM83):INDIRECT("Table!" &amp; $AP$112 &amp; $AM83),0)))))</f>
        <v>0.38990025126388766</v>
      </c>
      <c r="H83" s="273">
        <f ca="1">IF(ISERROR(MATCH(H$1,INDIRECT("Table!A"&amp;$AM83):INDIRECT("Table!" &amp; $AP$112 &amp; $AM83),0)),"",INDIRECT(CONCATENATE("Table!",ADDRESS($AI83,MATCH(H$1,INDIRECT("Table!A" &amp; $AM83):INDIRECT("Table!" &amp; $AP$112 &amp; $AM83),0)))))</f>
        <v>0.6927837549595407</v>
      </c>
      <c r="I83" s="273">
        <f ca="1">IF(ISERROR(MATCH(I$1,INDIRECT("Table!A"&amp;$AM83):INDIRECT("Table!" &amp; $AP$91 &amp; $AM83),0)),"",INDIRECT(CONCATENATE("Table!",ADDRESS($AI83,MATCH(I$1,INDIRECT("Table!A" &amp; $AM83):INDIRECT("Table!" &amp; $AP$91 &amp; $AM83),0)))))</f>
        <v>8.283582583835658E-2</v>
      </c>
      <c r="J83" s="273" t="str">
        <f ca="1">IF(ISERROR(MATCH(J$1,INDIRECT("Table!A"&amp;$AM83):INDIRECT("Table!" &amp; $AP$91 &amp; $AM83),0)),"",INDIRECT(CONCATENATE("Table!",ADDRESS($AI83,MATCH(J$1,INDIRECT("Table!A" &amp; $AM83):INDIRECT("Table!" &amp; $AP$91 &amp; $AM83),0)))))</f>
        <v/>
      </c>
      <c r="K83" s="273" t="str">
        <f ca="1">IF(ISERROR(MATCH(K$1,INDIRECT("Table!A"&amp;$AM83):INDIRECT("Table!" &amp; $AP$91 &amp; $AM83),0)),"",INDIRECT(CONCATENATE("Table!",ADDRESS($AI83,MATCH(K$1,INDIRECT("Table!A" &amp; $AM83):INDIRECT("Table!" &amp; $AP$91 &amp; $AM83),0)))))</f>
        <v/>
      </c>
      <c r="L83" s="273">
        <f ca="1">IF(ISERROR(MATCH(L$1,INDIRECT("Table!A"&amp;$AM83):INDIRECT("Table!" &amp; $AP$91 &amp; $AM83),0)),"",INDIRECT(CONCATENATE("Table!",ADDRESS($AI83,MATCH(L$1,INDIRECT("Table!A" &amp; $AM83):INDIRECT("Table!" &amp; $AP$91 &amp; $AM83),0)))))</f>
        <v>0.82151823320053674</v>
      </c>
      <c r="M83" s="273">
        <f ca="1">IF(ISERROR(MATCH(M$1,INDIRECT("Table!A"&amp;$AM83):INDIRECT("Table!" &amp; $AP$91 &amp; $AM83),0)),"",INDIRECT(CONCATENATE("Table!",ADDRESS($AI83,MATCH(M$1,INDIRECT("Table!A" &amp; $AM83):INDIRECT("Table!" &amp; $AP$91 &amp; $AM83),0)))))</f>
        <v>0.49179155421615622</v>
      </c>
      <c r="N83" s="273">
        <f ca="1">IF(ISERROR(MATCH(N$1,INDIRECT("Table!A"&amp;$AM83):INDIRECT("Table!" &amp; $AP$91 &amp; $AM83),0)),"",INDIRECT(CONCATENATE("Table!",ADDRESS($AI83,MATCH(N$1,INDIRECT("Table!A" &amp; $AM83):INDIRECT("Table!" &amp; $AP$91 &amp; $AM83),0)))))</f>
        <v>0.607152743444346</v>
      </c>
      <c r="O83" s="273">
        <f ca="1">IF(ISERROR(MATCH(O$1,INDIRECT("Table!A"&amp;$AM83):INDIRECT("Table!" &amp; $AP$91 &amp; $AM83),0)),"",INDIRECT(CONCATENATE("Table!",ADDRESS($AI83,MATCH(O$1,INDIRECT("Table!A" &amp; $AM83):INDIRECT("Table!" &amp; $AP$91 &amp; $AM83),0)))))</f>
        <v>0.87552434317924632</v>
      </c>
      <c r="P83" s="273">
        <f ca="1">IF(ISERROR(MATCH(P$1,INDIRECT("Table!A"&amp;$AM83):INDIRECT("Table!" &amp; $AP$91 &amp; $AM83),0)),"",INDIRECT(CONCATENATE("Table!",ADDRESS($AI83,MATCH(P$1,INDIRECT("Table!A" &amp; $AM83):INDIRECT("Table!" &amp; $AP$91 &amp; $AM83),0)))))</f>
        <v>8.4047254904322063E-2</v>
      </c>
      <c r="Q83" s="273" t="str">
        <f ca="1">IF(ISERROR(MATCH(Q$1,INDIRECT("Table!A"&amp;$AM83):INDIRECT("Table!" &amp; $AP$91 &amp; $AM83),0)),"",INDIRECT(CONCATENATE("Table!",ADDRESS($AI83,MATCH(Q$1,INDIRECT("Table!A" &amp; $AM83):INDIRECT("Table!" &amp; $AP$91 &amp; $AM83),0)))))</f>
        <v/>
      </c>
      <c r="R83" s="273" t="str">
        <f ca="1">IF(ISERROR(MATCH(R$1,INDIRECT("Table!A"&amp;$AM83):INDIRECT("Table!" &amp; $AP$91 &amp; $AM83),0)),"",INDIRECT(CONCATENATE("Table!",ADDRESS($AI83,MATCH(R$1,INDIRECT("Table!A" &amp; $AM83):INDIRECT("Table!" &amp; $AP$91 &amp; $AM83),0)))))</f>
        <v/>
      </c>
      <c r="S83" s="596" t="str">
        <f ca="1">IF(ISERROR(MATCH(S$1,INDIRECT("Table!A"&amp;$AM83):INDIRECT("Table!" &amp; $AP$91 &amp; $AM83),0)),"",INDIRECT(CONCATENATE("Table!",ADDRESS($AI83,MATCH(S$1,INDIRECT("Table!A" &amp; $AM83):INDIRECT("Table!" &amp; $AP$91 &amp; $AM83),0)))))</f>
        <v/>
      </c>
      <c r="T83" s="273">
        <f ca="1">IF(ISERROR(MATCH(T$1,INDIRECT("Table!A"&amp;$AM83):INDIRECT("Table!" &amp; $AP$91 &amp; $AM83),0)),"",INDIRECT(CONCATENATE("Table!",ADDRESS($AI83,MATCH(T$1,INDIRECT("Table!A" &amp; $AM83):INDIRECT("Table!" &amp; $AP$91 &amp; $AM83),0)))))</f>
        <v>0.10415980417340323</v>
      </c>
      <c r="U83" s="596" t="str">
        <f ca="1">IF(ISERROR(MATCH(U$1,INDIRECT("Table!A"&amp;$AM83):INDIRECT("Table!" &amp; $AP$91 &amp; $AM83),0)),"",INDIRECT(CONCATENATE("Table!",ADDRESS($AI83,MATCH(U$1,INDIRECT("Table!A" &amp; $AM83):INDIRECT("Table!" &amp; $AP$91 &amp; $AM83),0)))))</f>
        <v/>
      </c>
      <c r="V83" s="596"/>
      <c r="W83" s="596"/>
      <c r="X83" s="596"/>
      <c r="Y83" s="596"/>
      <c r="Z83" s="596"/>
      <c r="AA83" s="596"/>
      <c r="AB83" s="596"/>
      <c r="AC83" s="596"/>
      <c r="AD83" s="596"/>
      <c r="AE83" s="596"/>
      <c r="AF83" s="596"/>
      <c r="AG83" s="596"/>
      <c r="AH83" s="596"/>
      <c r="AI83" s="272">
        <f>MATCH($A83,Table!$A:$A,0)+$AK$2-1</f>
        <v>1038</v>
      </c>
      <c r="AJ83" s="365"/>
      <c r="AK83" s="365"/>
      <c r="AL83" s="365"/>
      <c r="AM83" s="272">
        <f>MATCH($A83,Table!$A:$A,0)+$AO$2-1</f>
        <v>1035</v>
      </c>
      <c r="AN83" s="365"/>
      <c r="AP83" s="947" t="s">
        <v>302</v>
      </c>
    </row>
    <row r="84" spans="1:42" s="267" customFormat="1" ht="15.75" customHeight="1" x14ac:dyDescent="0.25">
      <c r="A84" s="268">
        <v>41390</v>
      </c>
      <c r="B84" s="273">
        <f ca="1">IF(ISERROR(MATCH(B$1,INDIRECT("Table!A"&amp;$AM84):INDIRECT("Table!" &amp; $AP$113 &amp; $AM84),0)),"",INDIRECT(CONCATENATE("Table!",ADDRESS($AI84,MATCH(B$1,INDIRECT("Table!A" &amp; $AM84):INDIRECT("Table!" &amp; $AP$112 &amp; $AM84),0)))))</f>
        <v>0.29424961748268036</v>
      </c>
      <c r="C84" s="273">
        <f ca="1">IF(ISERROR(MATCH(C$1,INDIRECT("Table!A"&amp;$AM84):INDIRECT("Table!" &amp; $AP$112 &amp; $AM84),0)),"",INDIRECT(CONCATENATE("Table!",ADDRESS($AI84,MATCH(C$1,INDIRECT("Table!A" &amp; $AM84):INDIRECT("Table!" &amp; $AP$112 &amp; $AM84),0)))))</f>
        <v>7.0000000000000007E-2</v>
      </c>
      <c r="D84" s="273">
        <f ca="1">IF(ISERROR(MATCH(D$1,INDIRECT("Table!A"&amp;$AM84):INDIRECT("Table!" &amp; $AP$112 &amp; $AM84),0)),"",INDIRECT(CONCATENATE("Table!",ADDRESS($AI84,MATCH(D$1,INDIRECT("Table!A" &amp; $AM84):INDIRECT("Table!" &amp; $AP$112 &amp; $AM84),0)))))</f>
        <v>0.5269752411374754</v>
      </c>
      <c r="E84" s="273">
        <f ca="1">IF(ISERROR(MATCH(E$1,INDIRECT("Table!A"&amp;$AM84):INDIRECT("Table!" &amp; $AP$112 &amp; $AM84),0)),"",INDIRECT(CONCATENATE("Table!",ADDRESS($AI84,MATCH(E$1,INDIRECT("Table!A" &amp; $AM84):INDIRECT("Table!" &amp; $AP$112 &amp; $AM84),0)))))</f>
        <v>0.86663904728518704</v>
      </c>
      <c r="F84" s="273">
        <f ca="1">IF(ISERROR(MATCH(F$1,INDIRECT("Table!A"&amp;$AM84):INDIRECT("Table!" &amp; $AP$112 &amp; $AM84),0)),"",INDIRECT(CONCATENATE("Table!",ADDRESS($AI84,MATCH(F$1,INDIRECT("Table!A" &amp; $AM84):INDIRECT("Table!" &amp; $AP$112 &amp; $AM84),0)))))</f>
        <v>0.58710022514014593</v>
      </c>
      <c r="G84" s="273">
        <f ca="1">IF(ISERROR(MATCH(G$1,INDIRECT("Table!A"&amp;$AM84):INDIRECT("Table!" &amp; $AP$112 &amp; $AM84),0)),"",INDIRECT(CONCATENATE("Table!",ADDRESS($AI84,MATCH(G$1,INDIRECT("Table!A" &amp; $AM84):INDIRECT("Table!" &amp; $AP$112 &amp; $AM84),0)))))</f>
        <v>0.37599597372324645</v>
      </c>
      <c r="H84" s="273">
        <f ca="1">IF(ISERROR(MATCH(H$1,INDIRECT("Table!A"&amp;$AM84):INDIRECT("Table!" &amp; $AP$112 &amp; $AM84),0)),"",INDIRECT(CONCATENATE("Table!",ADDRESS($AI84,MATCH(H$1,INDIRECT("Table!A" &amp; $AM84):INDIRECT("Table!" &amp; $AP$112 &amp; $AM84),0)))))</f>
        <v>0.68529931971667779</v>
      </c>
      <c r="I84" s="273">
        <f ca="1">IF(ISERROR(MATCH(I$1,INDIRECT("Table!A"&amp;$AM84):INDIRECT("Table!" &amp; $AP$91 &amp; $AM84),0)),"",INDIRECT(CONCATENATE("Table!",ADDRESS($AI84,MATCH(I$1,INDIRECT("Table!A" &amp; $AM84):INDIRECT("Table!" &amp; $AP$91 &amp; $AM84),0)))))</f>
        <v>8.2793676943169442E-2</v>
      </c>
      <c r="J84" s="273" t="str">
        <f ca="1">IF(ISERROR(MATCH(J$1,INDIRECT("Table!A"&amp;$AM84):INDIRECT("Table!" &amp; $AP$91 &amp; $AM84),0)),"",INDIRECT(CONCATENATE("Table!",ADDRESS($AI84,MATCH(J$1,INDIRECT("Table!A" &amp; $AM84):INDIRECT("Table!" &amp; $AP$91 &amp; $AM84),0)))))</f>
        <v/>
      </c>
      <c r="K84" s="273" t="str">
        <f ca="1">IF(ISERROR(MATCH(K$1,INDIRECT("Table!A"&amp;$AM84):INDIRECT("Table!" &amp; $AP$91 &amp; $AM84),0)),"",INDIRECT(CONCATENATE("Table!",ADDRESS($AI84,MATCH(K$1,INDIRECT("Table!A" &amp; $AM84):INDIRECT("Table!" &amp; $AP$91 &amp; $AM84),0)))))</f>
        <v/>
      </c>
      <c r="L84" s="273">
        <f ca="1">IF(ISERROR(MATCH(L$1,INDIRECT("Table!A"&amp;$AM84):INDIRECT("Table!" &amp; $AP$91 &amp; $AM84),0)),"",INDIRECT(CONCATENATE("Table!",ADDRESS($AI84,MATCH(L$1,INDIRECT("Table!A" &amp; $AM84):INDIRECT("Table!" &amp; $AP$91 &amp; $AM84),0)))))</f>
        <v>0.82099913483605924</v>
      </c>
      <c r="M84" s="273">
        <f ca="1">IF(ISERROR(MATCH(M$1,INDIRECT("Table!A"&amp;$AM84):INDIRECT("Table!" &amp; $AP$91 &amp; $AM84),0)),"",INDIRECT(CONCATENATE("Table!",ADDRESS($AI84,MATCH(M$1,INDIRECT("Table!A" &amp; $AM84):INDIRECT("Table!" &amp; $AP$91 &amp; $AM84),0)))))</f>
        <v>0.47222327335804593</v>
      </c>
      <c r="N84" s="273">
        <f ca="1">IF(ISERROR(MATCH(N$1,INDIRECT("Table!A"&amp;$AM84):INDIRECT("Table!" &amp; $AP$91 &amp; $AM84),0)),"",INDIRECT(CONCATENATE("Table!",ADDRESS($AI84,MATCH(N$1,INDIRECT("Table!A" &amp; $AM84):INDIRECT("Table!" &amp; $AP$91 &amp; $AM84),0)))))</f>
        <v>0.60495392638133216</v>
      </c>
      <c r="O84" s="273">
        <f ca="1">IF(ISERROR(MATCH(O$1,INDIRECT("Table!A"&amp;$AM84):INDIRECT("Table!" &amp; $AP$91 &amp; $AM84),0)),"",INDIRECT(CONCATENATE("Table!",ADDRESS($AI84,MATCH(O$1,INDIRECT("Table!A" &amp; $AM84):INDIRECT("Table!" &amp; $AP$91 &amp; $AM84),0)))))</f>
        <v>0.86422975169804173</v>
      </c>
      <c r="P84" s="273">
        <f ca="1">IF(ISERROR(MATCH(P$1,INDIRECT("Table!A"&amp;$AM84):INDIRECT("Table!" &amp; $AP$91 &amp; $AM84),0)),"",INDIRECT(CONCATENATE("Table!",ADDRESS($AI84,MATCH(P$1,INDIRECT("Table!A" &amp; $AM84):INDIRECT("Table!" &amp; $AP$91 &amp; $AM84),0)))))</f>
        <v>8.3983429472898274E-2</v>
      </c>
      <c r="Q84" s="273" t="str">
        <f ca="1">IF(ISERROR(MATCH(Q$1,INDIRECT("Table!A"&amp;$AM84):INDIRECT("Table!" &amp; $AP$91 &amp; $AM84),0)),"",INDIRECT(CONCATENATE("Table!",ADDRESS($AI84,MATCH(Q$1,INDIRECT("Table!A" &amp; $AM84):INDIRECT("Table!" &amp; $AP$91 &amp; $AM84),0)))))</f>
        <v/>
      </c>
      <c r="R84" s="273" t="str">
        <f ca="1">IF(ISERROR(MATCH(R$1,INDIRECT("Table!A"&amp;$AM84):INDIRECT("Table!" &amp; $AP$91 &amp; $AM84),0)),"",INDIRECT(CONCATENATE("Table!",ADDRESS($AI84,MATCH(R$1,INDIRECT("Table!A" &amp; $AM84):INDIRECT("Table!" &amp; $AP$91 &amp; $AM84),0)))))</f>
        <v/>
      </c>
      <c r="S84" s="596" t="str">
        <f ca="1">IF(ISERROR(MATCH(S$1,INDIRECT("Table!A"&amp;$AM84):INDIRECT("Table!" &amp; $AP$91 &amp; $AM84),0)),"",INDIRECT(CONCATENATE("Table!",ADDRESS($AI84,MATCH(S$1,INDIRECT("Table!A" &amp; $AM84):INDIRECT("Table!" &amp; $AP$91 &amp; $AM84),0)))))</f>
        <v/>
      </c>
      <c r="T84" s="273">
        <f ca="1">IF(ISERROR(MATCH(T$1,INDIRECT("Table!A"&amp;$AM84):INDIRECT("Table!" &amp; $AP$91 &amp; $AM84),0)),"",INDIRECT(CONCATENATE("Table!",ADDRESS($AI84,MATCH(T$1,INDIRECT("Table!A" &amp; $AM84):INDIRECT("Table!" &amp; $AP$91 &amp; $AM84),0)))))</f>
        <v>0.10401776945044651</v>
      </c>
      <c r="U84" s="596" t="str">
        <f ca="1">IF(ISERROR(MATCH(U$1,INDIRECT("Table!A"&amp;$AM84):INDIRECT("Table!" &amp; $AP$91 &amp; $AM84),0)),"",INDIRECT(CONCATENATE("Table!",ADDRESS($AI84,MATCH(U$1,INDIRECT("Table!A" &amp; $AM84):INDIRECT("Table!" &amp; $AP$91 &amp; $AM84),0)))))</f>
        <v/>
      </c>
      <c r="V84" s="596"/>
      <c r="W84" s="596"/>
      <c r="X84" s="596"/>
      <c r="Y84" s="596"/>
      <c r="Z84" s="596"/>
      <c r="AA84" s="596"/>
      <c r="AB84" s="596"/>
      <c r="AC84" s="596"/>
      <c r="AD84" s="596"/>
      <c r="AE84" s="596"/>
      <c r="AF84" s="596"/>
      <c r="AG84" s="596"/>
      <c r="AH84" s="596"/>
      <c r="AI84" s="272">
        <f>MATCH($A84,Table!$A:$A,0)+$AK$2-1</f>
        <v>1050</v>
      </c>
      <c r="AJ84" s="364"/>
      <c r="AK84" s="364"/>
      <c r="AL84" s="364"/>
      <c r="AM84" s="272">
        <f>MATCH($A84,Table!$A:$A,0)+$AO$2-1</f>
        <v>1047</v>
      </c>
      <c r="AN84" s="364"/>
      <c r="AP84" s="947" t="s">
        <v>302</v>
      </c>
    </row>
    <row r="85" spans="1:42" s="267" customFormat="1" ht="15.75" customHeight="1" x14ac:dyDescent="0.25">
      <c r="A85" s="268">
        <v>41387</v>
      </c>
      <c r="B85" s="273">
        <f ca="1">IF(ISERROR(MATCH(B$1,INDIRECT("Table!A"&amp;$AM85):INDIRECT("Table!" &amp; $AP$113 &amp; $AM85),0)),"",INDIRECT(CONCATENATE("Table!",ADDRESS($AI85,MATCH(B$1,INDIRECT("Table!A" &amp; $AM85):INDIRECT("Table!" &amp; $AP$112 &amp; $AM85),0)))))</f>
        <v>0.27139969956524829</v>
      </c>
      <c r="C85" s="273">
        <f ca="1">IF(ISERROR(MATCH(C$1,INDIRECT("Table!A"&amp;$AM85):INDIRECT("Table!" &amp; $AP$112 &amp; $AM85),0)),"",INDIRECT(CONCATENATE("Table!",ADDRESS($AI85,MATCH(C$1,INDIRECT("Table!A" &amp; $AM85):INDIRECT("Table!" &amp; $AP$112 &amp; $AM85),0)))))</f>
        <v>0.5163703744058763</v>
      </c>
      <c r="D85" s="273">
        <f ca="1">IF(ISERROR(MATCH(D$1,INDIRECT("Table!A"&amp;$AM85):INDIRECT("Table!" &amp; $AP$112 &amp; $AM85),0)),"",INDIRECT(CONCATENATE("Table!",ADDRESS($AI85,MATCH(D$1,INDIRECT("Table!A" &amp; $AM85):INDIRECT("Table!" &amp; $AP$112 &amp; $AM85),0)))))</f>
        <v>0.52679851550468459</v>
      </c>
      <c r="E85" s="273">
        <f ca="1">IF(ISERROR(MATCH(E$1,INDIRECT("Table!A"&amp;$AM85):INDIRECT("Table!" &amp; $AP$112 &amp; $AM85),0)),"",INDIRECT(CONCATENATE("Table!",ADDRESS($AI85,MATCH(E$1,INDIRECT("Table!A" &amp; $AM85):INDIRECT("Table!" &amp; $AP$112 &amp; $AM85),0)))))</f>
        <v>0.86588464256161346</v>
      </c>
      <c r="F85" s="273">
        <f ca="1">IF(ISERROR(MATCH(F$1,INDIRECT("Table!A"&amp;$AM85):INDIRECT("Table!" &amp; $AP$112 &amp; $AM85),0)),"",INDIRECT(CONCATENATE("Table!",ADDRESS($AI85,MATCH(F$1,INDIRECT("Table!A" &amp; $AM85):INDIRECT("Table!" &amp; $AP$112 &amp; $AM85),0)))))</f>
        <v>0.5828754476360285</v>
      </c>
      <c r="G85" s="273">
        <f ca="1">IF(ISERROR(MATCH(G$1,INDIRECT("Table!A"&amp;$AM85):INDIRECT("Table!" &amp; $AP$112 &amp; $AM85),0)),"",INDIRECT(CONCATENATE("Table!",ADDRESS($AI85,MATCH(G$1,INDIRECT("Table!A" &amp; $AM85):INDIRECT("Table!" &amp; $AP$112 &amp; $AM85),0)))))</f>
        <v>0.40295840523113247</v>
      </c>
      <c r="H85" s="273">
        <f ca="1">IF(ISERROR(MATCH(H$1,INDIRECT("Table!A"&amp;$AM85):INDIRECT("Table!" &amp; $AP$112 &amp; $AM85),0)),"",INDIRECT(CONCATENATE("Table!",ADDRESS($AI85,MATCH(H$1,INDIRECT("Table!A" &amp; $AM85):INDIRECT("Table!" &amp; $AP$112 &amp; $AM85),0)))))</f>
        <v>0.68425013063351903</v>
      </c>
      <c r="I85" s="273">
        <f ca="1">IF(ISERROR(MATCH(I$1,INDIRECT("Table!A"&amp;$AM85):INDIRECT("Table!" &amp; $AP$91 &amp; $AM85),0)),"",INDIRECT(CONCATENATE("Table!",ADDRESS($AI85,MATCH(I$1,INDIRECT("Table!A" &amp; $AM85):INDIRECT("Table!" &amp; $AP$91 &amp; $AM85),0)))))</f>
        <v>8.1001144643567877E-2</v>
      </c>
      <c r="J85" s="273" t="str">
        <f ca="1">IF(ISERROR(MATCH(J$1,INDIRECT("Table!A"&amp;$AM85):INDIRECT("Table!" &amp; $AP$91 &amp; $AM85),0)),"",INDIRECT(CONCATENATE("Table!",ADDRESS($AI85,MATCH(J$1,INDIRECT("Table!A" &amp; $AM85):INDIRECT("Table!" &amp; $AP$91 &amp; $AM85),0)))))</f>
        <v/>
      </c>
      <c r="K85" s="273" t="str">
        <f ca="1">IF(ISERROR(MATCH(K$1,INDIRECT("Table!A"&amp;$AM85):INDIRECT("Table!" &amp; $AP$91 &amp; $AM85),0)),"",INDIRECT(CONCATENATE("Table!",ADDRESS($AI85,MATCH(K$1,INDIRECT("Table!A" &amp; $AM85):INDIRECT("Table!" &amp; $AP$91 &amp; $AM85),0)))))</f>
        <v/>
      </c>
      <c r="L85" s="273">
        <f ca="1">IF(ISERROR(MATCH(L$1,INDIRECT("Table!A"&amp;$AM85):INDIRECT("Table!" &amp; $AP$91 &amp; $AM85),0)),"",INDIRECT(CONCATENATE("Table!",ADDRESS($AI85,MATCH(L$1,INDIRECT("Table!A" &amp; $AM85):INDIRECT("Table!" &amp; $AP$91 &amp; $AM85),0)))))</f>
        <v>0.81983297673382483</v>
      </c>
      <c r="M85" s="273">
        <f ca="1">IF(ISERROR(MATCH(M$1,INDIRECT("Table!A"&amp;$AM85):INDIRECT("Table!" &amp; $AP$91 &amp; $AM85),0)),"",INDIRECT(CONCATENATE("Table!",ADDRESS($AI85,MATCH(M$1,INDIRECT("Table!A" &amp; $AM85):INDIRECT("Table!" &amp; $AP$91 &amp; $AM85),0)))))</f>
        <v>0.48772895630285418</v>
      </c>
      <c r="N85" s="273">
        <f ca="1">IF(ISERROR(MATCH(N$1,INDIRECT("Table!A"&amp;$AM85):INDIRECT("Table!" &amp; $AP$91 &amp; $AM85),0)),"",INDIRECT(CONCATENATE("Table!",ADDRESS($AI85,MATCH(N$1,INDIRECT("Table!A" &amp; $AM85):INDIRECT("Table!" &amp; $AP$91 &amp; $AM85),0)))))</f>
        <v>0.60049706078961584</v>
      </c>
      <c r="O85" s="273">
        <f ca="1">IF(ISERROR(MATCH(O$1,INDIRECT("Table!A"&amp;$AM85):INDIRECT("Table!" &amp; $AP$91 &amp; $AM85),0)),"",INDIRECT(CONCATENATE("Table!",ADDRESS($AI85,MATCH(O$1,INDIRECT("Table!A" &amp; $AM85):INDIRECT("Table!" &amp; $AP$91 &amp; $AM85),0)))))</f>
        <v>0.85670323493464218</v>
      </c>
      <c r="P85" s="273">
        <f ca="1">IF(ISERROR(MATCH(P$1,INDIRECT("Table!A"&amp;$AM85):INDIRECT("Table!" &amp; $AP$91 &amp; $AM85),0)),"",INDIRECT(CONCATENATE("Table!",ADDRESS($AI85,MATCH(P$1,INDIRECT("Table!A" &amp; $AM85):INDIRECT("Table!" &amp; $AP$91 &amp; $AM85),0)))))</f>
        <v>8.2190296125916731E-2</v>
      </c>
      <c r="Q85" s="273" t="str">
        <f ca="1">IF(ISERROR(MATCH(Q$1,INDIRECT("Table!A"&amp;$AM85):INDIRECT("Table!" &amp; $AP$91 &amp; $AM85),0)),"",INDIRECT(CONCATENATE("Table!",ADDRESS($AI85,MATCH(Q$1,INDIRECT("Table!A" &amp; $AM85):INDIRECT("Table!" &amp; $AP$91 &amp; $AM85),0)))))</f>
        <v/>
      </c>
      <c r="R85" s="273" t="str">
        <f ca="1">IF(ISERROR(MATCH(R$1,INDIRECT("Table!A"&amp;$AM85):INDIRECT("Table!" &amp; $AP$91 &amp; $AM85),0)),"",INDIRECT(CONCATENATE("Table!",ADDRESS($AI85,MATCH(R$1,INDIRECT("Table!A" &amp; $AM85):INDIRECT("Table!" &amp; $AP$91 &amp; $AM85),0)))))</f>
        <v/>
      </c>
      <c r="S85" s="596" t="str">
        <f ca="1">IF(ISERROR(MATCH(S$1,INDIRECT("Table!A"&amp;$AM85):INDIRECT("Table!" &amp; $AP$91 &amp; $AM85),0)),"",INDIRECT(CONCATENATE("Table!",ADDRESS($AI85,MATCH(S$1,INDIRECT("Table!A" &amp; $AM85):INDIRECT("Table!" &amp; $AP$91 &amp; $AM85),0)))))</f>
        <v/>
      </c>
      <c r="T85" s="273">
        <f ca="1">IF(ISERROR(MATCH(T$1,INDIRECT("Table!A"&amp;$AM85):INDIRECT("Table!" &amp; $AP$91 &amp; $AM85),0)),"",INDIRECT(CONCATENATE("Table!",ADDRESS($AI85,MATCH(T$1,INDIRECT("Table!A" &amp; $AM85):INDIRECT("Table!" &amp; $AP$91 &amp; $AM85),0)))))</f>
        <v>0.10391502092745651</v>
      </c>
      <c r="U85" s="596" t="str">
        <f ca="1">IF(ISERROR(MATCH(U$1,INDIRECT("Table!A"&amp;$AM85):INDIRECT("Table!" &amp; $AP$91 &amp; $AM85),0)),"",INDIRECT(CONCATENATE("Table!",ADDRESS($AI85,MATCH(U$1,INDIRECT("Table!A" &amp; $AM85):INDIRECT("Table!" &amp; $AP$91 &amp; $AM85),0)))))</f>
        <v/>
      </c>
      <c r="V85" s="596"/>
      <c r="W85" s="596"/>
      <c r="X85" s="596"/>
      <c r="Y85" s="596"/>
      <c r="Z85" s="596"/>
      <c r="AA85" s="596"/>
      <c r="AB85" s="596"/>
      <c r="AC85" s="596"/>
      <c r="AD85" s="596"/>
      <c r="AE85" s="596"/>
      <c r="AF85" s="596"/>
      <c r="AG85" s="596"/>
      <c r="AH85" s="596"/>
      <c r="AI85" s="272">
        <f>MATCH($A85,Table!$A:$A,0)+$AK$2-1</f>
        <v>1062</v>
      </c>
      <c r="AJ85" s="363"/>
      <c r="AK85" s="363"/>
      <c r="AL85" s="363"/>
      <c r="AM85" s="272">
        <f>MATCH($A85,Table!$A:$A,0)+$AO$2-1</f>
        <v>1059</v>
      </c>
      <c r="AN85" s="363"/>
      <c r="AP85" s="947" t="s">
        <v>302</v>
      </c>
    </row>
    <row r="86" spans="1:42" s="267" customFormat="1" ht="15.75" customHeight="1" x14ac:dyDescent="0.25">
      <c r="A86" s="268">
        <v>41383</v>
      </c>
      <c r="B86" s="273">
        <f ca="1">IF(ISERROR(MATCH(B$1,INDIRECT("Table!A"&amp;$AM86):INDIRECT("Table!" &amp; $AP$113 &amp; $AM86),0)),"",INDIRECT(CONCATENATE("Table!",ADDRESS($AI86,MATCH(B$1,INDIRECT("Table!A" &amp; $AM86):INDIRECT("Table!" &amp; $AP$112 &amp; $AM86),0)))))</f>
        <v>0.26251985812338469</v>
      </c>
      <c r="C86" s="273">
        <f ca="1">IF(ISERROR(MATCH(C$1,INDIRECT("Table!A"&amp;$AM86):INDIRECT("Table!" &amp; $AP$112 &amp; $AM86),0)),"",INDIRECT(CONCATENATE("Table!",ADDRESS($AI86,MATCH(C$1,INDIRECT("Table!A" &amp; $AM86):INDIRECT("Table!" &amp; $AP$112 &amp; $AM86),0)))))</f>
        <v>0.5161258818011133</v>
      </c>
      <c r="D86" s="273">
        <f ca="1">IF(ISERROR(MATCH(D$1,INDIRECT("Table!A"&amp;$AM86):INDIRECT("Table!" &amp; $AP$112 &amp; $AM86),0)),"",INDIRECT(CONCATENATE("Table!",ADDRESS($AI86,MATCH(D$1,INDIRECT("Table!A" &amp; $AM86):INDIRECT("Table!" &amp; $AP$112 &amp; $AM86),0)))))</f>
        <v>0.52549699101356806</v>
      </c>
      <c r="E86" s="273">
        <f ca="1">IF(ISERROR(MATCH(E$1,INDIRECT("Table!A"&amp;$AM86):INDIRECT("Table!" &amp; $AP$112 &amp; $AM86),0)),"",INDIRECT(CONCATENATE("Table!",ADDRESS($AI86,MATCH(E$1,INDIRECT("Table!A" &amp; $AM86):INDIRECT("Table!" &amp; $AP$112 &amp; $AM86),0)))))</f>
        <v>0.86532749296969536</v>
      </c>
      <c r="F86" s="273">
        <f ca="1">IF(ISERROR(MATCH(F$1,INDIRECT("Table!A"&amp;$AM86):INDIRECT("Table!" &amp; $AP$112 &amp; $AM86),0)),"",INDIRECT(CONCATENATE("Table!",ADDRESS($AI86,MATCH(F$1,INDIRECT("Table!A" &amp; $AM86):INDIRECT("Table!" &amp; $AP$112 &amp; $AM86),0)))))</f>
        <v>0.57972832081715298</v>
      </c>
      <c r="G86" s="273">
        <f ca="1">IF(ISERROR(MATCH(G$1,INDIRECT("Table!A"&amp;$AM86):INDIRECT("Table!" &amp; $AP$112 &amp; $AM86),0)),"",INDIRECT(CONCATENATE("Table!",ADDRESS($AI86,MATCH(G$1,INDIRECT("Table!A" &amp; $AM86):INDIRECT("Table!" &amp; $AP$112 &amp; $AM86),0)))))</f>
        <v>0.38223367541549363</v>
      </c>
      <c r="H86" s="273">
        <f ca="1">IF(ISERROR(MATCH(H$1,INDIRECT("Table!A"&amp;$AM86):INDIRECT("Table!" &amp; $AP$112 &amp; $AM86),0)),"",INDIRECT(CONCATENATE("Table!",ADDRESS($AI86,MATCH(H$1,INDIRECT("Table!A" &amp; $AM86):INDIRECT("Table!" &amp; $AP$112 &amp; $AM86),0)))))</f>
        <v>0.64368780484588539</v>
      </c>
      <c r="I86" s="273">
        <f ca="1">IF(ISERROR(MATCH(I$1,INDIRECT("Table!A"&amp;$AM86):INDIRECT("Table!" &amp; $AP$91 &amp; $AM86),0)),"",INDIRECT(CONCATENATE("Table!",ADDRESS($AI86,MATCH(I$1,INDIRECT("Table!A" &amp; $AM86):INDIRECT("Table!" &amp; $AP$91 &amp; $AM86),0)))))</f>
        <v>8.0878310720451069E-2</v>
      </c>
      <c r="J86" s="273" t="str">
        <f ca="1">IF(ISERROR(MATCH(J$1,INDIRECT("Table!A"&amp;$AM86):INDIRECT("Table!" &amp; $AP$91 &amp; $AM86),0)),"",INDIRECT(CONCATENATE("Table!",ADDRESS($AI86,MATCH(J$1,INDIRECT("Table!A" &amp; $AM86):INDIRECT("Table!" &amp; $AP$91 &amp; $AM86),0)))))</f>
        <v/>
      </c>
      <c r="K86" s="273" t="str">
        <f ca="1">IF(ISERROR(MATCH(K$1,INDIRECT("Table!A"&amp;$AM86):INDIRECT("Table!" &amp; $AP$91 &amp; $AM86),0)),"",INDIRECT(CONCATENATE("Table!",ADDRESS($AI86,MATCH(K$1,INDIRECT("Table!A" &amp; $AM86):INDIRECT("Table!" &amp; $AP$91 &amp; $AM86),0)))))</f>
        <v/>
      </c>
      <c r="L86" s="273">
        <f ca="1">IF(ISERROR(MATCH(L$1,INDIRECT("Table!A"&amp;$AM86):INDIRECT("Table!" &amp; $AP$91 &amp; $AM86),0)),"",INDIRECT(CONCATENATE("Table!",ADDRESS($AI86,MATCH(L$1,INDIRECT("Table!A" &amp; $AM86):INDIRECT("Table!" &amp; $AP$91 &amp; $AM86),0)))))</f>
        <v>0.81218067938682148</v>
      </c>
      <c r="M86" s="273">
        <f ca="1">IF(ISERROR(MATCH(M$1,INDIRECT("Table!A"&amp;$AM86):INDIRECT("Table!" &amp; $AP$91 &amp; $AM86),0)),"",INDIRECT(CONCATENATE("Table!",ADDRESS($AI86,MATCH(M$1,INDIRECT("Table!A" &amp; $AM86):INDIRECT("Table!" &amp; $AP$91 &amp; $AM86),0)))))</f>
        <v>0.41817058975783344</v>
      </c>
      <c r="N86" s="273">
        <f ca="1">IF(ISERROR(MATCH(N$1,INDIRECT("Table!A"&amp;$AM86):INDIRECT("Table!" &amp; $AP$91 &amp; $AM86),0)),"",INDIRECT(CONCATENATE("Table!",ADDRESS($AI86,MATCH(N$1,INDIRECT("Table!A" &amp; $AM86):INDIRECT("Table!" &amp; $AP$91 &amp; $AM86),0)))))</f>
        <v>0.59477941114252664</v>
      </c>
      <c r="O86" s="273">
        <f ca="1">IF(ISERROR(MATCH(O$1,INDIRECT("Table!A"&amp;$AM86):INDIRECT("Table!" &amp; $AP$91 &amp; $AM86),0)),"",INDIRECT(CONCATENATE("Table!",ADDRESS($AI86,MATCH(O$1,INDIRECT("Table!A" &amp; $AM86):INDIRECT("Table!" &amp; $AP$91 &amp; $AM86),0)))))</f>
        <v>0.8119980032037134</v>
      </c>
      <c r="P86" s="273">
        <f ca="1">IF(ISERROR(MATCH(P$1,INDIRECT("Table!A"&amp;$AM86):INDIRECT("Table!" &amp; $AP$91 &amp; $AM86),0)),"",INDIRECT(CONCATENATE("Table!",ADDRESS($AI86,MATCH(P$1,INDIRECT("Table!A" &amp; $AM86):INDIRECT("Table!" &amp; $AP$91 &amp; $AM86),0)))))</f>
        <v>8.2067462276761524E-2</v>
      </c>
      <c r="Q86" s="273" t="str">
        <f ca="1">IF(ISERROR(MATCH(Q$1,INDIRECT("Table!A"&amp;$AM86):INDIRECT("Table!" &amp; $AP$91 &amp; $AM86),0)),"",INDIRECT(CONCATENATE("Table!",ADDRESS($AI86,MATCH(Q$1,INDIRECT("Table!A" &amp; $AM86):INDIRECT("Table!" &amp; $AP$91 &amp; $AM86),0)))))</f>
        <v/>
      </c>
      <c r="R86" s="273" t="str">
        <f ca="1">IF(ISERROR(MATCH(R$1,INDIRECT("Table!A"&amp;$AM86):INDIRECT("Table!" &amp; $AP$91 &amp; $AM86),0)),"",INDIRECT(CONCATENATE("Table!",ADDRESS($AI86,MATCH(R$1,INDIRECT("Table!A" &amp; $AM86):INDIRECT("Table!" &amp; $AP$91 &amp; $AM86),0)))))</f>
        <v/>
      </c>
      <c r="S86" s="596" t="str">
        <f ca="1">IF(ISERROR(MATCH(S$1,INDIRECT("Table!A"&amp;$AM86):INDIRECT("Table!" &amp; $AP$91 &amp; $AM86),0)),"",INDIRECT(CONCATENATE("Table!",ADDRESS($AI86,MATCH(S$1,INDIRECT("Table!A" &amp; $AM86):INDIRECT("Table!" &amp; $AP$91 &amp; $AM86),0)))))</f>
        <v/>
      </c>
      <c r="T86" s="273">
        <f ca="1">IF(ISERROR(MATCH(T$1,INDIRECT("Table!A"&amp;$AM86):INDIRECT("Table!" &amp; $AP$91 &amp; $AM86),0)),"",INDIRECT(CONCATENATE("Table!",ADDRESS($AI86,MATCH(T$1,INDIRECT("Table!A" &amp; $AM86):INDIRECT("Table!" &amp; $AP$91 &amp; $AM86),0)))))</f>
        <v>0.10391502092745651</v>
      </c>
      <c r="U86" s="596" t="str">
        <f ca="1">IF(ISERROR(MATCH(U$1,INDIRECT("Table!A"&amp;$AM86):INDIRECT("Table!" &amp; $AP$91 &amp; $AM86),0)),"",INDIRECT(CONCATENATE("Table!",ADDRESS($AI86,MATCH(U$1,INDIRECT("Table!A" &amp; $AM86):INDIRECT("Table!" &amp; $AP$91 &amp; $AM86),0)))))</f>
        <v/>
      </c>
      <c r="V86" s="596"/>
      <c r="W86" s="596"/>
      <c r="X86" s="596"/>
      <c r="Y86" s="596"/>
      <c r="Z86" s="596"/>
      <c r="AA86" s="596"/>
      <c r="AB86" s="596"/>
      <c r="AC86" s="596"/>
      <c r="AD86" s="596"/>
      <c r="AE86" s="596"/>
      <c r="AF86" s="596"/>
      <c r="AG86" s="596"/>
      <c r="AH86" s="596"/>
      <c r="AI86" s="272">
        <f>MATCH($A86,Table!$A:$A,0)+$AK$2-1</f>
        <v>1074</v>
      </c>
      <c r="AJ86" s="362"/>
      <c r="AK86" s="362"/>
      <c r="AL86" s="362"/>
      <c r="AM86" s="272">
        <f>MATCH($A86,Table!$A:$A,0)+$AO$2-1</f>
        <v>1071</v>
      </c>
      <c r="AN86" s="362"/>
      <c r="AP86" s="947" t="s">
        <v>302</v>
      </c>
    </row>
    <row r="87" spans="1:42" s="267" customFormat="1" ht="15.75" customHeight="1" x14ac:dyDescent="0.25">
      <c r="A87" s="268">
        <v>41379</v>
      </c>
      <c r="B87" s="273">
        <f ca="1">IF(ISERROR(MATCH(B$1,INDIRECT("Table!A"&amp;$AM87):INDIRECT("Table!" &amp; $AP$113 &amp; $AM87),0)),"",INDIRECT(CONCATENATE("Table!",ADDRESS($AI87,MATCH(B$1,INDIRECT("Table!A" &amp; $AM87):INDIRECT("Table!" &amp; $AP$112 &amp; $AM87),0)))))</f>
        <v>0.2636077834080236</v>
      </c>
      <c r="C87" s="273">
        <f ca="1">IF(ISERROR(MATCH(C$1,INDIRECT("Table!A"&amp;$AM87):INDIRECT("Table!" &amp; $AP$112 &amp; $AM87),0)),"",INDIRECT(CONCATENATE("Table!",ADDRESS($AI87,MATCH(C$1,INDIRECT("Table!A" &amp; $AM87):INDIRECT("Table!" &amp; $AP$112 &amp; $AM87),0)))))</f>
        <v>0.51565882120016637</v>
      </c>
      <c r="D87" s="273">
        <f ca="1">IF(ISERROR(MATCH(D$1,INDIRECT("Table!A"&amp;$AM87):INDIRECT("Table!" &amp; $AP$112 &amp; $AM87),0)),"",INDIRECT(CONCATENATE("Table!",ADDRESS($AI87,MATCH(D$1,INDIRECT("Table!A" &amp; $AM87):INDIRECT("Table!" &amp; $AP$112 &amp; $AM87),0)))))</f>
        <v>0.52503059479469927</v>
      </c>
      <c r="E87" s="273">
        <f ca="1">IF(ISERROR(MATCH(E$1,INDIRECT("Table!A"&amp;$AM87):INDIRECT("Table!" &amp; $AP$112 &amp; $AM87),0)),"",INDIRECT(CONCATENATE("Table!",ADDRESS($AI87,MATCH(E$1,INDIRECT("Table!A" &amp; $AM87):INDIRECT("Table!" &amp; $AP$112 &amp; $AM87),0)))))</f>
        <v>0.8645708904173568</v>
      </c>
      <c r="F87" s="273">
        <f ca="1">IF(ISERROR(MATCH(F$1,INDIRECT("Table!A"&amp;$AM87):INDIRECT("Table!" &amp; $AP$112 &amp; $AM87),0)),"",INDIRECT(CONCATENATE("Table!",ADDRESS($AI87,MATCH(F$1,INDIRECT("Table!A" &amp; $AM87):INDIRECT("Table!" &amp; $AP$112 &amp; $AM87),0)))))</f>
        <v>0.56729091431075385</v>
      </c>
      <c r="G87" s="273">
        <f ca="1">IF(ISERROR(MATCH(G$1,INDIRECT("Table!A"&amp;$AM87):INDIRECT("Table!" &amp; $AP$112 &amp; $AM87),0)),"",INDIRECT(CONCATENATE("Table!",ADDRESS($AI87,MATCH(G$1,INDIRECT("Table!A" &amp; $AM87):INDIRECT("Table!" &amp; $AP$112 &amp; $AM87),0)))))</f>
        <v>0.3913798322889232</v>
      </c>
      <c r="H87" s="273">
        <f ca="1">IF(ISERROR(MATCH(H$1,INDIRECT("Table!A"&amp;$AM87):INDIRECT("Table!" &amp; $AP$112 &amp; $AM87),0)),"",INDIRECT(CONCATENATE("Table!",ADDRESS($AI87,MATCH(H$1,INDIRECT("Table!A" &amp; $AM87):INDIRECT("Table!" &amp; $AP$112 &amp; $AM87),0)))))</f>
        <v>0.64286691535112805</v>
      </c>
      <c r="I87" s="273">
        <f ca="1">IF(ISERROR(MATCH(I$1,INDIRECT("Table!A"&amp;$AM87):INDIRECT("Table!" &amp; $AP$91 &amp; $AM87),0)),"",INDIRECT(CONCATENATE("Table!",ADDRESS($AI87,MATCH(I$1,INDIRECT("Table!A" &amp; $AM87):INDIRECT("Table!" &amp; $AP$91 &amp; $AM87),0)))))</f>
        <v>7.9640337456097415E-2</v>
      </c>
      <c r="J87" s="273" t="str">
        <f ca="1">IF(ISERROR(MATCH(J$1,INDIRECT("Table!A"&amp;$AM87):INDIRECT("Table!" &amp; $AP$91 &amp; $AM87),0)),"",INDIRECT(CONCATENATE("Table!",ADDRESS($AI87,MATCH(J$1,INDIRECT("Table!A" &amp; $AM87):INDIRECT("Table!" &amp; $AP$91 &amp; $AM87),0)))))</f>
        <v/>
      </c>
      <c r="K87" s="273" t="str">
        <f ca="1">IF(ISERROR(MATCH(K$1,INDIRECT("Table!A"&amp;$AM87):INDIRECT("Table!" &amp; $AP$91 &amp; $AM87),0)),"",INDIRECT(CONCATENATE("Table!",ADDRESS($AI87,MATCH(K$1,INDIRECT("Table!A" &amp; $AM87):INDIRECT("Table!" &amp; $AP$91 &amp; $AM87),0)))))</f>
        <v/>
      </c>
      <c r="L87" s="273">
        <f ca="1">IF(ISERROR(MATCH(L$1,INDIRECT("Table!A"&amp;$AM87):INDIRECT("Table!" &amp; $AP$91 &amp; $AM87),0)),"",INDIRECT(CONCATENATE("Table!",ADDRESS($AI87,MATCH(L$1,INDIRECT("Table!A" &amp; $AM87):INDIRECT("Table!" &amp; $AP$91 &amp; $AM87),0)))))</f>
        <v>0.81218067938682148</v>
      </c>
      <c r="M87" s="273">
        <f ca="1">IF(ISERROR(MATCH(M$1,INDIRECT("Table!A"&amp;$AM87):INDIRECT("Table!" &amp; $AP$91 &amp; $AM87),0)),"",INDIRECT(CONCATENATE("Table!",ADDRESS($AI87,MATCH(M$1,INDIRECT("Table!A" &amp; $AM87):INDIRECT("Table!" &amp; $AP$91 &amp; $AM87),0)))))</f>
        <v>0.41817058975783344</v>
      </c>
      <c r="N87" s="273">
        <f ca="1">IF(ISERROR(MATCH(N$1,INDIRECT("Table!A"&amp;$AM87):INDIRECT("Table!" &amp; $AP$91 &amp; $AM87),0)),"",INDIRECT(CONCATENATE("Table!",ADDRESS($AI87,MATCH(N$1,INDIRECT("Table!A" &amp; $AM87):INDIRECT("Table!" &amp; $AP$91 &amp; $AM87),0)))))</f>
        <v>0.59477941114252664</v>
      </c>
      <c r="O87" s="273">
        <f ca="1">IF(ISERROR(MATCH(O$1,INDIRECT("Table!A"&amp;$AM87):INDIRECT("Table!" &amp; $AP$91 &amp; $AM87),0)),"",INDIRECT(CONCATENATE("Table!",ADDRESS($AI87,MATCH(O$1,INDIRECT("Table!A" &amp; $AM87):INDIRECT("Table!" &amp; $AP$91 &amp; $AM87),0)))))</f>
        <v>0.8119980032037134</v>
      </c>
      <c r="P87" s="273">
        <f ca="1">IF(ISERROR(MATCH(P$1,INDIRECT("Table!A"&amp;$AM87):INDIRECT("Table!" &amp; $AP$91 &amp; $AM87),0)),"",INDIRECT(CONCATENATE("Table!",ADDRESS($AI87,MATCH(P$1,INDIRECT("Table!A" &amp; $AM87):INDIRECT("Table!" &amp; $AP$91 &amp; $AM87),0)))))</f>
        <v>8.0760847312708495E-2</v>
      </c>
      <c r="Q87" s="273" t="str">
        <f ca="1">IF(ISERROR(MATCH(Q$1,INDIRECT("Table!A"&amp;$AM87):INDIRECT("Table!" &amp; $AP$91 &amp; $AM87),0)),"",INDIRECT(CONCATENATE("Table!",ADDRESS($AI87,MATCH(Q$1,INDIRECT("Table!A" &amp; $AM87):INDIRECT("Table!" &amp; $AP$91 &amp; $AM87),0)))))</f>
        <v/>
      </c>
      <c r="R87" s="273" t="str">
        <f ca="1">IF(ISERROR(MATCH(R$1,INDIRECT("Table!A"&amp;$AM87):INDIRECT("Table!" &amp; $AP$91 &amp; $AM87),0)),"",INDIRECT(CONCATENATE("Table!",ADDRESS($AI87,MATCH(R$1,INDIRECT("Table!A" &amp; $AM87):INDIRECT("Table!" &amp; $AP$91 &amp; $AM87),0)))))</f>
        <v/>
      </c>
      <c r="S87" s="596" t="str">
        <f ca="1">IF(ISERROR(MATCH(S$1,INDIRECT("Table!A"&amp;$AM87):INDIRECT("Table!" &amp; $AP$91 &amp; $AM87),0)),"",INDIRECT(CONCATENATE("Table!",ADDRESS($AI87,MATCH(S$1,INDIRECT("Table!A" &amp; $AM87):INDIRECT("Table!" &amp; $AP$91 &amp; $AM87),0)))))</f>
        <v/>
      </c>
      <c r="T87" s="273">
        <f ca="1">IF(ISERROR(MATCH(T$1,INDIRECT("Table!A"&amp;$AM87):INDIRECT("Table!" &amp; $AP$91 &amp; $AM87),0)),"",INDIRECT(CONCATENATE("Table!",ADDRESS($AI87,MATCH(T$1,INDIRECT("Table!A" &amp; $AM87):INDIRECT("Table!" &amp; $AP$91 &amp; $AM87),0)))))</f>
        <v>0.10381227240446653</v>
      </c>
      <c r="U87" s="596" t="str">
        <f ca="1">IF(ISERROR(MATCH(U$1,INDIRECT("Table!A"&amp;$AM87):INDIRECT("Table!" &amp; $AP$91 &amp; $AM87),0)),"",INDIRECT(CONCATENATE("Table!",ADDRESS($AI87,MATCH(U$1,INDIRECT("Table!A" &amp; $AM87):INDIRECT("Table!" &amp; $AP$91 &amp; $AM87),0)))))</f>
        <v/>
      </c>
      <c r="V87" s="596"/>
      <c r="W87" s="596"/>
      <c r="X87" s="596"/>
      <c r="Y87" s="596"/>
      <c r="Z87" s="596"/>
      <c r="AA87" s="596"/>
      <c r="AB87" s="596"/>
      <c r="AC87" s="596"/>
      <c r="AD87" s="596"/>
      <c r="AE87" s="596"/>
      <c r="AF87" s="596"/>
      <c r="AG87" s="596"/>
      <c r="AH87" s="596"/>
      <c r="AI87" s="272">
        <f>MATCH($A87,Table!$A:$A,0)+$AK$2-1</f>
        <v>1086</v>
      </c>
      <c r="AJ87" s="361"/>
      <c r="AK87" s="361"/>
      <c r="AL87" s="361"/>
      <c r="AM87" s="272">
        <f>MATCH($A87,Table!$A:$A,0)+$AO$2-1</f>
        <v>1083</v>
      </c>
      <c r="AN87" s="361"/>
      <c r="AP87" s="947" t="s">
        <v>302</v>
      </c>
    </row>
    <row r="88" spans="1:42" s="267" customFormat="1" ht="15.75" customHeight="1" x14ac:dyDescent="0.25">
      <c r="A88" s="268">
        <v>41374</v>
      </c>
      <c r="B88" s="273">
        <f ca="1">IF(ISERROR(MATCH(B$1,INDIRECT("Table!A"&amp;$AM88):INDIRECT("Table!" &amp; $AP$113 &amp; $AM88),0)),"",INDIRECT(CONCATENATE("Table!",ADDRESS($AI88,MATCH(B$1,INDIRECT("Table!A" &amp; $AM88):INDIRECT("Table!" &amp; $AP$112 &amp; $AM88),0)))))</f>
        <v>0.27254481066613107</v>
      </c>
      <c r="C88" s="273">
        <f ca="1">IF(ISERROR(MATCH(C$1,INDIRECT("Table!A"&amp;$AM88):INDIRECT("Table!" &amp; $AP$112 &amp; $AM88),0)),"",INDIRECT(CONCATENATE("Table!",ADDRESS($AI88,MATCH(C$1,INDIRECT("Table!A" &amp; $AM88):INDIRECT("Table!" &amp; $AP$112 &amp; $AM88),0)))))</f>
        <v>0.51547810927490678</v>
      </c>
      <c r="D88" s="273">
        <f ca="1">IF(ISERROR(MATCH(D$1,INDIRECT("Table!A"&amp;$AM88):INDIRECT("Table!" &amp; $AP$112 &amp; $AM88),0)),"",INDIRECT(CONCATENATE("Table!",ADDRESS($AI88,MATCH(D$1,INDIRECT("Table!A" &amp; $AM88):INDIRECT("Table!" &amp; $AP$112 &amp; $AM88),0)))))</f>
        <v>0.52485254039775231</v>
      </c>
      <c r="E88" s="273">
        <f ca="1">IF(ISERROR(MATCH(E$1,INDIRECT("Table!A"&amp;$AM88):INDIRECT("Table!" &amp; $AP$112 &amp; $AM88),0)),"",INDIRECT(CONCATENATE("Table!",ADDRESS($AI88,MATCH(E$1,INDIRECT("Table!A" &amp; $AM88):INDIRECT("Table!" &amp; $AP$112 &amp; $AM88),0)))))</f>
        <v>0.86976106304581713</v>
      </c>
      <c r="F88" s="273">
        <f ca="1">IF(ISERROR(MATCH(F$1,INDIRECT("Table!A"&amp;$AM88):INDIRECT("Table!" &amp; $AP$112 &amp; $AM88),0)),"",INDIRECT(CONCATENATE("Table!",ADDRESS($AI88,MATCH(F$1,INDIRECT("Table!A" &amp; $AM88):INDIRECT("Table!" &amp; $AP$112 &amp; $AM88),0)))))</f>
        <v>0.56729091431075385</v>
      </c>
      <c r="G88" s="273">
        <f ca="1">IF(ISERROR(MATCH(G$1,INDIRECT("Table!A"&amp;$AM88):INDIRECT("Table!" &amp; $AP$112 &amp; $AM88),0)),"",INDIRECT(CONCATENATE("Table!",ADDRESS($AI88,MATCH(G$1,INDIRECT("Table!A" &amp; $AM88):INDIRECT("Table!" &amp; $AP$112 &amp; $AM88),0)))))</f>
        <v>0.38039233493778946</v>
      </c>
      <c r="H88" s="273">
        <f ca="1">IF(ISERROR(MATCH(H$1,INDIRECT("Table!A"&amp;$AM88):INDIRECT("Table!" &amp; $AP$112 &amp; $AM88),0)),"",INDIRECT(CONCATENATE("Table!",ADDRESS($AI88,MATCH(H$1,INDIRECT("Table!A" &amp; $AM88):INDIRECT("Table!" &amp; $AP$112 &amp; $AM88),0)))))</f>
        <v>0.62978543135435228</v>
      </c>
      <c r="I88" s="273">
        <f ca="1">IF(ISERROR(MATCH(I$1,INDIRECT("Table!A"&amp;$AM88):INDIRECT("Table!" &amp; $AP$91 &amp; $AM88),0)),"",INDIRECT(CONCATENATE("Table!",ADDRESS($AI88,MATCH(I$1,INDIRECT("Table!A" &amp; $AM88):INDIRECT("Table!" &amp; $AP$91 &amp; $AM88),0)))))</f>
        <v>7.8026636897504123E-2</v>
      </c>
      <c r="J88" s="273" t="str">
        <f ca="1">IF(ISERROR(MATCH(J$1,INDIRECT("Table!A"&amp;$AM88):INDIRECT("Table!" &amp; $AP$91 &amp; $AM88),0)),"",INDIRECT(CONCATENATE("Table!",ADDRESS($AI88,MATCH(J$1,INDIRECT("Table!A" &amp; $AM88):INDIRECT("Table!" &amp; $AP$91 &amp; $AM88),0)))))</f>
        <v/>
      </c>
      <c r="K88" s="273" t="str">
        <f ca="1">IF(ISERROR(MATCH(K$1,INDIRECT("Table!A"&amp;$AM88):INDIRECT("Table!" &amp; $AP$91 &amp; $AM88),0)),"",INDIRECT(CONCATENATE("Table!",ADDRESS($AI88,MATCH(K$1,INDIRECT("Table!A" &amp; $AM88):INDIRECT("Table!" &amp; $AP$91 &amp; $AM88),0)))))</f>
        <v/>
      </c>
      <c r="L88" s="273">
        <f ca="1">IF(ISERROR(MATCH(L$1,INDIRECT("Table!A"&amp;$AM88):INDIRECT("Table!" &amp; $AP$91 &amp; $AM88),0)),"",INDIRECT(CONCATENATE("Table!",ADDRESS($AI88,MATCH(L$1,INDIRECT("Table!A" &amp; $AM88):INDIRECT("Table!" &amp; $AP$91 &amp; $AM88),0)))))</f>
        <v>0.81258684018297966</v>
      </c>
      <c r="M88" s="273">
        <f ca="1">IF(ISERROR(MATCH(M$1,INDIRECT("Table!A"&amp;$AM88):INDIRECT("Table!" &amp; $AP$91 &amp; $AM88),0)),"",INDIRECT(CONCATENATE("Table!",ADDRESS($AI88,MATCH(M$1,INDIRECT("Table!A" &amp; $AM88):INDIRECT("Table!" &amp; $AP$91 &amp; $AM88),0)))))</f>
        <v>0.42306871451470568</v>
      </c>
      <c r="N88" s="273">
        <f ca="1">IF(ISERROR(MATCH(N$1,INDIRECT("Table!A"&amp;$AM88):INDIRECT("Table!" &amp; $AP$91 &amp; $AM88),0)),"",INDIRECT(CONCATENATE("Table!",ADDRESS($AI88,MATCH(N$1,INDIRECT("Table!A" &amp; $AM88):INDIRECT("Table!" &amp; $AP$91 &amp; $AM88),0)))))</f>
        <v>0.58787713218166415</v>
      </c>
      <c r="O88" s="273">
        <f ca="1">IF(ISERROR(MATCH(O$1,INDIRECT("Table!A"&amp;$AM88):INDIRECT("Table!" &amp; $AP$91 &amp; $AM88),0)),"",INDIRECT(CONCATENATE("Table!",ADDRESS($AI88,MATCH(O$1,INDIRECT("Table!A" &amp; $AM88):INDIRECT("Table!" &amp; $AP$91 &amp; $AM88),0)))))</f>
        <v>0.78343826335385836</v>
      </c>
      <c r="P88" s="273">
        <f ca="1">IF(ISERROR(MATCH(P$1,INDIRECT("Table!A"&amp;$AM88):INDIRECT("Table!" &amp; $AP$91 &amp; $AM88),0)),"",INDIRECT(CONCATENATE("Table!",ADDRESS($AI88,MATCH(P$1,INDIRECT("Table!A" &amp; $AM88):INDIRECT("Table!" &amp; $AP$91 &amp; $AM88),0)))))</f>
        <v>8.1313599633906955E-2</v>
      </c>
      <c r="Q88" s="273" t="str">
        <f ca="1">IF(ISERROR(MATCH(Q$1,INDIRECT("Table!A"&amp;$AM88):INDIRECT("Table!" &amp; $AP$91 &amp; $AM88),0)),"",INDIRECT(CONCATENATE("Table!",ADDRESS($AI88,MATCH(Q$1,INDIRECT("Table!A" &amp; $AM88):INDIRECT("Table!" &amp; $AP$91 &amp; $AM88),0)))))</f>
        <v/>
      </c>
      <c r="R88" s="273" t="str">
        <f ca="1">IF(ISERROR(MATCH(R$1,INDIRECT("Table!A"&amp;$AM88):INDIRECT("Table!" &amp; $AP$91 &amp; $AM88),0)),"",INDIRECT(CONCATENATE("Table!",ADDRESS($AI88,MATCH(R$1,INDIRECT("Table!A" &amp; $AM88):INDIRECT("Table!" &amp; $AP$91 &amp; $AM88),0)))))</f>
        <v/>
      </c>
      <c r="S88" s="596" t="str">
        <f ca="1">IF(ISERROR(MATCH(S$1,INDIRECT("Table!A"&amp;$AM88):INDIRECT("Table!" &amp; $AP$91 &amp; $AM88),0)),"",INDIRECT(CONCATENATE("Table!",ADDRESS($AI88,MATCH(S$1,INDIRECT("Table!A" &amp; $AM88):INDIRECT("Table!" &amp; $AP$91 &amp; $AM88),0)))))</f>
        <v/>
      </c>
      <c r="T88" s="273">
        <f ca="1">IF(ISERROR(MATCH(T$1,INDIRECT("Table!A"&amp;$AM88):INDIRECT("Table!" &amp; $AP$91 &amp; $AM88),0)),"",INDIRECT(CONCATENATE("Table!",ADDRESS($AI88,MATCH(T$1,INDIRECT("Table!A" &amp; $AM88):INDIRECT("Table!" &amp; $AP$91 &amp; $AM88),0)))))</f>
        <v>0.10059382602257445</v>
      </c>
      <c r="U88" s="596" t="str">
        <f ca="1">IF(ISERROR(MATCH(U$1,INDIRECT("Table!A"&amp;$AM88):INDIRECT("Table!" &amp; $AP$91 &amp; $AM88),0)),"",INDIRECT(CONCATENATE("Table!",ADDRESS($AI88,MATCH(U$1,INDIRECT("Table!A" &amp; $AM88):INDIRECT("Table!" &amp; $AP$91 &amp; $AM88),0)))))</f>
        <v/>
      </c>
      <c r="V88" s="596"/>
      <c r="W88" s="596"/>
      <c r="X88" s="596"/>
      <c r="Y88" s="596"/>
      <c r="Z88" s="596"/>
      <c r="AA88" s="596"/>
      <c r="AB88" s="596"/>
      <c r="AC88" s="596"/>
      <c r="AD88" s="596"/>
      <c r="AE88" s="596"/>
      <c r="AF88" s="596"/>
      <c r="AG88" s="596"/>
      <c r="AH88" s="596"/>
      <c r="AI88" s="272">
        <f>MATCH($A88,Table!$A:$A,0)+$AK$2-1</f>
        <v>1098</v>
      </c>
      <c r="AJ88" s="360"/>
      <c r="AK88" s="360"/>
      <c r="AL88" s="360"/>
      <c r="AM88" s="272">
        <f>MATCH($A88,Table!$A:$A,0)+$AO$2-1</f>
        <v>1095</v>
      </c>
      <c r="AN88" s="360"/>
      <c r="AP88" s="947" t="s">
        <v>302</v>
      </c>
    </row>
    <row r="89" spans="1:42" s="267" customFormat="1" ht="15.75" customHeight="1" x14ac:dyDescent="0.25">
      <c r="A89" s="268">
        <v>41373</v>
      </c>
      <c r="B89" s="273">
        <f ca="1">IF(ISERROR(MATCH(B$1,INDIRECT("Table!A"&amp;$AM89):INDIRECT("Table!" &amp; $AP$113 &amp; $AM89),0)),"",INDIRECT(CONCATENATE("Table!",ADDRESS($AI89,MATCH(B$1,INDIRECT("Table!A" &amp; $AM89):INDIRECT("Table!" &amp; $AP$112 &amp; $AM89),0)))))</f>
        <v>0.27926693362679417</v>
      </c>
      <c r="C89" s="273">
        <f ca="1">IF(ISERROR(MATCH(C$1,INDIRECT("Table!A"&amp;$AM89):INDIRECT("Table!" &amp; $AP$112 &amp; $AM89),0)),"",INDIRECT(CONCATENATE("Table!",ADDRESS($AI89,MATCH(C$1,INDIRECT("Table!A" &amp; $AM89):INDIRECT("Table!" &amp; $AP$112 &amp; $AM89),0)))))</f>
        <v>0.51541167106709074</v>
      </c>
      <c r="D89" s="273">
        <f ca="1">IF(ISERROR(MATCH(D$1,INDIRECT("Table!A"&amp;$AM89):INDIRECT("Table!" &amp; $AP$112 &amp; $AM89),0)),"",INDIRECT(CONCATENATE("Table!",ADDRESS($AI89,MATCH(D$1,INDIRECT("Table!A" &amp; $AM89):INDIRECT("Table!" &amp; $AP$112 &amp; $AM89),0)))))</f>
        <v>0.5247867665720144</v>
      </c>
      <c r="E89" s="273">
        <f ca="1">IF(ISERROR(MATCH(E$1,INDIRECT("Table!A"&amp;$AM89):INDIRECT("Table!" &amp; $AP$112 &amp; $AM89),0)),"",INDIRECT(CONCATENATE("Table!",ADDRESS($AI89,MATCH(E$1,INDIRECT("Table!A" &amp; $AM89):INDIRECT("Table!" &amp; $AP$112 &amp; $AM89),0)))))</f>
        <v>0.86937534409756601</v>
      </c>
      <c r="F89" s="273">
        <f ca="1">IF(ISERROR(MATCH(F$1,INDIRECT("Table!A"&amp;$AM89):INDIRECT("Table!" &amp; $AP$112 &amp; $AM89),0)),"",INDIRECT(CONCATENATE("Table!",ADDRESS($AI89,MATCH(F$1,INDIRECT("Table!A" &amp; $AM89):INDIRECT("Table!" &amp; $AP$112 &amp; $AM89),0)))))</f>
        <v>0.56639398014535891</v>
      </c>
      <c r="G89" s="273">
        <f ca="1">IF(ISERROR(MATCH(G$1,INDIRECT("Table!A"&amp;$AM89):INDIRECT("Table!" &amp; $AP$112 &amp; $AM89),0)),"",INDIRECT(CONCATENATE("Table!",ADDRESS($AI89,MATCH(G$1,INDIRECT("Table!A" &amp; $AM89):INDIRECT("Table!" &amp; $AP$112 &amp; $AM89),0)))))</f>
        <v>0.3840265794811249</v>
      </c>
      <c r="H89" s="273">
        <f ca="1">IF(ISERROR(MATCH(H$1,INDIRECT("Table!A"&amp;$AM89):INDIRECT("Table!" &amp; $AP$112 &amp; $AM89),0)),"",INDIRECT(CONCATENATE("Table!",ADDRESS($AI89,MATCH(H$1,INDIRECT("Table!A" &amp; $AM89):INDIRECT("Table!" &amp; $AP$112 &amp; $AM89),0)))))</f>
        <v>0.62559691688411445</v>
      </c>
      <c r="I89" s="273">
        <f ca="1">IF(ISERROR(MATCH(I$1,INDIRECT("Table!A"&amp;$AM89):INDIRECT("Table!" &amp; $AP$91 &amp; $AM89),0)),"",INDIRECT(CONCATENATE("Table!",ADDRESS($AI89,MATCH(I$1,INDIRECT("Table!A" &amp; $AM89):INDIRECT("Table!" &amp; $AP$91 &amp; $AM89),0)))))</f>
        <v>5.3613394678039647E-2</v>
      </c>
      <c r="J89" s="273" t="str">
        <f ca="1">IF(ISERROR(MATCH(J$1,INDIRECT("Table!A"&amp;$AM89):INDIRECT("Table!" &amp; $AP$91 &amp; $AM89),0)),"",INDIRECT(CONCATENATE("Table!",ADDRESS($AI89,MATCH(J$1,INDIRECT("Table!A" &amp; $AM89):INDIRECT("Table!" &amp; $AP$91 &amp; $AM89),0)))))</f>
        <v/>
      </c>
      <c r="K89" s="273" t="str">
        <f ca="1">IF(ISERROR(MATCH(K$1,INDIRECT("Table!A"&amp;$AM89):INDIRECT("Table!" &amp; $AP$91 &amp; $AM89),0)),"",INDIRECT(CONCATENATE("Table!",ADDRESS($AI89,MATCH(K$1,INDIRECT("Table!A" &amp; $AM89):INDIRECT("Table!" &amp; $AP$91 &amp; $AM89),0)))))</f>
        <v/>
      </c>
      <c r="L89" s="273">
        <f ca="1">IF(ISERROR(MATCH(L$1,INDIRECT("Table!A"&amp;$AM89):INDIRECT("Table!" &amp; $AP$91 &amp; $AM89),0)),"",INDIRECT(CONCATENATE("Table!",ADDRESS($AI89,MATCH(L$1,INDIRECT("Table!A" &amp; $AM89):INDIRECT("Table!" &amp; $AP$91 &amp; $AM89),0)))))</f>
        <v>0.81226667771866112</v>
      </c>
      <c r="M89" s="273">
        <f ca="1">IF(ISERROR(MATCH(M$1,INDIRECT("Table!A"&amp;$AM89):INDIRECT("Table!" &amp; $AP$91 &amp; $AM89),0)),"",INDIRECT(CONCATENATE("Table!",ADDRESS($AI89,MATCH(M$1,INDIRECT("Table!A" &amp; $AM89):INDIRECT("Table!" &amp; $AP$91 &amp; $AM89),0)))))</f>
        <v>0.42944263396810156</v>
      </c>
      <c r="N89" s="273">
        <f ca="1">IF(ISERROR(MATCH(N$1,INDIRECT("Table!A"&amp;$AM89):INDIRECT("Table!" &amp; $AP$91 &amp; $AM89),0)),"",INDIRECT(CONCATENATE("Table!",ADDRESS($AI89,MATCH(N$1,INDIRECT("Table!A" &amp; $AM89):INDIRECT("Table!" &amp; $AP$91 &amp; $AM89),0)))))</f>
        <v>0.58697657214211196</v>
      </c>
      <c r="O89" s="273">
        <f ca="1">IF(ISERROR(MATCH(O$1,INDIRECT("Table!A"&amp;$AM89):INDIRECT("Table!" &amp; $AP$91 &amp; $AM89),0)),"",INDIRECT(CONCATENATE("Table!",ADDRESS($AI89,MATCH(O$1,INDIRECT("Table!A" &amp; $AM89):INDIRECT("Table!" &amp; $AP$91 &amp; $AM89),0)))))</f>
        <v>0.78337366778726747</v>
      </c>
      <c r="P89" s="273">
        <f ca="1">IF(ISERROR(MATCH(P$1,INDIRECT("Table!A"&amp;$AM89):INDIRECT("Table!" &amp; $AP$91 &amp; $AM89),0)),"",INDIRECT(CONCATENATE("Table!",ADDRESS($AI89,MATCH(P$1,INDIRECT("Table!A" &amp; $AM89):INDIRECT("Table!" &amp; $AP$91 &amp; $AM89),0)))))</f>
        <v>7.8507689158106436E-2</v>
      </c>
      <c r="Q89" s="273" t="str">
        <f ca="1">IF(ISERROR(MATCH(Q$1,INDIRECT("Table!A"&amp;$AM89):INDIRECT("Table!" &amp; $AP$91 &amp; $AM89),0)),"",INDIRECT(CONCATENATE("Table!",ADDRESS($AI89,MATCH(Q$1,INDIRECT("Table!A" &amp; $AM89):INDIRECT("Table!" &amp; $AP$91 &amp; $AM89),0)))))</f>
        <v/>
      </c>
      <c r="R89" s="273" t="str">
        <f ca="1">IF(ISERROR(MATCH(R$1,INDIRECT("Table!A"&amp;$AM89):INDIRECT("Table!" &amp; $AP$91 &amp; $AM89),0)),"",INDIRECT(CONCATENATE("Table!",ADDRESS($AI89,MATCH(R$1,INDIRECT("Table!A" &amp; $AM89):INDIRECT("Table!" &amp; $AP$91 &amp; $AM89),0)))))</f>
        <v/>
      </c>
      <c r="S89" s="596" t="str">
        <f ca="1">IF(ISERROR(MATCH(S$1,INDIRECT("Table!A"&amp;$AM89):INDIRECT("Table!" &amp; $AP$91 &amp; $AM89),0)),"",INDIRECT(CONCATENATE("Table!",ADDRESS($AI89,MATCH(S$1,INDIRECT("Table!A" &amp; $AM89):INDIRECT("Table!" &amp; $AP$91 &amp; $AM89),0)))))</f>
        <v/>
      </c>
      <c r="T89" s="273">
        <f ca="1">IF(ISERROR(MATCH(T$1,INDIRECT("Table!A"&amp;$AM89):INDIRECT("Table!" &amp; $AP$91 &amp; $AM89),0)),"",INDIRECT(CONCATENATE("Table!",ADDRESS($AI89,MATCH(T$1,INDIRECT("Table!A" &amp; $AM89):INDIRECT("Table!" &amp; $AP$91 &amp; $AM89),0)))))</f>
        <v>9.5172330427161875E-2</v>
      </c>
      <c r="U89" s="596" t="str">
        <f ca="1">IF(ISERROR(MATCH(U$1,INDIRECT("Table!A"&amp;$AM89):INDIRECT("Table!" &amp; $AP$91 &amp; $AM89),0)),"",INDIRECT(CONCATENATE("Table!",ADDRESS($AI89,MATCH(U$1,INDIRECT("Table!A" &amp; $AM89):INDIRECT("Table!" &amp; $AP$91 &amp; $AM89),0)))))</f>
        <v/>
      </c>
      <c r="V89" s="596"/>
      <c r="W89" s="596"/>
      <c r="X89" s="596"/>
      <c r="Y89" s="596"/>
      <c r="Z89" s="596"/>
      <c r="AA89" s="596"/>
      <c r="AB89" s="596"/>
      <c r="AC89" s="596"/>
      <c r="AD89" s="596"/>
      <c r="AE89" s="596"/>
      <c r="AF89" s="596"/>
      <c r="AG89" s="596"/>
      <c r="AH89" s="596"/>
      <c r="AI89" s="272">
        <f>MATCH($A89,Table!$A:$A,0)+$AK$2-1</f>
        <v>1110</v>
      </c>
      <c r="AJ89" s="359"/>
      <c r="AK89" s="359"/>
      <c r="AL89" s="359"/>
      <c r="AM89" s="272">
        <f>MATCH($A89,Table!$A:$A,0)+$AO$2-1</f>
        <v>1107</v>
      </c>
      <c r="AN89" s="359"/>
      <c r="AP89" s="947" t="s">
        <v>302</v>
      </c>
    </row>
    <row r="90" spans="1:42" s="267" customFormat="1" ht="15.75" customHeight="1" x14ac:dyDescent="0.25">
      <c r="A90" s="268">
        <v>41361</v>
      </c>
      <c r="B90" s="273">
        <f ca="1">IF(ISERROR(MATCH(B$1,INDIRECT("Table!A"&amp;$AM90):INDIRECT("Table!" &amp; $AP$113 &amp; $AM90),0)),"",INDIRECT(CONCATENATE("Table!",ADDRESS($AI90,MATCH(B$1,INDIRECT("Table!A" &amp; $AM90):INDIRECT("Table!" &amp; $AP$112 &amp; $AM90),0)))))</f>
        <v>0.32784070542191274</v>
      </c>
      <c r="C90" s="273">
        <f ca="1">IF(ISERROR(MATCH(C$1,INDIRECT("Table!A"&amp;$AM90):INDIRECT("Table!" &amp; $AP$112 &amp; $AM90),0)),"",INDIRECT(CONCATENATE("Table!",ADDRESS($AI90,MATCH(C$1,INDIRECT("Table!A" &amp; $AM90):INDIRECT("Table!" &amp; $AP$112 &amp; $AM90),0)))))</f>
        <v>0.51516850722648388</v>
      </c>
      <c r="D90" s="273">
        <f ca="1">IF(ISERROR(MATCH(D$1,INDIRECT("Table!A"&amp;$AM90):INDIRECT("Table!" &amp; $AP$112 &amp; $AM90),0)),"",INDIRECT(CONCATENATE("Table!",ADDRESS($AI90,MATCH(D$1,INDIRECT("Table!A" &amp; $AM90):INDIRECT("Table!" &amp; $AP$112 &amp; $AM90),0)))))</f>
        <v>0.52454692464179853</v>
      </c>
      <c r="E90" s="273">
        <f ca="1">IF(ISERROR(MATCH(E$1,INDIRECT("Table!A"&amp;$AM90):INDIRECT("Table!" &amp; $AP$112 &amp; $AM90),0)),"",INDIRECT(CONCATENATE("Table!",ADDRESS($AI90,MATCH(E$1,INDIRECT("Table!A" &amp; $AM90):INDIRECT("Table!" &amp; $AP$112 &amp; $AM90),0)))))</f>
        <v>0.86600991880121625</v>
      </c>
      <c r="F90" s="273">
        <f ca="1">IF(ISERROR(MATCH(F$1,INDIRECT("Table!A"&amp;$AM90):INDIRECT("Table!" &amp; $AP$112 &amp; $AM90),0)),"",INDIRECT(CONCATENATE("Table!",ADDRESS($AI90,MATCH(F$1,INDIRECT("Table!A" &amp; $AM90):INDIRECT("Table!" &amp; $AP$112 &amp; $AM90),0)))))</f>
        <v>0.53617987035554016</v>
      </c>
      <c r="G90" s="273">
        <f ca="1">IF(ISERROR(MATCH(G$1,INDIRECT("Table!A"&amp;$AM90):INDIRECT("Table!" &amp; $AP$112 &amp; $AM90),0)),"",INDIRECT(CONCATENATE("Table!",ADDRESS($AI90,MATCH(G$1,INDIRECT("Table!A" &amp; $AM90):INDIRECT("Table!" &amp; $AP$112 &amp; $AM90),0)))))</f>
        <v>0.36703296703296706</v>
      </c>
      <c r="H90" s="273">
        <f ca="1">IF(ISERROR(MATCH(H$1,INDIRECT("Table!A"&amp;$AM90):INDIRECT("Table!" &amp; $AP$112 &amp; $AM90),0)),"",INDIRECT(CONCATENATE("Table!",ADDRESS($AI90,MATCH(H$1,INDIRECT("Table!A" &amp; $AM90):INDIRECT("Table!" &amp; $AP$112 &amp; $AM90),0)))))</f>
        <v>0.59642237237063989</v>
      </c>
      <c r="I90" s="273">
        <f ca="1">IF(ISERROR(MATCH(I$1,INDIRECT("Table!A"&amp;$AM90):INDIRECT("Table!" &amp; $AP$91 &amp; $AM90),0)),"",INDIRECT(CONCATENATE("Table!",ADDRESS($AI90,MATCH(I$1,INDIRECT("Table!A" &amp; $AM90):INDIRECT("Table!" &amp; $AP$91 &amp; $AM90),0)))))</f>
        <v>5.3613394678039647E-2</v>
      </c>
      <c r="J90" s="273" t="str">
        <f ca="1">IF(ISERROR(MATCH(J$1,INDIRECT("Table!A"&amp;$AM90):INDIRECT("Table!" &amp; $AP$91 &amp; $AM90),0)),"",INDIRECT(CONCATENATE("Table!",ADDRESS($AI90,MATCH(J$1,INDIRECT("Table!A" &amp; $AM90):INDIRECT("Table!" &amp; $AP$91 &amp; $AM90),0)))))</f>
        <v/>
      </c>
      <c r="K90" s="273" t="str">
        <f ca="1">IF(ISERROR(MATCH(K$1,INDIRECT("Table!A"&amp;$AM90):INDIRECT("Table!" &amp; $AP$91 &amp; $AM90),0)),"",INDIRECT(CONCATENATE("Table!",ADDRESS($AI90,MATCH(K$1,INDIRECT("Table!A" &amp; $AM90):INDIRECT("Table!" &amp; $AP$91 &amp; $AM90),0)))))</f>
        <v/>
      </c>
      <c r="L90" s="273">
        <f ca="1">IF(ISERROR(MATCH(L$1,INDIRECT("Table!A"&amp;$AM90):INDIRECT("Table!" &amp; $AP$91 &amp; $AM90),0)),"",INDIRECT(CONCATENATE("Table!",ADDRESS($AI90,MATCH(L$1,INDIRECT("Table!A" &amp; $AM90):INDIRECT("Table!" &amp; $AP$91 &amp; $AM90),0)))))</f>
        <v>0.80800665191916154</v>
      </c>
      <c r="M90" s="273">
        <f ca="1">IF(ISERROR(MATCH(M$1,INDIRECT("Table!A"&amp;$AM90):INDIRECT("Table!" &amp; $AP$91 &amp; $AM90),0)),"",INDIRECT(CONCATENATE("Table!",ADDRESS($AI90,MATCH(M$1,INDIRECT("Table!A" &amp; $AM90):INDIRECT("Table!" &amp; $AP$91 &amp; $AM90),0)))))</f>
        <v>0.49197243366870447</v>
      </c>
      <c r="N90" s="273">
        <f ca="1">IF(ISERROR(MATCH(N$1,INDIRECT("Table!A"&amp;$AM90):INDIRECT("Table!" &amp; $AP$91 &amp; $AM90),0)),"",INDIRECT(CONCATENATE("Table!",ADDRESS($AI90,MATCH(N$1,INDIRECT("Table!A" &amp; $AM90):INDIRECT("Table!" &amp; $AP$91 &amp; $AM90),0)))))</f>
        <v>0.55628621127742928</v>
      </c>
      <c r="O90" s="273">
        <f ca="1">IF(ISERROR(MATCH(O$1,INDIRECT("Table!A"&amp;$AM90):INDIRECT("Table!" &amp; $AP$91 &amp; $AM90),0)),"",INDIRECT(CONCATENATE("Table!",ADDRESS($AI90,MATCH(O$1,INDIRECT("Table!A" &amp; $AM90):INDIRECT("Table!" &amp; $AP$91 &amp; $AM90),0)))))</f>
        <v>0.77393704878721814</v>
      </c>
      <c r="P90" s="273">
        <f ca="1">IF(ISERROR(MATCH(P$1,INDIRECT("Table!A"&amp;$AM90):INDIRECT("Table!" &amp; $AP$91 &amp; $AM90),0)),"",INDIRECT(CONCATENATE("Table!",ADDRESS($AI90,MATCH(P$1,INDIRECT("Table!A" &amp; $AM90):INDIRECT("Table!" &amp; $AP$91 &amp; $AM90),0)))))</f>
        <v>5.4736930839725917E-2</v>
      </c>
      <c r="Q90" s="273" t="str">
        <f ca="1">IF(ISERROR(MATCH(Q$1,INDIRECT("Table!A"&amp;$AM90):INDIRECT("Table!" &amp; $AP$91 &amp; $AM90),0)),"",INDIRECT(CONCATENATE("Table!",ADDRESS($AI90,MATCH(Q$1,INDIRECT("Table!A" &amp; $AM90):INDIRECT("Table!" &amp; $AP$91 &amp; $AM90),0)))))</f>
        <v/>
      </c>
      <c r="R90" s="273" t="str">
        <f ca="1">IF(ISERROR(MATCH(R$1,INDIRECT("Table!A"&amp;$AM90):INDIRECT("Table!" &amp; $AP$91 &amp; $AM90),0)),"",INDIRECT(CONCATENATE("Table!",ADDRESS($AI90,MATCH(R$1,INDIRECT("Table!A" &amp; $AM90):INDIRECT("Table!" &amp; $AP$91 &amp; $AM90),0)))))</f>
        <v/>
      </c>
      <c r="S90" s="596" t="str">
        <f ca="1">IF(ISERROR(MATCH(S$1,INDIRECT("Table!A"&amp;$AM90):INDIRECT("Table!" &amp; $AP$91 &amp; $AM90),0)),"",INDIRECT(CONCATENATE("Table!",ADDRESS($AI90,MATCH(S$1,INDIRECT("Table!A" &amp; $AM90):INDIRECT("Table!" &amp; $AP$91 &amp; $AM90),0)))))</f>
        <v/>
      </c>
      <c r="T90" s="273">
        <f ca="1">IF(ISERROR(MATCH(T$1,INDIRECT("Table!A"&amp;$AM90):INDIRECT("Table!" &amp; $AP$91 &amp; $AM90),0)),"",INDIRECT(CONCATENATE("Table!",ADDRESS($AI90,MATCH(T$1,INDIRECT("Table!A" &amp; $AM90):INDIRECT("Table!" &amp; $AP$91 &amp; $AM90),0)))))</f>
        <v>9.5172330427161875E-2</v>
      </c>
      <c r="U90" s="596" t="str">
        <f ca="1">IF(ISERROR(MATCH(U$1,INDIRECT("Table!A"&amp;$AM90):INDIRECT("Table!" &amp; $AP$91 &amp; $AM90),0)),"",INDIRECT(CONCATENATE("Table!",ADDRESS($AI90,MATCH(U$1,INDIRECT("Table!A" &amp; $AM90):INDIRECT("Table!" &amp; $AP$91 &amp; $AM90),0)))))</f>
        <v/>
      </c>
      <c r="V90" s="596"/>
      <c r="W90" s="596"/>
      <c r="X90" s="596"/>
      <c r="Y90" s="596"/>
      <c r="Z90" s="596"/>
      <c r="AA90" s="596"/>
      <c r="AB90" s="596"/>
      <c r="AC90" s="596"/>
      <c r="AD90" s="596"/>
      <c r="AE90" s="596"/>
      <c r="AF90" s="596"/>
      <c r="AG90" s="596"/>
      <c r="AH90" s="596"/>
      <c r="AI90" s="272">
        <f>MATCH($A90,Table!$A:$A,0)+$AK$2-1</f>
        <v>1122</v>
      </c>
      <c r="AJ90" s="356"/>
      <c r="AK90" s="356"/>
      <c r="AL90" s="356"/>
      <c r="AM90" s="272">
        <f>MATCH($A90,Table!$A:$A,0)+$AO$2-1</f>
        <v>1119</v>
      </c>
      <c r="AN90" s="356"/>
      <c r="AP90" s="947" t="s">
        <v>302</v>
      </c>
    </row>
    <row r="91" spans="1:42" ht="15.75" customHeight="1" x14ac:dyDescent="0.25">
      <c r="A91" s="4">
        <v>41359</v>
      </c>
      <c r="B91" s="24">
        <f ca="1">IF(ISERROR(MATCH(B$1,INDIRECT("Table!A"&amp;$AM91):INDIRECT("Table!" &amp; $AP$113 &amp; $AM91),0)),"",INDIRECT(CONCATENATE("Table!",ADDRESS($AI91,MATCH(B$1,INDIRECT("Table!A" &amp; $AM91):INDIRECT("Table!" &amp; $AP$112 &amp; $AM91),0)))))</f>
        <v>0.32841186619634816</v>
      </c>
      <c r="C91" s="24">
        <f ca="1">IF(ISERROR(MATCH(C$1,INDIRECT("Table!A"&amp;$AM91):INDIRECT("Table!" &amp; $AP$112 &amp; $AM91),0)),"",INDIRECT(CONCATENATE("Table!",ADDRESS($AI91,MATCH(C$1,INDIRECT("Table!A" &amp; $AM91):INDIRECT("Table!" &amp; $AP$112 &amp; $AM91),0)))))</f>
        <v>0.51508213755632304</v>
      </c>
      <c r="D91" s="24">
        <f ca="1">IF(ISERROR(MATCH(D$1,INDIRECT("Table!A"&amp;$AM91):INDIRECT("Table!" &amp; $AP$112 &amp; $AM91),0)),"",INDIRECT(CONCATENATE("Table!",ADDRESS($AI91,MATCH(D$1,INDIRECT("Table!A" &amp; $AM91):INDIRECT("Table!" &amp; $AP$112 &amp; $AM91),0)))))</f>
        <v>0.52445989058955944</v>
      </c>
      <c r="E91" s="24">
        <f ca="1">IF(ISERROR(MATCH(E$1,INDIRECT("Table!A"&amp;$AM91):INDIRECT("Table!" &amp; $AP$112 &amp; $AM91),0)),"",INDIRECT(CONCATENATE("Table!",ADDRESS($AI91,MATCH(E$1,INDIRECT("Table!A" &amp; $AM91):INDIRECT("Table!" &amp; $AP$112 &amp; $AM91),0)))))</f>
        <v>0.86579892723977991</v>
      </c>
      <c r="F91" s="24">
        <f ca="1">IF(ISERROR(MATCH(F$1,INDIRECT("Table!A"&amp;$AM91):INDIRECT("Table!" &amp; $AP$112 &amp; $AM91),0)),"",INDIRECT(CONCATENATE("Table!",ADDRESS($AI91,MATCH(F$1,INDIRECT("Table!A" &amp; $AM91):INDIRECT("Table!" &amp; $AP$112 &amp; $AM91),0)))))</f>
        <v>0.53530650791012524</v>
      </c>
      <c r="G91" s="24">
        <f ca="1">IF(ISERROR(MATCH(G$1,INDIRECT("Table!A"&amp;$AM91):INDIRECT("Table!" &amp; $AP$112 &amp; $AM91),0)),"",INDIRECT(CONCATENATE("Table!",ADDRESS($AI91,MATCH(G$1,INDIRECT("Table!A" &amp; $AM91):INDIRECT("Table!" &amp; $AP$112 &amp; $AM91),0)))))</f>
        <v>0.36941164895710349</v>
      </c>
      <c r="H91" s="24">
        <f ca="1">IF(ISERROR(MATCH(H$1,INDIRECT("Table!A"&amp;$AM91):INDIRECT("Table!" &amp; $AP$112 &amp; $AM91),0)),"",INDIRECT(CONCATENATE("Table!",ADDRESS($AI91,MATCH(H$1,INDIRECT("Table!A" &amp; $AM91):INDIRECT("Table!" &amp; $AP$112 &amp; $AM91),0)))))</f>
        <v>0.57789631407429876</v>
      </c>
      <c r="I91" s="273">
        <f ca="1">IF(ISERROR(MATCH(I$1,INDIRECT("Table!A"&amp;$AM91):INDIRECT("Table!" &amp; $AP$91 &amp; $AM91),0)),"",INDIRECT(CONCATENATE("Table!",ADDRESS($AI91,MATCH(I$1,INDIRECT("Table!A" &amp; $AM91):INDIRECT("Table!" &amp; $AP$91 &amp; $AM91),0)))))</f>
        <v>5.3298482218284315E-2</v>
      </c>
      <c r="J91" s="273" t="str">
        <f ca="1">IF(ISERROR(MATCH(J$1,INDIRECT("Table!A"&amp;$AM91):INDIRECT("Table!" &amp; $AP$91 &amp; $AM91),0)),"",INDIRECT(CONCATENATE("Table!",ADDRESS($AI91,MATCH(J$1,INDIRECT("Table!A" &amp; $AM91):INDIRECT("Table!" &amp; $AP$91 &amp; $AM91),0)))))</f>
        <v/>
      </c>
      <c r="K91" s="273" t="str">
        <f ca="1">IF(ISERROR(MATCH(K$1,INDIRECT("Table!A"&amp;$AM91):INDIRECT("Table!" &amp; $AP$91 &amp; $AM91),0)),"",INDIRECT(CONCATENATE("Table!",ADDRESS($AI91,MATCH(K$1,INDIRECT("Table!A" &amp; $AM91):INDIRECT("Table!" &amp; $AP$91 &amp; $AM91),0)))))</f>
        <v/>
      </c>
      <c r="L91" s="24">
        <f ca="1">IF(ISERROR(MATCH(L$1,INDIRECT("Table!A"&amp;$AM91):INDIRECT("Table!" &amp; $AP$91 &amp; $AM91),0)),"",INDIRECT(CONCATENATE("Table!",ADDRESS($AI91,MATCH(L$1,INDIRECT("Table!A" &amp; $AM91):INDIRECT("Table!" &amp; $AP$91 &amp; $AM91),0)))))</f>
        <v>0.80767871852124307</v>
      </c>
      <c r="M91" s="24">
        <f ca="1">IF(ISERROR(MATCH(M$1,INDIRECT("Table!A"&amp;$AM91):INDIRECT("Table!" &amp; $AP$91 &amp; $AM91),0)),"",INDIRECT(CONCATENATE("Table!",ADDRESS($AI91,MATCH(M$1,INDIRECT("Table!A" &amp; $AM91):INDIRECT("Table!" &amp; $AP$91 &amp; $AM91),0)))))</f>
        <v>0.46187076276638089</v>
      </c>
      <c r="N91" s="24">
        <f ca="1">IF(ISERROR(MATCH(N$1,INDIRECT("Table!A"&amp;$AM91):INDIRECT("Table!" &amp; $AP$91 &amp; $AM91),0)),"",INDIRECT(CONCATENATE("Table!",ADDRESS($AI91,MATCH(N$1,INDIRECT("Table!A" &amp; $AM91):INDIRECT("Table!" &amp; $AP$91 &amp; $AM91),0)))))</f>
        <v>0.55538444243245499</v>
      </c>
      <c r="O91" s="24">
        <f ca="1">IF(ISERROR(MATCH(O$1,INDIRECT("Table!A"&amp;$AM91):INDIRECT("Table!" &amp; $AP$91 &amp; $AM91),0)),"",INDIRECT(CONCATENATE("Table!",ADDRESS($AI91,MATCH(O$1,INDIRECT("Table!A" &amp; $AM91):INDIRECT("Table!" &amp; $AP$91 &amp; $AM91),0)))))</f>
        <v>0.77272163220530954</v>
      </c>
      <c r="P91" s="273">
        <f ca="1">IF(ISERROR(MATCH(P$1,INDIRECT("Table!A"&amp;$AM91):INDIRECT("Table!" &amp; $AP$91 &amp; $AM91),0)),"",INDIRECT(CONCATENATE("Table!",ADDRESS($AI91,MATCH(P$1,INDIRECT("Table!A" &amp; $AM91):INDIRECT("Table!" &amp; $AP$91 &amp; $AM91),0)))))</f>
        <v>5.4417803682606972E-2</v>
      </c>
      <c r="Q91" s="273" t="str">
        <f ca="1">IF(ISERROR(MATCH(Q$1,INDIRECT("Table!A"&amp;$AM91):INDIRECT("Table!" &amp; $AP$91 &amp; $AM91),0)),"",INDIRECT(CONCATENATE("Table!",ADDRESS($AI91,MATCH(Q$1,INDIRECT("Table!A" &amp; $AM91):INDIRECT("Table!" &amp; $AP$91 &amp; $AM91),0)))))</f>
        <v/>
      </c>
      <c r="R91" s="273" t="str">
        <f ca="1">IF(ISERROR(MATCH(R$1,INDIRECT("Table!A"&amp;$AM91):INDIRECT("Table!" &amp; $AP$91 &amp; $AM91),0)),"",INDIRECT(CONCATENATE("Table!",ADDRESS($AI91,MATCH(R$1,INDIRECT("Table!A" &amp; $AM91):INDIRECT("Table!" &amp; $AP$91 &amp; $AM91),0)))))</f>
        <v/>
      </c>
      <c r="S91" s="596" t="str">
        <f ca="1">IF(ISERROR(MATCH(S$1,INDIRECT("Table!A"&amp;$AM91):INDIRECT("Table!" &amp; $AP$91 &amp; $AM91),0)),"",INDIRECT(CONCATENATE("Table!",ADDRESS($AI91,MATCH(S$1,INDIRECT("Table!A" &amp; $AM91):INDIRECT("Table!" &amp; $AP$91 &amp; $AM91),0)))))</f>
        <v/>
      </c>
      <c r="T91" s="273">
        <f ca="1">IF(ISERROR(MATCH(T$1,INDIRECT("Table!A"&amp;$AM91):INDIRECT("Table!" &amp; $AP$91 &amp; $AM91),0)),"",INDIRECT(CONCATENATE("Table!",ADDRESS($AI91,MATCH(T$1,INDIRECT("Table!A" &amp; $AM91):INDIRECT("Table!" &amp; $AP$91 &amp; $AM91),0)))))</f>
        <v>9.0261555431317156E-2</v>
      </c>
      <c r="U91" s="596" t="str">
        <f ca="1">IF(ISERROR(MATCH(U$1,INDIRECT("Table!A"&amp;$AM91):INDIRECT("Table!" &amp; $AP$91 &amp; $AM91),0)),"",INDIRECT(CONCATENATE("Table!",ADDRESS($AI91,MATCH(U$1,INDIRECT("Table!A" &amp; $AM91):INDIRECT("Table!" &amp; $AP$91 &amp; $AM91),0)))))</f>
        <v/>
      </c>
      <c r="V91" s="596"/>
      <c r="W91" s="596"/>
      <c r="X91" s="596"/>
      <c r="Y91" s="596"/>
      <c r="Z91" s="596"/>
      <c r="AA91" s="596"/>
      <c r="AB91" s="596"/>
      <c r="AC91" s="596"/>
      <c r="AD91" s="596"/>
      <c r="AE91" s="596"/>
      <c r="AF91" s="596"/>
      <c r="AG91" s="596"/>
      <c r="AH91" s="596"/>
      <c r="AI91" s="22">
        <f>MATCH($A91,Table!$A:$A,0)+$AK$2-1</f>
        <v>1134</v>
      </c>
      <c r="AJ91" s="248"/>
      <c r="AK91" s="248"/>
      <c r="AL91" s="248"/>
      <c r="AM91" s="22">
        <f>MATCH($A91,Table!$A:$A,0)+$AO$2-1</f>
        <v>1131</v>
      </c>
      <c r="AN91" s="248"/>
      <c r="AP91" s="947" t="s">
        <v>302</v>
      </c>
    </row>
    <row r="92" spans="1:42" s="267" customFormat="1" ht="15.75" customHeight="1" x14ac:dyDescent="0.25">
      <c r="A92" s="268">
        <v>41355</v>
      </c>
      <c r="B92" s="273">
        <f ca="1">IF(ISERROR(MATCH(B$1,INDIRECT("Table!A"&amp;$AM92):INDIRECT("Table!" &amp; $AP$113 &amp; $AM92),0)),"",INDIRECT(CONCATENATE("Table!",ADDRESS($AI92,MATCH(B$1,INDIRECT("Table!A" &amp; $AM92):INDIRECT("Table!" &amp; $AP$112 &amp; $AM92),0)))))</f>
        <v>0.26990659185088167</v>
      </c>
      <c r="C92" s="273">
        <f ca="1">IF(ISERROR(MATCH(C$1,INDIRECT("Table!A"&amp;$AM92):INDIRECT("Table!" &amp; $AP$112 &amp; $AM92),0)),"",INDIRECT(CONCATENATE("Table!",ADDRESS($AI92,MATCH(C$1,INDIRECT("Table!A" &amp; $AM92):INDIRECT("Table!" &amp; $AP$112 &amp; $AM92),0)))))</f>
        <v>0.51455328942210721</v>
      </c>
      <c r="D92" s="273">
        <f ca="1">IF(ISERROR(MATCH(D$1,INDIRECT("Table!A"&amp;$AM92):INDIRECT("Table!" &amp; $AP$112 &amp; $AM92),0)),"",INDIRECT(CONCATENATE("Table!",ADDRESS($AI92,MATCH(D$1,INDIRECT("Table!A" &amp; $AM92):INDIRECT("Table!" &amp; $AP$112 &amp; $AM92),0)))))</f>
        <v>0.52393303560157811</v>
      </c>
      <c r="E92" s="273">
        <f ca="1">IF(ISERROR(MATCH(E$1,INDIRECT("Table!A"&amp;$AM92):INDIRECT("Table!" &amp; $AP$112 &amp; $AM92),0)),"",INDIRECT(CONCATENATE("Table!",ADDRESS($AI92,MATCH(E$1,INDIRECT("Table!A" &amp; $AM92):INDIRECT("Table!" &amp; $AP$112 &amp; $AM92),0)))))</f>
        <v>0.86513738078152602</v>
      </c>
      <c r="F92" s="273">
        <f ca="1">IF(ISERROR(MATCH(F$1,INDIRECT("Table!A"&amp;$AM92):INDIRECT("Table!" &amp; $AP$112 &amp; $AM92),0)),"",INDIRECT(CONCATENATE("Table!",ADDRESS($AI92,MATCH(F$1,INDIRECT("Table!A" &amp; $AM92):INDIRECT("Table!" &amp; $AP$112 &amp; $AM92),0)))))</f>
        <v>0.53301279823514303</v>
      </c>
      <c r="G92" s="273">
        <f ca="1">IF(ISERROR(MATCH(G$1,INDIRECT("Table!A"&amp;$AM92):INDIRECT("Table!" &amp; $AP$112 &amp; $AM92),0)),"",INDIRECT(CONCATENATE("Table!",ADDRESS($AI92,MATCH(G$1,INDIRECT("Table!A" &amp; $AM92):INDIRECT("Table!" &amp; $AP$112 &amp; $AM92),0)))))</f>
        <v>0.34652014652014651</v>
      </c>
      <c r="H92" s="273">
        <f ca="1">IF(ISERROR(MATCH(H$1,INDIRECT("Table!A"&amp;$AM92):INDIRECT("Table!" &amp; $AP$112 &amp; $AM92),0)),"",INDIRECT(CONCATENATE("Table!",ADDRESS($AI92,MATCH(H$1,INDIRECT("Table!A" &amp; $AM92):INDIRECT("Table!" &amp; $AP$112 &amp; $AM92),0)))))</f>
        <v>0.56124857621827096</v>
      </c>
      <c r="I92" s="273">
        <f ca="1">IF(ISERROR(MATCH(I$1,INDIRECT("Table!A"&amp;$AM92):INDIRECT("Table!" &amp; $AP$91 &amp; $AM92),0)),"",INDIRECT(CONCATENATE("Table!",ADDRESS($AI92,MATCH(I$1,INDIRECT("Table!A" &amp; $AM92):INDIRECT("Table!" &amp; $AP$91 &amp; $AM92),0)))))</f>
        <v>4.8819861041113841E-2</v>
      </c>
      <c r="J92" s="273" t="str">
        <f ca="1">IF(ISERROR(MATCH(J$1,INDIRECT("Table!A"&amp;$AM92):INDIRECT("Table!" &amp; $AP$91 &amp; $AM92),0)),"",INDIRECT(CONCATENATE("Table!",ADDRESS($AI92,MATCH(J$1,INDIRECT("Table!A" &amp; $AM92):INDIRECT("Table!" &amp; $AP$91 &amp; $AM92),0)))))</f>
        <v/>
      </c>
      <c r="K92" s="273" t="str">
        <f ca="1">IF(ISERROR(MATCH(K$1,INDIRECT("Table!A"&amp;$AM92):INDIRECT("Table!" &amp; $AP$91 &amp; $AM92),0)),"",INDIRECT(CONCATENATE("Table!",ADDRESS($AI92,MATCH(K$1,INDIRECT("Table!A" &amp; $AM92):INDIRECT("Table!" &amp; $AP$91 &amp; $AM92),0)))))</f>
        <v/>
      </c>
      <c r="L92" s="273">
        <f ca="1">IF(ISERROR(MATCH(L$1,INDIRECT("Table!A"&amp;$AM92):INDIRECT("Table!" &amp; $AP$91 &amp; $AM92),0)),"",INDIRECT(CONCATENATE("Table!",ADDRESS($AI92,MATCH(L$1,INDIRECT("Table!A" &amp; $AM92):INDIRECT("Table!" &amp; $AP$91 &amp; $AM92),0)))))</f>
        <v>0.80695913006988662</v>
      </c>
      <c r="M92" s="273">
        <f ca="1">IF(ISERROR(MATCH(M$1,INDIRECT("Table!A"&amp;$AM92):INDIRECT("Table!" &amp; $AP$91 &amp; $AM92),0)),"",INDIRECT(CONCATENATE("Table!",ADDRESS($AI92,MATCH(M$1,INDIRECT("Table!A" &amp; $AM92):INDIRECT("Table!" &amp; $AP$91 &amp; $AM92),0)))))</f>
        <v>0.42537473833024797</v>
      </c>
      <c r="N92" s="273">
        <f ca="1">IF(ISERROR(MATCH(N$1,INDIRECT("Table!A"&amp;$AM92):INDIRECT("Table!" &amp; $AP$91 &amp; $AM92),0)),"",INDIRECT(CONCATENATE("Table!",ADDRESS($AI92,MATCH(N$1,INDIRECT("Table!A" &amp; $AM92):INDIRECT("Table!" &amp; $AP$91 &amp; $AM92),0)))))</f>
        <v>0.5530792504922859</v>
      </c>
      <c r="O92" s="273">
        <f ca="1">IF(ISERROR(MATCH(O$1,INDIRECT("Table!A"&amp;$AM92):INDIRECT("Table!" &amp; $AP$91 &amp; $AM92),0)),"",INDIRECT(CONCATENATE("Table!",ADDRESS($AI92,MATCH(O$1,INDIRECT("Table!A" &amp; $AM92):INDIRECT("Table!" &amp; $AP$91 &amp; $AM92),0)))))</f>
        <v>0.75008371925406836</v>
      </c>
      <c r="P92" s="273">
        <f ca="1">IF(ISERROR(MATCH(P$1,INDIRECT("Table!A"&amp;$AM92):INDIRECT("Table!" &amp; $AP$91 &amp; $AM92),0)),"",INDIRECT(CONCATENATE("Table!",ADDRESS($AI92,MATCH(P$1,INDIRECT("Table!A" &amp; $AM92):INDIRECT("Table!" &amp; $AP$91 &amp; $AM92),0)))))</f>
        <v>4.9939185202133932E-2</v>
      </c>
      <c r="Q92" s="273" t="str">
        <f ca="1">IF(ISERROR(MATCH(Q$1,INDIRECT("Table!A"&amp;$AM92):INDIRECT("Table!" &amp; $AP$91 &amp; $AM92),0)),"",INDIRECT(CONCATENATE("Table!",ADDRESS($AI92,MATCH(Q$1,INDIRECT("Table!A" &amp; $AM92):INDIRECT("Table!" &amp; $AP$91 &amp; $AM92),0)))))</f>
        <v/>
      </c>
      <c r="R92" s="273" t="str">
        <f ca="1">IF(ISERROR(MATCH(R$1,INDIRECT("Table!A"&amp;$AM92):INDIRECT("Table!" &amp; $AP$91 &amp; $AM92),0)),"",INDIRECT(CONCATENATE("Table!",ADDRESS($AI92,MATCH(R$1,INDIRECT("Table!A" &amp; $AM92):INDIRECT("Table!" &amp; $AP$91 &amp; $AM92),0)))))</f>
        <v/>
      </c>
      <c r="S92" s="596" t="str">
        <f ca="1">IF(ISERROR(MATCH(S$1,INDIRECT("Table!A"&amp;$AM92):INDIRECT("Table!" &amp; $AP$91 &amp; $AM92),0)),"",INDIRECT(CONCATENATE("Table!",ADDRESS($AI92,MATCH(S$1,INDIRECT("Table!A" &amp; $AM92):INDIRECT("Table!" &amp; $AP$91 &amp; $AM92),0)))))</f>
        <v/>
      </c>
      <c r="T92" s="273">
        <f ca="1">IF(ISERROR(MATCH(T$1,INDIRECT("Table!A"&amp;$AM92):INDIRECT("Table!" &amp; $AP$91 &amp; $AM92),0)),"",INDIRECT(CONCATENATE("Table!",ADDRESS($AI92,MATCH(T$1,INDIRECT("Table!A" &amp; $AM92):INDIRECT("Table!" &amp; $AP$91 &amp; $AM92),0)))))</f>
        <v>7.1899789969930947E-2</v>
      </c>
      <c r="U92" s="596" t="str">
        <f ca="1">IF(ISERROR(MATCH(U$1,INDIRECT("Table!A"&amp;$AM92):INDIRECT("Table!" &amp; $AP$91 &amp; $AM92),0)),"",INDIRECT(CONCATENATE("Table!",ADDRESS($AI92,MATCH(U$1,INDIRECT("Table!A" &amp; $AM92):INDIRECT("Table!" &amp; $AP$91 &amp; $AM92),0)))))</f>
        <v/>
      </c>
      <c r="V92" s="596"/>
      <c r="W92" s="596"/>
      <c r="X92" s="596"/>
      <c r="Y92" s="596"/>
      <c r="Z92" s="596"/>
      <c r="AA92" s="596"/>
      <c r="AB92" s="596"/>
      <c r="AC92" s="596"/>
      <c r="AD92" s="596"/>
      <c r="AE92" s="596"/>
      <c r="AF92" s="596"/>
      <c r="AG92" s="596"/>
      <c r="AH92" s="596"/>
      <c r="AI92" s="272">
        <f>MATCH($A92,Table!$A:$A,0)+$AK$2-1</f>
        <v>1146</v>
      </c>
      <c r="AJ92" s="353"/>
      <c r="AK92" s="353"/>
      <c r="AL92" s="353"/>
      <c r="AM92" s="272">
        <f>MATCH($A92,Table!$A:$A,0)+$AO$2-1</f>
        <v>1143</v>
      </c>
      <c r="AN92" s="353"/>
      <c r="AP92" s="947" t="s">
        <v>302</v>
      </c>
    </row>
    <row r="93" spans="1:42" s="267" customFormat="1" ht="15.75" customHeight="1" x14ac:dyDescent="0.25">
      <c r="A93" s="268">
        <v>41353</v>
      </c>
      <c r="B93" s="273">
        <f ca="1">IF(ISERROR(MATCH(B$1,INDIRECT("Table!A"&amp;$AM93):INDIRECT("Table!" &amp; $AP$113 &amp; $AM93),0)),"",INDIRECT(CONCATENATE("Table!",ADDRESS($AI93,MATCH(B$1,INDIRECT("Table!A" &amp; $AM93):INDIRECT("Table!" &amp; $AP$112 &amp; $AM93),0)))))</f>
        <v>0.27305948301232558</v>
      </c>
      <c r="C93" s="273">
        <f ca="1">IF(ISERROR(MATCH(C$1,INDIRECT("Table!A"&amp;$AM93):INDIRECT("Table!" &amp; $AP$112 &amp; $AM93),0)),"",INDIRECT(CONCATENATE("Table!",ADDRESS($AI93,MATCH(C$1,INDIRECT("Table!A" &amp; $AM93):INDIRECT("Table!" &amp; $AP$112 &amp; $AM93),0)))))</f>
        <v>0.51443702255842905</v>
      </c>
      <c r="D93" s="273">
        <f ca="1">IF(ISERROR(MATCH(D$1,INDIRECT("Table!A"&amp;$AM93):INDIRECT("Table!" &amp; $AP$112 &amp; $AM93),0)),"",INDIRECT(CONCATENATE("Table!",ADDRESS($AI93,MATCH(D$1,INDIRECT("Table!A" &amp; $AM93):INDIRECT("Table!" &amp; $AP$112 &amp; $AM93),0)))))</f>
        <v>0.52381676873789995</v>
      </c>
      <c r="E93" s="273">
        <f ca="1">IF(ISERROR(MATCH(E$1,INDIRECT("Table!A"&amp;$AM93):INDIRECT("Table!" &amp; $AP$112 &amp; $AM93),0)),"",INDIRECT(CONCATENATE("Table!",ADDRESS($AI93,MATCH(E$1,INDIRECT("Table!A" &amp; $AM93):INDIRECT("Table!" &amp; $AP$112 &amp; $AM93),0)))))</f>
        <v>0.86459671490534518</v>
      </c>
      <c r="F93" s="273">
        <f ca="1">IF(ISERROR(MATCH(F$1,INDIRECT("Table!A"&amp;$AM93):INDIRECT("Table!" &amp; $AP$112 &amp; $AM93),0)),"",INDIRECT(CONCATENATE("Table!",ADDRESS($AI93,MATCH(F$1,INDIRECT("Table!A" &amp; $AM93):INDIRECT("Table!" &amp; $AP$112 &amp; $AM93),0)))))</f>
        <v>0.53143591060878492</v>
      </c>
      <c r="G93" s="273">
        <f ca="1">IF(ISERROR(MATCH(G$1,INDIRECT("Table!A"&amp;$AM93):INDIRECT("Table!" &amp; $AP$112 &amp; $AM93),0)),"",INDIRECT(CONCATENATE("Table!",ADDRESS($AI93,MATCH(G$1,INDIRECT("Table!A" &amp; $AM93):INDIRECT("Table!" &amp; $AP$112 &amp; $AM93),0)))))</f>
        <v>0.3491236036690582</v>
      </c>
      <c r="H93" s="273">
        <f ca="1">IF(ISERROR(MATCH(H$1,INDIRECT("Table!A"&amp;$AM93):INDIRECT("Table!" &amp; $AP$112 &amp; $AM93),0)),"",INDIRECT(CONCATENATE("Table!",ADDRESS($AI93,MATCH(H$1,INDIRECT("Table!A" &amp; $AM93):INDIRECT("Table!" &amp; $AP$112 &amp; $AM93),0)))))</f>
        <v>0.56103758454090347</v>
      </c>
      <c r="I93" s="273">
        <f ca="1">IF(ISERROR(MATCH(I$1,INDIRECT("Table!A"&amp;$AM93):INDIRECT("Table!" &amp; $AP$91 &amp; $AM93),0)),"",INDIRECT(CONCATENATE("Table!",ADDRESS($AI93,MATCH(I$1,INDIRECT("Table!A" &amp; $AM93):INDIRECT("Table!" &amp; $AP$91 &amp; $AM93),0)))))</f>
        <v>4.8803603610113086E-2</v>
      </c>
      <c r="J93" s="273" t="str">
        <f ca="1">IF(ISERROR(MATCH(J$1,INDIRECT("Table!A"&amp;$AM93):INDIRECT("Table!" &amp; $AP$91 &amp; $AM93),0)),"",INDIRECT(CONCATENATE("Table!",ADDRESS($AI93,MATCH(J$1,INDIRECT("Table!A" &amp; $AM93):INDIRECT("Table!" &amp; $AP$91 &amp; $AM93),0)))))</f>
        <v/>
      </c>
      <c r="K93" s="273" t="str">
        <f ca="1">IF(ISERROR(MATCH(K$1,INDIRECT("Table!A"&amp;$AM93):INDIRECT("Table!" &amp; $AP$91 &amp; $AM93),0)),"",INDIRECT(CONCATENATE("Table!",ADDRESS($AI93,MATCH(K$1,INDIRECT("Table!A" &amp; $AM93):INDIRECT("Table!" &amp; $AP$91 &amp; $AM93),0)))))</f>
        <v/>
      </c>
      <c r="L93" s="273">
        <f ca="1">IF(ISERROR(MATCH(L$1,INDIRECT("Table!A"&amp;$AM93):INDIRECT("Table!" &amp; $AP$91 &amp; $AM93),0)),"",INDIRECT(CONCATENATE("Table!",ADDRESS($AI93,MATCH(L$1,INDIRECT("Table!A" &amp; $AM93):INDIRECT("Table!" &amp; $AP$91 &amp; $AM93),0)))))</f>
        <v>0.80678350697052748</v>
      </c>
      <c r="M93" s="273">
        <f ca="1">IF(ISERROR(MATCH(M$1,INDIRECT("Table!A"&amp;$AM93):INDIRECT("Table!" &amp; $AP$91 &amp; $AM93),0)),"",INDIRECT(CONCATENATE("Table!",ADDRESS($AI93,MATCH(M$1,INDIRECT("Table!A" &amp; $AM93):INDIRECT("Table!" &amp; $AP$91 &amp; $AM93),0)))))</f>
        <v>0.44071694863174909</v>
      </c>
      <c r="N93" s="273">
        <f ca="1">IF(ISERROR(MATCH(N$1,INDIRECT("Table!A"&amp;$AM93):INDIRECT("Table!" &amp; $AP$91 &amp; $AM93),0)),"",INDIRECT(CONCATENATE("Table!",ADDRESS($AI93,MATCH(N$1,INDIRECT("Table!A" &amp; $AM93):INDIRECT("Table!" &amp; $AP$91 &amp; $AM93),0)))))</f>
        <v>0.55182451046402414</v>
      </c>
      <c r="O93" s="273">
        <f ca="1">IF(ISERROR(MATCH(O$1,INDIRECT("Table!A"&amp;$AM93):INDIRECT("Table!" &amp; $AP$91 &amp; $AM93),0)),"",INDIRECT(CONCATENATE("Table!",ADDRESS($AI93,MATCH(O$1,INDIRECT("Table!A" &amp; $AM93):INDIRECT("Table!" &amp; $AP$91 &amp; $AM93),0)))))</f>
        <v>0.74971881096560733</v>
      </c>
      <c r="P93" s="273">
        <f ca="1">IF(ISERROR(MATCH(P$1,INDIRECT("Table!A"&amp;$AM93):INDIRECT("Table!" &amp; $AP$91 &amp; $AM93),0)),"",INDIRECT(CONCATENATE("Table!",ADDRESS($AI93,MATCH(P$1,INDIRECT("Table!A" &amp; $AM93):INDIRECT("Table!" &amp; $AP$91 &amp; $AM93),0)))))</f>
        <v>4.9919917147364497E-2</v>
      </c>
      <c r="Q93" s="273" t="str">
        <f ca="1">IF(ISERROR(MATCH(Q$1,INDIRECT("Table!A"&amp;$AM93):INDIRECT("Table!" &amp; $AP$91 &amp; $AM93),0)),"",INDIRECT(CONCATENATE("Table!",ADDRESS($AI93,MATCH(Q$1,INDIRECT("Table!A" &amp; $AM93):INDIRECT("Table!" &amp; $AP$91 &amp; $AM93),0)))))</f>
        <v/>
      </c>
      <c r="R93" s="273" t="str">
        <f ca="1">IF(ISERROR(MATCH(R$1,INDIRECT("Table!A"&amp;$AM93):INDIRECT("Table!" &amp; $AP$91 &amp; $AM93),0)),"",INDIRECT(CONCATENATE("Table!",ADDRESS($AI93,MATCH(R$1,INDIRECT("Table!A" &amp; $AM93):INDIRECT("Table!" &amp; $AP$91 &amp; $AM93),0)))))</f>
        <v/>
      </c>
      <c r="S93" s="596" t="str">
        <f ca="1">IF(ISERROR(MATCH(S$1,INDIRECT("Table!A"&amp;$AM93):INDIRECT("Table!" &amp; $AP$91 &amp; $AM93),0)),"",INDIRECT(CONCATENATE("Table!",ADDRESS($AI93,MATCH(S$1,INDIRECT("Table!A" &amp; $AM93):INDIRECT("Table!" &amp; $AP$91 &amp; $AM93),0)))))</f>
        <v/>
      </c>
      <c r="T93" s="273">
        <f ca="1">IF(ISERROR(MATCH(T$1,INDIRECT("Table!A"&amp;$AM93):INDIRECT("Table!" &amp; $AP$91 &amp; $AM93),0)),"",INDIRECT(CONCATENATE("Table!",ADDRESS($AI93,MATCH(T$1,INDIRECT("Table!A" &amp; $AM93):INDIRECT("Table!" &amp; $AP$91 &amp; $AM93),0)))))</f>
        <v>7.1286320847373116E-2</v>
      </c>
      <c r="U93" s="596" t="str">
        <f ca="1">IF(ISERROR(MATCH(U$1,INDIRECT("Table!A"&amp;$AM93):INDIRECT("Table!" &amp; $AP$91 &amp; $AM93),0)),"",INDIRECT(CONCATENATE("Table!",ADDRESS($AI93,MATCH(U$1,INDIRECT("Table!A" &amp; $AM93):INDIRECT("Table!" &amp; $AP$91 &amp; $AM93),0)))))</f>
        <v/>
      </c>
      <c r="V93" s="596"/>
      <c r="W93" s="596"/>
      <c r="X93" s="596"/>
      <c r="Y93" s="596"/>
      <c r="Z93" s="596"/>
      <c r="AA93" s="596"/>
      <c r="AB93" s="596"/>
      <c r="AC93" s="596"/>
      <c r="AD93" s="596"/>
      <c r="AE93" s="596"/>
      <c r="AF93" s="596"/>
      <c r="AG93" s="596"/>
      <c r="AH93" s="596"/>
      <c r="AI93" s="272">
        <f>MATCH($A93,Table!$A:$A,0)+$AK$2-1</f>
        <v>1158</v>
      </c>
      <c r="AJ93" s="352"/>
      <c r="AK93" s="352"/>
      <c r="AL93" s="352"/>
      <c r="AM93" s="272">
        <f>MATCH($A93,Table!$A:$A,0)+$AO$2-1</f>
        <v>1155</v>
      </c>
      <c r="AN93" s="352"/>
      <c r="AP93" s="947" t="s">
        <v>302</v>
      </c>
    </row>
    <row r="94" spans="1:42" s="267" customFormat="1" ht="15.75" customHeight="1" x14ac:dyDescent="0.25">
      <c r="A94" s="268">
        <v>41351</v>
      </c>
      <c r="B94" s="273">
        <f ca="1">IF(ISERROR(MATCH(B$1,INDIRECT("Table!A"&amp;$AM94):INDIRECT("Table!" &amp; $AP$113 &amp; $AM94),0)),"",INDIRECT(CONCATENATE("Table!",ADDRESS($AI94,MATCH(B$1,INDIRECT("Table!A" &amp; $AM94):INDIRECT("Table!" &amp; $AP$112 &amp; $AM94),0)))))</f>
        <v>0.27586646972429457</v>
      </c>
      <c r="C94" s="273">
        <f ca="1">IF(ISERROR(MATCH(C$1,INDIRECT("Table!A"&amp;$AM94):INDIRECT("Table!" &amp; $AP$112 &amp; $AM94),0)),"",INDIRECT(CONCATENATE("Table!",ADDRESS($AI94,MATCH(C$1,INDIRECT("Table!A" &amp; $AM94):INDIRECT("Table!" &amp; $AP$112 &amp; $AM94),0)))))</f>
        <v>0.51431809816643836</v>
      </c>
      <c r="D94" s="273">
        <f ca="1">IF(ISERROR(MATCH(D$1,INDIRECT("Table!A"&amp;$AM94):INDIRECT("Table!" &amp; $AP$112 &amp; $AM94),0)),"",INDIRECT(CONCATENATE("Table!",ADDRESS($AI94,MATCH(D$1,INDIRECT("Table!A" &amp; $AM94):INDIRECT("Table!" &amp; $AP$112 &amp; $AM94),0)))))</f>
        <v>0.5236985087279874</v>
      </c>
      <c r="E94" s="273">
        <f ca="1">IF(ISERROR(MATCH(E$1,INDIRECT("Table!A"&amp;$AM94):INDIRECT("Table!" &amp; $AP$112 &amp; $AM94),0)),"",INDIRECT(CONCATENATE("Table!",ADDRESS($AI94,MATCH(E$1,INDIRECT("Table!A" &amp; $AM94):INDIRECT("Table!" &amp; $AP$112 &amp; $AM94),0)))))</f>
        <v>0.86085491143299542</v>
      </c>
      <c r="F94" s="273">
        <f ca="1">IF(ISERROR(MATCH(F$1,INDIRECT("Table!A"&amp;$AM94):INDIRECT("Table!" &amp; $AP$112 &amp; $AM94),0)),"",INDIRECT(CONCATENATE("Table!",ADDRESS($AI94,MATCH(F$1,INDIRECT("Table!A" &amp; $AM94):INDIRECT("Table!" &amp; $AP$112 &amp; $AM94),0)))))</f>
        <v>0.53057886704643331</v>
      </c>
      <c r="G94" s="273">
        <f ca="1">IF(ISERROR(MATCH(G$1,INDIRECT("Table!A"&amp;$AM94):INDIRECT("Table!" &amp; $AP$112 &amp; $AM94),0)),"",INDIRECT(CONCATENATE("Table!",ADDRESS($AI94,MATCH(G$1,INDIRECT("Table!A" &amp; $AM94):INDIRECT("Table!" &amp; $AP$112 &amp; $AM94),0)))))</f>
        <v>0.35431992250174066</v>
      </c>
      <c r="H94" s="273">
        <f ca="1">IF(ISERROR(MATCH(H$1,INDIRECT("Table!A"&amp;$AM94):INDIRECT("Table!" &amp; $AP$112 &amp; $AM94),0)),"",INDIRECT(CONCATENATE("Table!",ADDRESS($AI94,MATCH(H$1,INDIRECT("Table!A" &amp; $AM94):INDIRECT("Table!" &amp; $AP$112 &amp; $AM94),0)))))</f>
        <v>0.56082082355985807</v>
      </c>
      <c r="I94" s="273">
        <f ca="1">IF(ISERROR(MATCH(I$1,INDIRECT("Table!A"&amp;$AM94):INDIRECT("Table!" &amp; $AP$91 &amp; $AM94),0)),"",INDIRECT(CONCATENATE("Table!",ADDRESS($AI94,MATCH(I$1,INDIRECT("Table!A" &amp; $AM94):INDIRECT("Table!" &amp; $AP$91 &amp; $AM94),0)))))</f>
        <v>4.8787948306186435E-2</v>
      </c>
      <c r="J94" s="273" t="str">
        <f ca="1">IF(ISERROR(MATCH(J$1,INDIRECT("Table!A"&amp;$AM94):INDIRECT("Table!" &amp; $AP$91 &amp; $AM94),0)),"",INDIRECT(CONCATENATE("Table!",ADDRESS($AI94,MATCH(J$1,INDIRECT("Table!A" &amp; $AM94):INDIRECT("Table!" &amp; $AP$91 &amp; $AM94),0)))))</f>
        <v/>
      </c>
      <c r="K94" s="273" t="str">
        <f ca="1">IF(ISERROR(MATCH(K$1,INDIRECT("Table!A"&amp;$AM94):INDIRECT("Table!" &amp; $AP$91 &amp; $AM94),0)),"",INDIRECT(CONCATENATE("Table!",ADDRESS($AI94,MATCH(K$1,INDIRECT("Table!A" &amp; $AM94):INDIRECT("Table!" &amp; $AP$91 &amp; $AM94),0)))))</f>
        <v/>
      </c>
      <c r="L94" s="273">
        <f ca="1">IF(ISERROR(MATCH(L$1,INDIRECT("Table!A"&amp;$AM94):INDIRECT("Table!" &amp; $AP$91 &amp; $AM94),0)),"",INDIRECT(CONCATENATE("Table!",ADDRESS($AI94,MATCH(L$1,INDIRECT("Table!A" &amp; $AM94):INDIRECT("Table!" &amp; $AP$91 &amp; $AM94),0)))))</f>
        <v>0.80660322131100837</v>
      </c>
      <c r="M94" s="273">
        <f ca="1">IF(ISERROR(MATCH(M$1,INDIRECT("Table!A"&amp;$AM94):INDIRECT("Table!" &amp; $AP$91 &amp; $AM94),0)),"",INDIRECT(CONCATENATE("Table!",ADDRESS($AI94,MATCH(M$1,INDIRECT("Table!A" &amp; $AM94):INDIRECT("Table!" &amp; $AP$91 &amp; $AM94),0)))))</f>
        <v>0.44094929169422742</v>
      </c>
      <c r="N94" s="273">
        <f ca="1">IF(ISERROR(MATCH(N$1,INDIRECT("Table!A"&amp;$AM94):INDIRECT("Table!" &amp; $AP$91 &amp; $AM94),0)),"",INDIRECT(CONCATENATE("Table!",ADDRESS($AI94,MATCH(N$1,INDIRECT("Table!A" &amp; $AM94):INDIRECT("Table!" &amp; $AP$91 &amp; $AM94),0)))))</f>
        <v>0.54108064787135401</v>
      </c>
      <c r="O94" s="273">
        <f ca="1">IF(ISERROR(MATCH(O$1,INDIRECT("Table!A"&amp;$AM94):INDIRECT("Table!" &amp; $AP$91 &amp; $AM94),0)),"",INDIRECT(CONCATENATE("Table!",ADDRESS($AI94,MATCH(O$1,INDIRECT("Table!A" &amp; $AM94):INDIRECT("Table!" &amp; $AP$91 &amp; $AM94),0)))))</f>
        <v>0.74945759556035796</v>
      </c>
      <c r="P94" s="273">
        <f ca="1">IF(ISERROR(MATCH(P$1,INDIRECT("Table!A"&amp;$AM94):INDIRECT("Table!" &amp; $AP$91 &amp; $AM94),0)),"",INDIRECT(CONCATENATE("Table!",ADDRESS($AI94,MATCH(P$1,INDIRECT("Table!A" &amp; $AM94):INDIRECT("Table!" &amp; $AP$91 &amp; $AM94),0)))))</f>
        <v>4.9898240585748863E-2</v>
      </c>
      <c r="Q94" s="273" t="str">
        <f ca="1">IF(ISERROR(MATCH(Q$1,INDIRECT("Table!A"&amp;$AM94):INDIRECT("Table!" &amp; $AP$91 &amp; $AM94),0)),"",INDIRECT(CONCATENATE("Table!",ADDRESS($AI94,MATCH(Q$1,INDIRECT("Table!A" &amp; $AM94):INDIRECT("Table!" &amp; $AP$91 &amp; $AM94),0)))))</f>
        <v/>
      </c>
      <c r="R94" s="273" t="str">
        <f ca="1">IF(ISERROR(MATCH(R$1,INDIRECT("Table!A"&amp;$AM94):INDIRECT("Table!" &amp; $AP$91 &amp; $AM94),0)),"",INDIRECT(CONCATENATE("Table!",ADDRESS($AI94,MATCH(R$1,INDIRECT("Table!A" &amp; $AM94):INDIRECT("Table!" &amp; $AP$91 &amp; $AM94),0)))))</f>
        <v/>
      </c>
      <c r="S94" s="596" t="str">
        <f ca="1">IF(ISERROR(MATCH(S$1,INDIRECT("Table!A"&amp;$AM94):INDIRECT("Table!" &amp; $AP$91 &amp; $AM94),0)),"",INDIRECT(CONCATENATE("Table!",ADDRESS($AI94,MATCH(S$1,INDIRECT("Table!A" &amp; $AM94):INDIRECT("Table!" &amp; $AP$91 &amp; $AM94),0)))))</f>
        <v/>
      </c>
      <c r="T94" s="273">
        <f ca="1">IF(ISERROR(MATCH(T$1,INDIRECT("Table!A"&amp;$AM94):INDIRECT("Table!" &amp; $AP$91 &amp; $AM94),0)),"",INDIRECT(CONCATENATE("Table!",ADDRESS($AI94,MATCH(T$1,INDIRECT("Table!A" &amp; $AM94):INDIRECT("Table!" &amp; $AP$91 &amp; $AM94),0)))))</f>
        <v>7.1126154032124023E-2</v>
      </c>
      <c r="U94" s="596" t="str">
        <f ca="1">IF(ISERROR(MATCH(U$1,INDIRECT("Table!A"&amp;$AM94):INDIRECT("Table!" &amp; $AP$91 &amp; $AM94),0)),"",INDIRECT(CONCATENATE("Table!",ADDRESS($AI94,MATCH(U$1,INDIRECT("Table!A" &amp; $AM94):INDIRECT("Table!" &amp; $AP$91 &amp; $AM94),0)))))</f>
        <v/>
      </c>
      <c r="V94" s="596"/>
      <c r="W94" s="596"/>
      <c r="X94" s="596"/>
      <c r="Y94" s="596"/>
      <c r="Z94" s="596"/>
      <c r="AA94" s="596"/>
      <c r="AB94" s="596"/>
      <c r="AC94" s="596"/>
      <c r="AD94" s="596"/>
      <c r="AE94" s="596"/>
      <c r="AF94" s="596"/>
      <c r="AG94" s="596"/>
      <c r="AH94" s="596"/>
      <c r="AI94" s="272">
        <f>MATCH($A94,Table!$A:$A,0)+$AK$2-1</f>
        <v>1170</v>
      </c>
      <c r="AJ94" s="351"/>
      <c r="AK94" s="351"/>
      <c r="AL94" s="351"/>
      <c r="AM94" s="272">
        <f>MATCH($A94,Table!$A:$A,0)+$AO$2-1</f>
        <v>1167</v>
      </c>
      <c r="AN94" s="351"/>
      <c r="AP94" s="947" t="s">
        <v>302</v>
      </c>
    </row>
    <row r="95" spans="1:42" s="267" customFormat="1" ht="15.75" customHeight="1" x14ac:dyDescent="0.25">
      <c r="A95" s="268">
        <v>41347</v>
      </c>
      <c r="B95" s="273">
        <f ca="1">IF(ISERROR(MATCH(B$1,INDIRECT("Table!A"&amp;$AM95):INDIRECT("Table!" &amp; $AP$113 &amp; $AM95),0)),"",INDIRECT(CONCATENATE("Table!",ADDRESS($AI95,MATCH(B$1,INDIRECT("Table!A" &amp; $AM95):INDIRECT("Table!" &amp; $AP$112 &amp; $AM95),0)))))</f>
        <v>0.2823214930798188</v>
      </c>
      <c r="C95" s="273">
        <f ca="1">IF(ISERROR(MATCH(C$1,INDIRECT("Table!A"&amp;$AM95):INDIRECT("Table!" &amp; $AP$112 &amp; $AM95),0)),"",INDIRECT(CONCATENATE("Table!",ADDRESS($AI95,MATCH(C$1,INDIRECT("Table!A" &amp; $AM95):INDIRECT("Table!" &amp; $AP$112 &amp; $AM95),0)))))</f>
        <v>0.51316805278914235</v>
      </c>
      <c r="D95" s="273">
        <f ca="1">IF(ISERROR(MATCH(D$1,INDIRECT("Table!A"&amp;$AM95):INDIRECT("Table!" &amp; $AP$112 &amp; $AM95),0)),"",INDIRECT(CONCATENATE("Table!",ADDRESS($AI95,MATCH(D$1,INDIRECT("Table!A" &amp; $AM95):INDIRECT("Table!" &amp; $AP$112 &amp; $AM95),0)))))</f>
        <v>0.52229599816099048</v>
      </c>
      <c r="E95" s="273">
        <f ca="1">IF(ISERROR(MATCH(E$1,INDIRECT("Table!A"&amp;$AM95):INDIRECT("Table!" &amp; $AP$112 &amp; $AM95),0)),"",INDIRECT(CONCATENATE("Table!",ADDRESS($AI95,MATCH(E$1,INDIRECT("Table!A" &amp; $AM95):INDIRECT("Table!" &amp; $AP$112 &amp; $AM95),0)))))</f>
        <v>0.8597735796806335</v>
      </c>
      <c r="F95" s="273">
        <f ca="1">IF(ISERROR(MATCH(F$1,INDIRECT("Table!A"&amp;$AM95):INDIRECT("Table!" &amp; $AP$112 &amp; $AM95),0)),"",INDIRECT(CONCATENATE("Table!",ADDRESS($AI95,MATCH(F$1,INDIRECT("Table!A" &amp; $AM95):INDIRECT("Table!" &amp; $AP$112 &amp; $AM95),0)))))</f>
        <v>0.51726447167616085</v>
      </c>
      <c r="G95" s="273">
        <f ca="1">IF(ISERROR(MATCH(G$1,INDIRECT("Table!A"&amp;$AM95):INDIRECT("Table!" &amp; $AP$112 &amp; $AM95),0)),"",INDIRECT(CONCATENATE("Table!",ADDRESS($AI95,MATCH(G$1,INDIRECT("Table!A" &amp; $AM95):INDIRECT("Table!" &amp; $AP$112 &amp; $AM95),0)))))</f>
        <v>0.34593285502376414</v>
      </c>
      <c r="H95" s="273">
        <f ca="1">IF(ISERROR(MATCH(H$1,INDIRECT("Table!A"&amp;$AM95):INDIRECT("Table!" &amp; $AP$112 &amp; $AM95),0)),"",INDIRECT(CONCATENATE("Table!",ADDRESS($AI95,MATCH(H$1,INDIRECT("Table!A" &amp; $AM95):INDIRECT("Table!" &amp; $AP$112 &amp; $AM95),0)))))</f>
        <v>0.55905788919310517</v>
      </c>
      <c r="I95" s="273">
        <f ca="1">IF(ISERROR(MATCH(I$1,INDIRECT("Table!A"&amp;$AM95):INDIRECT("Table!" &amp; $AP$91 &amp; $AM95),0)),"",INDIRECT(CONCATENATE("Table!",ADDRESS($AI95,MATCH(I$1,INDIRECT("Table!A" &amp; $AM95):INDIRECT("Table!" &amp; $AP$91 &amp; $AM95),0)))))</f>
        <v>4.5898942604645172E-2</v>
      </c>
      <c r="J95" s="273" t="str">
        <f ca="1">IF(ISERROR(MATCH(J$1,INDIRECT("Table!A"&amp;$AM95):INDIRECT("Table!" &amp; $AP$91 &amp; $AM95),0)),"",INDIRECT(CONCATENATE("Table!",ADDRESS($AI95,MATCH(J$1,INDIRECT("Table!A" &amp; $AM95):INDIRECT("Table!" &amp; $AP$91 &amp; $AM95),0)))))</f>
        <v/>
      </c>
      <c r="K95" s="273" t="str">
        <f ca="1">IF(ISERROR(MATCH(K$1,INDIRECT("Table!A"&amp;$AM95):INDIRECT("Table!" &amp; $AP$91 &amp; $AM95),0)),"",INDIRECT(CONCATENATE("Table!",ADDRESS($AI95,MATCH(K$1,INDIRECT("Table!A" &amp; $AM95):INDIRECT("Table!" &amp; $AP$91 &amp; $AM95),0)))))</f>
        <v/>
      </c>
      <c r="L95" s="273">
        <f ca="1">IF(ISERROR(MATCH(L$1,INDIRECT("Table!A"&amp;$AM95):INDIRECT("Table!" &amp; $AP$91 &amp; $AM95),0)),"",INDIRECT(CONCATENATE("Table!",ADDRESS($AI95,MATCH(L$1,INDIRECT("Table!A" &amp; $AM95):INDIRECT("Table!" &amp; $AP$91 &amp; $AM95),0)))))</f>
        <v>0.80487600180285657</v>
      </c>
      <c r="M95" s="273">
        <f ca="1">IF(ISERROR(MATCH(M$1,INDIRECT("Table!A"&amp;$AM95):INDIRECT("Table!" &amp; $AP$91 &amp; $AM95),0)),"",INDIRECT(CONCATENATE("Table!",ADDRESS($AI95,MATCH(M$1,INDIRECT("Table!A" &amp; $AM95):INDIRECT("Table!" &amp; $AP$91 &amp; $AM95),0)))))</f>
        <v>0.4174387469519163</v>
      </c>
      <c r="N95" s="273">
        <f ca="1">IF(ISERROR(MATCH(N$1,INDIRECT("Table!A"&amp;$AM95):INDIRECT("Table!" &amp; $AP$91 &amp; $AM95),0)),"",INDIRECT(CONCATENATE("Table!",ADDRESS($AI95,MATCH(N$1,INDIRECT("Table!A" &amp; $AM95):INDIRECT("Table!" &amp; $AP$91 &amp; $AM95),0)))))</f>
        <v>0.54108064787135401</v>
      </c>
      <c r="O95" s="273">
        <f ca="1">IF(ISERROR(MATCH(O$1,INDIRECT("Table!A"&amp;$AM95):INDIRECT("Table!" &amp; $AP$91 &amp; $AM95),0)),"",INDIRECT(CONCATENATE("Table!",ADDRESS($AI95,MATCH(O$1,INDIRECT("Table!A" &amp; $AM95):INDIRECT("Table!" &amp; $AP$91 &amp; $AM95),0)))))</f>
        <v>0.7472341481629643</v>
      </c>
      <c r="P95" s="273">
        <f ca="1">IF(ISERROR(MATCH(P$1,INDIRECT("Table!A"&amp;$AM95):INDIRECT("Table!" &amp; $AP$91 &amp; $AM95),0)),"",INDIRECT(CONCATENATE("Table!",ADDRESS($AI95,MATCH(P$1,INDIRECT("Table!A" &amp; $AM95):INDIRECT("Table!" &amp; $AP$91 &amp; $AM95),0)))))</f>
        <v>4.7003215356639649E-2</v>
      </c>
      <c r="Q95" s="273" t="str">
        <f ca="1">IF(ISERROR(MATCH(Q$1,INDIRECT("Table!A"&amp;$AM95):INDIRECT("Table!" &amp; $AP$91 &amp; $AM95),0)),"",INDIRECT(CONCATENATE("Table!",ADDRESS($AI95,MATCH(Q$1,INDIRECT("Table!A" &amp; $AM95):INDIRECT("Table!" &amp; $AP$91 &amp; $AM95),0)))))</f>
        <v/>
      </c>
      <c r="R95" s="273" t="str">
        <f ca="1">IF(ISERROR(MATCH(R$1,INDIRECT("Table!A"&amp;$AM95):INDIRECT("Table!" &amp; $AP$91 &amp; $AM95),0)),"",INDIRECT(CONCATENATE("Table!",ADDRESS($AI95,MATCH(R$1,INDIRECT("Table!A" &amp; $AM95):INDIRECT("Table!" &amp; $AP$91 &amp; $AM95),0)))))</f>
        <v/>
      </c>
      <c r="S95" s="596" t="str">
        <f ca="1">IF(ISERROR(MATCH(S$1,INDIRECT("Table!A"&amp;$AM95):INDIRECT("Table!" &amp; $AP$91 &amp; $AM95),0)),"",INDIRECT(CONCATENATE("Table!",ADDRESS($AI95,MATCH(S$1,INDIRECT("Table!A" &amp; $AM95):INDIRECT("Table!" &amp; $AP$91 &amp; $AM95),0)))))</f>
        <v/>
      </c>
      <c r="T95" s="273">
        <f ca="1">IF(ISERROR(MATCH(T$1,INDIRECT("Table!A"&amp;$AM95):INDIRECT("Table!" &amp; $AP$91 &amp; $AM95),0)),"",INDIRECT(CONCATENATE("Table!",ADDRESS($AI95,MATCH(T$1,INDIRECT("Table!A" &amp; $AM95):INDIRECT("Table!" &amp; $AP$91 &amp; $AM95),0)))))</f>
        <v>6.9763225094815737E-2</v>
      </c>
      <c r="U95" s="596" t="str">
        <f ca="1">IF(ISERROR(MATCH(U$1,INDIRECT("Table!A"&amp;$AM95):INDIRECT("Table!" &amp; $AP$91 &amp; $AM95),0)),"",INDIRECT(CONCATENATE("Table!",ADDRESS($AI95,MATCH(U$1,INDIRECT("Table!A" &amp; $AM95):INDIRECT("Table!" &amp; $AP$91 &amp; $AM95),0)))))</f>
        <v/>
      </c>
      <c r="V95" s="596"/>
      <c r="W95" s="596"/>
      <c r="X95" s="596"/>
      <c r="Y95" s="596"/>
      <c r="Z95" s="596"/>
      <c r="AA95" s="596"/>
      <c r="AB95" s="596"/>
      <c r="AC95" s="596"/>
      <c r="AD95" s="596"/>
      <c r="AE95" s="596"/>
      <c r="AF95" s="596"/>
      <c r="AG95" s="596"/>
      <c r="AH95" s="596"/>
      <c r="AI95" s="272">
        <f>MATCH($A95,Table!$A:$A,0)+$AK$2-1</f>
        <v>1182</v>
      </c>
      <c r="AJ95" s="341"/>
      <c r="AK95" s="341"/>
      <c r="AL95" s="341"/>
      <c r="AM95" s="272">
        <f>MATCH($A95,Table!$A:$A,0)+$AO$2-1</f>
        <v>1179</v>
      </c>
      <c r="AN95" s="341"/>
      <c r="AP95" s="947" t="s">
        <v>302</v>
      </c>
    </row>
    <row r="96" spans="1:42" s="267" customFormat="1" ht="15.75" customHeight="1" x14ac:dyDescent="0.25">
      <c r="A96" s="268">
        <v>41345</v>
      </c>
      <c r="B96" s="273">
        <f ca="1">IF(ISERROR(MATCH(B$1,INDIRECT("Table!A"&amp;$AM96):INDIRECT("Table!" &amp; $AP$113 &amp; $AM96),0)),"",INDIRECT(CONCATENATE("Table!",ADDRESS($AI96,MATCH(B$1,INDIRECT("Table!A" &amp; $AM96):INDIRECT("Table!" &amp; $AP$112 &amp; $AM96),0)))))</f>
        <v>0.29319098249416636</v>
      </c>
      <c r="C96" s="273">
        <f ca="1">IF(ISERROR(MATCH(C$1,INDIRECT("Table!A"&amp;$AM96):INDIRECT("Table!" &amp; $AP$112 &amp; $AM96),0)),"",INDIRECT(CONCATENATE("Table!",ADDRESS($AI96,MATCH(C$1,INDIRECT("Table!A" &amp; $AM96):INDIRECT("Table!" &amp; $AP$112 &amp; $AM96),0)))))</f>
        <v>0.51296142996283456</v>
      </c>
      <c r="D96" s="273">
        <f ca="1">IF(ISERROR(MATCH(D$1,INDIRECT("Table!A"&amp;$AM96):INDIRECT("Table!" &amp; $AP$112 &amp; $AM96),0)),"",INDIRECT(CONCATENATE("Table!",ADDRESS($AI96,MATCH(D$1,INDIRECT("Table!A" &amp; $AM96):INDIRECT("Table!" &amp; $AP$112 &amp; $AM96),0)))))</f>
        <v>0.52229599816099048</v>
      </c>
      <c r="E96" s="273">
        <f ca="1">IF(ISERROR(MATCH(E$1,INDIRECT("Table!A"&amp;$AM96):INDIRECT("Table!" &amp; $AP$112 &amp; $AM96),0)),"",INDIRECT(CONCATENATE("Table!",ADDRESS($AI96,MATCH(E$1,INDIRECT("Table!A" &amp; $AM96):INDIRECT("Table!" &amp; $AP$112 &amp; $AM96),0)))))</f>
        <v>0.85957797292055182</v>
      </c>
      <c r="F96" s="273">
        <f ca="1">IF(ISERROR(MATCH(F$1,INDIRECT("Table!A"&amp;$AM96):INDIRECT("Table!" &amp; $AP$112 &amp; $AM96),0)),"",INDIRECT(CONCATENATE("Table!",ADDRESS($AI96,MATCH(F$1,INDIRECT("Table!A" &amp; $AM96):INDIRECT("Table!" &amp; $AP$112 &amp; $AM96),0)))))</f>
        <v>0.51726447167616085</v>
      </c>
      <c r="G96" s="273">
        <f ca="1">IF(ISERROR(MATCH(G$1,INDIRECT("Table!A"&amp;$AM96):INDIRECT("Table!" &amp; $AP$112 &amp; $AM96),0)),"",INDIRECT(CONCATENATE("Table!",ADDRESS($AI96,MATCH(G$1,INDIRECT("Table!A" &amp; $AM96):INDIRECT("Table!" &amp; $AP$112 &amp; $AM96),0)))))</f>
        <v>0.35446825901371354</v>
      </c>
      <c r="H96" s="273">
        <f ca="1">IF(ISERROR(MATCH(H$1,INDIRECT("Table!A"&amp;$AM96):INDIRECT("Table!" &amp; $AP$112 &amp; $AM96),0)),"",INDIRECT(CONCATENATE("Table!",ADDRESS($AI96,MATCH(H$1,INDIRECT("Table!A" &amp; $AM96):INDIRECT("Table!" &amp; $AP$112 &amp; $AM96),0)))))</f>
        <v>0.5582600769130599</v>
      </c>
      <c r="I96" s="273">
        <f ca="1">IF(ISERROR(MATCH(I$1,INDIRECT("Table!A"&amp;$AM96):INDIRECT("Table!" &amp; $AP$91 &amp; $AM96),0)),"",INDIRECT(CONCATENATE("Table!",ADDRESS($AI96,MATCH(I$1,INDIRECT("Table!A" &amp; $AM96):INDIRECT("Table!" &amp; $AP$91 &amp; $AM96),0)))))</f>
        <v>4.5894125588052358E-2</v>
      </c>
      <c r="J96" s="273" t="str">
        <f ca="1">IF(ISERROR(MATCH(J$1,INDIRECT("Table!A"&amp;$AM96):INDIRECT("Table!" &amp; $AP$91 &amp; $AM96),0)),"",INDIRECT(CONCATENATE("Table!",ADDRESS($AI96,MATCH(J$1,INDIRECT("Table!A" &amp; $AM96):INDIRECT("Table!" &amp; $AP$91 &amp; $AM96),0)))))</f>
        <v/>
      </c>
      <c r="K96" s="273" t="str">
        <f ca="1">IF(ISERROR(MATCH(K$1,INDIRECT("Table!A"&amp;$AM96):INDIRECT("Table!" &amp; $AP$91 &amp; $AM96),0)),"",INDIRECT(CONCATENATE("Table!",ADDRESS($AI96,MATCH(K$1,INDIRECT("Table!A" &amp; $AM96):INDIRECT("Table!" &amp; $AP$91 &amp; $AM96),0)))))</f>
        <v/>
      </c>
      <c r="L96" s="273">
        <f ca="1">IF(ISERROR(MATCH(L$1,INDIRECT("Table!A"&amp;$AM96):INDIRECT("Table!" &amp; $AP$91 &amp; $AM96),0)),"",INDIRECT(CONCATENATE("Table!",ADDRESS($AI96,MATCH(L$1,INDIRECT("Table!A" &amp; $AM96):INDIRECT("Table!" &amp; $AP$91 &amp; $AM96),0)))))</f>
        <v>0.80452475560413828</v>
      </c>
      <c r="M96" s="273">
        <f ca="1">IF(ISERROR(MATCH(M$1,INDIRECT("Table!A"&amp;$AM96):INDIRECT("Table!" &amp; $AP$91 &amp; $AM96),0)),"",INDIRECT(CONCATENATE("Table!",ADDRESS($AI96,MATCH(M$1,INDIRECT("Table!A" &amp; $AM96):INDIRECT("Table!" &amp; $AP$91 &amp; $AM96),0)))))</f>
        <v>0.41286302657489993</v>
      </c>
      <c r="N96" s="273">
        <f ca="1">IF(ISERROR(MATCH(N$1,INDIRECT("Table!A"&amp;$AM96):INDIRECT("Table!" &amp; $AP$91 &amp; $AM96),0)),"",INDIRECT(CONCATENATE("Table!",ADDRESS($AI96,MATCH(N$1,INDIRECT("Table!A" &amp; $AM96):INDIRECT("Table!" &amp; $AP$91 &amp; $AM96),0)))))</f>
        <v>0.53708917236719156</v>
      </c>
      <c r="O96" s="273">
        <f ca="1">IF(ISERROR(MATCH(O$1,INDIRECT("Table!A"&amp;$AM96):INDIRECT("Table!" &amp; $AP$91 &amp; $AM96),0)),"",INDIRECT(CONCATENATE("Table!",ADDRESS($AI96,MATCH(O$1,INDIRECT("Table!A" &amp; $AM96):INDIRECT("Table!" &amp; $AP$91 &amp; $AM96),0)))))</f>
        <v>0.748365137206083</v>
      </c>
      <c r="P96" s="273">
        <f ca="1">IF(ISERROR(MATCH(P$1,INDIRECT("Table!A"&amp;$AM96):INDIRECT("Table!" &amp; $AP$91 &amp; $AM96),0)),"",INDIRECT(CONCATENATE("Table!",ADDRESS($AI96,MATCH(P$1,INDIRECT("Table!A" &amp; $AM96):INDIRECT("Table!" &amp; $AP$91 &amp; $AM96),0)))))</f>
        <v>4.6998398342947285E-2</v>
      </c>
      <c r="Q96" s="273" t="str">
        <f ca="1">IF(ISERROR(MATCH(Q$1,INDIRECT("Table!A"&amp;$AM96):INDIRECT("Table!" &amp; $AP$91 &amp; $AM96),0)),"",INDIRECT(CONCATENATE("Table!",ADDRESS($AI96,MATCH(Q$1,INDIRECT("Table!A" &amp; $AM96):INDIRECT("Table!" &amp; $AP$91 &amp; $AM96),0)))))</f>
        <v/>
      </c>
      <c r="R96" s="273" t="str">
        <f ca="1">IF(ISERROR(MATCH(R$1,INDIRECT("Table!A"&amp;$AM96):INDIRECT("Table!" &amp; $AP$91 &amp; $AM96),0)),"",INDIRECT(CONCATENATE("Table!",ADDRESS($AI96,MATCH(R$1,INDIRECT("Table!A" &amp; $AM96):INDIRECT("Table!" &amp; $AP$91 &amp; $AM96),0)))))</f>
        <v/>
      </c>
      <c r="S96" s="596" t="str">
        <f ca="1">IF(ISERROR(MATCH(S$1,INDIRECT("Table!A"&amp;$AM96):INDIRECT("Table!" &amp; $AP$91 &amp; $AM96),0)),"",INDIRECT(CONCATENATE("Table!",ADDRESS($AI96,MATCH(S$1,INDIRECT("Table!A" &amp; $AM96):INDIRECT("Table!" &amp; $AP$91 &amp; $AM96),0)))))</f>
        <v/>
      </c>
      <c r="T96" s="273">
        <f ca="1">IF(ISERROR(MATCH(T$1,INDIRECT("Table!A"&amp;$AM96):INDIRECT("Table!" &amp; $AP$91 &amp; $AM96),0)),"",INDIRECT(CONCATENATE("Table!",ADDRESS($AI96,MATCH(T$1,INDIRECT("Table!A" &amp; $AM96):INDIRECT("Table!" &amp; $AP$91 &amp; $AM96),0)))))</f>
        <v>6.6529668636013353E-2</v>
      </c>
      <c r="U96" s="596" t="str">
        <f ca="1">IF(ISERROR(MATCH(U$1,INDIRECT("Table!A"&amp;$AM96):INDIRECT("Table!" &amp; $AP$91 &amp; $AM96),0)),"",INDIRECT(CONCATENATE("Table!",ADDRESS($AI96,MATCH(U$1,INDIRECT("Table!A" &amp; $AM96):INDIRECT("Table!" &amp; $AP$91 &amp; $AM96),0)))))</f>
        <v/>
      </c>
      <c r="V96" s="596"/>
      <c r="W96" s="596"/>
      <c r="X96" s="596"/>
      <c r="Y96" s="596"/>
      <c r="Z96" s="596"/>
      <c r="AA96" s="596"/>
      <c r="AB96" s="596"/>
      <c r="AC96" s="596"/>
      <c r="AD96" s="596"/>
      <c r="AE96" s="596"/>
      <c r="AF96" s="596"/>
      <c r="AG96" s="596"/>
      <c r="AH96" s="596"/>
      <c r="AI96" s="272">
        <f>MATCH($A96,Table!$A:$A,0)+$AK$2-1</f>
        <v>1194</v>
      </c>
      <c r="AJ96" s="340"/>
      <c r="AK96" s="340"/>
      <c r="AL96" s="340"/>
      <c r="AM96" s="272">
        <f>MATCH($A96,Table!$A:$A,0)+$AO$2-1</f>
        <v>1191</v>
      </c>
      <c r="AN96" s="340"/>
      <c r="AP96" s="947" t="s">
        <v>302</v>
      </c>
    </row>
    <row r="97" spans="1:42" s="267" customFormat="1" ht="15.75" customHeight="1" x14ac:dyDescent="0.25">
      <c r="A97" s="268">
        <v>41344</v>
      </c>
      <c r="B97" s="273">
        <f ca="1">IF(ISERROR(MATCH(B$1,INDIRECT("Table!A"&amp;$AM97):INDIRECT("Table!" &amp; $AP$113 &amp; $AM97),0)),"",INDIRECT(CONCATENATE("Table!",ADDRESS($AI97,MATCH(B$1,INDIRECT("Table!A" &amp; $AM97):INDIRECT("Table!" &amp; $AP$112 &amp; $AM97),0)))))</f>
        <v>0.29779513808979846</v>
      </c>
      <c r="C97" s="273">
        <f ca="1">IF(ISERROR(MATCH(C$1,INDIRECT("Table!A"&amp;$AM97):INDIRECT("Table!" &amp; $AP$112 &amp; $AM97),0)),"",INDIRECT(CONCATENATE("Table!",ADDRESS($AI97,MATCH(C$1,INDIRECT("Table!A" &amp; $AM97):INDIRECT("Table!" &amp; $AP$112 &amp; $AM97),0)))))</f>
        <v>0.51289831366540928</v>
      </c>
      <c r="D97" s="273">
        <f ca="1">IF(ISERROR(MATCH(D$1,INDIRECT("Table!A"&amp;$AM97):INDIRECT("Table!" &amp; $AP$112 &amp; $AM97),0)),"",INDIRECT(CONCATENATE("Table!",ADDRESS($AI97,MATCH(D$1,INDIRECT("Table!A" &amp; $AM97):INDIRECT("Table!" &amp; $AP$112 &amp; $AM97),0)))))</f>
        <v>0.52229599816099048</v>
      </c>
      <c r="E97" s="273">
        <f ca="1">IF(ISERROR(MATCH(E$1,INDIRECT("Table!A"&amp;$AM97):INDIRECT("Table!" &amp; $AP$112 &amp; $AM97),0)),"",INDIRECT(CONCATENATE("Table!",ADDRESS($AI97,MATCH(E$1,INDIRECT("Table!A" &amp; $AM97):INDIRECT("Table!" &amp; $AP$112 &amp; $AM97),0)))))</f>
        <v>0.85947302659702496</v>
      </c>
      <c r="F97" s="273">
        <f ca="1">IF(ISERROR(MATCH(F$1,INDIRECT("Table!A"&amp;$AM97):INDIRECT("Table!" &amp; $AP$112 &amp; $AM97),0)),"",INDIRECT(CONCATENATE("Table!",ADDRESS($AI97,MATCH(F$1,INDIRECT("Table!A" &amp; $AM97):INDIRECT("Table!" &amp; $AP$112 &amp; $AM97),0)))))</f>
        <v>0.51726447167616085</v>
      </c>
      <c r="G97" s="273">
        <f ca="1">IF(ISERROR(MATCH(G$1,INDIRECT("Table!A"&amp;$AM97):INDIRECT("Table!" &amp; $AP$112 &amp; $AM97),0)),"",INDIRECT(CONCATENATE("Table!",ADDRESS($AI97,MATCH(G$1,INDIRECT("Table!A" &amp; $AM97):INDIRECT("Table!" &amp; $AP$112 &amp; $AM97),0)))))</f>
        <v>0.35642312233221324</v>
      </c>
      <c r="H97" s="273">
        <f ca="1">IF(ISERROR(MATCH(H$1,INDIRECT("Table!A"&amp;$AM97):INDIRECT("Table!" &amp; $AP$112 &amp; $AM97),0)),"",INDIRECT(CONCATENATE("Table!",ADDRESS($AI97,MATCH(H$1,INDIRECT("Table!A" &amp; $AM97):INDIRECT("Table!" &amp; $AP$112 &amp; $AM97),0)))))</f>
        <v>0.55788095124279036</v>
      </c>
      <c r="I97" s="273">
        <f ca="1">IF(ISERROR(MATCH(I$1,INDIRECT("Table!A"&amp;$AM97):INDIRECT("Table!" &amp; $AP$91 &amp; $AM97),0)),"",INDIRECT(CONCATENATE("Table!",ADDRESS($AI97,MATCH(I$1,INDIRECT("Table!A" &amp; $AM97):INDIRECT("Table!" &amp; $AP$91 &amp; $AM97),0)))))</f>
        <v>4.5894125588052358E-2</v>
      </c>
      <c r="J97" s="273" t="str">
        <f ca="1">IF(ISERROR(MATCH(J$1,INDIRECT("Table!A"&amp;$AM97):INDIRECT("Table!" &amp; $AP$91 &amp; $AM97),0)),"",INDIRECT(CONCATENATE("Table!",ADDRESS($AI97,MATCH(J$1,INDIRECT("Table!A" &amp; $AM97):INDIRECT("Table!" &amp; $AP$91 &amp; $AM97),0)))))</f>
        <v/>
      </c>
      <c r="K97" s="273" t="str">
        <f ca="1">IF(ISERROR(MATCH(K$1,INDIRECT("Table!A"&amp;$AM97):INDIRECT("Table!" &amp; $AP$91 &amp; $AM97),0)),"",INDIRECT(CONCATENATE("Table!",ADDRESS($AI97,MATCH(K$1,INDIRECT("Table!A" &amp; $AM97):INDIRECT("Table!" &amp; $AP$91 &amp; $AM97),0)))))</f>
        <v/>
      </c>
      <c r="L97" s="273">
        <f ca="1">IF(ISERROR(MATCH(L$1,INDIRECT("Table!A"&amp;$AM97):INDIRECT("Table!" &amp; $AP$91 &amp; $AM97),0)),"",INDIRECT(CONCATENATE("Table!",ADDRESS($AI97,MATCH(L$1,INDIRECT("Table!A" &amp; $AM97):INDIRECT("Table!" &amp; $AP$91 &amp; $AM97),0)))))</f>
        <v>0.80434291575789907</v>
      </c>
      <c r="M97" s="273">
        <f ca="1">IF(ISERROR(MATCH(M$1,INDIRECT("Table!A"&amp;$AM97):INDIRECT("Table!" &amp; $AP$91 &amp; $AM97),0)),"",INDIRECT(CONCATENATE("Table!",ADDRESS($AI97,MATCH(M$1,INDIRECT("Table!A" &amp; $AM97):INDIRECT("Table!" &amp; $AP$91 &amp; $AM97),0)))))</f>
        <v>0.41683934725978977</v>
      </c>
      <c r="N97" s="273">
        <f ca="1">IF(ISERROR(MATCH(N$1,INDIRECT("Table!A"&amp;$AM97):INDIRECT("Table!" &amp; $AP$91 &amp; $AM97),0)),"",INDIRECT(CONCATENATE("Table!",ADDRESS($AI97,MATCH(N$1,INDIRECT("Table!A" &amp; $AM97):INDIRECT("Table!" &amp; $AP$91 &amp; $AM97),0)))))</f>
        <v>0.53649564890488277</v>
      </c>
      <c r="O97" s="273">
        <f ca="1">IF(ISERROR(MATCH(O$1,INDIRECT("Table!A"&amp;$AM97):INDIRECT("Table!" &amp; $AP$91 &amp; $AM97),0)),"",INDIRECT(CONCATENATE("Table!",ADDRESS($AI97,MATCH(O$1,INDIRECT("Table!A" &amp; $AM97):INDIRECT("Table!" &amp; $AP$91 &amp; $AM97),0)))))</f>
        <v>0.74821894723958782</v>
      </c>
      <c r="P97" s="273">
        <f ca="1">IF(ISERROR(MATCH(P$1,INDIRECT("Table!A"&amp;$AM97):INDIRECT("Table!" &amp; $AP$91 &amp; $AM97),0)),"",INDIRECT(CONCATENATE("Table!",ADDRESS($AI97,MATCH(P$1,INDIRECT("Table!A" &amp; $AM97):INDIRECT("Table!" &amp; $AP$91 &amp; $AM97),0)))))</f>
        <v>4.6993581329254928E-2</v>
      </c>
      <c r="Q97" s="273" t="str">
        <f ca="1">IF(ISERROR(MATCH(Q$1,INDIRECT("Table!A"&amp;$AM97):INDIRECT("Table!" &amp; $AP$91 &amp; $AM97),0)),"",INDIRECT(CONCATENATE("Table!",ADDRESS($AI97,MATCH(Q$1,INDIRECT("Table!A" &amp; $AM97):INDIRECT("Table!" &amp; $AP$91 &amp; $AM97),0)))))</f>
        <v/>
      </c>
      <c r="R97" s="273" t="str">
        <f ca="1">IF(ISERROR(MATCH(R$1,INDIRECT("Table!A"&amp;$AM97):INDIRECT("Table!" &amp; $AP$91 &amp; $AM97),0)),"",INDIRECT(CONCATENATE("Table!",ADDRESS($AI97,MATCH(R$1,INDIRECT("Table!A" &amp; $AM97):INDIRECT("Table!" &amp; $AP$91 &amp; $AM97),0)))))</f>
        <v/>
      </c>
      <c r="S97" s="596" t="str">
        <f ca="1">IF(ISERROR(MATCH(S$1,INDIRECT("Table!A"&amp;$AM97):INDIRECT("Table!" &amp; $AP$91 &amp; $AM97),0)),"",INDIRECT(CONCATENATE("Table!",ADDRESS($AI97,MATCH(S$1,INDIRECT("Table!A" &amp; $AM97):INDIRECT("Table!" &amp; $AP$91 &amp; $AM97),0)))))</f>
        <v/>
      </c>
      <c r="T97" s="273">
        <f ca="1">IF(ISERROR(MATCH(T$1,INDIRECT("Table!A"&amp;$AM97):INDIRECT("Table!" &amp; $AP$91 &amp; $AM97),0)),"",INDIRECT(CONCATENATE("Table!",ADDRESS($AI97,MATCH(T$1,INDIRECT("Table!A" &amp; $AM97):INDIRECT("Table!" &amp; $AP$91 &amp; $AM97),0)))))</f>
        <v>6.5426633021562083E-2</v>
      </c>
      <c r="U97" s="596" t="str">
        <f ca="1">IF(ISERROR(MATCH(U$1,INDIRECT("Table!A"&amp;$AM97):INDIRECT("Table!" &amp; $AP$91 &amp; $AM97),0)),"",INDIRECT(CONCATENATE("Table!",ADDRESS($AI97,MATCH(U$1,INDIRECT("Table!A" &amp; $AM97):INDIRECT("Table!" &amp; $AP$91 &amp; $AM97),0)))))</f>
        <v/>
      </c>
      <c r="V97" s="596"/>
      <c r="W97" s="596"/>
      <c r="X97" s="596"/>
      <c r="Y97" s="596"/>
      <c r="Z97" s="596"/>
      <c r="AA97" s="596"/>
      <c r="AB97" s="596"/>
      <c r="AC97" s="596"/>
      <c r="AD97" s="596"/>
      <c r="AE97" s="596"/>
      <c r="AF97" s="596"/>
      <c r="AG97" s="596"/>
      <c r="AH97" s="596"/>
      <c r="AI97" s="272">
        <f>MATCH($A97,Table!$A:$A,0)+$AK$2-1</f>
        <v>1206</v>
      </c>
      <c r="AJ97" s="339"/>
      <c r="AK97" s="339"/>
      <c r="AL97" s="339"/>
      <c r="AM97" s="272">
        <f>MATCH($A97,Table!$A:$A,0)+$AO$2-1</f>
        <v>1203</v>
      </c>
      <c r="AN97" s="339"/>
      <c r="AP97" s="947" t="s">
        <v>302</v>
      </c>
    </row>
    <row r="98" spans="1:42" s="267" customFormat="1" ht="15.75" customHeight="1" x14ac:dyDescent="0.25">
      <c r="A98" s="268">
        <v>41341</v>
      </c>
      <c r="B98" s="273">
        <f ca="1">IF(ISERROR(MATCH(B$1,INDIRECT("Table!A"&amp;$AM98):INDIRECT("Table!" &amp; $AP$113 &amp; $AM98),0)),"",INDIRECT(CONCATENATE("Table!",ADDRESS($AI98,MATCH(B$1,INDIRECT("Table!A" &amp; $AM98):INDIRECT("Table!" &amp; $AP$112 &amp; $AM98),0)))))</f>
        <v>0.28879743807543229</v>
      </c>
      <c r="C98" s="273">
        <f ca="1">IF(ISERROR(MATCH(C$1,INDIRECT("Table!A"&amp;$AM98):INDIRECT("Table!" &amp; $AP$112 &amp; $AM98),0)),"",INDIRECT(CONCATENATE("Table!",ADDRESS($AI98,MATCH(C$1,INDIRECT("Table!A" &amp; $AM98):INDIRECT("Table!" &amp; $AP$112 &amp; $AM98),0)))))</f>
        <v>0.51277274545263685</v>
      </c>
      <c r="D98" s="273">
        <f ca="1">IF(ISERROR(MATCH(D$1,INDIRECT("Table!A"&amp;$AM98):INDIRECT("Table!" &amp; $AP$112 &amp; $AM98),0)),"",INDIRECT(CONCATENATE("Table!",ADDRESS($AI98,MATCH(D$1,INDIRECT("Table!A" &amp; $AM98):INDIRECT("Table!" &amp; $AP$112 &amp; $AM98),0)))))</f>
        <v>0.52217042994821805</v>
      </c>
      <c r="E98" s="273">
        <f ca="1">IF(ISERROR(MATCH(E$1,INDIRECT("Table!A"&amp;$AM98):INDIRECT("Table!" &amp; $AP$112 &amp; $AM98),0)),"",INDIRECT(CONCATENATE("Table!",ADDRESS($AI98,MATCH(E$1,INDIRECT("Table!A" &amp; $AM98):INDIRECT("Table!" &amp; $AP$112 &amp; $AM98),0)))))</f>
        <v>0.8568235440208618</v>
      </c>
      <c r="F98" s="273">
        <f ca="1">IF(ISERROR(MATCH(F$1,INDIRECT("Table!A"&amp;$AM98):INDIRECT("Table!" &amp; $AP$112 &amp; $AM98),0)),"",INDIRECT(CONCATENATE("Table!",ADDRESS($AI98,MATCH(F$1,INDIRECT("Table!A" &amp; $AM98):INDIRECT("Table!" &amp; $AP$112 &amp; $AM98),0)))))</f>
        <v>0.51204242909596409</v>
      </c>
      <c r="G98" s="273">
        <f ca="1">IF(ISERROR(MATCH(G$1,INDIRECT("Table!A"&amp;$AM98):INDIRECT("Table!" &amp; $AP$112 &amp; $AM98),0)),"",INDIRECT(CONCATENATE("Table!",ADDRESS($AI98,MATCH(G$1,INDIRECT("Table!A" &amp; $AM98):INDIRECT("Table!" &amp; $AP$112 &amp; $AM98),0)))))</f>
        <v>0.33045515090969635</v>
      </c>
      <c r="H98" s="273">
        <f ca="1">IF(ISERROR(MATCH(H$1,INDIRECT("Table!A"&amp;$AM98):INDIRECT("Table!" &amp; $AP$112 &amp; $AM98),0)),"",INDIRECT(CONCATENATE("Table!",ADDRESS($AI98,MATCH(H$1,INDIRECT("Table!A" &amp; $AM98):INDIRECT("Table!" &amp; $AP$112 &amp; $AM98),0)))))</f>
        <v>0.54617997919753924</v>
      </c>
      <c r="I98" s="273">
        <f ca="1">IF(ISERROR(MATCH(I$1,INDIRECT("Table!A"&amp;$AM98):INDIRECT("Table!" &amp; $AP$91 &amp; $AM98),0)),"",INDIRECT(CONCATENATE("Table!",ADDRESS($AI98,MATCH(I$1,INDIRECT("Table!A" &amp; $AM98):INDIRECT("Table!" &amp; $AP$91 &amp; $AM98),0)))))</f>
        <v>4.5880878792422114E-2</v>
      </c>
      <c r="J98" s="273" t="str">
        <f ca="1">IF(ISERROR(MATCH(J$1,INDIRECT("Table!A"&amp;$AM98):INDIRECT("Table!" &amp; $AP$91 &amp; $AM98),0)),"",INDIRECT(CONCATENATE("Table!",ADDRESS($AI98,MATCH(J$1,INDIRECT("Table!A" &amp; $AM98):INDIRECT("Table!" &amp; $AP$91 &amp; $AM98),0)))))</f>
        <v/>
      </c>
      <c r="K98" s="273" t="str">
        <f ca="1">IF(ISERROR(MATCH(K$1,INDIRECT("Table!A"&amp;$AM98):INDIRECT("Table!" &amp; $AP$91 &amp; $AM98),0)),"",INDIRECT(CONCATENATE("Table!",ADDRESS($AI98,MATCH(K$1,INDIRECT("Table!A" &amp; $AM98):INDIRECT("Table!" &amp; $AP$91 &amp; $AM98),0)))))</f>
        <v/>
      </c>
      <c r="L98" s="273">
        <f ca="1">IF(ISERROR(MATCH(L$1,INDIRECT("Table!A"&amp;$AM98):INDIRECT("Table!" &amp; $AP$91 &amp; $AM98),0)),"",INDIRECT(CONCATENATE("Table!",ADDRESS($AI98,MATCH(L$1,INDIRECT("Table!A" &amp; $AM98):INDIRECT("Table!" &amp; $AP$91 &amp; $AM98),0)))))</f>
        <v>0.80302392929486544</v>
      </c>
      <c r="M98" s="273">
        <f ca="1">IF(ISERROR(MATCH(M$1,INDIRECT("Table!A"&amp;$AM98):INDIRECT("Table!" &amp; $AP$91 &amp; $AM98),0)),"",INDIRECT(CONCATENATE("Table!",ADDRESS($AI98,MATCH(M$1,INDIRECT("Table!A" &amp; $AM98):INDIRECT("Table!" &amp; $AP$91 &amp; $AM98),0)))))</f>
        <v>0.39675567348458585</v>
      </c>
      <c r="N98" s="273">
        <f ca="1">IF(ISERROR(MATCH(N$1,INDIRECT("Table!A"&amp;$AM98):INDIRECT("Table!" &amp; $AP$91 &amp; $AM98),0)),"",INDIRECT(CONCATENATE("Table!",ADDRESS($AI98,MATCH(N$1,INDIRECT("Table!A" &amp; $AM98):INDIRECT("Table!" &amp; $AP$91 &amp; $AM98),0)))))</f>
        <v>0.53084690116685984</v>
      </c>
      <c r="O98" s="273">
        <f ca="1">IF(ISERROR(MATCH(O$1,INDIRECT("Table!A"&amp;$AM98):INDIRECT("Table!" &amp; $AP$91 &amp; $AM98),0)),"",INDIRECT(CONCATENATE("Table!",ADDRESS($AI98,MATCH(O$1,INDIRECT("Table!A" &amp; $AM98):INDIRECT("Table!" &amp; $AP$91 &amp; $AM98),0)))))</f>
        <v>0.733386331918086</v>
      </c>
      <c r="P98" s="273">
        <f ca="1">IF(ISERROR(MATCH(P$1,INDIRECT("Table!A"&amp;$AM98):INDIRECT("Table!" &amp; $AP$91 &amp; $AM98),0)),"",INDIRECT(CONCATENATE("Table!",ADDRESS($AI98,MATCH(P$1,INDIRECT("Table!A" &amp; $AM98):INDIRECT("Table!" &amp; $AP$91 &amp; $AM98),0)))))</f>
        <v>4.6980334541600929E-2</v>
      </c>
      <c r="Q98" s="273" t="str">
        <f ca="1">IF(ISERROR(MATCH(Q$1,INDIRECT("Table!A"&amp;$AM98):INDIRECT("Table!" &amp; $AP$91 &amp; $AM98),0)),"",INDIRECT(CONCATENATE("Table!",ADDRESS($AI98,MATCH(Q$1,INDIRECT("Table!A" &amp; $AM98):INDIRECT("Table!" &amp; $AP$91 &amp; $AM98),0)))))</f>
        <v/>
      </c>
      <c r="R98" s="273" t="str">
        <f ca="1">IF(ISERROR(MATCH(R$1,INDIRECT("Table!A"&amp;$AM98):INDIRECT("Table!" &amp; $AP$91 &amp; $AM98),0)),"",INDIRECT(CONCATENATE("Table!",ADDRESS($AI98,MATCH(R$1,INDIRECT("Table!A" &amp; $AM98):INDIRECT("Table!" &amp; $AP$91 &amp; $AM98),0)))))</f>
        <v/>
      </c>
      <c r="S98" s="596" t="str">
        <f ca="1">IF(ISERROR(MATCH(S$1,INDIRECT("Table!A"&amp;$AM98):INDIRECT("Table!" &amp; $AP$91 &amp; $AM98),0)),"",INDIRECT(CONCATENATE("Table!",ADDRESS($AI98,MATCH(S$1,INDIRECT("Table!A" &amp; $AM98):INDIRECT("Table!" &amp; $AP$91 &amp; $AM98),0)))))</f>
        <v/>
      </c>
      <c r="T98" s="273">
        <f ca="1">IF(ISERROR(MATCH(T$1,INDIRECT("Table!A"&amp;$AM98):INDIRECT("Table!" &amp; $AP$91 &amp; $AM98),0)),"",INDIRECT(CONCATENATE("Table!",ADDRESS($AI98,MATCH(T$1,INDIRECT("Table!A" &amp; $AM98):INDIRECT("Table!" &amp; $AP$91 &amp; $AM98),0)))))</f>
        <v>6.1912029132228277E-2</v>
      </c>
      <c r="U98" s="596" t="str">
        <f ca="1">IF(ISERROR(MATCH(U$1,INDIRECT("Table!A"&amp;$AM98):INDIRECT("Table!" &amp; $AP$91 &amp; $AM98),0)),"",INDIRECT(CONCATENATE("Table!",ADDRESS($AI98,MATCH(U$1,INDIRECT("Table!A" &amp; $AM98):INDIRECT("Table!" &amp; $AP$91 &amp; $AM98),0)))))</f>
        <v/>
      </c>
      <c r="V98" s="596"/>
      <c r="W98" s="596"/>
      <c r="X98" s="596"/>
      <c r="Y98" s="596"/>
      <c r="Z98" s="596"/>
      <c r="AA98" s="596"/>
      <c r="AB98" s="596"/>
      <c r="AC98" s="596"/>
      <c r="AD98" s="596"/>
      <c r="AE98" s="596"/>
      <c r="AF98" s="596"/>
      <c r="AG98" s="596"/>
      <c r="AH98" s="596"/>
      <c r="AI98" s="272">
        <f>MATCH($A98,Table!$A:$A,0)+$AK$2-1</f>
        <v>1218</v>
      </c>
      <c r="AJ98" s="337"/>
      <c r="AK98" s="337"/>
      <c r="AL98" s="337"/>
      <c r="AM98" s="272">
        <f>MATCH($A98,Table!$A:$A,0)+$AO$2-1</f>
        <v>1215</v>
      </c>
      <c r="AN98" s="337"/>
      <c r="AP98" s="947" t="s">
        <v>302</v>
      </c>
    </row>
    <row r="99" spans="1:42" s="267" customFormat="1" ht="15.75" customHeight="1" x14ac:dyDescent="0.25">
      <c r="A99" s="268">
        <v>41340</v>
      </c>
      <c r="B99" s="273">
        <f ca="1">IF(ISERROR(MATCH(B$1,INDIRECT("Table!A"&amp;$AM99):INDIRECT("Table!" &amp; $AP$113 &amp; $AM99),0)),"",INDIRECT(CONCATENATE("Table!",ADDRESS($AI99,MATCH(B$1,INDIRECT("Table!A" &amp; $AM99):INDIRECT("Table!" &amp; $AP$112 &amp; $AM99),0)))))</f>
        <v>0.2901622263972517</v>
      </c>
      <c r="C99" s="273">
        <f ca="1">IF(ISERROR(MATCH(C$1,INDIRECT("Table!A"&amp;$AM99):INDIRECT("Table!" &amp; $AP$112 &amp; $AM99),0)),"",INDIRECT(CONCATENATE("Table!",ADDRESS($AI99,MATCH(C$1,INDIRECT("Table!A" &amp; $AM99):INDIRECT("Table!" &amp; $AP$112 &amp; $AM99),0)))))</f>
        <v>0.51253157475826461</v>
      </c>
      <c r="D99" s="273">
        <f ca="1">IF(ISERROR(MATCH(D$1,INDIRECT("Table!A"&amp;$AM99):INDIRECT("Table!" &amp; $AP$112 &amp; $AM99),0)),"",INDIRECT(CONCATENATE("Table!",ADDRESS($AI99,MATCH(D$1,INDIRECT("Table!A" &amp; $AM99):INDIRECT("Table!" &amp; $AP$112 &amp; $AM99),0)))))</f>
        <v>0.52211661499988715</v>
      </c>
      <c r="E99" s="273">
        <f ca="1">IF(ISERROR(MATCH(E$1,INDIRECT("Table!A"&amp;$AM99):INDIRECT("Table!" &amp; $AP$112 &amp; $AM99),0)),"",INDIRECT(CONCATENATE("Table!",ADDRESS($AI99,MATCH(E$1,INDIRECT("Table!A" &amp; $AM99):INDIRECT("Table!" &amp; $AP$112 &amp; $AM99),0)))))</f>
        <v>0.85565924423262263</v>
      </c>
      <c r="F99" s="273">
        <f ca="1">IF(ISERROR(MATCH(F$1,INDIRECT("Table!A"&amp;$AM99):INDIRECT("Table!" &amp; $AP$112 &amp; $AM99),0)),"",INDIRECT(CONCATENATE("Table!",ADDRESS($AI99,MATCH(F$1,INDIRECT("Table!A" &amp; $AM99):INDIRECT("Table!" &amp; $AP$112 &amp; $AM99),0)))))</f>
        <v>0.51146220214260885</v>
      </c>
      <c r="G99" s="273">
        <f ca="1">IF(ISERROR(MATCH(G$1,INDIRECT("Table!A"&amp;$AM99):INDIRECT("Table!" &amp; $AP$112 &amp; $AM99),0)),"",INDIRECT(CONCATENATE("Table!",ADDRESS($AI99,MATCH(G$1,INDIRECT("Table!A" &amp; $AM99):INDIRECT("Table!" &amp; $AP$112 &amp; $AM99),0)))))</f>
        <v>0.33626222262585898</v>
      </c>
      <c r="H99" s="273">
        <f ca="1">IF(ISERROR(MATCH(H$1,INDIRECT("Table!A"&amp;$AM99):INDIRECT("Table!" &amp; $AP$112 &amp; $AM99),0)),"",INDIRECT(CONCATENATE("Table!",ADDRESS($AI99,MATCH(H$1,INDIRECT("Table!A" &amp; $AM99):INDIRECT("Table!" &amp; $AP$112 &amp; $AM99),0)))))</f>
        <v>0.54585854656404997</v>
      </c>
      <c r="I99" s="273">
        <f ca="1">IF(ISERROR(MATCH(I$1,INDIRECT("Table!A"&amp;$AM99):INDIRECT("Table!" &amp; $AP$91 &amp; $AM99),0)),"",INDIRECT(CONCATENATE("Table!",ADDRESS($AI99,MATCH(I$1,INDIRECT("Table!A" &amp; $AM99):INDIRECT("Table!" &amp; $AP$91 &amp; $AM99),0)))))</f>
        <v>4.5880878792422114E-2</v>
      </c>
      <c r="J99" s="273" t="str">
        <f ca="1">IF(ISERROR(MATCH(J$1,INDIRECT("Table!A"&amp;$AM99):INDIRECT("Table!" &amp; $AP$91 &amp; $AM99),0)),"",INDIRECT(CONCATENATE("Table!",ADDRESS($AI99,MATCH(J$1,INDIRECT("Table!A" &amp; $AM99):INDIRECT("Table!" &amp; $AP$91 &amp; $AM99),0)))))</f>
        <v/>
      </c>
      <c r="K99" s="273" t="str">
        <f ca="1">IF(ISERROR(MATCH(K$1,INDIRECT("Table!A"&amp;$AM99):INDIRECT("Table!" &amp; $AP$91 &amp; $AM99),0)),"",INDIRECT(CONCATENATE("Table!",ADDRESS($AI99,MATCH(K$1,INDIRECT("Table!A" &amp; $AM99):INDIRECT("Table!" &amp; $AP$91 &amp; $AM99),0)))))</f>
        <v/>
      </c>
      <c r="L99" s="273">
        <f ca="1">IF(ISERROR(MATCH(L$1,INDIRECT("Table!A"&amp;$AM99):INDIRECT("Table!" &amp; $AP$91 &amp; $AM99),0)),"",INDIRECT(CONCATENATE("Table!",ADDRESS($AI99,MATCH(L$1,INDIRECT("Table!A" &amp; $AM99):INDIRECT("Table!" &amp; $AP$91 &amp; $AM99),0)))))</f>
        <v>0.80260688919166745</v>
      </c>
      <c r="M99" s="273">
        <f ca="1">IF(ISERROR(MATCH(M$1,INDIRECT("Table!A"&amp;$AM99):INDIRECT("Table!" &amp; $AP$91 &amp; $AM99),0)),"",INDIRECT(CONCATENATE("Table!",ADDRESS($AI99,MATCH(M$1,INDIRECT("Table!A" &amp; $AM99):INDIRECT("Table!" &amp; $AP$91 &amp; $AM99),0)))))</f>
        <v>0.40246283646227032</v>
      </c>
      <c r="N99" s="273">
        <f ca="1">IF(ISERROR(MATCH(N$1,INDIRECT("Table!A"&amp;$AM99):INDIRECT("Table!" &amp; $AP$91 &amp; $AM99),0)),"",INDIRECT(CONCATENATE("Table!",ADDRESS($AI99,MATCH(N$1,INDIRECT("Table!A" &amp; $AM99):INDIRECT("Table!" &amp; $AP$91 &amp; $AM99),0)))))</f>
        <v>0.530264256953351</v>
      </c>
      <c r="O99" s="273">
        <f ca="1">IF(ISERROR(MATCH(O$1,INDIRECT("Table!A"&amp;$AM99):INDIRECT("Table!" &amp; $AP$91 &amp; $AM99),0)),"",INDIRECT(CONCATENATE("Table!",ADDRESS($AI99,MATCH(O$1,INDIRECT("Table!A" &amp; $AM99):INDIRECT("Table!" &amp; $AP$91 &amp; $AM99),0)))))</f>
        <v>0.73305145490181178</v>
      </c>
      <c r="P99" s="273">
        <f ca="1">IF(ISERROR(MATCH(P$1,INDIRECT("Table!A"&amp;$AM99):INDIRECT("Table!" &amp; $AP$91 &amp; $AM99),0)),"",INDIRECT(CONCATENATE("Table!",ADDRESS($AI99,MATCH(P$1,INDIRECT("Table!A" &amp; $AM99):INDIRECT("Table!" &amp; $AP$91 &amp; $AM99),0)))))</f>
        <v>4.6980334541600929E-2</v>
      </c>
      <c r="Q99" s="273" t="str">
        <f ca="1">IF(ISERROR(MATCH(Q$1,INDIRECT("Table!A"&amp;$AM99):INDIRECT("Table!" &amp; $AP$91 &amp; $AM99),0)),"",INDIRECT(CONCATENATE("Table!",ADDRESS($AI99,MATCH(Q$1,INDIRECT("Table!A" &amp; $AM99):INDIRECT("Table!" &amp; $AP$91 &amp; $AM99),0)))))</f>
        <v/>
      </c>
      <c r="R99" s="273" t="str">
        <f ca="1">IF(ISERROR(MATCH(R$1,INDIRECT("Table!A"&amp;$AM99):INDIRECT("Table!" &amp; $AP$91 &amp; $AM99),0)),"",INDIRECT(CONCATENATE("Table!",ADDRESS($AI99,MATCH(R$1,INDIRECT("Table!A" &amp; $AM99):INDIRECT("Table!" &amp; $AP$91 &amp; $AM99),0)))))</f>
        <v/>
      </c>
      <c r="S99" s="596" t="str">
        <f ca="1">IF(ISERROR(MATCH(S$1,INDIRECT("Table!A"&amp;$AM99):INDIRECT("Table!" &amp; $AP$91 &amp; $AM99),0)),"",INDIRECT(CONCATENATE("Table!",ADDRESS($AI99,MATCH(S$1,INDIRECT("Table!A" &amp; $AM99):INDIRECT("Table!" &amp; $AP$91 &amp; $AM99),0)))))</f>
        <v/>
      </c>
      <c r="T99" s="273">
        <f ca="1">IF(ISERROR(MATCH(T$1,INDIRECT("Table!A"&amp;$AM99):INDIRECT("Table!" &amp; $AP$91 &amp; $AM99),0)),"",INDIRECT(CONCATENATE("Table!",ADDRESS($AI99,MATCH(T$1,INDIRECT("Table!A" &amp; $AM99):INDIRECT("Table!" &amp; $AP$91 &amp; $AM99),0)))))</f>
        <v>5.9258699626781104E-2</v>
      </c>
      <c r="U99" s="596" t="str">
        <f ca="1">IF(ISERROR(MATCH(U$1,INDIRECT("Table!A"&amp;$AM99):INDIRECT("Table!" &amp; $AP$91 &amp; $AM99),0)),"",INDIRECT(CONCATENATE("Table!",ADDRESS($AI99,MATCH(U$1,INDIRECT("Table!A" &amp; $AM99):INDIRECT("Table!" &amp; $AP$91 &amp; $AM99),0)))))</f>
        <v/>
      </c>
      <c r="V99" s="596"/>
      <c r="W99" s="596"/>
      <c r="X99" s="596"/>
      <c r="Y99" s="596"/>
      <c r="Z99" s="596"/>
      <c r="AA99" s="596"/>
      <c r="AB99" s="596"/>
      <c r="AC99" s="596"/>
      <c r="AD99" s="596"/>
      <c r="AE99" s="596"/>
      <c r="AF99" s="596"/>
      <c r="AG99" s="596"/>
      <c r="AH99" s="596"/>
      <c r="AI99" s="272">
        <f>MATCH($A99,Table!$A:$A,0)+$AK$2-1</f>
        <v>1230</v>
      </c>
      <c r="AJ99" s="290"/>
      <c r="AK99" s="290"/>
      <c r="AL99" s="290"/>
      <c r="AM99" s="272">
        <f>MATCH($A99,Table!$A:$A,0)+$AO$2-1</f>
        <v>1227</v>
      </c>
      <c r="AN99" s="290"/>
      <c r="AP99" s="947" t="s">
        <v>302</v>
      </c>
    </row>
    <row r="100" spans="1:42" s="267" customFormat="1" ht="15.75" customHeight="1" x14ac:dyDescent="0.25">
      <c r="A100" s="268">
        <v>41337</v>
      </c>
      <c r="B100" s="273">
        <f ca="1">IF(ISERROR(MATCH(B$1,INDIRECT("Table!A"&amp;$AM100):INDIRECT("Table!" &amp; $AP$113 &amp; $AM100),0)),"",INDIRECT(CONCATENATE("Table!",ADDRESS($AI100,MATCH(B$1,INDIRECT("Table!A" &amp; $AM100):INDIRECT("Table!" &amp; $AP$112 &amp; $AM100),0)))))</f>
        <v>0.27938130525928184</v>
      </c>
      <c r="C100" s="273">
        <f ca="1">IF(ISERROR(MATCH(C$1,INDIRECT("Table!A"&amp;$AM100):INDIRECT("Table!" &amp; $AP$112 &amp; $AM100),0)),"",INDIRECT(CONCATENATE("Table!",ADDRESS($AI100,MATCH(C$1,INDIRECT("Table!A" &amp; $AM100):INDIRECT("Table!" &amp; $AP$112 &amp; $AM100),0)))))</f>
        <v>0.51253157475826461</v>
      </c>
      <c r="D100" s="273">
        <f ca="1">IF(ISERROR(MATCH(D$1,INDIRECT("Table!A"&amp;$AM100):INDIRECT("Table!" &amp; $AP$112 &amp; $AM100),0)),"",INDIRECT(CONCATENATE("Table!",ADDRESS($AI100,MATCH(D$1,INDIRECT("Table!A" &amp; $AM100):INDIRECT("Table!" &amp; $AP$112 &amp; $AM100),0)))))</f>
        <v>0.52192793048968944</v>
      </c>
      <c r="E100" s="273">
        <f ca="1">IF(ISERROR(MATCH(E$1,INDIRECT("Table!A"&amp;$AM100):INDIRECT("Table!" &amp; $AP$112 &amp; $AM100),0)),"",INDIRECT(CONCATENATE("Table!",ADDRESS($AI100,MATCH(E$1,INDIRECT("Table!A" &amp; $AM100):INDIRECT("Table!" &amp; $AP$112 &amp; $AM100),0)))))</f>
        <v>0.85540649392465196</v>
      </c>
      <c r="F100" s="273">
        <f ca="1">IF(ISERROR(MATCH(F$1,INDIRECT("Table!A"&amp;$AM100):INDIRECT("Table!" &amp; $AP$112 &amp; $AM100),0)),"",INDIRECT(CONCATENATE("Table!",ADDRESS($AI100,MATCH(F$1,INDIRECT("Table!A" &amp; $AM100):INDIRECT("Table!" &amp; $AP$112 &amp; $AM100),0)))))</f>
        <v>0.50872848702799889</v>
      </c>
      <c r="G100" s="273">
        <f ca="1">IF(ISERROR(MATCH(G$1,INDIRECT("Table!A"&amp;$AM100):INDIRECT("Table!" &amp; $AP$112 &amp; $AM100),0)),"",INDIRECT(CONCATENATE("Table!",ADDRESS($AI100,MATCH(G$1,INDIRECT("Table!A" &amp; $AM100):INDIRECT("Table!" &amp; $AP$112 &amp; $AM100),0)))))</f>
        <v>0.3424302969757515</v>
      </c>
      <c r="H100" s="273">
        <f ca="1">IF(ISERROR(MATCH(H$1,INDIRECT("Table!A"&amp;$AM100):INDIRECT("Table!" &amp; $AP$112 &amp; $AM100),0)),"",INDIRECT(CONCATENATE("Table!",ADDRESS($AI100,MATCH(H$1,INDIRECT("Table!A" &amp; $AM100):INDIRECT("Table!" &amp; $AP$112 &amp; $AM100),0)))))</f>
        <v>0.54519672501355787</v>
      </c>
      <c r="I100" s="273">
        <f ca="1">IF(ISERROR(MATCH(I$1,INDIRECT("Table!A"&amp;$AM100):INDIRECT("Table!" &amp; $AP$91 &amp; $AM100),0)),"",INDIRECT(CONCATENATE("Table!",ADDRESS($AI100,MATCH(I$1,INDIRECT("Table!A" &amp; $AM100):INDIRECT("Table!" &amp; $AP$91 &amp; $AM100),0)))))</f>
        <v>4.3814980801178245E-2</v>
      </c>
      <c r="J100" s="273" t="str">
        <f ca="1">IF(ISERROR(MATCH(J$1,INDIRECT("Table!A"&amp;$AM100):INDIRECT("Table!" &amp; $AP$91 &amp; $AM100),0)),"",INDIRECT(CONCATENATE("Table!",ADDRESS($AI100,MATCH(J$1,INDIRECT("Table!A" &amp; $AM100):INDIRECT("Table!" &amp; $AP$91 &amp; $AM100),0)))))</f>
        <v/>
      </c>
      <c r="K100" s="273" t="str">
        <f ca="1">IF(ISERROR(MATCH(K$1,INDIRECT("Table!A"&amp;$AM100):INDIRECT("Table!" &amp; $AP$91 &amp; $AM100),0)),"",INDIRECT(CONCATENATE("Table!",ADDRESS($AI100,MATCH(K$1,INDIRECT("Table!A" &amp; $AM100):INDIRECT("Table!" &amp; $AP$91 &amp; $AM100),0)))))</f>
        <v/>
      </c>
      <c r="L100" s="273">
        <f ca="1">IF(ISERROR(MATCH(L$1,INDIRECT("Table!A"&amp;$AM100):INDIRECT("Table!" &amp; $AP$91 &amp; $AM100),0)),"",INDIRECT(CONCATENATE("Table!",ADDRESS($AI100,MATCH(L$1,INDIRECT("Table!A" &amp; $AM100):INDIRECT("Table!" &amp; $AP$91 &amp; $AM100),0)))))</f>
        <v>0.80177591735871145</v>
      </c>
      <c r="M100" s="273">
        <f ca="1">IF(ISERROR(MATCH(M$1,INDIRECT("Table!A"&amp;$AM100):INDIRECT("Table!" &amp; $AP$91 &amp; $AM100),0)),"",INDIRECT(CONCATENATE("Table!",ADDRESS($AI100,MATCH(M$1,INDIRECT("Table!A" &amp; $AM100):INDIRECT("Table!" &amp; $AP$91 &amp; $AM100),0)))))</f>
        <v>0.39338632066975343</v>
      </c>
      <c r="N100" s="273">
        <f ca="1">IF(ISERROR(MATCH(N$1,INDIRECT("Table!A"&amp;$AM100):INDIRECT("Table!" &amp; $AP$91 &amp; $AM100),0)),"",INDIRECT(CONCATENATE("Table!",ADDRESS($AI100,MATCH(N$1,INDIRECT("Table!A" &amp; $AM100):INDIRECT("Table!" &amp; $AP$91 &amp; $AM100),0)))))</f>
        <v>0.52603102036474492</v>
      </c>
      <c r="O100" s="273">
        <f ca="1">IF(ISERROR(MATCH(O$1,INDIRECT("Table!A"&amp;$AM100):INDIRECT("Table!" &amp; $AP$91 &amp; $AM100),0)),"",INDIRECT(CONCATENATE("Table!",ADDRESS($AI100,MATCH(O$1,INDIRECT("Table!A" &amp; $AM100):INDIRECT("Table!" &amp; $AP$91 &amp; $AM100),0)))))</f>
        <v>0.73271091160776658</v>
      </c>
      <c r="P100" s="273">
        <f ca="1">IF(ISERROR(MATCH(P$1,INDIRECT("Table!A"&amp;$AM100):INDIRECT("Table!" &amp; $AP$91 &amp; $AM100),0)),"",INDIRECT(CONCATENATE("Table!",ADDRESS($AI100,MATCH(P$1,INDIRECT("Table!A" &amp; $AM100):INDIRECT("Table!" &amp; $AP$91 &amp; $AM100),0)))))</f>
        <v>4.4913835667577881E-2</v>
      </c>
      <c r="Q100" s="273" t="str">
        <f ca="1">IF(ISERROR(MATCH(Q$1,INDIRECT("Table!A"&amp;$AM100):INDIRECT("Table!" &amp; $AP$91 &amp; $AM100),0)),"",INDIRECT(CONCATENATE("Table!",ADDRESS($AI100,MATCH(Q$1,INDIRECT("Table!A" &amp; $AM100):INDIRECT("Table!" &amp; $AP$91 &amp; $AM100),0)))))</f>
        <v/>
      </c>
      <c r="R100" s="273" t="str">
        <f ca="1">IF(ISERROR(MATCH(S$1,INDIRECT("Table!A"&amp;$AM100):INDIRECT("Table!" &amp; $AP$91 &amp; $AM100),0)),"",INDIRECT(CONCATENATE("Table!",ADDRESS($AI100,MATCH(S$1,INDIRECT("Table!A" &amp; $AM100):INDIRECT("Table!" &amp; $AP$91 &amp; $AM100),0)))))</f>
        <v/>
      </c>
      <c r="S100" s="596" t="str">
        <f ca="1">IF(ISERROR(MATCH(S$1,INDIRECT("Table!A"&amp;$AM100):INDIRECT("Table!" &amp; $AP$91 &amp; $AM100),0)),"",INDIRECT(CONCATENATE("Table!",ADDRESS($AI100,MATCH(S$1,INDIRECT("Table!A" &amp; $AM100):INDIRECT("Table!" &amp; $AP$91 &amp; $AM100),0)))))</f>
        <v/>
      </c>
      <c r="U100" s="596" t="str">
        <f ca="1">IF(ISERROR(MATCH(V$1,INDIRECT("Table!A"&amp;$AM100):INDIRECT("Table!" &amp; $AP$91 &amp; $AM100),0)),"",INDIRECT(CONCATENATE("Table!",ADDRESS($AI100,MATCH(V$1,INDIRECT("Table!A" &amp; $AM100):INDIRECT("Table!" &amp; $AP$91 &amp; $AM100),0)))))</f>
        <v/>
      </c>
      <c r="V100" s="596"/>
      <c r="W100" s="596"/>
      <c r="X100" s="596"/>
      <c r="Y100" s="596"/>
      <c r="Z100" s="596"/>
      <c r="AA100" s="596"/>
      <c r="AB100" s="596"/>
      <c r="AC100" s="596"/>
      <c r="AD100" s="596"/>
      <c r="AE100" s="596"/>
      <c r="AF100" s="596"/>
      <c r="AG100" s="596"/>
      <c r="AH100" s="596"/>
      <c r="AI100" s="272">
        <f>MATCH($A100,Table!$A:$A,0)+$AK$2-1</f>
        <v>1242</v>
      </c>
      <c r="AJ100" s="269"/>
      <c r="AK100" s="269"/>
      <c r="AL100" s="269"/>
      <c r="AM100" s="272">
        <f>MATCH($A100,Table!$A:$A,0)+$AO$2-1</f>
        <v>1239</v>
      </c>
      <c r="AN100" s="269"/>
      <c r="AP100" s="947" t="s">
        <v>302</v>
      </c>
    </row>
    <row r="101" spans="1:42" s="267" customFormat="1" ht="15.75" customHeight="1" x14ac:dyDescent="0.25">
      <c r="A101" s="268">
        <v>41334</v>
      </c>
      <c r="B101" s="273">
        <f ca="1">IF(ISERROR(MATCH(B$1,INDIRECT("Table!A"&amp;$AM101):INDIRECT("Table!" &amp; $AP$113 &amp; $AM101),0)),"",INDIRECT(CONCATENATE("Table!",ADDRESS($AI101,MATCH(B$1,INDIRECT("Table!A" &amp; $AM101):INDIRECT("Table!" &amp; $AP$112 &amp; $AM101),0)))))</f>
        <v>0.29363452126405759</v>
      </c>
      <c r="C101" s="273">
        <f ca="1">IF(ISERROR(MATCH(C$1,INDIRECT("Table!A"&amp;$AM101):INDIRECT("Table!" &amp; $AP$112 &amp; $AM101),0)),"",INDIRECT(CONCATENATE("Table!",ADDRESS($AI101,MATCH(C$1,INDIRECT("Table!A" &amp; $AM101):INDIRECT("Table!" &amp; $AP$112 &amp; $AM101),0)))))</f>
        <v>0.5121223153981177</v>
      </c>
      <c r="D101" s="273">
        <f ca="1">IF(ISERROR(MATCH(D$1,INDIRECT("Table!A"&amp;$AM101):INDIRECT("Table!" &amp; $AP$112 &amp; $AM101),0)),"",INDIRECT(CONCATENATE("Table!",ADDRESS($AI101,MATCH(D$1,INDIRECT("Table!A" &amp; $AM101):INDIRECT("Table!" &amp; $AP$112 &amp; $AM101),0)))))</f>
        <v>0.52151933551162066</v>
      </c>
      <c r="E101" s="273">
        <f ca="1">IF(ISERROR(MATCH(E$1,INDIRECT("Table!A"&amp;$AM101):INDIRECT("Table!" &amp; $AP$112 &amp; $AM101),0)),"",INDIRECT(CONCATENATE("Table!",ADDRESS($AI101,MATCH(E$1,INDIRECT("Table!A" &amp; $AM101):INDIRECT("Table!" &amp; $AP$112 &amp; $AM101),0)))))</f>
        <v>0.85001961562172745</v>
      </c>
      <c r="F101" s="273">
        <f ca="1">IF(ISERROR(MATCH(F$1,INDIRECT("Table!A"&amp;$AM101):INDIRECT("Table!" &amp; $AP$112 &amp; $AM101),0)),"",INDIRECT(CONCATENATE("Table!",ADDRESS($AI101,MATCH(F$1,INDIRECT("Table!A" &amp; $AM101):INDIRECT("Table!" &amp; $AP$112 &amp; $AM101),0)))))</f>
        <v>0.50462761215454588</v>
      </c>
      <c r="G101" s="273">
        <f ca="1">IF(ISERROR(MATCH(G$1,INDIRECT("Table!A"&amp;$AM101):INDIRECT("Table!" &amp; $AP$112 &amp; $AM101),0)),"",INDIRECT(CONCATENATE("Table!",ADDRESS($AI101,MATCH(G$1,INDIRECT("Table!A" &amp; $AM101):INDIRECT("Table!" &amp; $AP$112 &amp; $AM101),0)))))</f>
        <v>0.29948006538915634</v>
      </c>
      <c r="H101" s="273">
        <f ca="1">IF(ISERROR(MATCH(H$1,INDIRECT("Table!A"&amp;$AM101):INDIRECT("Table!" &amp; $AP$112 &amp; $AM101),0)),"",INDIRECT(CONCATENATE("Table!",ADDRESS($AI101,MATCH(H$1,INDIRECT("Table!A" &amp; $AM101):INDIRECT("Table!" &amp; $AP$112 &amp; $AM101),0)))))</f>
        <v>0.54461072859711968</v>
      </c>
      <c r="I101" s="273" t="str">
        <f ca="1">IF(ISERROR(MATCH(I$1,INDIRECT("Table!A"&amp;$AM101):INDIRECT("Table!" &amp; $AP$91 &amp; $AM101),0)),"",INDIRECT(CONCATENATE("Table!",ADDRESS($AI101,MATCH(I$1,INDIRECT("Table!A" &amp; $AM101):INDIRECT("Table!" &amp; $AP$91 &amp; $AM101),0)))))</f>
        <v/>
      </c>
      <c r="J101" s="273" t="str">
        <f ca="1">IF(ISERROR(MATCH(J$1,INDIRECT("Table!A"&amp;$AM101):INDIRECT("Table!" &amp; $AP$91 &amp; $AM101),0)),"",INDIRECT(CONCATENATE("Table!",ADDRESS($AI101,MATCH(J$1,INDIRECT("Table!A" &amp; $AM101):INDIRECT("Table!" &amp; $AP$91 &amp; $AM101),0)))))</f>
        <v/>
      </c>
      <c r="K101" s="273" t="str">
        <f ca="1">IF(ISERROR(MATCH(K$1,INDIRECT("Table!A"&amp;$AM101):INDIRECT("Table!" &amp; $AP$91 &amp; $AM101),0)),"",INDIRECT(CONCATENATE("Table!",ADDRESS($AI101,MATCH(K$1,INDIRECT("Table!A" &amp; $AM101):INDIRECT("Table!" &amp; $AP$91 &amp; $AM101),0)))))</f>
        <v/>
      </c>
      <c r="L101" s="273">
        <f ca="1">IF(ISERROR(MATCH(L$1,INDIRECT("Table!A"&amp;$AM101):INDIRECT("Table!" &amp; $AP$112 &amp; $AM101),0)),"",INDIRECT(CONCATENATE("Table!",ADDRESS($AI101,MATCH(L$1,INDIRECT("Table!A" &amp; $AM101):INDIRECT("Table!" &amp; $AP$112 &amp; $AM101),0)))))</f>
        <v>0.79838053743776782</v>
      </c>
      <c r="M101" s="273">
        <f ca="1">IF(ISERROR(MATCH(M$1,INDIRECT("Table!A"&amp;$AM101):INDIRECT("Table!" &amp; $AP$91 &amp; $AM101),0)),"",INDIRECT(CONCATENATE("Table!",ADDRESS($AI101,MATCH(M$1,INDIRECT("Table!A" &amp; $AM101):INDIRECT("Table!" &amp; $AP$91 &amp; $AM101),0)))))</f>
        <v>0.39457376778711017</v>
      </c>
      <c r="N101" s="273">
        <f ca="1">IF(ISERROR(MATCH(N$1,INDIRECT("Table!A"&amp;$AM101):INDIRECT("Table!" &amp; $AP$91 &amp; $AM101),0)),"",INDIRECT(CONCATENATE("Table!",ADDRESS($AI101,MATCH(N$1,INDIRECT("Table!A" &amp; $AM101):INDIRECT("Table!" &amp; $AP$91 &amp; $AM101),0)))))</f>
        <v>0.52161041893569515</v>
      </c>
      <c r="O101" s="273">
        <f ca="1">IF(ISERROR(MATCH(O$1,INDIRECT("Table!A"&amp;$AM101):INDIRECT("Table!" &amp; $AP$91 &amp; $AM101),0)),"",INDIRECT(CONCATENATE("Table!",ADDRESS($AI101,MATCH(O$1,INDIRECT("Table!A" &amp; $AM101):INDIRECT("Table!" &amp; $AP$91 &amp; $AM101),0)))))</f>
        <v>0.7297106175279503</v>
      </c>
      <c r="P101" s="273" t="str">
        <f ca="1">IF(ISERROR(MATCH(P$1,INDIRECT("Table!A"&amp;$AM101):INDIRECT("Table!" &amp; $AP$91 &amp; $AM101),0)),"",INDIRECT(CONCATENATE("Table!",ADDRESS($AI101,MATCH(P$1,INDIRECT("Table!A" &amp; $AM101):INDIRECT("Table!" &amp; $AP$91 &amp; $AM101),0)))))</f>
        <v/>
      </c>
      <c r="Q101" s="273" t="str">
        <f ca="1">IF(ISERROR(MATCH(Q$1,INDIRECT("Table!A"&amp;$AM101):INDIRECT("Table!" &amp; $AP$91 &amp; $AM101),0)),"",INDIRECT(CONCATENATE("Table!",ADDRESS($AI101,MATCH(Q$1,INDIRECT("Table!A" &amp; $AM101):INDIRECT("Table!" &amp; $AP$91 &amp; $AM101),0)))))</f>
        <v/>
      </c>
      <c r="R101" s="273" t="str">
        <f ca="1">IF(ISERROR(MATCH(S$1,INDIRECT("Table!A"&amp;$AM101):INDIRECT("Table!" &amp; $AP$91 &amp; $AM101),0)),"",INDIRECT(CONCATENATE("Table!",ADDRESS($AI101,MATCH(S$1,INDIRECT("Table!A" &amp; $AM101):INDIRECT("Table!" &amp; $AP$91 &amp; $AM101),0)))))</f>
        <v/>
      </c>
      <c r="U101" s="591"/>
      <c r="V101" s="743"/>
      <c r="W101" s="743"/>
      <c r="X101" s="743"/>
      <c r="Y101" s="743"/>
      <c r="Z101" s="743"/>
      <c r="AA101" s="743"/>
      <c r="AB101" s="743"/>
      <c r="AC101" s="947"/>
      <c r="AD101" s="947"/>
      <c r="AE101" s="947"/>
      <c r="AF101" s="947"/>
      <c r="AG101" s="947"/>
      <c r="AH101" s="947"/>
      <c r="AI101" s="272">
        <f>MATCH($A101,Table!$A:$A,0)+$AK$2-1</f>
        <v>1254</v>
      </c>
      <c r="AJ101" s="269"/>
      <c r="AK101" s="269"/>
      <c r="AL101" s="269"/>
      <c r="AM101" s="272">
        <f>MATCH($A101,Table!$A:$A,0)+$AO$2-1</f>
        <v>1251</v>
      </c>
      <c r="AN101" s="269"/>
      <c r="AP101" s="947" t="s">
        <v>302</v>
      </c>
    </row>
    <row r="102" spans="1:42" ht="15.75" customHeight="1" x14ac:dyDescent="0.25">
      <c r="A102" s="4">
        <v>41330</v>
      </c>
      <c r="B102" s="24">
        <f ca="1">IF(ISERROR(MATCH(B$1,INDIRECT("Table!A"&amp;$AM102):INDIRECT("Table!" &amp; $AP$113 &amp; $AM102),0)),"",INDIRECT(CONCATENATE("Table!",ADDRESS($AI102,MATCH(B$1,INDIRECT("Table!A" &amp; $AM102):INDIRECT("Table!" &amp; $AP$112 &amp; $AM102),0)))))</f>
        <v>0.30759483430758433</v>
      </c>
      <c r="C102" s="24">
        <f ca="1">IF(ISERROR(MATCH(C$1,INDIRECT("Table!A"&amp;$AM102):INDIRECT("Table!" &amp; $AP$112 &amp; $AM102),0)),"",INDIRECT(CONCATENATE("Table!",ADDRESS($AI102,MATCH(C$1,INDIRECT("Table!A" &amp; $AM102):INDIRECT("Table!" &amp; $AP$112 &amp; $AM102),0)))))</f>
        <v>0.51185058312815013</v>
      </c>
      <c r="D102" s="24">
        <f ca="1">IF(ISERROR(MATCH(D$1,INDIRECT("Table!A"&amp;$AM102):INDIRECT("Table!" &amp; $AP$112 &amp; $AM102),0)),"",INDIRECT(CONCATENATE("Table!",ADDRESS($AI102,MATCH(D$1,INDIRECT("Table!A" &amp; $AM102):INDIRECT("Table!" &amp; $AP$112 &amp; $AM102),0)))))</f>
        <v>0.52124627447749683</v>
      </c>
      <c r="E102" s="24">
        <f ca="1">IF(ISERROR(MATCH(E$1,INDIRECT("Table!A"&amp;$AM102):INDIRECT("Table!" &amp; $AP$112 &amp; $AM102),0)),"",INDIRECT(CONCATENATE("Table!",ADDRESS($AI102,MATCH(E$1,INDIRECT("Table!A" &amp; $AM102):INDIRECT("Table!" &amp; $AP$112 &amp; $AM102),0)))))</f>
        <v>0.84873443525141512</v>
      </c>
      <c r="F102" s="24">
        <f ca="1">IF(ISERROR(MATCH(F$1,INDIRECT("Table!A"&amp;$AM102):INDIRECT("Table!" &amp; $AP$112 &amp; $AM102),0)),"",INDIRECT(CONCATENATE("Table!",ADDRESS($AI102,MATCH(F$1,INDIRECT("Table!A" &amp; $AM102):INDIRECT("Table!" &amp; $AP$112 &amp; $AM102),0)))))</f>
        <v>0.50068569529018903</v>
      </c>
      <c r="G102" s="24">
        <f ca="1">IF(ISERROR(MATCH(G$1,INDIRECT("Table!A"&amp;$AM102):INDIRECT("Table!" &amp; $AP$112 &amp; $AM102),0)),"",INDIRECT(CONCATENATE("Table!",ADDRESS($AI102,MATCH(G$1,INDIRECT("Table!A" &amp; $AM102):INDIRECT("Table!" &amp; $AP$112 &amp; $AM102),0)))))</f>
        <v>0.31367798867798868</v>
      </c>
      <c r="H102" s="24">
        <f ca="1">IF(ISERROR(MATCH(H$1,INDIRECT("Table!A"&amp;$AM102):INDIRECT("Table!" &amp; $AP$112 &amp; $AM102),0)),"",INDIRECT(CONCATENATE("Table!",ADDRESS($AI102,MATCH(H$1,INDIRECT("Table!A" &amp; $AM102):INDIRECT("Table!" &amp; $AP$112 &amp; $AM102),0)))))</f>
        <v>0.53643644947161417</v>
      </c>
      <c r="I102" s="273" t="str">
        <f ca="1">IF(ISERROR(MATCH(I$1,INDIRECT("Table!A"&amp;$AM102):INDIRECT("Table!" &amp; $AP$91 &amp; $AM102),0)),"",INDIRECT(CONCATENATE("Table!",ADDRESS($AI102,MATCH(I$1,INDIRECT("Table!A" &amp; $AM102):INDIRECT("Table!" &amp; $AP$91 &amp; $AM102),0)))))</f>
        <v/>
      </c>
      <c r="J102" s="273" t="str">
        <f ca="1">IF(ISERROR(MATCH(J$1,INDIRECT("Table!A"&amp;$AM102):INDIRECT("Table!" &amp; $AP$91 &amp; $AM102),0)),"",INDIRECT(CONCATENATE("Table!",ADDRESS($AI102,MATCH(J$1,INDIRECT("Table!A" &amp; $AM102):INDIRECT("Table!" &amp; $AP$91 &amp; $AM102),0)))))</f>
        <v/>
      </c>
      <c r="K102" s="273" t="str">
        <f ca="1">IF(ISERROR(MATCH(K$1,INDIRECT("Table!A"&amp;$AM102):INDIRECT("Table!" &amp; $AP$91 &amp; $AM102),0)),"",INDIRECT(CONCATENATE("Table!",ADDRESS($AI102,MATCH(K$1,INDIRECT("Table!A" &amp; $AM102):INDIRECT("Table!" &amp; $AP$91 &amp; $AM102),0)))))</f>
        <v/>
      </c>
      <c r="L102" s="24">
        <f ca="1">IF(ISERROR(MATCH(L$1,INDIRECT("Table!A"&amp;$AM102):INDIRECT("Table!" &amp; $AP$112 &amp; $AM102),0)),"",INDIRECT(CONCATENATE("Table!",ADDRESS($AI102,MATCH(L$1,INDIRECT("Table!A" &amp; $AM102):INDIRECT("Table!" &amp; $AP$112 &amp; $AM102),0)))))</f>
        <v>0.79613162925393854</v>
      </c>
      <c r="M102" s="273">
        <f ca="1">IF(ISERROR(MATCH(M$1,INDIRECT("Table!A"&amp;$AM102):INDIRECT("Table!" &amp; $AP$91 &amp; $AM102),0)),"",INDIRECT(CONCATENATE("Table!",ADDRESS($AI102,MATCH(M$1,INDIRECT("Table!A" &amp; $AM102):INDIRECT("Table!" &amp; $AP$91 &amp; $AM102),0)))))</f>
        <v>0.38749827823952071</v>
      </c>
      <c r="N102" s="273">
        <f ca="1">IF(ISERROR(MATCH(N$1,INDIRECT("Table!A"&amp;$AM102):INDIRECT("Table!" &amp; $AP$91 &amp; $AM102),0)),"",INDIRECT(CONCATENATE("Table!",ADDRESS($AI102,MATCH(N$1,INDIRECT("Table!A" &amp; $AM102):INDIRECT("Table!" &amp; $AP$91 &amp; $AM102),0)))))</f>
        <v>0.5176685044538436</v>
      </c>
      <c r="O102" s="273">
        <f ca="1">IF(ISERROR(MATCH(O$1,INDIRECT("Table!A"&amp;$AM102):INDIRECT("Table!" &amp; $AP$91 &amp; $AM102),0)),"",INDIRECT(CONCATENATE("Table!",ADDRESS($AI102,MATCH(O$1,INDIRECT("Table!A" &amp; $AM102):INDIRECT("Table!" &amp; $AP$91 &amp; $AM102),0)))))</f>
        <v>0.72805493116322451</v>
      </c>
      <c r="P102" s="273" t="str">
        <f ca="1">IF(ISERROR(MATCH(P$1,INDIRECT("Table!A"&amp;$AM102):INDIRECT("Table!" &amp; $AP$91 &amp; $AM102),0)),"",INDIRECT(CONCATENATE("Table!",ADDRESS($AI102,MATCH(P$1,INDIRECT("Table!A" &amp; $AM102):INDIRECT("Table!" &amp; $AP$91 &amp; $AM102),0)))))</f>
        <v/>
      </c>
      <c r="Q102" s="273" t="str">
        <f ca="1">IF(ISERROR(MATCH(Q$1,INDIRECT("Table!A"&amp;$AM102):INDIRECT("Table!" &amp; $AP$91 &amp; $AM102),0)),"",INDIRECT(CONCATENATE("Table!",ADDRESS($AI102,MATCH(Q$1,INDIRECT("Table!A" &amp; $AM102):INDIRECT("Table!" &amp; $AP$91 &amp; $AM102),0)))))</f>
        <v/>
      </c>
      <c r="T102"/>
      <c r="AI102" s="22">
        <f>MATCH($A102,Table!$A:$A,0)+$AK$2-1</f>
        <v>1266</v>
      </c>
      <c r="AJ102" s="258"/>
      <c r="AK102" s="258"/>
      <c r="AL102" s="258"/>
      <c r="AM102" s="22">
        <f>MATCH($A102,Table!$A:$A,0)+$AO$2-1</f>
        <v>1263</v>
      </c>
      <c r="AN102" s="258"/>
      <c r="AP102" s="947" t="s">
        <v>302</v>
      </c>
    </row>
    <row r="103" spans="1:42" ht="15.75" customHeight="1" x14ac:dyDescent="0.25">
      <c r="A103" s="4">
        <v>41327</v>
      </c>
      <c r="B103" s="24">
        <f ca="1">IF(ISERROR(MATCH(B$1,INDIRECT("Table!A"&amp;$AM103):INDIRECT("Table!" &amp; $AP$113 &amp; $AM103),0)),"",INDIRECT(CONCATENATE("Table!",ADDRESS($AI103,MATCH(B$1,INDIRECT("Table!A" &amp; $AM103):INDIRECT("Table!" &amp; $AP$112 &amp; $AM103),0)))))</f>
        <v>0.30706272726131545</v>
      </c>
      <c r="C103" s="24">
        <f ca="1">IF(ISERROR(MATCH(C$1,INDIRECT("Table!A"&amp;$AM103):INDIRECT("Table!" &amp; $AP$112 &amp; $AM103),0)),"",INDIRECT(CONCATENATE("Table!",ADDRESS($AI103,MATCH(C$1,INDIRECT("Table!A" &amp; $AM103):INDIRECT("Table!" &amp; $AP$112 &amp; $AM103),0)))))</f>
        <v>0.51174561075980074</v>
      </c>
      <c r="D103" s="24">
        <f ca="1">IF(ISERROR(MATCH(D$1,INDIRECT("Table!A"&amp;$AM103):INDIRECT("Table!" &amp; $AP$112 &amp; $AM103),0)),"",INDIRECT(CONCATENATE("Table!",ADDRESS($AI103,MATCH(D$1,INDIRECT("Table!A" &amp; $AM103):INDIRECT("Table!" &amp; $AP$112 &amp; $AM103),0)))))</f>
        <v>0.52114196649122557</v>
      </c>
      <c r="E103" s="24">
        <f ca="1">IF(ISERROR(MATCH(E$1,INDIRECT("Table!A"&amp;$AM103):INDIRECT("Table!" &amp; $AP$112 &amp; $AM103),0)),"",INDIRECT(CONCATENATE("Table!",ADDRESS($AI103,MATCH(E$1,INDIRECT("Table!A" &amp; $AM103):INDIRECT("Table!" &amp; $AP$112 &amp; $AM103),0)))))</f>
        <v>0.84820805526220655</v>
      </c>
      <c r="F103" s="24">
        <f ca="1">IF(ISERROR(MATCH(F$1,INDIRECT("Table!A"&amp;$AM103):INDIRECT("Table!" &amp; $AP$112 &amp; $AM103),0)),"",INDIRECT(CONCATENATE("Table!",ADDRESS($AI103,MATCH(F$1,INDIRECT("Table!A" &amp; $AM103):INDIRECT("Table!" &amp; $AP$112 &amp; $AM103),0)))))</f>
        <v>0.49411946026805276</v>
      </c>
      <c r="G103" s="24">
        <f ca="1">IF(ISERROR(MATCH(G$1,INDIRECT("Table!A"&amp;$AM103):INDIRECT("Table!" &amp; $AP$112 &amp; $AM103),0)),"",INDIRECT(CONCATENATE("Table!",ADDRESS($AI103,MATCH(G$1,INDIRECT("Table!A" &amp; $AM103):INDIRECT("Table!" &amp; $AP$112 &amp; $AM103),0)))))</f>
        <v>0.30419504737686559</v>
      </c>
      <c r="H103" s="24">
        <f ca="1">IF(ISERROR(MATCH(H$1,INDIRECT("Table!A"&amp;$AM103):INDIRECT("Table!" &amp; $AP$112 &amp; $AM103),0)),"",INDIRECT(CONCATENATE("Table!",ADDRESS($AI103,MATCH(H$1,INDIRECT("Table!A" &amp; $AM103):INDIRECT("Table!" &amp; $AP$112 &amp; $AM103),0)))))</f>
        <v>0.53437598387232366</v>
      </c>
      <c r="I103" s="273" t="str">
        <f ca="1">IF(ISERROR(MATCH(I$1,INDIRECT("Table!A"&amp;$AM103):INDIRECT("Table!" &amp; $AP$91 &amp; $AM103),0)),"",INDIRECT(CONCATENATE("Table!",ADDRESS($AI103,MATCH(I$1,INDIRECT("Table!A" &amp; $AM103):INDIRECT("Table!" &amp; $AP$91 &amp; $AM103),0)))))</f>
        <v/>
      </c>
      <c r="J103" s="273" t="str">
        <f ca="1">IF(ISERROR(MATCH(J$1,INDIRECT("Table!A"&amp;$AM103):INDIRECT("Table!" &amp; $AP$91 &amp; $AM103),0)),"",INDIRECT(CONCATENATE("Table!",ADDRESS($AI103,MATCH(J$1,INDIRECT("Table!A" &amp; $AM103):INDIRECT("Table!" &amp; $AP$91 &amp; $AM103),0)))))</f>
        <v/>
      </c>
      <c r="K103" s="273" t="str">
        <f ca="1">IF(ISERROR(MATCH(K$1,INDIRECT("Table!A"&amp;$AM103):INDIRECT("Table!" &amp; $AP$91 &amp; $AM103),0)),"",INDIRECT(CONCATENATE("Table!",ADDRESS($AI103,MATCH(K$1,INDIRECT("Table!A" &amp; $AM103):INDIRECT("Table!" &amp; $AP$91 &amp; $AM103),0)))))</f>
        <v/>
      </c>
      <c r="L103" s="24">
        <f ca="1">IF(ISERROR(MATCH(L$1,INDIRECT("Table!A"&amp;$AM103):INDIRECT("Table!" &amp; $AP$112 &amp; $AM103),0)),"",INDIRECT(CONCATENATE("Table!",ADDRESS($AI103,MATCH(L$1,INDIRECT("Table!A" &amp; $AM103):INDIRECT("Table!" &amp; $AP$112 &amp; $AM103),0)))))</f>
        <v>0.79433084490770711</v>
      </c>
      <c r="M103" s="273">
        <f ca="1">IF(ISERROR(MATCH(M$1,INDIRECT("Table!A"&amp;$AM103):INDIRECT("Table!" &amp; $AP$91 &amp; $AM103),0)),"",INDIRECT(CONCATENATE("Table!",ADDRESS($AI103,MATCH(M$1,INDIRECT("Table!A" &amp; $AM103):INDIRECT("Table!" &amp; $AP$91 &amp; $AM103),0)))))</f>
        <v>0.38236402633120459</v>
      </c>
      <c r="N103" s="273">
        <f ca="1">IF(ISERROR(MATCH(N$1,INDIRECT("Table!A"&amp;$AM103):INDIRECT("Table!" &amp; $AP$91 &amp; $AM103),0)),"",INDIRECT(CONCATENATE("Table!",ADDRESS($AI103,MATCH(N$1,INDIRECT("Table!A" &amp; $AM103):INDIRECT("Table!" &amp; $AP$91 &amp; $AM103),0)))))</f>
        <v>0.51636662101411523</v>
      </c>
      <c r="O103" s="273">
        <f ca="1">IF(ISERROR(MATCH(O$1,INDIRECT("Table!A"&amp;$AM103):INDIRECT("Table!" &amp; $AP$91 &amp; $AM103),0)),"",INDIRECT(CONCATENATE("Table!",ADDRESS($AI103,MATCH(O$1,INDIRECT("Table!A" &amp; $AM103):INDIRECT("Table!" &amp; $AP$91 &amp; $AM103),0)))))</f>
        <v>0.72522915843875913</v>
      </c>
      <c r="P103" s="273" t="str">
        <f ca="1">IF(ISERROR(MATCH(P$1,INDIRECT("Table!A"&amp;$AM103):INDIRECT("Table!" &amp; $AP$91 &amp; $AM103),0)),"",INDIRECT(CONCATENATE("Table!",ADDRESS($AI103,MATCH(P$1,INDIRECT("Table!A" &amp; $AM103):INDIRECT("Table!" &amp; $AP$91 &amp; $AM103),0)))))</f>
        <v/>
      </c>
      <c r="Q103" s="273" t="str">
        <f ca="1">IF(ISERROR(MATCH(Q$1,INDIRECT("Table!A"&amp;$AM103):INDIRECT("Table!" &amp; $AP$91 &amp; $AM103),0)),"",INDIRECT(CONCATENATE("Table!",ADDRESS($AI103,MATCH(Q$1,INDIRECT("Table!A" &amp; $AM103):INDIRECT("Table!" &amp; $AP$91 &amp; $AM103),0)))))</f>
        <v/>
      </c>
      <c r="T103"/>
      <c r="AI103" s="22">
        <f>MATCH($A103,Table!$A:$A,0)+$AK$2-1</f>
        <v>1278</v>
      </c>
      <c r="AJ103" s="257"/>
      <c r="AK103" s="257"/>
      <c r="AL103" s="257"/>
      <c r="AM103" s="22">
        <f>MATCH($A103,Table!$A:$A,0)+$AO$2-1</f>
        <v>1275</v>
      </c>
      <c r="AN103" s="257"/>
      <c r="AP103" s="947" t="s">
        <v>302</v>
      </c>
    </row>
    <row r="104" spans="1:42" ht="15.75" customHeight="1" x14ac:dyDescent="0.25">
      <c r="A104" s="4">
        <v>41326</v>
      </c>
      <c r="B104" s="24">
        <f ca="1">IF(ISERROR(MATCH(B$1,INDIRECT("Table!A"&amp;$AM104):INDIRECT("Table!" &amp; $AP$113 &amp; $AM104),0)),"",INDIRECT(CONCATENATE("Table!",ADDRESS($AI104,MATCH(B$1,INDIRECT("Table!A" &amp; $AM104):INDIRECT("Table!" &amp; $AP$112 &amp; $AM104),0)))))</f>
        <v>0.30666870303963534</v>
      </c>
      <c r="C104" s="24">
        <f ca="1">IF(ISERROR(MATCH(C$1,INDIRECT("Table!A"&amp;$AM104):INDIRECT("Table!" &amp; $AP$112 &amp; $AM104),0)),"",INDIRECT(CONCATENATE("Table!",ADDRESS($AI104,MATCH(C$1,INDIRECT("Table!A" &amp; $AM104):INDIRECT("Table!" &amp; $AP$112 &amp; $AM104),0)))))</f>
        <v>0.51170441907095476</v>
      </c>
      <c r="D104" s="24">
        <f ca="1">IF(ISERROR(MATCH(D$1,INDIRECT("Table!A"&amp;$AM104):INDIRECT("Table!" &amp; $AP$112 &amp; $AM104),0)),"",INDIRECT(CONCATENATE("Table!",ADDRESS($AI104,MATCH(D$1,INDIRECT("Table!A" &amp; $AM104):INDIRECT("Table!" &amp; $AP$112 &amp; $AM104),0)))))</f>
        <v>0.51864455425941991</v>
      </c>
      <c r="E104" s="24">
        <f ca="1">IF(ISERROR(MATCH(E$1,INDIRECT("Table!A"&amp;$AM104):INDIRECT("Table!" &amp; $AP$112 &amp; $AM104),0)),"",INDIRECT(CONCATENATE("Table!",ADDRESS($AI104,MATCH(E$1,INDIRECT("Table!A" &amp; $AM104):INDIRECT("Table!" &amp; $AP$112 &amp; $AM104),0)))))</f>
        <v>0.8468465003423119</v>
      </c>
      <c r="F104" s="24">
        <f ca="1">IF(ISERROR(MATCH(F$1,INDIRECT("Table!A"&amp;$AM104):INDIRECT("Table!" &amp; $AP$112 &amp; $AM104),0)),"",INDIRECT(CONCATENATE("Table!",ADDRESS($AI104,MATCH(F$1,INDIRECT("Table!A" &amp; $AM104):INDIRECT("Table!" &amp; $AP$112 &amp; $AM104),0)))))</f>
        <v>0.49411946026805276</v>
      </c>
      <c r="G104" s="24">
        <f ca="1">IF(ISERROR(MATCH(G$1,INDIRECT("Table!A"&amp;$AM104):INDIRECT("Table!" &amp; $AP$112 &amp; $AM104),0)),"",INDIRECT(CONCATENATE("Table!",ADDRESS($AI104,MATCH(G$1,INDIRECT("Table!A" &amp; $AM104):INDIRECT("Table!" &amp; $AP$112 &amp; $AM104),0)))))</f>
        <v>0.3045053431417068</v>
      </c>
      <c r="H104" s="24">
        <f ca="1">IF(ISERROR(MATCH(H$1,INDIRECT("Table!A"&amp;$AM104):INDIRECT("Table!" &amp; $AP$112 &amp; $AM104),0)),"",INDIRECT(CONCATENATE("Table!",ADDRESS($AI104,MATCH(H$1,INDIRECT("Table!A" &amp; $AM104):INDIRECT("Table!" &amp; $AP$112 &amp; $AM104),0)))))</f>
        <v>0.53365646928505139</v>
      </c>
      <c r="I104" s="273" t="str">
        <f ca="1">IF(ISERROR(MATCH(I$1,INDIRECT("Table!A"&amp;$AM104):INDIRECT("Table!" &amp; $AP$91 &amp; $AM104),0)),"",INDIRECT(CONCATENATE("Table!",ADDRESS($AI104,MATCH(I$1,INDIRECT("Table!A" &amp; $AM104):INDIRECT("Table!" &amp; $AP$91 &amp; $AM104),0)))))</f>
        <v/>
      </c>
      <c r="J104" s="273" t="str">
        <f ca="1">IF(ISERROR(MATCH(J$1,INDIRECT("Table!A"&amp;$AM104):INDIRECT("Table!" &amp; $AP$91 &amp; $AM104),0)),"",INDIRECT(CONCATENATE("Table!",ADDRESS($AI104,MATCH(J$1,INDIRECT("Table!A" &amp; $AM104):INDIRECT("Table!" &amp; $AP$91 &amp; $AM104),0)))))</f>
        <v/>
      </c>
      <c r="K104" s="273" t="str">
        <f ca="1">IF(ISERROR(MATCH(K$1,INDIRECT("Table!A"&amp;$AM104):INDIRECT("Table!" &amp; $AP$91 &amp; $AM104),0)),"",INDIRECT(CONCATENATE("Table!",ADDRESS($AI104,MATCH(K$1,INDIRECT("Table!A" &amp; $AM104):INDIRECT("Table!" &amp; $AP$91 &amp; $AM104),0)))))</f>
        <v/>
      </c>
      <c r="L104" s="24">
        <f ca="1">IF(ISERROR(MATCH(L$1,INDIRECT("Table!A"&amp;$AM104):INDIRECT("Table!" &amp; $AP$112 &amp; $AM104),0)),"",INDIRECT(CONCATENATE("Table!",ADDRESS($AI104,MATCH(L$1,INDIRECT("Table!A" &amp; $AM104):INDIRECT("Table!" &amp; $AP$112 &amp; $AM104),0)))))</f>
        <v>0.79363819569283056</v>
      </c>
      <c r="M104" s="273">
        <f ca="1">IF(ISERROR(MATCH(M$1,INDIRECT("Table!A"&amp;$AM104):INDIRECT("Table!" &amp; $AP$91 &amp; $AM104),0)),"",INDIRECT(CONCATENATE("Table!",ADDRESS($AI104,MATCH(M$1,INDIRECT("Table!A" &amp; $AM104):INDIRECT("Table!" &amp; $AP$91 &amp; $AM104),0)))))</f>
        <v>0.38091244980405986</v>
      </c>
      <c r="N104" s="273">
        <f ca="1">IF(ISERROR(MATCH(N$1,INDIRECT("Table!A"&amp;$AM104):INDIRECT("Table!" &amp; $AP$91 &amp; $AM104),0)),"",INDIRECT(CONCATENATE("Table!",ADDRESS($AI104,MATCH(N$1,INDIRECT("Table!A" &amp; $AM104):INDIRECT("Table!" &amp; $AP$91 &amp; $AM104),0)))))</f>
        <v>0.51056193737662625</v>
      </c>
      <c r="O104" s="273">
        <f ca="1">IF(ISERROR(MATCH(O$1,INDIRECT("Table!A"&amp;$AM104):INDIRECT("Table!" &amp; $AP$91 &amp; $AM104),0)),"",INDIRECT(CONCATENATE("Table!",ADDRESS($AI104,MATCH(O$1,INDIRECT("Table!A" &amp; $AM104):INDIRECT("Table!" &amp; $AP$91 &amp; $AM104),0)))))</f>
        <v>0.72431688771760627</v>
      </c>
      <c r="P104" s="273" t="str">
        <f ca="1">IF(ISERROR(MATCH(P$1,INDIRECT("Table!A"&amp;$AM104):INDIRECT("Table!" &amp; $AP$91 &amp; $AM104),0)),"",INDIRECT(CONCATENATE("Table!",ADDRESS($AI104,MATCH(P$1,INDIRECT("Table!A" &amp; $AM104):INDIRECT("Table!" &amp; $AP$91 &amp; $AM104),0)))))</f>
        <v/>
      </c>
      <c r="Q104" s="273" t="str">
        <f ca="1">IF(ISERROR(MATCH(Q$1,INDIRECT("Table!A"&amp;$AM104):INDIRECT("Table!" &amp; $AP$91 &amp; $AM104),0)),"",INDIRECT(CONCATENATE("Table!",ADDRESS($AI104,MATCH(Q$1,INDIRECT("Table!A" &amp; $AM104):INDIRECT("Table!" &amp; $AP$91 &amp; $AM104),0)))))</f>
        <v/>
      </c>
      <c r="T104"/>
      <c r="AI104" s="22">
        <f>MATCH($A104,Table!$A:$A,0)+$AK$2-1</f>
        <v>1290</v>
      </c>
      <c r="AJ104" s="256"/>
      <c r="AK104" s="256"/>
      <c r="AL104" s="256"/>
      <c r="AM104" s="22">
        <f>MATCH($A104,Table!$A:$A,0)+$AO$2-1</f>
        <v>1287</v>
      </c>
      <c r="AN104" s="256"/>
      <c r="AP104" s="947" t="s">
        <v>302</v>
      </c>
    </row>
    <row r="105" spans="1:42" ht="15.75" customHeight="1" x14ac:dyDescent="0.25">
      <c r="A105" s="4">
        <v>41323</v>
      </c>
      <c r="B105" s="24">
        <f ca="1">IF(ISERROR(MATCH(B$1,INDIRECT("Table!A"&amp;$AM105):INDIRECT("Table!" &amp; $AP$113 &amp; $AM105),0)),"",INDIRECT(CONCATENATE("Table!",ADDRESS($AI105,MATCH(B$1,INDIRECT("Table!A" &amp; $AM105):INDIRECT("Table!" &amp; $AP$112 &amp; $AM105),0)))))</f>
        <v>0.3010303210355933</v>
      </c>
      <c r="C105" s="24">
        <f ca="1">IF(ISERROR(MATCH(C$1,INDIRECT("Table!A"&amp;$AM105):INDIRECT("Table!" &amp; $AP$112 &amp; $AM105),0)),"",INDIRECT(CONCATENATE("Table!",ADDRESS($AI105,MATCH(C$1,INDIRECT("Table!A" &amp; $AM105):INDIRECT("Table!" &amp; $AP$112 &amp; $AM105),0)))))</f>
        <v>0.50924819852799508</v>
      </c>
      <c r="D105" s="24">
        <f ca="1">IF(ISERROR(MATCH(D$1,INDIRECT("Table!A"&amp;$AM105):INDIRECT("Table!" &amp; $AP$112 &amp; $AM105),0)),"",INDIRECT(CONCATENATE("Table!",ADDRESS($AI105,MATCH(D$1,INDIRECT("Table!A" &amp; $AM105):INDIRECT("Table!" &amp; $AP$112 &amp; $AM105),0)))))</f>
        <v>0.51864455425941991</v>
      </c>
      <c r="E105" s="24">
        <f ca="1">IF(ISERROR(MATCH(E$1,INDIRECT("Table!A"&amp;$AM105):INDIRECT("Table!" &amp; $AP$112 &amp; $AM105),0)),"",INDIRECT(CONCATENATE("Table!",ADDRESS($AI105,MATCH(E$1,INDIRECT("Table!A" &amp; $AM105):INDIRECT("Table!" &amp; $AP$112 &amp; $AM105),0)))))</f>
        <v>0.8468465003423119</v>
      </c>
      <c r="F105" s="24">
        <f ca="1">IF(ISERROR(MATCH(F$1,INDIRECT("Table!A"&amp;$AM105):INDIRECT("Table!" &amp; $AP$112 &amp; $AM105),0)),"",INDIRECT(CONCATENATE("Table!",ADDRESS($AI105,MATCH(F$1,INDIRECT("Table!A" &amp; $AM105):INDIRECT("Table!" &amp; $AP$112 &amp; $AM105),0)))))</f>
        <v>0.49411946026805276</v>
      </c>
      <c r="G105" s="24">
        <f ca="1">IF(ISERROR(MATCH(G$1,INDIRECT("Table!A"&amp;$AM105):INDIRECT("Table!" &amp; $AP$112 &amp; $AM105),0)),"",INDIRECT(CONCATENATE("Table!",ADDRESS($AI105,MATCH(G$1,INDIRECT("Table!A" &amp; $AM105):INDIRECT("Table!" &amp; $AP$112 &amp; $AM105),0)))))</f>
        <v>0.3045053431417068</v>
      </c>
      <c r="H105" s="24">
        <f ca="1">IF(ISERROR(MATCH(H$1,INDIRECT("Table!A"&amp;$AM105):INDIRECT("Table!" &amp; $AP$112 &amp; $AM105),0)),"",INDIRECT(CONCATENATE("Table!",ADDRESS($AI105,MATCH(H$1,INDIRECT("Table!A" &amp; $AM105):INDIRECT("Table!" &amp; $AP$112 &amp; $AM105),0)))))</f>
        <v>0.53365646928505139</v>
      </c>
      <c r="I105" s="273" t="str">
        <f ca="1">IF(ISERROR(MATCH(I$1,INDIRECT("Table!A"&amp;$AM105):INDIRECT("Table!" &amp; $AP$91 &amp; $AM105),0)),"",INDIRECT(CONCATENATE("Table!",ADDRESS($AI105,MATCH(I$1,INDIRECT("Table!A" &amp; $AM105):INDIRECT("Table!" &amp; $AP$91 &amp; $AM105),0)))))</f>
        <v/>
      </c>
      <c r="J105" s="273" t="str">
        <f ca="1">IF(ISERROR(MATCH(J$1,INDIRECT("Table!A"&amp;$AM105):INDIRECT("Table!" &amp; $AP$91 &amp; $AM105),0)),"",INDIRECT(CONCATENATE("Table!",ADDRESS($AI105,MATCH(J$1,INDIRECT("Table!A" &amp; $AM105):INDIRECT("Table!" &amp; $AP$91 &amp; $AM105),0)))))</f>
        <v/>
      </c>
      <c r="K105" s="273" t="str">
        <f ca="1">IF(ISERROR(MATCH(K$1,INDIRECT("Table!A"&amp;$AM105):INDIRECT("Table!" &amp; $AP$91 &amp; $AM105),0)),"",INDIRECT(CONCATENATE("Table!",ADDRESS($AI105,MATCH(K$1,INDIRECT("Table!A" &amp; $AM105):INDIRECT("Table!" &amp; $AP$91 &amp; $AM105),0)))))</f>
        <v/>
      </c>
      <c r="L105" s="24">
        <f ca="1">IF(ISERROR(MATCH(L$1,INDIRECT("Table!A"&amp;$AM105):INDIRECT("Table!" &amp; $AP$112 &amp; $AM105),0)),"",INDIRECT(CONCATENATE("Table!",ADDRESS($AI105,MATCH(L$1,INDIRECT("Table!A" &amp; $AM105):INDIRECT("Table!" &amp; $AP$112 &amp; $AM105),0)))))</f>
        <v>0.79363819569283056</v>
      </c>
      <c r="M105" s="273">
        <f ca="1">IF(ISERROR(MATCH(M$1,INDIRECT("Table!A"&amp;$AM105):INDIRECT("Table!" &amp; $AP$91 &amp; $AM105),0)),"",INDIRECT(CONCATENATE("Table!",ADDRESS($AI105,MATCH(M$1,INDIRECT("Table!A" &amp; $AM105):INDIRECT("Table!" &amp; $AP$91 &amp; $AM105),0)))))</f>
        <v>0.38091244980405986</v>
      </c>
      <c r="N105" s="273">
        <f ca="1">IF(ISERROR(MATCH(N$1,INDIRECT("Table!A"&amp;$AM105):INDIRECT("Table!" &amp; $AP$91 &amp; $AM105),0)),"",INDIRECT(CONCATENATE("Table!",ADDRESS($AI105,MATCH(N$1,INDIRECT("Table!A" &amp; $AM105):INDIRECT("Table!" &amp; $AP$91 &amp; $AM105),0)))))</f>
        <v>0.51056193737662625</v>
      </c>
      <c r="O105" s="273">
        <f ca="1">IF(ISERROR(MATCH(O$1,INDIRECT("Table!A"&amp;$AM105):INDIRECT("Table!" &amp; $AP$91 &amp; $AM105),0)),"",INDIRECT(CONCATENATE("Table!",ADDRESS($AI105,MATCH(O$1,INDIRECT("Table!A" &amp; $AM105):INDIRECT("Table!" &amp; $AP$91 &amp; $AM105),0)))))</f>
        <v>0.72431688771760627</v>
      </c>
      <c r="P105" s="273" t="str">
        <f ca="1">IF(ISERROR(MATCH(P$1,INDIRECT("Table!A"&amp;$AM105):INDIRECT("Table!" &amp; $AP$91 &amp; $AM105),0)),"",INDIRECT(CONCATENATE("Table!",ADDRESS($AI105,MATCH(P$1,INDIRECT("Table!A" &amp; $AM105):INDIRECT("Table!" &amp; $AP$91 &amp; $AM105),0)))))</f>
        <v/>
      </c>
      <c r="Q105" s="273" t="str">
        <f ca="1">IF(ISERROR(MATCH(Q$1,INDIRECT("Table!A"&amp;$AM105):INDIRECT("Table!" &amp; $AP$91 &amp; $AM105),0)),"",INDIRECT(CONCATENATE("Table!",ADDRESS($AI105,MATCH(Q$1,INDIRECT("Table!A" &amp; $AM105):INDIRECT("Table!" &amp; $AP$91 &amp; $AM105),0)))))</f>
        <v/>
      </c>
      <c r="T105"/>
      <c r="AI105" s="22">
        <f>MATCH($A105,Table!$A:$A,0)+$AK$2-1</f>
        <v>1302</v>
      </c>
      <c r="AJ105" s="255"/>
      <c r="AK105" s="255"/>
      <c r="AL105" s="255"/>
      <c r="AM105" s="22">
        <f>MATCH($A105,Table!$A:$A,0)+$AO$2-1</f>
        <v>1299</v>
      </c>
      <c r="AN105" s="255"/>
      <c r="AP105" s="947" t="s">
        <v>302</v>
      </c>
    </row>
    <row r="106" spans="1:42" ht="15.75" customHeight="1" x14ac:dyDescent="0.25">
      <c r="A106" s="4">
        <v>41310</v>
      </c>
      <c r="B106" s="24">
        <f ca="1">IF(ISERROR(MATCH(B$1,INDIRECT("Table!A"&amp;$AM106):INDIRECT("Table!" &amp; $AP$113 &amp; $AM106),0)),"",INDIRECT(CONCATENATE("Table!",ADDRESS($AI106,MATCH(B$1,INDIRECT("Table!A" &amp; $AM106):INDIRECT("Table!" &amp; $AP$112 &amp; $AM106),0)))))</f>
        <v>0.30073602329833837</v>
      </c>
      <c r="C106" s="24">
        <f ca="1">IF(ISERROR(MATCH(C$1,INDIRECT("Table!A"&amp;$AM106):INDIRECT("Table!" &amp; $AP$112 &amp; $AM106),0)),"",INDIRECT(CONCATENATE("Table!",ADDRESS($AI106,MATCH(C$1,INDIRECT("Table!A" &amp; $AM106):INDIRECT("Table!" &amp; $AP$112 &amp; $AM106),0)))))</f>
        <v>0.50768092120561437</v>
      </c>
      <c r="D106" s="24">
        <f ca="1">IF(ISERROR(MATCH(D$1,INDIRECT("Table!A"&amp;$AM106):INDIRECT("Table!" &amp; $AP$112 &amp; $AM106),0)),"",INDIRECT(CONCATENATE("Table!",ADDRESS($AI106,MATCH(D$1,INDIRECT("Table!A" &amp; $AM106):INDIRECT("Table!" &amp; $AP$112 &amp; $AM106),0)))))</f>
        <v>0.5170752837908047</v>
      </c>
      <c r="E106" s="24">
        <f ca="1">IF(ISERROR(MATCH(E$1,INDIRECT("Table!A"&amp;$AM106):INDIRECT("Table!" &amp; $AP$112 &amp; $AM106),0)),"",INDIRECT(CONCATENATE("Table!",ADDRESS($AI106,MATCH(E$1,INDIRECT("Table!A" &amp; $AM106):INDIRECT("Table!" &amp; $AP$112 &amp; $AM106),0)))))</f>
        <v>0.84355854850992706</v>
      </c>
      <c r="F106" s="24">
        <f ca="1">IF(ISERROR(MATCH(F$1,INDIRECT("Table!A"&amp;$AM106):INDIRECT("Table!" &amp; $AP$112 &amp; $AM106),0)),"",INDIRECT(CONCATENATE("Table!",ADDRESS($AI106,MATCH(F$1,INDIRECT("Table!A" &amp; $AM106):INDIRECT("Table!" &amp; $AP$112 &amp; $AM106),0)))))</f>
        <v>0.47887520587479793</v>
      </c>
      <c r="G106" s="24">
        <f ca="1">IF(ISERROR(MATCH(G$1,INDIRECT("Table!A"&amp;$AM106):INDIRECT("Table!" &amp; $AP$112 &amp; $AM106),0)),"",INDIRECT(CONCATENATE("Table!",ADDRESS($AI106,MATCH(G$1,INDIRECT("Table!A" &amp; $AM106):INDIRECT("Table!" &amp; $AP$112 &amp; $AM106),0)))))</f>
        <v>0.29005388550843098</v>
      </c>
      <c r="H106" s="24">
        <f ca="1">IF(ISERROR(MATCH(H$1,INDIRECT("Table!A"&amp;$AM106):INDIRECT("Table!" &amp; $AP$112 &amp; $AM106),0)),"",INDIRECT(CONCATENATE("Table!",ADDRESS($AI106,MATCH(H$1,INDIRECT("Table!A" &amp; $AM106):INDIRECT("Table!" &amp; $AP$112 &amp; $AM106),0)))))</f>
        <v>0.50626134286312408</v>
      </c>
      <c r="I106" s="273" t="str">
        <f ca="1">IF(ISERROR(MATCH(I$1,INDIRECT("Table!A"&amp;$AM106):INDIRECT("Table!" &amp; $AP$91 &amp; $AM106),0)),"",INDIRECT(CONCATENATE("Table!",ADDRESS($AI106,MATCH(I$1,INDIRECT("Table!A" &amp; $AM106):INDIRECT("Table!" &amp; $AP$91 &amp; $AM106),0)))))</f>
        <v/>
      </c>
      <c r="J106" s="273" t="str">
        <f ca="1">IF(ISERROR(MATCH(J$1,INDIRECT("Table!A"&amp;$AM106):INDIRECT("Table!" &amp; $AP$91 &amp; $AM106),0)),"",INDIRECT(CONCATENATE("Table!",ADDRESS($AI106,MATCH(J$1,INDIRECT("Table!A" &amp; $AM106):INDIRECT("Table!" &amp; $AP$91 &amp; $AM106),0)))))</f>
        <v/>
      </c>
      <c r="K106" s="273" t="str">
        <f ca="1">IF(ISERROR(MATCH(K$1,INDIRECT("Table!A"&amp;$AM106):INDIRECT("Table!" &amp; $AP$91 &amp; $AM106),0)),"",INDIRECT(CONCATENATE("Table!",ADDRESS($AI106,MATCH(K$1,INDIRECT("Table!A" &amp; $AM106):INDIRECT("Table!" &amp; $AP$91 &amp; $AM106),0)))))</f>
        <v/>
      </c>
      <c r="L106" s="24">
        <f ca="1">IF(ISERROR(MATCH(L$1,INDIRECT("Table!A"&amp;$AM106):INDIRECT("Table!" &amp; $AP$112 &amp; $AM106),0)),"",INDIRECT(CONCATENATE("Table!",ADDRESS($AI106,MATCH(L$1,INDIRECT("Table!A" &amp; $AM106):INDIRECT("Table!" &amp; $AP$112 &amp; $AM106),0)))))</f>
        <v>0.78853113813093501</v>
      </c>
      <c r="M106" s="273">
        <f ca="1">IF(ISERROR(MATCH(M$1,INDIRECT("Table!A"&amp;$AM106):INDIRECT("Table!" &amp; $AP$91 &amp; $AM106),0)),"",INDIRECT(CONCATENATE("Table!",ADDRESS($AI106,MATCH(M$1,INDIRECT("Table!A" &amp; $AM106):INDIRECT("Table!" &amp; $AP$91 &amp; $AM106),0)))))</f>
        <v>0.3787676281784455</v>
      </c>
      <c r="N106" s="273">
        <f ca="1">IF(ISERROR(MATCH(N$1,INDIRECT("Table!A"&amp;$AM106):INDIRECT("Table!" &amp; $AP$91 &amp; $AM106),0)),"",INDIRECT(CONCATENATE("Table!",ADDRESS($AI106,MATCH(N$1,INDIRECT("Table!A" &amp; $AM106):INDIRECT("Table!" &amp; $AP$91 &amp; $AM106),0)))))</f>
        <v>0.49477735617330881</v>
      </c>
      <c r="O106" s="273">
        <f ca="1">IF(ISERROR(MATCH(O$1,INDIRECT("Table!A"&amp;$AM106):INDIRECT("Table!" &amp; $AP$91 &amp; $AM106),0)),"",INDIRECT(CONCATENATE("Table!",ADDRESS($AI106,MATCH(O$1,INDIRECT("Table!A" &amp; $AM106):INDIRECT("Table!" &amp; $AP$91 &amp; $AM106),0)))))</f>
        <v>0.69905435490277512</v>
      </c>
      <c r="P106" s="273" t="str">
        <f ca="1">IF(ISERROR(MATCH(P$1,INDIRECT("Table!A"&amp;$AM106):INDIRECT("Table!" &amp; $AP$91 &amp; $AM106),0)),"",INDIRECT(CONCATENATE("Table!",ADDRESS($AI106,MATCH(P$1,INDIRECT("Table!A" &amp; $AM106):INDIRECT("Table!" &amp; $AP$91 &amp; $AM106),0)))))</f>
        <v/>
      </c>
      <c r="Q106" s="273" t="str">
        <f ca="1">IF(ISERROR(MATCH(Q$1,INDIRECT("Table!A"&amp;$AM106):INDIRECT("Table!" &amp; $AP$91 &amp; $AM106),0)),"",INDIRECT(CONCATENATE("Table!",ADDRESS($AI106,MATCH(Q$1,INDIRECT("Table!A" &amp; $AM106):INDIRECT("Table!" &amp; $AP$91 &amp; $AM106),0)))))</f>
        <v/>
      </c>
      <c r="T106"/>
      <c r="AI106" s="22">
        <f>MATCH($A106,Table!$A:$A,0)+$AK$2-1</f>
        <v>1314</v>
      </c>
      <c r="AJ106" s="254"/>
      <c r="AK106" s="254"/>
      <c r="AL106" s="254"/>
      <c r="AM106" s="22">
        <f>MATCH($A106,Table!$A:$A,0)+$AO$2-1</f>
        <v>1311</v>
      </c>
      <c r="AN106" s="254"/>
      <c r="AP106" s="947" t="s">
        <v>302</v>
      </c>
    </row>
    <row r="107" spans="1:42" ht="15.75" customHeight="1" x14ac:dyDescent="0.25">
      <c r="A107" s="4">
        <v>41304</v>
      </c>
      <c r="B107" s="24">
        <f ca="1">IF(ISERROR(MATCH(B$1,INDIRECT("Table!A"&amp;$AM107):INDIRECT("Table!" &amp; $AP$113 &amp; $AM107),0)),"",INDIRECT(CONCATENATE("Table!",ADDRESS($AI107,MATCH(B$1,INDIRECT("Table!A" &amp; $AM107):INDIRECT("Table!" &amp; $AP$112 &amp; $AM107),0)))))</f>
        <v>0.29584175429346921</v>
      </c>
      <c r="C107" s="24">
        <f ca="1">IF(ISERROR(MATCH(C$1,INDIRECT("Table!A"&amp;$AM107):INDIRECT("Table!" &amp; $AP$112 &amp; $AM107),0)),"",INDIRECT(CONCATENATE("Table!",ADDRESS($AI107,MATCH(C$1,INDIRECT("Table!A" &amp; $AM107):INDIRECT("Table!" &amp; $AP$112 &amp; $AM107),0)))))</f>
        <v>0.50745636006319605</v>
      </c>
      <c r="D107" s="24">
        <f ca="1">IF(ISERROR(MATCH(D$1,INDIRECT("Table!A"&amp;$AM107):INDIRECT("Table!" &amp; $AP$112 &amp; $AM107),0)),"",INDIRECT(CONCATENATE("Table!",ADDRESS($AI107,MATCH(D$1,INDIRECT("Table!A" &amp; $AM107):INDIRECT("Table!" &amp; $AP$112 &amp; $AM107),0)))))</f>
        <v>0.51685138703046463</v>
      </c>
      <c r="E107" s="24">
        <f ca="1">IF(ISERROR(MATCH(E$1,INDIRECT("Table!A"&amp;$AM107):INDIRECT("Table!" &amp; $AP$112 &amp; $AM107),0)),"",INDIRECT(CONCATENATE("Table!",ADDRESS($AI107,MATCH(E$1,INDIRECT("Table!A" &amp; $AM107):INDIRECT("Table!" &amp; $AP$112 &amp; $AM107),0)))))</f>
        <v>0.84262666911358286</v>
      </c>
      <c r="F107" s="24">
        <f ca="1">IF(ISERROR(MATCH(F$1,INDIRECT("Table!A"&amp;$AM107):INDIRECT("Table!" &amp; $AP$112 &amp; $AM107),0)),"",INDIRECT(CONCATENATE("Table!",ADDRESS($AI107,MATCH(F$1,INDIRECT("Table!A" &amp; $AM107):INDIRECT("Table!" &amp; $AP$112 &amp; $AM107),0)))))</f>
        <v>0.46741149272449795</v>
      </c>
      <c r="G107" s="24">
        <f ca="1">IF(ISERROR(MATCH(G$1,INDIRECT("Table!A"&amp;$AM107):INDIRECT("Table!" &amp; $AP$112 &amp; $AM107),0)),"",INDIRECT(CONCATENATE("Table!",ADDRESS($AI107,MATCH(G$1,INDIRECT("Table!A" &amp; $AM107):INDIRECT("Table!" &amp; $AP$112 &amp; $AM107),0)))))</f>
        <v>0.28605258377985648</v>
      </c>
      <c r="H107" s="24">
        <f ca="1">IF(ISERROR(MATCH(H$1,INDIRECT("Table!A"&amp;$AM107):INDIRECT("Table!" &amp; $AP$112 &amp; $AM107),0)),"",INDIRECT(CONCATENATE("Table!",ADDRESS($AI107,MATCH(H$1,INDIRECT("Table!A" &amp; $AM107):INDIRECT("Table!" &amp; $AP$112 &amp; $AM107),0)))))</f>
        <v>0.46492593038263674</v>
      </c>
      <c r="I107" s="273" t="str">
        <f ca="1">IF(ISERROR(MATCH(I$1,INDIRECT("Table!A"&amp;$AM107):INDIRECT("Table!" &amp; $AP$91 &amp; $AM107),0)),"",INDIRECT(CONCATENATE("Table!",ADDRESS($AI107,MATCH(I$1,INDIRECT("Table!A" &amp; $AM107):INDIRECT("Table!" &amp; $AP$91 &amp; $AM107),0)))))</f>
        <v/>
      </c>
      <c r="J107" s="273" t="str">
        <f ca="1">IF(ISERROR(MATCH(J$1,INDIRECT("Table!A"&amp;$AM107):INDIRECT("Table!" &amp; $AP$91 &amp; $AM107),0)),"",INDIRECT(CONCATENATE("Table!",ADDRESS($AI107,MATCH(J$1,INDIRECT("Table!A" &amp; $AM107):INDIRECT("Table!" &amp; $AP$91 &amp; $AM107),0)))))</f>
        <v/>
      </c>
      <c r="K107" s="273" t="str">
        <f ca="1">IF(ISERROR(MATCH(K$1,INDIRECT("Table!A"&amp;$AM107):INDIRECT("Table!" &amp; $AP$91 &amp; $AM107),0)),"",INDIRECT(CONCATENATE("Table!",ADDRESS($AI107,MATCH(K$1,INDIRECT("Table!A" &amp; $AM107):INDIRECT("Table!" &amp; $AP$91 &amp; $AM107),0)))))</f>
        <v/>
      </c>
      <c r="L107" s="24">
        <f ca="1">IF(ISERROR(MATCH(L$1,INDIRECT("Table!A"&amp;$AM107):INDIRECT("Table!" &amp; $AP$112 &amp; $AM107),0)),"",INDIRECT(CONCATENATE("Table!",ADDRESS($AI107,MATCH(L$1,INDIRECT("Table!A" &amp; $AM107):INDIRECT("Table!" &amp; $AP$112 &amp; $AM107),0)))))</f>
        <v>0.78763540851797931</v>
      </c>
      <c r="M107" s="273">
        <f ca="1">IF(ISERROR(MATCH(M$1,INDIRECT("Table!A"&amp;$AM107):INDIRECT("Table!" &amp; $AP$91 &amp; $AM107),0)),"",INDIRECT(CONCATENATE("Table!",ADDRESS($AI107,MATCH(M$1,INDIRECT("Table!A" &amp; $AM107):INDIRECT("Table!" &amp; $AP$91 &amp; $AM107),0)))))</f>
        <v>0.3610512804600241</v>
      </c>
      <c r="N107" s="273">
        <f ca="1">IF(ISERROR(MATCH(N$1,INDIRECT("Table!A"&amp;$AM107):INDIRECT("Table!" &amp; $AP$91 &amp; $AM107),0)),"",INDIRECT(CONCATENATE("Table!",ADDRESS($AI107,MATCH(N$1,INDIRECT("Table!A" &amp; $AM107):INDIRECT("Table!" &amp; $AP$91 &amp; $AM107),0)))))</f>
        <v>0.48229885779975656</v>
      </c>
      <c r="O107" s="273">
        <f ca="1">IF(ISERROR(MATCH(O$1,INDIRECT("Table!A"&amp;$AM107):INDIRECT("Table!" &amp; $AP$91 &amp; $AM107),0)),"",INDIRECT(CONCATENATE("Table!",ADDRESS($AI107,MATCH(O$1,INDIRECT("Table!A" &amp; $AM107):INDIRECT("Table!" &amp; $AP$91 &amp; $AM107),0)))))</f>
        <v>0.6309604284159297</v>
      </c>
      <c r="P107" s="273" t="str">
        <f ca="1">IF(ISERROR(MATCH(P$1,INDIRECT("Table!A"&amp;$AM107):INDIRECT("Table!" &amp; $AP$91 &amp; $AM107),0)),"",INDIRECT(CONCATENATE("Table!",ADDRESS($AI107,MATCH(P$1,INDIRECT("Table!A" &amp; $AM107):INDIRECT("Table!" &amp; $AP$91 &amp; $AM107),0)))))</f>
        <v/>
      </c>
      <c r="Q107" s="273" t="str">
        <f ca="1">IF(ISERROR(MATCH(Q$1,INDIRECT("Table!A"&amp;$AM107):INDIRECT("Table!" &amp; $AP$91 &amp; $AM107),0)),"",INDIRECT(CONCATENATE("Table!",ADDRESS($AI107,MATCH(Q$1,INDIRECT("Table!A" &amp; $AM107):INDIRECT("Table!" &amp; $AP$91 &amp; $AM107),0)))))</f>
        <v/>
      </c>
      <c r="T107"/>
      <c r="AI107" s="22">
        <f>MATCH($A107,Table!$A:$A,0)+$AK$2-1</f>
        <v>1326</v>
      </c>
      <c r="AJ107" s="253"/>
      <c r="AK107" s="253"/>
      <c r="AL107" s="253"/>
      <c r="AM107" s="22">
        <f>MATCH($A107,Table!$A:$A,0)+$AO$2-1</f>
        <v>1323</v>
      </c>
      <c r="AN107" s="253"/>
      <c r="AP107" s="947" t="s">
        <v>302</v>
      </c>
    </row>
    <row r="108" spans="1:42" ht="15.75" customHeight="1" x14ac:dyDescent="0.25">
      <c r="A108" s="4">
        <v>41297</v>
      </c>
      <c r="B108" s="24">
        <f ca="1">IF(ISERROR(MATCH(B$1,INDIRECT("Table!A"&amp;$AM108):INDIRECT("Table!" &amp; $AP$113 &amp; $AM108),0)),"",INDIRECT(CONCATENATE("Table!",ADDRESS($AI108,MATCH(B$1,INDIRECT("Table!A" &amp; $AM108):INDIRECT("Table!" &amp; $AP$112 &amp; $AM108),0)))))</f>
        <v>0.29333952613879971</v>
      </c>
      <c r="C108" s="24">
        <f ca="1">IF(ISERROR(MATCH(C$1,INDIRECT("Table!A"&amp;$AM108):INDIRECT("Table!" &amp; $AP$112 &amp; $AM108),0)),"",INDIRECT(CONCATENATE("Table!",ADDRESS($AI108,MATCH(C$1,INDIRECT("Table!A" &amp; $AM108):INDIRECT("Table!" &amp; $AP$112 &amp; $AM108),0)))))</f>
        <v>0.50730554533145367</v>
      </c>
      <c r="D108" s="24">
        <f ca="1">IF(ISERROR(MATCH(D$1,INDIRECT("Table!A"&amp;$AM108):INDIRECT("Table!" &amp; $AP$112 &amp; $AM108),0)),"",INDIRECT(CONCATENATE("Table!",ADDRESS($AI108,MATCH(D$1,INDIRECT("Table!A" &amp; $AM108):INDIRECT("Table!" &amp; $AP$112 &amp; $AM108),0)))))</f>
        <v>0.516699907916644</v>
      </c>
      <c r="E108" s="24">
        <f ca="1">IF(ISERROR(MATCH(E$1,INDIRECT("Table!A"&amp;$AM108):INDIRECT("Table!" &amp; $AP$112 &amp; $AM108),0)),"",INDIRECT(CONCATENATE("Table!",ADDRESS($AI108,MATCH(E$1,INDIRECT("Table!A" &amp; $AM108):INDIRECT("Table!" &amp; $AP$112 &amp; $AM108),0)))))</f>
        <v>0.89517785379823278</v>
      </c>
      <c r="F108" s="24">
        <f ca="1">IF(ISERROR(MATCH(F$1,INDIRECT("Table!A"&amp;$AM108):INDIRECT("Table!" &amp; $AP$112 &amp; $AM108),0)),"",INDIRECT(CONCATENATE("Table!",ADDRESS($AI108,MATCH(F$1,INDIRECT("Table!A" &amp; $AM108):INDIRECT("Table!" &amp; $AP$112 &amp; $AM108),0)))))</f>
        <v>0.46646862392529576</v>
      </c>
      <c r="G108" s="24">
        <f ca="1">IF(ISERROR(MATCH(G$1,INDIRECT("Table!A"&amp;$AM108):INDIRECT("Table!" &amp; $AP$112 &amp; $AM108),0)),"",INDIRECT(CONCATENATE("Table!",ADDRESS($AI108,MATCH(G$1,INDIRECT("Table!A" &amp; $AM108):INDIRECT("Table!" &amp; $AP$112 &amp; $AM108),0)))))</f>
        <v>0.29125495716404809</v>
      </c>
      <c r="H108" s="24">
        <f ca="1">IF(ISERROR(MATCH(H$1,INDIRECT("Table!A"&amp;$AM108):INDIRECT("Table!" &amp; $AP$112 &amp; $AM108),0)),"",INDIRECT(CONCATENATE("Table!",ADDRESS($AI108,MATCH(H$1,INDIRECT("Table!A" &amp; $AM108):INDIRECT("Table!" &amp; $AP$112 &amp; $AM108),0)))))</f>
        <v>0.4607126903252074</v>
      </c>
      <c r="I108" s="273" t="str">
        <f ca="1">IF(ISERROR(MATCH(I$1,INDIRECT("Table!A"&amp;$AM108):INDIRECT("Table!" &amp; $AP$91 &amp; $AM108),0)),"",INDIRECT(CONCATENATE("Table!",ADDRESS($AI108,MATCH(I$1,INDIRECT("Table!A" &amp; $AM108):INDIRECT("Table!" &amp; $AP$91 &amp; $AM108),0)))))</f>
        <v/>
      </c>
      <c r="J108" s="273" t="str">
        <f ca="1">IF(ISERROR(MATCH(J$1,INDIRECT("Table!A"&amp;$AM108):INDIRECT("Table!" &amp; $AP$91 &amp; $AM108),0)),"",INDIRECT(CONCATENATE("Table!",ADDRESS($AI108,MATCH(J$1,INDIRECT("Table!A" &amp; $AM108):INDIRECT("Table!" &amp; $AP$91 &amp; $AM108),0)))))</f>
        <v/>
      </c>
      <c r="K108" s="273" t="str">
        <f ca="1">IF(ISERROR(MATCH(K$1,INDIRECT("Table!A"&amp;$AM108):INDIRECT("Table!" &amp; $AP$91 &amp; $AM108),0)),"",INDIRECT(CONCATENATE("Table!",ADDRESS($AI108,MATCH(K$1,INDIRECT("Table!A" &amp; $AM108):INDIRECT("Table!" &amp; $AP$91 &amp; $AM108),0)))))</f>
        <v/>
      </c>
      <c r="L108" s="24">
        <f ca="1">IF(ISERROR(MATCH(L$1,INDIRECT("Table!A"&amp;$AM108):INDIRECT("Table!" &amp; $AP$112 &amp; $AM108),0)),"",INDIRECT(CONCATENATE("Table!",ADDRESS($AI108,MATCH(L$1,INDIRECT("Table!A" &amp; $AM108):INDIRECT("Table!" &amp; $AP$112 &amp; $AM108),0)))))</f>
        <v>0.78682723142358324</v>
      </c>
      <c r="M108" s="273">
        <f ca="1">IF(ISERROR(MATCH(M$1,INDIRECT("Table!A"&amp;$AM108):INDIRECT("Table!" &amp; $AP$91 &amp; $AM108),0)),"",INDIRECT(CONCATENATE("Table!",ADDRESS($AI108,MATCH(M$1,INDIRECT("Table!A" &amp; $AM108):INDIRECT("Table!" &amp; $AP$91 &amp; $AM108),0)))))</f>
        <v>0.35675936675541614</v>
      </c>
      <c r="N108" s="273">
        <f ca="1">IF(ISERROR(MATCH(N$1,INDIRECT("Table!A"&amp;$AM108):INDIRECT("Table!" &amp; $AP$91 &amp; $AM108),0)),"",INDIRECT(CONCATENATE("Table!",ADDRESS($AI108,MATCH(N$1,INDIRECT("Table!A" &amp; $AM108):INDIRECT("Table!" &amp; $AP$91 &amp; $AM108),0)))))</f>
        <v>0.48149258458313737</v>
      </c>
      <c r="O108" s="273">
        <f ca="1">IF(ISERROR(MATCH(O$1,INDIRECT("Table!A"&amp;$AM108):INDIRECT("Table!" &amp; $AP$91 &amp; $AM108),0)),"",INDIRECT(CONCATENATE("Table!",ADDRESS($AI108,MATCH(O$1,INDIRECT("Table!A" &amp; $AM108):INDIRECT("Table!" &amp; $AP$91 &amp; $AM108),0)))))</f>
        <v>0.62517742532270859</v>
      </c>
      <c r="P108" s="273" t="str">
        <f ca="1">IF(ISERROR(MATCH(P$1,INDIRECT("Table!A"&amp;$AM108):INDIRECT("Table!" &amp; $AP$91 &amp; $AM108),0)),"",INDIRECT(CONCATENATE("Table!",ADDRESS($AI108,MATCH(P$1,INDIRECT("Table!A" &amp; $AM108):INDIRECT("Table!" &amp; $AP$91 &amp; $AM108),0)))))</f>
        <v/>
      </c>
      <c r="Q108" s="273" t="str">
        <f ca="1">IF(ISERROR(MATCH(Q$1,INDIRECT("Table!A"&amp;$AM108):INDIRECT("Table!" &amp; $AP$91 &amp; $AM108),0)),"",INDIRECT(CONCATENATE("Table!",ADDRESS($AI108,MATCH(Q$1,INDIRECT("Table!A" &amp; $AM108):INDIRECT("Table!" &amp; $AP$91 &amp; $AM108),0)))))</f>
        <v/>
      </c>
      <c r="T108"/>
      <c r="AI108" s="22">
        <f>MATCH($A108,Table!$A:$A,0)+$AK$2-1</f>
        <v>1338</v>
      </c>
      <c r="AJ108" s="252"/>
      <c r="AK108" s="252"/>
      <c r="AL108" s="252"/>
      <c r="AM108" s="22">
        <f>MATCH($A108,Table!$A:$A,0)+$AO$2-1</f>
        <v>1335</v>
      </c>
      <c r="AN108" s="252"/>
      <c r="AP108" s="947" t="s">
        <v>302</v>
      </c>
    </row>
    <row r="109" spans="1:42" ht="15.75" customHeight="1" x14ac:dyDescent="0.25">
      <c r="A109" s="4">
        <v>41296</v>
      </c>
      <c r="B109" s="24">
        <f ca="1">IF(ISERROR(MATCH(B$1,INDIRECT("Table!A"&amp;$AM109):INDIRECT("Table!" &amp; $AP$113 &amp; $AM109),0)),"",INDIRECT(CONCATENATE("Table!",ADDRESS($AI109,MATCH(B$1,INDIRECT("Table!A" &amp; $AM109):INDIRECT("Table!" &amp; $AP$112 &amp; $AM109),0)))))</f>
        <v>0.2974973534125287</v>
      </c>
      <c r="C109" s="24">
        <f ca="1">IF(ISERROR(MATCH(C$1,INDIRECT("Table!A"&amp;$AM109):INDIRECT("Table!" &amp; $AP$112 &amp; $AM109),0)),"",INDIRECT(CONCATENATE("Table!",ADDRESS($AI109,MATCH(C$1,INDIRECT("Table!A" &amp; $AM109):INDIRECT("Table!" &amp; $AP$112 &amp; $AM109),0)))))</f>
        <v>0.5071354635194445</v>
      </c>
      <c r="D109" s="24">
        <f ca="1">IF(ISERROR(MATCH(D$1,INDIRECT("Table!A"&amp;$AM109):INDIRECT("Table!" &amp; $AP$112 &amp; $AM109),0)),"",INDIRECT(CONCATENATE("Table!",ADDRESS($AI109,MATCH(D$1,INDIRECT("Table!A" &amp; $AM109):INDIRECT("Table!" &amp; $AP$112 &amp; $AM109),0)))))</f>
        <v>0.51653115486879131</v>
      </c>
      <c r="E109" s="24">
        <f ca="1">IF(ISERROR(MATCH(E$1,INDIRECT("Table!A"&amp;$AM109):INDIRECT("Table!" &amp; $AP$112 &amp; $AM109),0)),"",INDIRECT(CONCATENATE("Table!",ADDRESS($AI109,MATCH(E$1,INDIRECT("Table!A" &amp; $AM109):INDIRECT("Table!" &amp; $AP$112 &amp; $AM109),0)))))</f>
        <v>0.89402674098258328</v>
      </c>
      <c r="F109" s="24">
        <f ca="1">IF(ISERROR(MATCH(F$1,INDIRECT("Table!A"&amp;$AM109):INDIRECT("Table!" &amp; $AP$112 &amp; $AM109),0)),"",INDIRECT(CONCATENATE("Table!",ADDRESS($AI109,MATCH(F$1,INDIRECT("Table!A" &amp; $AM109):INDIRECT("Table!" &amp; $AP$112 &amp; $AM109),0)))))</f>
        <v>0.46235505658723802</v>
      </c>
      <c r="G109" s="24">
        <f ca="1">IF(ISERROR(MATCH(G$1,INDIRECT("Table!A"&amp;$AM109):INDIRECT("Table!" &amp; $AP$112 &amp; $AM109),0)),"",INDIRECT(CONCATENATE("Table!",ADDRESS($AI109,MATCH(G$1,INDIRECT("Table!A" &amp; $AM109):INDIRECT("Table!" &amp; $AP$112 &amp; $AM109),0)))))</f>
        <v>0.26442723942723945</v>
      </c>
      <c r="H109" s="24">
        <f ca="1">IF(ISERROR(MATCH(H$1,INDIRECT("Table!A"&amp;$AM109):INDIRECT("Table!" &amp; $AP$112 &amp; $AM109),0)),"",INDIRECT(CONCATENATE("Table!",ADDRESS($AI109,MATCH(H$1,INDIRECT("Table!A" &amp; $AM109):INDIRECT("Table!" &amp; $AP$112 &amp; $AM109),0)))))</f>
        <v>0.44627212321913956</v>
      </c>
      <c r="I109" s="273" t="str">
        <f ca="1">IF(ISERROR(MATCH(I$1,INDIRECT("Table!A"&amp;$AM109):INDIRECT("Table!" &amp; $AP$91 &amp; $AM109),0)),"",INDIRECT(CONCATENATE("Table!",ADDRESS($AI109,MATCH(I$1,INDIRECT("Table!A" &amp; $AM109):INDIRECT("Table!" &amp; $AP$91 &amp; $AM109),0)))))</f>
        <v/>
      </c>
      <c r="J109" s="273" t="str">
        <f ca="1">IF(ISERROR(MATCH(J$1,INDIRECT("Table!A"&amp;$AM109):INDIRECT("Table!" &amp; $AP$91 &amp; $AM109),0)),"",INDIRECT(CONCATENATE("Table!",ADDRESS($AI109,MATCH(J$1,INDIRECT("Table!A" &amp; $AM109):INDIRECT("Table!" &amp; $AP$91 &amp; $AM109),0)))))</f>
        <v/>
      </c>
      <c r="K109" s="273" t="str">
        <f ca="1">IF(ISERROR(MATCH(K$1,INDIRECT("Table!A"&amp;$AM109):INDIRECT("Table!" &amp; $AP$91 &amp; $AM109),0)),"",INDIRECT(CONCATENATE("Table!",ADDRESS($AI109,MATCH(K$1,INDIRECT("Table!A" &amp; $AM109):INDIRECT("Table!" &amp; $AP$91 &amp; $AM109),0)))))</f>
        <v/>
      </c>
      <c r="L109" s="24">
        <f ca="1">IF(ISERROR(MATCH(L$1,INDIRECT("Table!A"&amp;$AM109):INDIRECT("Table!" &amp; $AP$112 &amp; $AM109),0)),"",INDIRECT(CONCATENATE("Table!",ADDRESS($AI109,MATCH(L$1,INDIRECT("Table!A" &amp; $AM109):INDIRECT("Table!" &amp; $AP$112 &amp; $AM109),0)))))</f>
        <v>0.78391209519911731</v>
      </c>
      <c r="M109" s="273">
        <f ca="1">IF(ISERROR(MATCH(M$1,INDIRECT("Table!A"&amp;$AM109):INDIRECT("Table!" &amp; $AP$91 &amp; $AM109),0)),"",INDIRECT(CONCATENATE("Table!",ADDRESS($AI109,MATCH(M$1,INDIRECT("Table!A" &amp; $AM109):INDIRECT("Table!" &amp; $AP$91 &amp; $AM109),0)))))</f>
        <v>0.35414229082691423</v>
      </c>
      <c r="N109" s="273">
        <f ca="1">IF(ISERROR(MATCH(N$1,INDIRECT("Table!A"&amp;$AM109):INDIRECT("Table!" &amp; $AP$91 &amp; $AM109),0)),"",INDIRECT(CONCATENATE("Table!",ADDRESS($AI109,MATCH(N$1,INDIRECT("Table!A" &amp; $AM109):INDIRECT("Table!" &amp; $AP$91 &amp; $AM109),0)))))</f>
        <v>0.47711066492759857</v>
      </c>
      <c r="O109" s="273">
        <f ca="1">IF(ISERROR(MATCH(O$1,INDIRECT("Table!A"&amp;$AM109):INDIRECT("Table!" &amp; $AP$91 &amp; $AM109),0)),"",INDIRECT(CONCATENATE("Table!",ADDRESS($AI109,MATCH(O$1,INDIRECT("Table!A" &amp; $AM109):INDIRECT("Table!" &amp; $AP$91 &amp; $AM109),0)))))</f>
        <v>0.61680946631029554</v>
      </c>
      <c r="P109" s="273" t="str">
        <f ca="1">IF(ISERROR(MATCH(P$1,INDIRECT("Table!A"&amp;$AM109):INDIRECT("Table!" &amp; $AP$91 &amp; $AM109),0)),"",INDIRECT(CONCATENATE("Table!",ADDRESS($AI109,MATCH(P$1,INDIRECT("Table!A" &amp; $AM109):INDIRECT("Table!" &amp; $AP$91 &amp; $AM109),0)))))</f>
        <v/>
      </c>
      <c r="Q109" s="273" t="str">
        <f ca="1">IF(ISERROR(MATCH(Q$1,INDIRECT("Table!A"&amp;$AM109):INDIRECT("Table!" &amp; $AP$91 &amp; $AM109),0)),"",INDIRECT(CONCATENATE("Table!",ADDRESS($AI109,MATCH(Q$1,INDIRECT("Table!A" &amp; $AM109):INDIRECT("Table!" &amp; $AP$91 &amp; $AM109),0)))))</f>
        <v/>
      </c>
      <c r="T109"/>
      <c r="AI109" s="22">
        <f>MATCH($A109,Table!$A:$A,0)+$AK$2-1</f>
        <v>1350</v>
      </c>
      <c r="AJ109" s="247"/>
      <c r="AK109" s="247"/>
      <c r="AL109" s="247"/>
      <c r="AM109" s="22">
        <f>MATCH($A109,Table!$A:$A,0)+$AO$2-1</f>
        <v>1347</v>
      </c>
      <c r="AN109" s="247"/>
      <c r="AP109" s="947" t="s">
        <v>302</v>
      </c>
    </row>
    <row r="110" spans="1:42" ht="15.75" customHeight="1" x14ac:dyDescent="0.25">
      <c r="A110" s="4">
        <v>41292</v>
      </c>
      <c r="B110" s="24">
        <f ca="1">IF(ISERROR(MATCH(B$1,INDIRECT("Table!A"&amp;$AM110):INDIRECT("Table!" &amp; $AP$112 &amp; $AM110),0)),"",INDIRECT(CONCATENATE("Table!",ADDRESS($AI110,MATCH(B$1,INDIRECT("Table!A" &amp; $AM110):INDIRECT("Table!" &amp; $AP$112 &amp; $AM110),0)))))</f>
        <v>0.29686551988183452</v>
      </c>
      <c r="C110" s="24">
        <f ca="1">IF(ISERROR(MATCH(C$1,INDIRECT("Table!A"&amp;$AM110):INDIRECT("Table!" &amp; $AP$112 &amp; $AM110),0)),"",INDIRECT(CONCATENATE("Table!",ADDRESS($AI110,MATCH(C$1,INDIRECT("Table!A" &amp; $AM110):INDIRECT("Table!" &amp; $AP$112 &amp; $AM110),0)))))</f>
        <v>0.50628571884147711</v>
      </c>
      <c r="D110" s="24">
        <f ca="1">IF(ISERROR(MATCH(D$1,INDIRECT("Table!A"&amp;$AM110):INDIRECT("Table!" &amp; $AP$112 &amp; $AM110),0)),"",INDIRECT(CONCATENATE("Table!",ADDRESS($AI110,MATCH(D$1,INDIRECT("Table!A" &amp; $AM110):INDIRECT("Table!" &amp; $AP$112 &amp; $AM110),0)))))</f>
        <v>0.51568207457290205</v>
      </c>
      <c r="E110" s="24">
        <f ca="1">IF(ISERROR(MATCH(E$1,INDIRECT("Table!A"&amp;$AM110):INDIRECT("Table!" &amp; $AP$112 &amp; $AM110),0)),"",INDIRECT(CONCATENATE("Table!",ADDRESS($AI110,MATCH(E$1,INDIRECT("Table!A" &amp; $AM110):INDIRECT("Table!" &amp; $AP$112 &amp; $AM110),0)))))</f>
        <v>0.89261463600109459</v>
      </c>
      <c r="F110" s="24">
        <f ca="1">IF(ISERROR(MATCH(F$1,INDIRECT("Table!A"&amp;$AM110):INDIRECT("Table!" &amp; $AP$112 &amp; $AM110),0)),"",INDIRECT(CONCATENATE("Table!",ADDRESS($AI110,MATCH(F$1,INDIRECT("Table!A" &amp; $AM110):INDIRECT("Table!" &amp; $AP$112 &amp; $AM110),0)))))</f>
        <v>0.4612103171605143</v>
      </c>
      <c r="G110" s="24">
        <f ca="1">IF(ISERROR(MATCH(G$1,INDIRECT("Table!A"&amp;$AM110):INDIRECT("Table!" &amp; $AP$112 &amp; $AM110),0)),"",INDIRECT(CONCATENATE("Table!",ADDRESS($AI110,MATCH(G$1,INDIRECT("Table!A" &amp; $AM110):INDIRECT("Table!" &amp; $AP$112 &amp; $AM110),0)))))</f>
        <v>0.25068794841522113</v>
      </c>
      <c r="H110" s="24">
        <f ca="1">IF(ISERROR(MATCH(H$1,INDIRECT("Table!A"&amp;$AM110):INDIRECT("Table!" &amp; $AP$112 &amp; $AM110),0)),"",INDIRECT(CONCATENATE("Table!",ADDRESS($AI110,MATCH(H$1,INDIRECT("Table!A" &amp; $AM110):INDIRECT("Table!" &amp; $AP$112 &amp; $AM110),0)))))</f>
        <v>0.44360258398869873</v>
      </c>
      <c r="I110" s="273" t="str">
        <f ca="1">IF(ISERROR(MATCH(I$1,INDIRECT("Table!A"&amp;$AM110):INDIRECT("Table!" &amp; $AP$91 &amp; $AM110),0)),"",INDIRECT(CONCATENATE("Table!",ADDRESS($AI110,MATCH(I$1,INDIRECT("Table!A" &amp; $AM110):INDIRECT("Table!" &amp; $AP$91 &amp; $AM110),0)))))</f>
        <v/>
      </c>
      <c r="J110" s="273" t="str">
        <f ca="1">IF(ISERROR(MATCH(J$1,INDIRECT("Table!A"&amp;$AM110):INDIRECT("Table!" &amp; $AP$91 &amp; $AM110),0)),"",INDIRECT(CONCATENATE("Table!",ADDRESS($AI110,MATCH(J$1,INDIRECT("Table!A" &amp; $AM110):INDIRECT("Table!" &amp; $AP$91 &amp; $AM110),0)))))</f>
        <v/>
      </c>
      <c r="K110" s="273" t="str">
        <f ca="1">IF(ISERROR(MATCH(K$1,INDIRECT("Table!A"&amp;$AM110):INDIRECT("Table!" &amp; $AP$91 &amp; $AM110),0)),"",INDIRECT(CONCATENATE("Table!",ADDRESS($AI110,MATCH(K$1,INDIRECT("Table!A" &amp; $AM110):INDIRECT("Table!" &amp; $AP$91 &amp; $AM110),0)))))</f>
        <v/>
      </c>
      <c r="L110" s="24">
        <f ca="1">IF(ISERROR(MATCH(L$1,INDIRECT("Table!A"&amp;$AM110):INDIRECT("Table!" &amp; $AP$112 &amp; $AM110),0)),"",INDIRECT(CONCATENATE("Table!",ADDRESS($AI110,MATCH(L$1,INDIRECT("Table!A" &amp; $AM110):INDIRECT("Table!" &amp; $AP$112 &amp; $AM110),0)))))</f>
        <v>0.78353753619959898</v>
      </c>
      <c r="M110" s="273">
        <f ca="1">IF(ISERROR(MATCH(M$1,INDIRECT("Table!A"&amp;$AM110):INDIRECT("Table!" &amp; $AP$91 &amp; $AM110),0)),"",INDIRECT(CONCATENATE("Table!",ADDRESS($AI110,MATCH(M$1,INDIRECT("Table!A" &amp; $AM110):INDIRECT("Table!" &amp; $AP$91 &amp; $AM110),0)))))</f>
        <v>0.31954058132688318</v>
      </c>
      <c r="N110" s="273">
        <f ca="1">IF(ISERROR(MATCH(N$1,INDIRECT("Table!A"&amp;$AM110):INDIRECT("Table!" &amp; $AP$91 &amp; $AM110),0)),"",INDIRECT(CONCATENATE("Table!",ADDRESS($AI110,MATCH(N$1,INDIRECT("Table!A" &amp; $AM110):INDIRECT("Table!" &amp; $AP$91 &amp; $AM110),0)))))</f>
        <v>0.47590306831080315</v>
      </c>
      <c r="O110" s="273">
        <f ca="1">IF(ISERROR(MATCH(O$1,INDIRECT("Table!A"&amp;$AM110):INDIRECT("Table!" &amp; $AP$91 &amp; $AM110),0)),"",INDIRECT(CONCATENATE("Table!",ADDRESS($AI110,MATCH(O$1,INDIRECT("Table!A" &amp; $AM110):INDIRECT("Table!" &amp; $AP$91 &amp; $AM110),0)))))</f>
        <v>0.61339383406985493</v>
      </c>
      <c r="P110" s="273" t="str">
        <f ca="1">IF(ISERROR(MATCH(P$1,INDIRECT("Table!A"&amp;$AM110):INDIRECT("Table!" &amp; $AP$91 &amp; $AM110),0)),"",INDIRECT(CONCATENATE("Table!",ADDRESS($AI110,MATCH(P$1,INDIRECT("Table!A" &amp; $AM110):INDIRECT("Table!" &amp; $AP$91 &amp; $AM110),0)))))</f>
        <v/>
      </c>
      <c r="Q110" s="273" t="str">
        <f ca="1">IF(ISERROR(MATCH(Q$1,INDIRECT("Table!A"&amp;$AM110):INDIRECT("Table!" &amp; $AP$91 &amp; $AM110),0)),"",INDIRECT(CONCATENATE("Table!",ADDRESS($AI110,MATCH(Q$1,INDIRECT("Table!A" &amp; $AM110):INDIRECT("Table!" &amp; $AP$91 &amp; $AM110),0)))))</f>
        <v/>
      </c>
      <c r="T110"/>
      <c r="AI110" s="22">
        <f>MATCH($A110,Table!$A:$A,0)+$AK$2-1</f>
        <v>1362</v>
      </c>
      <c r="AJ110" s="246"/>
      <c r="AK110" s="246"/>
      <c r="AL110" s="246"/>
      <c r="AM110" s="22">
        <f>MATCH($A110,Table!$A:$A,0)+$AO$2-1</f>
        <v>1359</v>
      </c>
      <c r="AN110" s="246"/>
      <c r="AP110" s="947" t="s">
        <v>302</v>
      </c>
    </row>
    <row r="111" spans="1:42" ht="15.75" customHeight="1" x14ac:dyDescent="0.25">
      <c r="A111" s="4">
        <v>41289</v>
      </c>
      <c r="B111" s="24">
        <f ca="1">IF(ISERROR(MATCH(B$1,INDIRECT("Table!A"&amp;$AM111):INDIRECT("Table!" &amp; $AP$112 &amp; $AM111),0)),"",INDIRECT(CONCATENATE("Table!",ADDRESS($AI111,MATCH(B$1,INDIRECT("Table!A" &amp; $AM111):INDIRECT("Table!" &amp; $AP$112 &amp; $AM111),0)))))</f>
        <v>0.30244741345763576</v>
      </c>
      <c r="C111" s="24">
        <f ca="1">IF(ISERROR(MATCH(C$1,INDIRECT("Table!A"&amp;$AM111):INDIRECT("Table!" &amp; $AP$112 &amp; $AM111),0)),"",INDIRECT(CONCATENATE("Table!",ADDRESS($AI111,MATCH(C$1,INDIRECT("Table!A" &amp; $AM111):INDIRECT("Table!" &amp; $AP$112 &amp; $AM111),0)))))</f>
        <v>0.50613025343518758</v>
      </c>
      <c r="D111" s="24">
        <f ca="1">IF(ISERROR(MATCH(D$1,INDIRECT("Table!A"&amp;$AM111):INDIRECT("Table!" &amp; $AP$112 &amp; $AM111),0)),"",INDIRECT(CONCATENATE("Table!",ADDRESS($AI111,MATCH(D$1,INDIRECT("Table!A" &amp; $AM111):INDIRECT("Table!" &amp; $AP$112 &amp; $AM111),0)))))</f>
        <v>0.51552660916661242</v>
      </c>
      <c r="E111" s="24">
        <f ca="1">IF(ISERROR(MATCH(E$1,INDIRECT("Table!A"&amp;$AM111):INDIRECT("Table!" &amp; $AP$112 &amp; $AM111),0)),"",INDIRECT(CONCATENATE("Table!",ADDRESS($AI111,MATCH(E$1,INDIRECT("Table!A" &amp; $AM111):INDIRECT("Table!" &amp; $AP$112 &amp; $AM111),0)))))</f>
        <v>0.89201957386298081</v>
      </c>
      <c r="F111" s="24">
        <f ca="1">IF(ISERROR(MATCH(F$1,INDIRECT("Table!A"&amp;$AM111):INDIRECT("Table!" &amp; $AP$112 &amp; $AM111),0)),"",INDIRECT(CONCATENATE("Table!",ADDRESS($AI111,MATCH(F$1,INDIRECT("Table!A" &amp; $AM111):INDIRECT("Table!" &amp; $AP$112 &amp; $AM111),0)))))</f>
        <v>0.45706229884710114</v>
      </c>
      <c r="G111" s="24">
        <f ca="1">IF(ISERROR(MATCH(G$1,INDIRECT("Table!A"&amp;$AM111):INDIRECT("Table!" &amp; $AP$112 &amp; $AM111),0)),"",INDIRECT(CONCATENATE("Table!",ADDRESS($AI111,MATCH(G$1,INDIRECT("Table!A" &amp; $AM111):INDIRECT("Table!" &amp; $AP$112 &amp; $AM111),0)))))</f>
        <v>0.26121000211909301</v>
      </c>
      <c r="H111" s="24">
        <f ca="1">IF(ISERROR(MATCH(H$1,INDIRECT("Table!A"&amp;$AM111):INDIRECT("Table!" &amp; $AP$112 &amp; $AM111),0)),"",INDIRECT(CONCATENATE("Table!",ADDRESS($AI111,MATCH(H$1,INDIRECT("Table!A" &amp; $AM111):INDIRECT("Table!" &amp; $AP$112 &amp; $AM111),0)))))</f>
        <v>0.44254927397434146</v>
      </c>
      <c r="I111" s="273" t="str">
        <f ca="1">IF(ISERROR(MATCH(I$1,INDIRECT("Table!A"&amp;$AM111):INDIRECT("Table!" &amp; $AP$91 &amp; $AM111),0)),"",INDIRECT(CONCATENATE("Table!",ADDRESS($AI111,MATCH(I$1,INDIRECT("Table!A" &amp; $AM111):INDIRECT("Table!" &amp; $AP$91 &amp; $AM111),0)))))</f>
        <v/>
      </c>
      <c r="J111" s="273" t="str">
        <f ca="1">IF(ISERROR(MATCH(J$1,INDIRECT("Table!A"&amp;$AM111):INDIRECT("Table!" &amp; $AP$91 &amp; $AM111),0)),"",INDIRECT(CONCATENATE("Table!",ADDRESS($AI111,MATCH(J$1,INDIRECT("Table!A" &amp; $AM111):INDIRECT("Table!" &amp; $AP$91 &amp; $AM111),0)))))</f>
        <v/>
      </c>
      <c r="K111" s="273" t="str">
        <f ca="1">IF(ISERROR(MATCH(K$1,INDIRECT("Table!A"&amp;$AM111):INDIRECT("Table!" &amp; $AP$91 &amp; $AM111),0)),"",INDIRECT(CONCATENATE("Table!",ADDRESS($AI111,MATCH(K$1,INDIRECT("Table!A" &amp; $AM111):INDIRECT("Table!" &amp; $AP$91 &amp; $AM111),0)))))</f>
        <v/>
      </c>
      <c r="L111" s="24">
        <f ca="1">IF(ISERROR(MATCH(L$1,INDIRECT("Table!A"&amp;$AM111):INDIRECT("Table!" &amp; $AP$112 &amp; $AM111),0)),"",INDIRECT(CONCATENATE("Table!",ADDRESS($AI111,MATCH(L$1,INDIRECT("Table!A" &amp; $AM111):INDIRECT("Table!" &amp; $AP$112 &amp; $AM111),0)))))</f>
        <v>0.78172690867080763</v>
      </c>
      <c r="M111" s="273">
        <f ca="1">IF(ISERROR(MATCH(M$1,INDIRECT("Table!A"&amp;$AM111):INDIRECT("Table!" &amp; $AP$91 &amp; $AM111),0)),"",INDIRECT(CONCATENATE("Table!",ADDRESS($AI111,MATCH(M$1,INDIRECT("Table!A" &amp; $AM111):INDIRECT("Table!" &amp; $AP$91 &amp; $AM111),0)))))</f>
        <v>0.31443811576587688</v>
      </c>
      <c r="N111" s="273">
        <f ca="1">IF(ISERROR(MATCH(N$1,INDIRECT("Table!A"&amp;$AM111):INDIRECT("Table!" &amp; $AP$91 &amp; $AM111),0)),"",INDIRECT(CONCATENATE("Table!",ADDRESS($AI111,MATCH(N$1,INDIRECT("Table!A" &amp; $AM111):INDIRECT("Table!" &amp; $AP$91 &amp; $AM111),0)))))</f>
        <v>0.47165049083544169</v>
      </c>
      <c r="O111" s="273">
        <f ca="1">IF(ISERROR(MATCH(O$1,INDIRECT("Table!A"&amp;$AM111):INDIRECT("Table!" &amp; $AP$91 &amp; $AM111),0)),"",INDIRECT(CONCATENATE("Table!",ADDRESS($AI111,MATCH(O$1,INDIRECT("Table!A" &amp; $AM111):INDIRECT("Table!" &amp; $AP$91 &amp; $AM111),0)))))</f>
        <v>0.61196989846596861</v>
      </c>
      <c r="P111" s="273" t="str">
        <f ca="1">IF(ISERROR(MATCH(P$1,INDIRECT("Table!A"&amp;$AM111):INDIRECT("Table!" &amp; $AP$91 &amp; $AM111),0)),"",INDIRECT(CONCATENATE("Table!",ADDRESS($AI111,MATCH(P$1,INDIRECT("Table!A" &amp; $AM111):INDIRECT("Table!" &amp; $AP$91 &amp; $AM111),0)))))</f>
        <v/>
      </c>
      <c r="Q111" s="273" t="str">
        <f ca="1">IF(ISERROR(MATCH(Q$1,INDIRECT("Table!A"&amp;$AM111):INDIRECT("Table!" &amp; $AP$91 &amp; $AM111),0)),"",INDIRECT(CONCATENATE("Table!",ADDRESS($AI111,MATCH(Q$1,INDIRECT("Table!A" &amp; $AM111):INDIRECT("Table!" &amp; $AP$91 &amp; $AM111),0)))))</f>
        <v/>
      </c>
      <c r="T111"/>
      <c r="AI111" s="22">
        <f>MATCH($A111,Table!$A:$A,0)+$AK$2-1</f>
        <v>1374</v>
      </c>
      <c r="AJ111" s="246"/>
      <c r="AK111" s="246"/>
      <c r="AL111" s="246"/>
      <c r="AM111" s="22">
        <f>MATCH($A111,Table!$A:$A,0)+$AO$2-1</f>
        <v>1371</v>
      </c>
      <c r="AN111" s="246"/>
      <c r="AP111" s="947" t="s">
        <v>302</v>
      </c>
    </row>
    <row r="112" spans="1:42" ht="15.75" customHeight="1" x14ac:dyDescent="0.25">
      <c r="A112" s="4">
        <v>41285</v>
      </c>
      <c r="B112" s="24">
        <f ca="1">IF(ISERROR(MATCH(B$1,INDIRECT("Table!A"&amp;$AM112):INDIRECT("Table!" &amp; $AP$112 &amp; $AM112),0)),"",INDIRECT(CONCATENATE("Table!",ADDRESS($AI112,MATCH(B$1,INDIRECT("Table!A" &amp; $AM112):INDIRECT("Table!" &amp; $AP$112 &amp; $AM112),0)))))</f>
        <v>0.29784186308599764</v>
      </c>
      <c r="C112" s="24">
        <f ca="1">IF(ISERROR(MATCH(C$1,INDIRECT("Table!A"&amp;$AM112):INDIRECT("Table!" &amp; $AP$112 &amp; $AM112),0)),"",INDIRECT(CONCATENATE("Table!",ADDRESS($AI112,MATCH(C$1,INDIRECT("Table!A" &amp; $AM112):INDIRECT("Table!" &amp; $AP$112 &amp; $AM112),0)))))</f>
        <v>0.50580071992441988</v>
      </c>
      <c r="D112" s="24">
        <f ca="1">IF(ISERROR(MATCH(D$1,INDIRECT("Table!A"&amp;$AM112):INDIRECT("Table!" &amp; $AP$112 &amp; $AM112),0)),"",INDIRECT(CONCATENATE("Table!",ADDRESS($AI112,MATCH(D$1,INDIRECT("Table!A" &amp; $AM112):INDIRECT("Table!" &amp; $AP$112 &amp; $AM112),0)))))</f>
        <v>0.51519707565584483</v>
      </c>
      <c r="E112" s="24">
        <f ca="1">IF(ISERROR(MATCH(E$1,INDIRECT("Table!A"&amp;$AM112):INDIRECT("Table!" &amp; $AP$112 &amp; $AM112),0)),"",INDIRECT(CONCATENATE("Table!",ADDRESS($AI112,MATCH(E$1,INDIRECT("Table!A" &amp; $AM112):INDIRECT("Table!" &amp; $AP$112 &amp; $AM112),0)))))</f>
        <v>0.88960196222152144</v>
      </c>
      <c r="F112" s="24">
        <f ca="1">IF(ISERROR(MATCH(F$1,INDIRECT("Table!A"&amp;$AM112):INDIRECT("Table!" &amp; $AP$112 &amp; $AM112),0)),"",INDIRECT(CONCATENATE("Table!",ADDRESS($AI112,MATCH(F$1,INDIRECT("Table!A" &amp; $AM112):INDIRECT("Table!" &amp; $AP$112 &amp; $AM112),0)))))</f>
        <v>0.45479216089209895</v>
      </c>
      <c r="G112" s="24">
        <f ca="1">IF(ISERROR(MATCH(G$1,INDIRECT("Table!A"&amp;$AM112):INDIRECT("Table!" &amp; $AP$112 &amp; $AM112),0)),"",INDIRECT(CONCATENATE("Table!",ADDRESS($AI112,MATCH(G$1,INDIRECT("Table!A" &amp; $AM112):INDIRECT("Table!" &amp; $AP$112 &amp; $AM112),0)))))</f>
        <v>0.24044137680501318</v>
      </c>
      <c r="H112" s="24">
        <f ca="1">IF(ISERROR(MATCH(H$1,INDIRECT("Table!A"&amp;$AM112):INDIRECT("Table!" &amp; $AP$112 &amp; $AM112),0)),"",INDIRECT(CONCATENATE("Table!",ADDRESS($AI112,MATCH(H$1,INDIRECT("Table!A" &amp; $AM112):INDIRECT("Table!" &amp; $AP$112 &amp; $AM112),0)))))</f>
        <v>0.44178442914388477</v>
      </c>
      <c r="I112" s="273" t="str">
        <f ca="1">IF(ISERROR(MATCH(I$1,INDIRECT("Table!A"&amp;$AM112):INDIRECT("Table!" &amp; $AP$91 &amp; $AM112),0)),"",INDIRECT(CONCATENATE("Table!",ADDRESS($AI112,MATCH(I$1,INDIRECT("Table!A" &amp; $AM112):INDIRECT("Table!" &amp; $AP$91 &amp; $AM112),0)))))</f>
        <v/>
      </c>
      <c r="J112" s="273" t="str">
        <f ca="1">IF(ISERROR(MATCH(J$1,INDIRECT("Table!A"&amp;$AM112):INDIRECT("Table!" &amp; $AP$91 &amp; $AM112),0)),"",INDIRECT(CONCATENATE("Table!",ADDRESS($AI112,MATCH(J$1,INDIRECT("Table!A" &amp; $AM112):INDIRECT("Table!" &amp; $AP$91 &amp; $AM112),0)))))</f>
        <v/>
      </c>
      <c r="K112" s="273" t="str">
        <f ca="1">IF(ISERROR(MATCH(K$1,INDIRECT("Table!A"&amp;$AM112):INDIRECT("Table!" &amp; $AP$91 &amp; $AM112),0)),"",INDIRECT(CONCATENATE("Table!",ADDRESS($AI112,MATCH(K$1,INDIRECT("Table!A" &amp; $AM112):INDIRECT("Table!" &amp; $AP$91 &amp; $AM112),0)))))</f>
        <v/>
      </c>
      <c r="L112" s="24">
        <f ca="1">IF(ISERROR(MATCH(L$1,INDIRECT("Table!A"&amp;$AM112):INDIRECT("Table!" &amp; $AP$112 &amp; $AM112),0)),"",INDIRECT(CONCATENATE("Table!",ADDRESS($AI112,MATCH(L$1,INDIRECT("Table!A" &amp; $AM112):INDIRECT("Table!" &amp; $AP$112 &amp; $AM112),0)))))</f>
        <v>0.78115185958441047</v>
      </c>
      <c r="M112" s="273">
        <f ca="1">IF(ISERROR(MATCH(M$1,INDIRECT("Table!A"&amp;$AM112):INDIRECT("Table!" &amp; $AP$91 &amp; $AM112),0)),"",INDIRECT(CONCATENATE("Table!",ADDRESS($AI112,MATCH(M$1,INDIRECT("Table!A" &amp; $AM112):INDIRECT("Table!" &amp; $AP$91 &amp; $AM112),0)))))</f>
        <v>0.31126704921283382</v>
      </c>
      <c r="N112" s="273">
        <f ca="1">IF(ISERROR(MATCH(N$1,INDIRECT("Table!A"&amp;$AM112):INDIRECT("Table!" &amp; $AP$91 &amp; $AM112),0)),"",INDIRECT(CONCATENATE("Table!",ADDRESS($AI112,MATCH(N$1,INDIRECT("Table!A" &amp; $AM112):INDIRECT("Table!" &amp; $AP$91 &amp; $AM112),0)))))</f>
        <v>0.46927397937536192</v>
      </c>
      <c r="O112" s="273">
        <f ca="1">IF(ISERROR(MATCH(O$1,INDIRECT("Table!A"&amp;$AM112):INDIRECT("Table!" &amp; $AP$91 &amp; $AM112),0)),"",INDIRECT(CONCATENATE("Table!",ADDRESS($AI112,MATCH(O$1,INDIRECT("Table!A" &amp; $AM112):INDIRECT("Table!" &amp; $AP$91 &amp; $AM112),0)))))</f>
        <v>0.61094883521160992</v>
      </c>
      <c r="P112" s="273" t="str">
        <f ca="1">IF(ISERROR(MATCH(P$1,INDIRECT("Table!A"&amp;$AM112):INDIRECT("Table!" &amp; $AP$91 &amp; $AM112),0)),"",INDIRECT(CONCATENATE("Table!",ADDRESS($AI112,MATCH(P$1,INDIRECT("Table!A" &amp; $AM112):INDIRECT("Table!" &amp; $AP$91 &amp; $AM112),0)))))</f>
        <v/>
      </c>
      <c r="Q112" s="273" t="str">
        <f ca="1">IF(ISERROR(MATCH(Q$1,INDIRECT("Table!A"&amp;$AM112):INDIRECT("Table!" &amp; $AP$91 &amp; $AM112),0)),"",INDIRECT(CONCATENATE("Table!",ADDRESS($AI112,MATCH(Q$1,INDIRECT("Table!A" &amp; $AM112):INDIRECT("Table!" &amp; $AP$91 &amp; $AM112),0)))))</f>
        <v/>
      </c>
      <c r="T112"/>
      <c r="AI112" s="22">
        <f>MATCH($A112,Table!$A:$A,0)+$AK$2-1</f>
        <v>1386</v>
      </c>
      <c r="AJ112" s="245"/>
      <c r="AK112" s="245"/>
      <c r="AL112" s="245"/>
      <c r="AM112" s="22">
        <f>MATCH($A112,Table!$A:$A,0)+$AO$2-1</f>
        <v>1383</v>
      </c>
      <c r="AN112" s="245"/>
      <c r="AP112" s="947" t="s">
        <v>302</v>
      </c>
    </row>
    <row r="113" spans="1:42" ht="15.75" customHeight="1" x14ac:dyDescent="0.25">
      <c r="A113" s="4">
        <v>41281</v>
      </c>
      <c r="B113" s="24">
        <f ca="1">IF(ISERROR(MATCH(B$1,INDIRECT("Table!A"&amp;$AM113):INDIRECT("Table!" &amp; $AP$112 &amp; $AM113),0)),"",INDIRECT(CONCATENATE("Table!",ADDRESS($AI113,MATCH(B$1,INDIRECT("Table!A" &amp; $AM113):INDIRECT("Table!" &amp; $AP$112 &amp; $AM113),0)))))</f>
        <v>0.28042738726374233</v>
      </c>
      <c r="C113" s="24">
        <f ca="1">IF(ISERROR(MATCH(C$1,INDIRECT("Table!A"&amp;$AM113):INDIRECT("Table!" &amp; $AP$112 &amp; $AM113),0)),"",INDIRECT(CONCATENATE("Table!",ADDRESS($AI113,MATCH(C$1,INDIRECT("Table!A" &amp; $AM113):INDIRECT("Table!" &amp; $AP$112 &amp; $AM113),0)))))</f>
        <v>0.50553496709315571</v>
      </c>
      <c r="D113" s="24">
        <f ca="1">IF(ISERROR(MATCH(D$1,INDIRECT("Table!A"&amp;$AM113):INDIRECT("Table!" &amp; $AP$112 &amp; $AM113),0)),"",INDIRECT(CONCATENATE("Table!",ADDRESS($AI113,MATCH(D$1,INDIRECT("Table!A" &amp; $AM113):INDIRECT("Table!" &amp; $AP$112 &amp; $AM113),0)))))</f>
        <v>0.51493198720665867</v>
      </c>
      <c r="E113" s="24">
        <f ca="1">IF(ISERROR(MATCH(E$1,INDIRECT("Table!A"&amp;$AM113):INDIRECT("Table!" &amp; $AP$112 &amp; $AM113),0)),"",INDIRECT(CONCATENATE("Table!",ADDRESS($AI113,MATCH(E$1,INDIRECT("Table!A" &amp; $AM113):INDIRECT("Table!" &amp; $AP$112 &amp; $AM113),0)))))</f>
        <v>0.88875140248948059</v>
      </c>
      <c r="F113" s="24">
        <f ca="1">IF(ISERROR(MATCH(F$1,INDIRECT("Table!A"&amp;$AM113):INDIRECT("Table!" &amp; $AP$112 &amp; $AM113),0)),"",INDIRECT(CONCATENATE("Table!",ADDRESS($AI113,MATCH(F$1,INDIRECT("Table!A" &amp; $AM113):INDIRECT("Table!" &amp; $AP$112 &amp; $AM113),0)))))</f>
        <v>0.44734954140916583</v>
      </c>
      <c r="G113" s="24">
        <f ca="1">IF(ISERROR(MATCH(G$1,INDIRECT("Table!A"&amp;$AM113):INDIRECT("Table!" &amp; $AP$112 &amp; $AM113),0)),"",INDIRECT(CONCATENATE("Table!",ADDRESS($AI113,MATCH(G$1,INDIRECT("Table!A" &amp; $AM113):INDIRECT("Table!" &amp; $AP$112 &amp; $AM113),0)))))</f>
        <v>0.23468955287137105</v>
      </c>
      <c r="H113" s="24">
        <f ca="1">IF(ISERROR(MATCH(H$1,INDIRECT("Table!A"&amp;$AM113):INDIRECT("Table!" &amp; $AP$112 &amp; $AM113),0)),"",INDIRECT(CONCATENATE("Table!",ADDRESS($AI113,MATCH(H$1,INDIRECT("Table!A" &amp; $AM113):INDIRECT("Table!" &amp; $AP$112 &amp; $AM113),0)))))</f>
        <v>0.44020034319115026</v>
      </c>
      <c r="I113" s="273" t="str">
        <f ca="1">IF(ISERROR(MATCH(I$1,INDIRECT("Table!A"&amp;$AM113):INDIRECT("Table!" &amp; $AP$91 &amp; $AM113),0)),"",INDIRECT(CONCATENATE("Table!",ADDRESS($AI113,MATCH(I$1,INDIRECT("Table!A" &amp; $AM113):INDIRECT("Table!" &amp; $AP$91 &amp; $AM113),0)))))</f>
        <v/>
      </c>
      <c r="J113" s="273" t="str">
        <f ca="1">IF(ISERROR(MATCH(J$1,INDIRECT("Table!A"&amp;$AM113):INDIRECT("Table!" &amp; $AP$91 &amp; $AM113),0)),"",INDIRECT(CONCATENATE("Table!",ADDRESS($AI113,MATCH(J$1,INDIRECT("Table!A" &amp; $AM113):INDIRECT("Table!" &amp; $AP$91 &amp; $AM113),0)))))</f>
        <v/>
      </c>
      <c r="K113" s="273" t="str">
        <f ca="1">IF(ISERROR(MATCH(K$1,INDIRECT("Table!A"&amp;$AM113):INDIRECT("Table!" &amp; $AP$91 &amp; $AM113),0)),"",INDIRECT(CONCATENATE("Table!",ADDRESS($AI113,MATCH(K$1,INDIRECT("Table!A" &amp; $AM113):INDIRECT("Table!" &amp; $AP$91 &amp; $AM113),0)))))</f>
        <v/>
      </c>
      <c r="L113" s="24">
        <f ca="1">IF(ISERROR(MATCH(L$1,INDIRECT("Table!A"&amp;$AM113):INDIRECT("Table!" &amp; $AP$112 &amp; $AM113),0)),"",INDIRECT(CONCATENATE("Table!",ADDRESS($AI113,MATCH(L$1,INDIRECT("Table!A" &amp; $AM113):INDIRECT("Table!" &amp; $AP$112 &amp; $AM113),0)))))</f>
        <v>0.7797080201215375</v>
      </c>
      <c r="M113" s="273">
        <f ca="1">IF(ISERROR(MATCH(M$1,INDIRECT("Table!A"&amp;$AM113):INDIRECT("Table!" &amp; $AP$91 &amp; $AM113),0)),"",INDIRECT(CONCATENATE("Table!",ADDRESS($AI113,MATCH(M$1,INDIRECT("Table!A" &amp; $AM113):INDIRECT("Table!" &amp; $AP$91 &amp; $AM113),0)))))</f>
        <v>0.31507157225869237</v>
      </c>
      <c r="N113" s="273">
        <f ca="1">IF(ISERROR(MATCH(N$1,INDIRECT("Table!A"&amp;$AM113):INDIRECT("Table!" &amp; $AP$91 &amp; $AM113),0)),"",INDIRECT(CONCATENATE("Table!",ADDRESS($AI113,MATCH(N$1,INDIRECT("Table!A" &amp; $AM113):INDIRECT("Table!" &amp; $AP$91 &amp; $AM113),0)))))</f>
        <v>0.46175158323290172</v>
      </c>
      <c r="O113" s="273">
        <f ca="1">IF(ISERROR(MATCH(O$1,INDIRECT("Table!A"&amp;$AM113):INDIRECT("Table!" &amp; $AP$91 &amp; $AM113),0)),"",INDIRECT(CONCATENATE("Table!",ADDRESS($AI113,MATCH(O$1,INDIRECT("Table!A" &amp; $AM113):INDIRECT("Table!" &amp; $AP$91 &amp; $AM113),0)))))</f>
        <v>0.60886874464182605</v>
      </c>
      <c r="P113" s="273" t="str">
        <f ca="1">IF(ISERROR(MATCH(P$1,INDIRECT("Table!A"&amp;$AM113):INDIRECT("Table!" &amp; $AP$91 &amp; $AM113),0)),"",INDIRECT(CONCATENATE("Table!",ADDRESS($AI113,MATCH(P$1,INDIRECT("Table!A" &amp; $AM113):INDIRECT("Table!" &amp; $AP$91 &amp; $AM113),0)))))</f>
        <v/>
      </c>
      <c r="Q113" s="273" t="str">
        <f ca="1">IF(ISERROR(MATCH(Q$1,INDIRECT("Table!A"&amp;$AM113):INDIRECT("Table!" &amp; $AP$91 &amp; $AM113),0)),"",INDIRECT(CONCATENATE("Table!",ADDRESS($AI113,MATCH(Q$1,INDIRECT("Table!A" &amp; $AM113):INDIRECT("Table!" &amp; $AP$91 &amp; $AM113),0)))))</f>
        <v/>
      </c>
      <c r="T113"/>
      <c r="AI113" s="22">
        <f>MATCH($A113,Table!$A:$A,0)+$AK$2-1</f>
        <v>1410</v>
      </c>
      <c r="AJ113" s="243"/>
      <c r="AK113" s="243"/>
      <c r="AL113" s="243"/>
      <c r="AM113" s="22">
        <f>MATCH($A113,Table!$A:$A,0)+$AO$2-1</f>
        <v>1407</v>
      </c>
      <c r="AN113" s="243"/>
      <c r="AP113" s="947" t="s">
        <v>302</v>
      </c>
    </row>
    <row r="114" spans="1:42" s="267" customFormat="1" ht="15.75" customHeight="1" x14ac:dyDescent="0.25">
      <c r="A114" s="268"/>
      <c r="B114" s="273"/>
      <c r="C114" s="273"/>
      <c r="D114" s="273"/>
      <c r="E114" s="273"/>
      <c r="F114" s="273"/>
      <c r="G114" s="273"/>
      <c r="H114" s="273"/>
      <c r="I114" s="273"/>
      <c r="J114" s="273"/>
      <c r="K114" s="273"/>
      <c r="L114" s="273"/>
      <c r="M114" s="273"/>
      <c r="N114" s="273"/>
      <c r="O114" s="273"/>
      <c r="P114" s="273"/>
      <c r="T114" s="272"/>
      <c r="U114" s="591"/>
      <c r="V114" s="743"/>
      <c r="W114" s="743"/>
      <c r="X114" s="743"/>
      <c r="Y114" s="743"/>
      <c r="Z114" s="743"/>
      <c r="AA114" s="743"/>
      <c r="AB114" s="743"/>
      <c r="AC114" s="947"/>
      <c r="AD114" s="947"/>
      <c r="AE114" s="947"/>
      <c r="AF114" s="947"/>
      <c r="AG114" s="947"/>
      <c r="AH114" s="947"/>
      <c r="AI114" s="369"/>
      <c r="AJ114" s="369"/>
      <c r="AK114" s="369"/>
      <c r="AL114" s="272"/>
      <c r="AM114" s="369"/>
    </row>
    <row r="115" spans="1:42" s="267" customFormat="1" ht="15.75" customHeight="1" x14ac:dyDescent="0.25">
      <c r="A115" s="268"/>
      <c r="B115" s="273"/>
      <c r="C115" s="273"/>
      <c r="D115" s="273"/>
      <c r="E115" s="273"/>
      <c r="F115" s="273"/>
      <c r="G115" s="273"/>
      <c r="H115" s="273"/>
      <c r="I115" s="273"/>
      <c r="J115" s="273"/>
      <c r="K115" s="592"/>
      <c r="L115" s="273"/>
      <c r="M115" s="273"/>
      <c r="N115" s="273"/>
      <c r="O115" s="273"/>
      <c r="P115" s="273"/>
      <c r="T115" s="272"/>
      <c r="U115" s="591"/>
      <c r="V115" s="743"/>
      <c r="W115" s="743"/>
      <c r="X115" s="743"/>
      <c r="Y115" s="743"/>
      <c r="Z115" s="743"/>
      <c r="AA115" s="743"/>
      <c r="AB115" s="743"/>
      <c r="AC115" s="947"/>
      <c r="AD115" s="947"/>
      <c r="AE115" s="947"/>
      <c r="AF115" s="947"/>
      <c r="AG115" s="947"/>
      <c r="AH115" s="947"/>
      <c r="AI115" s="369"/>
      <c r="AJ115" s="369"/>
      <c r="AK115" s="272"/>
      <c r="AL115" s="369"/>
    </row>
    <row r="116" spans="1:42" s="267" customFormat="1" ht="15.75" customHeight="1" x14ac:dyDescent="0.25">
      <c r="A116" s="268"/>
      <c r="B116" s="273"/>
      <c r="C116" s="273"/>
      <c r="D116" s="273"/>
      <c r="E116" s="273"/>
      <c r="F116" s="273"/>
      <c r="G116" s="273"/>
      <c r="H116" s="273"/>
      <c r="I116" s="273"/>
      <c r="J116" s="273"/>
      <c r="K116" s="592"/>
      <c r="L116" s="273"/>
      <c r="M116" s="273"/>
      <c r="N116" s="273"/>
      <c r="O116" s="273"/>
      <c r="P116" s="273"/>
      <c r="T116" s="272"/>
      <c r="U116" s="591"/>
      <c r="V116" s="743"/>
      <c r="W116" s="743"/>
      <c r="X116" s="743"/>
      <c r="Y116" s="743"/>
      <c r="Z116" s="743"/>
      <c r="AA116" s="743"/>
      <c r="AB116" s="743"/>
      <c r="AC116" s="947"/>
      <c r="AD116" s="947"/>
      <c r="AE116" s="947"/>
      <c r="AF116" s="947"/>
      <c r="AG116" s="947"/>
      <c r="AH116" s="947"/>
      <c r="AI116" s="369"/>
      <c r="AJ116" s="369"/>
      <c r="AK116" s="272"/>
      <c r="AL116" s="369"/>
    </row>
    <row r="117" spans="1:42" s="267" customFormat="1" ht="15.75" customHeight="1" x14ac:dyDescent="0.25">
      <c r="A117" s="268"/>
      <c r="B117" s="273"/>
      <c r="C117" s="273"/>
      <c r="D117" s="273"/>
      <c r="E117" s="273"/>
      <c r="F117" s="273"/>
      <c r="G117" s="273"/>
      <c r="H117" s="273"/>
      <c r="I117" s="273"/>
      <c r="J117" s="273"/>
      <c r="K117" s="592"/>
      <c r="L117" s="273"/>
      <c r="M117" s="273"/>
      <c r="N117" s="273"/>
      <c r="O117" s="273"/>
      <c r="P117" s="273"/>
      <c r="T117" s="272"/>
      <c r="U117" s="591"/>
      <c r="V117" s="743"/>
      <c r="W117" s="743"/>
      <c r="X117" s="743"/>
      <c r="Y117" s="743"/>
      <c r="Z117" s="743"/>
      <c r="AA117" s="743"/>
      <c r="AB117" s="743"/>
      <c r="AC117" s="947"/>
      <c r="AD117" s="947"/>
      <c r="AE117" s="947"/>
      <c r="AF117" s="947"/>
      <c r="AG117" s="947"/>
      <c r="AH117" s="947"/>
      <c r="AI117" s="369"/>
      <c r="AJ117" s="369"/>
      <c r="AK117" s="272"/>
      <c r="AL117" s="369"/>
    </row>
    <row r="118" spans="1:42" ht="15.75" customHeight="1" x14ac:dyDescent="0.25">
      <c r="B118" s="24"/>
      <c r="C118" s="24"/>
      <c r="D118" s="24"/>
      <c r="E118" s="24"/>
      <c r="F118" s="24"/>
      <c r="G118" s="24"/>
      <c r="H118" s="24"/>
      <c r="I118" s="273"/>
      <c r="J118" s="273"/>
      <c r="K118" s="592"/>
      <c r="L118" s="24"/>
      <c r="M118" s="24"/>
      <c r="N118" s="24"/>
      <c r="O118" s="24"/>
      <c r="P118" s="273"/>
      <c r="T118" s="22"/>
      <c r="AI118" s="242"/>
      <c r="AJ118" s="242"/>
      <c r="AK118" s="22"/>
      <c r="AL118" s="242"/>
    </row>
    <row r="119" spans="1:42" ht="15.75" customHeight="1" x14ac:dyDescent="0.25">
      <c r="B119" s="24"/>
      <c r="C119" s="24"/>
      <c r="D119" s="24"/>
      <c r="E119" s="24"/>
      <c r="F119" s="24"/>
      <c r="G119" s="24"/>
      <c r="H119" s="24"/>
      <c r="I119" s="273"/>
      <c r="J119" s="273"/>
      <c r="K119" s="24"/>
      <c r="L119" s="24"/>
      <c r="M119" s="24"/>
      <c r="N119" s="24"/>
      <c r="O119" s="24"/>
      <c r="P119" s="273"/>
      <c r="T119" s="22"/>
      <c r="AI119" s="241"/>
      <c r="AJ119" s="241"/>
      <c r="AK119" s="22"/>
      <c r="AL119" s="241"/>
    </row>
    <row r="120" spans="1:42" ht="15.75" customHeight="1" x14ac:dyDescent="0.25">
      <c r="B120" s="24"/>
      <c r="C120" s="24"/>
      <c r="D120" s="24"/>
      <c r="E120" s="24"/>
      <c r="F120" s="24"/>
      <c r="G120" s="24"/>
      <c r="H120" s="24"/>
      <c r="I120" s="273"/>
      <c r="J120" s="273"/>
      <c r="K120" s="24"/>
      <c r="L120" s="24"/>
      <c r="M120" s="24"/>
      <c r="N120" s="24"/>
      <c r="O120" s="24"/>
      <c r="P120" s="273"/>
      <c r="T120" s="22"/>
      <c r="AI120" s="240"/>
      <c r="AJ120" s="240"/>
      <c r="AK120" s="22"/>
      <c r="AL120" s="240"/>
    </row>
    <row r="121" spans="1:42" ht="15.75" customHeight="1" x14ac:dyDescent="0.25">
      <c r="B121" s="24"/>
      <c r="C121" s="24"/>
      <c r="D121" s="24"/>
      <c r="E121" s="24"/>
      <c r="F121" s="24"/>
      <c r="G121" s="24"/>
      <c r="H121" s="24"/>
      <c r="I121" s="273"/>
      <c r="J121" s="273"/>
      <c r="K121" s="24"/>
      <c r="L121" s="24"/>
      <c r="M121" s="24"/>
      <c r="N121" s="24"/>
      <c r="O121" s="24"/>
      <c r="P121" s="273"/>
      <c r="T121" s="22"/>
      <c r="AI121" s="239"/>
      <c r="AJ121" s="239"/>
      <c r="AK121" s="22"/>
      <c r="AL121" s="239"/>
    </row>
    <row r="122" spans="1:42" ht="15.75" customHeight="1" x14ac:dyDescent="0.25">
      <c r="B122" s="24"/>
      <c r="C122" s="24"/>
      <c r="D122" s="24"/>
      <c r="E122" s="24"/>
      <c r="F122" s="24"/>
      <c r="G122" s="24"/>
      <c r="H122" s="24"/>
      <c r="I122" s="273"/>
      <c r="J122" s="273"/>
      <c r="K122" s="24"/>
      <c r="L122" s="24"/>
      <c r="M122" s="24"/>
      <c r="N122" s="24"/>
      <c r="O122" s="24"/>
      <c r="P122" s="273"/>
      <c r="T122" s="22"/>
      <c r="AI122" s="238"/>
      <c r="AJ122" s="238"/>
      <c r="AK122" s="22"/>
      <c r="AL122" s="238"/>
    </row>
    <row r="123" spans="1:42" ht="15.75" customHeight="1" x14ac:dyDescent="0.25">
      <c r="B123" s="24"/>
      <c r="C123" s="24"/>
      <c r="D123" s="24"/>
      <c r="E123" s="24"/>
      <c r="F123" s="24"/>
      <c r="G123" s="24"/>
      <c r="H123" s="24"/>
      <c r="I123" s="273"/>
      <c r="J123" s="273"/>
      <c r="K123" s="24"/>
      <c r="L123" s="24"/>
      <c r="M123" s="24"/>
      <c r="N123" s="24"/>
      <c r="O123" s="24"/>
      <c r="P123" s="273"/>
      <c r="T123" s="22"/>
      <c r="AI123" s="220"/>
      <c r="AJ123" s="220"/>
      <c r="AK123" s="22"/>
      <c r="AL123" s="220"/>
    </row>
    <row r="124" spans="1:42" ht="15.75" customHeight="1" x14ac:dyDescent="0.25">
      <c r="B124" s="24"/>
      <c r="C124" s="24"/>
      <c r="D124" s="24"/>
      <c r="E124" s="24"/>
      <c r="F124" s="24"/>
      <c r="G124" s="24"/>
      <c r="H124" s="24"/>
      <c r="I124" s="273"/>
      <c r="J124" s="273"/>
      <c r="K124" s="24"/>
      <c r="L124" s="24"/>
      <c r="M124" s="24"/>
      <c r="N124" s="24"/>
      <c r="O124" s="24"/>
      <c r="P124" s="273"/>
      <c r="T124" s="22"/>
      <c r="AI124" s="219"/>
      <c r="AJ124" s="219"/>
      <c r="AK124" s="22"/>
      <c r="AL124" s="219"/>
    </row>
    <row r="125" spans="1:42" ht="15.75" customHeight="1" x14ac:dyDescent="0.25">
      <c r="B125" s="24"/>
      <c r="C125" s="24"/>
      <c r="D125" s="24"/>
      <c r="E125" s="24"/>
      <c r="F125" s="24"/>
      <c r="G125" s="24"/>
      <c r="H125" s="24"/>
      <c r="I125" s="273"/>
      <c r="J125" s="273"/>
      <c r="K125" s="24"/>
      <c r="L125" s="24"/>
      <c r="M125" s="24"/>
      <c r="N125" s="24"/>
      <c r="O125" s="24"/>
      <c r="P125" s="273"/>
      <c r="T125" s="22"/>
      <c r="AI125" s="218"/>
      <c r="AJ125" s="218"/>
      <c r="AK125" s="22"/>
      <c r="AL125" s="218"/>
    </row>
    <row r="126" spans="1:42" ht="15.75" customHeight="1" x14ac:dyDescent="0.25">
      <c r="B126" s="24"/>
      <c r="C126" s="24"/>
      <c r="D126" s="24"/>
      <c r="E126" s="24"/>
      <c r="F126" s="24"/>
      <c r="G126" s="24"/>
      <c r="H126" s="24"/>
      <c r="I126" s="273"/>
      <c r="J126" s="273"/>
      <c r="K126" s="24"/>
      <c r="L126" s="24"/>
      <c r="M126" s="24"/>
      <c r="N126" s="24"/>
      <c r="O126" s="24"/>
      <c r="P126" s="273"/>
      <c r="T126" s="22"/>
      <c r="AI126" s="217"/>
      <c r="AJ126" s="217"/>
      <c r="AK126" s="22"/>
      <c r="AL126" s="217"/>
      <c r="AN126" s="31"/>
      <c r="AO126" s="22"/>
      <c r="AP126" s="31"/>
    </row>
    <row r="127" spans="1:42" ht="15.75" customHeight="1" x14ac:dyDescent="0.25">
      <c r="B127" s="24"/>
      <c r="C127" s="24"/>
      <c r="D127" s="24"/>
      <c r="E127" s="24"/>
      <c r="F127" s="24"/>
      <c r="G127" s="24"/>
      <c r="H127" s="24"/>
      <c r="I127" s="273"/>
      <c r="J127" s="273"/>
      <c r="K127" s="24"/>
      <c r="L127" s="24"/>
      <c r="M127" s="24"/>
      <c r="N127" s="24"/>
      <c r="O127" s="24"/>
      <c r="P127" s="273"/>
      <c r="T127" s="22"/>
      <c r="AI127" s="216"/>
      <c r="AJ127" s="216"/>
      <c r="AK127" s="22"/>
      <c r="AL127" s="216"/>
      <c r="AN127" s="27"/>
      <c r="AO127" s="22"/>
      <c r="AP127" s="27"/>
    </row>
    <row r="128" spans="1:42" ht="15.75" customHeight="1" x14ac:dyDescent="0.25">
      <c r="B128" s="24"/>
      <c r="C128" s="24"/>
      <c r="D128" s="24"/>
      <c r="E128" s="24"/>
      <c r="F128" s="24"/>
      <c r="G128" s="24"/>
      <c r="H128" s="24"/>
      <c r="I128" s="273"/>
      <c r="J128" s="273"/>
      <c r="K128" s="24"/>
      <c r="L128" s="24"/>
      <c r="M128" s="24"/>
      <c r="N128" s="24"/>
      <c r="O128" s="24"/>
      <c r="P128" s="273"/>
      <c r="T128" s="22"/>
      <c r="AI128" s="215"/>
      <c r="AJ128" s="215"/>
      <c r="AK128" s="22"/>
      <c r="AL128" s="215"/>
      <c r="AN128" s="25"/>
      <c r="AO128" s="22"/>
      <c r="AP128" s="25"/>
    </row>
    <row r="129" spans="2:42" ht="15.75" customHeight="1" x14ac:dyDescent="0.25">
      <c r="B129" s="24"/>
      <c r="C129" s="24"/>
      <c r="D129" s="24"/>
      <c r="E129" s="24"/>
      <c r="F129" s="24"/>
      <c r="G129" s="24"/>
      <c r="H129" s="24"/>
      <c r="I129" s="273"/>
      <c r="J129" s="273"/>
      <c r="K129" s="24"/>
      <c r="L129" s="24"/>
      <c r="M129" s="24"/>
      <c r="N129" s="24"/>
      <c r="O129" s="24"/>
      <c r="P129" s="273"/>
      <c r="T129" s="22"/>
      <c r="AI129" s="214"/>
      <c r="AJ129" s="214"/>
      <c r="AK129" s="22"/>
      <c r="AL129" s="214"/>
      <c r="AN129" s="23"/>
      <c r="AO129" s="22"/>
      <c r="AP129" s="23"/>
    </row>
    <row r="130" spans="2:42" ht="15.75" customHeight="1" x14ac:dyDescent="0.25">
      <c r="B130" s="24"/>
      <c r="C130" s="24"/>
      <c r="D130" s="24"/>
      <c r="E130" s="24"/>
      <c r="F130" s="24"/>
      <c r="G130" s="24"/>
      <c r="H130" s="24"/>
      <c r="I130" s="273"/>
      <c r="J130" s="273"/>
      <c r="K130" s="24"/>
      <c r="L130" s="24"/>
      <c r="M130" s="24"/>
      <c r="N130" s="24"/>
      <c r="O130" s="24"/>
      <c r="P130" s="273"/>
      <c r="T130" s="22"/>
      <c r="AI130" s="213"/>
      <c r="AJ130" s="213"/>
      <c r="AK130" s="22"/>
      <c r="AL130" s="213"/>
      <c r="AN130" s="23"/>
      <c r="AO130" s="22"/>
      <c r="AP130" s="23"/>
    </row>
    <row r="131" spans="2:42" ht="15.75" customHeight="1" x14ac:dyDescent="0.25">
      <c r="B131" s="24"/>
      <c r="C131" s="24"/>
      <c r="D131" s="24"/>
      <c r="E131" s="24"/>
      <c r="F131" s="24"/>
      <c r="G131" s="24"/>
      <c r="H131" s="24"/>
      <c r="I131" s="273"/>
      <c r="J131" s="273"/>
      <c r="K131" s="24"/>
      <c r="L131" s="24"/>
      <c r="M131" s="24"/>
      <c r="N131" s="24"/>
      <c r="O131" s="24"/>
      <c r="P131" s="273"/>
      <c r="R131" s="267"/>
      <c r="S131" s="267"/>
      <c r="T131" s="267"/>
      <c r="AI131" s="267"/>
      <c r="AJ131" s="267"/>
      <c r="AK131" s="267"/>
      <c r="AL131" s="267"/>
      <c r="AM131" s="267"/>
      <c r="AN131" s="267"/>
      <c r="AO131" s="267"/>
      <c r="AP131" s="23"/>
    </row>
    <row r="132" spans="2:42" ht="15.75" customHeight="1" x14ac:dyDescent="0.25">
      <c r="B132" s="24"/>
      <c r="C132" s="24"/>
      <c r="D132" s="24"/>
      <c r="E132" s="24"/>
      <c r="F132" s="24"/>
      <c r="G132" s="24"/>
      <c r="H132" s="24"/>
      <c r="I132" s="273"/>
      <c r="J132" s="273"/>
      <c r="K132" s="24"/>
      <c r="L132" s="24"/>
      <c r="M132" s="24"/>
      <c r="N132" s="24"/>
      <c r="O132" s="24"/>
      <c r="P132" s="273"/>
      <c r="T132" s="22"/>
      <c r="AI132" s="211"/>
      <c r="AJ132" s="211"/>
      <c r="AK132" s="22"/>
      <c r="AL132" s="211"/>
      <c r="AN132" s="23"/>
      <c r="AO132" s="22"/>
      <c r="AP132" s="23"/>
    </row>
    <row r="133" spans="2:42" ht="15.75" customHeight="1" x14ac:dyDescent="0.25">
      <c r="B133" s="24"/>
      <c r="C133" s="24"/>
      <c r="D133" s="24"/>
      <c r="E133" s="24"/>
      <c r="F133" s="24"/>
      <c r="G133" s="24"/>
      <c r="H133" s="24"/>
      <c r="I133" s="273"/>
      <c r="J133" s="273"/>
      <c r="K133" s="24"/>
      <c r="L133" s="24"/>
      <c r="M133" s="24"/>
      <c r="N133" s="24"/>
      <c r="O133" s="24"/>
      <c r="P133" s="273"/>
      <c r="T133" s="22"/>
      <c r="AI133" s="210"/>
      <c r="AJ133" s="210"/>
      <c r="AK133" s="22"/>
      <c r="AL133" s="210"/>
      <c r="AN133" s="23"/>
      <c r="AO133" s="22"/>
      <c r="AP133" s="23"/>
    </row>
    <row r="134" spans="2:42" ht="15.75" customHeight="1" x14ac:dyDescent="0.25">
      <c r="B134" s="24"/>
      <c r="C134" s="24"/>
      <c r="D134" s="24"/>
      <c r="E134" s="24"/>
      <c r="F134" s="24"/>
      <c r="G134" s="24"/>
      <c r="H134" s="24"/>
      <c r="I134" s="273"/>
      <c r="J134" s="273"/>
      <c r="K134" s="24"/>
      <c r="L134" s="24"/>
      <c r="M134" s="24"/>
      <c r="N134" s="24"/>
      <c r="O134" s="24"/>
      <c r="P134" s="273"/>
      <c r="T134" s="22"/>
      <c r="AI134" s="209"/>
      <c r="AJ134" s="209"/>
      <c r="AK134" s="22"/>
      <c r="AL134" s="209"/>
      <c r="AN134" s="23"/>
      <c r="AO134" s="22"/>
      <c r="AP134" s="23"/>
    </row>
    <row r="135" spans="2:42" ht="15.75" customHeight="1" x14ac:dyDescent="0.25">
      <c r="B135" s="24"/>
      <c r="C135" s="24"/>
      <c r="D135" s="24"/>
      <c r="E135" s="24"/>
      <c r="F135" s="24"/>
      <c r="G135" s="24"/>
      <c r="H135" s="24"/>
      <c r="I135" s="273"/>
      <c r="J135" s="273"/>
      <c r="K135" s="24"/>
      <c r="L135" s="24"/>
      <c r="M135" s="24"/>
      <c r="N135" s="24"/>
      <c r="O135" s="24"/>
      <c r="P135" s="273"/>
      <c r="T135" s="22"/>
      <c r="AI135" s="208"/>
      <c r="AJ135" s="208"/>
      <c r="AK135" s="22"/>
      <c r="AL135" s="208"/>
      <c r="AN135" s="23"/>
      <c r="AO135" s="22"/>
      <c r="AP135" s="23"/>
    </row>
    <row r="136" spans="2:42" ht="15.75" customHeight="1" x14ac:dyDescent="0.25">
      <c r="B136" s="24"/>
      <c r="C136" s="24"/>
      <c r="D136" s="24"/>
      <c r="E136" s="24"/>
      <c r="F136" s="24"/>
      <c r="G136" s="24"/>
      <c r="H136" s="24"/>
      <c r="I136" s="273"/>
      <c r="J136" s="273"/>
      <c r="K136" s="24"/>
      <c r="L136" s="24"/>
      <c r="M136" s="24"/>
      <c r="N136" s="24"/>
      <c r="O136" s="24"/>
      <c r="P136" s="273"/>
      <c r="T136" s="22"/>
      <c r="AI136" s="208"/>
      <c r="AJ136" s="208"/>
      <c r="AK136" s="22"/>
      <c r="AL136" s="208"/>
      <c r="AN136" s="23"/>
      <c r="AO136" s="22"/>
      <c r="AP136" s="23"/>
    </row>
    <row r="137" spans="2:42" ht="15.75" customHeight="1" x14ac:dyDescent="0.25">
      <c r="B137" s="24"/>
      <c r="C137" s="24"/>
      <c r="D137" s="24"/>
      <c r="E137" s="24"/>
      <c r="F137" s="24"/>
      <c r="G137" s="24"/>
      <c r="H137" s="24"/>
      <c r="I137" s="273"/>
      <c r="J137" s="273"/>
      <c r="K137" s="24"/>
      <c r="L137" s="24"/>
      <c r="M137" s="24"/>
      <c r="N137" s="24"/>
      <c r="O137" s="24"/>
      <c r="P137" s="273"/>
      <c r="T137" s="22"/>
      <c r="AI137" s="207"/>
      <c r="AJ137" s="207"/>
      <c r="AK137" s="22"/>
      <c r="AL137" s="207"/>
      <c r="AN137" s="23"/>
      <c r="AO137" s="22"/>
      <c r="AP137" s="23"/>
    </row>
    <row r="138" spans="2:42" ht="15.75" customHeight="1" x14ac:dyDescent="0.25">
      <c r="B138" s="24"/>
      <c r="C138" s="24"/>
      <c r="D138" s="24"/>
      <c r="E138" s="24"/>
      <c r="F138" s="24"/>
      <c r="G138" s="24"/>
      <c r="H138" s="24"/>
      <c r="I138" s="273"/>
      <c r="J138" s="273"/>
      <c r="K138" s="24"/>
      <c r="L138" s="24"/>
      <c r="M138" s="24"/>
      <c r="N138" s="24"/>
      <c r="O138" s="24"/>
      <c r="P138" s="273"/>
      <c r="T138" s="22"/>
      <c r="AI138" s="206"/>
      <c r="AJ138" s="206"/>
      <c r="AK138" s="22"/>
      <c r="AL138" s="206"/>
      <c r="AN138" s="23"/>
      <c r="AO138" s="22"/>
      <c r="AP138" s="23"/>
    </row>
    <row r="139" spans="2:42" ht="15.75" customHeight="1" x14ac:dyDescent="0.25">
      <c r="B139" s="24"/>
      <c r="C139" s="24"/>
      <c r="D139" s="24"/>
      <c r="E139" s="24"/>
      <c r="F139" s="24"/>
      <c r="G139" s="24"/>
      <c r="H139" s="24"/>
      <c r="I139" s="273"/>
      <c r="J139" s="273"/>
      <c r="K139" s="24"/>
      <c r="L139" s="24"/>
      <c r="M139" s="24"/>
      <c r="N139" s="24"/>
      <c r="O139" s="24"/>
      <c r="P139" s="273"/>
      <c r="T139" s="22"/>
      <c r="AI139" s="205"/>
      <c r="AJ139" s="205"/>
      <c r="AK139" s="22"/>
      <c r="AL139" s="205"/>
      <c r="AN139" s="23"/>
      <c r="AO139" s="22"/>
      <c r="AP139" s="23"/>
    </row>
    <row r="140" spans="2:42" ht="15.75" customHeight="1" x14ac:dyDescent="0.25">
      <c r="B140" s="24"/>
      <c r="C140" s="24"/>
      <c r="D140" s="24"/>
      <c r="E140" s="24"/>
      <c r="F140" s="24"/>
      <c r="G140" s="24"/>
      <c r="H140" s="24"/>
      <c r="I140" s="273"/>
      <c r="J140" s="273"/>
      <c r="K140" s="24"/>
      <c r="L140" s="24"/>
      <c r="M140" s="24"/>
      <c r="N140" s="24"/>
      <c r="O140" s="24"/>
      <c r="P140" s="273"/>
      <c r="T140" s="22"/>
      <c r="AI140" s="204"/>
      <c r="AJ140" s="204"/>
      <c r="AK140" s="22"/>
      <c r="AL140" s="204"/>
      <c r="AN140" s="23"/>
      <c r="AO140" s="22"/>
      <c r="AP140" s="23"/>
    </row>
    <row r="141" spans="2:42" ht="15.75" customHeight="1" x14ac:dyDescent="0.25">
      <c r="B141" s="24"/>
      <c r="C141" s="24"/>
      <c r="D141" s="24"/>
      <c r="E141" s="24"/>
      <c r="F141" s="24"/>
      <c r="G141" s="24"/>
      <c r="H141" s="24"/>
      <c r="I141" s="273"/>
      <c r="J141" s="273"/>
      <c r="K141" s="24"/>
      <c r="L141" s="24"/>
      <c r="M141" s="24"/>
      <c r="N141" s="24"/>
      <c r="O141" s="24"/>
      <c r="P141" s="273"/>
      <c r="T141" s="22"/>
      <c r="AI141" s="203"/>
      <c r="AJ141" s="203"/>
      <c r="AK141" s="22"/>
      <c r="AL141" s="203"/>
      <c r="AN141" s="23"/>
      <c r="AO141" s="22"/>
      <c r="AP141" s="23"/>
    </row>
    <row r="142" spans="2:42" ht="15.75" customHeight="1" x14ac:dyDescent="0.25">
      <c r="B142" s="24"/>
      <c r="C142" s="24"/>
      <c r="D142" s="24"/>
      <c r="E142" s="24"/>
      <c r="F142" s="24"/>
      <c r="G142" s="24"/>
      <c r="H142" s="24"/>
      <c r="I142" s="273"/>
      <c r="J142" s="273"/>
      <c r="K142" s="24"/>
      <c r="L142" s="24"/>
      <c r="M142" s="24"/>
      <c r="N142" s="24"/>
      <c r="O142" s="24"/>
      <c r="P142" s="273"/>
      <c r="T142" s="22"/>
      <c r="AI142" s="202"/>
      <c r="AJ142" s="202"/>
      <c r="AK142" s="22"/>
      <c r="AL142" s="202"/>
      <c r="AN142" s="23"/>
      <c r="AO142" s="22"/>
      <c r="AP142" s="23"/>
    </row>
    <row r="143" spans="2:42" ht="15.75" customHeight="1" x14ac:dyDescent="0.25">
      <c r="B143" s="24"/>
      <c r="C143" s="24"/>
      <c r="D143" s="24"/>
      <c r="E143" s="24"/>
      <c r="F143" s="24"/>
      <c r="G143" s="24"/>
      <c r="H143" s="24"/>
      <c r="I143" s="273"/>
      <c r="J143" s="273"/>
      <c r="K143" s="24"/>
      <c r="L143" s="24"/>
      <c r="M143" s="24"/>
      <c r="N143" s="24"/>
      <c r="O143" s="24"/>
      <c r="P143" s="273"/>
      <c r="T143" s="22"/>
      <c r="AI143" s="202"/>
      <c r="AJ143" s="202"/>
      <c r="AK143" s="22"/>
      <c r="AL143" s="202"/>
      <c r="AN143" s="23"/>
      <c r="AO143" s="22"/>
      <c r="AP143" s="23"/>
    </row>
    <row r="144" spans="2:42" ht="15.75" customHeight="1" x14ac:dyDescent="0.25">
      <c r="B144" s="24"/>
      <c r="C144" s="24"/>
      <c r="D144" s="24"/>
      <c r="E144" s="24"/>
      <c r="F144" s="24"/>
      <c r="G144" s="24"/>
      <c r="H144" s="24"/>
      <c r="I144" s="273"/>
      <c r="J144" s="273"/>
      <c r="K144" s="24"/>
      <c r="L144" s="24"/>
      <c r="M144" s="24"/>
      <c r="N144" s="24"/>
      <c r="O144" s="24"/>
      <c r="P144" s="273"/>
      <c r="T144" s="22"/>
      <c r="AI144" s="200"/>
      <c r="AJ144" s="200"/>
      <c r="AK144" s="22"/>
      <c r="AL144" s="200"/>
      <c r="AN144" s="23"/>
      <c r="AO144" s="22"/>
      <c r="AP144" s="23"/>
    </row>
    <row r="145" spans="2:42" ht="15.75" customHeight="1" x14ac:dyDescent="0.25">
      <c r="B145" s="24"/>
      <c r="C145" s="24"/>
      <c r="D145" s="24"/>
      <c r="E145" s="24"/>
      <c r="F145" s="24"/>
      <c r="G145" s="24"/>
      <c r="H145" s="24"/>
      <c r="I145" s="273"/>
      <c r="J145" s="273"/>
      <c r="K145" s="24"/>
      <c r="L145" s="24"/>
      <c r="M145" s="24"/>
      <c r="N145" s="24"/>
      <c r="O145" s="24"/>
      <c r="P145" s="273"/>
      <c r="T145" s="22"/>
      <c r="AI145" s="200"/>
      <c r="AJ145" s="200"/>
      <c r="AK145" s="22"/>
      <c r="AL145" s="200"/>
      <c r="AN145" s="23"/>
      <c r="AO145" s="22"/>
      <c r="AP145" s="23"/>
    </row>
    <row r="146" spans="2:42" ht="15.75" customHeight="1" x14ac:dyDescent="0.25">
      <c r="B146" s="24"/>
      <c r="C146" s="24"/>
      <c r="D146" s="24"/>
      <c r="E146" s="24"/>
      <c r="F146" s="24"/>
      <c r="G146" s="24"/>
      <c r="H146" s="24"/>
      <c r="I146" s="273"/>
      <c r="J146" s="273"/>
      <c r="K146" s="24"/>
      <c r="L146" s="24"/>
      <c r="M146" s="24"/>
      <c r="N146" s="24"/>
      <c r="O146" s="24"/>
      <c r="P146" s="273"/>
      <c r="T146" s="22"/>
      <c r="AI146" s="200"/>
      <c r="AJ146" s="200"/>
      <c r="AK146" s="22"/>
      <c r="AL146" s="200"/>
      <c r="AN146" s="23"/>
      <c r="AO146" s="22"/>
      <c r="AP146" s="23"/>
    </row>
    <row r="147" spans="2:42" ht="15.75" customHeight="1" x14ac:dyDescent="0.25">
      <c r="B147" s="24"/>
      <c r="C147" s="24"/>
      <c r="D147" s="24"/>
      <c r="E147" s="24"/>
      <c r="F147" s="24"/>
      <c r="G147" s="24"/>
      <c r="H147" s="24"/>
      <c r="I147" s="273"/>
      <c r="J147" s="273"/>
      <c r="K147" s="24"/>
      <c r="L147" s="24"/>
      <c r="M147" s="24"/>
      <c r="N147" s="24"/>
      <c r="O147" s="24"/>
      <c r="P147" s="273"/>
      <c r="T147" s="22"/>
      <c r="AI147" s="199"/>
      <c r="AJ147" s="199"/>
      <c r="AK147" s="22"/>
      <c r="AL147" s="199"/>
      <c r="AN147" s="23"/>
      <c r="AO147" s="22"/>
      <c r="AP147" s="23"/>
    </row>
    <row r="148" spans="2:42" ht="15.75" customHeight="1" x14ac:dyDescent="0.25">
      <c r="B148" s="24"/>
      <c r="C148" s="24"/>
      <c r="D148" s="24"/>
      <c r="E148" s="24"/>
      <c r="F148" s="24"/>
      <c r="G148" s="24"/>
      <c r="H148" s="24"/>
      <c r="I148" s="273"/>
      <c r="J148" s="273"/>
      <c r="K148" s="24"/>
      <c r="L148" s="24"/>
      <c r="M148" s="24"/>
      <c r="N148" s="24"/>
      <c r="O148" s="24"/>
      <c r="P148" s="273"/>
      <c r="T148" s="22"/>
      <c r="AI148" s="198"/>
      <c r="AJ148" s="198"/>
      <c r="AK148" s="22"/>
      <c r="AL148" s="198"/>
      <c r="AN148" s="23"/>
      <c r="AO148" s="22"/>
      <c r="AP148" s="23"/>
    </row>
    <row r="149" spans="2:42" ht="15.75" customHeight="1" x14ac:dyDescent="0.25">
      <c r="B149" s="24"/>
      <c r="C149" s="24"/>
      <c r="D149" s="24"/>
      <c r="E149" s="24"/>
      <c r="F149" s="24"/>
      <c r="G149" s="24"/>
      <c r="H149" s="24"/>
      <c r="I149" s="273"/>
      <c r="J149" s="273"/>
      <c r="K149" s="24"/>
      <c r="L149" s="24"/>
      <c r="M149" s="24"/>
      <c r="N149" s="24"/>
      <c r="O149" s="24"/>
      <c r="P149" s="273"/>
      <c r="T149" s="22"/>
      <c r="AI149" s="197"/>
      <c r="AJ149" s="197"/>
      <c r="AK149" s="22"/>
      <c r="AL149" s="197"/>
      <c r="AN149" s="23"/>
      <c r="AO149" s="22"/>
      <c r="AP149" s="23"/>
    </row>
    <row r="150" spans="2:42" ht="15.75" customHeight="1" x14ac:dyDescent="0.25">
      <c r="B150" s="24"/>
      <c r="C150" s="24"/>
      <c r="D150" s="24"/>
      <c r="E150" s="24"/>
      <c r="F150" s="24"/>
      <c r="G150" s="24"/>
      <c r="H150" s="24"/>
      <c r="I150" s="273"/>
      <c r="J150" s="273"/>
      <c r="K150" s="24"/>
      <c r="L150" s="24"/>
      <c r="M150" s="24"/>
      <c r="N150" s="24"/>
      <c r="O150" s="24"/>
      <c r="P150" s="273"/>
      <c r="T150" s="22"/>
      <c r="AI150" s="196"/>
      <c r="AJ150" s="196"/>
      <c r="AK150" s="22"/>
      <c r="AL150" s="196"/>
      <c r="AN150" s="23"/>
      <c r="AO150" s="22"/>
      <c r="AP150" s="23"/>
    </row>
    <row r="151" spans="2:42" ht="15.75" customHeight="1" x14ac:dyDescent="0.25">
      <c r="B151" s="24"/>
      <c r="C151" s="24"/>
      <c r="D151" s="24"/>
      <c r="E151" s="24"/>
      <c r="F151" s="24"/>
      <c r="G151" s="24"/>
      <c r="H151" s="24"/>
      <c r="I151" s="273"/>
      <c r="J151" s="273"/>
      <c r="K151" s="24"/>
      <c r="L151" s="24"/>
      <c r="M151" s="24"/>
      <c r="N151" s="24"/>
      <c r="O151" s="24"/>
      <c r="P151" s="273"/>
      <c r="T151" s="22"/>
      <c r="AI151" s="195"/>
      <c r="AJ151" s="195"/>
      <c r="AK151" s="22"/>
      <c r="AL151" s="195"/>
      <c r="AN151" s="23"/>
      <c r="AO151" s="22"/>
      <c r="AP151" s="23"/>
    </row>
    <row r="152" spans="2:42" ht="15.75" customHeight="1" x14ac:dyDescent="0.25">
      <c r="B152" s="24"/>
      <c r="C152" s="24"/>
      <c r="D152" s="24"/>
      <c r="E152" s="24"/>
      <c r="F152" s="24"/>
      <c r="G152" s="24"/>
      <c r="H152" s="24"/>
      <c r="I152" s="273"/>
      <c r="J152" s="273"/>
      <c r="K152" s="24"/>
      <c r="L152" s="24"/>
      <c r="M152" s="24"/>
      <c r="N152" s="24"/>
      <c r="O152" s="24"/>
      <c r="P152" s="273"/>
      <c r="T152" s="22"/>
      <c r="AI152" s="195"/>
      <c r="AJ152" s="195"/>
      <c r="AK152" s="22"/>
      <c r="AL152" s="195"/>
      <c r="AN152" s="23"/>
      <c r="AO152" s="22"/>
      <c r="AP152" s="23"/>
    </row>
    <row r="153" spans="2:42" ht="15.75" customHeight="1" x14ac:dyDescent="0.25">
      <c r="B153" s="24"/>
      <c r="C153" s="24"/>
      <c r="D153" s="24"/>
      <c r="E153" s="24"/>
      <c r="F153" s="24"/>
      <c r="G153" s="24"/>
      <c r="H153" s="24"/>
      <c r="I153" s="273"/>
      <c r="J153" s="273"/>
      <c r="K153" s="24"/>
      <c r="L153" s="24"/>
      <c r="M153" s="24"/>
      <c r="N153" s="24"/>
      <c r="O153" s="24"/>
      <c r="P153" s="273"/>
      <c r="T153" s="22"/>
      <c r="AI153" s="194"/>
      <c r="AJ153" s="194"/>
      <c r="AK153" s="22"/>
      <c r="AL153" s="194"/>
      <c r="AN153" s="23"/>
      <c r="AO153" s="22"/>
      <c r="AP153" s="23"/>
    </row>
    <row r="154" spans="2:42" ht="15.75" customHeight="1" x14ac:dyDescent="0.25">
      <c r="B154" s="24"/>
      <c r="C154" s="24"/>
      <c r="D154" s="24"/>
      <c r="E154" s="24"/>
      <c r="F154" s="24"/>
      <c r="G154" s="24"/>
      <c r="H154" s="24"/>
      <c r="I154" s="273"/>
      <c r="J154" s="273"/>
      <c r="K154" s="24"/>
      <c r="L154" s="24"/>
      <c r="M154" s="24"/>
      <c r="N154" s="24"/>
      <c r="O154" s="24"/>
      <c r="P154" s="273"/>
      <c r="T154" s="22"/>
      <c r="AI154" s="193"/>
      <c r="AJ154" s="193"/>
      <c r="AK154" s="22"/>
      <c r="AL154" s="193"/>
      <c r="AN154" s="23"/>
      <c r="AO154" s="22"/>
      <c r="AP154" s="23"/>
    </row>
    <row r="155" spans="2:42" ht="15.75" customHeight="1" x14ac:dyDescent="0.25">
      <c r="B155" s="24"/>
      <c r="C155" s="24"/>
      <c r="D155" s="24"/>
      <c r="E155" s="24"/>
      <c r="F155" s="24"/>
      <c r="G155" s="24"/>
      <c r="H155" s="24"/>
      <c r="I155" s="273"/>
      <c r="J155" s="273"/>
      <c r="K155" s="24"/>
      <c r="L155" s="24"/>
      <c r="M155" s="24"/>
      <c r="N155" s="24"/>
      <c r="O155" s="24"/>
      <c r="P155" s="273"/>
      <c r="T155" s="22"/>
      <c r="AI155" s="192"/>
      <c r="AJ155" s="192"/>
      <c r="AK155" s="22"/>
      <c r="AL155" s="192"/>
      <c r="AN155" s="23"/>
      <c r="AO155" s="22"/>
      <c r="AP155" s="23"/>
    </row>
    <row r="156" spans="2:42" ht="15.75" customHeight="1" x14ac:dyDescent="0.25">
      <c r="B156" s="24"/>
      <c r="C156" s="24"/>
      <c r="D156" s="24"/>
      <c r="E156" s="24"/>
      <c r="F156" s="24"/>
      <c r="G156" s="24"/>
      <c r="H156" s="24"/>
      <c r="I156" s="273"/>
      <c r="J156" s="273"/>
      <c r="K156" s="24"/>
      <c r="L156" s="24"/>
      <c r="M156" s="24"/>
      <c r="N156" s="24"/>
      <c r="O156" s="24"/>
      <c r="P156" s="273"/>
      <c r="T156" s="22"/>
      <c r="AI156" s="190"/>
      <c r="AJ156" s="190"/>
      <c r="AK156" s="22"/>
      <c r="AL156" s="190"/>
      <c r="AN156" s="23"/>
      <c r="AO156" s="22"/>
      <c r="AP156" s="23"/>
    </row>
    <row r="157" spans="2:42" ht="15.75" customHeight="1" x14ac:dyDescent="0.25">
      <c r="B157" s="24"/>
      <c r="C157" s="24"/>
      <c r="D157" s="24"/>
      <c r="E157" s="24"/>
      <c r="F157" s="24"/>
      <c r="G157" s="24"/>
      <c r="H157" s="24"/>
      <c r="I157" s="273"/>
      <c r="J157" s="273"/>
      <c r="K157" s="24"/>
      <c r="L157" s="24"/>
      <c r="M157" s="24"/>
      <c r="N157" s="24"/>
      <c r="O157" s="24"/>
      <c r="P157" s="273"/>
      <c r="T157" s="22"/>
      <c r="AI157" s="189"/>
      <c r="AJ157" s="189"/>
      <c r="AK157" s="22"/>
      <c r="AL157" s="189"/>
      <c r="AN157" s="23"/>
      <c r="AO157" s="22"/>
      <c r="AP157" s="23"/>
    </row>
    <row r="158" spans="2:42" ht="15.75" customHeight="1" x14ac:dyDescent="0.25">
      <c r="B158" s="24"/>
      <c r="C158" s="24"/>
      <c r="D158" s="24"/>
      <c r="E158" s="24"/>
      <c r="F158" s="24"/>
      <c r="G158" s="24"/>
      <c r="H158" s="24"/>
      <c r="I158" s="273"/>
      <c r="J158" s="273"/>
      <c r="K158" s="24"/>
      <c r="L158" s="24"/>
      <c r="M158" s="24"/>
      <c r="N158" s="24"/>
      <c r="O158" s="24"/>
      <c r="P158" s="273"/>
      <c r="T158" s="22"/>
      <c r="AI158" s="188"/>
      <c r="AJ158" s="188"/>
      <c r="AK158" s="22"/>
      <c r="AL158" s="188"/>
      <c r="AN158" s="23"/>
      <c r="AO158" s="22"/>
      <c r="AP158" s="23"/>
    </row>
    <row r="159" spans="2:42" ht="15.75" customHeight="1" x14ac:dyDescent="0.25">
      <c r="B159" s="24"/>
      <c r="C159" s="24"/>
      <c r="D159" s="24"/>
      <c r="E159" s="24"/>
      <c r="F159" s="24"/>
      <c r="G159" s="24"/>
      <c r="H159" s="24"/>
      <c r="I159" s="273"/>
      <c r="J159" s="273"/>
      <c r="K159" s="24"/>
      <c r="L159" s="24"/>
      <c r="M159" s="24"/>
      <c r="N159" s="24"/>
      <c r="O159" s="24"/>
      <c r="P159" s="273"/>
      <c r="T159" s="22"/>
      <c r="AI159" s="187"/>
      <c r="AJ159" s="187"/>
      <c r="AK159" s="22"/>
      <c r="AL159" s="187"/>
      <c r="AN159" s="23"/>
      <c r="AO159" s="22"/>
      <c r="AP159" s="23"/>
    </row>
    <row r="160" spans="2:42" ht="15.75" customHeight="1" x14ac:dyDescent="0.25">
      <c r="B160" s="24"/>
      <c r="C160" s="24"/>
      <c r="D160" s="24"/>
      <c r="E160" s="24"/>
      <c r="F160" s="24"/>
      <c r="G160" s="24"/>
      <c r="H160" s="24"/>
      <c r="I160" s="273"/>
      <c r="J160" s="273"/>
      <c r="K160" s="24"/>
      <c r="L160" s="24"/>
      <c r="M160" s="24"/>
      <c r="N160" s="24"/>
      <c r="O160" s="24"/>
      <c r="P160" s="273"/>
      <c r="T160" s="22"/>
      <c r="AI160" s="187"/>
      <c r="AJ160" s="187"/>
      <c r="AK160" s="22"/>
      <c r="AL160" s="187"/>
      <c r="AN160" s="23"/>
      <c r="AO160" s="22"/>
      <c r="AP160" s="23"/>
    </row>
    <row r="161" spans="2:42" ht="15.75" customHeight="1" x14ac:dyDescent="0.25">
      <c r="B161" s="24"/>
      <c r="C161" s="24"/>
      <c r="D161" s="24"/>
      <c r="E161" s="24"/>
      <c r="F161" s="24"/>
      <c r="G161" s="24"/>
      <c r="H161" s="24"/>
      <c r="I161" s="273"/>
      <c r="J161" s="273"/>
      <c r="K161" s="24"/>
      <c r="L161" s="24"/>
      <c r="M161" s="24"/>
      <c r="N161" s="24"/>
      <c r="O161" s="24"/>
      <c r="P161" s="273"/>
      <c r="T161" s="22"/>
      <c r="AI161" s="186"/>
      <c r="AJ161" s="186"/>
      <c r="AK161" s="22"/>
      <c r="AL161" s="186"/>
      <c r="AN161" s="23"/>
      <c r="AO161" s="22"/>
      <c r="AP161" s="23"/>
    </row>
    <row r="162" spans="2:42" ht="15.75" customHeight="1" x14ac:dyDescent="0.25">
      <c r="B162" s="24"/>
      <c r="C162" s="24"/>
      <c r="D162" s="24"/>
      <c r="E162" s="24"/>
      <c r="F162" s="24"/>
      <c r="G162" s="24"/>
      <c r="H162" s="24"/>
      <c r="I162" s="273"/>
      <c r="J162" s="273"/>
      <c r="K162" s="24"/>
      <c r="L162" s="24"/>
      <c r="M162" s="24"/>
      <c r="N162" s="24"/>
      <c r="O162" s="24"/>
      <c r="P162" s="273"/>
      <c r="T162" s="22"/>
      <c r="AI162" s="185"/>
      <c r="AJ162" s="185"/>
      <c r="AK162" s="22"/>
      <c r="AL162" s="185"/>
      <c r="AN162" s="23"/>
      <c r="AO162" s="22"/>
      <c r="AP162" s="23"/>
    </row>
    <row r="163" spans="2:42" ht="15.75" customHeight="1" x14ac:dyDescent="0.25">
      <c r="B163" s="24"/>
      <c r="C163" s="24"/>
      <c r="D163" s="24"/>
      <c r="E163" s="24"/>
      <c r="F163" s="24"/>
      <c r="G163" s="24"/>
      <c r="H163" s="24"/>
      <c r="I163" s="273"/>
      <c r="J163" s="273"/>
      <c r="K163" s="24"/>
      <c r="L163" s="24"/>
      <c r="M163" s="24"/>
      <c r="N163" s="24"/>
      <c r="O163" s="24"/>
      <c r="P163" s="273"/>
      <c r="T163" s="22"/>
      <c r="AI163" s="185"/>
      <c r="AJ163" s="185"/>
      <c r="AK163" s="22"/>
      <c r="AL163" s="185"/>
      <c r="AN163" s="23"/>
      <c r="AO163" s="22"/>
      <c r="AP163" s="23"/>
    </row>
    <row r="164" spans="2:42" ht="15.75" customHeight="1" x14ac:dyDescent="0.25">
      <c r="B164" s="24"/>
      <c r="C164" s="24"/>
      <c r="D164" s="24"/>
      <c r="E164" s="24"/>
      <c r="F164" s="24"/>
      <c r="G164" s="24"/>
      <c r="H164" s="24"/>
      <c r="I164" s="273"/>
      <c r="J164" s="273"/>
      <c r="K164" s="24"/>
      <c r="L164" s="24"/>
      <c r="M164" s="24"/>
      <c r="N164" s="24"/>
      <c r="O164" s="24"/>
      <c r="P164" s="273"/>
      <c r="T164" s="22"/>
      <c r="AI164" s="184"/>
      <c r="AJ164" s="184"/>
      <c r="AK164" s="22"/>
      <c r="AL164" s="184"/>
      <c r="AN164" s="23"/>
      <c r="AO164" s="22"/>
      <c r="AP164" s="23"/>
    </row>
    <row r="165" spans="2:42" ht="15.75" customHeight="1" x14ac:dyDescent="0.25">
      <c r="B165" s="24"/>
      <c r="C165" s="24"/>
      <c r="D165" s="24"/>
      <c r="E165" s="24"/>
      <c r="F165" s="24"/>
      <c r="G165" s="24"/>
      <c r="H165" s="24"/>
      <c r="I165" s="273"/>
      <c r="J165" s="273"/>
      <c r="K165" s="24"/>
      <c r="L165" s="24"/>
      <c r="M165" s="24"/>
      <c r="N165" s="24"/>
      <c r="O165" s="24"/>
      <c r="P165" s="273"/>
      <c r="T165" s="22"/>
      <c r="AI165" s="183"/>
      <c r="AJ165" s="183"/>
      <c r="AK165" s="22"/>
      <c r="AL165" s="183"/>
      <c r="AN165" s="23"/>
      <c r="AO165" s="22"/>
      <c r="AP165" s="23"/>
    </row>
    <row r="166" spans="2:42" ht="15.75" customHeight="1" x14ac:dyDescent="0.25">
      <c r="B166" s="24"/>
      <c r="C166" s="24"/>
      <c r="D166" s="24"/>
      <c r="E166" s="24"/>
      <c r="F166" s="24"/>
      <c r="G166" s="24"/>
      <c r="H166" s="24"/>
      <c r="I166" s="273"/>
      <c r="J166" s="273"/>
      <c r="K166" s="24"/>
      <c r="L166" s="24"/>
      <c r="M166" s="24"/>
      <c r="N166" s="24"/>
      <c r="O166" s="24"/>
      <c r="P166" s="273"/>
      <c r="T166" s="22"/>
      <c r="AI166" s="182"/>
      <c r="AJ166" s="182"/>
      <c r="AK166" s="22"/>
      <c r="AL166" s="182"/>
      <c r="AN166" s="23"/>
      <c r="AO166" s="22"/>
      <c r="AP166" s="23"/>
    </row>
    <row r="167" spans="2:42" ht="15.75" customHeight="1" x14ac:dyDescent="0.25">
      <c r="B167" s="24"/>
      <c r="C167" s="24"/>
      <c r="D167" s="24"/>
      <c r="E167" s="24"/>
      <c r="F167" s="24"/>
      <c r="G167" s="24"/>
      <c r="H167" s="24"/>
      <c r="I167" s="273"/>
      <c r="J167" s="273"/>
      <c r="K167" s="24"/>
      <c r="L167" s="24"/>
      <c r="M167" s="24"/>
      <c r="N167" s="24"/>
      <c r="O167" s="24"/>
      <c r="P167" s="273"/>
      <c r="T167" s="22"/>
      <c r="AI167" s="181"/>
      <c r="AJ167" s="181"/>
      <c r="AK167" s="22"/>
      <c r="AL167" s="181"/>
      <c r="AN167" s="23"/>
      <c r="AO167" s="22"/>
      <c r="AP167" s="23"/>
    </row>
    <row r="168" spans="2:42" ht="15.75" customHeight="1" x14ac:dyDescent="0.25">
      <c r="B168" s="24"/>
      <c r="C168" s="24"/>
      <c r="D168" s="24"/>
      <c r="E168" s="24"/>
      <c r="F168" s="24"/>
      <c r="G168" s="24"/>
      <c r="H168" s="24"/>
      <c r="I168" s="273"/>
      <c r="J168" s="273"/>
      <c r="K168" s="24"/>
      <c r="L168" s="24"/>
      <c r="M168" s="24"/>
      <c r="N168" s="24"/>
      <c r="O168" s="24"/>
      <c r="P168" s="273"/>
      <c r="T168" s="22"/>
      <c r="AI168" s="180"/>
      <c r="AJ168" s="180"/>
      <c r="AK168" s="22"/>
      <c r="AL168" s="180"/>
      <c r="AN168" s="23"/>
      <c r="AO168" s="22"/>
      <c r="AP168" s="23"/>
    </row>
    <row r="169" spans="2:42" ht="15.75" customHeight="1" x14ac:dyDescent="0.25">
      <c r="B169" s="24"/>
      <c r="C169" s="24"/>
      <c r="D169" s="24"/>
      <c r="E169" s="24"/>
      <c r="F169" s="24"/>
      <c r="G169" s="24"/>
      <c r="H169" s="24"/>
      <c r="I169" s="273"/>
      <c r="J169" s="273"/>
      <c r="K169" s="24"/>
      <c r="L169" s="24"/>
      <c r="M169" s="24"/>
      <c r="N169" s="24"/>
      <c r="O169" s="24"/>
      <c r="P169" s="273"/>
      <c r="T169" s="22"/>
      <c r="AI169" s="179"/>
      <c r="AJ169" s="179"/>
      <c r="AK169" s="22"/>
      <c r="AL169" s="179"/>
      <c r="AN169" s="23"/>
      <c r="AO169" s="22"/>
      <c r="AP169" s="23"/>
    </row>
    <row r="170" spans="2:42" ht="15.75" customHeight="1" x14ac:dyDescent="0.25">
      <c r="B170" s="24"/>
      <c r="C170" s="24"/>
      <c r="D170" s="24"/>
      <c r="E170" s="24"/>
      <c r="F170" s="24"/>
      <c r="G170" s="24"/>
      <c r="H170" s="24"/>
      <c r="I170" s="273"/>
      <c r="J170" s="273"/>
      <c r="K170" s="24"/>
      <c r="L170" s="24"/>
      <c r="M170" s="24"/>
      <c r="N170" s="24"/>
      <c r="O170" s="24"/>
      <c r="P170" s="273"/>
      <c r="T170" s="22"/>
      <c r="AI170" s="179"/>
      <c r="AJ170" s="179"/>
      <c r="AK170" s="22"/>
      <c r="AL170" s="179"/>
      <c r="AN170" s="23"/>
      <c r="AO170" s="22"/>
      <c r="AP170" s="23"/>
    </row>
    <row r="171" spans="2:42" ht="15.75" customHeight="1" x14ac:dyDescent="0.25">
      <c r="B171" s="24"/>
      <c r="C171" s="24"/>
      <c r="D171" s="24"/>
      <c r="E171" s="24"/>
      <c r="F171" s="24"/>
      <c r="G171" s="24"/>
      <c r="H171" s="24"/>
      <c r="I171" s="273"/>
      <c r="J171" s="273"/>
      <c r="K171" s="24"/>
      <c r="L171" s="24"/>
      <c r="M171" s="24"/>
      <c r="N171" s="24"/>
      <c r="O171" s="24"/>
      <c r="P171" s="273"/>
      <c r="T171" s="22"/>
      <c r="AI171" s="179"/>
      <c r="AJ171" s="179"/>
      <c r="AK171" s="22"/>
      <c r="AL171" s="179"/>
      <c r="AN171" s="23"/>
      <c r="AO171" s="22"/>
      <c r="AP171" s="23"/>
    </row>
    <row r="172" spans="2:42" ht="15.75" customHeight="1" x14ac:dyDescent="0.25">
      <c r="B172" s="24"/>
      <c r="C172" s="24"/>
      <c r="D172" s="24"/>
      <c r="E172" s="24"/>
      <c r="F172" s="24"/>
      <c r="G172" s="24"/>
      <c r="H172" s="24"/>
      <c r="I172" s="273"/>
      <c r="J172" s="273"/>
      <c r="K172" s="24"/>
      <c r="L172" s="24"/>
      <c r="M172" s="24"/>
      <c r="N172" s="24"/>
      <c r="O172" s="24"/>
      <c r="P172" s="273"/>
      <c r="T172" s="22"/>
      <c r="AI172" s="178"/>
      <c r="AJ172" s="178"/>
      <c r="AK172" s="22"/>
      <c r="AL172" s="178"/>
      <c r="AN172" s="23"/>
      <c r="AO172" s="22"/>
      <c r="AP172" s="23"/>
    </row>
    <row r="173" spans="2:42" ht="15.75" customHeight="1" x14ac:dyDescent="0.25">
      <c r="B173" s="24"/>
      <c r="C173" s="24"/>
      <c r="D173" s="24"/>
      <c r="E173" s="24"/>
      <c r="F173" s="24"/>
      <c r="G173" s="24"/>
      <c r="H173" s="24"/>
      <c r="I173" s="273"/>
      <c r="J173" s="273"/>
      <c r="K173" s="24"/>
      <c r="L173" s="24"/>
      <c r="M173" s="24"/>
      <c r="N173" s="24"/>
      <c r="O173" s="24"/>
      <c r="P173" s="273"/>
      <c r="T173" s="22"/>
      <c r="AI173" s="177"/>
      <c r="AJ173" s="177"/>
      <c r="AK173" s="22"/>
      <c r="AL173" s="177"/>
      <c r="AN173" s="23"/>
      <c r="AO173" s="22"/>
      <c r="AP173" s="23"/>
    </row>
    <row r="174" spans="2:42" ht="15.75" customHeight="1" x14ac:dyDescent="0.25">
      <c r="B174" s="24"/>
      <c r="C174" s="24"/>
      <c r="D174" s="24"/>
      <c r="E174" s="24"/>
      <c r="F174" s="24"/>
      <c r="G174" s="24"/>
      <c r="H174" s="24"/>
      <c r="I174" s="273"/>
      <c r="J174" s="273"/>
      <c r="K174" s="24"/>
      <c r="L174" s="24"/>
      <c r="M174" s="24"/>
      <c r="N174" s="24"/>
      <c r="O174" s="24"/>
      <c r="P174" s="273"/>
      <c r="T174" s="22"/>
      <c r="AI174" s="176"/>
      <c r="AJ174" s="176"/>
      <c r="AK174" s="22"/>
      <c r="AL174" s="176"/>
      <c r="AN174" s="23"/>
      <c r="AO174" s="22"/>
      <c r="AP174" s="23"/>
    </row>
    <row r="175" spans="2:42" ht="15.75" customHeight="1" x14ac:dyDescent="0.25">
      <c r="B175" s="24"/>
      <c r="C175" s="24"/>
      <c r="D175" s="24"/>
      <c r="E175" s="24"/>
      <c r="F175" s="24"/>
      <c r="G175" s="24"/>
      <c r="H175" s="24"/>
      <c r="I175" s="273"/>
      <c r="J175" s="273"/>
      <c r="K175" s="24"/>
      <c r="L175" s="24"/>
      <c r="M175" s="24"/>
      <c r="N175" s="24"/>
      <c r="O175" s="24"/>
      <c r="P175" s="273"/>
      <c r="T175" s="22"/>
      <c r="AI175" s="175"/>
      <c r="AJ175" s="175"/>
      <c r="AK175" s="22"/>
      <c r="AL175" s="175"/>
      <c r="AN175" s="23"/>
      <c r="AO175" s="22"/>
      <c r="AP175" s="23"/>
    </row>
    <row r="176" spans="2:42" ht="15.75" customHeight="1" x14ac:dyDescent="0.25">
      <c r="B176" s="24"/>
      <c r="C176" s="24"/>
      <c r="D176" s="24"/>
      <c r="E176" s="24"/>
      <c r="F176" s="24"/>
      <c r="G176" s="24"/>
      <c r="H176" s="24"/>
      <c r="I176" s="273"/>
      <c r="J176" s="273"/>
      <c r="K176" s="24"/>
      <c r="L176" s="24"/>
      <c r="M176" s="24"/>
      <c r="N176" s="24"/>
      <c r="O176" s="24"/>
      <c r="P176" s="273"/>
      <c r="T176" s="22"/>
      <c r="AI176" s="174"/>
      <c r="AJ176" s="174"/>
      <c r="AK176" s="22"/>
      <c r="AL176" s="174"/>
      <c r="AN176" s="23"/>
      <c r="AO176" s="22"/>
      <c r="AP176" s="23"/>
    </row>
    <row r="177" spans="2:42" ht="15.75" customHeight="1" x14ac:dyDescent="0.25">
      <c r="B177" s="24"/>
      <c r="C177" s="24"/>
      <c r="D177" s="24"/>
      <c r="E177" s="24"/>
      <c r="F177" s="24"/>
      <c r="G177" s="24"/>
      <c r="H177" s="24"/>
      <c r="I177" s="273"/>
      <c r="J177" s="273"/>
      <c r="K177" s="24"/>
      <c r="L177" s="24"/>
      <c r="M177" s="24"/>
      <c r="N177" s="24"/>
      <c r="O177" s="24"/>
      <c r="P177" s="273"/>
      <c r="T177" s="22"/>
      <c r="AI177" s="174"/>
      <c r="AJ177" s="174"/>
      <c r="AK177" s="22"/>
      <c r="AL177" s="174"/>
      <c r="AN177" s="23"/>
      <c r="AO177" s="22"/>
      <c r="AP177" s="23"/>
    </row>
    <row r="178" spans="2:42" ht="15.75" customHeight="1" x14ac:dyDescent="0.25">
      <c r="B178" s="24"/>
      <c r="C178" s="24"/>
      <c r="D178" s="24"/>
      <c r="E178" s="24"/>
      <c r="F178" s="24"/>
      <c r="G178" s="24"/>
      <c r="H178" s="24"/>
      <c r="I178" s="273"/>
      <c r="J178" s="273"/>
      <c r="K178" s="24"/>
      <c r="L178" s="24"/>
      <c r="M178" s="24"/>
      <c r="N178" s="24"/>
      <c r="O178" s="24"/>
      <c r="P178" s="273"/>
      <c r="T178" s="22"/>
      <c r="AI178" s="173"/>
      <c r="AJ178" s="173"/>
      <c r="AK178" s="22"/>
      <c r="AL178" s="173"/>
      <c r="AN178" s="23"/>
      <c r="AO178" s="22"/>
      <c r="AP178" s="23"/>
    </row>
    <row r="179" spans="2:42" ht="15.75" customHeight="1" x14ac:dyDescent="0.25">
      <c r="B179" s="24"/>
      <c r="C179" s="24"/>
      <c r="D179" s="24"/>
      <c r="E179" s="24"/>
      <c r="F179" s="24"/>
      <c r="G179" s="24"/>
      <c r="H179" s="24"/>
      <c r="I179" s="273"/>
      <c r="J179" s="273"/>
      <c r="K179" s="24"/>
      <c r="L179" s="24"/>
      <c r="M179" s="24"/>
      <c r="N179" s="24"/>
      <c r="O179" s="24"/>
      <c r="P179" s="273"/>
      <c r="T179" s="22"/>
      <c r="AI179" s="172"/>
      <c r="AJ179" s="172"/>
      <c r="AK179" s="22"/>
      <c r="AL179" s="172"/>
      <c r="AN179" s="23"/>
      <c r="AO179" s="22"/>
      <c r="AP179" s="23"/>
    </row>
    <row r="180" spans="2:42" ht="15.75" customHeight="1" x14ac:dyDescent="0.25">
      <c r="B180" s="24"/>
      <c r="C180" s="24"/>
      <c r="D180" s="24"/>
      <c r="E180" s="24"/>
      <c r="F180" s="24"/>
      <c r="G180" s="24"/>
      <c r="H180" s="24"/>
      <c r="I180" s="273"/>
      <c r="J180" s="273"/>
      <c r="K180" s="24"/>
      <c r="L180" s="24"/>
      <c r="M180" s="24"/>
      <c r="N180" s="24"/>
      <c r="O180" s="24"/>
      <c r="P180" s="273"/>
      <c r="T180" s="22"/>
      <c r="AI180" s="172"/>
      <c r="AJ180" s="172"/>
      <c r="AK180" s="22"/>
      <c r="AL180" s="172"/>
      <c r="AN180" s="23"/>
      <c r="AO180" s="22"/>
      <c r="AP180" s="23"/>
    </row>
    <row r="181" spans="2:42" ht="15.75" customHeight="1" x14ac:dyDescent="0.25">
      <c r="B181" s="24"/>
      <c r="C181" s="24"/>
      <c r="D181" s="24"/>
      <c r="E181" s="24"/>
      <c r="F181" s="24"/>
      <c r="G181" s="24"/>
      <c r="H181" s="24"/>
      <c r="I181" s="273"/>
      <c r="J181" s="273"/>
      <c r="K181" s="24"/>
      <c r="L181" s="24"/>
      <c r="M181" s="24"/>
      <c r="N181" s="24"/>
      <c r="O181" s="24"/>
      <c r="P181" s="273"/>
      <c r="T181" s="22"/>
      <c r="AI181" s="171"/>
      <c r="AJ181" s="171"/>
      <c r="AK181" s="22"/>
      <c r="AL181" s="171"/>
      <c r="AN181" s="23"/>
      <c r="AO181" s="22"/>
      <c r="AP181" s="23"/>
    </row>
    <row r="182" spans="2:42" ht="15.75" customHeight="1" x14ac:dyDescent="0.25">
      <c r="B182" s="24"/>
      <c r="C182" s="24"/>
      <c r="D182" s="24"/>
      <c r="E182" s="24"/>
      <c r="F182" s="24"/>
      <c r="G182" s="24"/>
      <c r="H182" s="24"/>
      <c r="I182" s="273"/>
      <c r="J182" s="273"/>
      <c r="K182" s="24"/>
      <c r="L182" s="24"/>
      <c r="M182" s="24"/>
      <c r="N182" s="24"/>
      <c r="O182" s="24"/>
      <c r="P182" s="273"/>
      <c r="T182" s="22"/>
      <c r="AI182" s="170"/>
      <c r="AJ182" s="170"/>
      <c r="AK182" s="22"/>
      <c r="AL182" s="170"/>
      <c r="AN182" s="23"/>
      <c r="AO182" s="22"/>
      <c r="AP182" s="23"/>
    </row>
    <row r="183" spans="2:42" ht="15.75" customHeight="1" x14ac:dyDescent="0.25">
      <c r="B183" s="24"/>
      <c r="C183" s="24"/>
      <c r="D183" s="24"/>
      <c r="E183" s="24"/>
      <c r="F183" s="24"/>
      <c r="G183" s="24"/>
      <c r="H183" s="24"/>
      <c r="I183" s="273"/>
      <c r="J183" s="273"/>
      <c r="K183" s="24"/>
      <c r="L183" s="24"/>
      <c r="M183" s="24"/>
      <c r="N183" s="24"/>
      <c r="O183" s="24"/>
      <c r="P183" s="273"/>
      <c r="T183" s="22"/>
      <c r="AI183" s="169"/>
      <c r="AJ183" s="169"/>
      <c r="AK183" s="22"/>
      <c r="AL183" s="169"/>
      <c r="AN183" s="23"/>
      <c r="AO183" s="22"/>
      <c r="AP183" s="23"/>
    </row>
    <row r="184" spans="2:42" ht="15.75" customHeight="1" x14ac:dyDescent="0.25">
      <c r="B184" s="24"/>
      <c r="C184" s="24"/>
      <c r="D184" s="24"/>
      <c r="E184" s="24"/>
      <c r="F184" s="24"/>
      <c r="G184" s="24"/>
      <c r="H184" s="24"/>
      <c r="I184" s="273"/>
      <c r="J184" s="273"/>
      <c r="K184" s="24"/>
      <c r="L184" s="24"/>
      <c r="M184" s="24"/>
      <c r="N184" s="24"/>
      <c r="O184" s="24"/>
      <c r="P184" s="273"/>
      <c r="T184" s="22"/>
      <c r="AI184" s="168"/>
      <c r="AJ184" s="168"/>
      <c r="AK184" s="22"/>
      <c r="AL184" s="168"/>
      <c r="AN184" s="23"/>
      <c r="AO184" s="22"/>
      <c r="AP184" s="23"/>
    </row>
    <row r="185" spans="2:42" ht="15.75" customHeight="1" x14ac:dyDescent="0.25">
      <c r="B185" s="24"/>
      <c r="C185" s="24"/>
      <c r="D185" s="24"/>
      <c r="E185" s="24"/>
      <c r="F185" s="24"/>
      <c r="G185" s="24"/>
      <c r="H185" s="24"/>
      <c r="I185" s="273"/>
      <c r="J185" s="273"/>
      <c r="K185" s="24"/>
      <c r="L185" s="24"/>
      <c r="M185" s="24"/>
      <c r="N185" s="24"/>
      <c r="O185" s="24"/>
      <c r="P185" s="273"/>
      <c r="T185" s="22"/>
      <c r="AI185" s="167"/>
      <c r="AJ185" s="167"/>
      <c r="AK185" s="22"/>
      <c r="AL185" s="167"/>
      <c r="AN185" s="23"/>
      <c r="AO185" s="22"/>
      <c r="AP185" s="23"/>
    </row>
    <row r="186" spans="2:42" ht="15.75" customHeight="1" x14ac:dyDescent="0.25">
      <c r="B186" s="24"/>
      <c r="C186" s="24"/>
      <c r="D186" s="24"/>
      <c r="E186" s="24"/>
      <c r="F186" s="24"/>
      <c r="G186" s="24"/>
      <c r="H186" s="24"/>
      <c r="I186" s="273"/>
      <c r="J186" s="273"/>
      <c r="K186" s="24"/>
      <c r="L186" s="24"/>
      <c r="M186" s="24"/>
      <c r="N186" s="24"/>
      <c r="O186" s="24"/>
      <c r="P186" s="273"/>
      <c r="T186" s="22"/>
      <c r="AI186" s="166"/>
      <c r="AJ186" s="166"/>
      <c r="AK186" s="22"/>
      <c r="AL186" s="166"/>
      <c r="AN186" s="23"/>
      <c r="AO186" s="22"/>
      <c r="AP186" s="23"/>
    </row>
    <row r="187" spans="2:42" ht="15.75" customHeight="1" x14ac:dyDescent="0.25">
      <c r="B187" s="24"/>
      <c r="C187" s="24"/>
      <c r="D187" s="24"/>
      <c r="E187" s="24"/>
      <c r="F187" s="24"/>
      <c r="G187" s="24"/>
      <c r="H187" s="24"/>
      <c r="I187" s="273"/>
      <c r="J187" s="273"/>
      <c r="K187" s="24"/>
      <c r="L187" s="24"/>
      <c r="M187" s="24"/>
      <c r="N187" s="24"/>
      <c r="O187" s="24"/>
      <c r="P187" s="273"/>
      <c r="T187" s="22"/>
      <c r="AI187" s="165"/>
      <c r="AJ187" s="165"/>
      <c r="AK187" s="22"/>
      <c r="AL187" s="165"/>
      <c r="AN187" s="23"/>
      <c r="AO187" s="22"/>
      <c r="AP187" s="23"/>
    </row>
    <row r="188" spans="2:42" ht="15.75" customHeight="1" x14ac:dyDescent="0.25">
      <c r="B188" s="24"/>
      <c r="C188" s="24"/>
      <c r="D188" s="24"/>
      <c r="E188" s="24"/>
      <c r="F188" s="24"/>
      <c r="G188" s="24"/>
      <c r="H188" s="24"/>
      <c r="I188" s="273"/>
      <c r="J188" s="273"/>
      <c r="K188" s="24"/>
      <c r="L188" s="24"/>
      <c r="M188" s="24"/>
      <c r="N188" s="24"/>
      <c r="O188" s="24"/>
      <c r="P188" s="273"/>
      <c r="T188" s="22"/>
      <c r="AI188" s="160"/>
      <c r="AJ188" s="160"/>
      <c r="AK188" s="22"/>
      <c r="AL188" s="160"/>
      <c r="AN188" s="23"/>
      <c r="AO188" s="22"/>
      <c r="AP188" s="23"/>
    </row>
    <row r="189" spans="2:42" ht="15.75" customHeight="1" x14ac:dyDescent="0.25">
      <c r="B189" s="24"/>
      <c r="C189" s="24"/>
      <c r="D189" s="24"/>
      <c r="E189" s="24"/>
      <c r="F189" s="24"/>
      <c r="G189" s="24"/>
      <c r="H189" s="24"/>
      <c r="I189" s="273"/>
      <c r="J189" s="273"/>
      <c r="K189" s="24"/>
      <c r="L189" s="24"/>
      <c r="M189" s="24"/>
      <c r="N189" s="24"/>
      <c r="O189" s="24"/>
      <c r="P189" s="273"/>
      <c r="T189" s="22"/>
      <c r="AI189" s="163"/>
      <c r="AJ189" s="163"/>
      <c r="AK189" s="22"/>
      <c r="AL189" s="163"/>
      <c r="AN189" s="23"/>
      <c r="AO189" s="22"/>
      <c r="AP189" s="23"/>
    </row>
    <row r="190" spans="2:42" ht="15.75" customHeight="1" x14ac:dyDescent="0.25">
      <c r="B190" s="24"/>
      <c r="C190" s="24"/>
      <c r="D190" s="24"/>
      <c r="E190" s="24"/>
      <c r="F190" s="24"/>
      <c r="G190" s="24"/>
      <c r="H190" s="24"/>
      <c r="I190" s="273"/>
      <c r="J190" s="273"/>
      <c r="K190" s="24"/>
      <c r="L190" s="24"/>
      <c r="M190" s="24"/>
      <c r="N190" s="24"/>
      <c r="O190" s="24"/>
      <c r="P190" s="273"/>
      <c r="T190" s="22"/>
      <c r="AI190" s="162"/>
      <c r="AJ190" s="162"/>
      <c r="AK190" s="22"/>
      <c r="AL190" s="162"/>
      <c r="AN190" s="23"/>
      <c r="AO190" s="22"/>
      <c r="AP190" s="23"/>
    </row>
    <row r="191" spans="2:42" ht="15.75" customHeight="1" x14ac:dyDescent="0.25">
      <c r="B191" s="24"/>
      <c r="C191" s="24"/>
      <c r="D191" s="24"/>
      <c r="E191" s="24"/>
      <c r="F191" s="24"/>
      <c r="G191" s="24"/>
      <c r="H191" s="24"/>
      <c r="I191" s="273"/>
      <c r="J191" s="273"/>
      <c r="K191" s="24"/>
      <c r="L191" s="24"/>
      <c r="M191" s="24"/>
      <c r="N191" s="24"/>
      <c r="O191" s="24"/>
      <c r="P191" s="273"/>
      <c r="T191" s="22"/>
      <c r="AI191" s="161"/>
      <c r="AJ191" s="161"/>
      <c r="AK191" s="22"/>
      <c r="AL191" s="161"/>
      <c r="AN191" s="23"/>
      <c r="AO191" s="22"/>
      <c r="AP191" s="23"/>
    </row>
    <row r="192" spans="2:42" ht="15.75" customHeight="1" x14ac:dyDescent="0.25">
      <c r="B192" s="24"/>
      <c r="C192" s="24"/>
      <c r="D192" s="24"/>
      <c r="E192" s="24"/>
      <c r="F192" s="24"/>
      <c r="G192" s="24"/>
      <c r="H192" s="24"/>
      <c r="I192" s="273"/>
      <c r="J192" s="273"/>
      <c r="K192" s="24"/>
      <c r="L192" s="24"/>
      <c r="M192" s="24"/>
      <c r="N192" s="24"/>
      <c r="O192" s="24"/>
      <c r="P192" s="273"/>
      <c r="T192" s="22"/>
      <c r="AI192" s="160"/>
      <c r="AJ192" s="160"/>
      <c r="AK192" s="22"/>
      <c r="AL192" s="160"/>
      <c r="AN192" s="23"/>
      <c r="AO192" s="22"/>
      <c r="AP192" s="23"/>
    </row>
    <row r="193" spans="2:42" ht="15.75" customHeight="1" x14ac:dyDescent="0.25">
      <c r="B193" s="24"/>
      <c r="C193" s="24"/>
      <c r="D193" s="24"/>
      <c r="E193" s="24"/>
      <c r="F193" s="24"/>
      <c r="G193" s="24"/>
      <c r="H193" s="24"/>
      <c r="I193" s="273"/>
      <c r="J193" s="273"/>
      <c r="K193" s="24"/>
      <c r="L193" s="24"/>
      <c r="M193" s="24"/>
      <c r="N193" s="24"/>
      <c r="O193" s="24"/>
      <c r="P193" s="273"/>
      <c r="T193" s="22"/>
      <c r="AI193" s="154"/>
      <c r="AJ193" s="154"/>
      <c r="AK193" s="22"/>
      <c r="AL193" s="154"/>
      <c r="AN193" s="23"/>
      <c r="AO193" s="22"/>
      <c r="AP193" s="23"/>
    </row>
    <row r="194" spans="2:42" ht="15.75" customHeight="1" x14ac:dyDescent="0.25">
      <c r="B194" s="24"/>
      <c r="C194" s="24"/>
      <c r="D194" s="24"/>
      <c r="E194" s="24"/>
      <c r="F194" s="24"/>
      <c r="G194" s="24"/>
      <c r="H194" s="24"/>
      <c r="I194" s="273"/>
      <c r="J194" s="273"/>
      <c r="K194" s="24"/>
      <c r="L194" s="24"/>
      <c r="M194" s="24"/>
      <c r="N194" s="24"/>
      <c r="O194" s="24"/>
      <c r="P194" s="273"/>
      <c r="T194" s="22"/>
      <c r="AI194" s="158"/>
      <c r="AJ194" s="158"/>
      <c r="AK194" s="22"/>
      <c r="AL194" s="158"/>
      <c r="AN194" s="23"/>
      <c r="AO194" s="22"/>
      <c r="AP194" s="23"/>
    </row>
    <row r="195" spans="2:42" ht="15.75" customHeight="1" x14ac:dyDescent="0.25">
      <c r="B195" s="24"/>
      <c r="C195" s="24"/>
      <c r="D195" s="24"/>
      <c r="E195" s="24"/>
      <c r="F195" s="24"/>
      <c r="G195" s="24"/>
      <c r="H195" s="24"/>
      <c r="I195" s="273"/>
      <c r="J195" s="273"/>
      <c r="K195" s="24"/>
      <c r="L195" s="24"/>
      <c r="M195" s="24"/>
      <c r="N195" s="24"/>
      <c r="O195" s="24"/>
      <c r="P195" s="273"/>
      <c r="T195" s="22"/>
      <c r="AI195" s="157"/>
      <c r="AJ195" s="157"/>
      <c r="AK195" s="22"/>
      <c r="AL195" s="157"/>
      <c r="AN195" s="23"/>
      <c r="AO195" s="22"/>
      <c r="AP195" s="23"/>
    </row>
    <row r="196" spans="2:42" ht="15.75" customHeight="1" x14ac:dyDescent="0.25">
      <c r="B196" s="24"/>
      <c r="C196" s="24"/>
      <c r="D196" s="24"/>
      <c r="E196" s="24"/>
      <c r="F196" s="24"/>
      <c r="G196" s="24"/>
      <c r="H196" s="24"/>
      <c r="I196" s="273"/>
      <c r="J196" s="273"/>
      <c r="K196" s="24"/>
      <c r="L196" s="24"/>
      <c r="M196" s="24"/>
      <c r="N196" s="24"/>
      <c r="O196" s="24"/>
      <c r="P196" s="273"/>
      <c r="T196" s="22"/>
      <c r="AI196" s="156"/>
      <c r="AJ196" s="156"/>
      <c r="AK196" s="22"/>
      <c r="AL196" s="156"/>
      <c r="AN196" s="23"/>
      <c r="AO196" s="23"/>
      <c r="AP196" s="23"/>
    </row>
    <row r="197" spans="2:42" ht="15.75" customHeight="1" x14ac:dyDescent="0.25">
      <c r="B197" s="24"/>
      <c r="C197" s="24"/>
      <c r="D197" s="24"/>
      <c r="E197" s="24"/>
      <c r="F197" s="24"/>
      <c r="G197" s="24"/>
      <c r="H197" s="24"/>
      <c r="I197" s="273"/>
      <c r="J197" s="273"/>
      <c r="K197" s="24"/>
      <c r="L197" s="24"/>
      <c r="M197" s="24"/>
      <c r="N197" s="24"/>
      <c r="O197" s="24"/>
      <c r="P197" s="273"/>
      <c r="T197" s="22"/>
      <c r="AI197" s="155"/>
      <c r="AJ197" s="155"/>
      <c r="AK197" s="22"/>
      <c r="AL197" s="155"/>
      <c r="AN197" s="23"/>
      <c r="AO197" s="23"/>
      <c r="AP197" s="23"/>
    </row>
    <row r="198" spans="2:42" ht="15.75" customHeight="1" x14ac:dyDescent="0.25">
      <c r="B198" s="24"/>
      <c r="C198" s="24"/>
      <c r="D198" s="24"/>
      <c r="E198" s="24"/>
      <c r="F198" s="24"/>
      <c r="G198" s="24"/>
      <c r="H198" s="24"/>
      <c r="I198" s="273"/>
      <c r="J198" s="273"/>
      <c r="K198" s="24"/>
      <c r="L198" s="24"/>
      <c r="M198" s="24"/>
      <c r="N198" s="24"/>
      <c r="O198" s="24"/>
      <c r="P198" s="273"/>
      <c r="T198" s="22"/>
      <c r="AI198" s="128"/>
      <c r="AJ198" s="128"/>
      <c r="AK198" s="22"/>
      <c r="AL198" s="128"/>
      <c r="AN198" s="23"/>
      <c r="AO198" s="23"/>
      <c r="AP198" s="23"/>
    </row>
    <row r="199" spans="2:42" ht="15.75" customHeight="1" x14ac:dyDescent="0.25">
      <c r="B199" s="24"/>
      <c r="C199" s="24"/>
      <c r="D199" s="24"/>
      <c r="E199" s="24"/>
      <c r="F199" s="24"/>
      <c r="G199" s="24"/>
      <c r="H199" s="24"/>
      <c r="I199" s="273"/>
      <c r="J199" s="273"/>
      <c r="K199" s="24"/>
      <c r="L199" s="24"/>
      <c r="M199" s="24"/>
      <c r="N199" s="24"/>
      <c r="O199" s="24"/>
      <c r="P199" s="273"/>
      <c r="T199" s="22"/>
      <c r="AI199" s="153"/>
      <c r="AJ199" s="153"/>
      <c r="AK199" s="22"/>
      <c r="AL199" s="153"/>
      <c r="AN199" s="23"/>
      <c r="AO199" s="23"/>
      <c r="AP199" s="23"/>
    </row>
    <row r="200" spans="2:42" ht="15.75" customHeight="1" x14ac:dyDescent="0.25">
      <c r="B200" s="24"/>
      <c r="C200" s="24"/>
      <c r="D200" s="24"/>
      <c r="E200" s="24"/>
      <c r="F200" s="24"/>
      <c r="G200" s="24"/>
      <c r="H200" s="24"/>
      <c r="I200" s="273"/>
      <c r="J200" s="273"/>
      <c r="K200" s="24"/>
      <c r="L200" s="24"/>
      <c r="M200" s="24"/>
      <c r="N200" s="24"/>
      <c r="O200" s="24"/>
      <c r="P200" s="273"/>
      <c r="T200" s="22"/>
      <c r="AI200" s="152"/>
      <c r="AJ200" s="152"/>
      <c r="AK200" s="22"/>
      <c r="AL200" s="152"/>
      <c r="AN200" s="23"/>
      <c r="AO200" s="23"/>
      <c r="AP200" s="23"/>
    </row>
    <row r="201" spans="2:42" ht="15.75" customHeight="1" x14ac:dyDescent="0.25">
      <c r="B201" s="24"/>
      <c r="C201" s="24"/>
      <c r="D201" s="24"/>
      <c r="E201" s="24"/>
      <c r="F201" s="24"/>
      <c r="G201" s="24"/>
      <c r="H201" s="24"/>
      <c r="I201" s="273"/>
      <c r="J201" s="273"/>
      <c r="K201" s="24"/>
      <c r="L201" s="24"/>
      <c r="M201" s="24"/>
      <c r="N201" s="24"/>
      <c r="O201" s="24"/>
      <c r="P201" s="273"/>
      <c r="T201" s="22"/>
      <c r="AI201" s="151"/>
      <c r="AJ201" s="151"/>
      <c r="AK201" s="22"/>
      <c r="AL201" s="151"/>
      <c r="AN201" s="23"/>
      <c r="AO201" s="23"/>
      <c r="AP201" s="23"/>
    </row>
    <row r="202" spans="2:42" ht="15.75" customHeight="1" x14ac:dyDescent="0.25">
      <c r="B202" s="24"/>
      <c r="C202" s="24"/>
      <c r="D202" s="24"/>
      <c r="E202" s="24"/>
      <c r="F202" s="24"/>
      <c r="G202" s="24"/>
      <c r="H202" s="24"/>
      <c r="I202" s="273"/>
      <c r="J202" s="273"/>
      <c r="K202" s="24"/>
      <c r="L202" s="24"/>
      <c r="M202" s="24"/>
      <c r="N202" s="24"/>
      <c r="O202" s="24"/>
      <c r="P202" s="273"/>
      <c r="T202" s="22"/>
      <c r="AI202" s="151"/>
      <c r="AJ202" s="151"/>
      <c r="AK202" s="22"/>
      <c r="AL202" s="151"/>
      <c r="AN202" s="23"/>
      <c r="AO202" s="23"/>
      <c r="AP202" s="23"/>
    </row>
    <row r="203" spans="2:42" ht="15.75" customHeight="1" x14ac:dyDescent="0.25">
      <c r="B203" s="24"/>
      <c r="C203" s="24"/>
      <c r="D203" s="24"/>
      <c r="E203" s="24"/>
      <c r="F203" s="24"/>
      <c r="G203" s="24"/>
      <c r="H203" s="24"/>
      <c r="I203" s="273"/>
      <c r="J203" s="273"/>
      <c r="K203" s="24"/>
      <c r="L203" s="24"/>
      <c r="M203" s="24"/>
      <c r="N203" s="24"/>
      <c r="O203" s="24"/>
      <c r="P203" s="273"/>
      <c r="T203" s="22"/>
      <c r="AI203" s="150"/>
      <c r="AJ203" s="150"/>
      <c r="AK203" s="22"/>
      <c r="AL203" s="150"/>
      <c r="AN203" s="23"/>
      <c r="AO203" s="23"/>
      <c r="AP203" s="23"/>
    </row>
    <row r="204" spans="2:42" ht="15.75" customHeight="1" x14ac:dyDescent="0.25">
      <c r="B204" s="24"/>
      <c r="C204" s="24"/>
      <c r="D204" s="24"/>
      <c r="E204" s="24"/>
      <c r="F204" s="24"/>
      <c r="G204" s="24"/>
      <c r="H204" s="24"/>
      <c r="I204" s="273"/>
      <c r="J204" s="273"/>
      <c r="K204" s="24"/>
      <c r="L204" s="24"/>
      <c r="M204" s="24"/>
      <c r="N204" s="24"/>
      <c r="O204" s="24"/>
      <c r="P204" s="273"/>
      <c r="T204" s="22"/>
      <c r="AI204" s="149"/>
      <c r="AJ204" s="149"/>
      <c r="AK204" s="22"/>
      <c r="AL204" s="149"/>
      <c r="AN204" s="23"/>
      <c r="AO204" s="23"/>
      <c r="AP204" s="23"/>
    </row>
    <row r="205" spans="2:42" ht="15.75" customHeight="1" x14ac:dyDescent="0.25">
      <c r="B205" s="24"/>
      <c r="C205" s="24"/>
      <c r="D205" s="24"/>
      <c r="E205" s="24"/>
      <c r="F205" s="24"/>
      <c r="G205" s="24"/>
      <c r="H205" s="24"/>
      <c r="I205" s="273"/>
      <c r="J205" s="273"/>
      <c r="K205" s="24"/>
      <c r="L205" s="24"/>
      <c r="M205" s="24"/>
      <c r="N205" s="24"/>
      <c r="O205" s="24"/>
      <c r="P205" s="273"/>
      <c r="T205" s="22"/>
      <c r="AI205" s="148"/>
      <c r="AJ205" s="148"/>
      <c r="AK205" s="22"/>
      <c r="AL205" s="148"/>
      <c r="AN205" s="23"/>
      <c r="AO205" s="23"/>
      <c r="AP205" s="23"/>
    </row>
    <row r="206" spans="2:42" ht="15.75" customHeight="1" x14ac:dyDescent="0.25">
      <c r="B206" s="24"/>
      <c r="C206" s="24"/>
      <c r="D206" s="24"/>
      <c r="E206" s="24"/>
      <c r="F206" s="24"/>
      <c r="G206" s="24"/>
      <c r="H206" s="24"/>
      <c r="I206" s="273"/>
      <c r="J206" s="273"/>
      <c r="K206" s="24"/>
      <c r="L206" s="24"/>
      <c r="M206" s="24"/>
      <c r="N206" s="24"/>
      <c r="O206" s="24"/>
      <c r="P206" s="273"/>
      <c r="T206" s="22"/>
      <c r="AI206" s="147"/>
      <c r="AJ206" s="147"/>
      <c r="AK206" s="22"/>
      <c r="AL206" s="147"/>
      <c r="AN206" s="23"/>
      <c r="AO206" s="23"/>
      <c r="AP206" s="23"/>
    </row>
    <row r="207" spans="2:42" ht="15.75" customHeight="1" x14ac:dyDescent="0.25">
      <c r="B207" s="24"/>
      <c r="C207" s="24"/>
      <c r="D207" s="24"/>
      <c r="E207" s="24"/>
      <c r="F207" s="24"/>
      <c r="G207" s="24"/>
      <c r="H207" s="24"/>
      <c r="I207" s="273"/>
      <c r="J207" s="273"/>
      <c r="K207" s="24"/>
      <c r="L207" s="24"/>
      <c r="M207" s="24"/>
      <c r="N207" s="24"/>
      <c r="O207" s="24"/>
      <c r="P207" s="273"/>
      <c r="T207" s="22"/>
      <c r="AI207" s="146"/>
      <c r="AJ207" s="146"/>
      <c r="AK207" s="22"/>
      <c r="AL207" s="146"/>
      <c r="AN207" s="23"/>
      <c r="AO207" s="23"/>
      <c r="AP207" s="23"/>
    </row>
    <row r="208" spans="2:42" ht="15.75" customHeight="1" x14ac:dyDescent="0.25">
      <c r="B208" s="24"/>
      <c r="C208" s="24"/>
      <c r="D208" s="24"/>
      <c r="E208" s="24"/>
      <c r="F208" s="24"/>
      <c r="G208" s="24"/>
      <c r="H208" s="24"/>
      <c r="I208" s="273"/>
      <c r="J208" s="273"/>
      <c r="K208" s="24"/>
      <c r="L208" s="24"/>
      <c r="M208" s="24"/>
      <c r="N208" s="24"/>
      <c r="O208" s="24"/>
      <c r="P208" s="273"/>
      <c r="T208" s="22"/>
      <c r="AI208" s="145"/>
      <c r="AJ208" s="145"/>
      <c r="AK208" s="22"/>
      <c r="AL208" s="145"/>
    </row>
    <row r="209" spans="2:38" ht="15.75" customHeight="1" x14ac:dyDescent="0.25">
      <c r="B209" s="24"/>
      <c r="C209" s="24"/>
      <c r="D209" s="24"/>
      <c r="E209" s="24"/>
      <c r="F209" s="24"/>
      <c r="G209" s="24"/>
      <c r="H209" s="24"/>
      <c r="I209" s="273"/>
      <c r="J209" s="273"/>
      <c r="K209" s="24"/>
      <c r="L209" s="24"/>
      <c r="M209" s="24"/>
      <c r="N209" s="24"/>
      <c r="O209" s="24"/>
      <c r="P209" s="273"/>
      <c r="T209" s="22"/>
      <c r="AI209" s="144"/>
      <c r="AJ209" s="144"/>
      <c r="AK209" s="22"/>
      <c r="AL209" s="144"/>
    </row>
    <row r="210" spans="2:38" ht="15.75" customHeight="1" x14ac:dyDescent="0.25">
      <c r="B210" s="24"/>
      <c r="C210" s="24"/>
      <c r="D210" s="24"/>
      <c r="E210" s="24"/>
      <c r="F210" s="24"/>
      <c r="G210" s="24"/>
      <c r="H210" s="24"/>
      <c r="I210" s="273"/>
      <c r="J210" s="273"/>
      <c r="K210" s="24"/>
      <c r="L210" s="24"/>
      <c r="M210" s="24"/>
      <c r="N210" s="24"/>
      <c r="O210" s="24"/>
      <c r="P210" s="273"/>
      <c r="T210" s="22"/>
      <c r="AI210" s="143"/>
      <c r="AJ210" s="143"/>
      <c r="AK210" s="22"/>
      <c r="AL210" s="143"/>
    </row>
    <row r="211" spans="2:38" ht="15.75" customHeight="1" x14ac:dyDescent="0.25">
      <c r="B211" s="24"/>
      <c r="C211" s="24"/>
      <c r="D211" s="24"/>
      <c r="E211" s="24"/>
      <c r="F211" s="24"/>
      <c r="G211" s="24"/>
      <c r="H211" s="24"/>
      <c r="I211" s="273"/>
      <c r="J211" s="273"/>
      <c r="K211" s="24"/>
      <c r="L211" s="24"/>
      <c r="M211" s="24"/>
      <c r="N211" s="24"/>
      <c r="O211" s="24"/>
      <c r="P211" s="273"/>
      <c r="T211" s="22"/>
      <c r="AI211" s="142"/>
      <c r="AJ211" s="142"/>
      <c r="AK211" s="22"/>
      <c r="AL211" s="142"/>
    </row>
    <row r="212" spans="2:38" ht="15.75" customHeight="1" x14ac:dyDescent="0.25">
      <c r="B212" s="24"/>
      <c r="C212" s="24"/>
      <c r="D212" s="24"/>
      <c r="E212" s="24"/>
      <c r="F212" s="24"/>
      <c r="G212" s="24"/>
      <c r="H212" s="24"/>
      <c r="I212" s="273"/>
      <c r="J212" s="273"/>
      <c r="K212" s="24"/>
      <c r="L212" s="24"/>
      <c r="M212" s="24"/>
      <c r="N212" s="24"/>
      <c r="O212" s="24"/>
      <c r="P212" s="273"/>
      <c r="T212" s="22"/>
      <c r="AI212" s="141"/>
      <c r="AJ212" s="141"/>
      <c r="AK212" s="22"/>
      <c r="AL212" s="141"/>
    </row>
    <row r="213" spans="2:38" ht="15.75" customHeight="1" x14ac:dyDescent="0.25">
      <c r="B213" s="24"/>
      <c r="C213" s="24"/>
      <c r="D213" s="24"/>
      <c r="E213" s="24"/>
      <c r="F213" s="24"/>
      <c r="G213" s="24"/>
      <c r="H213" s="24"/>
      <c r="I213" s="273"/>
      <c r="J213" s="273"/>
      <c r="K213" s="24"/>
      <c r="L213" s="24"/>
      <c r="M213" s="24"/>
      <c r="N213" s="24"/>
      <c r="O213" s="24"/>
      <c r="P213" s="273"/>
      <c r="T213" s="22"/>
      <c r="AI213" s="140"/>
      <c r="AJ213" s="140"/>
      <c r="AK213" s="22"/>
      <c r="AL213" s="140"/>
    </row>
    <row r="214" spans="2:38" ht="15.75" customHeight="1" x14ac:dyDescent="0.25">
      <c r="B214" s="24"/>
      <c r="C214" s="24"/>
      <c r="D214" s="24"/>
      <c r="E214" s="24"/>
      <c r="F214" s="24"/>
      <c r="G214" s="24"/>
      <c r="H214" s="24"/>
      <c r="I214" s="273"/>
      <c r="J214" s="273"/>
      <c r="K214" s="24"/>
      <c r="L214" s="24"/>
      <c r="M214" s="24"/>
      <c r="N214" s="24"/>
      <c r="O214" s="24"/>
      <c r="P214" s="273"/>
      <c r="T214" s="22"/>
      <c r="AI214" s="139"/>
      <c r="AJ214" s="139"/>
      <c r="AK214" s="22"/>
      <c r="AL214" s="139"/>
    </row>
    <row r="215" spans="2:38" ht="15.75" customHeight="1" x14ac:dyDescent="0.25">
      <c r="B215" s="24"/>
      <c r="C215" s="24"/>
      <c r="D215" s="24"/>
      <c r="E215" s="24"/>
      <c r="F215" s="24"/>
      <c r="G215" s="24"/>
      <c r="H215" s="24"/>
      <c r="I215" s="273"/>
      <c r="J215" s="273"/>
      <c r="K215" s="24"/>
      <c r="L215" s="24"/>
      <c r="M215" s="24"/>
      <c r="N215" s="24"/>
      <c r="O215" s="24"/>
      <c r="P215" s="273"/>
      <c r="T215" s="22"/>
      <c r="AI215" s="138"/>
      <c r="AJ215" s="138"/>
      <c r="AK215" s="22"/>
      <c r="AL215" s="138"/>
    </row>
    <row r="216" spans="2:38" ht="15.75" customHeight="1" x14ac:dyDescent="0.25">
      <c r="B216" s="24"/>
      <c r="C216" s="24"/>
      <c r="D216" s="24"/>
      <c r="E216" s="24"/>
      <c r="F216" s="24"/>
      <c r="G216" s="24"/>
      <c r="H216" s="24"/>
      <c r="I216" s="273"/>
      <c r="J216" s="273"/>
      <c r="K216" s="24"/>
      <c r="L216" s="24"/>
      <c r="M216" s="24"/>
      <c r="N216" s="24"/>
      <c r="O216" s="24"/>
      <c r="P216" s="273"/>
      <c r="T216" s="22"/>
      <c r="AI216" s="137"/>
      <c r="AJ216" s="137"/>
      <c r="AK216" s="22"/>
      <c r="AL216" s="137"/>
    </row>
    <row r="217" spans="2:38" ht="15.75" customHeight="1" x14ac:dyDescent="0.25">
      <c r="B217" s="24"/>
      <c r="C217" s="24"/>
      <c r="D217" s="24"/>
      <c r="E217" s="24"/>
      <c r="F217" s="24"/>
      <c r="G217" s="24"/>
      <c r="H217" s="24"/>
      <c r="I217" s="273"/>
      <c r="J217" s="273"/>
      <c r="K217" s="24"/>
      <c r="L217" s="24"/>
      <c r="M217" s="24"/>
      <c r="N217" s="24"/>
      <c r="O217" s="24"/>
      <c r="P217" s="273"/>
      <c r="T217" s="22"/>
      <c r="AI217" s="136"/>
      <c r="AJ217" s="136"/>
      <c r="AK217" s="22"/>
      <c r="AL217" s="136"/>
    </row>
    <row r="218" spans="2:38" ht="15.75" customHeight="1" x14ac:dyDescent="0.25">
      <c r="B218" s="24"/>
      <c r="C218" s="24"/>
      <c r="D218" s="24"/>
      <c r="E218" s="24"/>
      <c r="F218" s="24"/>
      <c r="G218" s="24"/>
      <c r="H218" s="24"/>
      <c r="I218" s="273"/>
      <c r="J218" s="273"/>
      <c r="K218" s="24"/>
      <c r="L218" s="24"/>
      <c r="M218" s="24"/>
      <c r="N218" s="24"/>
      <c r="O218" s="24"/>
      <c r="P218" s="273"/>
      <c r="T218" s="22"/>
      <c r="AI218" s="135"/>
      <c r="AJ218" s="135"/>
      <c r="AK218" s="22"/>
      <c r="AL218" s="135"/>
    </row>
    <row r="219" spans="2:38" ht="15.75" customHeight="1" x14ac:dyDescent="0.25">
      <c r="B219" s="24"/>
      <c r="C219" s="24"/>
      <c r="D219" s="24"/>
      <c r="E219" s="24"/>
      <c r="F219" s="24"/>
      <c r="G219" s="24"/>
      <c r="H219" s="24"/>
      <c r="I219" s="273"/>
      <c r="J219" s="273"/>
      <c r="K219" s="24"/>
      <c r="L219" s="24"/>
      <c r="M219" s="24"/>
      <c r="N219" s="24"/>
      <c r="O219" s="24"/>
      <c r="P219" s="273"/>
      <c r="T219" s="22"/>
      <c r="AI219" s="134"/>
      <c r="AJ219" s="134"/>
      <c r="AK219" s="22"/>
      <c r="AL219" s="134"/>
    </row>
    <row r="220" spans="2:38" ht="15.75" customHeight="1" x14ac:dyDescent="0.25">
      <c r="B220" s="24"/>
      <c r="C220" s="24"/>
      <c r="D220" s="24"/>
      <c r="E220" s="24"/>
      <c r="F220" s="24"/>
      <c r="G220" s="24"/>
      <c r="H220" s="24"/>
      <c r="I220" s="273"/>
      <c r="J220" s="273"/>
      <c r="K220" s="24"/>
      <c r="L220" s="24"/>
      <c r="M220" s="24"/>
      <c r="N220" s="24"/>
      <c r="O220" s="24"/>
      <c r="P220" s="273"/>
      <c r="T220" s="22"/>
      <c r="AI220" s="133"/>
      <c r="AJ220" s="133"/>
      <c r="AK220" s="22"/>
      <c r="AL220" s="133"/>
    </row>
    <row r="221" spans="2:38" ht="15.75" customHeight="1" x14ac:dyDescent="0.25">
      <c r="B221" s="24"/>
      <c r="C221" s="24"/>
      <c r="D221" s="24"/>
      <c r="E221" s="24"/>
      <c r="F221" s="24"/>
      <c r="G221" s="24"/>
      <c r="H221" s="24"/>
      <c r="I221" s="273"/>
      <c r="J221" s="273"/>
      <c r="K221" s="24"/>
      <c r="L221" s="24"/>
      <c r="M221" s="24"/>
      <c r="N221" s="24"/>
      <c r="O221" s="24"/>
      <c r="P221" s="273"/>
      <c r="T221" s="22"/>
      <c r="AI221" s="132"/>
      <c r="AJ221" s="132"/>
      <c r="AK221" s="22"/>
      <c r="AL221" s="132"/>
    </row>
    <row r="222" spans="2:38" ht="15.75" customHeight="1" x14ac:dyDescent="0.25">
      <c r="B222" s="24"/>
      <c r="C222" s="24"/>
      <c r="D222" s="24"/>
      <c r="E222" s="24"/>
      <c r="F222" s="24"/>
      <c r="G222" s="24"/>
      <c r="H222" s="24"/>
      <c r="I222" s="273"/>
      <c r="J222" s="273"/>
      <c r="K222" s="24"/>
      <c r="L222" s="24"/>
      <c r="M222" s="24"/>
      <c r="N222" s="24"/>
      <c r="O222" s="24"/>
      <c r="P222" s="273"/>
      <c r="T222" s="22"/>
      <c r="AI222" s="131"/>
      <c r="AJ222" s="131"/>
      <c r="AK222" s="22"/>
      <c r="AL222" s="131"/>
    </row>
    <row r="223" spans="2:38" ht="15.75" customHeight="1" x14ac:dyDescent="0.25">
      <c r="B223" s="24"/>
      <c r="C223" s="24"/>
      <c r="D223" s="24"/>
      <c r="E223" s="24"/>
      <c r="F223" s="24"/>
      <c r="G223" s="24"/>
      <c r="H223" s="24"/>
      <c r="I223" s="273"/>
      <c r="J223" s="273"/>
      <c r="K223" s="24"/>
      <c r="L223" s="24"/>
      <c r="M223" s="24"/>
      <c r="N223" s="24"/>
      <c r="O223" s="24"/>
      <c r="P223" s="273"/>
      <c r="T223" s="22"/>
      <c r="AI223" s="130"/>
      <c r="AJ223" s="130"/>
      <c r="AK223" s="22"/>
      <c r="AL223" s="130"/>
    </row>
    <row r="224" spans="2:38" ht="15.75" customHeight="1" x14ac:dyDescent="0.25">
      <c r="B224" s="24"/>
      <c r="C224" s="24"/>
      <c r="D224" s="24"/>
      <c r="E224" s="24"/>
      <c r="F224" s="24"/>
      <c r="G224" s="24"/>
      <c r="H224" s="24"/>
      <c r="I224" s="273"/>
      <c r="J224" s="273"/>
      <c r="K224" s="24"/>
      <c r="L224" s="24"/>
      <c r="M224" s="24"/>
      <c r="N224" s="24"/>
      <c r="O224" s="24"/>
      <c r="P224" s="273"/>
      <c r="T224" s="22"/>
      <c r="AI224" s="129"/>
      <c r="AJ224" s="129"/>
      <c r="AK224" s="22"/>
      <c r="AL224" s="129"/>
    </row>
    <row r="225" spans="2:38" ht="15.75" customHeight="1" x14ac:dyDescent="0.25">
      <c r="B225" s="24"/>
      <c r="C225" s="24"/>
      <c r="D225" s="24"/>
      <c r="E225" s="24"/>
      <c r="F225" s="24"/>
      <c r="G225" s="24"/>
      <c r="H225" s="24"/>
      <c r="I225" s="273"/>
      <c r="J225" s="273"/>
      <c r="K225" s="24"/>
      <c r="L225" s="24"/>
      <c r="M225" s="24"/>
      <c r="N225" s="24"/>
      <c r="O225" s="24"/>
      <c r="P225" s="273"/>
      <c r="T225" s="22"/>
      <c r="AI225" s="128"/>
      <c r="AJ225" s="128"/>
      <c r="AK225" s="22"/>
      <c r="AL225" s="128"/>
    </row>
    <row r="226" spans="2:38" ht="15.75" customHeight="1" x14ac:dyDescent="0.25">
      <c r="B226" s="24"/>
      <c r="C226" s="24"/>
      <c r="D226" s="24"/>
      <c r="E226" s="24"/>
      <c r="F226" s="24"/>
      <c r="G226" s="24"/>
      <c r="H226" s="24"/>
      <c r="I226" s="273"/>
      <c r="J226" s="273"/>
      <c r="K226" s="24"/>
      <c r="L226" s="24"/>
      <c r="M226" s="24"/>
      <c r="N226" s="24"/>
      <c r="O226" s="24"/>
      <c r="P226" s="273"/>
      <c r="T226" s="22"/>
      <c r="AI226" s="128"/>
      <c r="AJ226" s="128"/>
      <c r="AK226" s="22"/>
      <c r="AL226" s="128"/>
    </row>
    <row r="227" spans="2:38" ht="15.75" customHeight="1" x14ac:dyDescent="0.25">
      <c r="B227" s="24"/>
      <c r="C227" s="24"/>
      <c r="D227" s="24"/>
      <c r="E227" s="24"/>
      <c r="F227" s="24"/>
      <c r="G227" s="24"/>
      <c r="H227" s="24"/>
      <c r="I227" s="273"/>
      <c r="J227" s="273"/>
      <c r="K227" s="24"/>
      <c r="L227" s="24"/>
      <c r="M227" s="24"/>
      <c r="N227" s="24"/>
      <c r="O227" s="24"/>
      <c r="P227" s="273"/>
      <c r="T227" s="22"/>
      <c r="AI227" s="128"/>
      <c r="AJ227" s="128"/>
      <c r="AK227" s="22"/>
      <c r="AL227" s="128"/>
    </row>
    <row r="228" spans="2:38" ht="15.75" customHeight="1" x14ac:dyDescent="0.25">
      <c r="B228" s="24"/>
      <c r="C228" s="24"/>
      <c r="D228" s="24"/>
      <c r="E228" s="24"/>
      <c r="F228" s="24"/>
      <c r="G228" s="24"/>
      <c r="H228" s="24"/>
      <c r="I228" s="273"/>
      <c r="J228" s="273"/>
      <c r="K228" s="24"/>
      <c r="L228" s="24"/>
      <c r="M228" s="24"/>
      <c r="N228" s="24"/>
      <c r="O228" s="24"/>
      <c r="P228" s="273"/>
      <c r="T228" s="22"/>
      <c r="AI228" s="124"/>
      <c r="AJ228" s="124"/>
      <c r="AK228" s="22"/>
      <c r="AL228" s="124"/>
    </row>
    <row r="229" spans="2:38" ht="15.75" customHeight="1" x14ac:dyDescent="0.25">
      <c r="B229" s="24"/>
      <c r="C229" s="24"/>
      <c r="D229" s="24"/>
      <c r="E229" s="24"/>
      <c r="F229" s="24"/>
      <c r="G229" s="24"/>
      <c r="H229" s="24"/>
      <c r="I229" s="273"/>
      <c r="J229" s="273"/>
      <c r="K229" s="24"/>
      <c r="L229" s="24"/>
      <c r="M229" s="24"/>
      <c r="N229" s="24"/>
      <c r="O229" s="24"/>
      <c r="P229" s="273"/>
      <c r="T229" s="22"/>
      <c r="AI229" s="79"/>
      <c r="AJ229" s="79"/>
      <c r="AK229" s="22"/>
      <c r="AL229" s="79"/>
    </row>
    <row r="230" spans="2:38" ht="15.75" customHeight="1" x14ac:dyDescent="0.25">
      <c r="B230" s="24"/>
      <c r="C230" s="24"/>
      <c r="D230" s="24"/>
      <c r="E230" s="24"/>
      <c r="F230" s="24"/>
      <c r="G230" s="24"/>
      <c r="H230" s="24"/>
      <c r="I230" s="273"/>
      <c r="J230" s="273"/>
      <c r="K230" s="24"/>
      <c r="L230" s="24"/>
      <c r="M230" s="24"/>
      <c r="N230" s="24"/>
      <c r="O230" s="24"/>
      <c r="P230" s="273"/>
      <c r="T230" s="22"/>
      <c r="AI230" s="123"/>
      <c r="AJ230" s="123"/>
      <c r="AK230" s="22"/>
      <c r="AL230" s="123"/>
    </row>
    <row r="231" spans="2:38" ht="15.75" customHeight="1" x14ac:dyDescent="0.25">
      <c r="B231" s="24"/>
      <c r="C231" s="24"/>
      <c r="D231" s="24"/>
      <c r="E231" s="24"/>
      <c r="F231" s="24"/>
      <c r="G231" s="24"/>
      <c r="H231" s="24"/>
      <c r="I231" s="273"/>
      <c r="J231" s="273"/>
      <c r="K231" s="24"/>
      <c r="L231" s="24"/>
      <c r="M231" s="24"/>
      <c r="N231" s="24"/>
      <c r="O231" s="24"/>
      <c r="P231" s="273"/>
      <c r="T231" s="22"/>
      <c r="AI231" s="122"/>
      <c r="AJ231" s="122"/>
      <c r="AK231" s="22"/>
      <c r="AL231" s="122"/>
    </row>
    <row r="232" spans="2:38" ht="15.75" customHeight="1" x14ac:dyDescent="0.25">
      <c r="B232" s="24"/>
      <c r="C232" s="24"/>
      <c r="D232" s="24"/>
      <c r="E232" s="24"/>
      <c r="F232" s="24"/>
      <c r="G232" s="24"/>
      <c r="H232" s="24"/>
      <c r="I232" s="273"/>
      <c r="J232" s="273"/>
      <c r="K232" s="24"/>
      <c r="L232" s="24"/>
      <c r="M232" s="24"/>
      <c r="N232" s="24"/>
      <c r="O232" s="24"/>
      <c r="P232" s="273"/>
      <c r="T232" s="22"/>
      <c r="AI232" s="121"/>
      <c r="AJ232" s="121"/>
      <c r="AK232" s="22"/>
      <c r="AL232" s="121"/>
    </row>
    <row r="233" spans="2:38" ht="15.75" customHeight="1" x14ac:dyDescent="0.25">
      <c r="B233" s="24"/>
      <c r="C233" s="24"/>
      <c r="D233" s="24"/>
      <c r="E233" s="24"/>
      <c r="F233" s="24"/>
      <c r="G233" s="24"/>
      <c r="H233" s="24"/>
      <c r="I233" s="273"/>
      <c r="J233" s="273"/>
      <c r="K233" s="24"/>
      <c r="L233" s="24"/>
      <c r="M233" s="24"/>
      <c r="N233" s="24"/>
      <c r="O233" s="24"/>
      <c r="P233" s="273"/>
      <c r="T233" s="22"/>
      <c r="AI233" s="120"/>
      <c r="AJ233" s="120"/>
      <c r="AK233" s="22"/>
      <c r="AL233" s="120"/>
    </row>
    <row r="234" spans="2:38" ht="15.75" customHeight="1" x14ac:dyDescent="0.25">
      <c r="B234" s="24"/>
      <c r="C234" s="24"/>
      <c r="D234" s="24"/>
      <c r="E234" s="24"/>
      <c r="F234" s="24"/>
      <c r="G234" s="24"/>
      <c r="H234" s="24"/>
      <c r="I234" s="273"/>
      <c r="J234" s="273"/>
      <c r="K234" s="24"/>
      <c r="L234" s="24"/>
      <c r="M234" s="24"/>
      <c r="N234" s="24"/>
      <c r="O234" s="24"/>
      <c r="P234" s="273"/>
      <c r="T234" s="22"/>
      <c r="AI234" s="119"/>
      <c r="AJ234" s="119"/>
      <c r="AK234" s="22"/>
      <c r="AL234" s="119"/>
    </row>
    <row r="235" spans="2:38" ht="15.75" customHeight="1" x14ac:dyDescent="0.25">
      <c r="B235" s="24"/>
      <c r="C235" s="24"/>
      <c r="D235" s="24"/>
      <c r="E235" s="24"/>
      <c r="F235" s="24"/>
      <c r="G235" s="24"/>
      <c r="H235" s="24"/>
      <c r="I235" s="273"/>
      <c r="J235" s="273"/>
      <c r="K235" s="24"/>
      <c r="L235" s="24"/>
      <c r="M235" s="24"/>
      <c r="N235" s="24"/>
      <c r="O235" s="24"/>
      <c r="P235" s="273"/>
      <c r="T235" s="22"/>
      <c r="AI235" s="118"/>
      <c r="AJ235" s="118"/>
      <c r="AK235" s="22"/>
      <c r="AL235" s="118"/>
    </row>
    <row r="236" spans="2:38" ht="15.75" customHeight="1" x14ac:dyDescent="0.25">
      <c r="B236" s="24"/>
      <c r="C236" s="24"/>
      <c r="D236" s="24"/>
      <c r="E236" s="24"/>
      <c r="F236" s="24"/>
      <c r="G236" s="24"/>
      <c r="H236" s="24"/>
      <c r="I236" s="273"/>
      <c r="J236" s="273"/>
      <c r="K236" s="24"/>
      <c r="L236" s="24"/>
      <c r="M236" s="24"/>
      <c r="N236" s="24"/>
      <c r="O236" s="24"/>
      <c r="P236" s="273"/>
      <c r="T236" s="22"/>
      <c r="AI236" s="117"/>
      <c r="AJ236" s="117"/>
      <c r="AK236" s="22"/>
      <c r="AL236" s="117"/>
    </row>
    <row r="237" spans="2:38" ht="15.75" customHeight="1" x14ac:dyDescent="0.25">
      <c r="B237" s="24"/>
      <c r="C237" s="24"/>
      <c r="D237" s="24"/>
      <c r="E237" s="24"/>
      <c r="F237" s="24"/>
      <c r="G237" s="24"/>
      <c r="H237" s="24"/>
      <c r="I237" s="273"/>
      <c r="J237" s="273"/>
      <c r="K237" s="24"/>
      <c r="L237" s="24"/>
      <c r="M237" s="24"/>
      <c r="N237" s="24"/>
      <c r="O237" s="24"/>
      <c r="P237" s="273"/>
      <c r="T237" s="22"/>
      <c r="AI237" s="116"/>
      <c r="AJ237" s="116"/>
      <c r="AK237" s="22"/>
      <c r="AL237" s="116"/>
    </row>
    <row r="238" spans="2:38" ht="15.75" customHeight="1" x14ac:dyDescent="0.25">
      <c r="B238" s="24"/>
      <c r="C238" s="24"/>
      <c r="D238" s="24"/>
      <c r="E238" s="24"/>
      <c r="F238" s="24"/>
      <c r="G238" s="24"/>
      <c r="H238" s="24"/>
      <c r="I238" s="273"/>
      <c r="J238" s="273"/>
      <c r="K238" s="24"/>
      <c r="L238" s="24"/>
      <c r="M238" s="24"/>
      <c r="N238" s="24"/>
      <c r="O238" s="24"/>
      <c r="P238" s="273"/>
      <c r="T238" s="22"/>
      <c r="AI238" s="115"/>
      <c r="AJ238" s="115"/>
      <c r="AK238" s="22"/>
      <c r="AL238" s="115"/>
    </row>
    <row r="239" spans="2:38" ht="15.75" customHeight="1" x14ac:dyDescent="0.25">
      <c r="B239" s="24"/>
      <c r="C239" s="24"/>
      <c r="D239" s="24"/>
      <c r="E239" s="24"/>
      <c r="F239" s="24"/>
      <c r="G239" s="24"/>
      <c r="H239" s="24"/>
      <c r="I239" s="273"/>
      <c r="J239" s="273"/>
      <c r="K239" s="24"/>
      <c r="L239" s="24"/>
      <c r="M239" s="24"/>
      <c r="N239" s="24"/>
      <c r="O239" s="24"/>
      <c r="P239" s="273"/>
      <c r="T239" s="22"/>
      <c r="AI239" s="114"/>
      <c r="AJ239" s="114"/>
      <c r="AK239" s="22"/>
      <c r="AL239" s="114"/>
    </row>
    <row r="240" spans="2:38" ht="15.75" customHeight="1" x14ac:dyDescent="0.25">
      <c r="B240" s="24"/>
      <c r="C240" s="24"/>
      <c r="D240" s="24"/>
      <c r="E240" s="24"/>
      <c r="F240" s="24"/>
      <c r="G240" s="24"/>
      <c r="H240" s="24"/>
      <c r="I240" s="273"/>
      <c r="J240" s="273"/>
      <c r="K240" s="24"/>
      <c r="L240" s="24"/>
      <c r="M240" s="24"/>
      <c r="N240" s="24"/>
      <c r="O240" s="24"/>
      <c r="P240" s="273"/>
      <c r="T240" s="22"/>
      <c r="AI240" s="113"/>
      <c r="AJ240" s="113"/>
      <c r="AK240" s="22"/>
      <c r="AL240" s="113"/>
    </row>
    <row r="241" spans="2:38" ht="15.75" customHeight="1" x14ac:dyDescent="0.25">
      <c r="B241" s="24"/>
      <c r="C241" s="24"/>
      <c r="D241" s="24"/>
      <c r="E241" s="24"/>
      <c r="F241" s="24"/>
      <c r="G241" s="24"/>
      <c r="H241" s="24"/>
      <c r="I241" s="273"/>
      <c r="J241" s="273"/>
      <c r="K241" s="24"/>
      <c r="L241" s="24"/>
      <c r="M241" s="24"/>
      <c r="N241" s="24"/>
      <c r="O241" s="24"/>
      <c r="P241" s="273"/>
      <c r="T241" s="22"/>
      <c r="AI241" s="112"/>
      <c r="AJ241" s="112"/>
      <c r="AK241" s="22"/>
      <c r="AL241" s="112"/>
    </row>
    <row r="242" spans="2:38" ht="15.75" customHeight="1" x14ac:dyDescent="0.25">
      <c r="B242" s="24"/>
      <c r="C242" s="24"/>
      <c r="D242" s="24"/>
      <c r="E242" s="24"/>
      <c r="F242" s="24"/>
      <c r="G242" s="24"/>
      <c r="H242" s="24"/>
      <c r="I242" s="273"/>
      <c r="J242" s="273"/>
      <c r="K242" s="24"/>
      <c r="L242" s="24"/>
      <c r="M242" s="24"/>
      <c r="N242" s="24"/>
      <c r="O242" s="24"/>
      <c r="P242" s="273"/>
      <c r="T242" s="22"/>
      <c r="AI242" s="111"/>
      <c r="AJ242" s="111"/>
      <c r="AK242" s="22"/>
      <c r="AL242" s="111"/>
    </row>
    <row r="243" spans="2:38" ht="15.75" customHeight="1" x14ac:dyDescent="0.25">
      <c r="B243" s="24"/>
      <c r="C243" s="24"/>
      <c r="D243" s="24"/>
      <c r="E243" s="24"/>
      <c r="F243" s="24"/>
      <c r="G243" s="24"/>
      <c r="H243" s="24"/>
      <c r="I243" s="273"/>
      <c r="J243" s="273"/>
      <c r="K243" s="24"/>
      <c r="L243" s="24"/>
      <c r="M243" s="24"/>
      <c r="N243" s="24"/>
      <c r="O243" s="24"/>
      <c r="P243" s="273"/>
      <c r="T243" s="22"/>
      <c r="AI243" s="110"/>
      <c r="AJ243" s="110"/>
      <c r="AK243" s="22"/>
      <c r="AL243" s="110"/>
    </row>
    <row r="244" spans="2:38" ht="15.75" customHeight="1" x14ac:dyDescent="0.25">
      <c r="B244" s="24"/>
      <c r="C244" s="24"/>
      <c r="D244" s="24"/>
      <c r="E244" s="24"/>
      <c r="F244" s="24"/>
      <c r="G244" s="24"/>
      <c r="H244" s="24"/>
      <c r="I244" s="273"/>
      <c r="J244" s="273"/>
      <c r="K244" s="24"/>
      <c r="L244" s="24"/>
      <c r="M244" s="24"/>
      <c r="N244" s="24"/>
      <c r="O244" s="24"/>
      <c r="P244" s="273"/>
      <c r="T244" s="22"/>
      <c r="AI244" s="109"/>
      <c r="AJ244" s="109"/>
      <c r="AK244" s="22"/>
      <c r="AL244" s="109"/>
    </row>
    <row r="245" spans="2:38" ht="15.75" customHeight="1" x14ac:dyDescent="0.25">
      <c r="B245" s="24"/>
      <c r="C245" s="24"/>
      <c r="D245" s="24"/>
      <c r="E245" s="24"/>
      <c r="F245" s="24"/>
      <c r="G245" s="24"/>
      <c r="H245" s="24"/>
      <c r="I245" s="273"/>
      <c r="J245" s="273"/>
      <c r="K245" s="24"/>
      <c r="L245" s="24"/>
      <c r="M245" s="24"/>
      <c r="N245" s="24"/>
      <c r="O245" s="24"/>
      <c r="P245" s="273"/>
      <c r="T245" s="22"/>
      <c r="AI245" s="108"/>
      <c r="AJ245" s="108"/>
      <c r="AK245" s="22"/>
      <c r="AL245" s="108"/>
    </row>
    <row r="246" spans="2:38" ht="15.75" customHeight="1" x14ac:dyDescent="0.25">
      <c r="B246" s="24"/>
      <c r="C246" s="24"/>
      <c r="D246" s="24"/>
      <c r="E246" s="24"/>
      <c r="F246" s="24"/>
      <c r="G246" s="24"/>
      <c r="H246" s="24"/>
      <c r="I246" s="273"/>
      <c r="J246" s="273"/>
      <c r="K246" s="24"/>
      <c r="L246" s="24"/>
      <c r="M246" s="24"/>
      <c r="N246" s="24"/>
      <c r="O246" s="24"/>
      <c r="P246" s="273"/>
      <c r="T246" s="22"/>
      <c r="AI246" s="107"/>
      <c r="AJ246" s="107"/>
      <c r="AK246" s="22"/>
      <c r="AL246" s="107"/>
    </row>
    <row r="247" spans="2:38" ht="15.75" customHeight="1" x14ac:dyDescent="0.25">
      <c r="B247" s="24"/>
      <c r="C247" s="24"/>
      <c r="D247" s="24"/>
      <c r="E247" s="24"/>
      <c r="F247" s="24"/>
      <c r="G247" s="24"/>
      <c r="H247" s="24"/>
      <c r="I247" s="273"/>
      <c r="J247" s="273"/>
      <c r="K247" s="24"/>
      <c r="L247" s="24"/>
      <c r="M247" s="24"/>
      <c r="N247" s="24"/>
      <c r="O247" s="24"/>
      <c r="P247" s="273"/>
      <c r="T247" s="22"/>
      <c r="AI247" s="106"/>
      <c r="AJ247" s="106"/>
      <c r="AK247" s="22"/>
      <c r="AL247" s="106"/>
    </row>
    <row r="248" spans="2:38" ht="15.75" customHeight="1" x14ac:dyDescent="0.25">
      <c r="B248" s="24"/>
      <c r="C248" s="24"/>
      <c r="D248" s="24"/>
      <c r="E248" s="24"/>
      <c r="F248" s="24"/>
      <c r="G248" s="24"/>
      <c r="H248" s="24"/>
      <c r="I248" s="273"/>
      <c r="J248" s="273"/>
      <c r="K248" s="24"/>
      <c r="L248" s="24"/>
      <c r="M248" s="24"/>
      <c r="N248" s="24"/>
      <c r="O248" s="24"/>
      <c r="P248" s="273"/>
      <c r="T248" s="22"/>
      <c r="AI248" s="105"/>
      <c r="AJ248" s="105"/>
      <c r="AK248" s="22"/>
      <c r="AL248" s="105"/>
    </row>
    <row r="249" spans="2:38" ht="15.75" customHeight="1" x14ac:dyDescent="0.25">
      <c r="B249" s="24"/>
      <c r="C249" s="24"/>
      <c r="D249" s="24"/>
      <c r="E249" s="24"/>
      <c r="F249" s="24"/>
      <c r="G249" s="24"/>
      <c r="H249" s="24"/>
      <c r="I249" s="273"/>
      <c r="J249" s="273"/>
      <c r="K249" s="24"/>
      <c r="L249" s="24"/>
      <c r="M249" s="24"/>
      <c r="N249" s="24"/>
      <c r="O249" s="24"/>
      <c r="P249" s="273"/>
      <c r="T249" s="22"/>
      <c r="AI249" s="104"/>
      <c r="AJ249" s="104"/>
      <c r="AK249" s="22"/>
      <c r="AL249" s="104"/>
    </row>
    <row r="250" spans="2:38" ht="15.75" customHeight="1" x14ac:dyDescent="0.25">
      <c r="B250" s="24"/>
      <c r="C250" s="24"/>
      <c r="D250" s="24"/>
      <c r="E250" s="24"/>
      <c r="F250" s="24"/>
      <c r="G250" s="24"/>
      <c r="H250" s="24"/>
      <c r="I250" s="273"/>
      <c r="J250" s="273"/>
      <c r="K250" s="24"/>
      <c r="L250" s="24"/>
      <c r="M250" s="24"/>
      <c r="N250" s="24"/>
      <c r="O250" s="24"/>
      <c r="P250" s="273"/>
      <c r="T250" s="22"/>
      <c r="AI250" s="103"/>
      <c r="AJ250" s="103"/>
      <c r="AK250" s="22"/>
      <c r="AL250" s="103"/>
    </row>
    <row r="251" spans="2:38" ht="15.75" customHeight="1" x14ac:dyDescent="0.25">
      <c r="B251" s="24"/>
      <c r="C251" s="24"/>
      <c r="D251" s="24"/>
      <c r="E251" s="24"/>
      <c r="F251" s="24"/>
      <c r="G251" s="24"/>
      <c r="H251" s="24"/>
      <c r="I251" s="273"/>
      <c r="J251" s="273"/>
      <c r="K251" s="24"/>
      <c r="L251" s="24"/>
      <c r="M251" s="24"/>
      <c r="N251" s="24"/>
      <c r="O251" s="24"/>
      <c r="P251" s="273"/>
      <c r="T251" s="22"/>
      <c r="AI251" s="102"/>
      <c r="AJ251" s="102"/>
      <c r="AK251" s="22"/>
      <c r="AL251" s="102"/>
    </row>
    <row r="252" spans="2:38" ht="15.75" customHeight="1" x14ac:dyDescent="0.25">
      <c r="B252" s="24"/>
      <c r="C252" s="24"/>
      <c r="D252" s="24"/>
      <c r="E252" s="24"/>
      <c r="F252" s="24"/>
      <c r="G252" s="24"/>
      <c r="H252" s="24"/>
      <c r="I252" s="273"/>
      <c r="J252" s="273"/>
      <c r="K252" s="24"/>
      <c r="L252" s="24"/>
      <c r="M252" s="24"/>
      <c r="N252" s="24"/>
      <c r="O252" s="24"/>
      <c r="P252" s="273"/>
      <c r="T252" s="22"/>
      <c r="AI252" s="101"/>
      <c r="AJ252" s="101"/>
      <c r="AK252" s="22"/>
      <c r="AL252" s="101"/>
    </row>
    <row r="253" spans="2:38" ht="15.75" customHeight="1" x14ac:dyDescent="0.25">
      <c r="B253" s="24"/>
      <c r="C253" s="24"/>
      <c r="D253" s="24"/>
      <c r="E253" s="24"/>
      <c r="F253" s="24"/>
      <c r="G253" s="24"/>
      <c r="H253" s="24"/>
      <c r="I253" s="273"/>
      <c r="J253" s="273"/>
      <c r="K253" s="24"/>
      <c r="L253" s="24"/>
      <c r="M253" s="24"/>
      <c r="N253" s="24"/>
      <c r="O253" s="24"/>
      <c r="P253" s="273"/>
      <c r="T253" s="22"/>
      <c r="AI253" s="100"/>
      <c r="AJ253" s="100"/>
      <c r="AK253" s="22"/>
      <c r="AL253" s="100"/>
    </row>
    <row r="254" spans="2:38" ht="15.75" customHeight="1" x14ac:dyDescent="0.25">
      <c r="B254" s="24"/>
      <c r="C254" s="24"/>
      <c r="D254" s="24"/>
      <c r="E254" s="24"/>
      <c r="F254" s="24"/>
      <c r="G254" s="24"/>
      <c r="H254" s="24"/>
      <c r="I254" s="273"/>
      <c r="J254" s="273"/>
      <c r="K254" s="24"/>
      <c r="L254" s="24"/>
      <c r="M254" s="24"/>
      <c r="N254" s="24"/>
      <c r="O254" s="24"/>
      <c r="P254" s="273"/>
      <c r="T254" s="22"/>
      <c r="AI254" s="99"/>
      <c r="AJ254" s="99"/>
      <c r="AK254" s="22"/>
      <c r="AL254" s="99"/>
    </row>
    <row r="255" spans="2:38" ht="15.75" customHeight="1" x14ac:dyDescent="0.25">
      <c r="B255" s="24"/>
      <c r="C255" s="24"/>
      <c r="D255" s="24"/>
      <c r="E255" s="24"/>
      <c r="F255" s="24"/>
      <c r="G255" s="24"/>
      <c r="H255" s="24"/>
      <c r="I255" s="273"/>
      <c r="J255" s="273"/>
      <c r="K255" s="24"/>
      <c r="L255" s="24"/>
      <c r="M255" s="24"/>
      <c r="N255" s="24"/>
      <c r="O255" s="24"/>
      <c r="P255" s="273"/>
      <c r="T255" s="22"/>
      <c r="AI255" s="98"/>
      <c r="AJ255" s="98"/>
      <c r="AK255" s="22"/>
      <c r="AL255" s="98"/>
    </row>
    <row r="256" spans="2:38" ht="15.75" customHeight="1" x14ac:dyDescent="0.25">
      <c r="B256" s="24"/>
      <c r="C256" s="24"/>
      <c r="D256" s="24"/>
      <c r="E256" s="24"/>
      <c r="F256" s="24"/>
      <c r="G256" s="24"/>
      <c r="H256" s="24"/>
      <c r="I256" s="273"/>
      <c r="J256" s="273"/>
      <c r="K256" s="24"/>
      <c r="L256" s="24"/>
      <c r="M256" s="24"/>
      <c r="N256" s="24"/>
      <c r="O256" s="24"/>
      <c r="P256" s="273"/>
      <c r="T256" s="22"/>
      <c r="AI256" s="97"/>
      <c r="AJ256" s="97"/>
      <c r="AK256" s="22"/>
      <c r="AL256" s="97"/>
    </row>
    <row r="257" spans="2:38" ht="15.75" customHeight="1" x14ac:dyDescent="0.25">
      <c r="B257" s="24"/>
      <c r="C257" s="24"/>
      <c r="D257" s="24"/>
      <c r="E257" s="24"/>
      <c r="F257" s="24"/>
      <c r="G257" s="24"/>
      <c r="H257" s="24"/>
      <c r="I257" s="273"/>
      <c r="J257" s="273"/>
      <c r="K257" s="24"/>
      <c r="L257" s="24"/>
      <c r="M257" s="24"/>
      <c r="N257" s="24"/>
      <c r="O257" s="24"/>
      <c r="P257" s="273"/>
      <c r="T257" s="22"/>
      <c r="AI257" s="96"/>
      <c r="AJ257" s="96"/>
      <c r="AK257" s="22"/>
      <c r="AL257" s="96"/>
    </row>
    <row r="258" spans="2:38" ht="15.75" customHeight="1" x14ac:dyDescent="0.25">
      <c r="B258" s="24"/>
      <c r="C258" s="24"/>
      <c r="D258" s="24"/>
      <c r="E258" s="24"/>
      <c r="F258" s="24"/>
      <c r="G258" s="24"/>
      <c r="H258" s="24"/>
      <c r="I258" s="273"/>
      <c r="J258" s="273"/>
      <c r="K258" s="24"/>
      <c r="L258" s="24"/>
      <c r="M258" s="24"/>
      <c r="N258" s="24"/>
      <c r="O258" s="24"/>
      <c r="P258" s="273"/>
      <c r="T258" s="22"/>
      <c r="AI258" s="95"/>
      <c r="AJ258" s="95"/>
      <c r="AK258" s="22"/>
      <c r="AL258" s="95"/>
    </row>
    <row r="259" spans="2:38" ht="15.75" customHeight="1" x14ac:dyDescent="0.25">
      <c r="B259" s="24"/>
      <c r="C259" s="24"/>
      <c r="D259" s="24"/>
      <c r="E259" s="24"/>
      <c r="F259" s="24"/>
      <c r="G259" s="24"/>
      <c r="H259" s="24"/>
      <c r="I259" s="273"/>
      <c r="J259" s="273"/>
      <c r="K259" s="24"/>
      <c r="L259" s="24"/>
      <c r="M259" s="24"/>
      <c r="N259" s="24"/>
      <c r="O259" s="24"/>
      <c r="P259" s="273"/>
      <c r="T259" s="22"/>
      <c r="AI259" s="94"/>
      <c r="AJ259" s="94"/>
      <c r="AK259" s="22"/>
      <c r="AL259" s="94"/>
    </row>
    <row r="260" spans="2:38" ht="15.75" customHeight="1" x14ac:dyDescent="0.25">
      <c r="B260" s="24"/>
      <c r="C260" s="24"/>
      <c r="D260" s="24"/>
      <c r="E260" s="24"/>
      <c r="F260" s="24"/>
      <c r="G260" s="24"/>
      <c r="H260" s="24"/>
      <c r="I260" s="273"/>
      <c r="J260" s="273"/>
      <c r="K260" s="24"/>
      <c r="L260" s="24"/>
      <c r="M260" s="24"/>
      <c r="N260" s="24"/>
      <c r="O260" s="24"/>
      <c r="P260" s="273"/>
      <c r="T260" s="22"/>
      <c r="AI260" s="93"/>
      <c r="AJ260" s="93"/>
      <c r="AK260" s="22"/>
      <c r="AL260" s="93"/>
    </row>
    <row r="261" spans="2:38" ht="15.75" customHeight="1" x14ac:dyDescent="0.25">
      <c r="B261" s="24"/>
      <c r="C261" s="24"/>
      <c r="D261" s="24"/>
      <c r="E261" s="24"/>
      <c r="F261" s="24"/>
      <c r="G261" s="24"/>
      <c r="H261" s="24"/>
      <c r="I261" s="273"/>
      <c r="J261" s="273"/>
      <c r="K261" s="24"/>
      <c r="L261" s="24"/>
      <c r="M261" s="24"/>
      <c r="N261" s="24"/>
      <c r="O261" s="24"/>
      <c r="P261" s="273"/>
      <c r="T261" s="22"/>
      <c r="AI261" s="92"/>
      <c r="AJ261" s="92"/>
      <c r="AK261" s="22"/>
      <c r="AL261" s="92"/>
    </row>
    <row r="262" spans="2:38" ht="15.75" customHeight="1" x14ac:dyDescent="0.25">
      <c r="B262" s="24"/>
      <c r="C262" s="24"/>
      <c r="D262" s="24"/>
      <c r="E262" s="24"/>
      <c r="F262" s="24"/>
      <c r="G262" s="24"/>
      <c r="H262" s="24"/>
      <c r="I262" s="273"/>
      <c r="J262" s="273"/>
      <c r="K262" s="24"/>
      <c r="L262" s="24"/>
      <c r="M262" s="24"/>
      <c r="N262" s="24"/>
      <c r="O262" s="24"/>
      <c r="P262" s="273"/>
      <c r="T262" s="22"/>
      <c r="AI262" s="91"/>
      <c r="AJ262" s="91"/>
      <c r="AK262" s="22"/>
      <c r="AL262" s="91"/>
    </row>
    <row r="263" spans="2:38" ht="15.75" customHeight="1" x14ac:dyDescent="0.25">
      <c r="B263" s="24"/>
      <c r="C263" s="24"/>
      <c r="D263" s="24"/>
      <c r="E263" s="24"/>
      <c r="F263" s="24"/>
      <c r="G263" s="24"/>
      <c r="H263" s="24"/>
      <c r="I263" s="273"/>
      <c r="J263" s="273"/>
      <c r="K263" s="24"/>
      <c r="L263" s="24"/>
      <c r="M263" s="24"/>
      <c r="N263" s="24"/>
      <c r="O263" s="24"/>
      <c r="P263" s="273"/>
      <c r="T263" s="22"/>
      <c r="AI263" s="90"/>
      <c r="AJ263" s="90"/>
      <c r="AK263" s="22"/>
      <c r="AL263" s="90"/>
    </row>
    <row r="264" spans="2:38" ht="15.75" customHeight="1" x14ac:dyDescent="0.25">
      <c r="B264" s="24"/>
      <c r="C264" s="24"/>
      <c r="D264" s="24"/>
      <c r="E264" s="24"/>
      <c r="F264" s="24"/>
      <c r="G264" s="24"/>
      <c r="H264" s="24"/>
      <c r="I264" s="273"/>
      <c r="J264" s="273"/>
      <c r="K264" s="24"/>
      <c r="L264" s="24"/>
      <c r="M264" s="24"/>
      <c r="N264" s="24"/>
      <c r="O264" s="24"/>
      <c r="P264" s="273"/>
      <c r="T264" s="22"/>
      <c r="AI264" s="89"/>
      <c r="AJ264" s="89"/>
      <c r="AK264" s="22"/>
      <c r="AL264" s="89"/>
    </row>
    <row r="265" spans="2:38" ht="15.75" customHeight="1" x14ac:dyDescent="0.25">
      <c r="B265" s="24"/>
      <c r="C265" s="24"/>
      <c r="D265" s="24"/>
      <c r="E265" s="24"/>
      <c r="F265" s="24"/>
      <c r="G265" s="24"/>
      <c r="H265" s="24"/>
      <c r="I265" s="273"/>
      <c r="J265" s="273"/>
      <c r="K265" s="24"/>
      <c r="L265" s="24"/>
      <c r="M265" s="24"/>
      <c r="N265" s="24"/>
      <c r="O265" s="24"/>
      <c r="P265" s="273"/>
      <c r="T265" s="22"/>
      <c r="AI265" s="88"/>
      <c r="AJ265" s="88"/>
      <c r="AK265" s="22"/>
      <c r="AL265" s="88"/>
    </row>
    <row r="266" spans="2:38" ht="15.75" customHeight="1" x14ac:dyDescent="0.25">
      <c r="B266" s="24"/>
      <c r="C266" s="24"/>
      <c r="D266" s="24"/>
      <c r="E266" s="24"/>
      <c r="F266" s="24"/>
      <c r="G266" s="24"/>
      <c r="H266" s="24"/>
      <c r="I266" s="273"/>
      <c r="J266" s="273"/>
      <c r="K266" s="24"/>
      <c r="L266" s="24"/>
      <c r="M266" s="24"/>
      <c r="N266" s="24"/>
      <c r="O266" s="24"/>
      <c r="P266" s="273"/>
      <c r="T266" s="22"/>
      <c r="AI266" s="87"/>
      <c r="AJ266" s="87"/>
      <c r="AK266" s="22"/>
      <c r="AL266" s="87"/>
    </row>
    <row r="267" spans="2:38" ht="15.75" customHeight="1" x14ac:dyDescent="0.25">
      <c r="B267" s="24"/>
      <c r="C267" s="24"/>
      <c r="D267" s="24"/>
      <c r="E267" s="24"/>
      <c r="F267" s="24"/>
      <c r="G267" s="24"/>
      <c r="H267" s="24"/>
      <c r="I267" s="273"/>
      <c r="J267" s="273"/>
      <c r="K267" s="24"/>
      <c r="L267" s="24"/>
      <c r="M267" s="24"/>
      <c r="N267" s="24"/>
      <c r="O267" s="24"/>
      <c r="P267" s="273"/>
      <c r="T267" s="22"/>
      <c r="AI267" s="86"/>
      <c r="AJ267" s="86"/>
      <c r="AK267" s="22"/>
      <c r="AL267" s="86"/>
    </row>
    <row r="268" spans="2:38" ht="15.75" customHeight="1" x14ac:dyDescent="0.25">
      <c r="B268" s="24"/>
      <c r="C268" s="24"/>
      <c r="D268" s="24"/>
      <c r="E268" s="24"/>
      <c r="F268" s="24"/>
      <c r="G268" s="24"/>
      <c r="H268" s="24"/>
      <c r="I268" s="273"/>
      <c r="J268" s="273"/>
      <c r="K268" s="24"/>
      <c r="L268" s="24"/>
      <c r="M268" s="24"/>
      <c r="N268" s="24"/>
      <c r="O268" s="24"/>
      <c r="P268" s="273"/>
      <c r="T268" s="22"/>
      <c r="AI268" s="85"/>
      <c r="AJ268" s="85"/>
      <c r="AK268" s="22"/>
      <c r="AL268" s="85"/>
    </row>
    <row r="269" spans="2:38" ht="15.75" customHeight="1" x14ac:dyDescent="0.25">
      <c r="B269" s="24"/>
      <c r="C269" s="24"/>
      <c r="D269" s="24"/>
      <c r="E269" s="24"/>
      <c r="F269" s="24"/>
      <c r="G269" s="24"/>
      <c r="H269" s="24"/>
      <c r="I269" s="273"/>
      <c r="J269" s="273"/>
      <c r="K269" s="24"/>
      <c r="L269" s="24"/>
      <c r="M269" s="24"/>
      <c r="N269" s="24"/>
      <c r="O269" s="24"/>
      <c r="P269" s="273"/>
      <c r="T269" s="22"/>
      <c r="AI269" s="84"/>
      <c r="AJ269" s="84"/>
      <c r="AK269" s="22"/>
      <c r="AL269" s="84"/>
    </row>
    <row r="270" spans="2:38" ht="15.75" customHeight="1" x14ac:dyDescent="0.25">
      <c r="B270" s="24"/>
      <c r="C270" s="24"/>
      <c r="D270" s="24"/>
      <c r="E270" s="24"/>
      <c r="F270" s="24"/>
      <c r="G270" s="24"/>
      <c r="H270" s="24"/>
      <c r="I270" s="273"/>
      <c r="J270" s="273"/>
      <c r="K270" s="24"/>
      <c r="L270" s="24"/>
      <c r="M270" s="24"/>
      <c r="N270" s="24"/>
      <c r="O270" s="24"/>
      <c r="P270" s="273"/>
      <c r="T270" s="22"/>
      <c r="AI270" s="83"/>
      <c r="AJ270" s="83"/>
      <c r="AK270" s="22"/>
      <c r="AL270" s="83"/>
    </row>
    <row r="271" spans="2:38" ht="15.75" customHeight="1" x14ac:dyDescent="0.25">
      <c r="B271" s="24"/>
      <c r="C271" s="24"/>
      <c r="D271" s="24"/>
      <c r="E271" s="24"/>
      <c r="F271" s="24"/>
      <c r="G271" s="24"/>
      <c r="H271" s="24"/>
      <c r="I271" s="273"/>
      <c r="J271" s="273"/>
      <c r="K271" s="24"/>
      <c r="L271" s="24"/>
      <c r="M271" s="24"/>
      <c r="N271" s="24"/>
      <c r="O271" s="24"/>
      <c r="P271" s="273"/>
      <c r="T271" s="22"/>
      <c r="AI271" s="82"/>
      <c r="AJ271" s="82"/>
      <c r="AK271" s="22"/>
      <c r="AL271" s="82"/>
    </row>
    <row r="272" spans="2:38" ht="15.75" customHeight="1" x14ac:dyDescent="0.25">
      <c r="B272" s="24"/>
      <c r="C272" s="24"/>
      <c r="D272" s="24"/>
      <c r="E272" s="24"/>
      <c r="F272" s="24"/>
      <c r="G272" s="24"/>
      <c r="H272" s="24"/>
      <c r="I272" s="273"/>
      <c r="J272" s="273"/>
      <c r="K272" s="24"/>
      <c r="L272" s="24"/>
      <c r="M272" s="24"/>
      <c r="N272" s="24"/>
      <c r="O272" s="24"/>
      <c r="P272" s="273"/>
      <c r="T272" s="22"/>
      <c r="AI272" s="81"/>
      <c r="AJ272" s="81"/>
      <c r="AK272" s="22"/>
      <c r="AL272" s="81"/>
    </row>
    <row r="273" spans="2:38" ht="15.75" customHeight="1" x14ac:dyDescent="0.25">
      <c r="B273" s="24"/>
      <c r="C273" s="24"/>
      <c r="D273" s="24"/>
      <c r="E273" s="24"/>
      <c r="F273" s="24"/>
      <c r="G273" s="24"/>
      <c r="H273" s="24"/>
      <c r="I273" s="273"/>
      <c r="J273" s="273"/>
      <c r="K273" s="24"/>
      <c r="L273" s="24"/>
      <c r="M273" s="24"/>
      <c r="N273" s="24"/>
      <c r="O273" s="24"/>
      <c r="P273" s="273"/>
      <c r="T273" s="22"/>
      <c r="AI273" s="80"/>
      <c r="AJ273" s="80"/>
      <c r="AK273" s="22"/>
      <c r="AL273" s="80"/>
    </row>
    <row r="274" spans="2:38" ht="15.75" customHeight="1" x14ac:dyDescent="0.25">
      <c r="B274" s="24"/>
      <c r="C274" s="24"/>
      <c r="D274" s="24"/>
      <c r="E274" s="24"/>
      <c r="F274" s="24"/>
      <c r="G274" s="24"/>
      <c r="H274" s="24"/>
      <c r="I274" s="273"/>
      <c r="J274" s="273"/>
      <c r="K274" s="24"/>
      <c r="L274" s="24"/>
      <c r="M274" s="24"/>
      <c r="N274" s="24"/>
      <c r="O274" s="24"/>
      <c r="P274" s="273"/>
      <c r="T274" s="22"/>
      <c r="AI274" s="79"/>
      <c r="AJ274" s="79"/>
      <c r="AK274" s="22"/>
      <c r="AL274" s="79"/>
    </row>
    <row r="275" spans="2:38" ht="15.75" customHeight="1" x14ac:dyDescent="0.25">
      <c r="B275" s="24"/>
      <c r="C275" s="24"/>
      <c r="D275" s="24"/>
      <c r="E275" s="24"/>
      <c r="F275" s="24"/>
      <c r="G275" s="24"/>
      <c r="H275" s="24"/>
      <c r="I275" s="273"/>
      <c r="J275" s="273"/>
      <c r="K275" s="24"/>
      <c r="L275" s="24"/>
      <c r="M275" s="24"/>
      <c r="N275" s="24"/>
      <c r="O275" s="24"/>
      <c r="P275" s="273"/>
      <c r="T275" s="22"/>
      <c r="AI275" s="78"/>
      <c r="AJ275" s="78"/>
      <c r="AK275" s="22"/>
      <c r="AL275" s="78"/>
    </row>
    <row r="276" spans="2:38" ht="15.75" customHeight="1" x14ac:dyDescent="0.25">
      <c r="B276" s="24"/>
      <c r="C276" s="24"/>
      <c r="D276" s="24"/>
      <c r="E276" s="24"/>
      <c r="F276" s="24"/>
      <c r="G276" s="24"/>
      <c r="H276" s="24"/>
      <c r="I276" s="273"/>
      <c r="J276" s="273"/>
      <c r="K276" s="24"/>
      <c r="L276" s="24"/>
      <c r="M276" s="24"/>
      <c r="N276" s="24"/>
      <c r="O276" s="24"/>
      <c r="P276" s="273"/>
      <c r="T276" s="22"/>
      <c r="AI276" s="77"/>
      <c r="AJ276" s="77"/>
      <c r="AK276" s="22"/>
      <c r="AL276" s="77"/>
    </row>
    <row r="277" spans="2:38" ht="15.75" customHeight="1" x14ac:dyDescent="0.25">
      <c r="B277" s="24"/>
      <c r="C277" s="24"/>
      <c r="D277" s="24"/>
      <c r="E277" s="24"/>
      <c r="F277" s="24"/>
      <c r="G277" s="24"/>
      <c r="H277" s="24"/>
      <c r="I277" s="273"/>
      <c r="J277" s="273"/>
      <c r="K277" s="24"/>
      <c r="L277" s="24"/>
      <c r="M277" s="24"/>
      <c r="N277" s="24"/>
      <c r="O277" s="24"/>
      <c r="P277" s="273"/>
      <c r="T277" s="22"/>
      <c r="AI277" s="76"/>
      <c r="AJ277" s="76"/>
      <c r="AK277" s="22"/>
      <c r="AL277" s="76"/>
    </row>
    <row r="278" spans="2:38" ht="15.75" customHeight="1" x14ac:dyDescent="0.25">
      <c r="B278" s="24"/>
      <c r="C278" s="24"/>
      <c r="D278" s="24"/>
      <c r="E278" s="24"/>
      <c r="F278" s="24"/>
      <c r="G278" s="24"/>
      <c r="H278" s="24"/>
      <c r="I278" s="273"/>
      <c r="J278" s="273"/>
      <c r="K278" s="24"/>
      <c r="L278" s="24"/>
      <c r="M278" s="24"/>
      <c r="N278" s="24"/>
      <c r="O278" s="24"/>
      <c r="P278" s="273"/>
      <c r="T278" s="22"/>
      <c r="AI278" s="75"/>
      <c r="AJ278" s="75"/>
      <c r="AK278" s="22"/>
      <c r="AL278" s="75"/>
    </row>
    <row r="279" spans="2:38" ht="15.75" customHeight="1" x14ac:dyDescent="0.25">
      <c r="B279" s="24"/>
      <c r="C279" s="24"/>
      <c r="D279" s="24"/>
      <c r="E279" s="24"/>
      <c r="F279" s="24"/>
      <c r="G279" s="24"/>
      <c r="H279" s="24"/>
      <c r="I279" s="273"/>
      <c r="J279" s="273"/>
      <c r="K279" s="24"/>
      <c r="L279" s="24"/>
      <c r="M279" s="24"/>
      <c r="N279" s="24"/>
      <c r="O279" s="24"/>
      <c r="P279" s="273"/>
      <c r="T279" s="22"/>
      <c r="AI279" s="74"/>
      <c r="AJ279" s="74"/>
      <c r="AK279" s="22"/>
      <c r="AL279" s="74"/>
    </row>
    <row r="280" spans="2:38" ht="15.75" customHeight="1" x14ac:dyDescent="0.25">
      <c r="B280" s="24"/>
      <c r="C280" s="24"/>
      <c r="D280" s="24"/>
      <c r="E280" s="24"/>
      <c r="F280" s="24"/>
      <c r="G280" s="24"/>
      <c r="H280" s="24"/>
      <c r="I280" s="273"/>
      <c r="J280" s="273"/>
      <c r="K280" s="24"/>
      <c r="L280" s="24"/>
      <c r="M280" s="24"/>
      <c r="N280" s="24"/>
      <c r="O280" s="24"/>
      <c r="P280" s="273"/>
      <c r="T280" s="22"/>
      <c r="AI280" s="73"/>
      <c r="AJ280" s="73"/>
      <c r="AK280" s="22"/>
      <c r="AL280" s="73"/>
    </row>
    <row r="281" spans="2:38" ht="15.75" customHeight="1" x14ac:dyDescent="0.25">
      <c r="B281" s="24"/>
      <c r="C281" s="24"/>
      <c r="D281" s="24"/>
      <c r="E281" s="24"/>
      <c r="F281" s="24"/>
      <c r="G281" s="24"/>
      <c r="H281" s="24"/>
      <c r="I281" s="273"/>
      <c r="J281" s="273"/>
      <c r="K281" s="24"/>
      <c r="L281" s="24"/>
      <c r="M281" s="24"/>
      <c r="N281" s="24"/>
      <c r="O281" s="24"/>
      <c r="P281" s="273"/>
      <c r="T281" s="22"/>
      <c r="AI281" s="72"/>
      <c r="AJ281" s="72"/>
      <c r="AK281" s="22"/>
      <c r="AL281" s="72"/>
    </row>
    <row r="282" spans="2:38" ht="15.75" customHeight="1" x14ac:dyDescent="0.25">
      <c r="B282" s="24"/>
      <c r="C282" s="24"/>
      <c r="D282" s="24"/>
      <c r="E282" s="24"/>
      <c r="F282" s="24"/>
      <c r="G282" s="24"/>
      <c r="H282" s="24"/>
      <c r="I282" s="273"/>
      <c r="J282" s="273"/>
      <c r="K282" s="24"/>
      <c r="L282" s="24"/>
      <c r="M282" s="24"/>
      <c r="N282" s="24"/>
      <c r="O282" s="24"/>
      <c r="P282" s="273"/>
      <c r="T282" s="22"/>
      <c r="AI282" s="71"/>
      <c r="AJ282" s="71"/>
      <c r="AK282" s="22"/>
      <c r="AL282" s="71"/>
    </row>
    <row r="283" spans="2:38" ht="15.75" customHeight="1" x14ac:dyDescent="0.25">
      <c r="B283" s="24"/>
      <c r="C283" s="24"/>
      <c r="D283" s="24"/>
      <c r="E283" s="24"/>
      <c r="F283" s="24"/>
      <c r="G283" s="24"/>
      <c r="H283" s="24"/>
      <c r="I283" s="273"/>
      <c r="J283" s="273"/>
      <c r="K283" s="24"/>
      <c r="L283" s="24"/>
      <c r="M283" s="24"/>
      <c r="N283" s="24"/>
      <c r="O283" s="24"/>
      <c r="P283" s="273"/>
      <c r="T283" s="22"/>
      <c r="AI283" s="30"/>
      <c r="AJ283" s="30"/>
      <c r="AK283" s="22"/>
      <c r="AL283" s="30"/>
    </row>
    <row r="284" spans="2:38" ht="15.75" customHeight="1" x14ac:dyDescent="0.25">
      <c r="B284" s="24"/>
      <c r="C284" s="24"/>
      <c r="D284" s="24"/>
      <c r="E284" s="24"/>
      <c r="F284" s="24"/>
      <c r="G284" s="24"/>
      <c r="H284" s="24"/>
      <c r="I284" s="273"/>
      <c r="J284" s="273"/>
      <c r="K284" s="24"/>
      <c r="L284" s="24"/>
      <c r="M284" s="24"/>
      <c r="N284" s="24"/>
      <c r="O284" s="24"/>
      <c r="P284" s="273"/>
      <c r="T284" s="22"/>
      <c r="AI284" s="64"/>
      <c r="AJ284" s="64"/>
      <c r="AK284" s="22"/>
      <c r="AL284" s="64"/>
    </row>
    <row r="285" spans="2:38" ht="15.75" customHeight="1" x14ac:dyDescent="0.25">
      <c r="B285" s="24"/>
      <c r="C285" s="24"/>
      <c r="D285" s="24"/>
      <c r="E285" s="24"/>
      <c r="F285" s="24"/>
      <c r="G285" s="24"/>
      <c r="H285" s="24"/>
      <c r="I285" s="273"/>
      <c r="J285" s="273"/>
      <c r="K285" s="24"/>
      <c r="L285" s="24"/>
      <c r="M285" s="24"/>
      <c r="N285" s="24"/>
      <c r="O285" s="24"/>
      <c r="P285" s="273"/>
      <c r="T285" s="22"/>
      <c r="AI285" s="51"/>
      <c r="AJ285" s="51"/>
      <c r="AK285" s="22"/>
      <c r="AL285" s="51"/>
    </row>
    <row r="286" spans="2:38" ht="15.75" customHeight="1" x14ac:dyDescent="0.25">
      <c r="B286" s="24"/>
      <c r="C286" s="24"/>
      <c r="D286" s="24"/>
      <c r="E286" s="24"/>
      <c r="F286" s="24"/>
      <c r="G286" s="24"/>
      <c r="H286" s="24"/>
      <c r="I286" s="273"/>
      <c r="J286" s="273"/>
      <c r="K286" s="24"/>
      <c r="L286" s="24"/>
      <c r="M286" s="24"/>
      <c r="N286" s="24"/>
      <c r="O286" s="24"/>
      <c r="P286" s="273"/>
      <c r="T286" s="22"/>
      <c r="AI286" s="50"/>
      <c r="AJ286" s="50"/>
      <c r="AK286" s="22"/>
      <c r="AL286" s="50"/>
    </row>
    <row r="287" spans="2:38" ht="15.75" customHeight="1" x14ac:dyDescent="0.25">
      <c r="B287" s="24"/>
      <c r="C287" s="24"/>
      <c r="D287" s="24"/>
      <c r="E287" s="24"/>
      <c r="F287" s="24"/>
      <c r="G287" s="24"/>
      <c r="H287" s="24"/>
      <c r="I287" s="273"/>
      <c r="J287" s="273"/>
      <c r="K287" s="24"/>
      <c r="L287" s="24"/>
      <c r="M287" s="24"/>
      <c r="N287" s="24"/>
      <c r="O287" s="24"/>
      <c r="P287" s="273"/>
      <c r="T287" s="22"/>
      <c r="AI287" s="49"/>
      <c r="AJ287" s="49"/>
      <c r="AK287" s="22"/>
      <c r="AL287" s="49"/>
    </row>
    <row r="288" spans="2:38" ht="15.75" customHeight="1" x14ac:dyDescent="0.25">
      <c r="B288" s="24"/>
      <c r="C288" s="24"/>
      <c r="D288" s="24"/>
      <c r="E288" s="24"/>
      <c r="F288" s="24"/>
      <c r="G288" s="24"/>
      <c r="H288" s="24"/>
      <c r="I288" s="273"/>
      <c r="J288" s="273"/>
      <c r="K288" s="24"/>
      <c r="L288" s="24"/>
      <c r="M288" s="24"/>
      <c r="N288" s="24"/>
      <c r="O288" s="24"/>
      <c r="P288" s="273"/>
      <c r="T288" s="22"/>
      <c r="AI288" s="48"/>
      <c r="AJ288" s="48"/>
      <c r="AK288" s="22"/>
      <c r="AL288" s="48"/>
    </row>
    <row r="289" spans="2:38" ht="15.75" customHeight="1" x14ac:dyDescent="0.25">
      <c r="B289" s="24"/>
      <c r="C289" s="24"/>
      <c r="D289" s="24"/>
      <c r="E289" s="24"/>
      <c r="F289" s="24"/>
      <c r="G289" s="24"/>
      <c r="H289" s="24"/>
      <c r="I289" s="273"/>
      <c r="J289" s="273"/>
      <c r="K289" s="24"/>
      <c r="L289" s="24"/>
      <c r="M289" s="24"/>
      <c r="N289" s="24"/>
      <c r="O289" s="24"/>
      <c r="P289" s="273"/>
      <c r="T289" s="22"/>
      <c r="AI289" s="47"/>
      <c r="AJ289" s="47"/>
      <c r="AK289" s="22"/>
      <c r="AL289" s="47"/>
    </row>
    <row r="290" spans="2:38" ht="15.75" customHeight="1" x14ac:dyDescent="0.25">
      <c r="B290" s="24"/>
      <c r="C290" s="24"/>
      <c r="D290" s="24"/>
      <c r="E290" s="24"/>
      <c r="F290" s="24"/>
      <c r="G290" s="24"/>
      <c r="H290" s="24"/>
      <c r="I290" s="273"/>
      <c r="J290" s="273"/>
      <c r="K290" s="24"/>
      <c r="L290" s="24"/>
      <c r="M290" s="24"/>
      <c r="N290" s="24"/>
      <c r="O290" s="24"/>
      <c r="P290" s="273"/>
      <c r="T290" s="22"/>
      <c r="AI290" s="46"/>
      <c r="AJ290" s="46"/>
      <c r="AK290" s="22"/>
      <c r="AL290" s="46"/>
    </row>
    <row r="291" spans="2:38" ht="15.75" customHeight="1" x14ac:dyDescent="0.25">
      <c r="B291" s="24"/>
      <c r="C291" s="24"/>
      <c r="D291" s="24"/>
      <c r="E291" s="24"/>
      <c r="F291" s="24"/>
      <c r="G291" s="24"/>
      <c r="H291" s="24"/>
      <c r="I291" s="273"/>
      <c r="J291" s="273"/>
      <c r="K291" s="24"/>
      <c r="L291" s="24"/>
      <c r="M291" s="24"/>
      <c r="N291" s="24"/>
      <c r="O291" s="24"/>
      <c r="P291" s="273"/>
      <c r="T291" s="22"/>
      <c r="AI291" s="45"/>
      <c r="AJ291" s="45"/>
      <c r="AK291" s="22"/>
      <c r="AL291" s="45"/>
    </row>
    <row r="292" spans="2:38" ht="15.75" customHeight="1" x14ac:dyDescent="0.25">
      <c r="B292" s="24"/>
      <c r="C292" s="24"/>
      <c r="D292" s="24"/>
      <c r="E292" s="24"/>
      <c r="F292" s="24"/>
      <c r="G292" s="24"/>
      <c r="H292" s="24"/>
      <c r="I292" s="273"/>
      <c r="J292" s="273"/>
      <c r="K292" s="24"/>
      <c r="L292" s="24"/>
      <c r="M292" s="24"/>
      <c r="N292" s="24"/>
      <c r="O292" s="24"/>
      <c r="P292" s="273"/>
      <c r="T292" s="22"/>
      <c r="AI292" s="45"/>
      <c r="AJ292" s="45"/>
      <c r="AK292" s="22"/>
      <c r="AL292" s="45"/>
    </row>
    <row r="293" spans="2:38" ht="15.75" customHeight="1" x14ac:dyDescent="0.25">
      <c r="B293" s="24"/>
      <c r="C293" s="24"/>
      <c r="D293" s="24"/>
      <c r="E293" s="24"/>
      <c r="F293" s="24"/>
      <c r="G293" s="24"/>
      <c r="H293" s="24"/>
      <c r="I293" s="273"/>
      <c r="J293" s="273"/>
      <c r="K293" s="24"/>
      <c r="L293" s="24"/>
      <c r="M293" s="24"/>
      <c r="N293" s="24"/>
      <c r="O293" s="24"/>
      <c r="P293" s="273"/>
      <c r="T293" s="22"/>
      <c r="AI293" s="44"/>
      <c r="AJ293" s="44"/>
      <c r="AK293" s="22"/>
      <c r="AL293" s="44"/>
    </row>
    <row r="294" spans="2:38" ht="15.75" customHeight="1" x14ac:dyDescent="0.25">
      <c r="B294" s="24"/>
      <c r="C294" s="24"/>
      <c r="D294" s="24"/>
      <c r="E294" s="24"/>
      <c r="F294" s="24"/>
      <c r="G294" s="24"/>
      <c r="H294" s="24"/>
      <c r="I294" s="273"/>
      <c r="J294" s="273"/>
      <c r="K294" s="24"/>
      <c r="L294" s="24"/>
      <c r="M294" s="24"/>
      <c r="N294" s="24"/>
      <c r="O294" s="24"/>
      <c r="P294" s="273"/>
      <c r="T294" s="22"/>
      <c r="AI294" s="43"/>
      <c r="AJ294" s="43"/>
      <c r="AK294" s="22"/>
      <c r="AL294" s="43"/>
    </row>
    <row r="295" spans="2:38" ht="15.75" customHeight="1" x14ac:dyDescent="0.25">
      <c r="B295" s="24"/>
      <c r="C295" s="24"/>
      <c r="D295" s="24"/>
      <c r="E295" s="24"/>
      <c r="F295" s="24"/>
      <c r="G295" s="24"/>
      <c r="H295" s="24"/>
      <c r="I295" s="273"/>
      <c r="J295" s="273"/>
      <c r="K295" s="24"/>
      <c r="L295" s="24"/>
      <c r="M295" s="24"/>
      <c r="N295" s="24"/>
      <c r="O295" s="24"/>
      <c r="P295" s="273"/>
      <c r="T295" s="22"/>
      <c r="AI295" s="43"/>
      <c r="AJ295" s="43"/>
      <c r="AK295" s="22"/>
      <c r="AL295" s="43"/>
    </row>
    <row r="296" spans="2:38" ht="15.75" customHeight="1" x14ac:dyDescent="0.25">
      <c r="B296" s="24"/>
      <c r="C296" s="24"/>
      <c r="D296" s="24"/>
      <c r="E296" s="24"/>
      <c r="F296" s="24"/>
      <c r="G296" s="24"/>
      <c r="H296" s="24"/>
      <c r="I296" s="273"/>
      <c r="J296" s="273"/>
      <c r="K296" s="24"/>
      <c r="L296" s="24"/>
      <c r="M296" s="24"/>
      <c r="N296" s="24"/>
      <c r="O296" s="24"/>
      <c r="P296" s="273"/>
      <c r="T296" s="22"/>
      <c r="AI296" s="42"/>
      <c r="AJ296" s="42"/>
      <c r="AK296" s="22"/>
      <c r="AL296" s="42"/>
    </row>
    <row r="297" spans="2:38" ht="15.75" customHeight="1" x14ac:dyDescent="0.25">
      <c r="B297" s="24"/>
      <c r="C297" s="24"/>
      <c r="D297" s="24"/>
      <c r="E297" s="24"/>
      <c r="F297" s="24"/>
      <c r="G297" s="24"/>
      <c r="H297" s="24"/>
      <c r="I297" s="273"/>
      <c r="J297" s="273"/>
      <c r="K297" s="24"/>
      <c r="L297" s="24"/>
      <c r="M297" s="24"/>
      <c r="N297" s="24"/>
      <c r="O297" s="24"/>
      <c r="P297" s="273"/>
      <c r="T297" s="22"/>
      <c r="AI297" s="41"/>
      <c r="AJ297" s="41"/>
      <c r="AK297" s="22"/>
      <c r="AL297" s="41"/>
    </row>
    <row r="298" spans="2:38" ht="15.75" customHeight="1" x14ac:dyDescent="0.25">
      <c r="B298" s="24"/>
      <c r="C298" s="24"/>
      <c r="D298" s="24"/>
      <c r="E298" s="24"/>
      <c r="F298" s="24"/>
      <c r="G298" s="24"/>
      <c r="H298" s="24"/>
      <c r="I298" s="273"/>
      <c r="J298" s="273"/>
      <c r="K298" s="24"/>
      <c r="L298" s="24"/>
      <c r="M298" s="24"/>
      <c r="N298" s="24"/>
      <c r="O298" s="24"/>
      <c r="P298" s="273"/>
      <c r="T298" s="22"/>
      <c r="AI298" s="40"/>
      <c r="AJ298" s="40"/>
      <c r="AK298" s="22"/>
      <c r="AL298" s="40"/>
    </row>
    <row r="299" spans="2:38" ht="15.75" customHeight="1" x14ac:dyDescent="0.25">
      <c r="B299" s="24"/>
      <c r="C299" s="24"/>
      <c r="D299" s="24"/>
      <c r="E299" s="24"/>
      <c r="F299" s="24"/>
      <c r="G299" s="24"/>
      <c r="H299" s="24"/>
      <c r="I299" s="273"/>
      <c r="J299" s="273"/>
      <c r="K299" s="24"/>
      <c r="L299" s="24"/>
      <c r="M299" s="24"/>
      <c r="N299" s="24"/>
      <c r="O299" s="24"/>
      <c r="P299" s="273"/>
      <c r="T299" s="22"/>
      <c r="AI299" s="39"/>
      <c r="AJ299" s="39"/>
      <c r="AK299" s="22"/>
      <c r="AL299" s="39"/>
    </row>
    <row r="300" spans="2:38" ht="15.75" customHeight="1" x14ac:dyDescent="0.25">
      <c r="B300" s="24"/>
      <c r="C300" s="24"/>
      <c r="D300" s="24"/>
      <c r="E300" s="24"/>
      <c r="F300" s="24"/>
      <c r="G300" s="24"/>
      <c r="H300" s="24"/>
      <c r="I300" s="273"/>
      <c r="J300" s="273"/>
      <c r="K300" s="24"/>
      <c r="L300" s="24"/>
      <c r="M300" s="24"/>
      <c r="N300" s="24"/>
      <c r="O300" s="24"/>
      <c r="P300" s="273"/>
      <c r="T300" s="22"/>
      <c r="AI300" s="36"/>
      <c r="AJ300" s="36"/>
      <c r="AK300" s="22"/>
      <c r="AL300" s="36"/>
    </row>
    <row r="301" spans="2:38" ht="15.75" customHeight="1" x14ac:dyDescent="0.25">
      <c r="B301" s="24"/>
      <c r="C301" s="24"/>
      <c r="D301" s="24"/>
      <c r="E301" s="24"/>
      <c r="F301" s="24"/>
      <c r="G301" s="24"/>
      <c r="H301" s="24"/>
      <c r="I301" s="273"/>
      <c r="J301" s="273"/>
      <c r="K301" s="24"/>
      <c r="L301" s="24"/>
      <c r="M301" s="24"/>
      <c r="N301" s="24"/>
      <c r="O301" s="24"/>
      <c r="P301" s="273"/>
      <c r="T301" s="22"/>
      <c r="AI301" s="33"/>
      <c r="AJ301" s="33"/>
      <c r="AK301" s="22"/>
      <c r="AL301" s="33"/>
    </row>
    <row r="302" spans="2:38" ht="15.75" customHeight="1" x14ac:dyDescent="0.25">
      <c r="B302" s="24"/>
      <c r="C302" s="24"/>
      <c r="D302" s="24"/>
      <c r="E302" s="24"/>
      <c r="F302" s="24"/>
      <c r="G302" s="24"/>
      <c r="H302" s="24"/>
      <c r="I302" s="273"/>
      <c r="J302" s="273"/>
      <c r="K302" s="24"/>
      <c r="L302" s="24"/>
      <c r="M302" s="24"/>
      <c r="N302" s="24"/>
      <c r="O302" s="24"/>
      <c r="P302" s="273"/>
      <c r="T302" s="22"/>
      <c r="AI302" s="31"/>
    </row>
    <row r="303" spans="2:38" ht="15.75" customHeight="1" x14ac:dyDescent="0.25">
      <c r="B303" s="24"/>
      <c r="C303" s="24"/>
      <c r="D303" s="24"/>
      <c r="E303" s="24"/>
      <c r="F303" s="24"/>
      <c r="G303" s="24"/>
      <c r="H303" s="24"/>
      <c r="I303" s="273"/>
      <c r="J303" s="273"/>
      <c r="K303" s="24"/>
      <c r="L303" s="24"/>
      <c r="M303" s="24"/>
      <c r="N303" s="24"/>
      <c r="O303" s="24"/>
      <c r="P303" s="273"/>
      <c r="T303" s="22"/>
      <c r="AI303" s="27"/>
    </row>
    <row r="304" spans="2:38" ht="15.75" customHeight="1" x14ac:dyDescent="0.25">
      <c r="B304" s="24"/>
      <c r="C304" s="24"/>
      <c r="D304" s="24"/>
      <c r="E304" s="24"/>
      <c r="F304" s="24"/>
      <c r="G304" s="24"/>
      <c r="H304" s="24"/>
      <c r="I304" s="273"/>
      <c r="J304" s="273"/>
      <c r="K304" s="24"/>
      <c r="L304" s="24"/>
      <c r="M304" s="24"/>
      <c r="N304" s="24"/>
      <c r="O304" s="24"/>
      <c r="P304" s="273"/>
      <c r="T304" s="22"/>
      <c r="AI304" s="25"/>
    </row>
    <row r="305" spans="2:20" ht="15.75" customHeight="1" x14ac:dyDescent="0.25">
      <c r="B305" s="24"/>
      <c r="C305" s="24"/>
      <c r="D305" s="24"/>
      <c r="E305" s="24"/>
      <c r="F305" s="24"/>
      <c r="G305" s="24"/>
      <c r="H305" s="24"/>
      <c r="I305" s="273"/>
      <c r="J305" s="273"/>
      <c r="K305" s="24"/>
      <c r="L305" s="24"/>
      <c r="M305" s="24"/>
      <c r="N305" s="24"/>
      <c r="O305" s="24"/>
      <c r="P305" s="273"/>
      <c r="T305" s="22"/>
    </row>
    <row r="306" spans="2:20" ht="15.75" customHeight="1" x14ac:dyDescent="0.25">
      <c r="B306" s="24"/>
      <c r="C306" s="24"/>
      <c r="D306" s="24"/>
      <c r="E306" s="24"/>
      <c r="F306" s="24"/>
      <c r="G306" s="24"/>
      <c r="H306" s="24"/>
      <c r="I306" s="273"/>
      <c r="J306" s="273"/>
      <c r="K306" s="24"/>
      <c r="L306" s="24"/>
      <c r="M306" s="24"/>
      <c r="N306" s="24"/>
      <c r="O306" s="24"/>
      <c r="P306" s="273"/>
      <c r="T306" s="22"/>
    </row>
    <row r="307" spans="2:20" ht="15.75" customHeight="1" x14ac:dyDescent="0.25">
      <c r="B307" s="24"/>
      <c r="C307" s="24"/>
      <c r="D307" s="24"/>
      <c r="E307" s="24"/>
      <c r="F307" s="24"/>
      <c r="G307" s="24"/>
      <c r="H307" s="24"/>
      <c r="I307" s="273"/>
      <c r="J307" s="273"/>
      <c r="K307" s="24"/>
      <c r="L307" s="24"/>
      <c r="M307" s="24"/>
      <c r="N307" s="24"/>
      <c r="O307" s="24"/>
      <c r="P307" s="273"/>
      <c r="T307" s="22"/>
    </row>
    <row r="308" spans="2:20" ht="15.75" customHeight="1" x14ac:dyDescent="0.25">
      <c r="B308" s="24"/>
      <c r="C308" s="24"/>
      <c r="D308" s="24"/>
      <c r="E308" s="24"/>
      <c r="F308" s="24"/>
      <c r="G308" s="24"/>
      <c r="H308" s="24"/>
      <c r="I308" s="273"/>
      <c r="J308" s="273"/>
      <c r="K308" s="24"/>
      <c r="L308" s="24"/>
      <c r="M308" s="24"/>
      <c r="N308" s="24"/>
      <c r="O308" s="24"/>
      <c r="P308" s="273"/>
      <c r="T308" s="22"/>
    </row>
    <row r="309" spans="2:20" ht="15.75" customHeight="1" x14ac:dyDescent="0.25">
      <c r="B309" s="24"/>
      <c r="C309" s="24"/>
      <c r="D309" s="24"/>
      <c r="E309" s="24"/>
      <c r="F309" s="24"/>
      <c r="G309" s="24"/>
      <c r="H309" s="24"/>
      <c r="I309" s="273"/>
      <c r="J309" s="273"/>
      <c r="K309" s="24"/>
      <c r="L309" s="24"/>
      <c r="M309" s="24"/>
      <c r="N309" s="24"/>
      <c r="O309" s="24"/>
      <c r="P309" s="273"/>
      <c r="T309" s="22"/>
    </row>
    <row r="310" spans="2:20" ht="15.75" customHeight="1" x14ac:dyDescent="0.25">
      <c r="B310" s="24"/>
      <c r="C310" s="24"/>
      <c r="D310" s="24"/>
      <c r="E310" s="24"/>
      <c r="F310" s="24"/>
      <c r="G310" s="24"/>
      <c r="H310" s="24"/>
      <c r="I310" s="273"/>
      <c r="J310" s="273"/>
      <c r="K310" s="24"/>
      <c r="L310" s="24"/>
      <c r="M310" s="24"/>
      <c r="N310" s="24"/>
      <c r="O310" s="24"/>
      <c r="P310" s="273"/>
      <c r="T310" s="22"/>
    </row>
    <row r="311" spans="2:20" ht="15.75" customHeight="1" x14ac:dyDescent="0.25">
      <c r="B311" s="24"/>
      <c r="C311" s="24"/>
      <c r="D311" s="24"/>
      <c r="E311" s="24"/>
      <c r="F311" s="24"/>
      <c r="G311" s="24"/>
      <c r="H311" s="24"/>
      <c r="I311" s="273"/>
      <c r="J311" s="273"/>
      <c r="K311" s="24"/>
      <c r="L311" s="24"/>
      <c r="M311" s="24"/>
      <c r="N311" s="24"/>
      <c r="O311" s="24"/>
      <c r="P311" s="273"/>
      <c r="T311" s="22"/>
    </row>
    <row r="312" spans="2:20" ht="15.75" customHeight="1" x14ac:dyDescent="0.25">
      <c r="B312" s="24"/>
      <c r="C312" s="24"/>
      <c r="D312" s="24"/>
      <c r="E312" s="24"/>
      <c r="F312" s="24"/>
      <c r="G312" s="24"/>
      <c r="H312" s="24"/>
      <c r="I312" s="273"/>
      <c r="J312" s="273"/>
      <c r="K312" s="24"/>
      <c r="L312" s="24"/>
      <c r="M312" s="24"/>
      <c r="N312" s="24"/>
      <c r="O312" s="24"/>
      <c r="P312" s="273"/>
      <c r="R312" s="1"/>
      <c r="T312" s="22"/>
    </row>
    <row r="313" spans="2:20" x14ac:dyDescent="0.25">
      <c r="B313" s="24"/>
      <c r="C313" s="24"/>
      <c r="D313" s="24"/>
      <c r="E313" s="24"/>
      <c r="F313" s="24"/>
      <c r="G313" s="24"/>
      <c r="H313" s="24"/>
      <c r="I313" s="273"/>
      <c r="J313" s="273"/>
      <c r="K313" s="24"/>
      <c r="L313" s="24"/>
      <c r="M313" s="24"/>
      <c r="N313" s="24"/>
      <c r="O313" s="24"/>
      <c r="P313" s="273"/>
      <c r="Q313" s="1"/>
      <c r="R313" s="1"/>
      <c r="T313" s="22"/>
    </row>
    <row r="314" spans="2:20" x14ac:dyDescent="0.25">
      <c r="B314" s="24"/>
      <c r="C314" s="24"/>
      <c r="D314" s="24"/>
      <c r="E314" s="24"/>
      <c r="F314" s="24"/>
      <c r="K314" s="24"/>
      <c r="L314" s="24"/>
      <c r="M314" s="24"/>
      <c r="N314" s="24"/>
      <c r="O314" s="24"/>
      <c r="P314" s="273"/>
      <c r="Q314" s="1"/>
      <c r="R314" s="1"/>
      <c r="T314" s="22"/>
    </row>
    <row r="315" spans="2:20" x14ac:dyDescent="0.25">
      <c r="B315" s="24"/>
      <c r="C315" s="24"/>
      <c r="D315" s="24"/>
      <c r="E315" s="24"/>
      <c r="F315" s="24"/>
      <c r="K315" s="24"/>
      <c r="L315" s="24"/>
      <c r="M315" s="24"/>
      <c r="N315" s="24"/>
      <c r="O315" s="24"/>
      <c r="P315" s="273"/>
      <c r="Q315" s="1"/>
      <c r="R315" s="1"/>
      <c r="T315" s="22"/>
    </row>
    <row r="316" spans="2:20" x14ac:dyDescent="0.25">
      <c r="B316" s="24"/>
      <c r="C316" s="24"/>
      <c r="D316" s="24"/>
      <c r="E316" s="24"/>
      <c r="F316" s="24"/>
      <c r="K316" s="24"/>
      <c r="L316" s="24"/>
      <c r="M316" s="24"/>
      <c r="N316" s="24"/>
      <c r="O316" s="24"/>
      <c r="P316" s="273"/>
      <c r="Q316" s="1"/>
      <c r="R316" s="1"/>
      <c r="T316" s="22"/>
    </row>
    <row r="317" spans="2:20" x14ac:dyDescent="0.25">
      <c r="B317" s="24"/>
      <c r="C317" s="24"/>
      <c r="D317" s="24"/>
      <c r="E317" s="24"/>
      <c r="F317" s="24"/>
      <c r="K317" s="24"/>
      <c r="L317" s="24"/>
      <c r="M317" s="24"/>
      <c r="N317" s="24"/>
      <c r="O317" s="24"/>
      <c r="P317" s="273"/>
      <c r="Q317" s="1"/>
      <c r="R317" s="1"/>
      <c r="T317" s="22"/>
    </row>
    <row r="318" spans="2:20" x14ac:dyDescent="0.25">
      <c r="B318" s="24"/>
      <c r="C318" s="24"/>
      <c r="D318" s="24"/>
      <c r="E318" s="24"/>
      <c r="F318" s="24"/>
      <c r="K318" s="24"/>
      <c r="L318" s="24"/>
      <c r="M318" s="24"/>
      <c r="N318" s="24"/>
      <c r="O318" s="24"/>
      <c r="P318" s="273"/>
      <c r="Q318" s="1"/>
      <c r="R318" s="1"/>
      <c r="T318" s="22"/>
    </row>
    <row r="319" spans="2:20" x14ac:dyDescent="0.25">
      <c r="B319" s="24"/>
      <c r="C319" s="24"/>
      <c r="D319" s="24"/>
      <c r="E319" s="24"/>
      <c r="F319" s="24"/>
      <c r="K319" s="24"/>
      <c r="L319" s="24"/>
      <c r="M319" s="24"/>
      <c r="N319" s="24"/>
      <c r="O319" s="24"/>
      <c r="P319" s="273"/>
      <c r="Q319" s="1"/>
      <c r="R319" s="1"/>
      <c r="T319" s="22"/>
    </row>
    <row r="320" spans="2:20" x14ac:dyDescent="0.25">
      <c r="B320" s="24"/>
      <c r="C320" s="24"/>
      <c r="D320" s="24"/>
      <c r="E320" s="24"/>
      <c r="F320" s="24"/>
      <c r="K320" s="24"/>
      <c r="L320" s="24"/>
      <c r="M320" s="24"/>
      <c r="N320" s="24"/>
      <c r="O320" s="24"/>
      <c r="P320" s="273"/>
      <c r="Q320" s="1"/>
      <c r="R320" s="1"/>
      <c r="T320" s="22"/>
    </row>
    <row r="321" spans="2:20" x14ac:dyDescent="0.25">
      <c r="B321" s="24"/>
      <c r="C321" s="24"/>
      <c r="D321" s="24"/>
      <c r="E321" s="24"/>
      <c r="F321" s="24"/>
      <c r="K321" s="24"/>
      <c r="L321" s="24"/>
      <c r="M321" s="24"/>
      <c r="N321" s="24"/>
      <c r="O321" s="24"/>
      <c r="P321" s="273"/>
      <c r="Q321" s="1"/>
      <c r="R321" s="1"/>
      <c r="T321" s="22"/>
    </row>
    <row r="322" spans="2:20" x14ac:dyDescent="0.25">
      <c r="B322" s="24"/>
      <c r="C322" s="24"/>
      <c r="D322" s="24"/>
      <c r="E322" s="24"/>
      <c r="F322" s="24"/>
      <c r="K322" s="24"/>
      <c r="L322" s="24"/>
      <c r="M322" s="24"/>
      <c r="N322" s="24"/>
      <c r="O322" s="24"/>
      <c r="P322" s="273"/>
      <c r="Q322" s="1"/>
      <c r="R322" s="1"/>
      <c r="T322" s="22"/>
    </row>
    <row r="323" spans="2:20" x14ac:dyDescent="0.25">
      <c r="B323" s="24"/>
      <c r="C323" s="24"/>
      <c r="D323" s="24"/>
      <c r="E323" s="24"/>
      <c r="K323" s="24"/>
      <c r="L323" s="24"/>
      <c r="M323" s="24"/>
      <c r="N323" s="24"/>
      <c r="O323" s="24"/>
      <c r="P323" s="273"/>
      <c r="Q323" s="1"/>
      <c r="R323" s="1"/>
      <c r="T323" s="22"/>
    </row>
    <row r="324" spans="2:20" x14ac:dyDescent="0.25">
      <c r="B324" s="24"/>
      <c r="C324" s="24"/>
      <c r="D324" s="24"/>
      <c r="E324" s="24"/>
      <c r="K324" s="24"/>
      <c r="L324" s="24"/>
      <c r="M324" s="24"/>
      <c r="N324" s="24"/>
      <c r="O324" s="24"/>
      <c r="P324" s="273"/>
      <c r="Q324" s="1"/>
      <c r="R324" s="1"/>
      <c r="T324" s="22"/>
    </row>
    <row r="325" spans="2:20" x14ac:dyDescent="0.25">
      <c r="B325" s="24"/>
      <c r="C325" s="24"/>
      <c r="D325" s="24"/>
      <c r="E325" s="24"/>
      <c r="K325" s="24"/>
      <c r="L325" s="24"/>
      <c r="M325" s="24"/>
      <c r="N325" s="24"/>
      <c r="O325" s="24"/>
      <c r="P325" s="273"/>
      <c r="Q325" s="1"/>
      <c r="R325" s="1"/>
      <c r="T325" s="22"/>
    </row>
    <row r="326" spans="2:20" x14ac:dyDescent="0.25">
      <c r="B326" s="24"/>
      <c r="C326" s="24"/>
      <c r="D326" s="24"/>
      <c r="E326" s="24"/>
      <c r="K326" s="24"/>
      <c r="L326" s="24"/>
      <c r="M326" s="24"/>
      <c r="N326" s="24"/>
      <c r="O326" s="24"/>
      <c r="P326" s="273"/>
      <c r="Q326" s="1"/>
      <c r="R326" s="1"/>
      <c r="T326" s="22"/>
    </row>
    <row r="327" spans="2:20" x14ac:dyDescent="0.25">
      <c r="B327" s="24"/>
      <c r="C327" s="24"/>
      <c r="D327" s="24"/>
      <c r="E327" s="24"/>
      <c r="K327" s="24"/>
      <c r="L327" s="24"/>
      <c r="M327" s="24"/>
      <c r="N327" s="24"/>
      <c r="O327" s="24"/>
      <c r="P327" s="273"/>
      <c r="Q327" s="1"/>
      <c r="R327" s="1"/>
      <c r="T327" s="22"/>
    </row>
    <row r="328" spans="2:20" x14ac:dyDescent="0.25">
      <c r="B328" s="24"/>
      <c r="C328" s="24"/>
      <c r="D328" s="24"/>
      <c r="E328" s="24"/>
      <c r="K328" s="24"/>
      <c r="L328" s="24"/>
      <c r="M328" s="24"/>
      <c r="N328" s="24"/>
      <c r="O328" s="24"/>
      <c r="P328" s="273"/>
      <c r="Q328" s="1"/>
      <c r="R328" s="1"/>
      <c r="T328" s="22"/>
    </row>
    <row r="329" spans="2:20" x14ac:dyDescent="0.25">
      <c r="B329" s="24"/>
      <c r="C329" s="24"/>
      <c r="D329" s="24"/>
      <c r="E329" s="24"/>
      <c r="K329" s="24"/>
      <c r="L329" s="24"/>
      <c r="M329" s="24"/>
      <c r="N329" s="24"/>
      <c r="O329" s="24"/>
      <c r="P329" s="273"/>
      <c r="Q329" s="1"/>
      <c r="R329" s="1"/>
      <c r="T329" s="22"/>
    </row>
    <row r="330" spans="2:20" x14ac:dyDescent="0.25">
      <c r="B330" s="24"/>
      <c r="C330" s="24"/>
      <c r="D330" s="24"/>
      <c r="E330" s="24"/>
      <c r="K330" s="24"/>
      <c r="L330" s="24"/>
      <c r="M330" s="24"/>
      <c r="N330" s="24"/>
      <c r="O330" s="24"/>
      <c r="P330" s="273"/>
      <c r="Q330" s="1"/>
      <c r="R330" s="1"/>
      <c r="T330" s="22"/>
    </row>
    <row r="331" spans="2:20" x14ac:dyDescent="0.25">
      <c r="B331" s="24"/>
      <c r="C331" s="24"/>
      <c r="D331" s="24"/>
      <c r="E331" s="24"/>
      <c r="K331" s="24"/>
      <c r="L331" s="24"/>
      <c r="M331" s="24"/>
      <c r="N331" s="24"/>
      <c r="O331" s="24"/>
      <c r="P331" s="273"/>
      <c r="Q331" s="1"/>
      <c r="R331" s="1"/>
      <c r="T331" s="22"/>
    </row>
    <row r="332" spans="2:20" x14ac:dyDescent="0.25">
      <c r="B332" s="24"/>
      <c r="C332" s="24"/>
      <c r="D332" s="24"/>
      <c r="E332" s="24"/>
      <c r="K332" s="24"/>
      <c r="L332" s="24"/>
      <c r="M332" s="24"/>
      <c r="N332" s="24"/>
      <c r="O332" s="24"/>
      <c r="P332" s="273"/>
      <c r="Q332" s="1"/>
      <c r="R332" s="1"/>
      <c r="T332" s="22"/>
    </row>
    <row r="333" spans="2:20" x14ac:dyDescent="0.25">
      <c r="B333" s="24"/>
      <c r="C333" s="24"/>
      <c r="D333" s="24"/>
      <c r="E333" s="24"/>
      <c r="K333" s="24"/>
      <c r="L333" s="24"/>
      <c r="M333" s="24"/>
      <c r="N333" s="24"/>
      <c r="O333" s="24"/>
      <c r="P333" s="273"/>
      <c r="Q333" s="1"/>
      <c r="R333" s="1"/>
      <c r="T333" s="22"/>
    </row>
    <row r="334" spans="2:20" x14ac:dyDescent="0.25">
      <c r="B334" s="24"/>
      <c r="C334" s="24"/>
      <c r="D334" s="24"/>
      <c r="E334" s="24"/>
      <c r="K334" s="24"/>
      <c r="L334" s="24"/>
      <c r="M334" s="24"/>
      <c r="N334" s="24"/>
      <c r="O334" s="24"/>
      <c r="P334" s="273"/>
      <c r="Q334" s="1"/>
      <c r="R334" s="1"/>
      <c r="T334" s="22"/>
    </row>
    <row r="335" spans="2:20" x14ac:dyDescent="0.25">
      <c r="B335" s="24"/>
      <c r="C335" s="24"/>
      <c r="D335" s="24"/>
      <c r="E335" s="24"/>
      <c r="K335" s="24"/>
      <c r="L335" s="24"/>
      <c r="M335" s="24"/>
      <c r="N335" s="24"/>
      <c r="O335" s="24"/>
      <c r="P335" s="273"/>
      <c r="Q335" s="1"/>
      <c r="R335" s="1"/>
      <c r="T335" s="22"/>
    </row>
    <row r="336" spans="2:20" x14ac:dyDescent="0.25">
      <c r="B336" s="24"/>
      <c r="C336" s="24"/>
      <c r="D336" s="24"/>
      <c r="E336" s="24"/>
      <c r="K336" s="24"/>
      <c r="L336" s="24"/>
      <c r="M336" s="24"/>
      <c r="N336" s="24"/>
      <c r="O336" s="24"/>
      <c r="P336" s="273"/>
      <c r="Q336" s="1"/>
      <c r="R336" s="1"/>
      <c r="T336" s="22"/>
    </row>
    <row r="337" spans="2:20" x14ac:dyDescent="0.25">
      <c r="B337" s="24"/>
      <c r="C337" s="24"/>
      <c r="D337" s="24"/>
      <c r="E337" s="24"/>
      <c r="K337" s="24"/>
      <c r="L337" s="24"/>
      <c r="M337" s="24"/>
      <c r="N337" s="24"/>
      <c r="O337" s="24"/>
      <c r="P337" s="273"/>
      <c r="Q337" s="1"/>
      <c r="R337" s="1"/>
      <c r="T337" s="22"/>
    </row>
    <row r="338" spans="2:20" x14ac:dyDescent="0.25">
      <c r="B338" s="24"/>
      <c r="C338" s="24"/>
      <c r="D338" s="24"/>
      <c r="E338" s="24"/>
      <c r="K338" s="24"/>
      <c r="L338" s="24"/>
      <c r="M338" s="24"/>
      <c r="N338" s="24"/>
      <c r="O338" s="24"/>
      <c r="P338" s="273"/>
      <c r="Q338" s="1"/>
      <c r="R338" s="1"/>
      <c r="T338" s="22"/>
    </row>
    <row r="339" spans="2:20" x14ac:dyDescent="0.25">
      <c r="B339" s="24"/>
      <c r="C339" s="24"/>
      <c r="D339" s="24"/>
      <c r="E339" s="24"/>
      <c r="K339" s="24"/>
      <c r="L339" s="24"/>
      <c r="M339" s="24"/>
      <c r="N339" s="24"/>
      <c r="O339" s="24"/>
      <c r="P339" s="273"/>
      <c r="Q339" s="1"/>
      <c r="R339" s="1"/>
      <c r="T339" s="22"/>
    </row>
    <row r="340" spans="2:20" x14ac:dyDescent="0.25">
      <c r="B340" s="24"/>
      <c r="C340" s="24"/>
      <c r="D340" s="24"/>
      <c r="E340" s="24"/>
      <c r="K340" s="24"/>
      <c r="L340" s="24"/>
      <c r="M340" s="24"/>
      <c r="N340" s="24"/>
      <c r="O340" s="24"/>
      <c r="P340" s="273"/>
      <c r="Q340" s="1"/>
      <c r="R340" s="1"/>
      <c r="T340" s="22"/>
    </row>
    <row r="341" spans="2:20" x14ac:dyDescent="0.25">
      <c r="B341" s="24"/>
      <c r="C341" s="24"/>
      <c r="D341" s="24"/>
      <c r="E341" s="24"/>
      <c r="K341" s="24"/>
      <c r="L341" s="24"/>
      <c r="M341" s="24"/>
      <c r="N341" s="24"/>
      <c r="O341" s="24"/>
      <c r="P341" s="273"/>
      <c r="Q341" s="1"/>
      <c r="R341" s="1"/>
      <c r="T341" s="22"/>
    </row>
    <row r="342" spans="2:20" x14ac:dyDescent="0.25">
      <c r="B342" s="24"/>
      <c r="C342" s="24"/>
      <c r="D342" s="24"/>
      <c r="E342" s="24"/>
      <c r="K342" s="24"/>
      <c r="L342" s="24"/>
      <c r="M342" s="24"/>
      <c r="N342" s="24"/>
      <c r="O342" s="24"/>
      <c r="P342" s="273"/>
      <c r="Q342" s="1"/>
      <c r="R342" s="1"/>
      <c r="T342" s="22"/>
    </row>
    <row r="343" spans="2:20" x14ac:dyDescent="0.25">
      <c r="B343" s="24"/>
      <c r="C343" s="24"/>
      <c r="D343" s="24"/>
      <c r="E343" s="24"/>
      <c r="K343" s="24"/>
      <c r="L343" s="24"/>
      <c r="M343" s="24"/>
      <c r="N343" s="24"/>
      <c r="O343" s="24"/>
      <c r="P343" s="273"/>
      <c r="Q343" s="1"/>
      <c r="R343" s="1"/>
      <c r="T343" s="22"/>
    </row>
    <row r="344" spans="2:20" x14ac:dyDescent="0.25">
      <c r="B344" s="24"/>
      <c r="C344" s="24"/>
      <c r="D344" s="24"/>
      <c r="E344" s="24"/>
      <c r="K344" s="24"/>
      <c r="L344" s="24"/>
      <c r="M344" s="24"/>
      <c r="N344" s="24"/>
      <c r="O344" s="24"/>
      <c r="P344" s="273"/>
      <c r="Q344" s="1"/>
      <c r="R344" s="1"/>
      <c r="T344" s="22"/>
    </row>
    <row r="345" spans="2:20" x14ac:dyDescent="0.25">
      <c r="B345" s="24"/>
      <c r="C345" s="24"/>
      <c r="D345" s="24"/>
      <c r="E345" s="24"/>
      <c r="K345" s="24"/>
      <c r="L345" s="24"/>
      <c r="M345" s="24"/>
      <c r="N345" s="24"/>
      <c r="O345" s="24"/>
      <c r="P345" s="273"/>
      <c r="Q345" s="1"/>
      <c r="R345" s="1"/>
      <c r="T345" s="22"/>
    </row>
    <row r="346" spans="2:20" x14ac:dyDescent="0.25">
      <c r="B346" s="24"/>
      <c r="C346" s="24"/>
      <c r="D346" s="24"/>
      <c r="E346" s="24"/>
      <c r="K346" s="24"/>
      <c r="L346" s="24"/>
      <c r="M346" s="24"/>
      <c r="N346" s="24"/>
      <c r="O346" s="24"/>
      <c r="P346" s="273"/>
      <c r="Q346" s="1"/>
      <c r="R346" s="1"/>
      <c r="T346" s="22"/>
    </row>
    <row r="347" spans="2:20" x14ac:dyDescent="0.25">
      <c r="B347" s="24"/>
      <c r="C347" s="24"/>
      <c r="D347" s="24"/>
      <c r="E347" s="24"/>
      <c r="K347" s="24"/>
      <c r="L347" s="24"/>
      <c r="M347" s="24"/>
      <c r="N347" s="24"/>
      <c r="O347" s="24"/>
      <c r="P347" s="273"/>
      <c r="Q347" s="1"/>
      <c r="R347" s="1"/>
      <c r="T347" s="22"/>
    </row>
    <row r="348" spans="2:20" x14ac:dyDescent="0.25">
      <c r="B348" s="24"/>
      <c r="C348" s="24"/>
      <c r="D348" s="24"/>
      <c r="E348" s="24"/>
      <c r="K348" s="24"/>
      <c r="L348" s="24"/>
      <c r="M348" s="24"/>
      <c r="N348" s="24"/>
      <c r="O348" s="24"/>
      <c r="P348" s="273"/>
      <c r="Q348" s="1"/>
      <c r="R348" s="1"/>
      <c r="T348" s="22"/>
    </row>
    <row r="349" spans="2:20" x14ac:dyDescent="0.25">
      <c r="B349" s="24"/>
      <c r="C349" s="24"/>
      <c r="D349" s="24"/>
      <c r="E349" s="24"/>
      <c r="K349" s="24"/>
      <c r="L349" s="24"/>
      <c r="M349" s="24"/>
      <c r="N349" s="24"/>
      <c r="O349" s="24"/>
      <c r="P349" s="273"/>
      <c r="Q349" s="1"/>
      <c r="R349" s="1"/>
      <c r="T349" s="22"/>
    </row>
    <row r="350" spans="2:20" x14ac:dyDescent="0.25">
      <c r="B350" s="24"/>
      <c r="C350" s="24"/>
      <c r="D350" s="24"/>
      <c r="E350" s="24"/>
      <c r="K350" s="24"/>
      <c r="L350" s="24"/>
      <c r="M350" s="24"/>
      <c r="N350" s="24"/>
      <c r="O350" s="24"/>
      <c r="P350" s="273"/>
      <c r="Q350" s="1"/>
      <c r="R350" s="1"/>
      <c r="T350" s="22"/>
    </row>
    <row r="351" spans="2:20" x14ac:dyDescent="0.25">
      <c r="B351" s="24"/>
      <c r="C351" s="24"/>
      <c r="D351" s="24"/>
      <c r="E351" s="24"/>
      <c r="K351" s="24"/>
      <c r="L351" s="24"/>
      <c r="M351" s="24"/>
      <c r="N351" s="24"/>
      <c r="O351" s="24"/>
      <c r="P351" s="273"/>
      <c r="Q351" s="1"/>
      <c r="R351" s="1"/>
      <c r="T351" s="22"/>
    </row>
    <row r="352" spans="2:20" x14ac:dyDescent="0.25">
      <c r="B352" s="24"/>
      <c r="C352" s="24"/>
      <c r="D352" s="24"/>
      <c r="E352" s="24"/>
      <c r="K352" s="24"/>
      <c r="L352" s="24"/>
      <c r="M352" s="24"/>
      <c r="N352" s="24"/>
      <c r="O352" s="24"/>
      <c r="P352" s="273"/>
      <c r="Q352" s="1"/>
      <c r="R352" s="1"/>
      <c r="T352" s="22"/>
    </row>
    <row r="353" spans="2:20" x14ac:dyDescent="0.25">
      <c r="B353" s="24"/>
      <c r="C353" s="24"/>
      <c r="D353" s="24"/>
      <c r="E353" s="24"/>
      <c r="K353" s="24"/>
      <c r="L353" s="24"/>
      <c r="M353" s="24"/>
      <c r="N353" s="24"/>
      <c r="O353" s="24"/>
      <c r="P353" s="273"/>
      <c r="Q353" s="1"/>
      <c r="R353" s="1"/>
      <c r="T353" s="22"/>
    </row>
    <row r="354" spans="2:20" x14ac:dyDescent="0.25">
      <c r="B354" s="24"/>
      <c r="C354" s="24"/>
      <c r="D354" s="24"/>
      <c r="E354" s="24"/>
      <c r="K354" s="24"/>
      <c r="L354" s="24"/>
      <c r="M354" s="24"/>
      <c r="N354" s="24"/>
      <c r="O354" s="24"/>
      <c r="P354" s="273"/>
      <c r="Q354" s="1"/>
      <c r="R354" s="1"/>
      <c r="T354" s="22"/>
    </row>
    <row r="355" spans="2:20" x14ac:dyDescent="0.25">
      <c r="B355" s="24"/>
      <c r="C355" s="24"/>
      <c r="D355" s="24"/>
      <c r="E355" s="24"/>
      <c r="K355" s="24"/>
      <c r="L355" s="24"/>
      <c r="M355" s="24"/>
      <c r="N355" s="24"/>
      <c r="O355" s="24"/>
      <c r="P355" s="273"/>
      <c r="Q355" s="1"/>
      <c r="R355" s="1"/>
      <c r="T355" s="22"/>
    </row>
    <row r="356" spans="2:20" x14ac:dyDescent="0.25">
      <c r="B356" s="24"/>
      <c r="C356" s="24"/>
      <c r="D356" s="24"/>
      <c r="E356" s="24"/>
      <c r="K356" s="24"/>
      <c r="L356" s="24"/>
      <c r="M356" s="24"/>
      <c r="N356" s="24"/>
      <c r="O356" s="24"/>
      <c r="P356" s="273"/>
      <c r="Q356" s="1"/>
      <c r="R356" s="1"/>
      <c r="T356" s="22"/>
    </row>
    <row r="357" spans="2:20" x14ac:dyDescent="0.25">
      <c r="B357" s="24"/>
      <c r="C357" s="24"/>
      <c r="D357" s="24"/>
      <c r="E357" s="24"/>
      <c r="K357" s="24"/>
      <c r="L357" s="24"/>
      <c r="M357" s="24"/>
      <c r="N357" s="24"/>
      <c r="O357" s="24"/>
      <c r="P357" s="273"/>
      <c r="Q357" s="1"/>
      <c r="R357" s="1"/>
      <c r="T357" s="22"/>
    </row>
    <row r="358" spans="2:20" x14ac:dyDescent="0.25">
      <c r="B358" s="24"/>
      <c r="C358" s="24"/>
      <c r="D358" s="24"/>
      <c r="E358" s="24"/>
      <c r="K358" s="24"/>
      <c r="L358" s="24"/>
      <c r="M358" s="24"/>
      <c r="N358" s="24"/>
      <c r="O358" s="24"/>
      <c r="P358" s="273"/>
      <c r="Q358" s="1"/>
      <c r="R358" s="1"/>
      <c r="T358" s="22"/>
    </row>
    <row r="359" spans="2:20" x14ac:dyDescent="0.25">
      <c r="B359" s="24"/>
      <c r="C359" s="24"/>
      <c r="D359" s="24"/>
      <c r="E359" s="24"/>
      <c r="K359" s="24"/>
      <c r="L359" s="24"/>
      <c r="M359" s="24"/>
      <c r="N359" s="24"/>
      <c r="O359" s="24"/>
      <c r="P359" s="273"/>
      <c r="Q359" s="1"/>
      <c r="R359" s="1"/>
      <c r="T359" s="22"/>
    </row>
    <row r="360" spans="2:20" x14ac:dyDescent="0.25">
      <c r="B360" s="24"/>
      <c r="C360" s="24"/>
      <c r="D360" s="24"/>
      <c r="E360" s="24"/>
      <c r="K360" s="24"/>
      <c r="L360" s="24"/>
      <c r="M360" s="24"/>
      <c r="N360" s="24"/>
      <c r="O360" s="24"/>
      <c r="P360" s="273"/>
      <c r="Q360" s="1"/>
      <c r="R360" s="1"/>
      <c r="T360" s="22"/>
    </row>
    <row r="361" spans="2:20" x14ac:dyDescent="0.25">
      <c r="B361" s="24"/>
      <c r="C361" s="24"/>
      <c r="D361" s="24"/>
      <c r="E361" s="24"/>
      <c r="K361" s="24"/>
      <c r="L361" s="24"/>
      <c r="M361" s="24"/>
      <c r="N361" s="24"/>
      <c r="O361" s="24"/>
      <c r="P361" s="273"/>
      <c r="Q361" s="1"/>
      <c r="R361" s="1"/>
      <c r="T361" s="22"/>
    </row>
    <row r="362" spans="2:20" x14ac:dyDescent="0.25">
      <c r="B362" s="24"/>
      <c r="C362" s="24"/>
      <c r="D362" s="24"/>
      <c r="E362" s="24"/>
      <c r="K362" s="24"/>
      <c r="L362" s="24"/>
      <c r="M362" s="24"/>
      <c r="N362" s="24"/>
      <c r="O362" s="24"/>
      <c r="P362" s="273"/>
      <c r="Q362" s="1"/>
      <c r="R362" s="1"/>
      <c r="T362" s="22"/>
    </row>
    <row r="363" spans="2:20" x14ac:dyDescent="0.25">
      <c r="B363" s="24"/>
      <c r="C363" s="24"/>
      <c r="D363" s="24"/>
      <c r="E363" s="24"/>
      <c r="K363" s="24"/>
      <c r="L363" s="24"/>
      <c r="M363" s="24"/>
      <c r="N363" s="24"/>
      <c r="O363" s="24"/>
      <c r="P363" s="273"/>
      <c r="Q363" s="1"/>
      <c r="R363" s="1"/>
      <c r="T363" s="22"/>
    </row>
    <row r="364" spans="2:20" x14ac:dyDescent="0.25">
      <c r="B364" s="24"/>
      <c r="C364" s="24"/>
      <c r="D364" s="24"/>
      <c r="E364" s="24"/>
      <c r="K364" s="24"/>
      <c r="L364" s="24"/>
      <c r="M364" s="24"/>
      <c r="N364" s="24"/>
      <c r="O364" s="24"/>
      <c r="P364" s="273"/>
      <c r="Q364" s="1"/>
      <c r="R364" s="1"/>
      <c r="T364" s="22"/>
    </row>
    <row r="365" spans="2:20" x14ac:dyDescent="0.25">
      <c r="B365" s="24"/>
      <c r="C365" s="24"/>
      <c r="D365" s="24"/>
      <c r="E365" s="24"/>
      <c r="K365" s="24"/>
      <c r="L365" s="24"/>
      <c r="M365" s="24"/>
      <c r="N365" s="24"/>
      <c r="O365" s="24"/>
      <c r="P365" s="273"/>
      <c r="Q365" s="1"/>
      <c r="R365" s="1"/>
      <c r="T365" s="22"/>
    </row>
    <row r="366" spans="2:20" x14ac:dyDescent="0.25">
      <c r="B366" s="24"/>
      <c r="C366" s="24"/>
      <c r="D366" s="24"/>
      <c r="E366" s="24"/>
      <c r="K366" s="24"/>
      <c r="L366" s="24"/>
      <c r="M366" s="24"/>
      <c r="N366" s="24"/>
      <c r="O366" s="24"/>
      <c r="P366" s="273"/>
      <c r="Q366" s="1"/>
      <c r="R366" s="1"/>
      <c r="T366" s="22"/>
    </row>
    <row r="367" spans="2:20" x14ac:dyDescent="0.25">
      <c r="B367" s="24"/>
      <c r="C367" s="24"/>
      <c r="D367" s="24"/>
      <c r="E367" s="24"/>
      <c r="K367" s="24"/>
      <c r="L367" s="24"/>
      <c r="M367" s="24"/>
      <c r="N367" s="24"/>
      <c r="O367" s="24"/>
      <c r="P367" s="273"/>
      <c r="Q367" s="1"/>
      <c r="R367" s="1"/>
      <c r="T367" s="22"/>
    </row>
    <row r="368" spans="2:20" x14ac:dyDescent="0.25">
      <c r="B368" s="24"/>
      <c r="C368" s="24"/>
      <c r="D368" s="24"/>
      <c r="E368" s="24"/>
      <c r="K368" s="24"/>
      <c r="L368" s="24"/>
      <c r="M368" s="24"/>
      <c r="N368" s="24"/>
      <c r="O368" s="24"/>
      <c r="P368" s="273"/>
      <c r="Q368" s="1"/>
      <c r="R368" s="1"/>
      <c r="T368" s="22"/>
    </row>
    <row r="369" spans="2:20" x14ac:dyDescent="0.25">
      <c r="B369" s="24"/>
      <c r="C369" s="24"/>
      <c r="D369" s="24"/>
      <c r="E369" s="24"/>
      <c r="K369" s="24"/>
      <c r="L369" s="24"/>
      <c r="M369" s="24"/>
      <c r="N369" s="24"/>
      <c r="O369" s="24"/>
      <c r="P369" s="273"/>
      <c r="Q369" s="1"/>
      <c r="R369" s="1"/>
      <c r="T369" s="22"/>
    </row>
    <row r="370" spans="2:20" x14ac:dyDescent="0.25">
      <c r="B370" s="24"/>
      <c r="C370" s="24"/>
      <c r="D370" s="24"/>
      <c r="E370" s="24"/>
      <c r="K370" s="24"/>
      <c r="L370" s="24"/>
      <c r="M370" s="24"/>
      <c r="N370" s="24"/>
      <c r="O370" s="24"/>
      <c r="P370" s="273"/>
      <c r="Q370" s="1"/>
      <c r="R370" s="1"/>
      <c r="T370" s="22"/>
    </row>
    <row r="371" spans="2:20" x14ac:dyDescent="0.25">
      <c r="B371" s="24"/>
      <c r="C371" s="24"/>
      <c r="D371" s="24"/>
      <c r="E371" s="24"/>
      <c r="K371" s="24"/>
      <c r="L371" s="24"/>
      <c r="M371" s="24"/>
      <c r="N371" s="24"/>
      <c r="O371" s="24"/>
      <c r="P371" s="273"/>
      <c r="Q371" s="1"/>
      <c r="R371" s="1"/>
      <c r="T371" s="22"/>
    </row>
  </sheetData>
  <phoneticPr fontId="2"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BF421"/>
  <sheetViews>
    <sheetView showGridLines="0" zoomScale="50" zoomScaleNormal="50" workbookViewId="0">
      <selection activeCell="A4" sqref="A4"/>
    </sheetView>
  </sheetViews>
  <sheetFormatPr defaultRowHeight="15" x14ac:dyDescent="0.25"/>
  <cols>
    <col min="1" max="1" width="21.140625" style="4" bestFit="1" customWidth="1"/>
    <col min="2" max="2" width="23.140625" style="25" customWidth="1"/>
    <col min="3" max="5" width="23.42578125" style="25" bestFit="1" customWidth="1"/>
    <col min="6" max="8" width="18.5703125" style="25" bestFit="1" customWidth="1"/>
    <col min="9" max="9" width="18.5703125" style="269" customWidth="1"/>
    <col min="10" max="10" width="18.5703125" style="373" customWidth="1"/>
    <col min="11" max="11" width="23.140625" style="25" bestFit="1" customWidth="1"/>
    <col min="12" max="13" width="24.28515625" style="25" bestFit="1" customWidth="1"/>
    <col min="14" max="14" width="22.7109375" style="25" bestFit="1" customWidth="1"/>
    <col min="15" max="15" width="23.140625" style="25" bestFit="1" customWidth="1"/>
    <col min="16" max="16" width="23.140625" style="373" bestFit="1" customWidth="1"/>
    <col min="17" max="17" width="22.42578125" style="25" bestFit="1" customWidth="1"/>
    <col min="18" max="18" width="22" style="25" bestFit="1" customWidth="1"/>
    <col min="19" max="20" width="9.140625" style="25"/>
    <col min="21" max="21" width="9.140625" style="697"/>
    <col min="22" max="28" width="9.140625" style="902"/>
    <col min="29" max="32" width="9.140625" style="973"/>
    <col min="33" max="33" width="13.7109375" style="973" customWidth="1"/>
    <col min="34" max="34" width="9.140625" style="973"/>
    <col min="35" max="39" width="9.140625" style="25"/>
    <col min="40" max="40" width="13.7109375" style="25" bestFit="1" customWidth="1"/>
  </cols>
  <sheetData>
    <row r="1" spans="1:42" x14ac:dyDescent="0.25">
      <c r="B1" s="28" t="s">
        <v>99</v>
      </c>
      <c r="C1" s="28" t="s">
        <v>100</v>
      </c>
      <c r="D1" s="28" t="s">
        <v>101</v>
      </c>
      <c r="E1" s="28" t="s">
        <v>102</v>
      </c>
      <c r="F1" s="28" t="s">
        <v>97</v>
      </c>
      <c r="G1" s="28" t="s">
        <v>104</v>
      </c>
      <c r="H1" s="28" t="s">
        <v>103</v>
      </c>
      <c r="I1" s="275" t="s">
        <v>178</v>
      </c>
      <c r="J1" s="275" t="s">
        <v>199</v>
      </c>
      <c r="K1" s="275" t="s">
        <v>206</v>
      </c>
      <c r="L1" s="28" t="s">
        <v>105</v>
      </c>
      <c r="M1" s="28" t="s">
        <v>107</v>
      </c>
      <c r="N1" s="28" t="s">
        <v>98</v>
      </c>
      <c r="O1" s="28" t="s">
        <v>106</v>
      </c>
      <c r="P1" s="275" t="s">
        <v>179</v>
      </c>
      <c r="Q1" s="275" t="s">
        <v>198</v>
      </c>
      <c r="R1" s="275" t="s">
        <v>207</v>
      </c>
      <c r="S1" s="275" t="s">
        <v>307</v>
      </c>
      <c r="T1" s="275" t="s">
        <v>184</v>
      </c>
      <c r="U1" s="275" t="s">
        <v>221</v>
      </c>
      <c r="V1" s="275" t="s">
        <v>222</v>
      </c>
      <c r="W1" s="275" t="s">
        <v>255</v>
      </c>
      <c r="X1" s="275" t="s">
        <v>256</v>
      </c>
      <c r="Y1" s="275" t="s">
        <v>266</v>
      </c>
      <c r="Z1" s="275" t="s">
        <v>267</v>
      </c>
      <c r="AA1" s="275" t="s">
        <v>268</v>
      </c>
      <c r="AB1" s="275" t="s">
        <v>269</v>
      </c>
      <c r="AC1" s="275" t="s">
        <v>295</v>
      </c>
      <c r="AD1" s="275" t="s">
        <v>290</v>
      </c>
      <c r="AE1" s="275" t="s">
        <v>291</v>
      </c>
      <c r="AF1" s="275" t="s">
        <v>292</v>
      </c>
      <c r="AG1" s="275" t="s">
        <v>293</v>
      </c>
      <c r="AH1" s="275" t="s">
        <v>294</v>
      </c>
      <c r="AO1" s="25"/>
      <c r="AP1" s="25"/>
    </row>
    <row r="2" spans="1:42" ht="18" customHeight="1" x14ac:dyDescent="0.25">
      <c r="B2" s="127" t="s">
        <v>166</v>
      </c>
      <c r="C2" s="127" t="s">
        <v>167</v>
      </c>
      <c r="D2" s="127" t="s">
        <v>168</v>
      </c>
      <c r="E2" s="127" t="s">
        <v>169</v>
      </c>
      <c r="F2" s="130" t="s">
        <v>170</v>
      </c>
      <c r="G2" s="130" t="s">
        <v>171</v>
      </c>
      <c r="H2" s="127" t="s">
        <v>172</v>
      </c>
      <c r="I2" s="269" t="s">
        <v>214</v>
      </c>
      <c r="J2" s="373" t="s">
        <v>201</v>
      </c>
      <c r="K2" s="384" t="s">
        <v>208</v>
      </c>
      <c r="L2" s="127" t="s">
        <v>173</v>
      </c>
      <c r="M2" s="127" t="s">
        <v>174</v>
      </c>
      <c r="N2" s="127" t="s">
        <v>189</v>
      </c>
      <c r="O2" s="127" t="s">
        <v>175</v>
      </c>
      <c r="P2" s="127" t="s">
        <v>215</v>
      </c>
      <c r="Q2" s="373" t="s">
        <v>200</v>
      </c>
      <c r="R2" s="384" t="s">
        <v>209</v>
      </c>
      <c r="S2" s="25" t="s">
        <v>308</v>
      </c>
      <c r="T2" s="25" t="s">
        <v>186</v>
      </c>
      <c r="U2" s="697" t="s">
        <v>224</v>
      </c>
      <c r="V2" s="697" t="s">
        <v>223</v>
      </c>
      <c r="W2" s="275" t="s">
        <v>277</v>
      </c>
      <c r="X2" s="275" t="s">
        <v>279</v>
      </c>
      <c r="Y2" s="275" t="s">
        <v>278</v>
      </c>
      <c r="Z2" s="275" t="s">
        <v>280</v>
      </c>
      <c r="AA2" s="275" t="s">
        <v>281</v>
      </c>
      <c r="AB2" s="275" t="s">
        <v>288</v>
      </c>
      <c r="AC2" s="275" t="s">
        <v>296</v>
      </c>
      <c r="AD2" s="275" t="s">
        <v>297</v>
      </c>
      <c r="AE2" s="275" t="s">
        <v>298</v>
      </c>
      <c r="AF2" s="275" t="s">
        <v>299</v>
      </c>
      <c r="AG2" s="275" t="s">
        <v>300</v>
      </c>
      <c r="AH2" s="275" t="s">
        <v>301</v>
      </c>
      <c r="AI2" s="25" t="s">
        <v>96</v>
      </c>
      <c r="AJ2" s="25" t="s">
        <v>10</v>
      </c>
      <c r="AK2" s="25">
        <v>12</v>
      </c>
      <c r="AM2" s="25" t="s">
        <v>96</v>
      </c>
      <c r="AN2" s="25" t="s">
        <v>0</v>
      </c>
      <c r="AO2" s="25">
        <f>MATCH(AN2,Table!$A:$A,0)</f>
        <v>3</v>
      </c>
      <c r="AP2" s="25" t="s">
        <v>113</v>
      </c>
    </row>
    <row r="3" spans="1:42" s="591" customFormat="1" ht="19.5" customHeight="1" x14ac:dyDescent="0.25">
      <c r="A3" s="592">
        <v>41977</v>
      </c>
      <c r="B3" s="596">
        <f ca="1">IF(ISERROR(MATCH(B$1,INDIRECT("Table!A"&amp;$AM3):INDIRECT("Table!" &amp; $AP$108 &amp; $AM3),0)),"",INDIRECT(CONCATENATE("Table!",ADDRESS($AI3,MATCH(B$1,INDIRECT("Table!A" &amp; $AM3):INDIRECT("Table!" &amp; $AP$108 &amp; $AM3),0)))))</f>
        <v>0.26836756814698437</v>
      </c>
      <c r="C3" s="596">
        <f ca="1">IF(ISERROR(MATCH(C$1,INDIRECT("Table!A"&amp;$AM3):INDIRECT("Table!" &amp; $AP$108 &amp; $AM3),0)),"",INDIRECT(CONCATENATE("Table!",ADDRESS($AI3,MATCH(C$1,INDIRECT("Table!A" &amp; $AM3):INDIRECT("Table!" &amp; $AP$108 &amp; $AM3),0)))))</f>
        <v>0.36938979528517429</v>
      </c>
      <c r="D3" s="596">
        <f ca="1">IF(ISERROR(MATCH(D$1,INDIRECT("Table!A"&amp;$AM3):INDIRECT("Table!" &amp; $AP$108 &amp; $AM3),0)),"",INDIRECT(CONCATENATE("Table!",ADDRESS($AI3,MATCH(D$1,INDIRECT("Table!A" &amp; $AM3):INDIRECT("Table!" &amp; $AP$108 &amp; $AM3),0)))))</f>
        <v>0.28269855770157065</v>
      </c>
      <c r="E3" s="596">
        <f ca="1">IF(ISERROR(MATCH(E$1,INDIRECT("Table!A"&amp;$AM3):INDIRECT("Table!" &amp; $AP$108 &amp; $AM3),0)),"",INDIRECT(CONCATENATE("Table!",ADDRESS($AI3,MATCH(E$1,INDIRECT("Table!A" &amp; $AM3):INDIRECT("Table!" &amp; $AP$108 &amp; $AM3),0)))))</f>
        <v>0.84978515792411813</v>
      </c>
      <c r="F3" s="596">
        <f ca="1">IF(ISERROR(MATCH(F$1,INDIRECT("Table!A"&amp;$AM3):INDIRECT("Table!" &amp; $AP$108 &amp; $AM3),0)),"",INDIRECT(CONCATENATE("Table!",ADDRESS($AI3,MATCH(F$1,INDIRECT("Table!A" &amp; $AM3):INDIRECT("Table!" &amp; $AP$108 &amp; $AM3),0)))))</f>
        <v>0.67875096597185058</v>
      </c>
      <c r="G3" s="596">
        <f ca="1">IF(ISERROR(MATCH(G$1,INDIRECT("Table!A"&amp;$AM3):INDIRECT("Table!" &amp; $AP$108 &amp; $AM3),0)),"",INDIRECT(CONCATENATE("Table!",ADDRESS($AI3,MATCH(G$1,INDIRECT("Table!A" &amp; $AM3):INDIRECT("Table!" &amp; $AP$108 &amp; $AM3),0)))))</f>
        <v>1.0744288366003003</v>
      </c>
      <c r="H3" s="596">
        <f ca="1">IF(ISERROR(MATCH(H$1,INDIRECT("Table!A"&amp;$AM3):INDIRECT("Table!" &amp; $AP$108 &amp; $AM3),0)),"",INDIRECT(CONCATENATE("Table!",ADDRESS($AI3,MATCH(H$1,INDIRECT("Table!A" &amp; $AM3):INDIRECT("Table!" &amp; $AP$108 &amp; $AM3),0)))))</f>
        <v>1.0875281595343522</v>
      </c>
      <c r="I3" s="596">
        <f ca="1">IF(ISERROR(MATCH(I$1,INDIRECT("Table!A"&amp;$AM3):INDIRECT("Table!" &amp; $AP$86 &amp; $AM3),0)),"",INDIRECT(CONCATENATE("Table!",ADDRESS($AI3,MATCH(I$1,INDIRECT("Table!A" &amp; $AM3):INDIRECT("Table!" &amp; $AP$86 &amp; $AM3),0)))))</f>
        <v>0.30574670937752141</v>
      </c>
      <c r="J3" s="596">
        <f ca="1">IF(ISERROR(MATCH(J$1,INDIRECT("Table!A"&amp;$AM3):INDIRECT("Table!" &amp; $AP$86 &amp; $AM3),0)),"",INDIRECT(CONCATENATE("Table!",ADDRESS($AI3,MATCH(J$1,INDIRECT("Table!A" &amp; $AM3):INDIRECT("Table!" &amp; $AP$86 &amp; $AM3),0)))))</f>
        <v>1.6290402131282897</v>
      </c>
      <c r="K3" s="596">
        <f ca="1">IF(ISERROR(MATCH(K$1,INDIRECT("Table!A"&amp;$AM3):INDIRECT("Table!" &amp; $AP$86 &amp; $AM3),0)),"",INDIRECT(CONCATENATE("Table!",ADDRESS($AI3,MATCH(K$1,INDIRECT("Table!A" &amp; $AM3):INDIRECT("Table!" &amp; $AP$86 &amp; $AM3),0)))))</f>
        <v>0.97657945331662421</v>
      </c>
      <c r="L3" s="596">
        <f ca="1">IF(ISERROR(MATCH(L$1,INDIRECT("Table!A"&amp;$AM3):INDIRECT("Table!" &amp; $AP$108 &amp; $AM3),0)),"",INDIRECT(CONCATENATE("Table!",ADDRESS($AI3,MATCH(L$1,INDIRECT("Table!A" &amp; $AM3):INDIRECT("Table!" &amp; $AP$108 &amp; $AM3),0)))))</f>
        <v>0.65502429426443987</v>
      </c>
      <c r="M3" s="596">
        <f ca="1">IF(ISERROR(MATCH(M$1,INDIRECT("Table!A"&amp;$AM3):INDIRECT("Table!" &amp; $AP$108 &amp; $AM3),0)),"",INDIRECT(CONCATENATE("Table!",ADDRESS($AI3,MATCH(M$1,INDIRECT("Table!A" &amp; $AM3):INDIRECT("Table!" &amp; $AP$108 &amp; $AM3),0)))))</f>
        <v>1.0076170251510714</v>
      </c>
      <c r="N3" s="596">
        <f ca="1">IF(ISERROR(MATCH(N$1,INDIRECT("Table!A"&amp;$AM3):INDIRECT("Table!" &amp; $AP$108 &amp; $AM3),0)),"",INDIRECT(CONCATENATE("Table!",ADDRESS($AI3,MATCH(N$1,INDIRECT("Table!A" &amp; $AM3):INDIRECT("Table!" &amp; $AP$108 &amp; $AM3),0)))))</f>
        <v>1.412610044942846</v>
      </c>
      <c r="O3" s="596">
        <f ca="1">IF(ISERROR(MATCH(O$1,INDIRECT("Table!A"&amp;$AM3):INDIRECT("Table!" &amp; $AP$86 &amp; $AM3),0)),"",INDIRECT(CONCATENATE("Table!",ADDRESS($AI3,MATCH(O$1,INDIRECT("Table!A" &amp; $AM3):INDIRECT("Table!" &amp; $AP$86 &amp; $AM3),0)))))</f>
        <v>0.43652663741478664</v>
      </c>
      <c r="P3" s="596">
        <f ca="1">IF(ISERROR(MATCH(P$1,INDIRECT("Table!A"&amp;$AM3):INDIRECT("Table!" &amp; $AP$86 &amp; $AM3),0)),"",INDIRECT(CONCATENATE("Table!",ADDRESS($AI3,MATCH(P$1,INDIRECT("Table!A" &amp; $AM3):INDIRECT("Table!" &amp; $AP$86 &amp; $AM3),0)))))</f>
        <v>0.79340041041055498</v>
      </c>
      <c r="Q3" s="596">
        <f ca="1">IF(ISERROR(MATCH(Q$1,INDIRECT("Table!A"&amp;$AM3):INDIRECT("Table!" &amp; $AP$86 &amp; $AM3),0)),"",INDIRECT(CONCATENATE("Table!",ADDRESS($AI3,MATCH(Q$1,INDIRECT("Table!A" &amp; $AM3):INDIRECT("Table!" &amp; $AP$86 &amp; $AM3),0)))))</f>
        <v>0.81574720981618642</v>
      </c>
      <c r="R3" s="596">
        <f ca="1">IF(ISERROR(MATCH(R$1,INDIRECT("Table!A"&amp;$AM3):INDIRECT("Table!" &amp; $AP$86 &amp; $AM3),0)),"",INDIRECT(CONCATENATE("Table!",ADDRESS($AI3,MATCH(R$1,INDIRECT("Table!A" &amp; $AM3):INDIRECT("Table!" &amp; $AP$86 &amp; $AM3),0)))))</f>
        <v>1.1007658768632602</v>
      </c>
      <c r="S3" s="596">
        <f ca="1">IF(ISERROR(MATCH(S$1,INDIRECT("Table!A"&amp;$AM3):INDIRECT("Table!" &amp; $AP$65 &amp; $AM3),0)),"",INDIRECT(CONCATENATE("Table!",ADDRESS($AI3,MATCH(S$1,INDIRECT("Table!A" &amp; $AM3):INDIRECT("Table!" &amp; $AP$65 &amp; $AM3),0)))))</f>
        <v>1.0257868986683678</v>
      </c>
      <c r="T3" s="596">
        <f ca="1">IF(ISERROR(MATCH(T$1,INDIRECT("Table!A"&amp;$AM3):INDIRECT("Table!" &amp; $AP$65 &amp; $AM3),0)),"",INDIRECT(CONCATENATE("Table!",ADDRESS($AI3,MATCH(T$1,INDIRECT("Table!A" &amp; $AM3):INDIRECT("Table!" &amp; $AP$65 &amp; $AM3),0)))))</f>
        <v>1.2950637494144845</v>
      </c>
      <c r="U3" s="596">
        <f ca="1">IF(ISERROR(MATCH(U$1,INDIRECT("Table!A"&amp;$AM3):INDIRECT("Table!" &amp; $AP$65 &amp; $AM3),0)),"",INDIRECT(CONCATENATE("Table!",ADDRESS($AI3,MATCH(U$1,INDIRECT("Table!A" &amp; $AM3):INDIRECT("Table!" &amp; $AP$65 &amp; $AM3),0)))))</f>
        <v>0.62916361127827269</v>
      </c>
      <c r="V3" s="596">
        <f ca="1">IF(ISERROR(MATCH(V$1,INDIRECT("Table!A"&amp;$AM3):INDIRECT("Table!" &amp; $AP$65 &amp; $AM3),0)),"",INDIRECT(CONCATENATE("Table!",ADDRESS($AI3,MATCH(V$1,INDIRECT("Table!A" &amp; $AM3):INDIRECT("Table!" &amp; $AP$65 &amp; $AM3),0)))))</f>
        <v>0.40074812705701529</v>
      </c>
      <c r="W3" s="596">
        <f ca="1">IF(ISERROR(MATCH(W$1,INDIRECT("Table!A"&amp;$AM3):INDIRECT("Table!" &amp; $AP$65 &amp; $AM3),0)),"",INDIRECT(CONCATENATE("Table!",ADDRESS($AI3,MATCH(W$1,INDIRECT("Table!A" &amp; $AM3):INDIRECT("Table!" &amp; $AP$65 &amp; $AM3),0)))))</f>
        <v>0.68558048465456245</v>
      </c>
      <c r="X3" s="596">
        <f ca="1">IF(ISERROR(MATCH(X$1,INDIRECT("Table!A"&amp;$AM3):INDIRECT("Table!" &amp; $AP$65 &amp; $AM3),0)),"",INDIRECT(CONCATENATE("Table!",ADDRESS($AI3,MATCH(X$1,INDIRECT("Table!A" &amp; $AM3):INDIRECT("Table!" &amp; $AP$65 &amp; $AM3),0)))))</f>
        <v>0.43470710489196718</v>
      </c>
      <c r="Y3" s="596">
        <f ca="1">IF(ISERROR(MATCH(Y$1,INDIRECT("Table!A"&amp;$AM3):INDIRECT("Table!" &amp; $AP$65 &amp; $AM3),0)),"",INDIRECT(CONCATENATE("Table!",ADDRESS($AI3,MATCH(Y$1,INDIRECT("Table!A" &amp; $AM3):INDIRECT("Table!" &amp; $AP$65 &amp; $AM3),0)))))</f>
        <v>0.84196409857480436</v>
      </c>
      <c r="Z3" s="596">
        <f ca="1">IF(ISERROR(MATCH(Z$1,INDIRECT("Table!A"&amp;$AM3):INDIRECT("Table!" &amp; $AP$65 &amp; $AM3),0)),"",INDIRECT(CONCATENATE("Table!",ADDRESS($AI3,MATCH(Z$1,INDIRECT("Table!A" &amp; $AM3):INDIRECT("Table!" &amp; $AP$65 &amp; $AM3),0)))))</f>
        <v>0.62944816261846859</v>
      </c>
      <c r="AA3" s="596">
        <f ca="1">IF(ISERROR(MATCH(AA$1,INDIRECT("Table!A"&amp;$AM3):INDIRECT("Table!" &amp; $AP$65 &amp; $AM3),0)),"",INDIRECT(CONCATENATE("Table!",ADDRESS($AI3,MATCH(AA$1,INDIRECT("Table!A" &amp; $AM3):INDIRECT("Table!" &amp; $AP$65 &amp; $AM3),0)))))</f>
        <v>0.71979204138058595</v>
      </c>
      <c r="AB3" s="596">
        <f ca="1">IF(ISERROR(MATCH(AB$1,INDIRECT("Table!A"&amp;$AM3):INDIRECT("Table!" &amp; $AP$65 &amp; $AM3),0)),"",INDIRECT(CONCATENATE("Table!",ADDRESS($AI3,MATCH(AB$1,INDIRECT("Table!A" &amp; $AM3):INDIRECT("Table!" &amp; $AP$65 &amp; $AM3),0)))))</f>
        <v>0</v>
      </c>
      <c r="AC3" s="596">
        <f ca="1">IF(ISERROR(MATCH(AC$1,INDIRECT("Table!A"&amp;$AM3):INDIRECT("Table!" &amp; $AP$65 &amp; $AM3),0)),"",INDIRECT(CONCATENATE("Table!",ADDRESS($AI3,MATCH(AC$1,INDIRECT("Table!A" &amp; $AM3):INDIRECT("Table!" &amp; $AP$65 &amp; $AM3),0)))))</f>
        <v>0.61574162141319366</v>
      </c>
      <c r="AD3" s="596">
        <f ca="1">IF(ISERROR(MATCH(AD$1,INDIRECT("Table!A"&amp;$AM3):INDIRECT("Table!" &amp; $AP$65 &amp; $AM3),0)),"",INDIRECT(CONCATENATE("Table!",ADDRESS($AI3,MATCH(AD$1,INDIRECT("Table!A" &amp; $AM3):INDIRECT("Table!" &amp; $AP$65 &amp; $AM3),0)))))</f>
        <v>0.59768468236881844</v>
      </c>
      <c r="AE3" s="596">
        <f ca="1">IF(ISERROR(MATCH(AE$1,INDIRECT("Table!A"&amp;$AM3):INDIRECT("Table!" &amp; $AP$65 &amp; $AM3),0)),"",INDIRECT(CONCATENATE("Table!",ADDRESS($AI3,MATCH(AE$1,INDIRECT("Table!A" &amp; $AM3):INDIRECT("Table!" &amp; $AP$65 &amp; $AM3),0)))))</f>
        <v>0.33718273609566557</v>
      </c>
      <c r="AF3" s="596">
        <f ca="1">IF(ISERROR(MATCH(AF$1,INDIRECT("Table!A"&amp;$AM3):INDIRECT("Table!" &amp; $AP$65 &amp; $AM3),0)),"",INDIRECT(CONCATENATE("Table!",ADDRESS($AI3,MATCH(AF$1,INDIRECT("Table!A" &amp; $AM3):INDIRECT("Table!" &amp; $AP$65 &amp; $AM3),0)))))</f>
        <v>0.33718273609566557</v>
      </c>
      <c r="AG3" s="596">
        <f ca="1">IF(ISERROR(MATCH(AG$1,INDIRECT("Table!A"&amp;$AM3):INDIRECT("Table!" &amp; $AP$65 &amp; $AM3),0)),"",INDIRECT(CONCATENATE("Table!",ADDRESS($AI3,MATCH(AG$1,INDIRECT("Table!A" &amp; $AM3):INDIRECT("Table!" &amp; $AP$65 &amp; $AM3),0)))))</f>
        <v>0.62341582050705302</v>
      </c>
      <c r="AH3" s="596"/>
      <c r="AI3" s="595">
        <f>MATCH($A3,Table!$A:$A,0)+$AK$2-1</f>
        <v>12</v>
      </c>
      <c r="AJ3" s="697"/>
      <c r="AK3" s="697"/>
      <c r="AL3" s="697"/>
      <c r="AM3" s="595">
        <f>MATCH($A3,Table!$A:$A,0)+$AO$2-1</f>
        <v>3</v>
      </c>
      <c r="AN3" s="697"/>
      <c r="AO3" s="697"/>
      <c r="AP3" s="697" t="s">
        <v>302</v>
      </c>
    </row>
    <row r="4" spans="1:42" s="947" customFormat="1" ht="19.5" customHeight="1" x14ac:dyDescent="0.25">
      <c r="A4" s="592">
        <v>41970</v>
      </c>
      <c r="B4" s="596">
        <f ca="1">IF(ISERROR(MATCH(B$1,INDIRECT("Table!A"&amp;$AM4):INDIRECT("Table!" &amp; $AP$108 &amp; $AM4),0)),"",INDIRECT(CONCATENATE("Table!",ADDRESS($AI4,MATCH(B$1,INDIRECT("Table!A" &amp; $AM4):INDIRECT("Table!" &amp; $AP$108 &amp; $AM4),0)))))</f>
        <v>0.26836756814698437</v>
      </c>
      <c r="C4" s="596">
        <f ca="1">IF(ISERROR(MATCH(C$1,INDIRECT("Table!A"&amp;$AM4):INDIRECT("Table!" &amp; $AP$108 &amp; $AM4),0)),"",INDIRECT(CONCATENATE("Table!",ADDRESS($AI4,MATCH(C$1,INDIRECT("Table!A" &amp; $AM4):INDIRECT("Table!" &amp; $AP$108 &amp; $AM4),0)))))</f>
        <v>0.36938979528517429</v>
      </c>
      <c r="D4" s="596">
        <f ca="1">IF(ISERROR(MATCH(D$1,INDIRECT("Table!A"&amp;$AM4):INDIRECT("Table!" &amp; $AP$108 &amp; $AM4),0)),"",INDIRECT(CONCATENATE("Table!",ADDRESS($AI4,MATCH(D$1,INDIRECT("Table!A" &amp; $AM4):INDIRECT("Table!" &amp; $AP$108 &amp; $AM4),0)))))</f>
        <v>0.28269855770157065</v>
      </c>
      <c r="E4" s="596">
        <f ca="1">IF(ISERROR(MATCH(E$1,INDIRECT("Table!A"&amp;$AM4):INDIRECT("Table!" &amp; $AP$108 &amp; $AM4),0)),"",INDIRECT(CONCATENATE("Table!",ADDRESS($AI4,MATCH(E$1,INDIRECT("Table!A" &amp; $AM4):INDIRECT("Table!" &amp; $AP$108 &amp; $AM4),0)))))</f>
        <v>0.84978515792411813</v>
      </c>
      <c r="F4" s="596">
        <f ca="1">IF(ISERROR(MATCH(F$1,INDIRECT("Table!A"&amp;$AM4):INDIRECT("Table!" &amp; $AP$108 &amp; $AM4),0)),"",INDIRECT(CONCATENATE("Table!",ADDRESS($AI4,MATCH(F$1,INDIRECT("Table!A" &amp; $AM4):INDIRECT("Table!" &amp; $AP$108 &amp; $AM4),0)))))</f>
        <v>0.67875096597185058</v>
      </c>
      <c r="G4" s="596">
        <f ca="1">IF(ISERROR(MATCH(G$1,INDIRECT("Table!A"&amp;$AM4):INDIRECT("Table!" &amp; $AP$108 &amp; $AM4),0)),"",INDIRECT(CONCATENATE("Table!",ADDRESS($AI4,MATCH(G$1,INDIRECT("Table!A" &amp; $AM4):INDIRECT("Table!" &amp; $AP$108 &amp; $AM4),0)))))</f>
        <v>1.0744288366003003</v>
      </c>
      <c r="H4" s="596">
        <f ca="1">IF(ISERROR(MATCH(H$1,INDIRECT("Table!A"&amp;$AM4):INDIRECT("Table!" &amp; $AP$108 &amp; $AM4),0)),"",INDIRECT(CONCATENATE("Table!",ADDRESS($AI4,MATCH(H$1,INDIRECT("Table!A" &amp; $AM4):INDIRECT("Table!" &amp; $AP$108 &amp; $AM4),0)))))</f>
        <v>1.0875281595343522</v>
      </c>
      <c r="I4" s="596">
        <f ca="1">IF(ISERROR(MATCH(I$1,INDIRECT("Table!A"&amp;$AM4):INDIRECT("Table!" &amp; $AP$86 &amp; $AM4),0)),"",INDIRECT(CONCATENATE("Table!",ADDRESS($AI4,MATCH(I$1,INDIRECT("Table!A" &amp; $AM4):INDIRECT("Table!" &amp; $AP$86 &amp; $AM4),0)))))</f>
        <v>0.29823500403424896</v>
      </c>
      <c r="J4" s="596">
        <f ca="1">IF(ISERROR(MATCH(J$1,INDIRECT("Table!A"&amp;$AM4):INDIRECT("Table!" &amp; $AP$86 &amp; $AM4),0)),"",INDIRECT(CONCATENATE("Table!",ADDRESS($AI4,MATCH(J$1,INDIRECT("Table!A" &amp; $AM4):INDIRECT("Table!" &amp; $AP$86 &amp; $AM4),0)))))</f>
        <v>1.627408997961606</v>
      </c>
      <c r="K4" s="596">
        <f ca="1">IF(ISERROR(MATCH(K$1,INDIRECT("Table!A"&amp;$AM4):INDIRECT("Table!" &amp; $AP$86 &amp; $AM4),0)),"",INDIRECT(CONCATENATE("Table!",ADDRESS($AI4,MATCH(K$1,INDIRECT("Table!A" &amp; $AM4):INDIRECT("Table!" &amp; $AP$86 &amp; $AM4),0)))))</f>
        <v>0.97642897882458779</v>
      </c>
      <c r="L4" s="596">
        <f ca="1">IF(ISERROR(MATCH(L$1,INDIRECT("Table!A"&amp;$AM4):INDIRECT("Table!" &amp; $AP$108 &amp; $AM4),0)),"",INDIRECT(CONCATENATE("Table!",ADDRESS($AI4,MATCH(L$1,INDIRECT("Table!A" &amp; $AM4):INDIRECT("Table!" &amp; $AP$108 &amp; $AM4),0)))))</f>
        <v>0.65799373773177205</v>
      </c>
      <c r="M4" s="596">
        <f ca="1">IF(ISERROR(MATCH(M$1,INDIRECT("Table!A"&amp;$AM4):INDIRECT("Table!" &amp; $AP$108 &amp; $AM4),0)),"",INDIRECT(CONCATENATE("Table!",ADDRESS($AI4,MATCH(M$1,INDIRECT("Table!A" &amp; $AM4):INDIRECT("Table!" &amp; $AP$108 &amp; $AM4),0)))))</f>
        <v>1.0076170251510714</v>
      </c>
      <c r="N4" s="596">
        <f ca="1">IF(ISERROR(MATCH(N$1,INDIRECT("Table!A"&amp;$AM4):INDIRECT("Table!" &amp; $AP$108 &amp; $AM4),0)),"",INDIRECT(CONCATENATE("Table!",ADDRESS($AI4,MATCH(N$1,INDIRECT("Table!A" &amp; $AM4):INDIRECT("Table!" &amp; $AP$108 &amp; $AM4),0)))))</f>
        <v>1.412610044942846</v>
      </c>
      <c r="O4" s="596">
        <f ca="1">IF(ISERROR(MATCH(O$1,INDIRECT("Table!A"&amp;$AM4):INDIRECT("Table!" &amp; $AP$86 &amp; $AM4),0)),"",INDIRECT(CONCATENATE("Table!",ADDRESS($AI4,MATCH(O$1,INDIRECT("Table!A" &amp; $AM4):INDIRECT("Table!" &amp; $AP$86 &amp; $AM4),0)))))</f>
        <v>0.43652663741478664</v>
      </c>
      <c r="P4" s="596">
        <f ca="1">IF(ISERROR(MATCH(P$1,INDIRECT("Table!A"&amp;$AM4):INDIRECT("Table!" &amp; $AP$86 &amp; $AM4),0)),"",INDIRECT(CONCATENATE("Table!",ADDRESS($AI4,MATCH(P$1,INDIRECT("Table!A" &amp; $AM4):INDIRECT("Table!" &amp; $AP$86 &amp; $AM4),0)))))</f>
        <v>0.77837696353993546</v>
      </c>
      <c r="Q4" s="596">
        <f ca="1">IF(ISERROR(MATCH(Q$1,INDIRECT("Table!A"&amp;$AM4):INDIRECT("Table!" &amp; $AP$86 &amp; $AM4),0)),"",INDIRECT(CONCATENATE("Table!",ADDRESS($AI4,MATCH(Q$1,INDIRECT("Table!A" &amp; $AM4):INDIRECT("Table!" &amp; $AP$86 &amp; $AM4),0)))))</f>
        <v>0.81469145415205857</v>
      </c>
      <c r="R4" s="596">
        <f ca="1">IF(ISERROR(MATCH(R$1,INDIRECT("Table!A"&amp;$AM4):INDIRECT("Table!" &amp; $AP$86 &amp; $AM4),0)),"",INDIRECT(CONCATENATE("Table!",ADDRESS($AI4,MATCH(R$1,INDIRECT("Table!A" &amp; $AM4):INDIRECT("Table!" &amp; $AP$86 &amp; $AM4),0)))))</f>
        <v>1.1006373277710186</v>
      </c>
      <c r="S4" s="596" t="str">
        <f ca="1">IF(ISERROR(MATCH(S$1,INDIRECT("Table!A"&amp;$AM4):INDIRECT("Table!" &amp; $AP$65 &amp; $AM4),0)),"",INDIRECT(CONCATENATE("Table!",ADDRESS($AI4,MATCH(S$1,INDIRECT("Table!A" &amp; $AM4):INDIRECT("Table!" &amp; $AP$65 &amp; $AM4),0)))))</f>
        <v/>
      </c>
      <c r="T4" s="596">
        <f ca="1">IF(ISERROR(MATCH(T$1,INDIRECT("Table!A"&amp;$AM4):INDIRECT("Table!" &amp; $AP$65 &amp; $AM4),0)),"",INDIRECT(CONCATENATE("Table!",ADDRESS($AI4,MATCH(T$1,INDIRECT("Table!A" &amp; $AM4):INDIRECT("Table!" &amp; $AP$65 &amp; $AM4),0)))))</f>
        <v>1.2950637494144845</v>
      </c>
      <c r="U4" s="596">
        <f ca="1">IF(ISERROR(MATCH(U$1,INDIRECT("Table!A"&amp;$AM4):INDIRECT("Table!" &amp; $AP$65 &amp; $AM4),0)),"",INDIRECT(CONCATENATE("Table!",ADDRESS($AI4,MATCH(U$1,INDIRECT("Table!A" &amp; $AM4):INDIRECT("Table!" &amp; $AP$65 &amp; $AM4),0)))))</f>
        <v>0.62916361127827269</v>
      </c>
      <c r="V4" s="596">
        <f ca="1">IF(ISERROR(MATCH(V$1,INDIRECT("Table!A"&amp;$AM4):INDIRECT("Table!" &amp; $AP$65 &amp; $AM4),0)),"",INDIRECT(CONCATENATE("Table!",ADDRESS($AI4,MATCH(V$1,INDIRECT("Table!A" &amp; $AM4):INDIRECT("Table!" &amp; $AP$65 &amp; $AM4),0)))))</f>
        <v>0.40074812705701529</v>
      </c>
      <c r="W4" s="596">
        <f ca="1">IF(ISERROR(MATCH(W$1,INDIRECT("Table!A"&amp;$AM4):INDIRECT("Table!" &amp; $AP$65 &amp; $AM4),0)),"",INDIRECT(CONCATENATE("Table!",ADDRESS($AI4,MATCH(W$1,INDIRECT("Table!A" &amp; $AM4):INDIRECT("Table!" &amp; $AP$65 &amp; $AM4),0)))))</f>
        <v>0.68558048465456245</v>
      </c>
      <c r="X4" s="596">
        <f ca="1">IF(ISERROR(MATCH(X$1,INDIRECT("Table!A"&amp;$AM4):INDIRECT("Table!" &amp; $AP$65 &amp; $AM4),0)),"",INDIRECT(CONCATENATE("Table!",ADDRESS($AI4,MATCH(X$1,INDIRECT("Table!A" &amp; $AM4):INDIRECT("Table!" &amp; $AP$65 &amp; $AM4),0)))))</f>
        <v>0.43470710489196718</v>
      </c>
      <c r="Y4" s="596">
        <f ca="1">IF(ISERROR(MATCH(Y$1,INDIRECT("Table!A"&amp;$AM4):INDIRECT("Table!" &amp; $AP$65 &amp; $AM4),0)),"",INDIRECT(CONCATENATE("Table!",ADDRESS($AI4,MATCH(Y$1,INDIRECT("Table!A" &amp; $AM4):INDIRECT("Table!" &amp; $AP$65 &amp; $AM4),0)))))</f>
        <v>0.84196409857480436</v>
      </c>
      <c r="Z4" s="596">
        <f ca="1">IF(ISERROR(MATCH(Z$1,INDIRECT("Table!A"&amp;$AM4):INDIRECT("Table!" &amp; $AP$65 &amp; $AM4),0)),"",INDIRECT(CONCATENATE("Table!",ADDRESS($AI4,MATCH(Z$1,INDIRECT("Table!A" &amp; $AM4):INDIRECT("Table!" &amp; $AP$65 &amp; $AM4),0)))))</f>
        <v>0.62944816261846859</v>
      </c>
      <c r="AA4" s="596">
        <f ca="1">IF(ISERROR(MATCH(AA$1,INDIRECT("Table!A"&amp;$AM4):INDIRECT("Table!" &amp; $AP$65 &amp; $AM4),0)),"",INDIRECT(CONCATENATE("Table!",ADDRESS($AI4,MATCH(AA$1,INDIRECT("Table!A" &amp; $AM4):INDIRECT("Table!" &amp; $AP$65 &amp; $AM4),0)))))</f>
        <v>0.71517601717335688</v>
      </c>
      <c r="AB4" s="596">
        <f ca="1">IF(ISERROR(MATCH(AB$1,INDIRECT("Table!A"&amp;$AM4):INDIRECT("Table!" &amp; $AP$65 &amp; $AM4),0)),"",INDIRECT(CONCATENATE("Table!",ADDRESS($AI4,MATCH(AB$1,INDIRECT("Table!A" &amp; $AM4):INDIRECT("Table!" &amp; $AP$65 &amp; $AM4),0)))))</f>
        <v>0</v>
      </c>
      <c r="AC4" s="596">
        <f ca="1">IF(ISERROR(MATCH(AC$1,INDIRECT("Table!A"&amp;$AM4):INDIRECT("Table!" &amp; $AP$65 &amp; $AM4),0)),"",INDIRECT(CONCATENATE("Table!",ADDRESS($AI4,MATCH(AC$1,INDIRECT("Table!A" &amp; $AM4):INDIRECT("Table!" &amp; $AP$65 &amp; $AM4),0)))))</f>
        <v>0.60430556001842273</v>
      </c>
      <c r="AD4" s="596">
        <f ca="1">IF(ISERROR(MATCH(AD$1,INDIRECT("Table!A"&amp;$AM4):INDIRECT("Table!" &amp; $AP$65 &amp; $AM4),0)),"",INDIRECT(CONCATENATE("Table!",ADDRESS($AI4,MATCH(AD$1,INDIRECT("Table!A" &amp; $AM4):INDIRECT("Table!" &amp; $AP$65 &amp; $AM4),0)))))</f>
        <v>0.58850573835459441</v>
      </c>
      <c r="AE4" s="596">
        <f ca="1">IF(ISERROR(MATCH(AE$1,INDIRECT("Table!A"&amp;$AM4):INDIRECT("Table!" &amp; $AP$65 &amp; $AM4),0)),"",INDIRECT(CONCATENATE("Table!",ADDRESS($AI4,MATCH(AE$1,INDIRECT("Table!A" &amp; $AM4):INDIRECT("Table!" &amp; $AP$65 &amp; $AM4),0)))))</f>
        <v>0.31149467873626469</v>
      </c>
      <c r="AF4" s="596">
        <f ca="1">IF(ISERROR(MATCH(AF$1,INDIRECT("Table!A"&amp;$AM4):INDIRECT("Table!" &amp; $AP$65 &amp; $AM4),0)),"",INDIRECT(CONCATENATE("Table!",ADDRESS($AI4,MATCH(AF$1,INDIRECT("Table!A" &amp; $AM4):INDIRECT("Table!" &amp; $AP$65 &amp; $AM4),0)))))</f>
        <v>0.31149467873626469</v>
      </c>
      <c r="AG4" s="596">
        <f ca="1">IF(ISERROR(MATCH(AG$1,INDIRECT("Table!A"&amp;$AM4):INDIRECT("Table!" &amp; $AP$65 &amp; $AM4),0)),"",INDIRECT(CONCATENATE("Table!",ADDRESS($AI4,MATCH(AG$1,INDIRECT("Table!A" &amp; $AM4):INDIRECT("Table!" &amp; $AP$65 &amp; $AM4),0)))))</f>
        <v>0.62341582050705302</v>
      </c>
      <c r="AH4" s="596"/>
      <c r="AI4" s="595">
        <f>MATCH($A4,Table!$A:$A,0)+$AK$2-1</f>
        <v>26</v>
      </c>
      <c r="AJ4" s="1039"/>
      <c r="AK4" s="1039"/>
      <c r="AL4" s="1039"/>
      <c r="AM4" s="595">
        <f>MATCH($A4,Table!$A:$A,0)+$AO$2-1</f>
        <v>17</v>
      </c>
      <c r="AN4" s="1039"/>
      <c r="AO4" s="1039"/>
      <c r="AP4" s="1039" t="s">
        <v>302</v>
      </c>
    </row>
    <row r="5" spans="1:42" s="947" customFormat="1" ht="19.5" customHeight="1" x14ac:dyDescent="0.25">
      <c r="A5" s="592">
        <v>41963</v>
      </c>
      <c r="B5" s="596">
        <f ca="1">IF(ISERROR(MATCH(B$1,INDIRECT("Table!A"&amp;$AM5):INDIRECT("Table!" &amp; $AP$108 &amp; $AM5),0)),"",INDIRECT(CONCATENATE("Table!",ADDRESS($AI5,MATCH(B$1,INDIRECT("Table!A" &amp; $AM5):INDIRECT("Table!" &amp; $AP$108 &amp; $AM5),0)))))</f>
        <v>0.26836756814698437</v>
      </c>
      <c r="C5" s="596">
        <f ca="1">IF(ISERROR(MATCH(C$1,INDIRECT("Table!A"&amp;$AM5):INDIRECT("Table!" &amp; $AP$108 &amp; $AM5),0)),"",INDIRECT(CONCATENATE("Table!",ADDRESS($AI5,MATCH(C$1,INDIRECT("Table!A" &amp; $AM5):INDIRECT("Table!" &amp; $AP$108 &amp; $AM5),0)))))</f>
        <v>0.38350232233366793</v>
      </c>
      <c r="D5" s="596">
        <f ca="1">IF(ISERROR(MATCH(D$1,INDIRECT("Table!A"&amp;$AM5):INDIRECT("Table!" &amp; $AP$108 &amp; $AM5),0)),"",INDIRECT(CONCATENATE("Table!",ADDRESS($AI5,MATCH(D$1,INDIRECT("Table!A" &amp; $AM5):INDIRECT("Table!" &amp; $AP$108 &amp; $AM5),0)))))</f>
        <v>0.2849386413600617</v>
      </c>
      <c r="E5" s="596">
        <f ca="1">IF(ISERROR(MATCH(E$1,INDIRECT("Table!A"&amp;$AM5):INDIRECT("Table!" &amp; $AP$108 &amp; $AM5),0)),"",INDIRECT(CONCATENATE("Table!",ADDRESS($AI5,MATCH(E$1,INDIRECT("Table!A" &amp; $AM5):INDIRECT("Table!" &amp; $AP$108 &amp; $AM5),0)))))</f>
        <v>0.84997041738736734</v>
      </c>
      <c r="F5" s="596">
        <f ca="1">IF(ISERROR(MATCH(F$1,INDIRECT("Table!A"&amp;$AM5):INDIRECT("Table!" &amp; $AP$108 &amp; $AM5),0)),"",INDIRECT(CONCATENATE("Table!",ADDRESS($AI5,MATCH(F$1,INDIRECT("Table!A" &amp; $AM5):INDIRECT("Table!" &amp; $AP$108 &amp; $AM5),0)))))</f>
        <v>0.67875096597185058</v>
      </c>
      <c r="G5" s="596">
        <f ca="1">IF(ISERROR(MATCH(G$1,INDIRECT("Table!A"&amp;$AM5):INDIRECT("Table!" &amp; $AP$108 &amp; $AM5),0)),"",INDIRECT(CONCATENATE("Table!",ADDRESS($AI5,MATCH(G$1,INDIRECT("Table!A" &amp; $AM5):INDIRECT("Table!" &amp; $AP$108 &amp; $AM5),0)))))</f>
        <v>1.0744288366003003</v>
      </c>
      <c r="H5" s="596">
        <f ca="1">IF(ISERROR(MATCH(H$1,INDIRECT("Table!A"&amp;$AM5):INDIRECT("Table!" &amp; $AP$108 &amp; $AM5),0)),"",INDIRECT(CONCATENATE("Table!",ADDRESS($AI5,MATCH(H$1,INDIRECT("Table!A" &amp; $AM5):INDIRECT("Table!" &amp; $AP$108 &amp; $AM5),0)))))</f>
        <v>1.0875281595343522</v>
      </c>
      <c r="I5" s="596">
        <f ca="1">IF(ISERROR(MATCH(I$1,INDIRECT("Table!A"&amp;$AM5):INDIRECT("Table!" &amp; $AP$86 &amp; $AM5),0)),"",INDIRECT(CONCATENATE("Table!",ADDRESS($AI5,MATCH(I$1,INDIRECT("Table!A" &amp; $AM5):INDIRECT("Table!" &amp; $AP$86 &amp; $AM5),0)))))</f>
        <v>0.28239951709437733</v>
      </c>
      <c r="J5" s="596">
        <f ca="1">IF(ISERROR(MATCH(J$1,INDIRECT("Table!A"&amp;$AM5):INDIRECT("Table!" &amp; $AP$86 &amp; $AM5),0)),"",INDIRECT(CONCATENATE("Table!",ADDRESS($AI5,MATCH(J$1,INDIRECT("Table!A" &amp; $AM5):INDIRECT("Table!" &amp; $AP$86 &amp; $AM5),0)))))</f>
        <v>1.6564990017674681</v>
      </c>
      <c r="K5" s="596">
        <f ca="1">IF(ISERROR(MATCH(K$1,INDIRECT("Table!A"&amp;$AM5):INDIRECT("Table!" &amp; $AP$86 &amp; $AM5),0)),"",INDIRECT(CONCATENATE("Table!",ADDRESS($AI5,MATCH(K$1,INDIRECT("Table!A" &amp; $AM5):INDIRECT("Table!" &amp; $AP$86 &amp; $AM5),0)))))</f>
        <v>0.97642897882458779</v>
      </c>
      <c r="L5" s="596">
        <f ca="1">IF(ISERROR(MATCH(L$1,INDIRECT("Table!A"&amp;$AM5):INDIRECT("Table!" &amp; $AP$108 &amp; $AM5),0)),"",INDIRECT(CONCATENATE("Table!",ADDRESS($AI5,MATCH(L$1,INDIRECT("Table!A" &amp; $AM5):INDIRECT("Table!" &amp; $AP$108 &amp; $AM5),0)))))</f>
        <v>0.65799373773177205</v>
      </c>
      <c r="M5" s="596">
        <f ca="1">IF(ISERROR(MATCH(M$1,INDIRECT("Table!A"&amp;$AM5):INDIRECT("Table!" &amp; $AP$108 &amp; $AM5),0)),"",INDIRECT(CONCATENATE("Table!",ADDRESS($AI5,MATCH(M$1,INDIRECT("Table!A" &amp; $AM5):INDIRECT("Table!" &amp; $AP$108 &amp; $AM5),0)))))</f>
        <v>1.0076170251510714</v>
      </c>
      <c r="N5" s="596">
        <f ca="1">IF(ISERROR(MATCH(N$1,INDIRECT("Table!A"&amp;$AM5):INDIRECT("Table!" &amp; $AP$108 &amp; $AM5),0)),"",INDIRECT(CONCATENATE("Table!",ADDRESS($AI5,MATCH(N$1,INDIRECT("Table!A" &amp; $AM5):INDIRECT("Table!" &amp; $AP$108 &amp; $AM5),0)))))</f>
        <v>1.412610044942846</v>
      </c>
      <c r="O5" s="596">
        <f ca="1">IF(ISERROR(MATCH(O$1,INDIRECT("Table!A"&amp;$AM5):INDIRECT("Table!" &amp; $AP$86 &amp; $AM5),0)),"",INDIRECT(CONCATENATE("Table!",ADDRESS($AI5,MATCH(O$1,INDIRECT("Table!A" &amp; $AM5):INDIRECT("Table!" &amp; $AP$86 &amp; $AM5),0)))))</f>
        <v>0.43848032306475482</v>
      </c>
      <c r="P5" s="596">
        <f ca="1">IF(ISERROR(MATCH(P$1,INDIRECT("Table!A"&amp;$AM5):INDIRECT("Table!" &amp; $AP$86 &amp; $AM5),0)),"",INDIRECT(CONCATENATE("Table!",ADDRESS($AI5,MATCH(P$1,INDIRECT("Table!A" &amp; $AM5):INDIRECT("Table!" &amp; $AP$86 &amp; $AM5),0)))))</f>
        <v>0.74670591338025105</v>
      </c>
      <c r="Q5" s="596">
        <f ca="1">IF(ISERROR(MATCH(Q$1,INDIRECT("Table!A"&amp;$AM5):INDIRECT("Table!" &amp; $AP$86 &amp; $AM5),0)),"",INDIRECT(CONCATENATE("Table!",ADDRESS($AI5,MATCH(Q$1,INDIRECT("Table!A" &amp; $AM5):INDIRECT("Table!" &amp; $AP$86 &amp; $AM5),0)))))</f>
        <v>0.81293186137851203</v>
      </c>
      <c r="R5" s="596">
        <f ca="1">IF(ISERROR(MATCH(R$1,INDIRECT("Table!A"&amp;$AM5):INDIRECT("Table!" &amp; $AP$86 &amp; $AM5),0)),"",INDIRECT(CONCATENATE("Table!",ADDRESS($AI5,MATCH(R$1,INDIRECT("Table!A" &amp; $AM5):INDIRECT("Table!" &amp; $AP$86 &amp; $AM5),0)))))</f>
        <v>1.1164488661167131</v>
      </c>
      <c r="S5" s="596">
        <f ca="1">IF(ISERROR(MATCH(S$1,INDIRECT("Table!A"&amp;$AM5):INDIRECT("Table!" &amp; $AP$65 &amp; $AM5),0)),"",INDIRECT(CONCATENATE("Table!",ADDRESS($AI5,MATCH(S$1,INDIRECT("Table!A" &amp; $AM5):INDIRECT("Table!" &amp; $AP$65 &amp; $AM5),0)))))</f>
        <v>1.0257868986683678</v>
      </c>
      <c r="T5" s="596">
        <f ca="1">IF(ISERROR(MATCH(T$1,INDIRECT("Table!A"&amp;$AM5):INDIRECT("Table!" &amp; $AP$65 &amp; $AM5),0)),"",INDIRECT(CONCATENATE("Table!",ADDRESS($AI5,MATCH(T$1,INDIRECT("Table!A" &amp; $AM5):INDIRECT("Table!" &amp; $AP$65 &amp; $AM5),0)))))</f>
        <v>1.2950637494144845</v>
      </c>
      <c r="U5" s="596">
        <f ca="1">IF(ISERROR(MATCH(U$1,INDIRECT("Table!A"&amp;$AM5):INDIRECT("Table!" &amp; $AP$65 &amp; $AM5),0)),"",INDIRECT(CONCATENATE("Table!",ADDRESS($AI5,MATCH(U$1,INDIRECT("Table!A" &amp; $AM5):INDIRECT("Table!" &amp; $AP$65 &amp; $AM5),0)))))</f>
        <v>0.62916361127827269</v>
      </c>
      <c r="V5" s="596">
        <f ca="1">IF(ISERROR(MATCH(V$1,INDIRECT("Table!A"&amp;$AM5):INDIRECT("Table!" &amp; $AP$65 &amp; $AM5),0)),"",INDIRECT(CONCATENATE("Table!",ADDRESS($AI5,MATCH(V$1,INDIRECT("Table!A" &amp; $AM5):INDIRECT("Table!" &amp; $AP$65 &amp; $AM5),0)))))</f>
        <v>0.40074812705701529</v>
      </c>
      <c r="W5" s="596">
        <f ca="1">IF(ISERROR(MATCH(W$1,INDIRECT("Table!A"&amp;$AM5):INDIRECT("Table!" &amp; $AP$65 &amp; $AM5),0)),"",INDIRECT(CONCATENATE("Table!",ADDRESS($AI5,MATCH(W$1,INDIRECT("Table!A" &amp; $AM5):INDIRECT("Table!" &amp; $AP$65 &amp; $AM5),0)))))</f>
        <v>0.84394363799151628</v>
      </c>
      <c r="X5" s="596">
        <f ca="1">IF(ISERROR(MATCH(X$1,INDIRECT("Table!A"&amp;$AM5):INDIRECT("Table!" &amp; $AP$65 &amp; $AM5),0)),"",INDIRECT(CONCATENATE("Table!",ADDRESS($AI5,MATCH(X$1,INDIRECT("Table!A" &amp; $AM5):INDIRECT("Table!" &amp; $AP$65 &amp; $AM5),0)))))</f>
        <v>0.59114372316482611</v>
      </c>
      <c r="Y5" s="596">
        <f ca="1">IF(ISERROR(MATCH(Y$1,INDIRECT("Table!A"&amp;$AM5):INDIRECT("Table!" &amp; $AP$65 &amp; $AM5),0)),"",INDIRECT(CONCATENATE("Table!",ADDRESS($AI5,MATCH(Y$1,INDIRECT("Table!A" &amp; $AM5):INDIRECT("Table!" &amp; $AP$65 &amp; $AM5),0)))))</f>
        <v>0.860439799797449</v>
      </c>
      <c r="Z5" s="596">
        <f ca="1">IF(ISERROR(MATCH(Z$1,INDIRECT("Table!A"&amp;$AM5):INDIRECT("Table!" &amp; $AP$65 &amp; $AM5),0)),"",INDIRECT(CONCATENATE("Table!",ADDRESS($AI5,MATCH(Z$1,INDIRECT("Table!A" &amp; $AM5):INDIRECT("Table!" &amp; $AP$65 &amp; $AM5),0)))))</f>
        <v>0.64747378118488852</v>
      </c>
      <c r="AA5" s="596">
        <f ca="1">IF(ISERROR(MATCH(AA$1,INDIRECT("Table!A"&amp;$AM5):INDIRECT("Table!" &amp; $AP$65 &amp; $AM5),0)),"",INDIRECT(CONCATENATE("Table!",ADDRESS($AI5,MATCH(AA$1,INDIRECT("Table!A" &amp; $AM5):INDIRECT("Table!" &amp; $AP$65 &amp; $AM5),0)))))</f>
        <v>0.74543662030963631</v>
      </c>
      <c r="AB5" s="596">
        <f ca="1">IF(ISERROR(MATCH(AB$1,INDIRECT("Table!A"&amp;$AM5):INDIRECT("Table!" &amp; $AP$65 &amp; $AM5),0)),"",INDIRECT(CONCATENATE("Table!",ADDRESS($AI5,MATCH(AB$1,INDIRECT("Table!A" &amp; $AM5):INDIRECT("Table!" &amp; $AP$65 &amp; $AM5),0)))))</f>
        <v>0</v>
      </c>
      <c r="AC5" s="596">
        <f ca="1">IF(ISERROR(MATCH(AC$1,INDIRECT("Table!A"&amp;$AM5):INDIRECT("Table!" &amp; $AP$65 &amp; $AM5),0)),"",INDIRECT(CONCATENATE("Table!",ADDRESS($AI5,MATCH(AC$1,INDIRECT("Table!A" &amp; $AM5):INDIRECT("Table!" &amp; $AP$65 &amp; $AM5),0)))))</f>
        <v>0.56142032978803158</v>
      </c>
      <c r="AD5" s="596">
        <f ca="1">IF(ISERROR(MATCH(AD$1,INDIRECT("Table!A"&amp;$AM5):INDIRECT("Table!" &amp; $AP$65 &amp; $AM5),0)),"",INDIRECT(CONCATENATE("Table!",ADDRESS($AI5,MATCH(AD$1,INDIRECT("Table!A" &amp; $AM5):INDIRECT("Table!" &amp; $AP$65 &amp; $AM5),0)))))</f>
        <v>0.57812299840407866</v>
      </c>
      <c r="AE5" s="596">
        <f ca="1">IF(ISERROR(MATCH(AE$1,INDIRECT("Table!A"&amp;$AM5):INDIRECT("Table!" &amp; $AP$65 &amp; $AM5),0)),"",INDIRECT(CONCATENATE("Table!",ADDRESS($AI5,MATCH(AE$1,INDIRECT("Table!A" &amp; $AM5):INDIRECT("Table!" &amp; $AP$65 &amp; $AM5),0)))))</f>
        <v>0.28990807591323869</v>
      </c>
      <c r="AF5" s="596">
        <f ca="1">IF(ISERROR(MATCH(AF$1,INDIRECT("Table!A"&amp;$AM5):INDIRECT("Table!" &amp; $AP$65 &amp; $AM5),0)),"",INDIRECT(CONCATENATE("Table!",ADDRESS($AI5,MATCH(AF$1,INDIRECT("Table!A" &amp; $AM5):INDIRECT("Table!" &amp; $AP$65 &amp; $AM5),0)))))</f>
        <v>0.28990807591323869</v>
      </c>
      <c r="AG5" s="596">
        <f ca="1">IF(ISERROR(MATCH(AG$1,INDIRECT("Table!A"&amp;$AM5):INDIRECT("Table!" &amp; $AP$65 &amp; $AM5),0)),"",INDIRECT(CONCATENATE("Table!",ADDRESS($AI5,MATCH(AG$1,INDIRECT("Table!A" &amp; $AM5):INDIRECT("Table!" &amp; $AP$65 &amp; $AM5),0)))))</f>
        <v>0.62341582050705302</v>
      </c>
      <c r="AH5" s="596"/>
      <c r="AI5" s="595">
        <f>MATCH($A5,Table!$A:$A,0)+$AK$2-1</f>
        <v>40</v>
      </c>
      <c r="AJ5" s="1039"/>
      <c r="AK5" s="1039"/>
      <c r="AL5" s="1039"/>
      <c r="AM5" s="595">
        <f>MATCH($A5,Table!$A:$A,0)+$AO$2-1</f>
        <v>31</v>
      </c>
      <c r="AN5" s="1039"/>
      <c r="AO5" s="1039"/>
      <c r="AP5" s="1039" t="s">
        <v>302</v>
      </c>
    </row>
    <row r="6" spans="1:42" s="947" customFormat="1" ht="19.5" customHeight="1" x14ac:dyDescent="0.25">
      <c r="A6" s="592">
        <v>41956</v>
      </c>
      <c r="B6" s="596">
        <f ca="1">IF(ISERROR(MATCH(B$1,INDIRECT("Table!A"&amp;$AM6):INDIRECT("Table!" &amp; $AP$108 &amp; $AM6),0)),"",INDIRECT(CONCATENATE("Table!",ADDRESS($AI6,MATCH(B$1,INDIRECT("Table!A" &amp; $AM6):INDIRECT("Table!" &amp; $AP$108 &amp; $AM6),0)))))</f>
        <v>0.26971614889144158</v>
      </c>
      <c r="C6" s="596">
        <f ca="1">IF(ISERROR(MATCH(C$1,INDIRECT("Table!A"&amp;$AM6):INDIRECT("Table!" &amp; $AP$108 &amp; $AM6),0)),"",INDIRECT(CONCATENATE("Table!",ADDRESS($AI6,MATCH(C$1,INDIRECT("Table!A" &amp; $AM6):INDIRECT("Table!" &amp; $AP$108 &amp; $AM6),0)))))</f>
        <v>0.38999856494329199</v>
      </c>
      <c r="D6" s="596">
        <f ca="1">IF(ISERROR(MATCH(D$1,INDIRECT("Table!A"&amp;$AM6):INDIRECT("Table!" &amp; $AP$108 &amp; $AM6),0)),"",INDIRECT(CONCATENATE("Table!",ADDRESS($AI6,MATCH(D$1,INDIRECT("Table!A" &amp; $AM6):INDIRECT("Table!" &amp; $AP$108 &amp; $AM6),0)))))</f>
        <v>0.31786787113988008</v>
      </c>
      <c r="E6" s="596">
        <f ca="1">IF(ISERROR(MATCH(E$1,INDIRECT("Table!A"&amp;$AM6):INDIRECT("Table!" &amp; $AP$108 &amp; $AM6),0)),"",INDIRECT(CONCATENATE("Table!",ADDRESS($AI6,MATCH(E$1,INDIRECT("Table!A" &amp; $AM6):INDIRECT("Table!" &amp; $AP$108 &amp; $AM6),0)))))</f>
        <v>0.84997041738736734</v>
      </c>
      <c r="F6" s="596">
        <f ca="1">IF(ISERROR(MATCH(F$1,INDIRECT("Table!A"&amp;$AM6):INDIRECT("Table!" &amp; $AP$108 &amp; $AM6),0)),"",INDIRECT(CONCATENATE("Table!",ADDRESS($AI6,MATCH(F$1,INDIRECT("Table!A" &amp; $AM6):INDIRECT("Table!" &amp; $AP$108 &amp; $AM6),0)))))</f>
        <v>0.67875096597185058</v>
      </c>
      <c r="G6" s="596">
        <f ca="1">IF(ISERROR(MATCH(G$1,INDIRECT("Table!A"&amp;$AM6):INDIRECT("Table!" &amp; $AP$108 &amp; $AM6),0)),"",INDIRECT(CONCATENATE("Table!",ADDRESS($AI6,MATCH(G$1,INDIRECT("Table!A" &amp; $AM6):INDIRECT("Table!" &amp; $AP$108 &amp; $AM6),0)))))</f>
        <v>1.0744288366003003</v>
      </c>
      <c r="H6" s="596">
        <f ca="1">IF(ISERROR(MATCH(H$1,INDIRECT("Table!A"&amp;$AM6):INDIRECT("Table!" &amp; $AP$108 &amp; $AM6),0)),"",INDIRECT(CONCATENATE("Table!",ADDRESS($AI6,MATCH(H$1,INDIRECT("Table!A" &amp; $AM6):INDIRECT("Table!" &amp; $AP$108 &amp; $AM6),0)))))</f>
        <v>1.0947822684045112</v>
      </c>
      <c r="I6" s="596">
        <f ca="1">IF(ISERROR(MATCH(I$1,INDIRECT("Table!A"&amp;$AM6):INDIRECT("Table!" &amp; $AP$86 &amp; $AM6),0)),"",INDIRECT(CONCATENATE("Table!",ADDRESS($AI6,MATCH(I$1,INDIRECT("Table!A" &amp; $AM6):INDIRECT("Table!" &amp; $AP$86 &amp; $AM6),0)))))</f>
        <v>0.28239951709437733</v>
      </c>
      <c r="J6" s="596">
        <f ca="1">IF(ISERROR(MATCH(J$1,INDIRECT("Table!A"&amp;$AM6):INDIRECT("Table!" &amp; $AP$86 &amp; $AM6),0)),"",INDIRECT(CONCATENATE("Table!",ADDRESS($AI6,MATCH(J$1,INDIRECT("Table!A" &amp; $AM6):INDIRECT("Table!" &amp; $AP$86 &amp; $AM6),0)))))</f>
        <v>1.6564990017674681</v>
      </c>
      <c r="K6" s="596">
        <f ca="1">IF(ISERROR(MATCH(K$1,INDIRECT("Table!A"&amp;$AM6):INDIRECT("Table!" &amp; $AP$86 &amp; $AM6),0)),"",INDIRECT(CONCATENATE("Table!",ADDRESS($AI6,MATCH(K$1,INDIRECT("Table!A" &amp; $AM6):INDIRECT("Table!" &amp; $AP$86 &amp; $AM6),0)))))</f>
        <v>0.97642897882458779</v>
      </c>
      <c r="L6" s="596">
        <f ca="1">IF(ISERROR(MATCH(L$1,INDIRECT("Table!A"&amp;$AM6):INDIRECT("Table!" &amp; $AP$108 &amp; $AM6),0)),"",INDIRECT(CONCATENATE("Table!",ADDRESS($AI6,MATCH(L$1,INDIRECT("Table!A" &amp; $AM6):INDIRECT("Table!" &amp; $AP$108 &amp; $AM6),0)))))</f>
        <v>0.65799373773177205</v>
      </c>
      <c r="M6" s="596">
        <f ca="1">IF(ISERROR(MATCH(M$1,INDIRECT("Table!A"&amp;$AM6):INDIRECT("Table!" &amp; $AP$108 &amp; $AM6),0)),"",INDIRECT(CONCATENATE("Table!",ADDRESS($AI6,MATCH(M$1,INDIRECT("Table!A" &amp; $AM6):INDIRECT("Table!" &amp; $AP$108 &amp; $AM6),0)))))</f>
        <v>1.0076170251510714</v>
      </c>
      <c r="N6" s="596">
        <f ca="1">IF(ISERROR(MATCH(N$1,INDIRECT("Table!A"&amp;$AM6):INDIRECT("Table!" &amp; $AP$108 &amp; $AM6),0)),"",INDIRECT(CONCATENATE("Table!",ADDRESS($AI6,MATCH(N$1,INDIRECT("Table!A" &amp; $AM6):INDIRECT("Table!" &amp; $AP$108 &amp; $AM6),0)))))</f>
        <v>1.412610044942846</v>
      </c>
      <c r="O6" s="596">
        <f ca="1">IF(ISERROR(MATCH(O$1,INDIRECT("Table!A"&amp;$AM6):INDIRECT("Table!" &amp; $AP$86 &amp; $AM6),0)),"",INDIRECT(CONCATENATE("Table!",ADDRESS($AI6,MATCH(O$1,INDIRECT("Table!A" &amp; $AM6):INDIRECT("Table!" &amp; $AP$86 &amp; $AM6),0)))))</f>
        <v>0.44299822113030651</v>
      </c>
      <c r="P6" s="596">
        <f ca="1">IF(ISERROR(MATCH(P$1,INDIRECT("Table!A"&amp;$AM6):INDIRECT("Table!" &amp; $AP$86 &amp; $AM6),0)),"",INDIRECT(CONCATENATE("Table!",ADDRESS($AI6,MATCH(P$1,INDIRECT("Table!A" &amp; $AM6):INDIRECT("Table!" &amp; $AP$86 &amp; $AM6),0)))))</f>
        <v>0.74670591338025105</v>
      </c>
      <c r="Q6" s="596">
        <f ca="1">IF(ISERROR(MATCH(Q$1,INDIRECT("Table!A"&amp;$AM6):INDIRECT("Table!" &amp; $AP$86 &amp; $AM6),0)),"",INDIRECT(CONCATENATE("Table!",ADDRESS($AI6,MATCH(Q$1,INDIRECT("Table!A" &amp; $AM6):INDIRECT("Table!" &amp; $AP$86 &amp; $AM6),0)))))</f>
        <v>0.81293186137851203</v>
      </c>
      <c r="R6" s="596">
        <f ca="1">IF(ISERROR(MATCH(R$1,INDIRECT("Table!A"&amp;$AM6):INDIRECT("Table!" &amp; $AP$86 &amp; $AM6),0)),"",INDIRECT(CONCATENATE("Table!",ADDRESS($AI6,MATCH(R$1,INDIRECT("Table!A" &amp; $AM6):INDIRECT("Table!" &amp; $AP$86 &amp; $AM6),0)))))</f>
        <v>1.1164488661167131</v>
      </c>
      <c r="S6" s="596">
        <f ca="1">IF(ISERROR(MATCH(S$1,INDIRECT("Table!A"&amp;$AM6):INDIRECT("Table!" &amp; $AP$65 &amp; $AM6),0)),"",INDIRECT(CONCATENATE("Table!",ADDRESS($AI6,MATCH(S$1,INDIRECT("Table!A" &amp; $AM6):INDIRECT("Table!" &amp; $AP$65 &amp; $AM6),0)))))</f>
        <v>1.0257868986683678</v>
      </c>
      <c r="T6" s="596">
        <f ca="1">IF(ISERROR(MATCH(T$1,INDIRECT("Table!A"&amp;$AM6):INDIRECT("Table!" &amp; $AP$65 &amp; $AM6),0)),"",INDIRECT(CONCATENATE("Table!",ADDRESS($AI6,MATCH(T$1,INDIRECT("Table!A" &amp; $AM6):INDIRECT("Table!" &amp; $AP$65 &amp; $AM6),0)))))</f>
        <v>1.2950637494144845</v>
      </c>
      <c r="U6" s="596">
        <f ca="1">IF(ISERROR(MATCH(U$1,INDIRECT("Table!A"&amp;$AM6):INDIRECT("Table!" &amp; $AP$65 &amp; $AM6),0)),"",INDIRECT(CONCATENATE("Table!",ADDRESS($AI6,MATCH(U$1,INDIRECT("Table!A" &amp; $AM6):INDIRECT("Table!" &amp; $AP$65 &amp; $AM6),0)))))</f>
        <v>0.62916361127827269</v>
      </c>
      <c r="V6" s="596">
        <f ca="1">IF(ISERROR(MATCH(V$1,INDIRECT("Table!A"&amp;$AM6):INDIRECT("Table!" &amp; $AP$65 &amp; $AM6),0)),"",INDIRECT(CONCATENATE("Table!",ADDRESS($AI6,MATCH(V$1,INDIRECT("Table!A" &amp; $AM6):INDIRECT("Table!" &amp; $AP$65 &amp; $AM6),0)))))</f>
        <v>0.40074812705701529</v>
      </c>
      <c r="W6" s="596">
        <f ca="1">IF(ISERROR(MATCH(W$1,INDIRECT("Table!A"&amp;$AM6):INDIRECT("Table!" &amp; $AP$65 &amp; $AM6),0)),"",INDIRECT(CONCATENATE("Table!",ADDRESS($AI6,MATCH(W$1,INDIRECT("Table!A" &amp; $AM6):INDIRECT("Table!" &amp; $AP$65 &amp; $AM6),0)))))</f>
        <v>0.83107663178288882</v>
      </c>
      <c r="X6" s="596">
        <f ca="1">IF(ISERROR(MATCH(X$1,INDIRECT("Table!A"&amp;$AM6):INDIRECT("Table!" &amp; $AP$65 &amp; $AM6),0)),"",INDIRECT(CONCATENATE("Table!",ADDRESS($AI6,MATCH(X$1,INDIRECT("Table!A" &amp; $AM6):INDIRECT("Table!" &amp; $AP$65 &amp; $AM6),0)))))</f>
        <v>0.57859016737749791</v>
      </c>
      <c r="Y6" s="596">
        <f ca="1">IF(ISERROR(MATCH(Y$1,INDIRECT("Table!A"&amp;$AM6):INDIRECT("Table!" &amp; $AP$65 &amp; $AM6),0)),"",INDIRECT(CONCATENATE("Table!",ADDRESS($AI6,MATCH(Y$1,INDIRECT("Table!A" &amp; $AM6):INDIRECT("Table!" &amp; $AP$65 &amp; $AM6),0)))))</f>
        <v>0.860439799797449</v>
      </c>
      <c r="Z6" s="596">
        <f ca="1">IF(ISERROR(MATCH(Z$1,INDIRECT("Table!A"&amp;$AM6):INDIRECT("Table!" &amp; $AP$65 &amp; $AM6),0)),"",INDIRECT(CONCATENATE("Table!",ADDRESS($AI6,MATCH(Z$1,INDIRECT("Table!A" &amp; $AM6):INDIRECT("Table!" &amp; $AP$65 &amp; $AM6),0)))))</f>
        <v>0.64747378118488852</v>
      </c>
      <c r="AA6" s="596">
        <f ca="1">IF(ISERROR(MATCH(AA$1,INDIRECT("Table!A"&amp;$AM6):INDIRECT("Table!" &amp; $AP$65 &amp; $AM6),0)),"",INDIRECT(CONCATENATE("Table!",ADDRESS($AI6,MATCH(AA$1,INDIRECT("Table!A" &amp; $AM6):INDIRECT("Table!" &amp; $AP$65 &amp; $AM6),0)))))</f>
        <v>0.74523146367820403</v>
      </c>
      <c r="AB6" s="596">
        <f ca="1">IF(ISERROR(MATCH(AB$1,INDIRECT("Table!A"&amp;$AM6):INDIRECT("Table!" &amp; $AP$65 &amp; $AM6),0)),"",INDIRECT(CONCATENATE("Table!",ADDRESS($AI6,MATCH(AB$1,INDIRECT("Table!A" &amp; $AM6):INDIRECT("Table!" &amp; $AP$65 &amp; $AM6),0)))))</f>
        <v>0</v>
      </c>
      <c r="AC6" s="596">
        <f ca="1">IF(ISERROR(MATCH(AC$1,INDIRECT("Table!A"&amp;$AM6):INDIRECT("Table!" &amp; $AP$65 &amp; $AM6),0)),"",INDIRECT(CONCATENATE("Table!",ADDRESS($AI6,MATCH(AC$1,INDIRECT("Table!A" &amp; $AM6):INDIRECT("Table!" &amp; $AP$65 &amp; $AM6),0)))))</f>
        <v>0.56126985529599516</v>
      </c>
      <c r="AD6" s="596">
        <f ca="1">IF(ISERROR(MATCH(AD$1,INDIRECT("Table!A"&amp;$AM6):INDIRECT("Table!" &amp; $AP$65 &amp; $AM6),0)),"",INDIRECT(CONCATENATE("Table!",ADDRESS($AI6,MATCH(AD$1,INDIRECT("Table!A" &amp; $AM6):INDIRECT("Table!" &amp; $AP$65 &amp; $AM6),0)))))</f>
        <v>0.57180306973854733</v>
      </c>
      <c r="AE6" s="596">
        <f ca="1">IF(ISERROR(MATCH(AE$1,INDIRECT("Table!A"&amp;$AM6):INDIRECT("Table!" &amp; $AP$65 &amp; $AM6),0)),"",INDIRECT(CONCATENATE("Table!",ADDRESS($AI6,MATCH(AE$1,INDIRECT("Table!A" &amp; $AM6):INDIRECT("Table!" &amp; $AP$65 &amp; $AM6),0)))))</f>
        <v>0.23658916694036458</v>
      </c>
      <c r="AF6" s="596">
        <f ca="1">IF(ISERROR(MATCH(AF$1,INDIRECT("Table!A"&amp;$AM6):INDIRECT("Table!" &amp; $AP$65 &amp; $AM6),0)),"",INDIRECT(CONCATENATE("Table!",ADDRESS($AI6,MATCH(AF$1,INDIRECT("Table!A" &amp; $AM6):INDIRECT("Table!" &amp; $AP$65 &amp; $AM6),0)))))</f>
        <v>0.23658916694036458</v>
      </c>
      <c r="AG6" s="596">
        <f ca="1">IF(ISERROR(MATCH(AG$1,INDIRECT("Table!A"&amp;$AM6):INDIRECT("Table!" &amp; $AP$65 &amp; $AM6),0)),"",INDIRECT(CONCATENATE("Table!",ADDRESS($AI6,MATCH(AG$1,INDIRECT("Table!A" &amp; $AM6):INDIRECT("Table!" &amp; $AP$65 &amp; $AM6),0)))))</f>
        <v>0.47896030815205165</v>
      </c>
      <c r="AH6" s="596"/>
      <c r="AI6" s="595">
        <f>MATCH($A6,Table!$A:$A,0)+$AK$2-1</f>
        <v>54</v>
      </c>
      <c r="AJ6" s="1036"/>
      <c r="AK6" s="1036"/>
      <c r="AL6" s="1036"/>
      <c r="AM6" s="595">
        <f>MATCH($A6,Table!$A:$A,0)+$AO$2-1</f>
        <v>45</v>
      </c>
      <c r="AN6" s="1036"/>
      <c r="AO6" s="1036"/>
      <c r="AP6" s="1036" t="s">
        <v>302</v>
      </c>
    </row>
    <row r="7" spans="1:42" s="947" customFormat="1" ht="19.5" customHeight="1" x14ac:dyDescent="0.25">
      <c r="A7" s="592">
        <v>41949</v>
      </c>
      <c r="B7" s="596">
        <f ca="1">IF(ISERROR(MATCH(B$1,INDIRECT("Table!A"&amp;$AM7):INDIRECT("Table!" &amp; $AP$108 &amp; $AM7),0)),"",INDIRECT(CONCATENATE("Table!",ADDRESS($AI7,MATCH(B$1,INDIRECT("Table!A" &amp; $AM7):INDIRECT("Table!" &amp; $AP$108 &amp; $AM7),0)))))</f>
        <v>0.26971614889144158</v>
      </c>
      <c r="C7" s="596">
        <f ca="1">IF(ISERROR(MATCH(C$1,INDIRECT("Table!A"&amp;$AM7):INDIRECT("Table!" &amp; $AP$108 &amp; $AM7),0)),"",INDIRECT(CONCATENATE("Table!",ADDRESS($AI7,MATCH(C$1,INDIRECT("Table!A" &amp; $AM7):INDIRECT("Table!" &amp; $AP$108 &amp; $AM7),0)))))</f>
        <v>0.39627079918706692</v>
      </c>
      <c r="D7" s="596">
        <f ca="1">IF(ISERROR(MATCH(D$1,INDIRECT("Table!A"&amp;$AM7):INDIRECT("Table!" &amp; $AP$108 &amp; $AM7),0)),"",INDIRECT(CONCATENATE("Table!",ADDRESS($AI7,MATCH(D$1,INDIRECT("Table!A" &amp; $AM7):INDIRECT("Table!" &amp; $AP$108 &amp; $AM7),0)))))</f>
        <v>0.32615618067629698</v>
      </c>
      <c r="E7" s="596">
        <f ca="1">IF(ISERROR(MATCH(E$1,INDIRECT("Table!A"&amp;$AM7):INDIRECT("Table!" &amp; $AP$108 &amp; $AM7),0)),"",INDIRECT(CONCATENATE("Table!",ADDRESS($AI7,MATCH(E$1,INDIRECT("Table!A" &amp; $AM7):INDIRECT("Table!" &amp; $AP$108 &amp; $AM7),0)))))</f>
        <v>0.8662732501532977</v>
      </c>
      <c r="F7" s="596">
        <f ca="1">IF(ISERROR(MATCH(F$1,INDIRECT("Table!A"&amp;$AM7):INDIRECT("Table!" &amp; $AP$108 &amp; $AM7),0)),"",INDIRECT(CONCATENATE("Table!",ADDRESS($AI7,MATCH(F$1,INDIRECT("Table!A" &amp; $AM7):INDIRECT("Table!" &amp; $AP$108 &amp; $AM7),0)))))</f>
        <v>0.67875096597185058</v>
      </c>
      <c r="G7" s="596">
        <f ca="1">IF(ISERROR(MATCH(G$1,INDIRECT("Table!A"&amp;$AM7):INDIRECT("Table!" &amp; $AP$108 &amp; $AM7),0)),"",INDIRECT(CONCATENATE("Table!",ADDRESS($AI7,MATCH(G$1,INDIRECT("Table!A" &amp; $AM7):INDIRECT("Table!" &amp; $AP$108 &amp; $AM7),0)))))</f>
        <v>1.078237640081642</v>
      </c>
      <c r="H7" s="596">
        <f ca="1">IF(ISERROR(MATCH(H$1,INDIRECT("Table!A"&amp;$AM7):INDIRECT("Table!" &amp; $AP$108 &amp; $AM7),0)),"",INDIRECT(CONCATENATE("Table!",ADDRESS($AI7,MATCH(H$1,INDIRECT("Table!A" &amp; $AM7):INDIRECT("Table!" &amp; $AP$108 &amp; $AM7),0)))))</f>
        <v>1.095762553386965</v>
      </c>
      <c r="I7" s="596">
        <f ca="1">IF(ISERROR(MATCH(I$1,INDIRECT("Table!A"&amp;$AM7):INDIRECT("Table!" &amp; $AP$86 &amp; $AM7),0)),"",INDIRECT(CONCATENATE("Table!",ADDRESS($AI7,MATCH(I$1,INDIRECT("Table!A" &amp; $AM7):INDIRECT("Table!" &amp; $AP$86 &amp; $AM7),0)))))</f>
        <v>0.28118140271438719</v>
      </c>
      <c r="J7" s="596">
        <f ca="1">IF(ISERROR(MATCH(J$1,INDIRECT("Table!A"&amp;$AM7):INDIRECT("Table!" &amp; $AP$86 &amp; $AM7),0)),"",INDIRECT(CONCATENATE("Table!",ADDRESS($AI7,MATCH(J$1,INDIRECT("Table!A" &amp; $AM7):INDIRECT("Table!" &amp; $AP$86 &amp; $AM7),0)))))</f>
        <v>1.6540521790174425</v>
      </c>
      <c r="K7" s="596">
        <f ca="1">IF(ISERROR(MATCH(K$1,INDIRECT("Table!A"&amp;$AM7):INDIRECT("Table!" &amp; $AP$86 &amp; $AM7),0)),"",INDIRECT(CONCATENATE("Table!",ADDRESS($AI7,MATCH(K$1,INDIRECT("Table!A" &amp; $AM7):INDIRECT("Table!" &amp; $AP$86 &amp; $AM7),0)))))</f>
        <v>0.97642897882458779</v>
      </c>
      <c r="L7" s="596">
        <f ca="1">IF(ISERROR(MATCH(L$1,INDIRECT("Table!A"&amp;$AM7):INDIRECT("Table!" &amp; $AP$108 &amp; $AM7),0)),"",INDIRECT(CONCATENATE("Table!",ADDRESS($AI7,MATCH(L$1,INDIRECT("Table!A" &amp; $AM7):INDIRECT("Table!" &amp; $AP$108 &amp; $AM7),0)))))</f>
        <v>0.65939112289286939</v>
      </c>
      <c r="M7" s="596">
        <f ca="1">IF(ISERROR(MATCH(M$1,INDIRECT("Table!A"&amp;$AM7):INDIRECT("Table!" &amp; $AP$108 &amp; $AM7),0)),"",INDIRECT(CONCATENATE("Table!",ADDRESS($AI7,MATCH(M$1,INDIRECT("Table!A" &amp; $AM7):INDIRECT("Table!" &amp; $AP$108 &amp; $AM7),0)))))</f>
        <v>1.0076170251510714</v>
      </c>
      <c r="N7" s="596">
        <f ca="1">IF(ISERROR(MATCH(N$1,INDIRECT("Table!A"&amp;$AM7):INDIRECT("Table!" &amp; $AP$108 &amp; $AM7),0)),"",INDIRECT(CONCATENATE("Table!",ADDRESS($AI7,MATCH(N$1,INDIRECT("Table!A" &amp; $AM7):INDIRECT("Table!" &amp; $AP$108 &amp; $AM7),0)))))</f>
        <v>1.412610044942846</v>
      </c>
      <c r="O7" s="596">
        <f ca="1">IF(ISERROR(MATCH(O$1,INDIRECT("Table!A"&amp;$AM7):INDIRECT("Table!" &amp; $AP$86 &amp; $AM7),0)),"",INDIRECT(CONCATENATE("Table!",ADDRESS($AI7,MATCH(O$1,INDIRECT("Table!A" &amp; $AM7):INDIRECT("Table!" &amp; $AP$86 &amp; $AM7),0)))))</f>
        <v>0.44360874789592158</v>
      </c>
      <c r="P7" s="596">
        <f ca="1">IF(ISERROR(MATCH(P$1,INDIRECT("Table!A"&amp;$AM7):INDIRECT("Table!" &amp; $AP$86 &amp; $AM7),0)),"",INDIRECT(CONCATENATE("Table!",ADDRESS($AI7,MATCH(P$1,INDIRECT("Table!A" &amp; $AM7):INDIRECT("Table!" &amp; $AP$86 &amp; $AM7),0)))))</f>
        <v>0.7442696787525831</v>
      </c>
      <c r="Q7" s="596">
        <f ca="1">IF(ISERROR(MATCH(Q$1,INDIRECT("Table!A"&amp;$AM7):INDIRECT("Table!" &amp; $AP$86 &amp; $AM7),0)),"",INDIRECT(CONCATENATE("Table!",ADDRESS($AI7,MATCH(Q$1,INDIRECT("Table!A" &amp; $AM7):INDIRECT("Table!" &amp; $AP$86 &amp; $AM7),0)))))</f>
        <v>0.82876819634043108</v>
      </c>
      <c r="R7" s="596">
        <f ca="1">IF(ISERROR(MATCH(R$1,INDIRECT("Table!A"&amp;$AM7):INDIRECT("Table!" &amp; $AP$86 &amp; $AM7),0)),"",INDIRECT(CONCATENATE("Table!",ADDRESS($AI7,MATCH(R$1,INDIRECT("Table!A" &amp; $AM7):INDIRECT("Table!" &amp; $AP$86 &amp; $AM7),0)))))</f>
        <v>1.2335570891486447</v>
      </c>
      <c r="S7" s="596">
        <f ca="1">IF(ISERROR(MATCH(S$1,INDIRECT("Table!A"&amp;$AM7):INDIRECT("Table!" &amp; $AP$65 &amp; $AM7),0)),"",INDIRECT(CONCATENATE("Table!",ADDRESS($AI7,MATCH(S$1,INDIRECT("Table!A" &amp; $AM7):INDIRECT("Table!" &amp; $AP$65 &amp; $AM7),0)))))</f>
        <v>1.0257868986683678</v>
      </c>
      <c r="T7" s="596">
        <f ca="1">IF(ISERROR(MATCH(T$1,INDIRECT("Table!A"&amp;$AM7):INDIRECT("Table!" &amp; $AP$65 &amp; $AM7),0)),"",INDIRECT(CONCATENATE("Table!",ADDRESS($AI7,MATCH(T$1,INDIRECT("Table!A" &amp; $AM7):INDIRECT("Table!" &amp; $AP$65 &amp; $AM7),0)))))</f>
        <v>1.2950637494144845</v>
      </c>
      <c r="U7" s="596">
        <f ca="1">IF(ISERROR(MATCH(U$1,INDIRECT("Table!A"&amp;$AM7):INDIRECT("Table!" &amp; $AP$65 &amp; $AM7),0)),"",INDIRECT(CONCATENATE("Table!",ADDRESS($AI7,MATCH(U$1,INDIRECT("Table!A" &amp; $AM7):INDIRECT("Table!" &amp; $AP$65 &amp; $AM7),0)))))</f>
        <v>0.6242147627364929</v>
      </c>
      <c r="V7" s="596">
        <f ca="1">IF(ISERROR(MATCH(V$1,INDIRECT("Table!A"&amp;$AM7):INDIRECT("Table!" &amp; $AP$65 &amp; $AM7),0)),"",INDIRECT(CONCATENATE("Table!",ADDRESS($AI7,MATCH(V$1,INDIRECT("Table!A" &amp; $AM7):INDIRECT("Table!" &amp; $AP$65 &amp; $AM7),0)))))</f>
        <v>0.39833398171329831</v>
      </c>
      <c r="W7" s="596">
        <f ca="1">IF(ISERROR(MATCH(W$1,INDIRECT("Table!A"&amp;$AM7):INDIRECT("Table!" &amp; $AP$65 &amp; $AM7),0)),"",INDIRECT(CONCATENATE("Table!",ADDRESS($AI7,MATCH(W$1,INDIRECT("Table!A" &amp; $AM7):INDIRECT("Table!" &amp; $AP$65 &amp; $AM7),0)))))</f>
        <v>0.76905106339258189</v>
      </c>
      <c r="X7" s="596">
        <f ca="1">IF(ISERROR(MATCH(X$1,INDIRECT("Table!A"&amp;$AM7):INDIRECT("Table!" &amp; $AP$65 &amp; $AM7),0)),"",INDIRECT(CONCATENATE("Table!",ADDRESS($AI7,MATCH(X$1,INDIRECT("Table!A" &amp; $AM7):INDIRECT("Table!" &amp; $AP$65 &amp; $AM7),0)))))</f>
        <v>0.51807559076165954</v>
      </c>
      <c r="Y7" s="596">
        <f ca="1">IF(ISERROR(MATCH(Y$1,INDIRECT("Table!A"&amp;$AM7):INDIRECT("Table!" &amp; $AP$65 &amp; $AM7),0)),"",INDIRECT(CONCATENATE("Table!",ADDRESS($AI7,MATCH(Y$1,INDIRECT("Table!A" &amp; $AM7):INDIRECT("Table!" &amp; $AP$65 &amp; $AM7),0)))))</f>
        <v>0.82513801353275296</v>
      </c>
      <c r="Z7" s="596">
        <f ca="1">IF(ISERROR(MATCH(Z$1,INDIRECT("Table!A"&amp;$AM7):INDIRECT("Table!" &amp; $AP$65 &amp; $AM7),0)),"",INDIRECT(CONCATENATE("Table!",ADDRESS($AI7,MATCH(Z$1,INDIRECT("Table!A" &amp; $AM7):INDIRECT("Table!" &amp; $AP$65 &amp; $AM7),0)))))</f>
        <v>0.63025287773304084</v>
      </c>
      <c r="AA7" s="596">
        <f ca="1">IF(ISERROR(MATCH(AA$1,INDIRECT("Table!A"&amp;$AM7):INDIRECT("Table!" &amp; $AP$65 &amp; $AM7),0)),"",INDIRECT(CONCATENATE("Table!",ADDRESS($AI7,MATCH(AA$1,INDIRECT("Table!A" &amp; $AM7):INDIRECT("Table!" &amp; $AP$65 &amp; $AM7),0)))))</f>
        <v>0.74471857209962289</v>
      </c>
      <c r="AB7" s="596">
        <f ca="1">IF(ISERROR(MATCH(AB$1,INDIRECT("Table!A"&amp;$AM7):INDIRECT("Table!" &amp; $AP$65 &amp; $AM7),0)),"",INDIRECT(CONCATENATE("Table!",ADDRESS($AI7,MATCH(AB$1,INDIRECT("Table!A" &amp; $AM7):INDIRECT("Table!" &amp; $AP$65 &amp; $AM7),0)))))</f>
        <v>0</v>
      </c>
      <c r="AC7" s="596">
        <f ca="1">IF(ISERROR(MATCH(AC$1,INDIRECT("Table!A"&amp;$AM7):INDIRECT("Table!" &amp; $AP$65 &amp; $AM7),0)),"",INDIRECT(CONCATENATE("Table!",ADDRESS($AI7,MATCH(AC$1,INDIRECT("Table!A" &amp; $AM7):INDIRECT("Table!" &amp; $AP$65 &amp; $AM7),0)))))</f>
        <v>0.54832904898085955</v>
      </c>
      <c r="AD7" s="596">
        <f ca="1">IF(ISERROR(MATCH(AD$1,INDIRECT("Table!A"&amp;$AM7):INDIRECT("Table!" &amp; $AP$65 &amp; $AM7),0)),"",INDIRECT(CONCATENATE("Table!",ADDRESS($AI7,MATCH(AD$1,INDIRECT("Table!A" &amp; $AM7):INDIRECT("Table!" &amp; $AP$65 &amp; $AM7),0)))))</f>
        <v>0.57180306973854733</v>
      </c>
      <c r="AE7" s="596">
        <f ca="1">IF(ISERROR(MATCH(AE$1,INDIRECT("Table!A"&amp;$AM7):INDIRECT("Table!" &amp; $AP$65 &amp; $AM7),0)),"",INDIRECT(CONCATENATE("Table!",ADDRESS($AI7,MATCH(AE$1,INDIRECT("Table!A" &amp; $AM7):INDIRECT("Table!" &amp; $AP$65 &amp; $AM7),0)))))</f>
        <v>0.22255787510539768</v>
      </c>
      <c r="AF7" s="596">
        <f ca="1">IF(ISERROR(MATCH(AF$1,INDIRECT("Table!A"&amp;$AM7):INDIRECT("Table!" &amp; $AP$65 &amp; $AM7),0)),"",INDIRECT(CONCATENATE("Table!",ADDRESS($AI7,MATCH(AF$1,INDIRECT("Table!A" &amp; $AM7):INDIRECT("Table!" &amp; $AP$65 &amp; $AM7),0)))))</f>
        <v>0.22255787510539768</v>
      </c>
      <c r="AG7" s="596">
        <f ca="1">IF(ISERROR(MATCH(AG$1,INDIRECT("Table!A"&amp;$AM7):INDIRECT("Table!" &amp; $AP$65 &amp; $AM7),0)),"",INDIRECT(CONCATENATE("Table!",ADDRESS($AI7,MATCH(AG$1,INDIRECT("Table!A" &amp; $AM7):INDIRECT("Table!" &amp; $AP$65 &amp; $AM7),0)))))</f>
        <v>0.47896030815205165</v>
      </c>
      <c r="AH7" s="596"/>
      <c r="AI7" s="595">
        <f>MATCH($A7,Table!$A:$A,0)+$AK$2-1</f>
        <v>68</v>
      </c>
      <c r="AJ7" s="1032"/>
      <c r="AK7" s="1032"/>
      <c r="AL7" s="1032"/>
      <c r="AM7" s="595">
        <f>MATCH($A7,Table!$A:$A,0)+$AO$2-1</f>
        <v>59</v>
      </c>
      <c r="AN7" s="1032"/>
      <c r="AO7" s="1032"/>
      <c r="AP7" s="1032" t="s">
        <v>302</v>
      </c>
    </row>
    <row r="8" spans="1:42" s="947" customFormat="1" ht="19.5" customHeight="1" x14ac:dyDescent="0.25">
      <c r="A8" s="592">
        <v>41942</v>
      </c>
      <c r="B8" s="596">
        <f ca="1">IF(ISERROR(MATCH(B$1,INDIRECT("Table!A"&amp;$AM8):INDIRECT("Table!" &amp; $AP$108 &amp; $AM8),0)),"",INDIRECT(CONCATENATE("Table!",ADDRESS($AI8,MATCH(B$1,INDIRECT("Table!A" &amp; $AM8):INDIRECT("Table!" &amp; $AP$108 &amp; $AM8),0)))))</f>
        <v>0.28508996937825376</v>
      </c>
      <c r="C8" s="596">
        <f ca="1">IF(ISERROR(MATCH(C$1,INDIRECT("Table!A"&amp;$AM8):INDIRECT("Table!" &amp; $AP$108 &amp; $AM8),0)),"",INDIRECT(CONCATENATE("Table!",ADDRESS($AI8,MATCH(C$1,INDIRECT("Table!A" &amp; $AM8):INDIRECT("Table!" &amp; $AP$108 &amp; $AM8),0)))))</f>
        <v>0.4314401126253764</v>
      </c>
      <c r="D8" s="596">
        <f ca="1">IF(ISERROR(MATCH(D$1,INDIRECT("Table!A"&amp;$AM8):INDIRECT("Table!" &amp; $AP$108 &amp; $AM8),0)),"",INDIRECT(CONCATENATE("Table!",ADDRESS($AI8,MATCH(D$1,INDIRECT("Table!A" &amp; $AM8):INDIRECT("Table!" &amp; $AP$108 &amp; $AM8),0)))))</f>
        <v>0.35998144391951187</v>
      </c>
      <c r="E8" s="596">
        <f ca="1">IF(ISERROR(MATCH(E$1,INDIRECT("Table!A"&amp;$AM8):INDIRECT("Table!" &amp; $AP$108 &amp; $AM8),0)),"",INDIRECT(CONCATENATE("Table!",ADDRESS($AI8,MATCH(E$1,INDIRECT("Table!A" &amp; $AM8):INDIRECT("Table!" &amp; $AP$108 &amp; $AM8),0)))))</f>
        <v>0.88628127218421227</v>
      </c>
      <c r="F8" s="596">
        <f ca="1">IF(ISERROR(MATCH(F$1,INDIRECT("Table!A"&amp;$AM8):INDIRECT("Table!" &amp; $AP$108 &amp; $AM8),0)),"",INDIRECT(CONCATENATE("Table!",ADDRESS($AI8,MATCH(F$1,INDIRECT("Table!A" &amp; $AM8):INDIRECT("Table!" &amp; $AP$108 &amp; $AM8),0)))))</f>
        <v>0.67000469940403828</v>
      </c>
      <c r="G8" s="596">
        <f ca="1">IF(ISERROR(MATCH(G$1,INDIRECT("Table!A"&amp;$AM8):INDIRECT("Table!" &amp; $AP$108 &amp; $AM8),0)),"",INDIRECT(CONCATENATE("Table!",ADDRESS($AI8,MATCH(G$1,INDIRECT("Table!A" &amp; $AM8):INDIRECT("Table!" &amp; $AP$108 &amp; $AM8),0)))))</f>
        <v>1.078237640081642</v>
      </c>
      <c r="H8" s="596">
        <f ca="1">IF(ISERROR(MATCH(H$1,INDIRECT("Table!A"&amp;$AM8):INDIRECT("Table!" &amp; $AP$108 &amp; $AM8),0)),"",INDIRECT(CONCATENATE("Table!",ADDRESS($AI8,MATCH(H$1,INDIRECT("Table!A" &amp; $AM8):INDIRECT("Table!" &amp; $AP$108 &amp; $AM8),0)))))</f>
        <v>1.095762553386965</v>
      </c>
      <c r="I8" s="596">
        <f ca="1">IF(ISERROR(MATCH(I$1,INDIRECT("Table!A"&amp;$AM8):INDIRECT("Table!" &amp; $AP$86 &amp; $AM8),0)),"",INDIRECT(CONCATENATE("Table!",ADDRESS($AI8,MATCH(I$1,INDIRECT("Table!A" &amp; $AM8):INDIRECT("Table!" &amp; $AP$86 &amp; $AM8),0)))))</f>
        <v>0.28118140271438719</v>
      </c>
      <c r="J8" s="596">
        <f ca="1">IF(ISERROR(MATCH(J$1,INDIRECT("Table!A"&amp;$AM8):INDIRECT("Table!" &amp; $AP$86 &amp; $AM8),0)),"",INDIRECT(CONCATENATE("Table!",ADDRESS($AI8,MATCH(J$1,INDIRECT("Table!A" &amp; $AM8):INDIRECT("Table!" &amp; $AP$86 &amp; $AM8),0)))))</f>
        <v>1.6529647022396532</v>
      </c>
      <c r="K8" s="596">
        <f ca="1">IF(ISERROR(MATCH(K$1,INDIRECT("Table!A"&amp;$AM8):INDIRECT("Table!" &amp; $AP$86 &amp; $AM8),0)),"",INDIRECT(CONCATENATE("Table!",ADDRESS($AI8,MATCH(K$1,INDIRECT("Table!A" &amp; $AM8):INDIRECT("Table!" &amp; $AP$86 &amp; $AM8),0)))))</f>
        <v>0.99930110161412966</v>
      </c>
      <c r="L8" s="596">
        <f ca="1">IF(ISERROR(MATCH(L$1,INDIRECT("Table!A"&amp;$AM8):INDIRECT("Table!" &amp; $AP$108 &amp; $AM8),0)),"",INDIRECT(CONCATENATE("Table!",ADDRESS($AI8,MATCH(L$1,INDIRECT("Table!A" &amp; $AM8):INDIRECT("Table!" &amp; $AP$108 &amp; $AM8),0)))))</f>
        <v>0.65939112289286939</v>
      </c>
      <c r="M8" s="596">
        <f ca="1">IF(ISERROR(MATCH(M$1,INDIRECT("Table!A"&amp;$AM8):INDIRECT("Table!" &amp; $AP$108 &amp; $AM8),0)),"",INDIRECT(CONCATENATE("Table!",ADDRESS($AI8,MATCH(M$1,INDIRECT("Table!A" &amp; $AM8):INDIRECT("Table!" &amp; $AP$108 &amp; $AM8),0)))))</f>
        <v>1.0076170251510714</v>
      </c>
      <c r="N8" s="596">
        <f ca="1">IF(ISERROR(MATCH(N$1,INDIRECT("Table!A"&amp;$AM8):INDIRECT("Table!" &amp; $AP$108 &amp; $AM8),0)),"",INDIRECT(CONCATENATE("Table!",ADDRESS($AI8,MATCH(N$1,INDIRECT("Table!A" &amp; $AM8):INDIRECT("Table!" &amp; $AP$108 &amp; $AM8),0)))))</f>
        <v>1.3951503634445583</v>
      </c>
      <c r="O8" s="596">
        <f ca="1">IF(ISERROR(MATCH(O$1,INDIRECT("Table!A"&amp;$AM8):INDIRECT("Table!" &amp; $AP$86 &amp; $AM8),0)),"",INDIRECT(CONCATENATE("Table!",ADDRESS($AI8,MATCH(O$1,INDIRECT("Table!A" &amp; $AM8):INDIRECT("Table!" &amp; $AP$86 &amp; $AM8),0)))))</f>
        <v>0.44360874789592158</v>
      </c>
      <c r="P8" s="596">
        <f ca="1">IF(ISERROR(MATCH(P$1,INDIRECT("Table!A"&amp;$AM8):INDIRECT("Table!" &amp; $AP$86 &amp; $AM8),0)),"",INDIRECT(CONCATENATE("Table!",ADDRESS($AI8,MATCH(P$1,INDIRECT("Table!A" &amp; $AM8):INDIRECT("Table!" &amp; $AP$86 &amp; $AM8),0)))))</f>
        <v>0.7442696787525831</v>
      </c>
      <c r="Q8" s="596">
        <f ca="1">IF(ISERROR(MATCH(Q$1,INDIRECT("Table!A"&amp;$AM8):INDIRECT("Table!" &amp; $AP$86 &amp; $AM8),0)),"",INDIRECT(CONCATENATE("Table!",ADDRESS($AI8,MATCH(Q$1,INDIRECT("Table!A" &amp; $AM8):INDIRECT("Table!" &amp; $AP$86 &amp; $AM8),0)))))</f>
        <v>0.82859223706307639</v>
      </c>
      <c r="R8" s="596">
        <f ca="1">IF(ISERROR(MATCH(R$1,INDIRECT("Table!A"&amp;$AM8):INDIRECT("Table!" &amp; $AP$86 &amp; $AM8),0)),"",INDIRECT(CONCATENATE("Table!",ADDRESS($AI8,MATCH(R$1,INDIRECT("Table!A" &amp; $AM8):INDIRECT("Table!" &amp; $AP$86 &amp; $AM8),0)))))</f>
        <v>1.2335570891486447</v>
      </c>
      <c r="S8" s="596">
        <f ca="1">IF(ISERROR(MATCH(S$1,INDIRECT("Table!A"&amp;$AM8):INDIRECT("Table!" &amp; $AP$65 &amp; $AM8),0)),"",INDIRECT(CONCATENATE("Table!",ADDRESS($AI8,MATCH(S$1,INDIRECT("Table!A" &amp; $AM8):INDIRECT("Table!" &amp; $AP$65 &amp; $AM8),0)))))</f>
        <v>1.0257868986683678</v>
      </c>
      <c r="T8" s="596">
        <f ca="1">IF(ISERROR(MATCH(T$1,INDIRECT("Table!A"&amp;$AM8):INDIRECT("Table!" &amp; $AP$65 &amp; $AM8),0)),"",INDIRECT(CONCATENATE("Table!",ADDRESS($AI8,MATCH(T$1,INDIRECT("Table!A" &amp; $AM8):INDIRECT("Table!" &amp; $AP$65 &amp; $AM8),0)))))</f>
        <v>1.2950637494144845</v>
      </c>
      <c r="U8" s="596">
        <f ca="1">IF(ISERROR(MATCH(U$1,INDIRECT("Table!A"&amp;$AM8):INDIRECT("Table!" &amp; $AP$65 &amp; $AM8),0)),"",INDIRECT(CONCATENATE("Table!",ADDRESS($AI8,MATCH(U$1,INDIRECT("Table!A" &amp; $AM8):INDIRECT("Table!" &amp; $AP$65 &amp; $AM8),0)))))</f>
        <v>0.6242147627364929</v>
      </c>
      <c r="V8" s="596">
        <f ca="1">IF(ISERROR(MATCH(V$1,INDIRECT("Table!A"&amp;$AM8):INDIRECT("Table!" &amp; $AP$65 &amp; $AM8),0)),"",INDIRECT(CONCATENATE("Table!",ADDRESS($AI8,MATCH(V$1,INDIRECT("Table!A" &amp; $AM8):INDIRECT("Table!" &amp; $AP$65 &amp; $AM8),0)))))</f>
        <v>0.39833398171329831</v>
      </c>
      <c r="W8" s="596">
        <f ca="1">IF(ISERROR(MATCH(W$1,INDIRECT("Table!A"&amp;$AM8):INDIRECT("Table!" &amp; $AP$65 &amp; $AM8),0)),"",INDIRECT(CONCATENATE("Table!",ADDRESS($AI8,MATCH(W$1,INDIRECT("Table!A" &amp; $AM8):INDIRECT("Table!" &amp; $AP$65 &amp; $AM8),0)))))</f>
        <v>0.7373784327251911</v>
      </c>
      <c r="X8" s="596">
        <f ca="1">IF(ISERROR(MATCH(X$1,INDIRECT("Table!A"&amp;$AM8):INDIRECT("Table!" &amp; $AP$65 &amp; $AM8),0)),"",INDIRECT(CONCATENATE("Table!",ADDRESS($AI8,MATCH(X$1,INDIRECT("Table!A" &amp; $AM8):INDIRECT("Table!" &amp; $AP$65 &amp; $AM8),0)))))</f>
        <v>0.49039339082037164</v>
      </c>
      <c r="Y8" s="596">
        <f ca="1">IF(ISERROR(MATCH(Y$1,INDIRECT("Table!A"&amp;$AM8):INDIRECT("Table!" &amp; $AP$65 &amp; $AM8),0)),"",INDIRECT(CONCATENATE("Table!",ADDRESS($AI8,MATCH(Y$1,INDIRECT("Table!A" &amp; $AM8):INDIRECT("Table!" &amp; $AP$65 &amp; $AM8),0)))))</f>
        <v>0.81853954881037994</v>
      </c>
      <c r="Z8" s="596">
        <f ca="1">IF(ISERROR(MATCH(Z$1,INDIRECT("Table!A"&amp;$AM8):INDIRECT("Table!" &amp; $AP$65 &amp; $AM8),0)),"",INDIRECT(CONCATENATE("Table!",ADDRESS($AI8,MATCH(Z$1,INDIRECT("Table!A" &amp; $AM8):INDIRECT("Table!" &amp; $AP$65 &amp; $AM8),0)))))</f>
        <v>0.62703401727475161</v>
      </c>
      <c r="AA8" s="596">
        <f ca="1">IF(ISERROR(MATCH(AA$1,INDIRECT("Table!A"&amp;$AM8):INDIRECT("Table!" &amp; $AP$65 &amp; $AM8),0)),"",INDIRECT(CONCATENATE("Table!",ADDRESS($AI8,MATCH(AA$1,INDIRECT("Table!A" &amp; $AM8):INDIRECT("Table!" &amp; $AP$65 &amp; $AM8),0)))))</f>
        <v>0.72276681253635577</v>
      </c>
      <c r="AB8" s="596">
        <f ca="1">IF(ISERROR(MATCH(AB$1,INDIRECT("Table!A"&amp;$AM8):INDIRECT("Table!" &amp; $AP$65 &amp; $AM8),0)),"",INDIRECT(CONCATENATE("Table!",ADDRESS($AI8,MATCH(AB$1,INDIRECT("Table!A" &amp; $AM8):INDIRECT("Table!" &amp; $AP$65 &amp; $AM8),0)))))</f>
        <v>0</v>
      </c>
      <c r="AC8" s="596">
        <f ca="1">IF(ISERROR(MATCH(AC$1,INDIRECT("Table!A"&amp;$AM8):INDIRECT("Table!" &amp; $AP$65 &amp; $AM8),0)),"",INDIRECT(CONCATENATE("Table!",ADDRESS($AI8,MATCH(AC$1,INDIRECT("Table!A" &amp; $AM8):INDIRECT("Table!" &amp; $AP$65 &amp; $AM8),0)))))</f>
        <v>0.5334320742692501</v>
      </c>
      <c r="AD8" s="596">
        <f ca="1">IF(ISERROR(MATCH(AD$1,INDIRECT("Table!A"&amp;$AM8):INDIRECT("Table!" &amp; $AP$65 &amp; $AM8),0)),"",INDIRECT(CONCATENATE("Table!",ADDRESS($AI8,MATCH(AD$1,INDIRECT("Table!A" &amp; $AM8):INDIRECT("Table!" &amp; $AP$65 &amp; $AM8),0)))))</f>
        <v>0.57180306973854733</v>
      </c>
      <c r="AE8" s="596">
        <f ca="1">IF(ISERROR(MATCH(AE$1,INDIRECT("Table!A"&amp;$AM8):INDIRECT("Table!" &amp; $AP$65 &amp; $AM8),0)),"",INDIRECT(CONCATENATE("Table!",ADDRESS($AI8,MATCH(AE$1,INDIRECT("Table!A" &amp; $AM8):INDIRECT("Table!" &amp; $AP$65 &amp; $AM8),0)))))</f>
        <v>0.21219630575034523</v>
      </c>
      <c r="AF8" s="596">
        <f ca="1">IF(ISERROR(MATCH(AF$1,INDIRECT("Table!A"&amp;$AM8):INDIRECT("Table!" &amp; $AP$65 &amp; $AM8),0)),"",INDIRECT(CONCATENATE("Table!",ADDRESS($AI8,MATCH(AF$1,INDIRECT("Table!A" &amp; $AM8):INDIRECT("Table!" &amp; $AP$65 &amp; $AM8),0)))))</f>
        <v>0.21565016220202937</v>
      </c>
      <c r="AG8" s="596">
        <f ca="1">IF(ISERROR(MATCH(AG$1,INDIRECT("Table!A"&amp;$AM8):INDIRECT("Table!" &amp; $AP$65 &amp; $AM8),0)),"",INDIRECT(CONCATENATE("Table!",ADDRESS($AI8,MATCH(AG$1,INDIRECT("Table!A" &amp; $AM8):INDIRECT("Table!" &amp; $AP$65 &amp; $AM8),0)))))</f>
        <v>0.47896030815205165</v>
      </c>
      <c r="AH8" s="596"/>
      <c r="AI8" s="595">
        <f>MATCH($A8,Table!$A:$A,0)+$AK$2-1</f>
        <v>82</v>
      </c>
      <c r="AJ8" s="1029"/>
      <c r="AK8" s="1029"/>
      <c r="AL8" s="1029"/>
      <c r="AM8" s="595">
        <f>MATCH($A8,Table!$A:$A,0)+$AO$2-1</f>
        <v>73</v>
      </c>
      <c r="AN8" s="1029"/>
      <c r="AO8" s="1029"/>
      <c r="AP8" s="1029" t="s">
        <v>302</v>
      </c>
    </row>
    <row r="9" spans="1:42" s="947" customFormat="1" ht="19.5" customHeight="1" x14ac:dyDescent="0.25">
      <c r="A9" s="592">
        <v>41935</v>
      </c>
      <c r="B9" s="596">
        <f ca="1">IF(ISERROR(MATCH(B$1,INDIRECT("Table!A"&amp;$AM9):INDIRECT("Table!" &amp; $AP$108 &amp; $AM9),0)),"",INDIRECT(CONCATENATE("Table!",ADDRESS($AI9,MATCH(B$1,INDIRECT("Table!A" &amp; $AM9):INDIRECT("Table!" &amp; $AP$108 &amp; $AM9),0)))))</f>
        <v>0.28508996937825376</v>
      </c>
      <c r="C9" s="596">
        <f ca="1">IF(ISERROR(MATCH(C$1,INDIRECT("Table!A"&amp;$AM9):INDIRECT("Table!" &amp; $AP$108 &amp; $AM9),0)),"",INDIRECT(CONCATENATE("Table!",ADDRESS($AI9,MATCH(C$1,INDIRECT("Table!A" &amp; $AM9):INDIRECT("Table!" &amp; $AP$108 &amp; $AM9),0)))))</f>
        <v>0.44465660621047359</v>
      </c>
      <c r="D9" s="596">
        <f ca="1">IF(ISERROR(MATCH(D$1,INDIRECT("Table!A"&amp;$AM9):INDIRECT("Table!" &amp; $AP$108 &amp; $AM9),0)),"",INDIRECT(CONCATENATE("Table!",ADDRESS($AI9,MATCH(D$1,INDIRECT("Table!A" &amp; $AM9):INDIRECT("Table!" &amp; $AP$108 &amp; $AM9),0)))))</f>
        <v>0.36334156940724843</v>
      </c>
      <c r="E9" s="596">
        <f ca="1">IF(ISERROR(MATCH(E$1,INDIRECT("Table!A"&amp;$AM9):INDIRECT("Table!" &amp; $AP$108 &amp; $AM9),0)),"",INDIRECT(CONCATENATE("Table!",ADDRESS($AI9,MATCH(E$1,INDIRECT("Table!A" &amp; $AM9):INDIRECT("Table!" &amp; $AP$108 &amp; $AM9),0)))))</f>
        <v>0.88628127218421227</v>
      </c>
      <c r="F9" s="596">
        <f ca="1">IF(ISERROR(MATCH(F$1,INDIRECT("Table!A"&amp;$AM9):INDIRECT("Table!" &amp; $AP$108 &amp; $AM9),0)),"",INDIRECT(CONCATENATE("Table!",ADDRESS($AI9,MATCH(F$1,INDIRECT("Table!A" &amp; $AM9):INDIRECT("Table!" &amp; $AP$108 &amp; $AM9),0)))))</f>
        <v>0.67081830559639288</v>
      </c>
      <c r="G9" s="596">
        <f ca="1">IF(ISERROR(MATCH(G$1,INDIRECT("Table!A"&amp;$AM9):INDIRECT("Table!" &amp; $AP$108 &amp; $AM9),0)),"",INDIRECT(CONCATENATE("Table!",ADDRESS($AI9,MATCH(G$1,INDIRECT("Table!A" &amp; $AM9):INDIRECT("Table!" &amp; $AP$108 &amp; $AM9),0)))))</f>
        <v>1.0787570223745522</v>
      </c>
      <c r="H9" s="596">
        <f ca="1">IF(ISERROR(MATCH(H$1,INDIRECT("Table!A"&amp;$AM9):INDIRECT("Table!" &amp; $AP$108 &amp; $AM9),0)),"",INDIRECT(CONCATENATE("Table!",ADDRESS($AI9,MATCH(H$1,INDIRECT("Table!A" &amp; $AM9):INDIRECT("Table!" &amp; $AP$108 &amp; $AM9),0)))))</f>
        <v>1.1079180871693932</v>
      </c>
      <c r="I9" s="596">
        <f ca="1">IF(ISERROR(MATCH(I$1,INDIRECT("Table!A"&amp;$AM9):INDIRECT("Table!" &amp; $AP$86 &amp; $AM9),0)),"",INDIRECT(CONCATENATE("Table!",ADDRESS($AI9,MATCH(I$1,INDIRECT("Table!A" &amp; $AM9):INDIRECT("Table!" &amp; $AP$86 &amp; $AM9),0)))))</f>
        <v>0.28118140271438719</v>
      </c>
      <c r="J9" s="596">
        <f ca="1">IF(ISERROR(MATCH(J$1,INDIRECT("Table!A"&amp;$AM9):INDIRECT("Table!" &amp; $AP$86 &amp; $AM9),0)),"",INDIRECT(CONCATENATE("Table!",ADDRESS($AI9,MATCH(J$1,INDIRECT("Table!A" &amp; $AM9):INDIRECT("Table!" &amp; $AP$86 &amp; $AM9),0)))))</f>
        <v>1.6488866643229434</v>
      </c>
      <c r="K9" s="596">
        <f ca="1">IF(ISERROR(MATCH(K$1,INDIRECT("Table!A"&amp;$AM9):INDIRECT("Table!" &amp; $AP$86 &amp; $AM9),0)),"",INDIRECT(CONCATENATE("Table!",ADDRESS($AI9,MATCH(K$1,INDIRECT("Table!A" &amp; $AM9):INDIRECT("Table!" &amp; $AP$86 &amp; $AM9),0)))))</f>
        <v>0.9977963566937651</v>
      </c>
      <c r="L9" s="596">
        <f ca="1">IF(ISERROR(MATCH(L$1,INDIRECT("Table!A"&amp;$AM9):INDIRECT("Table!" &amp; $AP$108 &amp; $AM9),0)),"",INDIRECT(CONCATENATE("Table!",ADDRESS($AI9,MATCH(L$1,INDIRECT("Table!A" &amp; $AM9):INDIRECT("Table!" &amp; $AP$108 &amp; $AM9),0)))))</f>
        <v>0.66358327837616193</v>
      </c>
      <c r="M9" s="596">
        <f ca="1">IF(ISERROR(MATCH(M$1,INDIRECT("Table!A"&amp;$AM9):INDIRECT("Table!" &amp; $AP$108 &amp; $AM9),0)),"",INDIRECT(CONCATENATE("Table!",ADDRESS($AI9,MATCH(M$1,INDIRECT("Table!A" &amp; $AM9):INDIRECT("Table!" &amp; $AP$108 &amp; $AM9),0)))))</f>
        <v>1.0076170251510714</v>
      </c>
      <c r="N9" s="596">
        <f ca="1">IF(ISERROR(MATCH(N$1,INDIRECT("Table!A"&amp;$AM9):INDIRECT("Table!" &amp; $AP$108 &amp; $AM9),0)),"",INDIRECT(CONCATENATE("Table!",ADDRESS($AI9,MATCH(N$1,INDIRECT("Table!A" &amp; $AM9):INDIRECT("Table!" &amp; $AP$108 &amp; $AM9),0)))))</f>
        <v>1.3951503634445583</v>
      </c>
      <c r="O9" s="596">
        <f ca="1">IF(ISERROR(MATCH(O$1,INDIRECT("Table!A"&amp;$AM9):INDIRECT("Table!" &amp; $AP$86 &amp; $AM9),0)),"",INDIRECT(CONCATENATE("Table!",ADDRESS($AI9,MATCH(O$1,INDIRECT("Table!A" &amp; $AM9):INDIRECT("Table!" &amp; $AP$86 &amp; $AM9),0)))))</f>
        <v>0.4821940394827951</v>
      </c>
      <c r="P9" s="596">
        <f ca="1">IF(ISERROR(MATCH(P$1,INDIRECT("Table!A"&amp;$AM9):INDIRECT("Table!" &amp; $AP$86 &amp; $AM9),0)),"",INDIRECT(CONCATENATE("Table!",ADDRESS($AI9,MATCH(P$1,INDIRECT("Table!A" &amp; $AM9):INDIRECT("Table!" &amp; $AP$86 &amp; $AM9),0)))))</f>
        <v>0.7442696787525831</v>
      </c>
      <c r="Q9" s="596">
        <f ca="1">IF(ISERROR(MATCH(Q$1,INDIRECT("Table!A"&amp;$AM9):INDIRECT("Table!" &amp; $AP$86 &amp; $AM9),0)),"",INDIRECT(CONCATENATE("Table!",ADDRESS($AI9,MATCH(Q$1,INDIRECT("Table!A" &amp; $AM9):INDIRECT("Table!" &amp; $AP$86 &amp; $AM9),0)))))</f>
        <v>0.82595284790275658</v>
      </c>
      <c r="R9" s="596">
        <f ca="1">IF(ISERROR(MATCH(R$1,INDIRECT("Table!A"&amp;$AM9):INDIRECT("Table!" &amp; $AP$86 &amp; $AM9),0)),"",INDIRECT(CONCATENATE("Table!",ADDRESS($AI9,MATCH(R$1,INDIRECT("Table!A" &amp; $AM9):INDIRECT("Table!" &amp; $AP$86 &amp; $AM9),0)))))</f>
        <v>1.2335570891486447</v>
      </c>
      <c r="S9" s="596" t="str">
        <f ca="1">IF(ISERROR(MATCH(S$1,INDIRECT("Table!A"&amp;$AM9):INDIRECT("Table!" &amp; $AP$65 &amp; $AM9),0)),"",INDIRECT(CONCATENATE("Table!",ADDRESS($AI9,MATCH(S$1,INDIRECT("Table!A" &amp; $AM9):INDIRECT("Table!" &amp; $AP$65 &amp; $AM9),0)))))</f>
        <v/>
      </c>
      <c r="T9" s="596">
        <f ca="1">IF(ISERROR(MATCH(T$1,INDIRECT("Table!A"&amp;$AM9):INDIRECT("Table!" &amp; $AP$65 &amp; $AM9),0)),"",INDIRECT(CONCATENATE("Table!",ADDRESS($AI9,MATCH(T$1,INDIRECT("Table!A" &amp; $AM9):INDIRECT("Table!" &amp; $AP$65 &amp; $AM9),0)))))</f>
        <v>1.2196627128632083</v>
      </c>
      <c r="U9" s="596">
        <f ca="1">IF(ISERROR(MATCH(U$1,INDIRECT("Table!A"&amp;$AM9):INDIRECT("Table!" &amp; $AP$65 &amp; $AM9),0)),"",INDIRECT(CONCATENATE("Table!",ADDRESS($AI9,MATCH(U$1,INDIRECT("Table!A" &amp; $AM9):INDIRECT("Table!" &amp; $AP$65 &amp; $AM9),0)))))</f>
        <v>0.6242147627364929</v>
      </c>
      <c r="V9" s="596">
        <f ca="1">IF(ISERROR(MATCH(V$1,INDIRECT("Table!A"&amp;$AM9):INDIRECT("Table!" &amp; $AP$65 &amp; $AM9),0)),"",INDIRECT(CONCATENATE("Table!",ADDRESS($AI9,MATCH(V$1,INDIRECT("Table!A" &amp; $AM9):INDIRECT("Table!" &amp; $AP$65 &amp; $AM9),0)))))</f>
        <v>0.39962152589661404</v>
      </c>
      <c r="W9" s="596">
        <f ca="1">IF(ISERROR(MATCH(W$1,INDIRECT("Table!A"&amp;$AM9):INDIRECT("Table!" &amp; $AP$65 &amp; $AM9),0)),"",INDIRECT(CONCATENATE("Table!",ADDRESS($AI9,MATCH(W$1,INDIRECT("Table!A" &amp; $AM9):INDIRECT("Table!" &amp; $AP$65 &amp; $AM9),0)))))</f>
        <v>0.71230426678017345</v>
      </c>
      <c r="X9" s="596">
        <f ca="1">IF(ISERROR(MATCH(X$1,INDIRECT("Table!A"&amp;$AM9):INDIRECT("Table!" &amp; $AP$65 &amp; $AM9),0)),"",INDIRECT(CONCATENATE("Table!",ADDRESS($AI9,MATCH(X$1,INDIRECT("Table!A" &amp; $AM9):INDIRECT("Table!" &amp; $AP$65 &amp; $AM9),0)))))</f>
        <v>0.47816172107887239</v>
      </c>
      <c r="Y9" s="596">
        <f ca="1">IF(ISERROR(MATCH(Y$1,INDIRECT("Table!A"&amp;$AM9):INDIRECT("Table!" &amp; $AP$65 &amp; $AM9),0)),"",INDIRECT(CONCATENATE("Table!",ADDRESS($AI9,MATCH(Y$1,INDIRECT("Table!A" &amp; $AM9):INDIRECT("Table!" &amp; $AP$65 &amp; $AM9),0)))))</f>
        <v>0.73440912360012334</v>
      </c>
      <c r="Z9" s="596">
        <f ca="1">IF(ISERROR(MATCH(Z$1,INDIRECT("Table!A"&amp;$AM9):INDIRECT("Table!" &amp; $AP$65 &amp; $AM9),0)),"",INDIRECT(CONCATENATE("Table!",ADDRESS($AI9,MATCH(Z$1,INDIRECT("Table!A" &amp; $AM9):INDIRECT("Table!" &amp; $AP$65 &amp; $AM9),0)))))</f>
        <v>0.60353633592923983</v>
      </c>
      <c r="AA9" s="596">
        <f ca="1">IF(ISERROR(MATCH(AA$1,INDIRECT("Table!A"&amp;$AM9):INDIRECT("Table!" &amp; $AP$65 &amp; $AM9),0)),"",INDIRECT(CONCATENATE("Table!",ADDRESS($AI9,MATCH(AA$1,INDIRECT("Table!A" &amp; $AM9):INDIRECT("Table!" &amp; $AP$65 &amp; $AM9),0)))))</f>
        <v>0.69886606497448089</v>
      </c>
      <c r="AB9" s="596">
        <f ca="1">IF(ISERROR(MATCH(AB$1,INDIRECT("Table!A"&amp;$AM9):INDIRECT("Table!" &amp; $AP$65 &amp; $AM9),0)),"",INDIRECT(CONCATENATE("Table!",ADDRESS($AI9,MATCH(AB$1,INDIRECT("Table!A" &amp; $AM9):INDIRECT("Table!" &amp; $AP$65 &amp; $AM9),0)))))</f>
        <v>0</v>
      </c>
      <c r="AC9" s="596">
        <f ca="1">IF(ISERROR(MATCH(AC$1,INDIRECT("Table!A"&amp;$AM9):INDIRECT("Table!" &amp; $AP$65 &amp; $AM9),0)),"",INDIRECT(CONCATENATE("Table!",ADDRESS($AI9,MATCH(AC$1,INDIRECT("Table!A" &amp; $AM9):INDIRECT("Table!" &amp; $AP$65 &amp; $AM9),0)))))</f>
        <v>0.52876736501611987</v>
      </c>
      <c r="AD9" s="596">
        <f ca="1">IF(ISERROR(MATCH(AD$1,INDIRECT("Table!A"&amp;$AM9):INDIRECT("Table!" &amp; $AP$65 &amp; $AM9),0)),"",INDIRECT(CONCATENATE("Table!",ADDRESS($AI9,MATCH(AD$1,INDIRECT("Table!A" &amp; $AM9):INDIRECT("Table!" &amp; $AP$65 &amp; $AM9),0)))))</f>
        <v>0.54366433972772932</v>
      </c>
      <c r="AE9" s="596">
        <f ca="1">IF(ISERROR(MATCH(AE$1,INDIRECT("Table!A"&amp;$AM9):INDIRECT("Table!" &amp; $AP$65 &amp; $AM9),0)),"",INDIRECT(CONCATENATE("Table!",ADDRESS($AI9,MATCH(AE$1,INDIRECT("Table!A" &amp; $AM9):INDIRECT("Table!" &amp; $AP$65 &amp; $AM9),0)))))</f>
        <v>0.18262265988279966</v>
      </c>
      <c r="AF9" s="596">
        <f ca="1">IF(ISERROR(MATCH(AF$1,INDIRECT("Table!A"&amp;$AM9):INDIRECT("Table!" &amp; $AP$65 &amp; $AM9),0)),"",INDIRECT(CONCATENATE("Table!",ADDRESS($AI9,MATCH(AF$1,INDIRECT("Table!A" &amp; $AM9):INDIRECT("Table!" &amp; $AP$65 &amp; $AM9),0)))))</f>
        <v>0.18262265988279966</v>
      </c>
      <c r="AG9" s="596">
        <f ca="1">IF(ISERROR(MATCH(AG$1,INDIRECT("Table!A"&amp;$AM9):INDIRECT("Table!" &amp; $AP$65 &amp; $AM9),0)),"",INDIRECT(CONCATENATE("Table!",ADDRESS($AI9,MATCH(AG$1,INDIRECT("Table!A" &amp; $AM9):INDIRECT("Table!" &amp; $AP$65 &amp; $AM9),0)))))</f>
        <v>0.47896030815205165</v>
      </c>
      <c r="AH9" s="596"/>
      <c r="AI9" s="595">
        <f>MATCH($A9,Table!$A:$A,0)+$AK$2-1</f>
        <v>96</v>
      </c>
      <c r="AJ9" s="1026"/>
      <c r="AK9" s="1026"/>
      <c r="AL9" s="1026"/>
      <c r="AM9" s="595">
        <f>MATCH($A9,Table!$A:$A,0)+$AO$2-1</f>
        <v>87</v>
      </c>
      <c r="AN9" s="1026"/>
      <c r="AO9" s="1026"/>
      <c r="AP9" s="1026" t="s">
        <v>302</v>
      </c>
    </row>
    <row r="10" spans="1:42" s="947" customFormat="1" ht="19.5" customHeight="1" x14ac:dyDescent="0.25">
      <c r="A10" s="592">
        <v>41928</v>
      </c>
      <c r="B10" s="596">
        <f ca="1">IF(ISERROR(MATCH(B$1,INDIRECT("Table!A"&amp;$AM10):INDIRECT("Table!" &amp; $AP$108 &amp; $AM10),0)),"",INDIRECT(CONCATENATE("Table!",ADDRESS($AI10,MATCH(B$1,INDIRECT("Table!A" &amp; $AM10):INDIRECT("Table!" &amp; $AP$108 &amp; $AM10),0)))))</f>
        <v>0.28508996937825376</v>
      </c>
      <c r="C10" s="596">
        <f ca="1">IF(ISERROR(MATCH(C$1,INDIRECT("Table!A"&amp;$AM10):INDIRECT("Table!" &amp; $AP$108 &amp; $AM10),0)),"",INDIRECT(CONCATENATE("Table!",ADDRESS($AI10,MATCH(C$1,INDIRECT("Table!A" &amp; $AM10):INDIRECT("Table!" &amp; $AP$108 &amp; $AM10),0)))))</f>
        <v>0.4475687149665119</v>
      </c>
      <c r="D10" s="596">
        <f ca="1">IF(ISERROR(MATCH(D$1,INDIRECT("Table!A"&amp;$AM10):INDIRECT("Table!" &amp; $AP$108 &amp; $AM10),0)),"",INDIRECT(CONCATENATE("Table!",ADDRESS($AI10,MATCH(D$1,INDIRECT("Table!A" &amp; $AM10):INDIRECT("Table!" &amp; $AP$108 &amp; $AM10),0)))))</f>
        <v>0.36602966979743773</v>
      </c>
      <c r="E10" s="596">
        <f ca="1">IF(ISERROR(MATCH(E$1,INDIRECT("Table!A"&amp;$AM10):INDIRECT("Table!" &amp; $AP$108 &amp; $AM10),0)),"",INDIRECT(CONCATENATE("Table!",ADDRESS($AI10,MATCH(E$1,INDIRECT("Table!A" &amp; $AM10):INDIRECT("Table!" &amp; $AP$108 &amp; $AM10),0)))))</f>
        <v>0.88831912627995346</v>
      </c>
      <c r="F10" s="596">
        <f ca="1">IF(ISERROR(MATCH(F$1,INDIRECT("Table!A"&amp;$AM10):INDIRECT("Table!" &amp; $AP$108 &amp; $AM10),0)),"",INDIRECT(CONCATENATE("Table!",ADDRESS($AI10,MATCH(F$1,INDIRECT("Table!A" &amp; $AM10):INDIRECT("Table!" &amp; $AP$108 &amp; $AM10),0)))))</f>
        <v>0.68464961086642162</v>
      </c>
      <c r="G10" s="596">
        <f ca="1">IF(ISERROR(MATCH(G$1,INDIRECT("Table!A"&amp;$AM10):INDIRECT("Table!" &amp; $AP$108 &amp; $AM10),0)),"",INDIRECT(CONCATENATE("Table!",ADDRESS($AI10,MATCH(G$1,INDIRECT("Table!A" &amp; $AM10):INDIRECT("Table!" &amp; $AP$108 &amp; $AM10),0)))))</f>
        <v>1.0787570223745522</v>
      </c>
      <c r="H10" s="596">
        <f ca="1">IF(ISERROR(MATCH(H$1,INDIRECT("Table!A"&amp;$AM10):INDIRECT("Table!" &amp; $AP$108 &amp; $AM10),0)),"",INDIRECT(CONCATENATE("Table!",ADDRESS($AI10,MATCH(H$1,INDIRECT("Table!A" &amp; $AM10):INDIRECT("Table!" &amp; $AP$108 &amp; $AM10),0)))))</f>
        <v>1.1079180871693932</v>
      </c>
      <c r="I10" s="596">
        <f ca="1">IF(ISERROR(MATCH(I$1,INDIRECT("Table!A"&amp;$AM10):INDIRECT("Table!" &amp; $AP$86 &amp; $AM10),0)),"",INDIRECT(CONCATENATE("Table!",ADDRESS($AI10,MATCH(I$1,INDIRECT("Table!A" &amp; $AM10):INDIRECT("Table!" &amp; $AP$86 &amp; $AM10),0)))))</f>
        <v>0.28118140271438719</v>
      </c>
      <c r="J10" s="596">
        <f ca="1">IF(ISERROR(MATCH(J$1,INDIRECT("Table!A"&amp;$AM10):INDIRECT("Table!" &amp; $AP$86 &amp; $AM10),0)),"",INDIRECT(CONCATENATE("Table!",ADDRESS($AI10,MATCH(J$1,INDIRECT("Table!A" &amp; $AM10):INDIRECT("Table!" &amp; $AP$86 &amp; $AM10),0)))))</f>
        <v>1.6505178794896276</v>
      </c>
      <c r="K10" s="596">
        <f ca="1">IF(ISERROR(MATCH(K$1,INDIRECT("Table!A"&amp;$AM10):INDIRECT("Table!" &amp; $AP$86 &amp; $AM10),0)),"",INDIRECT(CONCATENATE("Table!",ADDRESS($AI10,MATCH(K$1,INDIRECT("Table!A" &amp; $AM10):INDIRECT("Table!" &amp; $AP$86 &amp; $AM10),0)))))</f>
        <v>0.9977963566937651</v>
      </c>
      <c r="L10" s="596">
        <f ca="1">IF(ISERROR(MATCH(L$1,INDIRECT("Table!A"&amp;$AM10):INDIRECT("Table!" &amp; $AP$108 &amp; $AM10),0)),"",INDIRECT(CONCATENATE("Table!",ADDRESS($AI10,MATCH(L$1,INDIRECT("Table!A" &amp; $AM10):INDIRECT("Table!" &amp; $AP$108 &amp; $AM10),0)))))</f>
        <v>0.69956594627442181</v>
      </c>
      <c r="M10" s="596">
        <f ca="1">IF(ISERROR(MATCH(M$1,INDIRECT("Table!A"&amp;$AM10):INDIRECT("Table!" &amp; $AP$108 &amp; $AM10),0)),"",INDIRECT(CONCATENATE("Table!",ADDRESS($AI10,MATCH(M$1,INDIRECT("Table!A" &amp; $AM10):INDIRECT("Table!" &amp; $AP$108 &amp; $AM10),0)))))</f>
        <v>1.0209277876244323</v>
      </c>
      <c r="N10" s="596">
        <f ca="1">IF(ISERROR(MATCH(N$1,INDIRECT("Table!A"&amp;$AM10):INDIRECT("Table!" &amp; $AP$108 &amp; $AM10),0)),"",INDIRECT(CONCATENATE("Table!",ADDRESS($AI10,MATCH(N$1,INDIRECT("Table!A" &amp; $AM10):INDIRECT("Table!" &amp; $AP$108 &amp; $AM10),0)))))</f>
        <v>1.3951503634445583</v>
      </c>
      <c r="O10" s="596">
        <f ca="1">IF(ISERROR(MATCH(O$1,INDIRECT("Table!A"&amp;$AM10):INDIRECT("Table!" &amp; $AP$86 &amp; $AM10),0)),"",INDIRECT(CONCATENATE("Table!",ADDRESS($AI10,MATCH(O$1,INDIRECT("Table!A" &amp; $AM10):INDIRECT("Table!" &amp; $AP$86 &amp; $AM10),0)))))</f>
        <v>0.49550352297320394</v>
      </c>
      <c r="P10" s="596">
        <f ca="1">IF(ISERROR(MATCH(P$1,INDIRECT("Table!A"&amp;$AM10):INDIRECT("Table!" &amp; $AP$86 &amp; $AM10),0)),"",INDIRECT(CONCATENATE("Table!",ADDRESS($AI10,MATCH(P$1,INDIRECT("Table!A" &amp; $AM10):INDIRECT("Table!" &amp; $AP$86 &amp; $AM10),0)))))</f>
        <v>0.7442696787525831</v>
      </c>
      <c r="Q10" s="596">
        <f ca="1">IF(ISERROR(MATCH(Q$1,INDIRECT("Table!A"&amp;$AM10):INDIRECT("Table!" &amp; $AP$86 &amp; $AM10),0)),"",INDIRECT(CONCATENATE("Table!",ADDRESS($AI10,MATCH(Q$1,INDIRECT("Table!A" &amp; $AM10):INDIRECT("Table!" &amp; $AP$86 &amp; $AM10),0)))))</f>
        <v>0.82595284790275658</v>
      </c>
      <c r="R10" s="596">
        <f ca="1">IF(ISERROR(MATCH(R$1,INDIRECT("Table!A"&amp;$AM10):INDIRECT("Table!" &amp; $AP$86 &amp; $AM10),0)),"",INDIRECT(CONCATENATE("Table!",ADDRESS($AI10,MATCH(R$1,INDIRECT("Table!A" &amp; $AM10):INDIRECT("Table!" &amp; $AP$86 &amp; $AM10),0)))))</f>
        <v>1.2335570891486447</v>
      </c>
      <c r="S10" s="596" t="str">
        <f ca="1">IF(ISERROR(MATCH(S$1,INDIRECT("Table!A"&amp;$AM10):INDIRECT("Table!" &amp; $AP$65 &amp; $AM10),0)),"",INDIRECT(CONCATENATE("Table!",ADDRESS($AI10,MATCH(S$1,INDIRECT("Table!A" &amp; $AM10):INDIRECT("Table!" &amp; $AP$65 &amp; $AM10),0)))))</f>
        <v/>
      </c>
      <c r="T10" s="596">
        <f ca="1">IF(ISERROR(MATCH(T$1,INDIRECT("Table!A"&amp;$AM10):INDIRECT("Table!" &amp; $AP$65 &amp; $AM10),0)),"",INDIRECT(CONCATENATE("Table!",ADDRESS($AI10,MATCH(T$1,INDIRECT("Table!A" &amp; $AM10):INDIRECT("Table!" &amp; $AP$65 &amp; $AM10),0)))))</f>
        <v>1.2196627128632083</v>
      </c>
      <c r="U10" s="596">
        <f ca="1">IF(ISERROR(MATCH(U$1,INDIRECT("Table!A"&amp;$AM10):INDIRECT("Table!" &amp; $AP$65 &amp; $AM10),0)),"",INDIRECT(CONCATENATE("Table!",ADDRESS($AI10,MATCH(U$1,INDIRECT("Table!A" &amp; $AM10):INDIRECT("Table!" &amp; $AP$65 &amp; $AM10),0)))))</f>
        <v>0.6242147627364929</v>
      </c>
      <c r="V10" s="596">
        <f ca="1">IF(ISERROR(MATCH(V$1,INDIRECT("Table!A"&amp;$AM10):INDIRECT("Table!" &amp; $AP$65 &amp; $AM10),0)),"",INDIRECT(CONCATENATE("Table!",ADDRESS($AI10,MATCH(V$1,INDIRECT("Table!A" &amp; $AM10):INDIRECT("Table!" &amp; $AP$65 &amp; $AM10),0)))))</f>
        <v>0.40622018983610703</v>
      </c>
      <c r="W10" s="596">
        <f ca="1">IF(ISERROR(MATCH(W$1,INDIRECT("Table!A"&amp;$AM10):INDIRECT("Table!" &amp; $AP$65 &amp; $AM10),0)),"",INDIRECT(CONCATENATE("Table!",ADDRESS($AI10,MATCH(W$1,INDIRECT("Table!A" &amp; $AM10):INDIRECT("Table!" &amp; $AP$65 &amp; $AM10),0)))))</f>
        <v>0.71230426678017345</v>
      </c>
      <c r="X10" s="596">
        <f ca="1">IF(ISERROR(MATCH(X$1,INDIRECT("Table!A"&amp;$AM10):INDIRECT("Table!" &amp; $AP$65 &amp; $AM10),0)),"",INDIRECT(CONCATENATE("Table!",ADDRESS($AI10,MATCH(X$1,INDIRECT("Table!A" &amp; $AM10):INDIRECT("Table!" &amp; $AP$65 &amp; $AM10),0)))))</f>
        <v>0.47816172107887239</v>
      </c>
      <c r="Y10" s="596">
        <f ca="1">IF(ISERROR(MATCH(Y$1,INDIRECT("Table!A"&amp;$AM10):INDIRECT("Table!" &amp; $AP$65 &amp; $AM10),0)),"",INDIRECT(CONCATENATE("Table!",ADDRESS($AI10,MATCH(Y$1,INDIRECT("Table!A" &amp; $AM10):INDIRECT("Table!" &amp; $AP$65 &amp; $AM10),0)))))</f>
        <v>0.61398714241681462</v>
      </c>
      <c r="Z10" s="596">
        <f ca="1">IF(ISERROR(MATCH(Z$1,INDIRECT("Table!A"&amp;$AM10):INDIRECT("Table!" &amp; $AP$65 &amp; $AM10),0)),"",INDIRECT(CONCATENATE("Table!",ADDRESS($AI10,MATCH(Z$1,INDIRECT("Table!A" &amp; $AM10):INDIRECT("Table!" &amp; $AP$65 &amp; $AM10),0)))))</f>
        <v>0.50359071869935779</v>
      </c>
      <c r="AA10" s="596">
        <f ca="1">IF(ISERROR(MATCH(AA$1,INDIRECT("Table!A"&amp;$AM10):INDIRECT("Table!" &amp; $AP$65 &amp; $AM10),0)),"",INDIRECT(CONCATENATE("Table!",ADDRESS($AI10,MATCH(AA$1,INDIRECT("Table!A" &amp; $AM10):INDIRECT("Table!" &amp; $AP$65 &amp; $AM10),0)))))</f>
        <v>0.68429994414278028</v>
      </c>
      <c r="AB10" s="596">
        <f ca="1">IF(ISERROR(MATCH(AB$1,INDIRECT("Table!A"&amp;$AM10):INDIRECT("Table!" &amp; $AP$65 &amp; $AM10),0)),"",INDIRECT(CONCATENATE("Table!",ADDRESS($AI10,MATCH(AB$1,INDIRECT("Table!A" &amp; $AM10):INDIRECT("Table!" &amp; $AP$65 &amp; $AM10),0)))))</f>
        <v>0</v>
      </c>
      <c r="AC10" s="596">
        <f ca="1">IF(ISERROR(MATCH(AC$1,INDIRECT("Table!A"&amp;$AM10):INDIRECT("Table!" &amp; $AP$65 &amp; $AM10),0)),"",INDIRECT(CONCATENATE("Table!",ADDRESS($AI10,MATCH(AC$1,INDIRECT("Table!A" &amp; $AM10):INDIRECT("Table!" &amp; $AP$65 &amp; $AM10),0)))))</f>
        <v>0.49957531356104667</v>
      </c>
      <c r="AD10" s="596">
        <f ca="1">IF(ISERROR(MATCH(AD$1,INDIRECT("Table!A"&amp;$AM10):INDIRECT("Table!" &amp; $AP$65 &amp; $AM10),0)),"",INDIRECT(CONCATENATE("Table!",ADDRESS($AI10,MATCH(AD$1,INDIRECT("Table!A" &amp; $AM10):INDIRECT("Table!" &amp; $AP$65 &amp; $AM10),0)))))</f>
        <v>0.51838462506560412</v>
      </c>
      <c r="AE10" s="596">
        <f ca="1">IF(ISERROR(MATCH(AE$1,INDIRECT("Table!A"&amp;$AM10):INDIRECT("Table!" &amp; $AP$65 &amp; $AM10),0)),"",INDIRECT(CONCATENATE("Table!",ADDRESS($AI10,MATCH(AE$1,INDIRECT("Table!A" &amp; $AM10):INDIRECT("Table!" &amp; $AP$65 &amp; $AM10),0)))))</f>
        <v>0.17528321492297083</v>
      </c>
      <c r="AF10" s="596">
        <f ca="1">IF(ISERROR(MATCH(AF$1,INDIRECT("Table!A"&amp;$AM10):INDIRECT("Table!" &amp; $AP$65 &amp; $AM10),0)),"",INDIRECT(CONCATENATE("Table!",ADDRESS($AI10,MATCH(AF$1,INDIRECT("Table!A" &amp; $AM10):INDIRECT("Table!" &amp; $AP$65 &amp; $AM10),0)))))</f>
        <v>0.17528321492297083</v>
      </c>
      <c r="AG10" s="596">
        <f ca="1">IF(ISERROR(MATCH(AG$1,INDIRECT("Table!A"&amp;$AM10):INDIRECT("Table!" &amp; $AP$65 &amp; $AM10),0)),"",INDIRECT(CONCATENATE("Table!",ADDRESS($AI10,MATCH(AG$1,INDIRECT("Table!A" &amp; $AM10):INDIRECT("Table!" &amp; $AP$65 &amp; $AM10),0)))))</f>
        <v>0.47896030815205165</v>
      </c>
      <c r="AH10" s="596"/>
      <c r="AI10" s="595">
        <f>MATCH($A10,Table!$A:$A,0)+$AK$2-1</f>
        <v>110</v>
      </c>
      <c r="AJ10" s="1023"/>
      <c r="AK10" s="1023"/>
      <c r="AL10" s="1023"/>
      <c r="AM10" s="595">
        <f>MATCH($A10,Table!$A:$A,0)+$AO$2-1</f>
        <v>101</v>
      </c>
      <c r="AN10" s="1023"/>
      <c r="AO10" s="1023"/>
      <c r="AP10" s="1023" t="s">
        <v>302</v>
      </c>
    </row>
    <row r="11" spans="1:42" s="947" customFormat="1" ht="19.5" customHeight="1" x14ac:dyDescent="0.25">
      <c r="A11" s="592">
        <v>41921</v>
      </c>
      <c r="B11" s="596">
        <f ca="1">IF(ISERROR(MATCH(B$1,INDIRECT("Table!A"&amp;$AM11):INDIRECT("Table!" &amp; $AP$108 &amp; $AM11),0)),"",INDIRECT(CONCATENATE("Table!",ADDRESS($AI11,MATCH(B$1,INDIRECT("Table!A" &amp; $AM11):INDIRECT("Table!" &amp; $AP$108 &amp; $AM11),0)))))</f>
        <v>0.29264202154721414</v>
      </c>
      <c r="C11" s="596">
        <f ca="1">IF(ISERROR(MATCH(C$1,INDIRECT("Table!A"&amp;$AM11):INDIRECT("Table!" &amp; $AP$108 &amp; $AM11),0)),"",INDIRECT(CONCATENATE("Table!",ADDRESS($AI11,MATCH(C$1,INDIRECT("Table!A" &amp; $AM11):INDIRECT("Table!" &amp; $AP$108 &amp; $AM11),0)))))</f>
        <v>0.55285264691559133</v>
      </c>
      <c r="D11" s="596">
        <f ca="1">IF(ISERROR(MATCH(D$1,INDIRECT("Table!A"&amp;$AM11):INDIRECT("Table!" &amp; $AP$108 &amp; $AM11),0)),"",INDIRECT(CONCATENATE("Table!",ADDRESS($AI11,MATCH(D$1,INDIRECT("Table!A" &amp; $AM11):INDIRECT("Table!" &amp; $AP$108 &amp; $AM11),0)))))</f>
        <v>0.59003803564654278</v>
      </c>
      <c r="E11" s="596">
        <f ca="1">IF(ISERROR(MATCH(E$1,INDIRECT("Table!A"&amp;$AM11):INDIRECT("Table!" &amp; $AP$108 &amp; $AM11),0)),"",INDIRECT(CONCATENATE("Table!",ADDRESS($AI11,MATCH(E$1,INDIRECT("Table!A" &amp; $AM11):INDIRECT("Table!" &amp; $AP$108 &amp; $AM11),0)))))</f>
        <v>0.89943469407490606</v>
      </c>
      <c r="F11" s="596">
        <f ca="1">IF(ISERROR(MATCH(F$1,INDIRECT("Table!A"&amp;$AM11):INDIRECT("Table!" &amp; $AP$108 &amp; $AM11),0)),"",INDIRECT(CONCATENATE("Table!",ADDRESS($AI11,MATCH(F$1,INDIRECT("Table!A" &amp; $AM11):INDIRECT("Table!" &amp; $AP$108 &amp; $AM11),0)))))</f>
        <v>0.68464961086642162</v>
      </c>
      <c r="G11" s="596">
        <f ca="1">IF(ISERROR(MATCH(G$1,INDIRECT("Table!A"&amp;$AM11):INDIRECT("Table!" &amp; $AP$108 &amp; $AM11),0)),"",INDIRECT(CONCATENATE("Table!",ADDRESS($AI11,MATCH(G$1,INDIRECT("Table!A" &amp; $AM11):INDIRECT("Table!" &amp; $AP$108 &amp; $AM11),0)))))</f>
        <v>1.0885387222243617</v>
      </c>
      <c r="H11" s="596">
        <f ca="1">IF(ISERROR(MATCH(H$1,INDIRECT("Table!A"&amp;$AM11):INDIRECT("Table!" &amp; $AP$108 &amp; $AM11),0)),"",INDIRECT(CONCATENATE("Table!",ADDRESS($AI11,MATCH(H$1,INDIRECT("Table!A" &amp; $AM11):INDIRECT("Table!" &amp; $AP$108 &amp; $AM11),0)))))</f>
        <v>1.139287206607918</v>
      </c>
      <c r="I11" s="596">
        <f ca="1">IF(ISERROR(MATCH(I$1,INDIRECT("Table!A"&amp;$AM11):INDIRECT("Table!" &amp; $AP$86 &amp; $AM11),0)),"",INDIRECT(CONCATENATE("Table!",ADDRESS($AI11,MATCH(I$1,INDIRECT("Table!A" &amp; $AM11):INDIRECT("Table!" &amp; $AP$86 &amp; $AM11),0)))))</f>
        <v>0.2801663073977288</v>
      </c>
      <c r="J11" s="596">
        <f ca="1">IF(ISERROR(MATCH(J$1,INDIRECT("Table!A"&amp;$AM11):INDIRECT("Table!" &amp; $AP$86 &amp; $AM11),0)),"",INDIRECT(CONCATENATE("Table!",ADDRESS($AI11,MATCH(J$1,INDIRECT("Table!A" &amp; $AM11):INDIRECT("Table!" &amp; $AP$86 &amp; $AM11),0)))))</f>
        <v>1.6505178794896276</v>
      </c>
      <c r="K11" s="596">
        <f ca="1">IF(ISERROR(MATCH(K$1,INDIRECT("Table!A"&amp;$AM11):INDIRECT("Table!" &amp; $AP$86 &amp; $AM11),0)),"",INDIRECT(CONCATENATE("Table!",ADDRESS($AI11,MATCH(K$1,INDIRECT("Table!A" &amp; $AM11):INDIRECT("Table!" &amp; $AP$86 &amp; $AM11),0)))))</f>
        <v>1.0000534740743121</v>
      </c>
      <c r="L11" s="596">
        <f ca="1">IF(ISERROR(MATCH(L$1,INDIRECT("Table!A"&amp;$AM11):INDIRECT("Table!" &amp; $AP$108 &amp; $AM11),0)),"",INDIRECT(CONCATENATE("Table!",ADDRESS($AI11,MATCH(L$1,INDIRECT("Table!A" &amp; $AM11):INDIRECT("Table!" &amp; $AP$108 &amp; $AM11),0)))))</f>
        <v>0.7304830929637034</v>
      </c>
      <c r="M11" s="596">
        <f ca="1">IF(ISERROR(MATCH(M$1,INDIRECT("Table!A"&amp;$AM11):INDIRECT("Table!" &amp; $AP$108 &amp; $AM11),0)),"",INDIRECT(CONCATENATE("Table!",ADDRESS($AI11,MATCH(M$1,INDIRECT("Table!A" &amp; $AM11):INDIRECT("Table!" &amp; $AP$108 &amp; $AM11),0)))))</f>
        <v>1.0115410071518887</v>
      </c>
      <c r="N11" s="596">
        <f ca="1">IF(ISERROR(MATCH(N$1,INDIRECT("Table!A"&amp;$AM11):INDIRECT("Table!" &amp; $AP$108 &amp; $AM11),0)),"",INDIRECT(CONCATENATE("Table!",ADDRESS($AI11,MATCH(N$1,INDIRECT("Table!A" &amp; $AM11):INDIRECT("Table!" &amp; $AP$108 &amp; $AM11),0)))))</f>
        <v>1.3951503634445583</v>
      </c>
      <c r="O11" s="596">
        <f ca="1">IF(ISERROR(MATCH(O$1,INDIRECT("Table!A"&amp;$AM11):INDIRECT("Table!" &amp; $AP$86 &amp; $AM11),0)),"",INDIRECT(CONCATENATE("Table!",ADDRESS($AI11,MATCH(O$1,INDIRECT("Table!A" &amp; $AM11):INDIRECT("Table!" &amp; $AP$86 &amp; $AM11),0)))))</f>
        <v>0.51650564371036278</v>
      </c>
      <c r="P11" s="596">
        <f ca="1">IF(ISERROR(MATCH(P$1,INDIRECT("Table!A"&amp;$AM11):INDIRECT("Table!" &amp; $AP$86 &amp; $AM11),0)),"",INDIRECT(CONCATENATE("Table!",ADDRESS($AI11,MATCH(P$1,INDIRECT("Table!A" &amp; $AM11):INDIRECT("Table!" &amp; $AP$86 &amp; $AM11),0)))))</f>
        <v>0.74223948322952638</v>
      </c>
      <c r="Q11" s="596">
        <f ca="1">IF(ISERROR(MATCH(Q$1,INDIRECT("Table!A"&amp;$AM11):INDIRECT("Table!" &amp; $AP$86 &amp; $AM11),0)),"",INDIRECT(CONCATENATE("Table!",ADDRESS($AI11,MATCH(Q$1,INDIRECT("Table!A" &amp; $AM11):INDIRECT("Table!" &amp; $AP$86 &amp; $AM11),0)))))</f>
        <v>0.82595284790275658</v>
      </c>
      <c r="R11" s="596">
        <f ca="1">IF(ISERROR(MATCH(R$1,INDIRECT("Table!A"&amp;$AM11):INDIRECT("Table!" &amp; $AP$86 &amp; $AM11),0)),"",INDIRECT(CONCATENATE("Table!",ADDRESS($AI11,MATCH(R$1,INDIRECT("Table!A" &amp; $AM11):INDIRECT("Table!" &amp; $AP$86 &amp; $AM11),0)))))</f>
        <v>1.2356138746245076</v>
      </c>
      <c r="S11" s="596" t="str">
        <f ca="1">IF(ISERROR(MATCH(S$1,INDIRECT("Table!A"&amp;$AM11):INDIRECT("Table!" &amp; $AP$65 &amp; $AM11),0)),"",INDIRECT(CONCATENATE("Table!",ADDRESS($AI11,MATCH(S$1,INDIRECT("Table!A" &amp; $AM11):INDIRECT("Table!" &amp; $AP$65 &amp; $AM11),0)))))</f>
        <v/>
      </c>
      <c r="T11" s="596">
        <f ca="1">IF(ISERROR(MATCH(T$1,INDIRECT("Table!A"&amp;$AM11):INDIRECT("Table!" &amp; $AP$65 &amp; $AM11),0)),"",INDIRECT(CONCATENATE("Table!",ADDRESS($AI11,MATCH(T$1,INDIRECT("Table!A" &amp; $AM11):INDIRECT("Table!" &amp; $AP$65 &amp; $AM11),0)))))</f>
        <v>1.2196627128632083</v>
      </c>
      <c r="U11" s="596">
        <f ca="1">IF(ISERROR(MATCH(U$1,INDIRECT("Table!A"&amp;$AM11):INDIRECT("Table!" &amp; $AP$65 &amp; $AM11),0)),"",INDIRECT(CONCATENATE("Table!",ADDRESS($AI11,MATCH(U$1,INDIRECT("Table!A" &amp; $AM11):INDIRECT("Table!" &amp; $AP$65 &amp; $AM11),0)))))</f>
        <v>0.6242147627364929</v>
      </c>
      <c r="V11" s="596">
        <f ca="1">IF(ISERROR(MATCH(V$1,INDIRECT("Table!A"&amp;$AM11):INDIRECT("Table!" &amp; $AP$65 &amp; $AM11),0)),"",INDIRECT(CONCATENATE("Table!",ADDRESS($AI11,MATCH(V$1,INDIRECT("Table!A" &amp; $AM11):INDIRECT("Table!" &amp; $AP$65 &amp; $AM11),0)))))</f>
        <v>0.40622018983610703</v>
      </c>
      <c r="W11" s="596">
        <f ca="1">IF(ISERROR(MATCH(W$1,INDIRECT("Table!A"&amp;$AM11):INDIRECT("Table!" &amp; $AP$65 &amp; $AM11),0)),"",INDIRECT(CONCATENATE("Table!",ADDRESS($AI11,MATCH(W$1,INDIRECT("Table!A" &amp; $AM11):INDIRECT("Table!" &amp; $AP$65 &amp; $AM11),0)))))</f>
        <v>0.49488485417798067</v>
      </c>
      <c r="X11" s="596">
        <f ca="1">IF(ISERROR(MATCH(X$1,INDIRECT("Table!A"&amp;$AM11):INDIRECT("Table!" &amp; $AP$65 &amp; $AM11),0)),"",INDIRECT(CONCATENATE("Table!",ADDRESS($AI11,MATCH(X$1,INDIRECT("Table!A" &amp; $AM11):INDIRECT("Table!" &amp; $AP$65 &amp; $AM11),0)))))</f>
        <v>0.29098498542935081</v>
      </c>
      <c r="Y11" s="596">
        <f ca="1">IF(ISERROR(MATCH(Y$1,INDIRECT("Table!A"&amp;$AM11):INDIRECT("Table!" &amp; $AP$65 &amp; $AM11),0)),"",INDIRECT(CONCATENATE("Table!",ADDRESS($AI11,MATCH(Y$1,INDIRECT("Table!A" &amp; $AM11):INDIRECT("Table!" &amp; $AP$65 &amp; $AM11),0)))))</f>
        <v>0.60837844740279756</v>
      </c>
      <c r="Z11" s="596">
        <f ca="1">IF(ISERROR(MATCH(Z$1,INDIRECT("Table!A"&amp;$AM11):INDIRECT("Table!" &amp; $AP$65 &amp; $AM11),0)),"",INDIRECT(CONCATENATE("Table!",ADDRESS($AI11,MATCH(Z$1,INDIRECT("Table!A" &amp; $AM11):INDIRECT("Table!" &amp; $AP$65 &amp; $AM11),0)))))</f>
        <v>0.50085468730981175</v>
      </c>
      <c r="AA11" s="596">
        <f ca="1">IF(ISERROR(MATCH(AA$1,INDIRECT("Table!A"&amp;$AM11):INDIRECT("Table!" &amp; $AP$65 &amp; $AM11),0)),"",INDIRECT(CONCATENATE("Table!",ADDRESS($AI11,MATCH(AA$1,INDIRECT("Table!A" &amp; $AM11):INDIRECT("Table!" &amp; $AP$65 &amp; $AM11),0)))))</f>
        <v>0.69076237803290097</v>
      </c>
      <c r="AB11" s="596">
        <f ca="1">IF(ISERROR(MATCH(AB$1,INDIRECT("Table!A"&amp;$AM11):INDIRECT("Table!" &amp; $AP$65 &amp; $AM11),0)),"",INDIRECT(CONCATENATE("Table!",ADDRESS($AI11,MATCH(AB$1,INDIRECT("Table!A" &amp; $AM11):INDIRECT("Table!" &amp; $AP$65 &amp; $AM11),0)))))</f>
        <v>0</v>
      </c>
      <c r="AC11" s="596">
        <f ca="1">IF(ISERROR(MATCH(AC$1,INDIRECT("Table!A"&amp;$AM11):INDIRECT("Table!" &amp; $AP$65 &amp; $AM11),0)),"",INDIRECT(CONCATENATE("Table!",ADDRESS($AI11,MATCH(AC$1,INDIRECT("Table!A" &amp; $AM11):INDIRECT("Table!" &amp; $AP$65 &amp; $AM11),0)))))</f>
        <v>0.36775965853710785</v>
      </c>
      <c r="AD11" s="596">
        <f ca="1">IF(ISERROR(MATCH(AD$1,INDIRECT("Table!A"&amp;$AM11):INDIRECT("Table!" &amp; $AP$65 &amp; $AM11),0)),"",INDIRECT(CONCATENATE("Table!",ADDRESS($AI11,MATCH(AD$1,INDIRECT("Table!A" &amp; $AM11):INDIRECT("Table!" &amp; $AP$65 &amp; $AM11),0)))))</f>
        <v>0.51687988014523945</v>
      </c>
      <c r="AE11" s="596">
        <f ca="1">IF(ISERROR(MATCH(AE$1,INDIRECT("Table!A"&amp;$AM11):INDIRECT("Table!" &amp; $AP$65 &amp; $AM11),0)),"",INDIRECT(CONCATENATE("Table!",ADDRESS($AI11,MATCH(AE$1,INDIRECT("Table!A" &amp; $AM11):INDIRECT("Table!" &amp; $AP$65 &amp; $AM11),0)))))</f>
        <v>0.15779806663631982</v>
      </c>
      <c r="AF11" s="596">
        <f ca="1">IF(ISERROR(MATCH(AF$1,INDIRECT("Table!A"&amp;$AM11):INDIRECT("Table!" &amp; $AP$65 &amp; $AM11),0)),"",INDIRECT(CONCATENATE("Table!",ADDRESS($AI11,MATCH(AF$1,INDIRECT("Table!A" &amp; $AM11):INDIRECT("Table!" &amp; $AP$65 &amp; $AM11),0)))))</f>
        <v>0.15779806663631982</v>
      </c>
      <c r="AG11" s="596">
        <f ca="1">IF(ISERROR(MATCH(AG$1,INDIRECT("Table!A"&amp;$AM11):INDIRECT("Table!" &amp; $AP$65 &amp; $AM11),0)),"",INDIRECT(CONCATENATE("Table!",ADDRESS($AI11,MATCH(AG$1,INDIRECT("Table!A" &amp; $AM11):INDIRECT("Table!" &amp; $AP$65 &amp; $AM11),0)))))</f>
        <v>0.26709222336471616</v>
      </c>
      <c r="AH11" s="596"/>
      <c r="AI11" s="595">
        <f>MATCH($A11,Table!$A:$A,0)+$AK$2-1</f>
        <v>124</v>
      </c>
      <c r="AJ11" s="1020"/>
      <c r="AK11" s="1020"/>
      <c r="AL11" s="1020"/>
      <c r="AM11" s="595">
        <f>MATCH($A11,Table!$A:$A,0)+$AO$2-1</f>
        <v>115</v>
      </c>
      <c r="AN11" s="1020"/>
      <c r="AO11" s="1020"/>
      <c r="AP11" s="1020" t="s">
        <v>302</v>
      </c>
    </row>
    <row r="12" spans="1:42" s="947" customFormat="1" ht="19.5" customHeight="1" x14ac:dyDescent="0.25">
      <c r="A12" s="592">
        <v>41914</v>
      </c>
      <c r="B12" s="596">
        <f ca="1">IF(ISERROR(MATCH(B$1,INDIRECT("Table!A"&amp;$AM12):INDIRECT("Table!" &amp; $AP$108 &amp; $AM12),0)),"",INDIRECT(CONCATENATE("Table!",ADDRESS($AI12,MATCH(B$1,INDIRECT("Table!A" &amp; $AM12):INDIRECT("Table!" &amp; $AP$108 &amp; $AM12),0)))))</f>
        <v>0.44759394908534733</v>
      </c>
      <c r="C12" s="596">
        <f ca="1">IF(ISERROR(MATCH(C$1,INDIRECT("Table!A"&amp;$AM12):INDIRECT("Table!" &amp; $AP$108 &amp; $AM12),0)),"",INDIRECT(CONCATENATE("Table!",ADDRESS($AI12,MATCH(C$1,INDIRECT("Table!A" &amp; $AM12):INDIRECT("Table!" &amp; $AP$108 &amp; $AM12),0)))))</f>
        <v>0.55666078913502615</v>
      </c>
      <c r="D12" s="596">
        <f ca="1">IF(ISERROR(MATCH(D$1,INDIRECT("Table!A"&amp;$AM12):INDIRECT("Table!" &amp; $AP$108 &amp; $AM12),0)),"",INDIRECT(CONCATENATE("Table!",ADDRESS($AI12,MATCH(D$1,INDIRECT("Table!A" &amp; $AM12):INDIRECT("Table!" &amp; $AP$108 &amp; $AM12),0)))))</f>
        <v>0.59048605237824103</v>
      </c>
      <c r="E12" s="596">
        <f ca="1">IF(ISERROR(MATCH(E$1,INDIRECT("Table!A"&amp;$AM12):INDIRECT("Table!" &amp; $AP$108 &amp; $AM12),0)),"",INDIRECT(CONCATENATE("Table!",ADDRESS($AI12,MATCH(E$1,INDIRECT("Table!A" &amp; $AM12):INDIRECT("Table!" &amp; $AP$108 &amp; $AM12),0)))))</f>
        <v>0.92518575946654602</v>
      </c>
      <c r="F12" s="596">
        <f ca="1">IF(ISERROR(MATCH(F$1,INDIRECT("Table!A"&amp;$AM12):INDIRECT("Table!" &amp; $AP$108 &amp; $AM12),0)),"",INDIRECT(CONCATENATE("Table!",ADDRESS($AI12,MATCH(F$1,INDIRECT("Table!A" &amp; $AM12):INDIRECT("Table!" &amp; $AP$108 &amp; $AM12),0)))))</f>
        <v>0.68464961086642162</v>
      </c>
      <c r="G12" s="596">
        <f ca="1">IF(ISERROR(MATCH(G$1,INDIRECT("Table!A"&amp;$AM12):INDIRECT("Table!" &amp; $AP$108 &amp; $AM12),0)),"",INDIRECT(CONCATENATE("Table!",ADDRESS($AI12,MATCH(G$1,INDIRECT("Table!A" &amp; $AM12):INDIRECT("Table!" &amp; $AP$108 &amp; $AM12),0)))))</f>
        <v>1.0885387222243617</v>
      </c>
      <c r="H12" s="596">
        <f ca="1">IF(ISERROR(MATCH(H$1,INDIRECT("Table!A"&amp;$AM12):INDIRECT("Table!" &amp; $AP$108 &amp; $AM12),0)),"",INDIRECT(CONCATENATE("Table!",ADDRESS($AI12,MATCH(H$1,INDIRECT("Table!A" &amp; $AM12):INDIRECT("Table!" &amp; $AP$108 &amp; $AM12),0)))))</f>
        <v>1.1537954243482356</v>
      </c>
      <c r="I12" s="596">
        <f ca="1">IF(ISERROR(MATCH(I$1,INDIRECT("Table!A"&amp;$AM12):INDIRECT("Table!" &amp; $AP$86 &amp; $AM12),0)),"",INDIRECT(CONCATENATE("Table!",ADDRESS($AI12,MATCH(I$1,INDIRECT("Table!A" &amp; $AM12):INDIRECT("Table!" &amp; $AP$86 &amp; $AM12),0)))))</f>
        <v>0.2801663073977288</v>
      </c>
      <c r="J12" s="596">
        <f ca="1">IF(ISERROR(MATCH(J$1,INDIRECT("Table!A"&amp;$AM12):INDIRECT("Table!" &amp; $AP$86 &amp; $AM12),0)),"",INDIRECT(CONCATENATE("Table!",ADDRESS($AI12,MATCH(J$1,INDIRECT("Table!A" &amp; $AM12):INDIRECT("Table!" &amp; $AP$86 &amp; $AM12),0)))))</f>
        <v>1.6551396557952316</v>
      </c>
      <c r="K12" s="596">
        <f ca="1">IF(ISERROR(MATCH(K$1,INDIRECT("Table!A"&amp;$AM12):INDIRECT("Table!" &amp; $AP$86 &amp; $AM12),0)),"",INDIRECT(CONCATENATE("Table!",ADDRESS($AI12,MATCH(K$1,INDIRECT("Table!A" &amp; $AM12):INDIRECT("Table!" &amp; $AP$86 &amp; $AM12),0)))))</f>
        <v>0.99975252509023904</v>
      </c>
      <c r="L12" s="596">
        <f ca="1">IF(ISERROR(MATCH(L$1,INDIRECT("Table!A"&amp;$AM12):INDIRECT("Table!" &amp; $AP$108 &amp; $AM12),0)),"",INDIRECT(CONCATENATE("Table!",ADDRESS($AI12,MATCH(L$1,INDIRECT("Table!A" &amp; $AM12):INDIRECT("Table!" &amp; $AP$108 &amp; $AM12),0)))))</f>
        <v>0.70585417949936047</v>
      </c>
      <c r="M12" s="596">
        <f ca="1">IF(ISERROR(MATCH(M$1,INDIRECT("Table!A"&amp;$AM12):INDIRECT("Table!" &amp; $AP$108 &amp; $AM12),0)),"",INDIRECT(CONCATENATE("Table!",ADDRESS($AI12,MATCH(M$1,INDIRECT("Table!A" &amp; $AM12):INDIRECT("Table!" &amp; $AP$108 &amp; $AM12),0)))))</f>
        <v>1.0437022713938824</v>
      </c>
      <c r="N12" s="596">
        <f ca="1">IF(ISERROR(MATCH(N$1,INDIRECT("Table!A"&amp;$AM12):INDIRECT("Table!" &amp; $AP$108 &amp; $AM12),0)),"",INDIRECT(CONCATENATE("Table!",ADDRESS($AI12,MATCH(N$1,INDIRECT("Table!A" &amp; $AM12):INDIRECT("Table!" &amp; $AP$108 &amp; $AM12),0)))))</f>
        <v>1.3951503634445583</v>
      </c>
      <c r="O12" s="596">
        <f ca="1">IF(ISERROR(MATCH(O$1,INDIRECT("Table!A"&amp;$AM12):INDIRECT("Table!" &amp; $AP$86 &amp; $AM12),0)),"",INDIRECT(CONCATENATE("Table!",ADDRESS($AI12,MATCH(O$1,INDIRECT("Table!A" &amp; $AM12):INDIRECT("Table!" &amp; $AP$86 &amp; $AM12),0)))))</f>
        <v>0.51137721887919607</v>
      </c>
      <c r="P12" s="596">
        <f ca="1">IF(ISERROR(MATCH(P$1,INDIRECT("Table!A"&amp;$AM12):INDIRECT("Table!" &amp; $AP$86 &amp; $AM12),0)),"",INDIRECT(CONCATENATE("Table!",ADDRESS($AI12,MATCH(P$1,INDIRECT("Table!A" &amp; $AM12):INDIRECT("Table!" &amp; $AP$86 &amp; $AM12),0)))))</f>
        <v>0.74223948322952638</v>
      </c>
      <c r="Q12" s="596">
        <f ca="1">IF(ISERROR(MATCH(Q$1,INDIRECT("Table!A"&amp;$AM12):INDIRECT("Table!" &amp; $AP$86 &amp; $AM12),0)),"",INDIRECT(CONCATENATE("Table!",ADDRESS($AI12,MATCH(Q$1,INDIRECT("Table!A" &amp; $AM12):INDIRECT("Table!" &amp; $AP$86 &amp; $AM12),0)))))</f>
        <v>0.82331345874243667</v>
      </c>
      <c r="R12" s="596">
        <f ca="1">IF(ISERROR(MATCH(R$1,INDIRECT("Table!A"&amp;$AM12):INDIRECT("Table!" &amp; $AP$86 &amp; $AM12),0)),"",INDIRECT(CONCATENATE("Table!",ADDRESS($AI12,MATCH(R$1,INDIRECT("Table!A" &amp; $AM12):INDIRECT("Table!" &amp; $AP$86 &amp; $AM12),0)))))</f>
        <v>1.2577243184900311</v>
      </c>
      <c r="S12" s="596" t="str">
        <f ca="1">IF(ISERROR(MATCH(S$1,INDIRECT("Table!A"&amp;$AM12):INDIRECT("Table!" &amp; $AP$65 &amp; $AM12),0)),"",INDIRECT(CONCATENATE("Table!",ADDRESS($AI12,MATCH(S$1,INDIRECT("Table!A" &amp; $AM12):INDIRECT("Table!" &amp; $AP$65 &amp; $AM12),0)))))</f>
        <v/>
      </c>
      <c r="T12" s="596">
        <f ca="1">IF(ISERROR(MATCH(T$1,INDIRECT("Table!A"&amp;$AM12):INDIRECT("Table!" &amp; $AP$65 &amp; $AM12),0)),"",INDIRECT(CONCATENATE("Table!",ADDRESS($AI12,MATCH(T$1,INDIRECT("Table!A" &amp; $AM12):INDIRECT("Table!" &amp; $AP$65 &amp; $AM12),0)))))</f>
        <v>1.2196627128632083</v>
      </c>
      <c r="U12" s="596">
        <f ca="1">IF(ISERROR(MATCH(U$1,INDIRECT("Table!A"&amp;$AM12):INDIRECT("Table!" &amp; $AP$65 &amp; $AM12),0)),"",INDIRECT(CONCATENATE("Table!",ADDRESS($AI12,MATCH(U$1,INDIRECT("Table!A" &amp; $AM12):INDIRECT("Table!" &amp; $AP$65 &amp; $AM12),0)))))</f>
        <v>0.6242147627364929</v>
      </c>
      <c r="V12" s="596">
        <f ca="1">IF(ISERROR(MATCH(V$1,INDIRECT("Table!A"&amp;$AM12):INDIRECT("Table!" &amp; $AP$65 &amp; $AM12),0)),"",INDIRECT(CONCATENATE("Table!",ADDRESS($AI12,MATCH(V$1,INDIRECT("Table!A" &amp; $AM12):INDIRECT("Table!" &amp; $AP$65 &amp; $AM12),0)))))</f>
        <v>0.40622018983610703</v>
      </c>
      <c r="W12" s="596">
        <f ca="1">IF(ISERROR(MATCH(W$1,INDIRECT("Table!A"&amp;$AM12):INDIRECT("Table!" &amp; $AP$65 &amp; $AM12),0)),"",INDIRECT(CONCATENATE("Table!",ADDRESS($AI12,MATCH(W$1,INDIRECT("Table!A" &amp; $AM12):INDIRECT("Table!" &amp; $AP$65 &amp; $AM12),0)))))</f>
        <v>0.45958306791328468</v>
      </c>
      <c r="X12" s="596">
        <f ca="1">IF(ISERROR(MATCH(X$1,INDIRECT("Table!A"&amp;$AM12):INDIRECT("Table!" &amp; $AP$65 &amp; $AM12),0)),"",INDIRECT(CONCATENATE("Table!",ADDRESS($AI12,MATCH(X$1,INDIRECT("Table!A" &amp; $AM12):INDIRECT("Table!" &amp; $AP$65 &amp; $AM12),0)))))</f>
        <v>0.27376408197750318</v>
      </c>
      <c r="Y12" s="596">
        <f ca="1">IF(ISERROR(MATCH(Y$1,INDIRECT("Table!A"&amp;$AM12):INDIRECT("Table!" &amp; $AP$65 &amp; $AM12),0)),"",INDIRECT(CONCATENATE("Table!",ADDRESS($AI12,MATCH(Y$1,INDIRECT("Table!A" &amp; $AM12):INDIRECT("Table!" &amp; $AP$65 &amp; $AM12),0)))))</f>
        <v>0.53348587280386306</v>
      </c>
      <c r="Z12" s="596">
        <f ca="1">IF(ISERROR(MATCH(Z$1,INDIRECT("Table!A"&amp;$AM12):INDIRECT("Table!" &amp; $AP$65 &amp; $AM12),0)),"",INDIRECT(CONCATENATE("Table!",ADDRESS($AI12,MATCH(Z$1,INDIRECT("Table!A" &amp; $AM12):INDIRECT("Table!" &amp; $AP$65 &amp; $AM12),0)))))</f>
        <v>0.42923504211287539</v>
      </c>
      <c r="AA12" s="596">
        <f ca="1">IF(ISERROR(MATCH(AA$1,INDIRECT("Table!A"&amp;$AM12):INDIRECT("Table!" &amp; $AP$65 &amp; $AM12),0)),"",INDIRECT(CONCATENATE("Table!",ADDRESS($AI12,MATCH(AA$1,INDIRECT("Table!A" &amp; $AM12):INDIRECT("Table!" &amp; $AP$65 &amp; $AM12),0)))))</f>
        <v>0.67311890772971428</v>
      </c>
      <c r="AB12" s="596">
        <f ca="1">IF(ISERROR(MATCH(AB$1,INDIRECT("Table!A"&amp;$AM12):INDIRECT("Table!" &amp; $AP$65 &amp; $AM12),0)),"",INDIRECT(CONCATENATE("Table!",ADDRESS($AI12,MATCH(AB$1,INDIRECT("Table!A" &amp; $AM12):INDIRECT("Table!" &amp; $AP$65 &amp; $AM12),0)))))</f>
        <v>0</v>
      </c>
      <c r="AC12" s="596">
        <f ca="1">IF(ISERROR(MATCH(AC$1,INDIRECT("Table!A"&amp;$AM12):INDIRECT("Table!" &amp; $AP$65 &amp; $AM12),0)),"",INDIRECT(CONCATENATE("Table!",ADDRESS($AI12,MATCH(AC$1,INDIRECT("Table!A" &amp; $AM12):INDIRECT("Table!" &amp; $AP$65 &amp; $AM12),0)))))</f>
        <v>0.31373931589601872</v>
      </c>
      <c r="AD12" s="596">
        <f ca="1">IF(ISERROR(MATCH(AD$1,INDIRECT("Table!A"&amp;$AM12):INDIRECT("Table!" &amp; $AP$65 &amp; $AM12),0)),"",INDIRECT(CONCATENATE("Table!",ADDRESS($AI12,MATCH(AD$1,INDIRECT("Table!A" &amp; $AM12):INDIRECT("Table!" &amp; $AP$65 &amp; $AM12),0)))))</f>
        <v>0.41892098582950416</v>
      </c>
      <c r="AE12" s="596">
        <f ca="1">IF(ISERROR(MATCH(AE$1,INDIRECT("Table!A"&amp;$AM12):INDIRECT("Table!" &amp; $AP$65 &amp; $AM12),0)),"",INDIRECT(CONCATENATE("Table!",ADDRESS($AI12,MATCH(AE$1,INDIRECT("Table!A" &amp; $AM12):INDIRECT("Table!" &amp; $AP$65 &amp; $AM12),0)))))</f>
        <v>0.15153795181764226</v>
      </c>
      <c r="AF12" s="596">
        <f ca="1">IF(ISERROR(MATCH(AF$1,INDIRECT("Table!A"&amp;$AM12):INDIRECT("Table!" &amp; $AP$65 &amp; $AM12),0)),"",INDIRECT(CONCATENATE("Table!",ADDRESS($AI12,MATCH(AF$1,INDIRECT("Table!A" &amp; $AM12):INDIRECT("Table!" &amp; $AP$65 &amp; $AM12),0)))))</f>
        <v>0.15153795181764226</v>
      </c>
      <c r="AG12" s="596">
        <f ca="1">IF(ISERROR(MATCH(AG$1,INDIRECT("Table!A"&amp;$AM12):INDIRECT("Table!" &amp; $AP$65 &amp; $AM12),0)),"",INDIRECT(CONCATENATE("Table!",ADDRESS($AI12,MATCH(AG$1,INDIRECT("Table!A" &amp; $AM12):INDIRECT("Table!" &amp; $AP$65 &amp; $AM12),0)))))</f>
        <v>0.26709222336471616</v>
      </c>
      <c r="AH12" s="596"/>
      <c r="AI12" s="595">
        <f>MATCH($A12,Table!$A:$A,0)+$AK$2-1</f>
        <v>138</v>
      </c>
      <c r="AJ12" s="1017"/>
      <c r="AK12" s="1017"/>
      <c r="AL12" s="1017"/>
      <c r="AM12" s="595">
        <f>MATCH($A12,Table!$A:$A,0)+$AO$2-1</f>
        <v>129</v>
      </c>
      <c r="AN12" s="1017"/>
      <c r="AO12" s="1017"/>
      <c r="AP12" s="1017" t="s">
        <v>302</v>
      </c>
    </row>
    <row r="13" spans="1:42" s="947" customFormat="1" ht="19.5" customHeight="1" x14ac:dyDescent="0.25">
      <c r="A13" s="592">
        <v>41907</v>
      </c>
      <c r="B13" s="596">
        <f ca="1">IF(ISERROR(MATCH(B$1,INDIRECT("Table!A"&amp;$AM13):INDIRECT("Table!" &amp; $AP$108 &amp; $AM13),0)),"",INDIRECT(CONCATENATE("Table!",ADDRESS($AI13,MATCH(B$1,INDIRECT("Table!A" &amp; $AM13):INDIRECT("Table!" &amp; $AP$108 &amp; $AM13),0)))))</f>
        <v>0.44759394908534733</v>
      </c>
      <c r="C13" s="596">
        <f ca="1">IF(ISERROR(MATCH(C$1,INDIRECT("Table!A"&amp;$AM13):INDIRECT("Table!" &amp; $AP$108 &amp; $AM13),0)),"",INDIRECT(CONCATENATE("Table!",ADDRESS($AI13,MATCH(C$1,INDIRECT("Table!A" &amp; $AM13):INDIRECT("Table!" &amp; $AP$108 &amp; $AM13),0)))))</f>
        <v>0.55666078913502615</v>
      </c>
      <c r="D13" s="596">
        <f ca="1">IF(ISERROR(MATCH(D$1,INDIRECT("Table!A"&amp;$AM13):INDIRECT("Table!" &amp; $AP$108 &amp; $AM13),0)),"",INDIRECT(CONCATENATE("Table!",ADDRESS($AI13,MATCH(D$1,INDIRECT("Table!A" &amp; $AM13):INDIRECT("Table!" &amp; $AP$108 &amp; $AM13),0)))))</f>
        <v>0.59048605237824103</v>
      </c>
      <c r="E13" s="596">
        <f ca="1">IF(ISERROR(MATCH(E$1,INDIRECT("Table!A"&amp;$AM13):INDIRECT("Table!" &amp; $AP$108 &amp; $AM13),0)),"",INDIRECT(CONCATENATE("Table!",ADDRESS($AI13,MATCH(E$1,INDIRECT("Table!A" &amp; $AM13):INDIRECT("Table!" &amp; $AP$108 &amp; $AM13),0)))))</f>
        <v>0.92518575946654602</v>
      </c>
      <c r="F13" s="596">
        <f ca="1">IF(ISERROR(MATCH(F$1,INDIRECT("Table!A"&amp;$AM13):INDIRECT("Table!" &amp; $AP$108 &amp; $AM13),0)),"",INDIRECT(CONCATENATE("Table!",ADDRESS($AI13,MATCH(F$1,INDIRECT("Table!A" &amp; $AM13):INDIRECT("Table!" &amp; $AP$108 &amp; $AM13),0)))))</f>
        <v>0.68464961086642162</v>
      </c>
      <c r="G13" s="596">
        <f ca="1">IF(ISERROR(MATCH(G$1,INDIRECT("Table!A"&amp;$AM13):INDIRECT("Table!" &amp; $AP$108 &amp; $AM13),0)),"",INDIRECT(CONCATENATE("Table!",ADDRESS($AI13,MATCH(G$1,INDIRECT("Table!A" &amp; $AM13):INDIRECT("Table!" &amp; $AP$108 &amp; $AM13),0)))))</f>
        <v>1.0885387222243617</v>
      </c>
      <c r="H13" s="596">
        <f ca="1">IF(ISERROR(MATCH(H$1,INDIRECT("Table!A"&amp;$AM13):INDIRECT("Table!" &amp; $AP$108 &amp; $AM13),0)),"",INDIRECT(CONCATENATE("Table!",ADDRESS($AI13,MATCH(H$1,INDIRECT("Table!A" &amp; $AM13):INDIRECT("Table!" &amp; $AP$108 &amp; $AM13),0)))))</f>
        <v>1.1537954243482356</v>
      </c>
      <c r="I13" s="596">
        <f ca="1">IF(ISERROR(MATCH(I$1,INDIRECT("Table!A"&amp;$AM13):INDIRECT("Table!" &amp; $AP$86 &amp; $AM13),0)),"",INDIRECT(CONCATENATE("Table!",ADDRESS($AI13,MATCH(I$1,INDIRECT("Table!A" &amp; $AM13):INDIRECT("Table!" &amp; $AP$86 &amp; $AM13),0)))))</f>
        <v>0.2801663073977288</v>
      </c>
      <c r="J13" s="596">
        <f ca="1">IF(ISERROR(MATCH(J$1,INDIRECT("Table!A"&amp;$AM13):INDIRECT("Table!" &amp; $AP$86 &amp; $AM13),0)),"",INDIRECT(CONCATENATE("Table!",ADDRESS($AI13,MATCH(J$1,INDIRECT("Table!A" &amp; $AM13):INDIRECT("Table!" &amp; $AP$86 &amp; $AM13),0)))))</f>
        <v>1.6551396557952316</v>
      </c>
      <c r="K13" s="596">
        <f ca="1">IF(ISERROR(MATCH(K$1,INDIRECT("Table!A"&amp;$AM13):INDIRECT("Table!" &amp; $AP$86 &amp; $AM13),0)),"",INDIRECT(CONCATENATE("Table!",ADDRESS($AI13,MATCH(K$1,INDIRECT("Table!A" &amp; $AM13):INDIRECT("Table!" &amp; $AP$86 &amp; $AM13),0)))))</f>
        <v>0.99704398423358287</v>
      </c>
      <c r="L13" s="596">
        <f ca="1">IF(ISERROR(MATCH(L$1,INDIRECT("Table!A"&amp;$AM13):INDIRECT("Table!" &amp; $AP$108 &amp; $AM13),0)),"",INDIRECT(CONCATENATE("Table!",ADDRESS($AI13,MATCH(L$1,INDIRECT("Table!A" &amp; $AM13):INDIRECT("Table!" &amp; $AP$108 &amp; $AM13),0)))))</f>
        <v>0.70585417949936047</v>
      </c>
      <c r="M13" s="596">
        <f ca="1">IF(ISERROR(MATCH(M$1,INDIRECT("Table!A"&amp;$AM13):INDIRECT("Table!" &amp; $AP$108 &amp; $AM13),0)),"",INDIRECT(CONCATENATE("Table!",ADDRESS($AI13,MATCH(M$1,INDIRECT("Table!A" &amp; $AM13):INDIRECT("Table!" &amp; $AP$108 &amp; $AM13),0)))))</f>
        <v>1.0437022713938824</v>
      </c>
      <c r="N13" s="596">
        <f ca="1">IF(ISERROR(MATCH(N$1,INDIRECT("Table!A"&amp;$AM13):INDIRECT("Table!" &amp; $AP$108 &amp; $AM13),0)),"",INDIRECT(CONCATENATE("Table!",ADDRESS($AI13,MATCH(N$1,INDIRECT("Table!A" &amp; $AM13):INDIRECT("Table!" &amp; $AP$108 &amp; $AM13),0)))))</f>
        <v>1.3951503634445583</v>
      </c>
      <c r="O13" s="596">
        <f ca="1">IF(ISERROR(MATCH(O$1,INDIRECT("Table!A"&amp;$AM13):INDIRECT("Table!" &amp; $AP$86 &amp; $AM13),0)),"",INDIRECT(CONCATENATE("Table!",ADDRESS($AI13,MATCH(O$1,INDIRECT("Table!A" &amp; $AM13):INDIRECT("Table!" &amp; $AP$86 &amp; $AM13),0)))))</f>
        <v>0.51137721887919607</v>
      </c>
      <c r="P13" s="596">
        <f ca="1">IF(ISERROR(MATCH(P$1,INDIRECT("Table!A"&amp;$AM13):INDIRECT("Table!" &amp; $AP$86 &amp; $AM13),0)),"",INDIRECT(CONCATENATE("Table!",ADDRESS($AI13,MATCH(P$1,INDIRECT("Table!A" &amp; $AM13):INDIRECT("Table!" &amp; $AP$86 &amp; $AM13),0)))))</f>
        <v>0.74223948322952638</v>
      </c>
      <c r="Q13" s="596">
        <f ca="1">IF(ISERROR(MATCH(Q$1,INDIRECT("Table!A"&amp;$AM13):INDIRECT("Table!" &amp; $AP$86 &amp; $AM13),0)),"",INDIRECT(CONCATENATE("Table!",ADDRESS($AI13,MATCH(Q$1,INDIRECT("Table!A" &amp; $AM13):INDIRECT("Table!" &amp; $AP$86 &amp; $AM13),0)))))</f>
        <v>0.82331345874243667</v>
      </c>
      <c r="R13" s="596">
        <f ca="1">IF(ISERROR(MATCH(R$1,INDIRECT("Table!A"&amp;$AM13):INDIRECT("Table!" &amp; $AP$86 &amp; $AM13),0)),"",INDIRECT(CONCATENATE("Table!",ADDRESS($AI13,MATCH(R$1,INDIRECT("Table!A" &amp; $AM13):INDIRECT("Table!" &amp; $AP$86 &amp; $AM13),0)))))</f>
        <v>1.2577243184900311</v>
      </c>
      <c r="S13" s="596" t="str">
        <f ca="1">IF(ISERROR(MATCH(S$1,INDIRECT("Table!A"&amp;$AM13):INDIRECT("Table!" &amp; $AP$65 &amp; $AM13),0)),"",INDIRECT(CONCATENATE("Table!",ADDRESS($AI13,MATCH(S$1,INDIRECT("Table!A" &amp; $AM13):INDIRECT("Table!" &amp; $AP$65 &amp; $AM13),0)))))</f>
        <v/>
      </c>
      <c r="T13" s="596">
        <f ca="1">IF(ISERROR(MATCH(T$1,INDIRECT("Table!A"&amp;$AM13):INDIRECT("Table!" &amp; $AP$65 &amp; $AM13),0)),"",INDIRECT(CONCATENATE("Table!",ADDRESS($AI13,MATCH(T$1,INDIRECT("Table!A" &amp; $AM13):INDIRECT("Table!" &amp; $AP$65 &amp; $AM13),0)))))</f>
        <v>1.2196627128632083</v>
      </c>
      <c r="U13" s="596">
        <f ca="1">IF(ISERROR(MATCH(U$1,INDIRECT("Table!A"&amp;$AM13):INDIRECT("Table!" &amp; $AP$65 &amp; $AM13),0)),"",INDIRECT(CONCATENATE("Table!",ADDRESS($AI13,MATCH(U$1,INDIRECT("Table!A" &amp; $AM13):INDIRECT("Table!" &amp; $AP$65 &amp; $AM13),0)))))</f>
        <v>0.6242147627364929</v>
      </c>
      <c r="V13" s="596">
        <f ca="1">IF(ISERROR(MATCH(V$1,INDIRECT("Table!A"&amp;$AM13):INDIRECT("Table!" &amp; $AP$65 &amp; $AM13),0)),"",INDIRECT(CONCATENATE("Table!",ADDRESS($AI13,MATCH(V$1,INDIRECT("Table!A" &amp; $AM13):INDIRECT("Table!" &amp; $AP$65 &amp; $AM13),0)))))</f>
        <v>0.40622018983610703</v>
      </c>
      <c r="W13" s="596">
        <f ca="1">IF(ISERROR(MATCH(W$1,INDIRECT("Table!A"&amp;$AM13):INDIRECT("Table!" &amp; $AP$65 &amp; $AM13),0)),"",INDIRECT(CONCATENATE("Table!",ADDRESS($AI13,MATCH(W$1,INDIRECT("Table!A" &amp; $AM13):INDIRECT("Table!" &amp; $AP$65 &amp; $AM13),0)))))</f>
        <v>0.45958306791328468</v>
      </c>
      <c r="X13" s="596">
        <f ca="1">IF(ISERROR(MATCH(X$1,INDIRECT("Table!A"&amp;$AM13):INDIRECT("Table!" &amp; $AP$65 &amp; $AM13),0)),"",INDIRECT(CONCATENATE("Table!",ADDRESS($AI13,MATCH(X$1,INDIRECT("Table!A" &amp; $AM13):INDIRECT("Table!" &amp; $AP$65 &amp; $AM13),0)))))</f>
        <v>0.27376408197750318</v>
      </c>
      <c r="Y13" s="596">
        <f ca="1">IF(ISERROR(MATCH(Y$1,INDIRECT("Table!A"&amp;$AM13):INDIRECT("Table!" &amp; $AP$65 &amp; $AM13),0)),"",INDIRECT(CONCATENATE("Table!",ADDRESS($AI13,MATCH(Y$1,INDIRECT("Table!A" &amp; $AM13):INDIRECT("Table!" &amp; $AP$65 &amp; $AM13),0)))))</f>
        <v>0.53348587280386306</v>
      </c>
      <c r="Z13" s="596">
        <f ca="1">IF(ISERROR(MATCH(Z$1,INDIRECT("Table!A"&amp;$AM13):INDIRECT("Table!" &amp; $AP$65 &amp; $AM13),0)),"",INDIRECT(CONCATENATE("Table!",ADDRESS($AI13,MATCH(Z$1,INDIRECT("Table!A" &amp; $AM13):INDIRECT("Table!" &amp; $AP$65 &amp; $AM13),0)))))</f>
        <v>0.42923504211287539</v>
      </c>
      <c r="AA13" s="596">
        <f ca="1">IF(ISERROR(MATCH(AA$1,INDIRECT("Table!A"&amp;$AM13):INDIRECT("Table!" &amp; $AP$65 &amp; $AM13),0)),"",INDIRECT(CONCATENATE("Table!",ADDRESS($AI13,MATCH(AA$1,INDIRECT("Table!A" &amp; $AM13):INDIRECT("Table!" &amp; $AP$65 &amp; $AM13),0)))))</f>
        <v>0.65588575068939248</v>
      </c>
      <c r="AB13" s="596">
        <f ca="1">IF(ISERROR(MATCH(AB$1,INDIRECT("Table!A"&amp;$AM13):INDIRECT("Table!" &amp; $AP$65 &amp; $AM13),0)),"",INDIRECT(CONCATENATE("Table!",ADDRESS($AI13,MATCH(AB$1,INDIRECT("Table!A" &amp; $AM13):INDIRECT("Table!" &amp; $AP$65 &amp; $AM13),0)))))</f>
        <v>0</v>
      </c>
      <c r="AC13" s="596">
        <f ca="1">IF(ISERROR(MATCH(AC$1,INDIRECT("Table!A"&amp;$AM13):INDIRECT("Table!" &amp; $AP$65 &amp; $AM13),0)),"",INDIRECT(CONCATENATE("Table!",ADDRESS($AI13,MATCH(AC$1,INDIRECT("Table!A" &amp; $AM13):INDIRECT("Table!" &amp; $AP$65 &amp; $AM13),0)))))</f>
        <v>0.31283646894379996</v>
      </c>
      <c r="AD13" s="596">
        <f ca="1">IF(ISERROR(MATCH(AD$1,INDIRECT("Table!A"&amp;$AM13):INDIRECT("Table!" &amp; $AP$65 &amp; $AM13),0)),"",INDIRECT(CONCATENATE("Table!",ADDRESS($AI13,MATCH(AD$1,INDIRECT("Table!A" &amp; $AM13):INDIRECT("Table!" &amp; $AP$65 &amp; $AM13),0)))))</f>
        <v>0.41892098582950416</v>
      </c>
      <c r="AE13" s="596">
        <f ca="1">IF(ISERROR(MATCH(AE$1,INDIRECT("Table!A"&amp;$AM13):INDIRECT("Table!" &amp; $AP$65 &amp; $AM13),0)),"",INDIRECT(CONCATENATE("Table!",ADDRESS($AI13,MATCH(AE$1,INDIRECT("Table!A" &amp; $AM13):INDIRECT("Table!" &amp; $AP$65 &amp; $AM13),0)))))</f>
        <v>0.15153795181764226</v>
      </c>
      <c r="AF13" s="596">
        <f ca="1">IF(ISERROR(MATCH(AF$1,INDIRECT("Table!A"&amp;$AM13):INDIRECT("Table!" &amp; $AP$65 &amp; $AM13),0)),"",INDIRECT(CONCATENATE("Table!",ADDRESS($AI13,MATCH(AF$1,INDIRECT("Table!A" &amp; $AM13):INDIRECT("Table!" &amp; $AP$65 &amp; $AM13),0)))))</f>
        <v>0.15153795181764226</v>
      </c>
      <c r="AG13" s="596">
        <f ca="1">IF(ISERROR(MATCH(AG$1,INDIRECT("Table!A"&amp;$AM13):INDIRECT("Table!" &amp; $AP$65 &amp; $AM13),0)),"",INDIRECT(CONCATENATE("Table!",ADDRESS($AI13,MATCH(AG$1,INDIRECT("Table!A" &amp; $AM13):INDIRECT("Table!" &amp; $AP$65 &amp; $AM13),0)))))</f>
        <v>0.26709222336471616</v>
      </c>
      <c r="AH13" s="596"/>
      <c r="AI13" s="595">
        <f>MATCH($A13,Table!$A:$A,0)+$AK$2-1</f>
        <v>152</v>
      </c>
      <c r="AJ13" s="1014"/>
      <c r="AK13" s="1014"/>
      <c r="AL13" s="1014"/>
      <c r="AM13" s="595">
        <f>MATCH($A13,Table!$A:$A,0)+$AO$2-1</f>
        <v>143</v>
      </c>
      <c r="AN13" s="1014"/>
      <c r="AO13" s="1014"/>
      <c r="AP13" s="1014" t="s">
        <v>302</v>
      </c>
    </row>
    <row r="14" spans="1:42" s="947" customFormat="1" ht="19.5" customHeight="1" x14ac:dyDescent="0.25">
      <c r="A14" s="592">
        <v>41900</v>
      </c>
      <c r="B14" s="596">
        <f ca="1">IF(ISERROR(MATCH(B$1,INDIRECT("Table!A"&amp;$AM14):INDIRECT("Table!" &amp; $AP$108 &amp; $AM14),0)),"",INDIRECT(CONCATENATE("Table!",ADDRESS($AI14,MATCH(B$1,INDIRECT("Table!A" &amp; $AM14):INDIRECT("Table!" &amp; $AP$108 &amp; $AM14),0)))))</f>
        <v>0.44759394908534733</v>
      </c>
      <c r="C14" s="596">
        <f ca="1">IF(ISERROR(MATCH(C$1,INDIRECT("Table!A"&amp;$AM14):INDIRECT("Table!" &amp; $AP$108 &amp; $AM14),0)),"",INDIRECT(CONCATENATE("Table!",ADDRESS($AI14,MATCH(C$1,INDIRECT("Table!A" &amp; $AM14):INDIRECT("Table!" &amp; $AP$108 &amp; $AM14),0)))))</f>
        <v>0.59899837028050706</v>
      </c>
      <c r="D14" s="596">
        <f ca="1">IF(ISERROR(MATCH(D$1,INDIRECT("Table!A"&amp;$AM14):INDIRECT("Table!" &amp; $AP$108 &amp; $AM14),0)),"",INDIRECT(CONCATENATE("Table!",ADDRESS($AI14,MATCH(D$1,INDIRECT("Table!A" &amp; $AM14):INDIRECT("Table!" &amp; $AP$108 &amp; $AM14),0)))))</f>
        <v>0.59048605237824103</v>
      </c>
      <c r="E14" s="596">
        <f ca="1">IF(ISERROR(MATCH(E$1,INDIRECT("Table!A"&amp;$AM14):INDIRECT("Table!" &amp; $AP$108 &amp; $AM14),0)),"",INDIRECT(CONCATENATE("Table!",ADDRESS($AI14,MATCH(E$1,INDIRECT("Table!A" &amp; $AM14):INDIRECT("Table!" &amp; $AP$108 &amp; $AM14),0)))))</f>
        <v>0.92518575946654602</v>
      </c>
      <c r="F14" s="596">
        <f ca="1">IF(ISERROR(MATCH(F$1,INDIRECT("Table!A"&amp;$AM14):INDIRECT("Table!" &amp; $AP$108 &amp; $AM14),0)),"",INDIRECT(CONCATENATE("Table!",ADDRESS($AI14,MATCH(F$1,INDIRECT("Table!A" &amp; $AM14):INDIRECT("Table!" &amp; $AP$108 &amp; $AM14),0)))))</f>
        <v>0.68464961086642162</v>
      </c>
      <c r="G14" s="596">
        <f ca="1">IF(ISERROR(MATCH(G$1,INDIRECT("Table!A"&amp;$AM14):INDIRECT("Table!" &amp; $AP$108 &amp; $AM14),0)),"",INDIRECT(CONCATENATE("Table!",ADDRESS($AI14,MATCH(G$1,INDIRECT("Table!A" &amp; $AM14):INDIRECT("Table!" &amp; $AP$108 &amp; $AM14),0)))))</f>
        <v>1.0885387222243617</v>
      </c>
      <c r="H14" s="596">
        <f ca="1">IF(ISERROR(MATCH(H$1,INDIRECT("Table!A"&amp;$AM14):INDIRECT("Table!" &amp; $AP$108 &amp; $AM14),0)),"",INDIRECT(CONCATENATE("Table!",ADDRESS($AI14,MATCH(H$1,INDIRECT("Table!A" &amp; $AM14):INDIRECT("Table!" &amp; $AP$108 &amp; $AM14),0)))))</f>
        <v>1.1537954243482356</v>
      </c>
      <c r="I14" s="596">
        <f ca="1">IF(ISERROR(MATCH(I$1,INDIRECT("Table!A"&amp;$AM14):INDIRECT("Table!" &amp; $AP$86 &amp; $AM14),0)),"",INDIRECT(CONCATENATE("Table!",ADDRESS($AI14,MATCH(I$1,INDIRECT("Table!A" &amp; $AM14):INDIRECT("Table!" &amp; $AP$86 &amp; $AM14),0)))))</f>
        <v>0.2801663073977288</v>
      </c>
      <c r="J14" s="596">
        <f ca="1">IF(ISERROR(MATCH(J$1,INDIRECT("Table!A"&amp;$AM14):INDIRECT("Table!" &amp; $AP$86 &amp; $AM14),0)),"",INDIRECT(CONCATENATE("Table!",ADDRESS($AI14,MATCH(J$1,INDIRECT("Table!A" &amp; $AM14):INDIRECT("Table!" &amp; $AP$86 &amp; $AM14),0)))))</f>
        <v>1.6551396557952316</v>
      </c>
      <c r="K14" s="596">
        <f ca="1">IF(ISERROR(MATCH(K$1,INDIRECT("Table!A"&amp;$AM14):INDIRECT("Table!" &amp; $AP$86 &amp; $AM14),0)),"",INDIRECT(CONCATENATE("Table!",ADDRESS($AI14,MATCH(K$1,INDIRECT("Table!A" &amp; $AM14):INDIRECT("Table!" &amp; $AP$86 &amp; $AM14),0)))))</f>
        <v>0.99975252509023904</v>
      </c>
      <c r="L14" s="596">
        <f ca="1">IF(ISERROR(MATCH(L$1,INDIRECT("Table!A"&amp;$AM14):INDIRECT("Table!" &amp; $AP$108 &amp; $AM14),0)),"",INDIRECT(CONCATENATE("Table!",ADDRESS($AI14,MATCH(L$1,INDIRECT("Table!A" &amp; $AM14):INDIRECT("Table!" &amp; $AP$108 &amp; $AM14),0)))))</f>
        <v>0.70637819893477194</v>
      </c>
      <c r="M14" s="596">
        <f ca="1">IF(ISERROR(MATCH(M$1,INDIRECT("Table!A"&amp;$AM14):INDIRECT("Table!" &amp; $AP$108 &amp; $AM14),0)),"",INDIRECT(CONCATENATE("Table!",ADDRESS($AI14,MATCH(M$1,INDIRECT("Table!A" &amp; $AM14):INDIRECT("Table!" &amp; $AP$108 &amp; $AM14),0)))))</f>
        <v>1.0437792122174276</v>
      </c>
      <c r="N14" s="596">
        <f ca="1">IF(ISERROR(MATCH(N$1,INDIRECT("Table!A"&amp;$AM14):INDIRECT("Table!" &amp; $AP$108 &amp; $AM14),0)),"",INDIRECT(CONCATENATE("Table!",ADDRESS($AI14,MATCH(N$1,INDIRECT("Table!A" &amp; $AM14):INDIRECT("Table!" &amp; $AP$108 &amp; $AM14),0)))))</f>
        <v>1.3951503634445583</v>
      </c>
      <c r="O14" s="596">
        <f ca="1">IF(ISERROR(MATCH(O$1,INDIRECT("Table!A"&amp;$AM14):INDIRECT("Table!" &amp; $AP$86 &amp; $AM14),0)),"",INDIRECT(CONCATENATE("Table!",ADDRESS($AI14,MATCH(O$1,INDIRECT("Table!A" &amp; $AM14):INDIRECT("Table!" &amp; $AP$86 &amp; $AM14),0)))))</f>
        <v>0.51821511865408498</v>
      </c>
      <c r="P14" s="596">
        <f ca="1">IF(ISERROR(MATCH(P$1,INDIRECT("Table!A"&amp;$AM14):INDIRECT("Table!" &amp; $AP$86 &amp; $AM14),0)),"",INDIRECT(CONCATENATE("Table!",ADDRESS($AI14,MATCH(P$1,INDIRECT("Table!A" &amp; $AM14):INDIRECT("Table!" &amp; $AP$86 &amp; $AM14),0)))))</f>
        <v>0.74223948322952638</v>
      </c>
      <c r="Q14" s="596">
        <f ca="1">IF(ISERROR(MATCH(Q$1,INDIRECT("Table!A"&amp;$AM14):INDIRECT("Table!" &amp; $AP$86 &amp; $AM14),0)),"",INDIRECT(CONCATENATE("Table!",ADDRESS($AI14,MATCH(Q$1,INDIRECT("Table!A" &amp; $AM14):INDIRECT("Table!" &amp; $AP$86 &amp; $AM14),0)))))</f>
        <v>0.81803468042179694</v>
      </c>
      <c r="R14" s="596">
        <f ca="1">IF(ISERROR(MATCH(R$1,INDIRECT("Table!A"&amp;$AM14):INDIRECT("Table!" &amp; $AP$86 &amp; $AM14),0)),"",INDIRECT(CONCATENATE("Table!",ADDRESS($AI14,MATCH(R$1,INDIRECT("Table!A" &amp; $AM14):INDIRECT("Table!" &amp; $AP$86 &amp; $AM14),0)))))</f>
        <v>1.2601667512426182</v>
      </c>
      <c r="S14" s="596" t="str">
        <f ca="1">IF(ISERROR(MATCH(S$1,INDIRECT("Table!A"&amp;$AM14):INDIRECT("Table!" &amp; $AP$65 &amp; $AM14),0)),"",INDIRECT(CONCATENATE("Table!",ADDRESS($AI14,MATCH(S$1,INDIRECT("Table!A" &amp; $AM14):INDIRECT("Table!" &amp; $AP$65 &amp; $AM14),0)))))</f>
        <v/>
      </c>
      <c r="T14" s="596">
        <f ca="1">IF(ISERROR(MATCH(T$1,INDIRECT("Table!A"&amp;$AM14):INDIRECT("Table!" &amp; $AP$65 &amp; $AM14),0)),"",INDIRECT(CONCATENATE("Table!",ADDRESS($AI14,MATCH(T$1,INDIRECT("Table!A" &amp; $AM14):INDIRECT("Table!" &amp; $AP$65 &amp; $AM14),0)))))</f>
        <v>1.2196627128632083</v>
      </c>
      <c r="U14" s="596">
        <f ca="1">IF(ISERROR(MATCH(U$1,INDIRECT("Table!A"&amp;$AM14):INDIRECT("Table!" &amp; $AP$65 &amp; $AM14),0)),"",INDIRECT(CONCATENATE("Table!",ADDRESS($AI14,MATCH(U$1,INDIRECT("Table!A" &amp; $AM14):INDIRECT("Table!" &amp; $AP$65 &amp; $AM14),0)))))</f>
        <v>0.6242147627364929</v>
      </c>
      <c r="V14" s="596">
        <f ca="1">IF(ISERROR(MATCH(V$1,INDIRECT("Table!A"&amp;$AM14):INDIRECT("Table!" &amp; $AP$65 &amp; $AM14),0)),"",INDIRECT(CONCATENATE("Table!",ADDRESS($AI14,MATCH(V$1,INDIRECT("Table!A" &amp; $AM14):INDIRECT("Table!" &amp; $AP$65 &amp; $AM14),0)))))</f>
        <v>0.40622018983610703</v>
      </c>
      <c r="W14" s="596">
        <f ca="1">IF(ISERROR(MATCH(W$1,INDIRECT("Table!A"&amp;$AM14):INDIRECT("Table!" &amp; $AP$65 &amp; $AM14),0)),"",INDIRECT(CONCATENATE("Table!",ADDRESS($AI14,MATCH(W$1,INDIRECT("Table!A" &amp; $AM14):INDIRECT("Table!" &amp; $AP$65 &amp; $AM14),0)))))</f>
        <v>0.45958306791328468</v>
      </c>
      <c r="X14" s="596">
        <f ca="1">IF(ISERROR(MATCH(X$1,INDIRECT("Table!A"&amp;$AM14):INDIRECT("Table!" &amp; $AP$65 &amp; $AM14),0)),"",INDIRECT(CONCATENATE("Table!",ADDRESS($AI14,MATCH(X$1,INDIRECT("Table!A" &amp; $AM14):INDIRECT("Table!" &amp; $AP$65 &amp; $AM14),0)))))</f>
        <v>0.27376408197750318</v>
      </c>
      <c r="Y14" s="596">
        <f ca="1">IF(ISERROR(MATCH(Y$1,INDIRECT("Table!A"&amp;$AM14):INDIRECT("Table!" &amp; $AP$65 &amp; $AM14),0)),"",INDIRECT(CONCATENATE("Table!",ADDRESS($AI14,MATCH(Y$1,INDIRECT("Table!A" &amp; $AM14):INDIRECT("Table!" &amp; $AP$65 &amp; $AM14),0)))))</f>
        <v>0.50148331890035369</v>
      </c>
      <c r="Z14" s="596">
        <f ca="1">IF(ISERROR(MATCH(Z$1,INDIRECT("Table!A"&amp;$AM14):INDIRECT("Table!" &amp; $AP$65 &amp; $AM14),0)),"",INDIRECT(CONCATENATE("Table!",ADDRESS($AI14,MATCH(Z$1,INDIRECT("Table!A" &amp; $AM14):INDIRECT("Table!" &amp; $AP$65 &amp; $AM14),0)))))</f>
        <v>0.41362356889017238</v>
      </c>
      <c r="AA14" s="596">
        <f ca="1">IF(ISERROR(MATCH(AA$1,INDIRECT("Table!A"&amp;$AM14):INDIRECT("Table!" &amp; $AP$65 &amp; $AM14),0)),"",INDIRECT(CONCATENATE("Table!",ADDRESS($AI14,MATCH(AA$1,INDIRECT("Table!A" &amp; $AM14):INDIRECT("Table!" &amp; $AP$65 &amp; $AM14),0)))))</f>
        <v>0.63526750923043596</v>
      </c>
      <c r="AB14" s="596">
        <f ca="1">IF(ISERROR(MATCH(AB$1,INDIRECT("Table!A"&amp;$AM14):INDIRECT("Table!" &amp; $AP$65 &amp; $AM14),0)),"",INDIRECT(CONCATENATE("Table!",ADDRESS($AI14,MATCH(AB$1,INDIRECT("Table!A" &amp; $AM14):INDIRECT("Table!" &amp; $AP$65 &amp; $AM14),0)))))</f>
        <v>0</v>
      </c>
      <c r="AC14" s="596">
        <f ca="1">IF(ISERROR(MATCH(AC$1,INDIRECT("Table!A"&amp;$AM14):INDIRECT("Table!" &amp; $AP$65 &amp; $AM14),0)),"",INDIRECT(CONCATENATE("Table!",ADDRESS($AI14,MATCH(AC$1,INDIRECT("Table!A" &amp; $AM14):INDIRECT("Table!" &amp; $AP$65 &amp; $AM14),0)))))</f>
        <v>0.2824406215524351</v>
      </c>
      <c r="AD14" s="596">
        <f ca="1">IF(ISERROR(MATCH(AD$1,INDIRECT("Table!A"&amp;$AM14):INDIRECT("Table!" &amp; $AP$65 &amp; $AM14),0)),"",INDIRECT(CONCATENATE("Table!",ADDRESS($AI14,MATCH(AD$1,INDIRECT("Table!A" &amp; $AM14):INDIRECT("Table!" &amp; $AP$65 &amp; $AM14),0)))))</f>
        <v>0.38536517410537358</v>
      </c>
      <c r="AE14" s="596">
        <f ca="1">IF(ISERROR(MATCH(AE$1,INDIRECT("Table!A"&amp;$AM14):INDIRECT("Table!" &amp; $AP$65 &amp; $AM14),0)),"",INDIRECT(CONCATENATE("Table!",ADDRESS($AI14,MATCH(AE$1,INDIRECT("Table!A" &amp; $AM14):INDIRECT("Table!" &amp; $AP$65 &amp; $AM14),0)))))</f>
        <v>0.1107392724821232</v>
      </c>
      <c r="AF14" s="596">
        <f ca="1">IF(ISERROR(MATCH(AF$1,INDIRECT("Table!A"&amp;$AM14):INDIRECT("Table!" &amp; $AP$65 &amp; $AM14),0)),"",INDIRECT(CONCATENATE("Table!",ADDRESS($AI14,MATCH(AF$1,INDIRECT("Table!A" &amp; $AM14):INDIRECT("Table!" &amp; $AP$65 &amp; $AM14),0)))))</f>
        <v>0.1107392724821232</v>
      </c>
      <c r="AG14" s="596">
        <f ca="1">IF(ISERROR(MATCH(AG$1,INDIRECT("Table!A"&amp;$AM14):INDIRECT("Table!" &amp; $AP$65 &amp; $AM14),0)),"",INDIRECT(CONCATENATE("Table!",ADDRESS($AI14,MATCH(AG$1,INDIRECT("Table!A" &amp; $AM14):INDIRECT("Table!" &amp; $AP$65 &amp; $AM14),0)))))</f>
        <v>0.26709222336471616</v>
      </c>
      <c r="AH14" s="596"/>
      <c r="AI14" s="595">
        <f>MATCH($A14,Table!$A:$A,0)+$AK$2-1</f>
        <v>166</v>
      </c>
      <c r="AJ14" s="1011"/>
      <c r="AK14" s="1011"/>
      <c r="AL14" s="1011"/>
      <c r="AM14" s="595">
        <f>MATCH($A14,Table!$A:$A,0)+$AO$2-1</f>
        <v>157</v>
      </c>
      <c r="AN14" s="1011"/>
      <c r="AO14" s="1011"/>
      <c r="AP14" s="1011" t="s">
        <v>302</v>
      </c>
    </row>
    <row r="15" spans="1:42" s="947" customFormat="1" ht="19.5" customHeight="1" x14ac:dyDescent="0.25">
      <c r="A15" s="592">
        <v>41893</v>
      </c>
      <c r="B15" s="596">
        <f ca="1">IF(ISERROR(MATCH(B$1,INDIRECT("Table!A"&amp;$AM15):INDIRECT("Table!" &amp; $AP$108 &amp; $AM15),0)),"",INDIRECT(CONCATENATE("Table!",ADDRESS($AI15,MATCH(B$1,INDIRECT("Table!A" &amp; $AM15):INDIRECT("Table!" &amp; $AP$108 &amp; $AM15),0)))))</f>
        <v>0.44759394908534733</v>
      </c>
      <c r="C15" s="596">
        <f ca="1">IF(ISERROR(MATCH(C$1,INDIRECT("Table!A"&amp;$AM15):INDIRECT("Table!" &amp; $AP$108 &amp; $AM15),0)),"",INDIRECT(CONCATENATE("Table!",ADDRESS($AI15,MATCH(C$1,INDIRECT("Table!A" &amp; $AM15):INDIRECT("Table!" &amp; $AP$108 &amp; $AM15),0)))))</f>
        <v>0.60325452923164002</v>
      </c>
      <c r="D15" s="596">
        <f ca="1">IF(ISERROR(MATCH(D$1,INDIRECT("Table!A"&amp;$AM15):INDIRECT("Table!" &amp; $AP$108 &amp; $AM15),0)),"",INDIRECT(CONCATENATE("Table!",ADDRESS($AI15,MATCH(D$1,INDIRECT("Table!A" &amp; $AM15):INDIRECT("Table!" &amp; $AP$108 &amp; $AM15),0)))))</f>
        <v>0.59048605237824103</v>
      </c>
      <c r="E15" s="596">
        <f ca="1">IF(ISERROR(MATCH(E$1,INDIRECT("Table!A"&amp;$AM15):INDIRECT("Table!" &amp; $AP$108 &amp; $AM15),0)),"",INDIRECT(CONCATENATE("Table!",ADDRESS($AI15,MATCH(E$1,INDIRECT("Table!A" &amp; $AM15):INDIRECT("Table!" &amp; $AP$108 &amp; $AM15),0)))))</f>
        <v>0.92518575946654602</v>
      </c>
      <c r="F15" s="596">
        <f ca="1">IF(ISERROR(MATCH(F$1,INDIRECT("Table!A"&amp;$AM15):INDIRECT("Table!" &amp; $AP$108 &amp; $AM15),0)),"",INDIRECT(CONCATENATE("Table!",ADDRESS($AI15,MATCH(F$1,INDIRECT("Table!A" &amp; $AM15):INDIRECT("Table!" &amp; $AP$108 &amp; $AM15),0)))))</f>
        <v>0.68464961086642162</v>
      </c>
      <c r="G15" s="596">
        <f ca="1">IF(ISERROR(MATCH(G$1,INDIRECT("Table!A"&amp;$AM15):INDIRECT("Table!" &amp; $AP$108 &amp; $AM15),0)),"",INDIRECT(CONCATENATE("Table!",ADDRESS($AI15,MATCH(G$1,INDIRECT("Table!A" &amp; $AM15):INDIRECT("Table!" &amp; $AP$108 &amp; $AM15),0)))))</f>
        <v>1.0885387222243617</v>
      </c>
      <c r="H15" s="596">
        <f ca="1">IF(ISERROR(MATCH(H$1,INDIRECT("Table!A"&amp;$AM15):INDIRECT("Table!" &amp; $AP$108 &amp; $AM15),0)),"",INDIRECT(CONCATENATE("Table!",ADDRESS($AI15,MATCH(H$1,INDIRECT("Table!A" &amp; $AM15):INDIRECT("Table!" &amp; $AP$108 &amp; $AM15),0)))))</f>
        <v>1.1537954243482356</v>
      </c>
      <c r="I15" s="596">
        <f ca="1">IF(ISERROR(MATCH(I$1,INDIRECT("Table!A"&amp;$AM15):INDIRECT("Table!" &amp; $AP$86 &amp; $AM15),0)),"",INDIRECT(CONCATENATE("Table!",ADDRESS($AI15,MATCH(I$1,INDIRECT("Table!A" &amp; $AM15):INDIRECT("Table!" &amp; $AP$86 &amp; $AM15),0)))))</f>
        <v>0.2801663073977288</v>
      </c>
      <c r="J15" s="596">
        <f ca="1">IF(ISERROR(MATCH(J$1,INDIRECT("Table!A"&amp;$AM15):INDIRECT("Table!" &amp; $AP$86 &amp; $AM15),0)),"",INDIRECT(CONCATENATE("Table!",ADDRESS($AI15,MATCH(J$1,INDIRECT("Table!A" &amp; $AM15):INDIRECT("Table!" &amp; $AP$86 &amp; $AM15),0)))))</f>
        <v>1.6551396557952316</v>
      </c>
      <c r="K15" s="596">
        <f ca="1">IF(ISERROR(MATCH(K$1,INDIRECT("Table!A"&amp;$AM15):INDIRECT("Table!" &amp; $AP$86 &amp; $AM15),0)),"",INDIRECT(CONCATENATE("Table!",ADDRESS($AI15,MATCH(K$1,INDIRECT("Table!A" &amp; $AM15):INDIRECT("Table!" &amp; $AP$86 &amp; $AM15),0)))))</f>
        <v>0.99629161177340042</v>
      </c>
      <c r="L15" s="596">
        <f ca="1">IF(ISERROR(MATCH(L$1,INDIRECT("Table!A"&amp;$AM15):INDIRECT("Table!" &amp; $AP$108 &amp; $AM15),0)),"",INDIRECT(CONCATENATE("Table!",ADDRESS($AI15,MATCH(L$1,INDIRECT("Table!A" &amp; $AM15):INDIRECT("Table!" &amp; $AP$108 &amp; $AM15),0)))))</f>
        <v>0.70637819893477194</v>
      </c>
      <c r="M15" s="596">
        <f ca="1">IF(ISERROR(MATCH(M$1,INDIRECT("Table!A"&amp;$AM15):INDIRECT("Table!" &amp; $AP$108 &amp; $AM15),0)),"",INDIRECT(CONCATENATE("Table!",ADDRESS($AI15,MATCH(M$1,INDIRECT("Table!A" &amp; $AM15):INDIRECT("Table!" &amp; $AP$108 &amp; $AM15),0)))))</f>
        <v>0.94537189890281104</v>
      </c>
      <c r="N15" s="596">
        <f ca="1">IF(ISERROR(MATCH(N$1,INDIRECT("Table!A"&amp;$AM15):INDIRECT("Table!" &amp; $AP$108 &amp; $AM15),0)),"",INDIRECT(CONCATENATE("Table!",ADDRESS($AI15,MATCH(N$1,INDIRECT("Table!A" &amp; $AM15):INDIRECT("Table!" &amp; $AP$108 &amp; $AM15),0)))))</f>
        <v>1.3951503634445583</v>
      </c>
      <c r="O15" s="596">
        <f ca="1">IF(ISERROR(MATCH(O$1,INDIRECT("Table!A"&amp;$AM15):INDIRECT("Table!" &amp; $AP$86 &amp; $AM15),0)),"",INDIRECT(CONCATENATE("Table!",ADDRESS($AI15,MATCH(O$1,INDIRECT("Table!A" &amp; $AM15):INDIRECT("Table!" &amp; $AP$86 &amp; $AM15),0)))))</f>
        <v>0.52407617560399</v>
      </c>
      <c r="P15" s="596">
        <f ca="1">IF(ISERROR(MATCH(P$1,INDIRECT("Table!A"&amp;$AM15):INDIRECT("Table!" &amp; $AP$86 &amp; $AM15),0)),"",INDIRECT(CONCATENATE("Table!",ADDRESS($AI15,MATCH(P$1,INDIRECT("Table!A" &amp; $AM15):INDIRECT("Table!" &amp; $AP$86 &amp; $AM15),0)))))</f>
        <v>0.74223948322952638</v>
      </c>
      <c r="Q15" s="596">
        <f ca="1">IF(ISERROR(MATCH(Q$1,INDIRECT("Table!A"&amp;$AM15):INDIRECT("Table!" &amp; $AP$86 &amp; $AM15),0)),"",INDIRECT(CONCATENATE("Table!",ADDRESS($AI15,MATCH(Q$1,INDIRECT("Table!A" &amp; $AM15):INDIRECT("Table!" &amp; $AP$86 &amp; $AM15),0)))))</f>
        <v>0.81803468042179694</v>
      </c>
      <c r="R15" s="596">
        <f ca="1">IF(ISERROR(MATCH(R$1,INDIRECT("Table!A"&amp;$AM15):INDIRECT("Table!" &amp; $AP$86 &amp; $AM15),0)),"",INDIRECT(CONCATENATE("Table!",ADDRESS($AI15,MATCH(R$1,INDIRECT("Table!A" &amp; $AM15):INDIRECT("Table!" &amp; $AP$86 &amp; $AM15),0)))))</f>
        <v>1.2601667512426182</v>
      </c>
      <c r="S15" s="596" t="str">
        <f ca="1">IF(ISERROR(MATCH(S$1,INDIRECT("Table!A"&amp;$AM15):INDIRECT("Table!" &amp; $AP$65 &amp; $AM15),0)),"",INDIRECT(CONCATENATE("Table!",ADDRESS($AI15,MATCH(S$1,INDIRECT("Table!A" &amp; $AM15):INDIRECT("Table!" &amp; $AP$65 &amp; $AM15),0)))))</f>
        <v/>
      </c>
      <c r="T15" s="596">
        <f ca="1">IF(ISERROR(MATCH(T$1,INDIRECT("Table!A"&amp;$AM15):INDIRECT("Table!" &amp; $AP$65 &amp; $AM15),0)),"",INDIRECT(CONCATENATE("Table!",ADDRESS($AI15,MATCH(T$1,INDIRECT("Table!A" &amp; $AM15):INDIRECT("Table!" &amp; $AP$65 &amp; $AM15),0)))))</f>
        <v>1.2196627128632083</v>
      </c>
      <c r="U15" s="596">
        <f ca="1">IF(ISERROR(MATCH(U$1,INDIRECT("Table!A"&amp;$AM15):INDIRECT("Table!" &amp; $AP$65 &amp; $AM15),0)),"",INDIRECT(CONCATENATE("Table!",ADDRESS($AI15,MATCH(U$1,INDIRECT("Table!A" &amp; $AM15):INDIRECT("Table!" &amp; $AP$65 &amp; $AM15),0)))))</f>
        <v>0.6242147627364929</v>
      </c>
      <c r="V15" s="596">
        <f ca="1">IF(ISERROR(MATCH(V$1,INDIRECT("Table!A"&amp;$AM15):INDIRECT("Table!" &amp; $AP$65 &amp; $AM15),0)),"",INDIRECT(CONCATENATE("Table!",ADDRESS($AI15,MATCH(V$1,INDIRECT("Table!A" &amp; $AM15):INDIRECT("Table!" &amp; $AP$65 &amp; $AM15),0)))))</f>
        <v>0.40622018983610703</v>
      </c>
      <c r="W15" s="596">
        <f ca="1">IF(ISERROR(MATCH(W$1,INDIRECT("Table!A"&amp;$AM15):INDIRECT("Table!" &amp; $AP$65 &amp; $AM15),0)),"",INDIRECT(CONCATENATE("Table!",ADDRESS($AI15,MATCH(W$1,INDIRECT("Table!A" &amp; $AM15):INDIRECT("Table!" &amp; $AP$65 &amp; $AM15),0)))))</f>
        <v>0.45958306791328468</v>
      </c>
      <c r="X15" s="596">
        <f ca="1">IF(ISERROR(MATCH(X$1,INDIRECT("Table!A"&amp;$AM15):INDIRECT("Table!" &amp; $AP$65 &amp; $AM15),0)),"",INDIRECT(CONCATENATE("Table!",ADDRESS($AI15,MATCH(X$1,INDIRECT("Table!A" &amp; $AM15):INDIRECT("Table!" &amp; $AP$65 &amp; $AM15),0)))))</f>
        <v>0.27376408197750318</v>
      </c>
      <c r="Y15" s="596">
        <f ca="1">IF(ISERROR(MATCH(Y$1,INDIRECT("Table!A"&amp;$AM15):INDIRECT("Table!" &amp; $AP$65 &amp; $AM15),0)),"",INDIRECT(CONCATENATE("Table!",ADDRESS($AI15,MATCH(Y$1,INDIRECT("Table!A" &amp; $AM15):INDIRECT("Table!" &amp; $AP$65 &amp; $AM15),0)))))</f>
        <v>0.48366746414994638</v>
      </c>
      <c r="Z15" s="596">
        <f ca="1">IF(ISERROR(MATCH(Z$1,INDIRECT("Table!A"&amp;$AM15):INDIRECT("Table!" &amp; $AP$65 &amp; $AM15),0)),"",INDIRECT(CONCATENATE("Table!",ADDRESS($AI15,MATCH(Z$1,INDIRECT("Table!A" &amp; $AM15):INDIRECT("Table!" &amp; $AP$65 &amp; $AM15),0)))))</f>
        <v>0.4049326456527913</v>
      </c>
      <c r="AA15" s="596">
        <f ca="1">IF(ISERROR(MATCH(AA$1,INDIRECT("Table!A"&amp;$AM15):INDIRECT("Table!" &amp; $AP$65 &amp; $AM15),0)),"",INDIRECT(CONCATENATE("Table!",ADDRESS($AI15,MATCH(AA$1,INDIRECT("Table!A" &amp; $AM15):INDIRECT("Table!" &amp; $AP$65 &amp; $AM15),0)))))</f>
        <v>0.60275018314840012</v>
      </c>
      <c r="AB15" s="596">
        <f ca="1">IF(ISERROR(MATCH(AB$1,INDIRECT("Table!A"&amp;$AM15):INDIRECT("Table!" &amp; $AP$65 &amp; $AM15),0)),"",INDIRECT(CONCATENATE("Table!",ADDRESS($AI15,MATCH(AB$1,INDIRECT("Table!A" &amp; $AM15):INDIRECT("Table!" &amp; $AP$65 &amp; $AM15),0)))))</f>
        <v>0</v>
      </c>
      <c r="AC15" s="596">
        <f ca="1">IF(ISERROR(MATCH(AC$1,INDIRECT("Table!A"&amp;$AM15):INDIRECT("Table!" &amp; $AP$65 &amp; $AM15),0)),"",INDIRECT(CONCATENATE("Table!",ADDRESS($AI15,MATCH(AC$1,INDIRECT("Table!A" &amp; $AM15):INDIRECT("Table!" &amp; $AP$65 &amp; $AM15),0)))))</f>
        <v>0.25701043239827337</v>
      </c>
      <c r="AD15" s="596">
        <f ca="1">IF(ISERROR(MATCH(AD$1,INDIRECT("Table!A"&amp;$AM15):INDIRECT("Table!" &amp; $AP$65 &amp; $AM15),0)),"",INDIRECT(CONCATENATE("Table!",ADDRESS($AI15,MATCH(AD$1,INDIRECT("Table!A" &amp; $AM15):INDIRECT("Table!" &amp; $AP$65 &amp; $AM15),0)))))</f>
        <v>0.35150841339717015</v>
      </c>
      <c r="AE15" s="596">
        <f ca="1">IF(ISERROR(MATCH(AE$1,INDIRECT("Table!A"&amp;$AM15):INDIRECT("Table!" &amp; $AP$65 &amp; $AM15),0)),"",INDIRECT(CONCATENATE("Table!",ADDRESS($AI15,MATCH(AE$1,INDIRECT("Table!A" &amp; $AM15):INDIRECT("Table!" &amp; $AP$65 &amp; $AM15),0)))))</f>
        <v>0.10512675574813644</v>
      </c>
      <c r="AF15" s="596">
        <f ca="1">IF(ISERROR(MATCH(AF$1,INDIRECT("Table!A"&amp;$AM15):INDIRECT("Table!" &amp; $AP$65 &amp; $AM15),0)),"",INDIRECT(CONCATENATE("Table!",ADDRESS($AI15,MATCH(AF$1,INDIRECT("Table!A" &amp; $AM15):INDIRECT("Table!" &amp; $AP$65 &amp; $AM15),0)))))</f>
        <v>0.10512675574813644</v>
      </c>
      <c r="AG15" s="596">
        <f ca="1">IF(ISERROR(MATCH(AG$1,INDIRECT("Table!A"&amp;$AM15):INDIRECT("Table!" &amp; $AP$65 &amp; $AM15),0)),"",INDIRECT(CONCATENATE("Table!",ADDRESS($AI15,MATCH(AG$1,INDIRECT("Table!A" &amp; $AM15):INDIRECT("Table!" &amp; $AP$65 &amp; $AM15),0)))))</f>
        <v>0.96305866884816571</v>
      </c>
      <c r="AH15" s="596"/>
      <c r="AI15" s="595">
        <f>MATCH($A15,Table!$A:$A,0)+$AK$2-1</f>
        <v>180</v>
      </c>
      <c r="AJ15" s="1008"/>
      <c r="AK15" s="1008"/>
      <c r="AL15" s="1008"/>
      <c r="AM15" s="595">
        <f>MATCH($A15,Table!$A:$A,0)+$AO$2-1</f>
        <v>171</v>
      </c>
      <c r="AN15" s="1008"/>
      <c r="AO15" s="1008"/>
      <c r="AP15" s="1008" t="s">
        <v>302</v>
      </c>
    </row>
    <row r="16" spans="1:42" s="947" customFormat="1" ht="19.5" customHeight="1" x14ac:dyDescent="0.25">
      <c r="A16" s="592">
        <v>41886</v>
      </c>
      <c r="B16" s="596">
        <f ca="1">IF(ISERROR(MATCH(B$1,INDIRECT("Table!A"&amp;$AM16):INDIRECT("Table!" &amp; $AP$108 &amp; $AM16),0)),"",INDIRECT(CONCATENATE("Table!",ADDRESS($AI16,MATCH(B$1,INDIRECT("Table!A" &amp; $AM16):INDIRECT("Table!" &amp; $AP$108 &amp; $AM16),0)))))</f>
        <v>0.455955149700982</v>
      </c>
      <c r="C16" s="596">
        <f ca="1">IF(ISERROR(MATCH(C$1,INDIRECT("Table!A"&amp;$AM16):INDIRECT("Table!" &amp; $AP$108 &amp; $AM16),0)),"",INDIRECT(CONCATENATE("Table!",ADDRESS($AI16,MATCH(C$1,INDIRECT("Table!A" &amp; $AM16):INDIRECT("Table!" &amp; $AP$108 &amp; $AM16),0)))))</f>
        <v>0.61624701445088803</v>
      </c>
      <c r="D16" s="596">
        <f ca="1">IF(ISERROR(MATCH(D$1,INDIRECT("Table!A"&amp;$AM16):INDIRECT("Table!" &amp; $AP$108 &amp; $AM16),0)),"",INDIRECT(CONCATENATE("Table!",ADDRESS($AI16,MATCH(D$1,INDIRECT("Table!A" &amp; $AM16):INDIRECT("Table!" &amp; $AP$108 &amp; $AM16),0)))))</f>
        <v>0.60347853759748915</v>
      </c>
      <c r="E16" s="596">
        <f ca="1">IF(ISERROR(MATCH(E$1,INDIRECT("Table!A"&amp;$AM16):INDIRECT("Table!" &amp; $AP$108 &amp; $AM16),0)),"",INDIRECT(CONCATENATE("Table!",ADDRESS($AI16,MATCH(E$1,INDIRECT("Table!A" &amp; $AM16):INDIRECT("Table!" &amp; $AP$108 &amp; $AM16),0)))))</f>
        <v>0.95241890056417955</v>
      </c>
      <c r="F16" s="596">
        <f ca="1">IF(ISERROR(MATCH(F$1,INDIRECT("Table!A"&amp;$AM16):INDIRECT("Table!" &amp; $AP$108 &amp; $AM16),0)),"",INDIRECT(CONCATENATE("Table!",ADDRESS($AI16,MATCH(F$1,INDIRECT("Table!A" &amp; $AM16):INDIRECT("Table!" &amp; $AP$108 &amp; $AM16),0)))))</f>
        <v>0.68464961086642162</v>
      </c>
      <c r="G16" s="596">
        <f ca="1">IF(ISERROR(MATCH(G$1,INDIRECT("Table!A"&amp;$AM16):INDIRECT("Table!" &amp; $AP$108 &amp; $AM16),0)),"",INDIRECT(CONCATENATE("Table!",ADDRESS($AI16,MATCH(G$1,INDIRECT("Table!A" &amp; $AM16):INDIRECT("Table!" &amp; $AP$108 &amp; $AM16),0)))))</f>
        <v>1.0885387222243617</v>
      </c>
      <c r="H16" s="596">
        <f ca="1">IF(ISERROR(MATCH(H$1,INDIRECT("Table!A"&amp;$AM16):INDIRECT("Table!" &amp; $AP$108 &amp; $AM16),0)),"",INDIRECT(CONCATENATE("Table!",ADDRESS($AI16,MATCH(H$1,INDIRECT("Table!A" &amp; $AM16):INDIRECT("Table!" &amp; $AP$108 &amp; $AM16),0)))))</f>
        <v>1.1883014557306129</v>
      </c>
      <c r="I16" s="596">
        <f ca="1">IF(ISERROR(MATCH(I$1,INDIRECT("Table!A"&amp;$AM16):INDIRECT("Table!" &amp; $AP$86 &amp; $AM16),0)),"",INDIRECT(CONCATENATE("Table!",ADDRESS($AI16,MATCH(I$1,INDIRECT("Table!A" &amp; $AM16):INDIRECT("Table!" &amp; $AP$86 &amp; $AM16),0)))))</f>
        <v>0.2801663073977288</v>
      </c>
      <c r="J16" s="596">
        <f ca="1">IF(ISERROR(MATCH(J$1,INDIRECT("Table!A"&amp;$AM16):INDIRECT("Table!" &amp; $AP$86 &amp; $AM16),0)),"",INDIRECT(CONCATENATE("Table!",ADDRESS($AI16,MATCH(J$1,INDIRECT("Table!A" &amp; $AM16):INDIRECT("Table!" &amp; $AP$86 &amp; $AM16),0)))))</f>
        <v>1.6548677866007844</v>
      </c>
      <c r="K16" s="596">
        <f ca="1">IF(ISERROR(MATCH(K$1,INDIRECT("Table!A"&amp;$AM16):INDIRECT("Table!" &amp; $AP$86 &amp; $AM16),0)),"",INDIRECT(CONCATENATE("Table!",ADDRESS($AI16,MATCH(K$1,INDIRECT("Table!A" &amp; $AM16):INDIRECT("Table!" &amp; $AP$86 &amp; $AM16),0)))))</f>
        <v>0.98921931064768687</v>
      </c>
      <c r="L16" s="596">
        <f ca="1">IF(ISERROR(MATCH(L$1,INDIRECT("Table!A"&amp;$AM16):INDIRECT("Table!" &amp; $AP$108 &amp; $AM16),0)),"",INDIRECT(CONCATENATE("Table!",ADDRESS($AI16,MATCH(L$1,INDIRECT("Table!A" &amp; $AM16):INDIRECT("Table!" &amp; $AP$108 &amp; $AM16),0)))))</f>
        <v>0.71388914417567084</v>
      </c>
      <c r="M16" s="596">
        <f ca="1">IF(ISERROR(MATCH(M$1,INDIRECT("Table!A"&amp;$AM16):INDIRECT("Table!" &amp; $AP$108 &amp; $AM16),0)),"",INDIRECT(CONCATENATE("Table!",ADDRESS($AI16,MATCH(M$1,INDIRECT("Table!A" &amp; $AM16):INDIRECT("Table!" &amp; $AP$108 &amp; $AM16),0)))))</f>
        <v>0.94783400525626516</v>
      </c>
      <c r="N16" s="596">
        <f ca="1">IF(ISERROR(MATCH(N$1,INDIRECT("Table!A"&amp;$AM16):INDIRECT("Table!" &amp; $AP$108 &amp; $AM16),0)),"",INDIRECT(CONCATENATE("Table!",ADDRESS($AI16,MATCH(N$1,INDIRECT("Table!A" &amp; $AM16):INDIRECT("Table!" &amp; $AP$108 &amp; $AM16),0)))))</f>
        <v>1.3951503634445583</v>
      </c>
      <c r="O16" s="596">
        <f ca="1">IF(ISERROR(MATCH(O$1,INDIRECT("Table!A"&amp;$AM16):INDIRECT("Table!" &amp; $AP$86 &amp; $AM16),0)),"",INDIRECT(CONCATENATE("Table!",ADDRESS($AI16,MATCH(O$1,INDIRECT("Table!A" &amp; $AM16):INDIRECT("Table!" &amp; $AP$86 &amp; $AM16),0)))))</f>
        <v>0.53628671091629176</v>
      </c>
      <c r="P16" s="596">
        <f ca="1">IF(ISERROR(MATCH(P$1,INDIRECT("Table!A"&amp;$AM16):INDIRECT("Table!" &amp; $AP$86 &amp; $AM16),0)),"",INDIRECT(CONCATENATE("Table!",ADDRESS($AI16,MATCH(P$1,INDIRECT("Table!A" &amp; $AM16):INDIRECT("Table!" &amp; $AP$86 &amp; $AM16),0)))))</f>
        <v>0.74223948322952638</v>
      </c>
      <c r="Q16" s="596">
        <f ca="1">IF(ISERROR(MATCH(Q$1,INDIRECT("Table!A"&amp;$AM16):INDIRECT("Table!" &amp; $AP$86 &amp; $AM16),0)),"",INDIRECT(CONCATENATE("Table!",ADDRESS($AI16,MATCH(Q$1,INDIRECT("Table!A" &amp; $AM16):INDIRECT("Table!" &amp; $AP$86 &amp; $AM16),0)))))</f>
        <v>0.81785872114444225</v>
      </c>
      <c r="R16" s="596">
        <f ca="1">IF(ISERROR(MATCH(R$1,INDIRECT("Table!A"&amp;$AM16):INDIRECT("Table!" &amp; $AP$86 &amp; $AM16),0)),"",INDIRECT(CONCATENATE("Table!",ADDRESS($AI16,MATCH(R$1,INDIRECT("Table!A" &amp; $AM16):INDIRECT("Table!" &amp; $AP$86 &amp; $AM16),0)))))</f>
        <v>1.2663371076702064</v>
      </c>
      <c r="S16" s="596" t="str">
        <f ca="1">IF(ISERROR(MATCH(S$1,INDIRECT("Table!A"&amp;$AM16):INDIRECT("Table!" &amp; $AP$65 &amp; $AM16),0)),"",INDIRECT(CONCATENATE("Table!",ADDRESS($AI16,MATCH(S$1,INDIRECT("Table!A" &amp; $AM16):INDIRECT("Table!" &amp; $AP$65 &amp; $AM16),0)))))</f>
        <v/>
      </c>
      <c r="T16" s="596">
        <f ca="1">IF(ISERROR(MATCH(T$1,INDIRECT("Table!A"&amp;$AM16):INDIRECT("Table!" &amp; $AP$65 &amp; $AM16),0)),"",INDIRECT(CONCATENATE("Table!",ADDRESS($AI16,MATCH(T$1,INDIRECT("Table!A" &amp; $AM16):INDIRECT("Table!" &amp; $AP$65 &amp; $AM16),0)))))</f>
        <v>1.2196627128632083</v>
      </c>
      <c r="U16" s="596">
        <f ca="1">IF(ISERROR(MATCH(U$1,INDIRECT("Table!A"&amp;$AM16):INDIRECT("Table!" &amp; $AP$65 &amp; $AM16),0)),"",INDIRECT(CONCATENATE("Table!",ADDRESS($AI16,MATCH(U$1,INDIRECT("Table!A" &amp; $AM16):INDIRECT("Table!" &amp; $AP$65 &amp; $AM16),0)))))</f>
        <v>0.6242147627364929</v>
      </c>
      <c r="V16" s="596">
        <f ca="1">IF(ISERROR(MATCH(V$1,INDIRECT("Table!A"&amp;$AM16):INDIRECT("Table!" &amp; $AP$65 &amp; $AM16),0)),"",INDIRECT(CONCATENATE("Table!",ADDRESS($AI16,MATCH(V$1,INDIRECT("Table!A" &amp; $AM16):INDIRECT("Table!" &amp; $AP$65 &amp; $AM16),0)))))</f>
        <v>0.40622018983610703</v>
      </c>
      <c r="W16" s="596">
        <f ca="1">IF(ISERROR(MATCH(W$1,INDIRECT("Table!A"&amp;$AM16):INDIRECT("Table!" &amp; $AP$65 &amp; $AM16),0)),"",INDIRECT(CONCATENATE("Table!",ADDRESS($AI16,MATCH(W$1,INDIRECT("Table!A" &amp; $AM16):INDIRECT("Table!" &amp; $AP$65 &amp; $AM16),0)))))</f>
        <v>0.45958306791328468</v>
      </c>
      <c r="X16" s="596">
        <f ca="1">IF(ISERROR(MATCH(X$1,INDIRECT("Table!A"&amp;$AM16):INDIRECT("Table!" &amp; $AP$65 &amp; $AM16),0)),"",INDIRECT(CONCATENATE("Table!",ADDRESS($AI16,MATCH(X$1,INDIRECT("Table!A" &amp; $AM16):INDIRECT("Table!" &amp; $AP$65 &amp; $AM16),0)))))</f>
        <v>0.27376408197750318</v>
      </c>
      <c r="Y16" s="596">
        <f ca="1">IF(ISERROR(MATCH(Y$1,INDIRECT("Table!A"&amp;$AM16):INDIRECT("Table!" &amp; $AP$65 &amp; $AM16),0)),"",INDIRECT(CONCATENATE("Table!",ADDRESS($AI16,MATCH(Y$1,INDIRECT("Table!A" &amp; $AM16):INDIRECT("Table!" &amp; $AP$65 &amp; $AM16),0)))))</f>
        <v>0.4579334517326914</v>
      </c>
      <c r="Z16" s="596">
        <f ca="1">IF(ISERROR(MATCH(Z$1,INDIRECT("Table!A"&amp;$AM16):INDIRECT("Table!" &amp; $AP$65 &amp; $AM16),0)),"",INDIRECT(CONCATENATE("Table!",ADDRESS($AI16,MATCH(Z$1,INDIRECT("Table!A" &amp; $AM16):INDIRECT("Table!" &amp; $AP$65 &amp; $AM16),0)))))</f>
        <v>0.39141343172797632</v>
      </c>
      <c r="AA16" s="596">
        <f ca="1">IF(ISERROR(MATCH(AA$1,INDIRECT("Table!A"&amp;$AM16):INDIRECT("Table!" &amp; $AP$65 &amp; $AM16),0)),"",INDIRECT(CONCATENATE("Table!",ADDRESS($AI16,MATCH(AA$1,INDIRECT("Table!A" &amp; $AM16):INDIRECT("Table!" &amp; $AP$65 &amp; $AM16),0)))))</f>
        <v>0.59351813473394199</v>
      </c>
      <c r="AB16" s="596">
        <f ca="1">IF(ISERROR(MATCH(AB$1,INDIRECT("Table!A"&amp;$AM16):INDIRECT("Table!" &amp; $AP$65 &amp; $AM16),0)),"",INDIRECT(CONCATENATE("Table!",ADDRESS($AI16,MATCH(AB$1,INDIRECT("Table!A" &amp; $AM16):INDIRECT("Table!" &amp; $AP$65 &amp; $AM16),0)))))</f>
        <v>0</v>
      </c>
      <c r="AC16" s="596">
        <f ca="1">IF(ISERROR(MATCH(AC$1,INDIRECT("Table!A"&amp;$AM16):INDIRECT("Table!" &amp; $AP$65 &amp; $AM16),0)),"",INDIRECT(CONCATENATE("Table!",ADDRESS($AI16,MATCH(AC$1,INDIRECT("Table!A" &amp; $AM16):INDIRECT("Table!" &amp; $AP$65 &amp; $AM16),0)))))</f>
        <v>0.20690242655013227</v>
      </c>
      <c r="AD16" s="596">
        <f ca="1">IF(ISERROR(MATCH(AD$1,INDIRECT("Table!A"&amp;$AM16):INDIRECT("Table!" &amp; $AP$65 &amp; $AM16),0)),"",INDIRECT(CONCATENATE("Table!",ADDRESS($AI16,MATCH(AD$1,INDIRECT("Table!A" &amp; $AM16):INDIRECT("Table!" &amp; $AP$65 &amp; $AM16),0)))))</f>
        <v>0.33691238766963355</v>
      </c>
      <c r="AE16" s="596">
        <f ca="1">IF(ISERROR(MATCH(AE$1,INDIRECT("Table!A"&amp;$AM16):INDIRECT("Table!" &amp; $AP$65 &amp; $AM16),0)),"",INDIRECT(CONCATENATE("Table!",ADDRESS($AI16,MATCH(AE$1,INDIRECT("Table!A" &amp; $AM16):INDIRECT("Table!" &amp; $AP$65 &amp; $AM16),0)))))</f>
        <v>6.1521818045623997E-2</v>
      </c>
      <c r="AF16" s="596">
        <f ca="1">IF(ISERROR(MATCH(AF$1,INDIRECT("Table!A"&amp;$AM16):INDIRECT("Table!" &amp; $AP$65 &amp; $AM16),0)),"",INDIRECT(CONCATENATE("Table!",ADDRESS($AI16,MATCH(AF$1,INDIRECT("Table!A" &amp; $AM16):INDIRECT("Table!" &amp; $AP$65 &amp; $AM16),0)))))</f>
        <v>6.1521818045623997E-2</v>
      </c>
      <c r="AG16" s="596">
        <f ca="1">IF(ISERROR(MATCH(AG$1,INDIRECT("Table!A"&amp;$AM16):INDIRECT("Table!" &amp; $AP$65 &amp; $AM16),0)),"",INDIRECT(CONCATENATE("Table!",ADDRESS($AI16,MATCH(AG$1,INDIRECT("Table!A" &amp; $AM16):INDIRECT("Table!" &amp; $AP$65 &amp; $AM16),0)))))</f>
        <v>0.96305866884816571</v>
      </c>
      <c r="AH16" s="596"/>
      <c r="AI16" s="595">
        <f>MATCH($A16,Table!$A:$A,0)+$AK$2-1</f>
        <v>194</v>
      </c>
      <c r="AJ16" s="1005"/>
      <c r="AK16" s="1005"/>
      <c r="AL16" s="1005"/>
      <c r="AM16" s="595">
        <f>MATCH($A16,Table!$A:$A,0)+$AO$2-1</f>
        <v>185</v>
      </c>
      <c r="AN16" s="1005"/>
      <c r="AO16" s="1005"/>
      <c r="AP16" s="1005" t="s">
        <v>302</v>
      </c>
    </row>
    <row r="17" spans="1:42" s="947" customFormat="1" ht="19.5" customHeight="1" x14ac:dyDescent="0.25">
      <c r="A17" s="592">
        <v>41878</v>
      </c>
      <c r="B17" s="596">
        <f ca="1">IF(ISERROR(MATCH(B$1,INDIRECT("Table!A"&amp;$AM17):INDIRECT("Table!" &amp; $AP$108 &amp; $AM17),0)),"",INDIRECT(CONCATENATE("Table!",ADDRESS($AI17,MATCH(B$1,INDIRECT("Table!A" &amp; $AM17):INDIRECT("Table!" &amp; $AP$108 &amp; $AM17),0)))))</f>
        <v>0.455955149700982</v>
      </c>
      <c r="C17" s="596">
        <f ca="1">IF(ISERROR(MATCH(C$1,INDIRECT("Table!A"&amp;$AM17):INDIRECT("Table!" &amp; $AP$108 &amp; $AM17),0)),"",INDIRECT(CONCATENATE("Table!",ADDRESS($AI17,MATCH(C$1,INDIRECT("Table!A" &amp; $AM17):INDIRECT("Table!" &amp; $AP$108 &amp; $AM17),0)))))</f>
        <v>0.61624701445088803</v>
      </c>
      <c r="D17" s="596">
        <f ca="1">IF(ISERROR(MATCH(D$1,INDIRECT("Table!A"&amp;$AM17):INDIRECT("Table!" &amp; $AP$108 &amp; $AM17),0)),"",INDIRECT(CONCATENATE("Table!",ADDRESS($AI17,MATCH(D$1,INDIRECT("Table!A" &amp; $AM17):INDIRECT("Table!" &amp; $AP$108 &amp; $AM17),0)))))</f>
        <v>0.60347853759748915</v>
      </c>
      <c r="E17" s="596">
        <f ca="1">IF(ISERROR(MATCH(E$1,INDIRECT("Table!A"&amp;$AM17):INDIRECT("Table!" &amp; $AP$108 &amp; $AM17),0)),"",INDIRECT(CONCATENATE("Table!",ADDRESS($AI17,MATCH(E$1,INDIRECT("Table!A" &amp; $AM17):INDIRECT("Table!" &amp; $AP$108 &amp; $AM17),0)))))</f>
        <v>0.95241890056417955</v>
      </c>
      <c r="F17" s="596">
        <f ca="1">IF(ISERROR(MATCH(F$1,INDIRECT("Table!A"&amp;$AM17):INDIRECT("Table!" &amp; $AP$108 &amp; $AM17),0)),"",INDIRECT(CONCATENATE("Table!",ADDRESS($AI17,MATCH(F$1,INDIRECT("Table!A" &amp; $AM17):INDIRECT("Table!" &amp; $AP$108 &amp; $AM17),0)))))</f>
        <v>0.68464961086642162</v>
      </c>
      <c r="G17" s="596">
        <f ca="1">IF(ISERROR(MATCH(G$1,INDIRECT("Table!A"&amp;$AM17):INDIRECT("Table!" &amp; $AP$108 &amp; $AM17),0)),"",INDIRECT(CONCATENATE("Table!",ADDRESS($AI17,MATCH(G$1,INDIRECT("Table!A" &amp; $AM17):INDIRECT("Table!" &amp; $AP$108 &amp; $AM17),0)))))</f>
        <v>1.0885387222243617</v>
      </c>
      <c r="H17" s="596">
        <f ca="1">IF(ISERROR(MATCH(H$1,INDIRECT("Table!A"&amp;$AM17):INDIRECT("Table!" &amp; $AP$108 &amp; $AM17),0)),"",INDIRECT(CONCATENATE("Table!",ADDRESS($AI17,MATCH(H$1,INDIRECT("Table!A" &amp; $AM17):INDIRECT("Table!" &amp; $AP$108 &amp; $AM17),0)))))</f>
        <v>1.1804591758709817</v>
      </c>
      <c r="I17" s="596">
        <f ca="1">IF(ISERROR(MATCH(I$1,INDIRECT("Table!A"&amp;$AM17):INDIRECT("Table!" &amp; $AP$86 &amp; $AM17),0)),"",INDIRECT(CONCATENATE("Table!",ADDRESS($AI17,MATCH(I$1,INDIRECT("Table!A" &amp; $AM17):INDIRECT("Table!" &amp; $AP$86 &amp; $AM17),0)))))</f>
        <v>0.2801663073977288</v>
      </c>
      <c r="J17" s="596">
        <f ca="1">IF(ISERROR(MATCH(J$1,INDIRECT("Table!A"&amp;$AM17):INDIRECT("Table!" &amp; $AP$86 &amp; $AM17),0)),"",INDIRECT(CONCATENATE("Table!",ADDRESS($AI17,MATCH(J$1,INDIRECT("Table!A" &amp; $AM17):INDIRECT("Table!" &amp; $AP$86 &amp; $AM17),0)))))</f>
        <v>1.6497022719062855</v>
      </c>
      <c r="K17" s="596">
        <f ca="1">IF(ISERROR(MATCH(K$1,INDIRECT("Table!A"&amp;$AM17):INDIRECT("Table!" &amp; $AP$86 &amp; $AM17),0)),"",INDIRECT(CONCATENATE("Table!",ADDRESS($AI17,MATCH(K$1,INDIRECT("Table!A" &amp; $AM17):INDIRECT("Table!" &amp; $AP$86 &amp; $AM17),0)))))</f>
        <v>0.98741361674324946</v>
      </c>
      <c r="L17" s="596">
        <f ca="1">IF(ISERROR(MATCH(L$1,INDIRECT("Table!A"&amp;$AM17):INDIRECT("Table!" &amp; $AP$108 &amp; $AM17),0)),"",INDIRECT(CONCATENATE("Table!",ADDRESS($AI17,MATCH(L$1,INDIRECT("Table!A" &amp; $AM17):INDIRECT("Table!" &amp; $AP$108 &amp; $AM17),0)))))</f>
        <v>0.71388914417567084</v>
      </c>
      <c r="M17" s="596">
        <f ca="1">IF(ISERROR(MATCH(M$1,INDIRECT("Table!A"&amp;$AM17):INDIRECT("Table!" &amp; $AP$108 &amp; $AM17),0)),"",INDIRECT(CONCATENATE("Table!",ADDRESS($AI17,MATCH(M$1,INDIRECT("Table!A" &amp; $AM17):INDIRECT("Table!" &amp; $AP$108 &amp; $AM17),0)))))</f>
        <v>0.80749394310938405</v>
      </c>
      <c r="N17" s="596">
        <f ca="1">IF(ISERROR(MATCH(N$1,INDIRECT("Table!A"&amp;$AM17):INDIRECT("Table!" &amp; $AP$108 &amp; $AM17),0)),"",INDIRECT(CONCATENATE("Table!",ADDRESS($AI17,MATCH(N$1,INDIRECT("Table!A" &amp; $AM17):INDIRECT("Table!" &amp; $AP$108 &amp; $AM17),0)))))</f>
        <v>1.3951503634445583</v>
      </c>
      <c r="O17" s="596">
        <f ca="1">IF(ISERROR(MATCH(O$1,INDIRECT("Table!A"&amp;$AM17):INDIRECT("Table!" &amp; $AP$86 &amp; $AM17),0)),"",INDIRECT(CONCATENATE("Table!",ADDRESS($AI17,MATCH(O$1,INDIRECT("Table!A" &amp; $AM17):INDIRECT("Table!" &amp; $AP$86 &amp; $AM17),0)))))</f>
        <v>0.53140249679137108</v>
      </c>
      <c r="P17" s="596">
        <f ca="1">IF(ISERROR(MATCH(P$1,INDIRECT("Table!A"&amp;$AM17):INDIRECT("Table!" &amp; $AP$86 &amp; $AM17),0)),"",INDIRECT(CONCATENATE("Table!",ADDRESS($AI17,MATCH(P$1,INDIRECT("Table!A" &amp; $AM17):INDIRECT("Table!" &amp; $AP$86 &amp; $AM17),0)))))</f>
        <v>0.74223948322952638</v>
      </c>
      <c r="Q17" s="596">
        <f ca="1">IF(ISERROR(MATCH(Q$1,INDIRECT("Table!A"&amp;$AM17):INDIRECT("Table!" &amp; $AP$86 &amp; $AM17),0)),"",INDIRECT(CONCATENATE("Table!",ADDRESS($AI17,MATCH(Q$1,INDIRECT("Table!A" &amp; $AM17):INDIRECT("Table!" &amp; $AP$86 &amp; $AM17),0)))))</f>
        <v>0.81451549487470387</v>
      </c>
      <c r="R17" s="596">
        <f ca="1">IF(ISERROR(MATCH(R$1,INDIRECT("Table!A"&amp;$AM17):INDIRECT("Table!" &amp; $AP$86 &amp; $AM17),0)),"",INDIRECT(CONCATENATE("Table!",ADDRESS($AI17,MATCH(R$1,INDIRECT("Table!A" &amp; $AM17):INDIRECT("Table!" &amp; $AP$86 &amp; $AM17),0)))))</f>
        <v>1.2663371076702064</v>
      </c>
      <c r="S17" s="596" t="str">
        <f ca="1">IF(ISERROR(MATCH(S$1,INDIRECT("Table!A"&amp;$AM17):INDIRECT("Table!" &amp; $AP$65 &amp; $AM17),0)),"",INDIRECT(CONCATENATE("Table!",ADDRESS($AI17,MATCH(S$1,INDIRECT("Table!A" &amp; $AM17):INDIRECT("Table!" &amp; $AP$65 &amp; $AM17),0)))))</f>
        <v/>
      </c>
      <c r="T17" s="596">
        <f ca="1">IF(ISERROR(MATCH(T$1,INDIRECT("Table!A"&amp;$AM17):INDIRECT("Table!" &amp; $AP$65 &amp; $AM17),0)),"",INDIRECT(CONCATENATE("Table!",ADDRESS($AI17,MATCH(T$1,INDIRECT("Table!A" &amp; $AM17):INDIRECT("Table!" &amp; $AP$65 &amp; $AM17),0)))))</f>
        <v>1.2196627128632083</v>
      </c>
      <c r="U17" s="596">
        <f ca="1">IF(ISERROR(MATCH(U$1,INDIRECT("Table!A"&amp;$AM17):INDIRECT("Table!" &amp; $AP$65 &amp; $AM17),0)),"",INDIRECT(CONCATENATE("Table!",ADDRESS($AI17,MATCH(U$1,INDIRECT("Table!A" &amp; $AM17):INDIRECT("Table!" &amp; $AP$65 &amp; $AM17),0)))))</f>
        <v>0.61761629801411977</v>
      </c>
      <c r="V17" s="596">
        <f ca="1">IF(ISERROR(MATCH(V$1,INDIRECT("Table!A"&amp;$AM17):INDIRECT("Table!" &amp; $AP$65 &amp; $AM17),0)),"",INDIRECT(CONCATENATE("Table!",ADDRESS($AI17,MATCH(V$1,INDIRECT("Table!A" &amp; $AM17):INDIRECT("Table!" &amp; $AP$65 &amp; $AM17),0)))))</f>
        <v>0.4030013293778178</v>
      </c>
      <c r="W17" s="596">
        <f ca="1">IF(ISERROR(MATCH(W$1,INDIRECT("Table!A"&amp;$AM17):INDIRECT("Table!" &amp; $AP$65 &amp; $AM17),0)),"",INDIRECT(CONCATENATE("Table!",ADDRESS($AI17,MATCH(W$1,INDIRECT("Table!A" &amp; $AM17):INDIRECT("Table!" &amp; $AP$65 &amp; $AM17),0)))))</f>
        <v>0.45958306791328468</v>
      </c>
      <c r="X17" s="596">
        <f ca="1">IF(ISERROR(MATCH(X$1,INDIRECT("Table!A"&amp;$AM17):INDIRECT("Table!" &amp; $AP$65 &amp; $AM17),0)),"",INDIRECT(CONCATENATE("Table!",ADDRESS($AI17,MATCH(X$1,INDIRECT("Table!A" &amp; $AM17):INDIRECT("Table!" &amp; $AP$65 &amp; $AM17),0)))))</f>
        <v>0.27376408197750318</v>
      </c>
      <c r="Y17" s="596">
        <f ca="1">IF(ISERROR(MATCH(Y$1,INDIRECT("Table!A"&amp;$AM17):INDIRECT("Table!" &amp; $AP$65 &amp; $AM17),0)),"",INDIRECT(CONCATENATE("Table!",ADDRESS($AI17,MATCH(Y$1,INDIRECT("Table!A" &amp; $AM17):INDIRECT("Table!" &amp; $AP$65 &amp; $AM17),0)))))</f>
        <v>0.4579334517326914</v>
      </c>
      <c r="Z17" s="596">
        <f ca="1">IF(ISERROR(MATCH(Z$1,INDIRECT("Table!A"&amp;$AM17):INDIRECT("Table!" &amp; $AP$65 &amp; $AM17),0)),"",INDIRECT(CONCATENATE("Table!",ADDRESS($AI17,MATCH(Z$1,INDIRECT("Table!A" &amp; $AM17):INDIRECT("Table!" &amp; $AP$65 &amp; $AM17),0)))))</f>
        <v>0.39141343172797632</v>
      </c>
      <c r="AA17" s="596">
        <f ca="1">IF(ISERROR(MATCH(AA$1,INDIRECT("Table!A"&amp;$AM17):INDIRECT("Table!" &amp; $AP$65 &amp; $AM17),0)),"",INDIRECT(CONCATENATE("Table!",ADDRESS($AI17,MATCH(AA$1,INDIRECT("Table!A" &amp; $AM17):INDIRECT("Table!" &amp; $AP$65 &amp; $AM17),0)))))</f>
        <v>0.5794649054808223</v>
      </c>
      <c r="AB17" s="596">
        <f ca="1">IF(ISERROR(MATCH(AB$1,INDIRECT("Table!A"&amp;$AM17):INDIRECT("Table!" &amp; $AP$65 &amp; $AM17),0)),"",INDIRECT(CONCATENATE("Table!",ADDRESS($AI17,MATCH(AB$1,INDIRECT("Table!A" &amp; $AM17):INDIRECT("Table!" &amp; $AP$65 &amp; $AM17),0)))))</f>
        <v>0</v>
      </c>
      <c r="AC17" s="596">
        <f ca="1">IF(ISERROR(MATCH(AC$1,INDIRECT("Table!A"&amp;$AM17):INDIRECT("Table!" &amp; $AP$65 &amp; $AM17),0)),"",INDIRECT(CONCATENATE("Table!",ADDRESS($AI17,MATCH(AC$1,INDIRECT("Table!A" &amp; $AM17):INDIRECT("Table!" &amp; $AP$65 &amp; $AM17),0)))))</f>
        <v>0.20193676831292909</v>
      </c>
      <c r="AD17" s="596">
        <f ca="1">IF(ISERROR(MATCH(AD$1,INDIRECT("Table!A"&amp;$AM17):INDIRECT("Table!" &amp; $AP$65 &amp; $AM17),0)),"",INDIRECT(CONCATENATE("Table!",ADDRESS($AI17,MATCH(AD$1,INDIRECT("Table!A" &amp; $AM17):INDIRECT("Table!" &amp; $AP$65 &amp; $AM17),0)))))</f>
        <v>0.33570859173334183</v>
      </c>
      <c r="AE17" s="596">
        <f ca="1">IF(ISERROR(MATCH(AE$1,INDIRECT("Table!A"&amp;$AM17):INDIRECT("Table!" &amp; $AP$65 &amp; $AM17),0)),"",INDIRECT(CONCATENATE("Table!",ADDRESS($AI17,MATCH(AE$1,INDIRECT("Table!A" &amp; $AM17):INDIRECT("Table!" &amp; $AP$65 &amp; $AM17),0)))))</f>
        <v>6.1521818045623997E-2</v>
      </c>
      <c r="AF17" s="596">
        <f ca="1">IF(ISERROR(MATCH(AF$1,INDIRECT("Table!A"&amp;$AM17):INDIRECT("Table!" &amp; $AP$65 &amp; $AM17),0)),"",INDIRECT(CONCATENATE("Table!",ADDRESS($AI17,MATCH(AF$1,INDIRECT("Table!A" &amp; $AM17):INDIRECT("Table!" &amp; $AP$65 &amp; $AM17),0)))))</f>
        <v>6.1521818045623997E-2</v>
      </c>
      <c r="AG17" s="596">
        <f ca="1">IF(ISERROR(MATCH(AG$1,INDIRECT("Table!A"&amp;$AM17):INDIRECT("Table!" &amp; $AP$65 &amp; $AM17),0)),"",INDIRECT(CONCATENATE("Table!",ADDRESS($AI17,MATCH(AG$1,INDIRECT("Table!A" &amp; $AM17):INDIRECT("Table!" &amp; $AP$65 &amp; $AM17),0)))))</f>
        <v>0.96305866884816571</v>
      </c>
      <c r="AH17" s="596"/>
      <c r="AI17" s="595">
        <f>MATCH($A17,Table!$A:$A,0)+$AK$2-1</f>
        <v>208</v>
      </c>
      <c r="AJ17" s="1002"/>
      <c r="AK17" s="1002"/>
      <c r="AL17" s="1002"/>
      <c r="AM17" s="595">
        <f>MATCH($A17,Table!$A:$A,0)+$AO$2-1</f>
        <v>199</v>
      </c>
      <c r="AN17" s="1002"/>
      <c r="AO17" s="1002"/>
      <c r="AP17" s="1002" t="s">
        <v>302</v>
      </c>
    </row>
    <row r="18" spans="1:42" s="947" customFormat="1" ht="19.5" customHeight="1" x14ac:dyDescent="0.25">
      <c r="A18" s="592">
        <v>41871</v>
      </c>
      <c r="B18" s="596">
        <f ca="1">IF(ISERROR(MATCH(B$1,INDIRECT("Table!A"&amp;$AM18):INDIRECT("Table!" &amp; $AP$108 &amp; $AM18),0)),"",INDIRECT(CONCATENATE("Table!",ADDRESS($AI18,MATCH(B$1,INDIRECT("Table!A" &amp; $AM18):INDIRECT("Table!" &amp; $AP$108 &amp; $AM18),0)))))</f>
        <v>0.4602706080832451</v>
      </c>
      <c r="C18" s="596">
        <f ca="1">IF(ISERROR(MATCH(C$1,INDIRECT("Table!A"&amp;$AM18):INDIRECT("Table!" &amp; $AP$108 &amp; $AM18),0)),"",INDIRECT(CONCATENATE("Table!",ADDRESS($AI18,MATCH(C$1,INDIRECT("Table!A" &amp; $AM18):INDIRECT("Table!" &amp; $AP$108 &amp; $AM18),0)))))</f>
        <v>0.62879148293843801</v>
      </c>
      <c r="D18" s="596">
        <f ca="1">IF(ISERROR(MATCH(D$1,INDIRECT("Table!A"&amp;$AM18):INDIRECT("Table!" &amp; $AP$108 &amp; $AM18),0)),"",INDIRECT(CONCATENATE("Table!",ADDRESS($AI18,MATCH(D$1,INDIRECT("Table!A" &amp; $AM18):INDIRECT("Table!" &amp; $AP$108 &amp; $AM18),0)))))</f>
        <v>0.60504659615843281</v>
      </c>
      <c r="E18" s="596">
        <f ca="1">IF(ISERROR(MATCH(E$1,INDIRECT("Table!A"&amp;$AM18):INDIRECT("Table!" &amp; $AP$108 &amp; $AM18),0)),"",INDIRECT(CONCATENATE("Table!",ADDRESS($AI18,MATCH(E$1,INDIRECT("Table!A" &amp; $AM18):INDIRECT("Table!" &amp; $AP$108 &amp; $AM18),0)))))</f>
        <v>1.0489390809170169</v>
      </c>
      <c r="F18" s="596">
        <f ca="1">IF(ISERROR(MATCH(F$1,INDIRECT("Table!A"&amp;$AM18):INDIRECT("Table!" &amp; $AP$108 &amp; $AM18),0)),"",INDIRECT(CONCATENATE("Table!",ADDRESS($AI18,MATCH(F$1,INDIRECT("Table!A" &amp; $AM18):INDIRECT("Table!" &amp; $AP$108 &amp; $AM18),0)))))</f>
        <v>0.68464961086642162</v>
      </c>
      <c r="G18" s="596">
        <f ca="1">IF(ISERROR(MATCH(G$1,INDIRECT("Table!A"&amp;$AM18):INDIRECT("Table!" &amp; $AP$108 &amp; $AM18),0)),"",INDIRECT(CONCATENATE("Table!",ADDRESS($AI18,MATCH(G$1,INDIRECT("Table!A" &amp; $AM18):INDIRECT("Table!" &amp; $AP$108 &amp; $AM18),0)))))</f>
        <v>1.1361487657411329</v>
      </c>
      <c r="H18" s="596">
        <f ca="1">IF(ISERROR(MATCH(H$1,INDIRECT("Table!A"&amp;$AM18):INDIRECT("Table!" &amp; $AP$108 &amp; $AM18),0)),"",INDIRECT(CONCATENATE("Table!",ADDRESS($AI18,MATCH(H$1,INDIRECT("Table!A" &amp; $AM18):INDIRECT("Table!" &amp; $AP$108 &amp; $AM18),0)))))</f>
        <v>1.1804591758709817</v>
      </c>
      <c r="I18" s="596">
        <f ca="1">IF(ISERROR(MATCH(I$1,INDIRECT("Table!A"&amp;$AM18):INDIRECT("Table!" &amp; $AP$86 &amp; $AM18),0)),"",INDIRECT(CONCATENATE("Table!",ADDRESS($AI18,MATCH(I$1,INDIRECT("Table!A" &amp; $AM18):INDIRECT("Table!" &amp; $AP$86 &amp; $AM18),0)))))</f>
        <v>0.2801663073977288</v>
      </c>
      <c r="J18" s="596">
        <f ca="1">IF(ISERROR(MATCH(J$1,INDIRECT("Table!A"&amp;$AM18):INDIRECT("Table!" &amp; $AP$86 &amp; $AM18),0)),"",INDIRECT(CONCATENATE("Table!",ADDRESS($AI18,MATCH(J$1,INDIRECT("Table!A" &amp; $AM18):INDIRECT("Table!" &amp; $AP$86 &amp; $AM18),0)))))</f>
        <v>1.6497022719062855</v>
      </c>
      <c r="K18" s="596">
        <f ca="1">IF(ISERROR(MATCH(K$1,INDIRECT("Table!A"&amp;$AM18):INDIRECT("Table!" &amp; $AP$86 &amp; $AM18),0)),"",INDIRECT(CONCATENATE("Table!",ADDRESS($AI18,MATCH(K$1,INDIRECT("Table!A" &amp; $AM18):INDIRECT("Table!" &amp; $AP$86 &amp; $AM18),0)))))</f>
        <v>0.99674303524950991</v>
      </c>
      <c r="L18" s="596">
        <f ca="1">IF(ISERROR(MATCH(L$1,INDIRECT("Table!A"&amp;$AM18):INDIRECT("Table!" &amp; $AP$108 &amp; $AM18),0)),"",INDIRECT(CONCATENATE("Table!",ADDRESS($AI18,MATCH(L$1,INDIRECT("Table!A" &amp; $AM18):INDIRECT("Table!" &amp; $AP$108 &amp; $AM18),0)))))</f>
        <v>0.74061413538165999</v>
      </c>
      <c r="M18" s="596">
        <f ca="1">IF(ISERROR(MATCH(M$1,INDIRECT("Table!A"&amp;$AM18):INDIRECT("Table!" &amp; $AP$108 &amp; $AM18),0)),"",INDIRECT(CONCATENATE("Table!",ADDRESS($AI18,MATCH(M$1,INDIRECT("Table!A" &amp; $AM18):INDIRECT("Table!" &amp; $AP$108 &amp; $AM18),0)))))</f>
        <v>0.8076478247564749</v>
      </c>
      <c r="N18" s="596">
        <f ca="1">IF(ISERROR(MATCH(N$1,INDIRECT("Table!A"&amp;$AM18):INDIRECT("Table!" &amp; $AP$108 &amp; $AM18),0)),"",INDIRECT(CONCATENATE("Table!",ADDRESS($AI18,MATCH(N$1,INDIRECT("Table!A" &amp; $AM18):INDIRECT("Table!" &amp; $AP$108 &amp; $AM18),0)))))</f>
        <v>1.3951503634445583</v>
      </c>
      <c r="O18" s="596">
        <f ca="1">IF(ISERROR(MATCH(O$1,INDIRECT("Table!A"&amp;$AM18):INDIRECT("Table!" &amp; $AP$86 &amp; $AM18),0)),"",INDIRECT(CONCATENATE("Table!",ADDRESS($AI18,MATCH(O$1,INDIRECT("Table!A" &amp; $AM18):INDIRECT("Table!" &amp; $AP$86 &amp; $AM18),0)))))</f>
        <v>0.53360039314758523</v>
      </c>
      <c r="P18" s="596">
        <f ca="1">IF(ISERROR(MATCH(P$1,INDIRECT("Table!A"&amp;$AM18):INDIRECT("Table!" &amp; $AP$86 &amp; $AM18),0)),"",INDIRECT(CONCATENATE("Table!",ADDRESS($AI18,MATCH(P$1,INDIRECT("Table!A" &amp; $AM18):INDIRECT("Table!" &amp; $AP$86 &amp; $AM18),0)))))</f>
        <v>0.74223948322952638</v>
      </c>
      <c r="Q18" s="596">
        <f ca="1">IF(ISERROR(MATCH(Q$1,INDIRECT("Table!A"&amp;$AM18):INDIRECT("Table!" &amp; $AP$86 &amp; $AM18),0)),"",INDIRECT(CONCATENATE("Table!",ADDRESS($AI18,MATCH(Q$1,INDIRECT("Table!A" &amp; $AM18):INDIRECT("Table!" &amp; $AP$86 &amp; $AM18),0)))))</f>
        <v>0.81451549487470387</v>
      </c>
      <c r="R18" s="596">
        <f ca="1">IF(ISERROR(MATCH(R$1,INDIRECT("Table!A"&amp;$AM18):INDIRECT("Table!" &amp; $AP$86 &amp; $AM18),0)),"",INDIRECT(CONCATENATE("Table!",ADDRESS($AI18,MATCH(R$1,INDIRECT("Table!A" &amp; $AM18):INDIRECT("Table!" &amp; $AP$86 &amp; $AM18),0)))))</f>
        <v>1.2644088712865851</v>
      </c>
      <c r="S18" s="596" t="str">
        <f ca="1">IF(ISERROR(MATCH(S$1,INDIRECT("Table!A"&amp;$AM18):INDIRECT("Table!" &amp; $AP$65 &amp; $AM18),0)),"",INDIRECT(CONCATENATE("Table!",ADDRESS($AI18,MATCH(S$1,INDIRECT("Table!A" &amp; $AM18):INDIRECT("Table!" &amp; $AP$65 &amp; $AM18),0)))))</f>
        <v/>
      </c>
      <c r="T18" s="596">
        <f ca="1">IF(ISERROR(MATCH(T$1,INDIRECT("Table!A"&amp;$AM18):INDIRECT("Table!" &amp; $AP$65 &amp; $AM18),0)),"",INDIRECT(CONCATENATE("Table!",ADDRESS($AI18,MATCH(T$1,INDIRECT("Table!A" &amp; $AM18):INDIRECT("Table!" &amp; $AP$65 &amp; $AM18),0)))))</f>
        <v>1.2196627128632083</v>
      </c>
      <c r="U18" s="596">
        <f ca="1">IF(ISERROR(MATCH(U$1,INDIRECT("Table!A"&amp;$AM18):INDIRECT("Table!" &amp; $AP$65 &amp; $AM18),0)),"",INDIRECT(CONCATENATE("Table!",ADDRESS($AI18,MATCH(U$1,INDIRECT("Table!A" &amp; $AM18):INDIRECT("Table!" &amp; $AP$65 &amp; $AM18),0)))))</f>
        <v>0.61761629801411977</v>
      </c>
      <c r="V18" s="596">
        <f ca="1">IF(ISERROR(MATCH(V$1,INDIRECT("Table!A"&amp;$AM18):INDIRECT("Table!" &amp; $AP$65 &amp; $AM18),0)),"",INDIRECT(CONCATENATE("Table!",ADDRESS($AI18,MATCH(V$1,INDIRECT("Table!A" &amp; $AM18):INDIRECT("Table!" &amp; $AP$65 &amp; $AM18),0)))))</f>
        <v>0.4030013293778178</v>
      </c>
      <c r="W18" s="596">
        <f ca="1">IF(ISERROR(MATCH(W$1,INDIRECT("Table!A"&amp;$AM18):INDIRECT("Table!" &amp; $AP$65 &amp; $AM18),0)),"",INDIRECT(CONCATENATE("Table!",ADDRESS($AI18,MATCH(W$1,INDIRECT("Table!A" &amp; $AM18):INDIRECT("Table!" &amp; $AP$65 &amp; $AM18),0)))))</f>
        <v>0.45958306791328468</v>
      </c>
      <c r="X18" s="596">
        <f ca="1">IF(ISERROR(MATCH(X$1,INDIRECT("Table!A"&amp;$AM18):INDIRECT("Table!" &amp; $AP$65 &amp; $AM18),0)),"",INDIRECT(CONCATENATE("Table!",ADDRESS($AI18,MATCH(X$1,INDIRECT("Table!A" &amp; $AM18):INDIRECT("Table!" &amp; $AP$65 &amp; $AM18),0)))))</f>
        <v>0.27376408197750318</v>
      </c>
      <c r="Y18" s="596">
        <f ca="1">IF(ISERROR(MATCH(Y$1,INDIRECT("Table!A"&amp;$AM18):INDIRECT("Table!" &amp; $AP$65 &amp; $AM18),0)),"",INDIRECT(CONCATENATE("Table!",ADDRESS($AI18,MATCH(Y$1,INDIRECT("Table!A" &amp; $AM18):INDIRECT("Table!" &amp; $AP$65 &amp; $AM18),0)))))</f>
        <v>0.45199483348255565</v>
      </c>
      <c r="Z18" s="596">
        <f ca="1">IF(ISERROR(MATCH(Z$1,INDIRECT("Table!A"&amp;$AM18):INDIRECT("Table!" &amp; $AP$65 &amp; $AM18),0)),"",INDIRECT(CONCATENATE("Table!",ADDRESS($AI18,MATCH(Z$1,INDIRECT("Table!A" &amp; $AM18):INDIRECT("Table!" &amp; $AP$65 &amp; $AM18),0)))))</f>
        <v>0.38851645731551604</v>
      </c>
      <c r="AA18" s="596">
        <f ca="1">IF(ISERROR(MATCH(AA$1,INDIRECT("Table!A"&amp;$AM18):INDIRECT("Table!" &amp; $AP$65 &amp; $AM18),0)),"",INDIRECT(CONCATENATE("Table!",ADDRESS($AI18,MATCH(AA$1,INDIRECT("Table!A" &amp; $AM18):INDIRECT("Table!" &amp; $AP$65 &amp; $AM18),0)))))</f>
        <v>0.57331020653785025</v>
      </c>
      <c r="AB18" s="596">
        <f ca="1">IF(ISERROR(MATCH(AB$1,INDIRECT("Table!A"&amp;$AM18):INDIRECT("Table!" &amp; $AP$65 &amp; $AM18),0)),"",INDIRECT(CONCATENATE("Table!",ADDRESS($AI18,MATCH(AB$1,INDIRECT("Table!A" &amp; $AM18):INDIRECT("Table!" &amp; $AP$65 &amp; $AM18),0)))))</f>
        <v>0</v>
      </c>
      <c r="AC18" s="596">
        <f ca="1">IF(ISERROR(MATCH(AC$1,INDIRECT("Table!A"&amp;$AM18):INDIRECT("Table!" &amp; $AP$65 &amp; $AM18),0)),"",INDIRECT(CONCATENATE("Table!",ADDRESS($AI18,MATCH(AC$1,INDIRECT("Table!A" &amp; $AM18):INDIRECT("Table!" &amp; $AP$65 &amp; $AM18),0)))))</f>
        <v>0.18794264055353832</v>
      </c>
      <c r="AD18" s="596">
        <f ca="1">IF(ISERROR(MATCH(AD$1,INDIRECT("Table!A"&amp;$AM18):INDIRECT("Table!" &amp; $AP$65 &amp; $AM18),0)),"",INDIRECT(CONCATENATE("Table!",ADDRESS($AI18,MATCH(AD$1,INDIRECT("Table!A" &amp; $AM18):INDIRECT("Table!" &amp; $AP$65 &amp; $AM18),0)))))</f>
        <v>0.32517537729078966</v>
      </c>
      <c r="AE18" s="596">
        <f ca="1">IF(ISERROR(MATCH(AE$1,INDIRECT("Table!A"&amp;$AM18):INDIRECT("Table!" &amp; $AP$65 &amp; $AM18),0)),"",INDIRECT(CONCATENATE("Table!",ADDRESS($AI18,MATCH(AE$1,INDIRECT("Table!A" &amp; $AM18):INDIRECT("Table!" &amp; $AP$65 &amp; $AM18),0)))))</f>
        <v>4.7922258267117643E-2</v>
      </c>
      <c r="AF18" s="596">
        <f ca="1">IF(ISERROR(MATCH(AF$1,INDIRECT("Table!A"&amp;$AM18):INDIRECT("Table!" &amp; $AP$65 &amp; $AM18),0)),"",INDIRECT(CONCATENATE("Table!",ADDRESS($AI18,MATCH(AF$1,INDIRECT("Table!A" &amp; $AM18):INDIRECT("Table!" &amp; $AP$65 &amp; $AM18),0)))))</f>
        <v>4.7706392238887382E-2</v>
      </c>
      <c r="AG18" s="596">
        <f ca="1">IF(ISERROR(MATCH(AG$1,INDIRECT("Table!A"&amp;$AM18):INDIRECT("Table!" &amp; $AP$65 &amp; $AM18),0)),"",INDIRECT(CONCATENATE("Table!",ADDRESS($AI18,MATCH(AG$1,INDIRECT("Table!A" &amp; $AM18):INDIRECT("Table!" &amp; $AP$65 &amp; $AM18),0)))))</f>
        <v>0.96305866884816571</v>
      </c>
      <c r="AH18" s="596"/>
      <c r="AI18" s="595">
        <f>MATCH($A18,Table!$A:$A,0)+$AK$2-1</f>
        <v>222</v>
      </c>
      <c r="AJ18" s="999"/>
      <c r="AK18" s="999"/>
      <c r="AL18" s="999"/>
      <c r="AM18" s="595">
        <f>MATCH($A18,Table!$A:$A,0)+$AO$2-1</f>
        <v>213</v>
      </c>
      <c r="AN18" s="999"/>
      <c r="AO18" s="999"/>
      <c r="AP18" s="999" t="s">
        <v>302</v>
      </c>
    </row>
    <row r="19" spans="1:42" s="947" customFormat="1" ht="19.5" customHeight="1" x14ac:dyDescent="0.25">
      <c r="A19" s="592">
        <v>41864</v>
      </c>
      <c r="B19" s="596">
        <f ca="1">IF(ISERROR(MATCH(B$1,INDIRECT("Table!A"&amp;$AM19):INDIRECT("Table!" &amp; $AP$108 &amp; $AM19),0)),"",INDIRECT(CONCATENATE("Table!",ADDRESS($AI19,MATCH(B$1,INDIRECT("Table!A" &amp; $AM19):INDIRECT("Table!" &amp; $AP$108 &amp; $AM19),0)))))</f>
        <v>0.46121461460436514</v>
      </c>
      <c r="C19" s="596">
        <f ca="1">IF(ISERROR(MATCH(C$1,INDIRECT("Table!A"&amp;$AM19):INDIRECT("Table!" &amp; $AP$108 &amp; $AM19),0)),"",INDIRECT(CONCATENATE("Table!",ADDRESS($AI19,MATCH(C$1,INDIRECT("Table!A" &amp; $AM19):INDIRECT("Table!" &amp; $AP$108 &amp; $AM19),0)))))</f>
        <v>0.63394367535296747</v>
      </c>
      <c r="D19" s="596">
        <f ca="1">IF(ISERROR(MATCH(D$1,INDIRECT("Table!A"&amp;$AM19):INDIRECT("Table!" &amp; $AP$108 &amp; $AM19),0)),"",INDIRECT(CONCATENATE("Table!",ADDRESS($AI19,MATCH(D$1,INDIRECT("Table!A" &amp; $AM19):INDIRECT("Table!" &amp; $AP$108 &amp; $AM19),0)))))</f>
        <v>0.60683866308522572</v>
      </c>
      <c r="E19" s="596">
        <f ca="1">IF(ISERROR(MATCH(E$1,INDIRECT("Table!A"&amp;$AM19):INDIRECT("Table!" &amp; $AP$108 &amp; $AM19),0)),"",INDIRECT(CONCATENATE("Table!",ADDRESS($AI19,MATCH(E$1,INDIRECT("Table!A" &amp; $AM19):INDIRECT("Table!" &amp; $AP$108 &amp; $AM19),0)))))</f>
        <v>1.0520884917922535</v>
      </c>
      <c r="F19" s="596">
        <f ca="1">IF(ISERROR(MATCH(F$1,INDIRECT("Table!A"&amp;$AM19):INDIRECT("Table!" &amp; $AP$108 &amp; $AM19),0)),"",INDIRECT(CONCATENATE("Table!",ADDRESS($AI19,MATCH(F$1,INDIRECT("Table!A" &amp; $AM19):INDIRECT("Table!" &amp; $AP$108 &amp; $AM19),0)))))</f>
        <v>0.68464961086642162</v>
      </c>
      <c r="G19" s="596">
        <f ca="1">IF(ISERROR(MATCH(G$1,INDIRECT("Table!A"&amp;$AM19):INDIRECT("Table!" &amp; $AP$108 &amp; $AM19),0)),"",INDIRECT(CONCATENATE("Table!",ADDRESS($AI19,MATCH(G$1,INDIRECT("Table!A" &amp; $AM19):INDIRECT("Table!" &amp; $AP$108 &amp; $AM19),0)))))</f>
        <v>1.1361487657411329</v>
      </c>
      <c r="H19" s="596">
        <f ca="1">IF(ISERROR(MATCH(H$1,INDIRECT("Table!A"&amp;$AM19):INDIRECT("Table!" &amp; $AP$108 &amp; $AM19),0)),"",INDIRECT(CONCATENATE("Table!",ADDRESS($AI19,MATCH(H$1,INDIRECT("Table!A" &amp; $AM19):INDIRECT("Table!" &amp; $AP$108 &amp; $AM19),0)))))</f>
        <v>1.2533923785655514</v>
      </c>
      <c r="I19" s="596">
        <f ca="1">IF(ISERROR(MATCH(I$1,INDIRECT("Table!A"&amp;$AM19):INDIRECT("Table!" &amp; $AP$86 &amp; $AM19),0)),"",INDIRECT(CONCATENATE("Table!",ADDRESS($AI19,MATCH(I$1,INDIRECT("Table!A" &amp; $AM19):INDIRECT("Table!" &amp; $AP$86 &amp; $AM19),0)))))</f>
        <v>0.2801663073977288</v>
      </c>
      <c r="J19" s="596">
        <f ca="1">IF(ISERROR(MATCH(J$1,INDIRECT("Table!A"&amp;$AM19):INDIRECT("Table!" &amp; $AP$86 &amp; $AM19),0)),"",INDIRECT(CONCATENATE("Table!",ADDRESS($AI19,MATCH(J$1,INDIRECT("Table!A" &amp; $AM19):INDIRECT("Table!" &amp; $AP$86 &amp; $AM19),0)))))</f>
        <v>1.6475273183507069</v>
      </c>
      <c r="K19" s="596">
        <f ca="1">IF(ISERROR(MATCH(K$1,INDIRECT("Table!A"&amp;$AM19):INDIRECT("Table!" &amp; $AP$86 &amp; $AM19),0)),"",INDIRECT(CONCATENATE("Table!",ADDRESS($AI19,MATCH(K$1,INDIRECT("Table!A" &amp; $AM19):INDIRECT("Table!" &amp; $AP$86 &amp; $AM19),0)))))</f>
        <v>0.98590887182288478</v>
      </c>
      <c r="L19" s="596">
        <f ca="1">IF(ISERROR(MATCH(L$1,INDIRECT("Table!A"&amp;$AM19):INDIRECT("Table!" &amp; $AP$108 &amp; $AM19),0)),"",INDIRECT(CONCATENATE("Table!",ADDRESS($AI19,MATCH(L$1,INDIRECT("Table!A" &amp; $AM19):INDIRECT("Table!" &amp; $AP$108 &amp; $AM19),0)))))</f>
        <v>0.81327816375872852</v>
      </c>
      <c r="M19" s="596">
        <f ca="1">IF(ISERROR(MATCH(M$1,INDIRECT("Table!A"&amp;$AM19):INDIRECT("Table!" &amp; $AP$108 &amp; $AM19),0)),"",INDIRECT(CONCATENATE("Table!",ADDRESS($AI19,MATCH(M$1,INDIRECT("Table!A" &amp; $AM19):INDIRECT("Table!" &amp; $AP$108 &amp; $AM19),0)))))</f>
        <v>0.80957134534511088</v>
      </c>
      <c r="N19" s="596">
        <f ca="1">IF(ISERROR(MATCH(N$1,INDIRECT("Table!A"&amp;$AM19):INDIRECT("Table!" &amp; $AP$108 &amp; $AM19),0)),"",INDIRECT(CONCATENATE("Table!",ADDRESS($AI19,MATCH(N$1,INDIRECT("Table!A" &amp; $AM19):INDIRECT("Table!" &amp; $AP$108 &amp; $AM19),0)))))</f>
        <v>1.3951503634445583</v>
      </c>
      <c r="O19" s="596">
        <f ca="1">IF(ISERROR(MATCH(O$1,INDIRECT("Table!A"&amp;$AM19):INDIRECT("Table!" &amp; $AP$86 &amp; $AM19),0)),"",INDIRECT(CONCATENATE("Table!",ADDRESS($AI19,MATCH(O$1,INDIRECT("Table!A" &amp; $AM19):INDIRECT("Table!" &amp; $AP$86 &amp; $AM19),0)))))</f>
        <v>0.54288039998493465</v>
      </c>
      <c r="P19" s="596">
        <f ca="1">IF(ISERROR(MATCH(P$1,INDIRECT("Table!A"&amp;$AM19):INDIRECT("Table!" &amp; $AP$86 &amp; $AM19),0)),"",INDIRECT(CONCATENATE("Table!",ADDRESS($AI19,MATCH(P$1,INDIRECT("Table!A" &amp; $AM19):INDIRECT("Table!" &amp; $AP$86 &amp; $AM19),0)))))</f>
        <v>0.74223948322952638</v>
      </c>
      <c r="Q19" s="596">
        <f ca="1">IF(ISERROR(MATCH(Q$1,INDIRECT("Table!A"&amp;$AM19):INDIRECT("Table!" &amp; $AP$86 &amp; $AM19),0)),"",INDIRECT(CONCATENATE("Table!",ADDRESS($AI19,MATCH(Q$1,INDIRECT("Table!A" &amp; $AM19):INDIRECT("Table!" &amp; $AP$86 &amp; $AM19),0)))))</f>
        <v>0.81310782065586662</v>
      </c>
      <c r="R19" s="596">
        <f ca="1">IF(ISERROR(MATCH(R$1,INDIRECT("Table!A"&amp;$AM19):INDIRECT("Table!" &amp; $AP$86 &amp; $AM19),0)),"",INDIRECT(CONCATENATE("Table!",ADDRESS($AI19,MATCH(R$1,INDIRECT("Table!A" &amp; $AM19):INDIRECT("Table!" &amp; $AP$86 &amp; $AM19),0)))))</f>
        <v>1.2993742243762505</v>
      </c>
      <c r="S19" s="596" t="str">
        <f ca="1">IF(ISERROR(MATCH(S$1,INDIRECT("Table!A"&amp;$AM19):INDIRECT("Table!" &amp; $AP$65 &amp; $AM19),0)),"",INDIRECT(CONCATENATE("Table!",ADDRESS($AI19,MATCH(S$1,INDIRECT("Table!A" &amp; $AM19):INDIRECT("Table!" &amp; $AP$65 &amp; $AM19),0)))))</f>
        <v/>
      </c>
      <c r="T19" s="596">
        <f ca="1">IF(ISERROR(MATCH(T$1,INDIRECT("Table!A"&amp;$AM19):INDIRECT("Table!" &amp; $AP$65 &amp; $AM19),0)),"",INDIRECT(CONCATENATE("Table!",ADDRESS($AI19,MATCH(T$1,INDIRECT("Table!A" &amp; $AM19):INDIRECT("Table!" &amp; $AP$65 &amp; $AM19),0)))))</f>
        <v>1.2196627128632083</v>
      </c>
      <c r="U19" s="596">
        <f ca="1">IF(ISERROR(MATCH(U$1,INDIRECT("Table!A"&amp;$AM19):INDIRECT("Table!" &amp; $AP$65 &amp; $AM19),0)),"",INDIRECT(CONCATENATE("Table!",ADDRESS($AI19,MATCH(U$1,INDIRECT("Table!A" &amp; $AM19):INDIRECT("Table!" &amp; $AP$65 &amp; $AM19),0)))))</f>
        <v>0.61761629801411977</v>
      </c>
      <c r="V19" s="596">
        <f ca="1">IF(ISERROR(MATCH(V$1,INDIRECT("Table!A"&amp;$AM19):INDIRECT("Table!" &amp; $AP$65 &amp; $AM19),0)),"",INDIRECT(CONCATENATE("Table!",ADDRESS($AI19,MATCH(V$1,INDIRECT("Table!A" &amp; $AM19):INDIRECT("Table!" &amp; $AP$65 &amp; $AM19),0)))))</f>
        <v>0.4030013293778178</v>
      </c>
      <c r="W19" s="596">
        <f ca="1">IF(ISERROR(MATCH(W$1,INDIRECT("Table!A"&amp;$AM19):INDIRECT("Table!" &amp; $AP$65 &amp; $AM19),0)),"",INDIRECT(CONCATENATE("Table!",ADDRESS($AI19,MATCH(W$1,INDIRECT("Table!A" &amp; $AM19):INDIRECT("Table!" &amp; $AP$65 &amp; $AM19),0)))))</f>
        <v>0.45199483348255565</v>
      </c>
      <c r="X19" s="596">
        <f ca="1">IF(ISERROR(MATCH(X$1,INDIRECT("Table!A"&amp;$AM19):INDIRECT("Table!" &amp; $AP$65 &amp; $AM19),0)),"",INDIRECT(CONCATENATE("Table!",ADDRESS($AI19,MATCH(X$1,INDIRECT("Table!A" &amp; $AM19):INDIRECT("Table!" &amp; $AP$65 &amp; $AM19),0)))))</f>
        <v>0.27006239245047053</v>
      </c>
      <c r="Y19" s="596">
        <f ca="1">IF(ISERROR(MATCH(Y$1,INDIRECT("Table!A"&amp;$AM19):INDIRECT("Table!" &amp; $AP$65 &amp; $AM19),0)),"",INDIRECT(CONCATENATE("Table!",ADDRESS($AI19,MATCH(Y$1,INDIRECT("Table!A" &amp; $AM19):INDIRECT("Table!" &amp; $AP$65 &amp; $AM19),0)))))</f>
        <v>0.3107876884237718</v>
      </c>
      <c r="Z19" s="596">
        <f ca="1">IF(ISERROR(MATCH(Z$1,INDIRECT("Table!A"&amp;$AM19):INDIRECT("Table!" &amp; $AP$65 &amp; $AM19),0)),"",INDIRECT(CONCATENATE("Table!",ADDRESS($AI19,MATCH(Z$1,INDIRECT("Table!A" &amp; $AM19):INDIRECT("Table!" &amp; $AP$65 &amp; $AM19),0)))))</f>
        <v>0.26298089944223413</v>
      </c>
      <c r="AA19" s="596">
        <f ca="1">IF(ISERROR(MATCH(AA$1,INDIRECT("Table!A"&amp;$AM19):INDIRECT("Table!" &amp; $AP$65 &amp; $AM19),0)),"",INDIRECT(CONCATENATE("Table!",ADDRESS($AI19,MATCH(AA$1,INDIRECT("Table!A" &amp; $AM19):INDIRECT("Table!" &amp; $AP$65 &amp; $AM19),0)))))</f>
        <v>0.54869141076596195</v>
      </c>
      <c r="AB19" s="596">
        <f ca="1">IF(ISERROR(MATCH(AB$1,INDIRECT("Table!A"&amp;$AM19):INDIRECT("Table!" &amp; $AP$65 &amp; $AM19),0)),"",INDIRECT(CONCATENATE("Table!",ADDRESS($AI19,MATCH(AB$1,INDIRECT("Table!A" &amp; $AM19):INDIRECT("Table!" &amp; $AP$65 &amp; $AM19),0)))))</f>
        <v>0</v>
      </c>
      <c r="AC19" s="596">
        <f ca="1">IF(ISERROR(MATCH(AC$1,INDIRECT("Table!A"&amp;$AM19):INDIRECT("Table!" &amp; $AP$65 &amp; $AM19),0)),"",INDIRECT(CONCATENATE("Table!",ADDRESS($AI19,MATCH(AC$1,INDIRECT("Table!A" &amp; $AM19):INDIRECT("Table!" &amp; $AP$65 &amp; $AM19),0)))))</f>
        <v>0.1737980383021111</v>
      </c>
      <c r="AD19" s="596">
        <f ca="1">IF(ISERROR(MATCH(AD$1,INDIRECT("Table!A"&amp;$AM19):INDIRECT("Table!" &amp; $AP$65 &amp; $AM19),0)),"",INDIRECT(CONCATENATE("Table!",ADDRESS($AI19,MATCH(AD$1,INDIRECT("Table!A" &amp; $AM19):INDIRECT("Table!" &amp; $AP$65 &amp; $AM19),0)))))</f>
        <v>0.32321920889431571</v>
      </c>
      <c r="AE19" s="596">
        <f ca="1">IF(ISERROR(MATCH(AE$1,INDIRECT("Table!A"&amp;$AM19):INDIRECT("Table!" &amp; $AP$65 &amp; $AM19),0)),"",INDIRECT(CONCATENATE("Table!",ADDRESS($AI19,MATCH(AE$1,INDIRECT("Table!A" &amp; $AM19):INDIRECT("Table!" &amp; $AP$65 &amp; $AM19),0)))))</f>
        <v>4.2309741533130892E-2</v>
      </c>
      <c r="AF19" s="596">
        <f ca="1">IF(ISERROR(MATCH(AF$1,INDIRECT("Table!A"&amp;$AM19):INDIRECT("Table!" &amp; $AP$65 &amp; $AM19),0)),"",INDIRECT(CONCATENATE("Table!",ADDRESS($AI19,MATCH(AF$1,INDIRECT("Table!A" &amp; $AM19):INDIRECT("Table!" &amp; $AP$65 &amp; $AM19),0)))))</f>
        <v>4.2309741533130892E-2</v>
      </c>
      <c r="AG19" s="596">
        <f ca="1">IF(ISERROR(MATCH(AG$1,INDIRECT("Table!A"&amp;$AM19):INDIRECT("Table!" &amp; $AP$65 &amp; $AM19),0)),"",INDIRECT(CONCATENATE("Table!",ADDRESS($AI19,MATCH(AG$1,INDIRECT("Table!A" &amp; $AM19):INDIRECT("Table!" &amp; $AP$65 &amp; $AM19),0)))))</f>
        <v>0.96305866884816571</v>
      </c>
      <c r="AH19" s="596"/>
      <c r="AI19" s="595">
        <f>MATCH($A19,Table!$A:$A,0)+$AK$2-1</f>
        <v>236</v>
      </c>
      <c r="AJ19" s="996"/>
      <c r="AK19" s="996"/>
      <c r="AL19" s="996"/>
      <c r="AM19" s="595">
        <f>MATCH($A19,Table!$A:$A,0)+$AO$2-1</f>
        <v>227</v>
      </c>
      <c r="AN19" s="996"/>
      <c r="AO19" s="996"/>
      <c r="AP19" s="996" t="s">
        <v>302</v>
      </c>
    </row>
    <row r="20" spans="1:42" s="947" customFormat="1" ht="19.5" customHeight="1" x14ac:dyDescent="0.25">
      <c r="A20" s="592">
        <v>41857</v>
      </c>
      <c r="B20" s="596">
        <f ca="1">IF(ISERROR(MATCH(B$1,INDIRECT("Table!A"&amp;$AM20):INDIRECT("Table!" &amp; $AP$108 &amp; $AM20),0)),"",INDIRECT(CONCATENATE("Table!",ADDRESS($AI20,MATCH(B$1,INDIRECT("Table!A" &amp; $AM20):INDIRECT("Table!" &amp; $AP$108 &amp; $AM20),0)))))</f>
        <v>0.51879901239268789</v>
      </c>
      <c r="C20" s="596">
        <f ca="1">IF(ISERROR(MATCH(C$1,INDIRECT("Table!A"&amp;$AM20):INDIRECT("Table!" &amp; $AP$108 &amp; $AM20),0)),"",INDIRECT(CONCATENATE("Table!",ADDRESS($AI20,MATCH(C$1,INDIRECT("Table!A" &amp; $AM20):INDIRECT("Table!" &amp; $AP$108 &amp; $AM20),0)))))</f>
        <v>0.64492008527957356</v>
      </c>
      <c r="D20" s="596">
        <f ca="1">IF(ISERROR(MATCH(D$1,INDIRECT("Table!A"&amp;$AM20):INDIRECT("Table!" &amp; $AP$108 &amp; $AM20),0)),"",INDIRECT(CONCATENATE("Table!",ADDRESS($AI20,MATCH(D$1,INDIRECT("Table!A" &amp; $AM20):INDIRECT("Table!" &amp; $AP$108 &amp; $AM20),0)))))</f>
        <v>0.63371966698711835</v>
      </c>
      <c r="E20" s="596">
        <f ca="1">IF(ISERROR(MATCH(E$1,INDIRECT("Table!A"&amp;$AM20):INDIRECT("Table!" &amp; $AP$108 &amp; $AM20),0)),"",INDIRECT(CONCATENATE("Table!",ADDRESS($AI20,MATCH(E$1,INDIRECT("Table!A" &amp; $AM20):INDIRECT("Table!" &amp; $AP$108 &amp; $AM20),0)))))</f>
        <v>1.0520884917922535</v>
      </c>
      <c r="F20" s="596">
        <f ca="1">IF(ISERROR(MATCH(F$1,INDIRECT("Table!A"&amp;$AM20):INDIRECT("Table!" &amp; $AP$108 &amp; $AM20),0)),"",INDIRECT(CONCATENATE("Table!",ADDRESS($AI20,MATCH(F$1,INDIRECT("Table!A" &amp; $AM20):INDIRECT("Table!" &amp; $AP$108 &amp; $AM20),0)))))</f>
        <v>0.68464961086642162</v>
      </c>
      <c r="G20" s="596">
        <f ca="1">IF(ISERROR(MATCH(G$1,INDIRECT("Table!A"&amp;$AM20):INDIRECT("Table!" &amp; $AP$108 &amp; $AM20),0)),"",INDIRECT(CONCATENATE("Table!",ADDRESS($AI20,MATCH(G$1,INDIRECT("Table!A" &amp; $AM20):INDIRECT("Table!" &amp; $AP$108 &amp; $AM20),0)))))</f>
        <v>1.1603866060769439</v>
      </c>
      <c r="H20" s="596">
        <f ca="1">IF(ISERROR(MATCH(H$1,INDIRECT("Table!A"&amp;$AM20):INDIRECT("Table!" &amp; $AP$108 &amp; $AM20),0)),"",INDIRECT(CONCATENATE("Table!",ADDRESS($AI20,MATCH(H$1,INDIRECT("Table!A" &amp; $AM20):INDIRECT("Table!" &amp; $AP$108 &amp; $AM20),0)))))</f>
        <v>1.2916234928812533</v>
      </c>
      <c r="I20" s="596">
        <f ca="1">IF(ISERROR(MATCH(I$1,INDIRECT("Table!A"&amp;$AM20):INDIRECT("Table!" &amp; $AP$86 &amp; $AM20),0)),"",INDIRECT(CONCATENATE("Table!",ADDRESS($AI20,MATCH(I$1,INDIRECT("Table!A" &amp; $AM20):INDIRECT("Table!" &amp; $AP$86 &amp; $AM20),0)))))</f>
        <v>0.2801663073977288</v>
      </c>
      <c r="J20" s="596">
        <f ca="1">IF(ISERROR(MATCH(J$1,INDIRECT("Table!A"&amp;$AM20):INDIRECT("Table!" &amp; $AP$86 &amp; $AM20),0)),"",INDIRECT(CONCATENATE("Table!",ADDRESS($AI20,MATCH(J$1,INDIRECT("Table!A" &amp; $AM20):INDIRECT("Table!" &amp; $AP$86 &amp; $AM20),0)))))</f>
        <v>1.6475273183507069</v>
      </c>
      <c r="K20" s="596">
        <f ca="1">IF(ISERROR(MATCH(K$1,INDIRECT("Table!A"&amp;$AM20):INDIRECT("Table!" &amp; $AP$86 &amp; $AM20),0)),"",INDIRECT(CONCATENATE("Table!",ADDRESS($AI20,MATCH(K$1,INDIRECT("Table!A" &amp; $AM20):INDIRECT("Table!" &amp; $AP$86 &amp; $AM20),0)))))</f>
        <v>1.0134457038655569</v>
      </c>
      <c r="L20" s="596">
        <f ca="1">IF(ISERROR(MATCH(L$1,INDIRECT("Table!A"&amp;$AM20):INDIRECT("Table!" &amp; $AP$108 &amp; $AM20),0)),"",INDIRECT(CONCATENATE("Table!",ADDRESS($AI20,MATCH(L$1,INDIRECT("Table!A" &amp; $AM20):INDIRECT("Table!" &amp; $AP$108 &amp; $AM20),0)))))</f>
        <v>1.0807027489637573</v>
      </c>
      <c r="M20" s="596">
        <f ca="1">IF(ISERROR(MATCH(M$1,INDIRECT("Table!A"&amp;$AM20):INDIRECT("Table!" &amp; $AP$108 &amp; $AM20),0)),"",INDIRECT(CONCATENATE("Table!",ADDRESS($AI20,MATCH(M$1,INDIRECT("Table!A" &amp; $AM20):INDIRECT("Table!" &amp; $AP$108 &amp; $AM20),0)))))</f>
        <v>0.83650063358601467</v>
      </c>
      <c r="N20" s="596">
        <f ca="1">IF(ISERROR(MATCH(N$1,INDIRECT("Table!A"&amp;$AM20):INDIRECT("Table!" &amp; $AP$108 &amp; $AM20),0)),"",INDIRECT(CONCATENATE("Table!",ADDRESS($AI20,MATCH(N$1,INDIRECT("Table!A" &amp; $AM20):INDIRECT("Table!" &amp; $AP$108 &amp; $AM20),0)))))</f>
        <v>1.3951503634445583</v>
      </c>
      <c r="O20" s="596">
        <f ca="1">IF(ISERROR(MATCH(O$1,INDIRECT("Table!A"&amp;$AM20):INDIRECT("Table!" &amp; $AP$86 &amp; $AM20),0)),"",INDIRECT(CONCATENATE("Table!",ADDRESS($AI20,MATCH(O$1,INDIRECT("Table!A" &amp; $AM20):INDIRECT("Table!" &amp; $AP$86 &amp; $AM20),0)))))</f>
        <v>0.5995372838340145</v>
      </c>
      <c r="P20" s="596">
        <f ca="1">IF(ISERROR(MATCH(P$1,INDIRECT("Table!A"&amp;$AM20):INDIRECT("Table!" &amp; $AP$86 &amp; $AM20),0)),"",INDIRECT(CONCATENATE("Table!",ADDRESS($AI20,MATCH(P$1,INDIRECT("Table!A" &amp; $AM20):INDIRECT("Table!" &amp; $AP$86 &amp; $AM20),0)))))</f>
        <v>0.74223948322952638</v>
      </c>
      <c r="Q20" s="596">
        <f ca="1">IF(ISERROR(MATCH(Q$1,INDIRECT("Table!A"&amp;$AM20):INDIRECT("Table!" &amp; $AP$86 &amp; $AM20),0)),"",INDIRECT(CONCATENATE("Table!",ADDRESS($AI20,MATCH(Q$1,INDIRECT("Table!A" &amp; $AM20):INDIRECT("Table!" &amp; $AP$86 &amp; $AM20),0)))))</f>
        <v>0.81310782065586662</v>
      </c>
      <c r="R20" s="596">
        <f ca="1">IF(ISERROR(MATCH(R$1,INDIRECT("Table!A"&amp;$AM20):INDIRECT("Table!" &amp; $AP$86 &amp; $AM20),0)),"",INDIRECT(CONCATENATE("Table!",ADDRESS($AI20,MATCH(R$1,INDIRECT("Table!A" &amp; $AM20):INDIRECT("Table!" &amp; $AP$86 &amp; $AM20),0)))))</f>
        <v>1.2993742243762505</v>
      </c>
      <c r="S20" s="596" t="str">
        <f ca="1">IF(ISERROR(MATCH(S$1,INDIRECT("Table!A"&amp;$AM20):INDIRECT("Table!" &amp; $AP$65 &amp; $AM20),0)),"",INDIRECT(CONCATENATE("Table!",ADDRESS($AI20,MATCH(S$1,INDIRECT("Table!A" &amp; $AM20):INDIRECT("Table!" &amp; $AP$65 &amp; $AM20),0)))))</f>
        <v/>
      </c>
      <c r="T20" s="596">
        <f ca="1">IF(ISERROR(MATCH(T$1,INDIRECT("Table!A"&amp;$AM20):INDIRECT("Table!" &amp; $AP$65 &amp; $AM20),0)),"",INDIRECT(CONCATENATE("Table!",ADDRESS($AI20,MATCH(T$1,INDIRECT("Table!A" &amp; $AM20):INDIRECT("Table!" &amp; $AP$65 &amp; $AM20),0)))))</f>
        <v>1.2196627128632083</v>
      </c>
      <c r="U20" s="596">
        <f ca="1">IF(ISERROR(MATCH(U$1,INDIRECT("Table!A"&amp;$AM20):INDIRECT("Table!" &amp; $AP$65 &amp; $AM20),0)),"",INDIRECT(CONCATENATE("Table!",ADDRESS($AI20,MATCH(U$1,INDIRECT("Table!A" &amp; $AM20):INDIRECT("Table!" &amp; $AP$65 &amp; $AM20),0)))))</f>
        <v>0.61629660506964523</v>
      </c>
      <c r="V20" s="596">
        <f ca="1">IF(ISERROR(MATCH(V$1,INDIRECT("Table!A"&amp;$AM20):INDIRECT("Table!" &amp; $AP$65 &amp; $AM20),0)),"",INDIRECT(CONCATENATE("Table!",ADDRESS($AI20,MATCH(V$1,INDIRECT("Table!A" &amp; $AM20):INDIRECT("Table!" &amp; $AP$65 &amp; $AM20),0)))))</f>
        <v>0.40235755728615991</v>
      </c>
      <c r="W20" s="596">
        <f ca="1">IF(ISERROR(MATCH(W$1,INDIRECT("Table!A"&amp;$AM20):INDIRECT("Table!" &amp; $AP$65 &amp; $AM20),0)),"",INDIRECT(CONCATENATE("Table!",ADDRESS($AI20,MATCH(W$1,INDIRECT("Table!A" &amp; $AM20):INDIRECT("Table!" &amp; $AP$65 &amp; $AM20),0)))))</f>
        <v>0.38897949538389281</v>
      </c>
      <c r="X20" s="596">
        <f ca="1">IF(ISERROR(MATCH(X$1,INDIRECT("Table!A"&amp;$AM20):INDIRECT("Table!" &amp; $AP$65 &amp; $AM20),0)),"",INDIRECT(CONCATENATE("Table!",ADDRESS($AI20,MATCH(X$1,INDIRECT("Table!A" &amp; $AM20):INDIRECT("Table!" &amp; $AP$65 &amp; $AM20),0)))))</f>
        <v>0.23932227507380791</v>
      </c>
      <c r="Y20" s="596">
        <f ca="1">IF(ISERROR(MATCH(Y$1,INDIRECT("Table!A"&amp;$AM20):INDIRECT("Table!" &amp; $AP$65 &amp; $AM20),0)),"",INDIRECT(CONCATENATE("Table!",ADDRESS($AI20,MATCH(Y$1,INDIRECT("Table!A" &amp; $AM20):INDIRECT("Table!" &amp; $AP$65 &amp; $AM20),0)))))</f>
        <v>0.25107158268629548</v>
      </c>
      <c r="Z20" s="596">
        <f ca="1">IF(ISERROR(MATCH(Z$1,INDIRECT("Table!A"&amp;$AM20):INDIRECT("Table!" &amp; $AP$65 &amp; $AM20),0)),"",INDIRECT(CONCATENATE("Table!",ADDRESS($AI20,MATCH(Z$1,INDIRECT("Table!A" &amp; $AM20):INDIRECT("Table!" &amp; $AP$65 &amp; $AM20),0)))))</f>
        <v>0.23385021229471614</v>
      </c>
      <c r="AA20" s="596">
        <f ca="1">IF(ISERROR(MATCH(AA$1,INDIRECT("Table!A"&amp;$AM20):INDIRECT("Table!" &amp; $AP$65 &amp; $AM20),0)),"",INDIRECT(CONCATENATE("Table!",ADDRESS($AI20,MATCH(AA$1,INDIRECT("Table!A" &amp; $AM20):INDIRECT("Table!" &amp; $AP$65 &amp; $AM20),0)))))</f>
        <v>0.543665073295868</v>
      </c>
      <c r="AB20" s="596">
        <f ca="1">IF(ISERROR(MATCH(AB$1,INDIRECT("Table!A"&amp;$AM20):INDIRECT("Table!" &amp; $AP$65 &amp; $AM20),0)),"",INDIRECT(CONCATENATE("Table!",ADDRESS($AI20,MATCH(AB$1,INDIRECT("Table!A" &amp; $AM20):INDIRECT("Table!" &amp; $AP$65 &amp; $AM20),0)))))</f>
        <v>0</v>
      </c>
      <c r="AC20" s="596">
        <f ca="1">IF(ISERROR(MATCH(AC$1,INDIRECT("Table!A"&amp;$AM20):INDIRECT("Table!" &amp; $AP$65 &amp; $AM20),0)),"",INDIRECT(CONCATENATE("Table!",ADDRESS($AI20,MATCH(AC$1,INDIRECT("Table!A" &amp; $AM20):INDIRECT("Table!" &amp; $AP$65 &amp; $AM20),0)))))</f>
        <v>0.13422324689652215</v>
      </c>
      <c r="AD20" s="596">
        <f ca="1">IF(ISERROR(MATCH(AD$1,INDIRECT("Table!A"&amp;$AM20):INDIRECT("Table!" &amp; $AP$65 &amp; $AM20),0)),"",INDIRECT(CONCATENATE("Table!",ADDRESS($AI20,MATCH(AD$1,INDIRECT("Table!A" &amp; $AM20):INDIRECT("Table!" &amp; $AP$65 &amp; $AM20),0)))))</f>
        <v>0.2382011208937159</v>
      </c>
      <c r="AE20" s="596">
        <f ca="1">IF(ISERROR(MATCH(AE$1,INDIRECT("Table!A"&amp;$AM20):INDIRECT("Table!" &amp; $AP$65 &amp; $AM20),0)),"",INDIRECT(CONCATENATE("Table!",ADDRESS($AI20,MATCH(AE$1,INDIRECT("Table!A" &amp; $AM20):INDIRECT("Table!" &amp; $AP$65 &amp; $AM20),0)))))</f>
        <v>3.3890966432150761E-2</v>
      </c>
      <c r="AF20" s="596">
        <f ca="1">IF(ISERROR(MATCH(AF$1,INDIRECT("Table!A"&amp;$AM20):INDIRECT("Table!" &amp; $AP$65 &amp; $AM20),0)),"",INDIRECT(CONCATENATE("Table!",ADDRESS($AI20,MATCH(AF$1,INDIRECT("Table!A" &amp; $AM20):INDIRECT("Table!" &amp; $AP$65 &amp; $AM20),0)))))</f>
        <v>3.3890966432150761E-2</v>
      </c>
      <c r="AG20" s="596">
        <f ca="1">IF(ISERROR(MATCH(AG$1,INDIRECT("Table!A"&amp;$AM20):INDIRECT("Table!" &amp; $AP$65 &amp; $AM20),0)),"",INDIRECT(CONCATENATE("Table!",ADDRESS($AI20,MATCH(AG$1,INDIRECT("Table!A" &amp; $AM20):INDIRECT("Table!" &amp; $AP$65 &amp; $AM20),0)))))</f>
        <v>0.96305866884816571</v>
      </c>
      <c r="AH20" s="596"/>
      <c r="AI20" s="595">
        <f>MATCH($A20,Table!$A:$A,0)+$AK$2-1</f>
        <v>250</v>
      </c>
      <c r="AJ20" s="982"/>
      <c r="AK20" s="982"/>
      <c r="AL20" s="982"/>
      <c r="AM20" s="595">
        <f>MATCH($A20,Table!$A:$A,0)+$AO$2-1</f>
        <v>241</v>
      </c>
      <c r="AN20" s="982"/>
      <c r="AO20" s="982"/>
      <c r="AP20" s="982" t="s">
        <v>302</v>
      </c>
    </row>
    <row r="21" spans="1:42" s="947" customFormat="1" ht="19.5" customHeight="1" x14ac:dyDescent="0.25">
      <c r="A21" s="592">
        <v>41850</v>
      </c>
      <c r="B21" s="596">
        <f ca="1">IF(ISERROR(MATCH(B$1,INDIRECT("Table!A"&amp;$AM21):INDIRECT("Table!" &amp; $AP$108 &amp; $AM21),0)),"",INDIRECT(CONCATENATE("Table!",ADDRESS($AI21,MATCH(B$1,INDIRECT("Table!A" &amp; $AM21):INDIRECT("Table!" &amp; $AP$108 &amp; $AM21),0)))))</f>
        <v>0.71407350419009152</v>
      </c>
      <c r="C21" s="596">
        <f ca="1">IF(ISERROR(MATCH(C$1,INDIRECT("Table!A"&amp;$AM21):INDIRECT("Table!" &amp; $AP$108 &amp; $AM21),0)),"",INDIRECT(CONCATENATE("Table!",ADDRESS($AI21,MATCH(C$1,INDIRECT("Table!A" &amp; $AM21):INDIRECT("Table!" &amp; $AP$108 &amp; $AM21),0)))))</f>
        <v>0.64088793469428973</v>
      </c>
      <c r="D21" s="596">
        <f ca="1">IF(ISERROR(MATCH(D$1,INDIRECT("Table!A"&amp;$AM21):INDIRECT("Table!" &amp; $AP$108 &amp; $AM21),0)),"",INDIRECT(CONCATENATE("Table!",ADDRESS($AI21,MATCH(D$1,INDIRECT("Table!A" &amp; $AM21):INDIRECT("Table!" &amp; $AP$108 &amp; $AM21),0)))))</f>
        <v>0.6296875164018344</v>
      </c>
      <c r="E21" s="596">
        <f ca="1">IF(ISERROR(MATCH(E$1,INDIRECT("Table!A"&amp;$AM21):INDIRECT("Table!" &amp; $AP$108 &amp; $AM21),0)),"",INDIRECT(CONCATENATE("Table!",ADDRESS($AI21,MATCH(E$1,INDIRECT("Table!A" &amp; $AM21):INDIRECT("Table!" &amp; $AP$108 &amp; $AM21),0)))))</f>
        <v>1.0530147891084995</v>
      </c>
      <c r="F21" s="596">
        <f ca="1">IF(ISERROR(MATCH(F$1,INDIRECT("Table!A"&amp;$AM21):INDIRECT("Table!" &amp; $AP$108 &amp; $AM21),0)),"",INDIRECT(CONCATENATE("Table!",ADDRESS($AI21,MATCH(F$1,INDIRECT("Table!A" &amp; $AM21):INDIRECT("Table!" &amp; $AP$108 &amp; $AM21),0)))))</f>
        <v>0.68464961086642162</v>
      </c>
      <c r="G21" s="596">
        <f ca="1">IF(ISERROR(MATCH(G$1,INDIRECT("Table!A"&amp;$AM21):INDIRECT("Table!" &amp; $AP$108 &amp; $AM21),0)),"",INDIRECT(CONCATENATE("Table!",ADDRESS($AI21,MATCH(G$1,INDIRECT("Table!A" &amp; $AM21):INDIRECT("Table!" &amp; $AP$108 &amp; $AM21),0)))))</f>
        <v>1.1786515500442869</v>
      </c>
      <c r="H21" s="596">
        <f ca="1">IF(ISERROR(MATCH(H$1,INDIRECT("Table!A"&amp;$AM21):INDIRECT("Table!" &amp; $AP$108 &amp; $AM21),0)),"",INDIRECT(CONCATENATE("Table!",ADDRESS($AI21,MATCH(H$1,INDIRECT("Table!A" &amp; $AM21):INDIRECT("Table!" &amp; $AP$108 &amp; $AM21),0)))))</f>
        <v>1.3004460577233385</v>
      </c>
      <c r="I21" s="596">
        <f ca="1">IF(ISERROR(MATCH(I$1,INDIRECT("Table!A"&amp;$AM21):INDIRECT("Table!" &amp; $AP$86 &amp; $AM21),0)),"",INDIRECT(CONCATENATE("Table!",ADDRESS($AI21,MATCH(I$1,INDIRECT("Table!A" &amp; $AM21):INDIRECT("Table!" &amp; $AP$86 &amp; $AM21),0)))))</f>
        <v>0.2801663073977288</v>
      </c>
      <c r="J21" s="596">
        <f ca="1">IF(ISERROR(MATCH(J$1,INDIRECT("Table!A"&amp;$AM21):INDIRECT("Table!" &amp; $AP$86 &amp; $AM21),0)),"",INDIRECT(CONCATENATE("Table!",ADDRESS($AI21,MATCH(J$1,INDIRECT("Table!A" &amp; $AM21):INDIRECT("Table!" &amp; $AP$86 &amp; $AM21),0)))))</f>
        <v>1.6458961031840231</v>
      </c>
      <c r="K21" s="596">
        <f ca="1">IF(ISERROR(MATCH(K$1,INDIRECT("Table!A"&amp;$AM21):INDIRECT("Table!" &amp; $AP$86 &amp; $AM21),0)),"",INDIRECT(CONCATENATE("Table!",ADDRESS($AI21,MATCH(K$1,INDIRECT("Table!A" &amp; $AM21):INDIRECT("Table!" &amp; $AP$86 &amp; $AM21),0)))))</f>
        <v>1.0268379336568019</v>
      </c>
      <c r="L21" s="596">
        <f ca="1">IF(ISERROR(MATCH(L$1,INDIRECT("Table!A"&amp;$AM21):INDIRECT("Table!" &amp; $AP$108 &amp; $AM21),0)),"",INDIRECT(CONCATENATE("Table!",ADDRESS($AI21,MATCH(L$1,INDIRECT("Table!A" &amp; $AM21):INDIRECT("Table!" &amp; $AP$108 &amp; $AM21),0)))))</f>
        <v>1.0807027489637573</v>
      </c>
      <c r="M21" s="596">
        <f ca="1">IF(ISERROR(MATCH(M$1,INDIRECT("Table!A"&amp;$AM21):INDIRECT("Table!" &amp; $AP$108 &amp; $AM21),0)),"",INDIRECT(CONCATENATE("Table!",ADDRESS($AI21,MATCH(M$1,INDIRECT("Table!A" &amp; $AM21):INDIRECT("Table!" &amp; $AP$108 &amp; $AM21),0)))))</f>
        <v>0.83650063358601467</v>
      </c>
      <c r="N21" s="596">
        <f ca="1">IF(ISERROR(MATCH(N$1,INDIRECT("Table!A"&amp;$AM21):INDIRECT("Table!" &amp; $AP$108 &amp; $AM21),0)),"",INDIRECT(CONCATENATE("Table!",ADDRESS($AI21,MATCH(N$1,INDIRECT("Table!A" &amp; $AM21):INDIRECT("Table!" &amp; $AP$108 &amp; $AM21),0)))))</f>
        <v>1.3951503634445583</v>
      </c>
      <c r="O21" s="596">
        <f ca="1">IF(ISERROR(MATCH(O$1,INDIRECT("Table!A"&amp;$AM21):INDIRECT("Table!" &amp; $AP$86 &amp; $AM21),0)),"",INDIRECT(CONCATENATE("Table!",ADDRESS($AI21,MATCH(O$1,INDIRECT("Table!A" &amp; $AM21):INDIRECT("Table!" &amp; $AP$86 &amp; $AM21),0)))))</f>
        <v>0.60686360502139558</v>
      </c>
      <c r="P21" s="596">
        <f ca="1">IF(ISERROR(MATCH(P$1,INDIRECT("Table!A"&amp;$AM21):INDIRECT("Table!" &amp; $AP$86 &amp; $AM21),0)),"",INDIRECT(CONCATENATE("Table!",ADDRESS($AI21,MATCH(P$1,INDIRECT("Table!A" &amp; $AM21):INDIRECT("Table!" &amp; $AP$86 &amp; $AM21),0)))))</f>
        <v>0.74223948322952638</v>
      </c>
      <c r="Q21" s="596">
        <f ca="1">IF(ISERROR(MATCH(Q$1,INDIRECT("Table!A"&amp;$AM21):INDIRECT("Table!" &amp; $AP$86 &amp; $AM21),0)),"",INDIRECT(CONCATENATE("Table!",ADDRESS($AI21,MATCH(Q$1,INDIRECT("Table!A" &amp; $AM21):INDIRECT("Table!" &amp; $AP$86 &amp; $AM21),0)))))</f>
        <v>0.82225770307830881</v>
      </c>
      <c r="R21" s="596">
        <f ca="1">IF(ISERROR(MATCH(R$1,INDIRECT("Table!A"&amp;$AM21):INDIRECT("Table!" &amp; $AP$86 &amp; $AM21),0)),"",INDIRECT(CONCATENATE("Table!",ADDRESS($AI21,MATCH(R$1,INDIRECT("Table!A" &amp; $AM21):INDIRECT("Table!" &amp; $AP$86 &amp; $AM21),0)))))</f>
        <v>1.2974459879926292</v>
      </c>
      <c r="S21" s="596" t="str">
        <f ca="1">IF(ISERROR(MATCH(S$1,INDIRECT("Table!A"&amp;$AM21):INDIRECT("Table!" &amp; $AP$65 &amp; $AM21),0)),"",INDIRECT(CONCATENATE("Table!",ADDRESS($AI21,MATCH(S$1,INDIRECT("Table!A" &amp; $AM21):INDIRECT("Table!" &amp; $AP$65 &amp; $AM21),0)))))</f>
        <v/>
      </c>
      <c r="T21" s="596">
        <f ca="1">IF(ISERROR(MATCH(T$1,INDIRECT("Table!A"&amp;$AM21):INDIRECT("Table!" &amp; $AP$65 &amp; $AM21),0)),"",INDIRECT(CONCATENATE("Table!",ADDRESS($AI21,MATCH(T$1,INDIRECT("Table!A" &amp; $AM21):INDIRECT("Table!" &amp; $AP$65 &amp; $AM21),0)))))</f>
        <v>1.2196627128632083</v>
      </c>
      <c r="U21" s="596">
        <f ca="1">IF(ISERROR(MATCH(U$1,INDIRECT("Table!A"&amp;$AM21):INDIRECT("Table!" &amp; $AP$65 &amp; $AM21),0)),"",INDIRECT(CONCATENATE("Table!",ADDRESS($AI21,MATCH(U$1,INDIRECT("Table!A" &amp; $AM21):INDIRECT("Table!" &amp; $AP$65 &amp; $AM21),0)))))</f>
        <v>0.61629660506964523</v>
      </c>
      <c r="V21" s="596">
        <f ca="1">IF(ISERROR(MATCH(V$1,INDIRECT("Table!A"&amp;$AM21):INDIRECT("Table!" &amp; $AP$65 &amp; $AM21),0)),"",INDIRECT(CONCATENATE("Table!",ADDRESS($AI21,MATCH(V$1,INDIRECT("Table!A" &amp; $AM21):INDIRECT("Table!" &amp; $AP$65 &amp; $AM21),0)))))</f>
        <v>0.40235755728615991</v>
      </c>
      <c r="W21" s="596">
        <f ca="1">IF(ISERROR(MATCH(W$1,INDIRECT("Table!A"&amp;$AM21):INDIRECT("Table!" &amp; $AP$65 &amp; $AM21),0)),"",INDIRECT(CONCATENATE("Table!",ADDRESS($AI21,MATCH(W$1,INDIRECT("Table!A" &amp; $AM21):INDIRECT("Table!" &amp; $AP$65 &amp; $AM21),0)))))</f>
        <v>0.38897949538389281</v>
      </c>
      <c r="X21" s="596">
        <f ca="1">IF(ISERROR(MATCH(X$1,INDIRECT("Table!A"&amp;$AM21):INDIRECT("Table!" &amp; $AP$65 &amp; $AM21),0)),"",INDIRECT(CONCATENATE("Table!",ADDRESS($AI21,MATCH(X$1,INDIRECT("Table!A" &amp; $AM21):INDIRECT("Table!" &amp; $AP$65 &amp; $AM21),0)))))</f>
        <v>0.23932227507380791</v>
      </c>
      <c r="Y21" s="596">
        <f ca="1">IF(ISERROR(MATCH(Y$1,INDIRECT("Table!A"&amp;$AM21):INDIRECT("Table!" &amp; $AP$65 &amp; $AM21),0)),"",INDIRECT(CONCATENATE("Table!",ADDRESS($AI21,MATCH(Y$1,INDIRECT("Table!A" &amp; $AM21):INDIRECT("Table!" &amp; $AP$65 &amp; $AM21),0)))))</f>
        <v>0.19564447901836168</v>
      </c>
      <c r="Z21" s="596">
        <f ca="1">IF(ISERROR(MATCH(Z$1,INDIRECT("Table!A"&amp;$AM21):INDIRECT("Table!" &amp; $AP$65 &amp; $AM21),0)),"",INDIRECT(CONCATENATE("Table!",ADDRESS($AI21,MATCH(Z$1,INDIRECT("Table!A" &amp; $AM21):INDIRECT("Table!" &amp; $AP$65 &amp; $AM21),0)))))</f>
        <v>0.18942993797032409</v>
      </c>
      <c r="AA21" s="596">
        <f ca="1">IF(ISERROR(MATCH(AA$1,INDIRECT("Table!A"&amp;$AM21):INDIRECT("Table!" &amp; $AP$65 &amp; $AM21),0)),"",INDIRECT(CONCATENATE("Table!",ADDRESS($AI21,MATCH(AA$1,INDIRECT("Table!A" &amp; $AM21):INDIRECT("Table!" &amp; $AP$65 &amp; $AM21),0)))))</f>
        <v>0.53720263940574731</v>
      </c>
      <c r="AB21" s="596">
        <f ca="1">IF(ISERROR(MATCH(AB$1,INDIRECT("Table!A"&amp;$AM21):INDIRECT("Table!" &amp; $AP$65 &amp; $AM21),0)),"",INDIRECT(CONCATENATE("Table!",ADDRESS($AI21,MATCH(AB$1,INDIRECT("Table!A" &amp; $AM21):INDIRECT("Table!" &amp; $AP$65 &amp; $AM21),0)))))</f>
        <v>0</v>
      </c>
      <c r="AC21" s="596">
        <f ca="1">IF(ISERROR(MATCH(AC$1,INDIRECT("Table!A"&amp;$AM21):INDIRECT("Table!" &amp; $AP$65 &amp; $AM21),0)),"",INDIRECT(CONCATENATE("Table!",ADDRESS($AI21,MATCH(AC$1,INDIRECT("Table!A" &amp; $AM21):INDIRECT("Table!" &amp; $AP$65 &amp; $AM21),0)))))</f>
        <v>0.1202291191371314</v>
      </c>
      <c r="AD21" s="596">
        <f ca="1">IF(ISERROR(MATCH(AD$1,INDIRECT("Table!A"&amp;$AM21):INDIRECT("Table!" &amp; $AP$65 &amp; $AM21),0)),"",INDIRECT(CONCATENATE("Table!",ADDRESS($AI21,MATCH(AD$1,INDIRECT("Table!A" &amp; $AM21):INDIRECT("Table!" &amp; $AP$65 &amp; $AM21),0)))))</f>
        <v>0.23323546265651274</v>
      </c>
      <c r="AE21" s="596">
        <f ca="1">IF(ISERROR(MATCH(AE$1,INDIRECT("Table!A"&amp;$AM21):INDIRECT("Table!" &amp; $AP$65 &amp; $AM21),0)),"",INDIRECT(CONCATENATE("Table!",ADDRESS($AI21,MATCH(AE$1,INDIRECT("Table!A" &amp; $AM21):INDIRECT("Table!" &amp; $AP$65 &amp; $AM21),0)))))</f>
        <v>3.1300574093387649E-2</v>
      </c>
      <c r="AF21" s="596">
        <f ca="1">IF(ISERROR(MATCH(AF$1,INDIRECT("Table!A"&amp;$AM21):INDIRECT("Table!" &amp; $AP$65 &amp; $AM21),0)),"",INDIRECT(CONCATENATE("Table!",ADDRESS($AI21,MATCH(AF$1,INDIRECT("Table!A" &amp; $AM21):INDIRECT("Table!" &amp; $AP$65 &amp; $AM21),0)))))</f>
        <v>3.1300574093387649E-2</v>
      </c>
      <c r="AG21" s="596">
        <f ca="1">IF(ISERROR(MATCH(AG$1,INDIRECT("Table!A"&amp;$AM21):INDIRECT("Table!" &amp; $AP$65 &amp; $AM21),0)),"",INDIRECT(CONCATENATE("Table!",ADDRESS($AI21,MATCH(AG$1,INDIRECT("Table!A" &amp; $AM21):INDIRECT("Table!" &amp; $AP$65 &amp; $AM21),0)))))</f>
        <v>0.96305866884816571</v>
      </c>
      <c r="AH21" s="596">
        <f ca="1">IF(ISERROR(MATCH(AH$1,INDIRECT("Table!A"&amp;$AM21):INDIRECT("Table!" &amp; $AP$65 &amp; $AM21),0)),"",INDIRECT(CONCATENATE("Table!",ADDRESS($AI21,MATCH(AH$1,INDIRECT("Table!A" &amp; $AM21):INDIRECT("Table!" &amp; $AP$65 &amp; $AM21),0)))))</f>
        <v>0</v>
      </c>
      <c r="AI21" s="595">
        <f>MATCH($A21,Table!$A:$A,0)+$AK$2-1</f>
        <v>264</v>
      </c>
      <c r="AJ21" s="972"/>
      <c r="AK21" s="972"/>
      <c r="AL21" s="972"/>
      <c r="AM21" s="595">
        <f>MATCH($A21,Table!$A:$A,0)+$AO$2-1</f>
        <v>255</v>
      </c>
      <c r="AN21" s="972"/>
      <c r="AO21" s="972"/>
      <c r="AP21" s="973" t="s">
        <v>302</v>
      </c>
    </row>
    <row r="22" spans="1:42" s="947" customFormat="1" ht="19.5" customHeight="1" x14ac:dyDescent="0.25">
      <c r="A22" s="592">
        <v>41843</v>
      </c>
      <c r="B22" s="596">
        <f ca="1">IF(ISERROR(MATCH(B$1,INDIRECT("Table!A"&amp;$AM22):INDIRECT("Table!" &amp; $AP$108 &amp; $AM22),0)),"",INDIRECT(CONCATENATE("Table!",ADDRESS($AI22,MATCH(B$1,INDIRECT("Table!A" &amp; $AM22):INDIRECT("Table!" &amp; $AP$108 &amp; $AM22),0)))))</f>
        <v>0.71407350419009152</v>
      </c>
      <c r="C22" s="596">
        <f ca="1">IF(ISERROR(MATCH(C$1,INDIRECT("Table!A"&amp;$AM22):INDIRECT("Table!" &amp; $AP$108 &amp; $AM22),0)),"",INDIRECT(CONCATENATE("Table!",ADDRESS($AI22,MATCH(C$1,INDIRECT("Table!A" &amp; $AM22):INDIRECT("Table!" &amp; $AP$108 &amp; $AM22),0)))))</f>
        <v>0.64088793469428973</v>
      </c>
      <c r="D22" s="596">
        <f ca="1">IF(ISERROR(MATCH(D$1,INDIRECT("Table!A"&amp;$AM22):INDIRECT("Table!" &amp; $AP$108 &amp; $AM22),0)),"",INDIRECT(CONCATENATE("Table!",ADDRESS($AI22,MATCH(D$1,INDIRECT("Table!A" &amp; $AM22):INDIRECT("Table!" &amp; $AP$108 &amp; $AM22),0)))))</f>
        <v>0.6296875164018344</v>
      </c>
      <c r="E22" s="596">
        <f ca="1">IF(ISERROR(MATCH(E$1,INDIRECT("Table!A"&amp;$AM22):INDIRECT("Table!" &amp; $AP$108 &amp; $AM22),0)),"",INDIRECT(CONCATENATE("Table!",ADDRESS($AI22,MATCH(E$1,INDIRECT("Table!A" &amp; $AM22):INDIRECT("Table!" &amp; $AP$108 &amp; $AM22),0)))))</f>
        <v>1.0530147891084995</v>
      </c>
      <c r="F22" s="596">
        <f ca="1">IF(ISERROR(MATCH(F$1,INDIRECT("Table!A"&amp;$AM22):INDIRECT("Table!" &amp; $AP$108 &amp; $AM22),0)),"",INDIRECT(CONCATENATE("Table!",ADDRESS($AI22,MATCH(F$1,INDIRECT("Table!A" &amp; $AM22):INDIRECT("Table!" &amp; $AP$108 &amp; $AM22),0)))))</f>
        <v>0.68464961086642162</v>
      </c>
      <c r="G22" s="596">
        <f ca="1">IF(ISERROR(MATCH(G$1,INDIRECT("Table!A"&amp;$AM22):INDIRECT("Table!" &amp; $AP$108 &amp; $AM22),0)),"",INDIRECT(CONCATENATE("Table!",ADDRESS($AI22,MATCH(G$1,INDIRECT("Table!A" &amp; $AM22):INDIRECT("Table!" &amp; $AP$108 &amp; $AM22),0)))))</f>
        <v>1.1786515500442869</v>
      </c>
      <c r="H22" s="596">
        <f ca="1">IF(ISERROR(MATCH(H$1,INDIRECT("Table!A"&amp;$AM22):INDIRECT("Table!" &amp; $AP$108 &amp; $AM22),0)),"",INDIRECT(CONCATENATE("Table!",ADDRESS($AI22,MATCH(H$1,INDIRECT("Table!A" &amp; $AM22):INDIRECT("Table!" &amp; $AP$108 &amp; $AM22),0)))))</f>
        <v>1.3004460577233385</v>
      </c>
      <c r="I22" s="596">
        <f ca="1">IF(ISERROR(MATCH(I$1,INDIRECT("Table!A"&amp;$AM22):INDIRECT("Table!" &amp; $AP$86 &amp; $AM22),0)),"",INDIRECT(CONCATENATE("Table!",ADDRESS($AI22,MATCH(I$1,INDIRECT("Table!A" &amp; $AM22):INDIRECT("Table!" &amp; $AP$86 &amp; $AM22),0)))))</f>
        <v>0.2801663073977288</v>
      </c>
      <c r="J22" s="596">
        <f ca="1">IF(ISERROR(MATCH(J$1,INDIRECT("Table!A"&amp;$AM22):INDIRECT("Table!" &amp; $AP$86 &amp; $AM22),0)),"",INDIRECT(CONCATENATE("Table!",ADDRESS($AI22,MATCH(J$1,INDIRECT("Table!A" &amp; $AM22):INDIRECT("Table!" &amp; $AP$86 &amp; $AM22),0)))))</f>
        <v>1.6458961031840231</v>
      </c>
      <c r="K22" s="596">
        <f ca="1">IF(ISERROR(MATCH(K$1,INDIRECT("Table!A"&amp;$AM22):INDIRECT("Table!" &amp; $AP$86 &amp; $AM22),0)),"",INDIRECT(CONCATENATE("Table!",ADDRESS($AI22,MATCH(K$1,INDIRECT("Table!A" &amp; $AM22):INDIRECT("Table!" &amp; $AP$86 &amp; $AM22),0)))))</f>
        <v>1.0268379336568019</v>
      </c>
      <c r="L22" s="596">
        <f ca="1">IF(ISERROR(MATCH(L$1,INDIRECT("Table!A"&amp;$AM22):INDIRECT("Table!" &amp; $AP$108 &amp; $AM22),0)),"",INDIRECT(CONCATENATE("Table!",ADDRESS($AI22,MATCH(L$1,INDIRECT("Table!A" &amp; $AM22):INDIRECT("Table!" &amp; $AP$108 &amp; $AM22),0)))))</f>
        <v>1.0807027489637573</v>
      </c>
      <c r="M22" s="596">
        <f ca="1">IF(ISERROR(MATCH(M$1,INDIRECT("Table!A"&amp;$AM22):INDIRECT("Table!" &amp; $AP$108 &amp; $AM22),0)),"",INDIRECT(CONCATENATE("Table!",ADDRESS($AI22,MATCH(M$1,INDIRECT("Table!A" &amp; $AM22):INDIRECT("Table!" &amp; $AP$108 &amp; $AM22),0)))))</f>
        <v>0.83650063358601467</v>
      </c>
      <c r="N22" s="596">
        <f ca="1">IF(ISERROR(MATCH(N$1,INDIRECT("Table!A"&amp;$AM22):INDIRECT("Table!" &amp; $AP$108 &amp; $AM22),0)),"",INDIRECT(CONCATENATE("Table!",ADDRESS($AI22,MATCH(N$1,INDIRECT("Table!A" &amp; $AM22):INDIRECT("Table!" &amp; $AP$108 &amp; $AM22),0)))))</f>
        <v>1.3951503634445583</v>
      </c>
      <c r="O22" s="596">
        <f ca="1">IF(ISERROR(MATCH(O$1,INDIRECT("Table!A"&amp;$AM22):INDIRECT("Table!" &amp; $AP$86 &amp; $AM22),0)),"",INDIRECT(CONCATENATE("Table!",ADDRESS($AI22,MATCH(O$1,INDIRECT("Table!A" &amp; $AM22):INDIRECT("Table!" &amp; $AP$86 &amp; $AM22),0)))))</f>
        <v>0.60686360502139558</v>
      </c>
      <c r="P22" s="596">
        <f ca="1">IF(ISERROR(MATCH(P$1,INDIRECT("Table!A"&amp;$AM22):INDIRECT("Table!" &amp; $AP$86 &amp; $AM22),0)),"",INDIRECT(CONCATENATE("Table!",ADDRESS($AI22,MATCH(P$1,INDIRECT("Table!A" &amp; $AM22):INDIRECT("Table!" &amp; $AP$86 &amp; $AM22),0)))))</f>
        <v>0.74223948322952638</v>
      </c>
      <c r="Q22" s="596">
        <f ca="1">IF(ISERROR(MATCH(Q$1,INDIRECT("Table!A"&amp;$AM22):INDIRECT("Table!" &amp; $AP$86 &amp; $AM22),0)),"",INDIRECT(CONCATENATE("Table!",ADDRESS($AI22,MATCH(Q$1,INDIRECT("Table!A" &amp; $AM22):INDIRECT("Table!" &amp; $AP$86 &amp; $AM22),0)))))</f>
        <v>0.82225770307830881</v>
      </c>
      <c r="R22" s="596">
        <f ca="1">IF(ISERROR(MATCH(R$1,INDIRECT("Table!A"&amp;$AM22):INDIRECT("Table!" &amp; $AP$86 &amp; $AM22),0)),"",INDIRECT(CONCATENATE("Table!",ADDRESS($AI22,MATCH(R$1,INDIRECT("Table!A" &amp; $AM22):INDIRECT("Table!" &amp; $AP$86 &amp; $AM22),0)))))</f>
        <v>1.2974459879926292</v>
      </c>
      <c r="S22" s="596" t="str">
        <f ca="1">IF(ISERROR(MATCH(S$1,INDIRECT("Table!A"&amp;$AM22):INDIRECT("Table!" &amp; $AP$65 &amp; $AM22),0)),"",INDIRECT(CONCATENATE("Table!",ADDRESS($AI22,MATCH(S$1,INDIRECT("Table!A" &amp; $AM22):INDIRECT("Table!" &amp; $AP$65 &amp; $AM22),0)))))</f>
        <v/>
      </c>
      <c r="T22" s="596">
        <f ca="1">IF(ISERROR(MATCH(T$1,INDIRECT("Table!A"&amp;$AM22):INDIRECT("Table!" &amp; $AP$65 &amp; $AM22),0)),"",INDIRECT(CONCATENATE("Table!",ADDRESS($AI22,MATCH(T$1,INDIRECT("Table!A" &amp; $AM22):INDIRECT("Table!" &amp; $AP$65 &amp; $AM22),0)))))</f>
        <v>1.2196627128632083</v>
      </c>
      <c r="U22" s="596">
        <f ca="1">IF(ISERROR(MATCH(U$1,INDIRECT("Table!A"&amp;$AM22):INDIRECT("Table!" &amp; $AP$65 &amp; $AM22),0)),"",INDIRECT(CONCATENATE("Table!",ADDRESS($AI22,MATCH(U$1,INDIRECT("Table!A" &amp; $AM22):INDIRECT("Table!" &amp; $AP$65 &amp; $AM22),0)))))</f>
        <v>0.61629660506964523</v>
      </c>
      <c r="V22" s="596">
        <f ca="1">IF(ISERROR(MATCH(V$1,INDIRECT("Table!A"&amp;$AM22):INDIRECT("Table!" &amp; $AP$65 &amp; $AM22),0)),"",INDIRECT(CONCATENATE("Table!",ADDRESS($AI22,MATCH(V$1,INDIRECT("Table!A" &amp; $AM22):INDIRECT("Table!" &amp; $AP$65 &amp; $AM22),0)))))</f>
        <v>0.40235755728615991</v>
      </c>
      <c r="W22" s="596">
        <f ca="1">IF(ISERROR(MATCH(W$1,INDIRECT("Table!A"&amp;$AM22):INDIRECT("Table!" &amp; $AP$65 &amp; $AM22),0)),"",INDIRECT(CONCATENATE("Table!",ADDRESS($AI22,MATCH(W$1,INDIRECT("Table!A" &amp; $AM22):INDIRECT("Table!" &amp; $AP$65 &amp; $AM22),0)))))</f>
        <v>0.38897949538389281</v>
      </c>
      <c r="X22" s="596">
        <f ca="1">IF(ISERROR(MATCH(X$1,INDIRECT("Table!A"&amp;$AM22):INDIRECT("Table!" &amp; $AP$65 &amp; $AM22),0)),"",INDIRECT(CONCATENATE("Table!",ADDRESS($AI22,MATCH(X$1,INDIRECT("Table!A" &amp; $AM22):INDIRECT("Table!" &amp; $AP$65 &amp; $AM22),0)))))</f>
        <v>0.23932227507380791</v>
      </c>
      <c r="Y22" s="596">
        <f ca="1">IF(ISERROR(MATCH(Y$1,INDIRECT("Table!A"&amp;$AM22):INDIRECT("Table!" &amp; $AP$65 &amp; $AM22),0)),"",INDIRECT(CONCATENATE("Table!",ADDRESS($AI22,MATCH(Y$1,INDIRECT("Table!A" &amp; $AM22):INDIRECT("Table!" &amp; $AP$65 &amp; $AM22),0)))))</f>
        <v>0.19564447901836168</v>
      </c>
      <c r="Z22" s="596">
        <f ca="1">IF(ISERROR(MATCH(Z$1,INDIRECT("Table!A"&amp;$AM22):INDIRECT("Table!" &amp; $AP$65 &amp; $AM22),0)),"",INDIRECT(CONCATENATE("Table!",ADDRESS($AI22,MATCH(Z$1,INDIRECT("Table!A" &amp; $AM22):INDIRECT("Table!" &amp; $AP$65 &amp; $AM22),0)))))</f>
        <v>0.18942993797032409</v>
      </c>
      <c r="AA22" s="596">
        <f ca="1">IF(ISERROR(MATCH(AA$1,INDIRECT("Table!A"&amp;$AM22):INDIRECT("Table!" &amp; $AP$65 &amp; $AM22),0)),"",INDIRECT(CONCATENATE("Table!",ADDRESS($AI22,MATCH(AA$1,INDIRECT("Table!A" &amp; $AM22):INDIRECT("Table!" &amp; $AP$65 &amp; $AM22),0)))))</f>
        <v>0.53720263940574731</v>
      </c>
      <c r="AB22" s="596">
        <f ca="1">IF(ISERROR(MATCH(AB$1,INDIRECT("Table!A"&amp;$AM22):INDIRECT("Table!" &amp; $AP$65 &amp; $AM22),0)),"",INDIRECT(CONCATENATE("Table!",ADDRESS($AI22,MATCH(AB$1,INDIRECT("Table!A" &amp; $AM22):INDIRECT("Table!" &amp; $AP$65 &amp; $AM22),0)))))</f>
        <v>0</v>
      </c>
      <c r="AC22" s="596">
        <f ca="1">IF(ISERROR(MATCH(AC$1,INDIRECT("Table!A"&amp;$AM22):INDIRECT("Table!" &amp; $AP$65 &amp; $AM22),0)),"",INDIRECT(CONCATENATE("Table!",ADDRESS($AI22,MATCH(AC$1,INDIRECT("Table!A" &amp; $AM22):INDIRECT("Table!" &amp; $AP$65 &amp; $AM22),0)))))</f>
        <v>0.1202291191371314</v>
      </c>
      <c r="AD22" s="596">
        <f ca="1">IF(ISERROR(MATCH(AD$1,INDIRECT("Table!A"&amp;$AM22):INDIRECT("Table!" &amp; $AP$65 &amp; $AM22),0)),"",INDIRECT(CONCATENATE("Table!",ADDRESS($AI22,MATCH(AD$1,INDIRECT("Table!A" &amp; $AM22):INDIRECT("Table!" &amp; $AP$65 &amp; $AM22),0)))))</f>
        <v>0.23323546265651274</v>
      </c>
      <c r="AE22" s="596">
        <f ca="1">IF(ISERROR(MATCH(AE$1,INDIRECT("Table!A"&amp;$AM22):INDIRECT("Table!" &amp; $AP$65 &amp; $AM22),0)),"",INDIRECT(CONCATENATE("Table!",ADDRESS($AI22,MATCH(AE$1,INDIRECT("Table!A" &amp; $AM22):INDIRECT("Table!" &amp; $AP$65 &amp; $AM22),0)))))</f>
        <v>3.1300574093387649E-2</v>
      </c>
      <c r="AF22" s="596">
        <f ca="1">IF(ISERROR(MATCH(AF$1,INDIRECT("Table!A"&amp;$AM22):INDIRECT("Table!" &amp; $AP$65 &amp; $AM22),0)),"",INDIRECT(CONCATENATE("Table!",ADDRESS($AI22,MATCH(AF$1,INDIRECT("Table!A" &amp; $AM22):INDIRECT("Table!" &amp; $AP$65 &amp; $AM22),0)))))</f>
        <v>3.1300574093387649E-2</v>
      </c>
      <c r="AG22" s="596">
        <f ca="1">IF(ISERROR(MATCH(AG$1,INDIRECT("Table!A"&amp;$AM22):INDIRECT("Table!" &amp; $AP$65 &amp; $AM22),0)),"",INDIRECT(CONCATENATE("Table!",ADDRESS($AI22,MATCH(AG$1,INDIRECT("Table!A" &amp; $AM22):INDIRECT("Table!" &amp; $AP$65 &amp; $AM22),0)))))</f>
        <v>0.96305866884816571</v>
      </c>
      <c r="AH22" s="596">
        <f ca="1">IF(ISERROR(MATCH(AH$1,INDIRECT("Table!A"&amp;$AM22):INDIRECT("Table!" &amp; $AP$65 &amp; $AM22),0)),"",INDIRECT(CONCATENATE("Table!",ADDRESS($AI22,MATCH(AH$1,INDIRECT("Table!A" &amp; $AM22):INDIRECT("Table!" &amp; $AP$65 &amp; $AM22),0)))))</f>
        <v>0</v>
      </c>
      <c r="AI22" s="595">
        <f>MATCH($A22,Table!$A:$A,0)+$AK$2-1</f>
        <v>292</v>
      </c>
      <c r="AJ22" s="969"/>
      <c r="AK22" s="969"/>
      <c r="AL22" s="969"/>
      <c r="AM22" s="595">
        <f>MATCH($A22,Table!$A:$A,0)+$AO$2-1</f>
        <v>283</v>
      </c>
      <c r="AN22" s="969"/>
      <c r="AO22" s="969"/>
      <c r="AP22" s="973" t="s">
        <v>302</v>
      </c>
    </row>
    <row r="23" spans="1:42" s="947" customFormat="1" ht="19.5" customHeight="1" x14ac:dyDescent="0.25">
      <c r="A23" s="592">
        <v>41836</v>
      </c>
      <c r="B23" s="596">
        <f ca="1">IF(ISERROR(MATCH(B$1,INDIRECT("Table!A"&amp;$AM23):INDIRECT("Table!" &amp; $AP$108 &amp; $AM23),0)),"",INDIRECT(CONCATENATE("Table!",ADDRESS($AI23,MATCH(B$1,INDIRECT("Table!A" &amp; $AM23):INDIRECT("Table!" &amp; $AP$108 &amp; $AM23),0)))))</f>
        <v>0.71407350419009152</v>
      </c>
      <c r="C23" s="596">
        <f ca="1">IF(ISERROR(MATCH(C$1,INDIRECT("Table!A"&amp;$AM23):INDIRECT("Table!" &amp; $AP$108 &amp; $AM23),0)),"",INDIRECT(CONCATENATE("Table!",ADDRESS($AI23,MATCH(C$1,INDIRECT("Table!A" &amp; $AM23):INDIRECT("Table!" &amp; $AP$108 &amp; $AM23),0)))))</f>
        <v>0.6599286457914636</v>
      </c>
      <c r="D23" s="596">
        <f ca="1">IF(ISERROR(MATCH(D$1,INDIRECT("Table!A"&amp;$AM23):INDIRECT("Table!" &amp; $AP$108 &amp; $AM23),0)),"",INDIRECT(CONCATENATE("Table!",ADDRESS($AI23,MATCH(D$1,INDIRECT("Table!A" &amp; $AM23):INDIRECT("Table!" &amp; $AP$108 &amp; $AM23),0)))))</f>
        <v>0.6296875164018344</v>
      </c>
      <c r="E23" s="596">
        <f ca="1">IF(ISERROR(MATCH(E$1,INDIRECT("Table!A"&amp;$AM23):INDIRECT("Table!" &amp; $AP$108 &amp; $AM23),0)),"",INDIRECT(CONCATENATE("Table!",ADDRESS($AI23,MATCH(E$1,INDIRECT("Table!A" &amp; $AM23):INDIRECT("Table!" &amp; $AP$108 &amp; $AM23),0)))))</f>
        <v>1.1960350947368883</v>
      </c>
      <c r="F23" s="596">
        <f ca="1">IF(ISERROR(MATCH(F$1,INDIRECT("Table!A"&amp;$AM23):INDIRECT("Table!" &amp; $AP$108 &amp; $AM23),0)),"",INDIRECT(CONCATENATE("Table!",ADDRESS($AI23,MATCH(F$1,INDIRECT("Table!A" &amp; $AM23):INDIRECT("Table!" &amp; $AP$108 &amp; $AM23),0)))))</f>
        <v>0.68464961086642162</v>
      </c>
      <c r="G23" s="596">
        <f ca="1">IF(ISERROR(MATCH(G$1,INDIRECT("Table!A"&amp;$AM23):INDIRECT("Table!" &amp; $AP$108 &amp; $AM23),0)),"",INDIRECT(CONCATENATE("Table!",ADDRESS($AI23,MATCH(G$1,INDIRECT("Table!A" &amp; $AM23):INDIRECT("Table!" &amp; $AP$108 &amp; $AM23),0)))))</f>
        <v>1.1789978049062271</v>
      </c>
      <c r="H23" s="596">
        <f ca="1">IF(ISERROR(MATCH(H$1,INDIRECT("Table!A"&amp;$AM23):INDIRECT("Table!" &amp; $AP$108 &amp; $AM23),0)),"",INDIRECT(CONCATENATE("Table!",ADDRESS($AI23,MATCH(H$1,INDIRECT("Table!A" &amp; $AM23):INDIRECT("Table!" &amp; $AP$108 &amp; $AM23),0)))))</f>
        <v>1.3049553686426263</v>
      </c>
      <c r="I23" s="596">
        <f ca="1">IF(ISERROR(MATCH(I$1,INDIRECT("Table!A"&amp;$AM23):INDIRECT("Table!" &amp; $AP$86 &amp; $AM23),0)),"",INDIRECT(CONCATENATE("Table!",ADDRESS($AI23,MATCH(I$1,INDIRECT("Table!A" &amp; $AM23):INDIRECT("Table!" &amp; $AP$86 &amp; $AM23),0)))))</f>
        <v>0.2801663073977288</v>
      </c>
      <c r="J23" s="596">
        <f ca="1">IF(ISERROR(MATCH(J$1,INDIRECT("Table!A"&amp;$AM23):INDIRECT("Table!" &amp; $AP$86 &amp; $AM23),0)),"",INDIRECT(CONCATENATE("Table!",ADDRESS($AI23,MATCH(J$1,INDIRECT("Table!A" &amp; $AM23):INDIRECT("Table!" &amp; $AP$86 &amp; $AM23),0)))))</f>
        <v>1.6458961031840231</v>
      </c>
      <c r="K23" s="596">
        <f ca="1">IF(ISERROR(MATCH(K$1,INDIRECT("Table!A"&amp;$AM23):INDIRECT("Table!" &amp; $AP$86 &amp; $AM23),0)),"",INDIRECT(CONCATENATE("Table!",ADDRESS($AI23,MATCH(K$1,INDIRECT("Table!A" &amp; $AM23):INDIRECT("Table!" &amp; $AP$86 &amp; $AM23),0)))))</f>
        <v>1.0257846122125467</v>
      </c>
      <c r="L23" s="596">
        <f ca="1">IF(ISERROR(MATCH(L$1,INDIRECT("Table!A"&amp;$AM23):INDIRECT("Table!" &amp; $AP$108 &amp; $AM23),0)),"",INDIRECT(CONCATENATE("Table!",ADDRESS($AI23,MATCH(L$1,INDIRECT("Table!A" &amp; $AM23):INDIRECT("Table!" &amp; $AP$108 &amp; $AM23),0)))))</f>
        <v>1.0836721924310893</v>
      </c>
      <c r="M23" s="596">
        <f ca="1">IF(ISERROR(MATCH(M$1,INDIRECT("Table!A"&amp;$AM23):INDIRECT("Table!" &amp; $AP$108 &amp; $AM23),0)),"",INDIRECT(CONCATENATE("Table!",ADDRESS($AI23,MATCH(M$1,INDIRECT("Table!A" &amp; $AM23):INDIRECT("Table!" &amp; $AP$108 &amp; $AM23),0)))))</f>
        <v>0.83650063358601467</v>
      </c>
      <c r="N23" s="596">
        <f ca="1">IF(ISERROR(MATCH(N$1,INDIRECT("Table!A"&amp;$AM23):INDIRECT("Table!" &amp; $AP$108 &amp; $AM23),0)),"",INDIRECT(CONCATENATE("Table!",ADDRESS($AI23,MATCH(N$1,INDIRECT("Table!A" &amp; $AM23):INDIRECT("Table!" &amp; $AP$108 &amp; $AM23),0)))))</f>
        <v>1.3951503634445583</v>
      </c>
      <c r="O23" s="596">
        <f ca="1">IF(ISERROR(MATCH(O$1,INDIRECT("Table!A"&amp;$AM23):INDIRECT("Table!" &amp; $AP$86 &amp; $AM23),0)),"",INDIRECT(CONCATENATE("Table!",ADDRESS($AI23,MATCH(O$1,INDIRECT("Table!A" &amp; $AM23):INDIRECT("Table!" &amp; $AP$86 &amp; $AM23),0)))))</f>
        <v>0.61138150308694716</v>
      </c>
      <c r="P23" s="596">
        <f ca="1">IF(ISERROR(MATCH(P$1,INDIRECT("Table!A"&amp;$AM23):INDIRECT("Table!" &amp; $AP$86 &amp; $AM23),0)),"",INDIRECT(CONCATENATE("Table!",ADDRESS($AI23,MATCH(P$1,INDIRECT("Table!A" &amp; $AM23):INDIRECT("Table!" &amp; $AP$86 &amp; $AM23),0)))))</f>
        <v>0.74223948322952638</v>
      </c>
      <c r="Q23" s="596">
        <f ca="1">IF(ISERROR(MATCH(Q$1,INDIRECT("Table!A"&amp;$AM23):INDIRECT("Table!" &amp; $AP$86 &amp; $AM23),0)),"",INDIRECT(CONCATENATE("Table!",ADDRESS($AI23,MATCH(Q$1,INDIRECT("Table!A" &amp; $AM23):INDIRECT("Table!" &amp; $AP$86 &amp; $AM23),0)))))</f>
        <v>0.82225770307830881</v>
      </c>
      <c r="R23" s="596">
        <f ca="1">IF(ISERROR(MATCH(R$1,INDIRECT("Table!A"&amp;$AM23):INDIRECT("Table!" &amp; $AP$86 &amp; $AM23),0)),"",INDIRECT(CONCATENATE("Table!",ADDRESS($AI23,MATCH(R$1,INDIRECT("Table!A" &amp; $AM23):INDIRECT("Table!" &amp; $AP$86 &amp; $AM23),0)))))</f>
        <v>1.2995027734684921</v>
      </c>
      <c r="S23" s="596" t="str">
        <f ca="1">IF(ISERROR(MATCH(S$1,INDIRECT("Table!A"&amp;$AM23):INDIRECT("Table!" &amp; $AP$65 &amp; $AM23),0)),"",INDIRECT(CONCATENATE("Table!",ADDRESS($AI23,MATCH(S$1,INDIRECT("Table!A" &amp; $AM23):INDIRECT("Table!" &amp; $AP$65 &amp; $AM23),0)))))</f>
        <v/>
      </c>
      <c r="T23" s="596">
        <f ca="1">IF(ISERROR(MATCH(T$1,INDIRECT("Table!A"&amp;$AM23):INDIRECT("Table!" &amp; $AP$65 &amp; $AM23),0)),"",INDIRECT(CONCATENATE("Table!",ADDRESS($AI23,MATCH(T$1,INDIRECT("Table!A" &amp; $AM23):INDIRECT("Table!" &amp; $AP$65 &amp; $AM23),0)))))</f>
        <v>1.2196627128632083</v>
      </c>
      <c r="U23" s="596">
        <f ca="1">IF(ISERROR(MATCH(U$1,INDIRECT("Table!A"&amp;$AM23):INDIRECT("Table!" &amp; $AP$65 &amp; $AM23),0)),"",INDIRECT(CONCATENATE("Table!",ADDRESS($AI23,MATCH(U$1,INDIRECT("Table!A" &amp; $AM23):INDIRECT("Table!" &amp; $AP$65 &amp; $AM23),0)))))</f>
        <v>0.61299737270845867</v>
      </c>
      <c r="V23" s="596">
        <f ca="1">IF(ISERROR(MATCH(V$1,INDIRECT("Table!A"&amp;$AM23):INDIRECT("Table!" &amp; $AP$65 &amp; $AM23),0)),"",INDIRECT(CONCATENATE("Table!",ADDRESS($AI23,MATCH(V$1,INDIRECT("Table!A" &amp; $AM23):INDIRECT("Table!" &amp; $AP$65 &amp; $AM23),0)))))</f>
        <v>0.40074812705701529</v>
      </c>
      <c r="W23" s="596">
        <f ca="1">IF(ISERROR(MATCH(W$1,INDIRECT("Table!A"&amp;$AM23):INDIRECT("Table!" &amp; $AP$65 &amp; $AM23),0)),"",INDIRECT(CONCATENATE("Table!",ADDRESS($AI23,MATCH(W$1,INDIRECT("Table!A" &amp; $AM23):INDIRECT("Table!" &amp; $AP$65 &amp; $AM23),0)))))</f>
        <v>0.39458819039790988</v>
      </c>
      <c r="X23" s="596">
        <f ca="1">IF(ISERROR(MATCH(X$1,INDIRECT("Table!A"&amp;$AM23):INDIRECT("Table!" &amp; $AP$65 &amp; $AM23),0)),"",INDIRECT(CONCATENATE("Table!",ADDRESS($AI23,MATCH(X$1,INDIRECT("Table!A" &amp; $AM23):INDIRECT("Table!" &amp; $AP$65 &amp; $AM23),0)))))</f>
        <v>0.24205830646335377</v>
      </c>
      <c r="Y23" s="596">
        <f ca="1">IF(ISERROR(MATCH(Y$1,INDIRECT("Table!A"&amp;$AM23):INDIRECT("Table!" &amp; $AP$65 &amp; $AM23),0)),"",INDIRECT(CONCATENATE("Table!",ADDRESS($AI23,MATCH(Y$1,INDIRECT("Table!A" &amp; $AM23):INDIRECT("Table!" &amp; $AP$65 &amp; $AM23),0)))))</f>
        <v>0.18508693546256477</v>
      </c>
      <c r="Z23" s="596">
        <f ca="1">IF(ISERROR(MATCH(Z$1,INDIRECT("Table!A"&amp;$AM23):INDIRECT("Table!" &amp; $AP$65 &amp; $AM23),0)),"",INDIRECT(CONCATENATE("Table!",ADDRESS($AI23,MATCH(Z$1,INDIRECT("Table!A" &amp; $AM23):INDIRECT("Table!" &amp; $AP$65 &amp; $AM23),0)))))</f>
        <v>0.1791295845037984</v>
      </c>
      <c r="AA23" s="596">
        <f ca="1">IF(ISERROR(MATCH(AA$1,INDIRECT("Table!A"&amp;$AM23):INDIRECT("Table!" &amp; $AP$65 &amp; $AM23),0)),"",INDIRECT(CONCATENATE("Table!",ADDRESS($AI23,MATCH(AA$1,INDIRECT("Table!A" &amp; $AM23):INDIRECT("Table!" &amp; $AP$65 &amp; $AM23),0)))))</f>
        <v>0.31891598356167045</v>
      </c>
      <c r="AB23" s="596">
        <f ca="1">IF(ISERROR(MATCH(AB$1,INDIRECT("Table!A"&amp;$AM23):INDIRECT("Table!" &amp; $AP$65 &amp; $AM23),0)),"",INDIRECT(CONCATENATE("Table!",ADDRESS($AI23,MATCH(AB$1,INDIRECT("Table!A" &amp; $AM23):INDIRECT("Table!" &amp; $AP$65 &amp; $AM23),0)))))</f>
        <v>0</v>
      </c>
      <c r="AC23" s="596">
        <f ca="1">IF(ISERROR(MATCH(AC$1,INDIRECT("Table!A"&amp;$AM23):INDIRECT("Table!" &amp; $AP$65 &amp; $AM23),0)),"",INDIRECT(CONCATENATE("Table!",ADDRESS($AI23,MATCH(AC$1,INDIRECT("Table!A" &amp; $AM23):INDIRECT("Table!" &amp; $AP$65 &amp; $AM23),0)))))</f>
        <v>0.10382739950515728</v>
      </c>
      <c r="AD23" s="596">
        <f ca="1">IF(ISERROR(MATCH(AD$1,INDIRECT("Table!A"&amp;$AM23):INDIRECT("Table!" &amp; $AP$65 &amp; $AM23),0)),"",INDIRECT(CONCATENATE("Table!",ADDRESS($AI23,MATCH(AD$1,INDIRECT("Table!A" &amp; $AM23):INDIRECT("Table!" &amp; $AP$65 &amp; $AM23),0)))))</f>
        <v>2.2721648297505434E-2</v>
      </c>
      <c r="AE23" s="596">
        <f ca="1">IF(ISERROR(MATCH(AE$1,INDIRECT("Table!A"&amp;$AM23):INDIRECT("Table!" &amp; $AP$65 &amp; $AM23),0)),"",INDIRECT(CONCATENATE("Table!",ADDRESS($AI23,MATCH(AE$1,INDIRECT("Table!A" &amp; $AM23):INDIRECT("Table!" &amp; $AP$65 &amp; $AM23),0)))))</f>
        <v>1.4463023891427396E-2</v>
      </c>
      <c r="AF23" s="596">
        <f ca="1">IF(ISERROR(MATCH(AF$1,INDIRECT("Table!A"&amp;$AM23):INDIRECT("Table!" &amp; $AP$65 &amp; $AM23),0)),"",INDIRECT(CONCATENATE("Table!",ADDRESS($AI23,MATCH(AF$1,INDIRECT("Table!A" &amp; $AM23):INDIRECT("Table!" &amp; $AP$65 &amp; $AM23),0)))))</f>
        <v>1.4463023891427396E-2</v>
      </c>
      <c r="AG23" s="596">
        <f ca="1">IF(ISERROR(MATCH(AG$1,INDIRECT("Table!A"&amp;$AM23):INDIRECT("Table!" &amp; $AP$65 &amp; $AM23),0)),"",INDIRECT(CONCATENATE("Table!",ADDRESS($AI23,MATCH(AG$1,INDIRECT("Table!A" &amp; $AM23):INDIRECT("Table!" &amp; $AP$65 &amp; $AM23),0)))))</f>
        <v>0</v>
      </c>
      <c r="AH23" s="596">
        <f ca="1">IF(ISERROR(MATCH(AH$1,INDIRECT("Table!A"&amp;$AM23):INDIRECT("Table!" &amp; $AP$65 &amp; $AM23),0)),"",INDIRECT(CONCATENATE("Table!",ADDRESS($AI23,MATCH(AH$1,INDIRECT("Table!A" &amp; $AM23):INDIRECT("Table!" &amp; $AP$65 &amp; $AM23),0)))))</f>
        <v>0</v>
      </c>
      <c r="AI23" s="595">
        <f>MATCH($A23,Table!$A:$A,0)+$AK$2-1</f>
        <v>306</v>
      </c>
      <c r="AJ23" s="964"/>
      <c r="AK23" s="964"/>
      <c r="AL23" s="964"/>
      <c r="AM23" s="595">
        <f>MATCH($A23,Table!$A:$A,0)+$AO$2-1</f>
        <v>297</v>
      </c>
      <c r="AN23" s="964"/>
      <c r="AO23" s="964"/>
      <c r="AP23" s="973" t="s">
        <v>302</v>
      </c>
    </row>
    <row r="24" spans="1:42" s="947" customFormat="1" ht="19.5" customHeight="1" x14ac:dyDescent="0.25">
      <c r="A24" s="592">
        <v>41829</v>
      </c>
      <c r="B24" s="596">
        <f ca="1">IF(ISERROR(MATCH(B$1,INDIRECT("Table!A"&amp;$AM24):INDIRECT("Table!" &amp; $AP$108 &amp; $AM24),0)),"",INDIRECT(CONCATENATE("Table!",ADDRESS($AI24,MATCH(B$1,INDIRECT("Table!A" &amp; $AM24):INDIRECT("Table!" &amp; $AP$108 &amp; $AM24),0)))))</f>
        <v>0.71407350419009152</v>
      </c>
      <c r="C24" s="596">
        <f ca="1">IF(ISERROR(MATCH(C$1,INDIRECT("Table!A"&amp;$AM24):INDIRECT("Table!" &amp; $AP$108 &amp; $AM24),0)),"",INDIRECT(CONCATENATE("Table!",ADDRESS($AI24,MATCH(C$1,INDIRECT("Table!A" &amp; $AM24):INDIRECT("Table!" &amp; $AP$108 &amp; $AM24),0)))))</f>
        <v>0.66866497205957864</v>
      </c>
      <c r="D24" s="596">
        <f ca="1">IF(ISERROR(MATCH(D$1,INDIRECT("Table!A"&amp;$AM24):INDIRECT("Table!" &amp; $AP$108 &amp; $AM24),0)),"",INDIRECT(CONCATENATE("Table!",ADDRESS($AI24,MATCH(D$1,INDIRECT("Table!A" &amp; $AM24):INDIRECT("Table!" &amp; $AP$108 &amp; $AM24),0)))))</f>
        <v>0.67404117283995724</v>
      </c>
      <c r="E24" s="596">
        <f ca="1">IF(ISERROR(MATCH(E$1,INDIRECT("Table!A"&amp;$AM24):INDIRECT("Table!" &amp; $AP$108 &amp; $AM24),0)),"",INDIRECT(CONCATENATE("Table!",ADDRESS($AI24,MATCH(E$1,INDIRECT("Table!A" &amp; $AM24):INDIRECT("Table!" &amp; $AP$108 &amp; $AM24),0)))))</f>
        <v>1.2632842798963511</v>
      </c>
      <c r="F24" s="596">
        <f ca="1">IF(ISERROR(MATCH(F$1,INDIRECT("Table!A"&amp;$AM24):INDIRECT("Table!" &amp; $AP$108 &amp; $AM24),0)),"",INDIRECT(CONCATENATE("Table!",ADDRESS($AI24,MATCH(F$1,INDIRECT("Table!A" &amp; $AM24):INDIRECT("Table!" &amp; $AP$108 &amp; $AM24),0)))))</f>
        <v>0.68464961086642162</v>
      </c>
      <c r="G24" s="596">
        <f ca="1">IF(ISERROR(MATCH(G$1,INDIRECT("Table!A"&amp;$AM24):INDIRECT("Table!" &amp; $AP$108 &amp; $AM24),0)),"",INDIRECT(CONCATENATE("Table!",ADDRESS($AI24,MATCH(G$1,INDIRECT("Table!A" &amp; $AM24):INDIRECT("Table!" &amp; $AP$108 &amp; $AM24),0)))))</f>
        <v>1.1789978049062271</v>
      </c>
      <c r="H24" s="596">
        <f ca="1">IF(ISERROR(MATCH(H$1,INDIRECT("Table!A"&amp;$AM24):INDIRECT("Table!" &amp; $AP$108 &amp; $AM24),0)),"",INDIRECT(CONCATENATE("Table!",ADDRESS($AI24,MATCH(H$1,INDIRECT("Table!A" &amp; $AM24):INDIRECT("Table!" &amp; $AP$108 &amp; $AM24),0)))))</f>
        <v>1.3624000686144246</v>
      </c>
      <c r="I24" s="596">
        <f ca="1">IF(ISERROR(MATCH(I$1,INDIRECT("Table!A"&amp;$AM24):INDIRECT("Table!" &amp; $AP$86 &amp; $AM24),0)),"",INDIRECT(CONCATENATE("Table!",ADDRESS($AI24,MATCH(I$1,INDIRECT("Table!A" &amp; $AM24):INDIRECT("Table!" &amp; $AP$86 &amp; $AM24),0)))))</f>
        <v>0.27996328833439704</v>
      </c>
      <c r="J24" s="596">
        <f ca="1">IF(ISERROR(MATCH(J$1,INDIRECT("Table!A"&amp;$AM24):INDIRECT("Table!" &amp; $AP$86 &amp; $AM24),0)),"",INDIRECT(CONCATENATE("Table!",ADDRESS($AI24,MATCH(J$1,INDIRECT("Table!A" &amp; $AM24):INDIRECT("Table!" &amp; $AP$86 &amp; $AM24),0)))))</f>
        <v>1.644808626406234</v>
      </c>
      <c r="K24" s="596">
        <f ca="1">IF(ISERROR(MATCH(K$1,INDIRECT("Table!A"&amp;$AM24):INDIRECT("Table!" &amp; $AP$86 &amp; $AM24),0)),"",INDIRECT(CONCATENATE("Table!",ADDRESS($AI24,MATCH(K$1,INDIRECT("Table!A" &amp; $AM24):INDIRECT("Table!" &amp; $AP$86 &amp; $AM24),0)))))</f>
        <v>1.0257846122125467</v>
      </c>
      <c r="L24" s="596">
        <f ca="1">IF(ISERROR(MATCH(L$1,INDIRECT("Table!A"&amp;$AM24):INDIRECT("Table!" &amp; $AP$108 &amp; $AM24),0)),"",INDIRECT(CONCATENATE("Table!",ADDRESS($AI24,MATCH(L$1,INDIRECT("Table!A" &amp; $AM24):INDIRECT("Table!" &amp; $AP$108 &amp; $AM24),0)))))</f>
        <v>1.109174471621118</v>
      </c>
      <c r="M24" s="596">
        <f ca="1">IF(ISERROR(MATCH(M$1,INDIRECT("Table!A"&amp;$AM24):INDIRECT("Table!" &amp; $AP$108 &amp; $AM24),0)),"",INDIRECT(CONCATENATE("Table!",ADDRESS($AI24,MATCH(M$1,INDIRECT("Table!A" &amp; $AM24):INDIRECT("Table!" &amp; $AP$108 &amp; $AM24),0)))))</f>
        <v>0.83650063358601467</v>
      </c>
      <c r="N24" s="596">
        <f ca="1">IF(ISERROR(MATCH(N$1,INDIRECT("Table!A"&amp;$AM24):INDIRECT("Table!" &amp; $AP$108 &amp; $AM24),0)),"",INDIRECT(CONCATENATE("Table!",ADDRESS($AI24,MATCH(N$1,INDIRECT("Table!A" &amp; $AM24):INDIRECT("Table!" &amp; $AP$108 &amp; $AM24),0)))))</f>
        <v>1.3951503634445583</v>
      </c>
      <c r="O24" s="596">
        <f ca="1">IF(ISERROR(MATCH(O$1,INDIRECT("Table!A"&amp;$AM24):INDIRECT("Table!" &amp; $AP$86 &amp; $AM24),0)),"",INDIRECT(CONCATENATE("Table!",ADDRESS($AI24,MATCH(O$1,INDIRECT("Table!A" &amp; $AM24):INDIRECT("Table!" &amp; $AP$86 &amp; $AM24),0)))))</f>
        <v>0.62749940969918561</v>
      </c>
      <c r="P24" s="596">
        <f ca="1">IF(ISERROR(MATCH(P$1,INDIRECT("Table!A"&amp;$AM24):INDIRECT("Table!" &amp; $AP$86 &amp; $AM24),0)),"",INDIRECT(CONCATENATE("Table!",ADDRESS($AI24,MATCH(P$1,INDIRECT("Table!A" &amp; $AM24):INDIRECT("Table!" &amp; $AP$86 &amp; $AM24),0)))))</f>
        <v>0.74183344412491503</v>
      </c>
      <c r="Q24" s="596">
        <f ca="1">IF(ISERROR(MATCH(Q$1,INDIRECT("Table!A"&amp;$AM24):INDIRECT("Table!" &amp; $AP$86 &amp; $AM24),0)),"",INDIRECT(CONCATENATE("Table!",ADDRESS($AI24,MATCH(Q$1,INDIRECT("Table!A" &amp; $AM24):INDIRECT("Table!" &amp; $AP$86 &amp; $AM24),0)))))</f>
        <v>0.82155386596889002</v>
      </c>
      <c r="R24" s="596">
        <f ca="1">IF(ISERROR(MATCH(R$1,INDIRECT("Table!A"&amp;$AM24):INDIRECT("Table!" &amp; $AP$86 &amp; $AM24),0)),"",INDIRECT(CONCATENATE("Table!",ADDRESS($AI24,MATCH(R$1,INDIRECT("Table!A" &amp; $AM24):INDIRECT("Table!" &amp; $AP$86 &amp; $AM24),0)))))</f>
        <v>1.2991171261917678</v>
      </c>
      <c r="S24" s="596" t="str">
        <f ca="1">IF(ISERROR(MATCH(S$1,INDIRECT("Table!A"&amp;$AM24):INDIRECT("Table!" &amp; $AP$65 &amp; $AM24),0)),"",INDIRECT(CONCATENATE("Table!",ADDRESS($AI24,MATCH(S$1,INDIRECT("Table!A" &amp; $AM24):INDIRECT("Table!" &amp; $AP$65 &amp; $AM24),0)))))</f>
        <v/>
      </c>
      <c r="T24" s="596">
        <f ca="1">IF(ISERROR(MATCH(T$1,INDIRECT("Table!A"&amp;$AM24):INDIRECT("Table!" &amp; $AP$65 &amp; $AM24),0)),"",INDIRECT(CONCATENATE("Table!",ADDRESS($AI24,MATCH(T$1,INDIRECT("Table!A" &amp; $AM24):INDIRECT("Table!" &amp; $AP$65 &amp; $AM24),0)))))</f>
        <v>1.1238830177845605</v>
      </c>
      <c r="U24" s="596">
        <f ca="1">IF(ISERROR(MATCH(U$1,INDIRECT("Table!A"&amp;$AM24):INDIRECT("Table!" &amp; $AP$65 &amp; $AM24),0)),"",INDIRECT(CONCATENATE("Table!",ADDRESS($AI24,MATCH(U$1,INDIRECT("Table!A" &amp; $AM24):INDIRECT("Table!" &amp; $AP$65 &amp; $AM24),0)))))</f>
        <v>0.61299737270845867</v>
      </c>
      <c r="V24" s="596">
        <f ca="1">IF(ISERROR(MATCH(V$1,INDIRECT("Table!A"&amp;$AM24):INDIRECT("Table!" &amp; $AP$65 &amp; $AM24),0)),"",INDIRECT(CONCATENATE("Table!",ADDRESS($AI24,MATCH(V$1,INDIRECT("Table!A" &amp; $AM24):INDIRECT("Table!" &amp; $AP$65 &amp; $AM24),0)))))</f>
        <v>0.40074812705701529</v>
      </c>
      <c r="W24" s="596">
        <f ca="1">IF(ISERROR(MATCH(W$1,INDIRECT("Table!A"&amp;$AM24):INDIRECT("Table!" &amp; $AP$65 &amp; $AM24),0)),"",INDIRECT(CONCATENATE("Table!",ADDRESS($AI24,MATCH(W$1,INDIRECT("Table!A" &amp; $AM24):INDIRECT("Table!" &amp; $AP$65 &amp; $AM24),0)))))</f>
        <v>0.37908179830033317</v>
      </c>
      <c r="X24" s="596">
        <f ca="1">IF(ISERROR(MATCH(X$1,INDIRECT("Table!A"&amp;$AM24):INDIRECT("Table!" &amp; $AP$65 &amp; $AM24),0)),"",INDIRECT(CONCATENATE("Table!",ADDRESS($AI24,MATCH(X$1,INDIRECT("Table!A" &amp; $AM24):INDIRECT("Table!" &amp; $AP$65 &amp; $AM24),0)))))</f>
        <v>0.22966569369894008</v>
      </c>
      <c r="Y24" s="596">
        <f ca="1">IF(ISERROR(MATCH(Y$1,INDIRECT("Table!A"&amp;$AM24):INDIRECT("Table!" &amp; $AP$65 &amp; $AM24),0)),"",INDIRECT(CONCATENATE("Table!",ADDRESS($AI24,MATCH(Y$1,INDIRECT("Table!A" &amp; $AM24):INDIRECT("Table!" &amp; $AP$65 &amp; $AM24),0)))))</f>
        <v>0.18508693546256477</v>
      </c>
      <c r="Z24" s="596">
        <f ca="1">IF(ISERROR(MATCH(Z$1,INDIRECT("Table!A"&amp;$AM24):INDIRECT("Table!" &amp; $AP$65 &amp; $AM24),0)),"",INDIRECT(CONCATENATE("Table!",ADDRESS($AI24,MATCH(Z$1,INDIRECT("Table!A" &amp; $AM24):INDIRECT("Table!" &amp; $AP$65 &amp; $AM24),0)))))</f>
        <v>0.1791295845037984</v>
      </c>
      <c r="AA24" s="596">
        <f ca="1">IF(ISERROR(MATCH(AA$1,INDIRECT("Table!A"&amp;$AM24):INDIRECT("Table!" &amp; $AP$65 &amp; $AM24),0)),"",INDIRECT(CONCATENATE("Table!",ADDRESS($AI24,MATCH(AA$1,INDIRECT("Table!A" &amp; $AM24):INDIRECT("Table!" &amp; $AP$65 &amp; $AM24),0)))))</f>
        <v>0.23418629478008804</v>
      </c>
      <c r="AB24" s="596">
        <f ca="1">IF(ISERROR(MATCH(AB$1,INDIRECT("Table!A"&amp;$AM24):INDIRECT("Table!" &amp; $AP$65 &amp; $AM24),0)),"",INDIRECT(CONCATENATE("Table!",ADDRESS($AI24,MATCH(AB$1,INDIRECT("Table!A" &amp; $AM24):INDIRECT("Table!" &amp; $AP$65 &amp; $AM24),0)))))</f>
        <v>0</v>
      </c>
      <c r="AC24" s="596">
        <f ca="1">IF(ISERROR(MATCH(AC$1,INDIRECT("Table!A"&amp;$AM24):INDIRECT("Table!" &amp; $AP$65 &amp; $AM24),0)),"",INDIRECT(CONCATENATE("Table!",ADDRESS($AI24,MATCH(AC$1,INDIRECT("Table!A" &amp; $AM24):INDIRECT("Table!" &amp; $AP$65 &amp; $AM24),0)))))</f>
        <v>7.2077281685464262E-2</v>
      </c>
      <c r="AD24" s="596">
        <f ca="1">IF(ISERROR(MATCH(AD$1,INDIRECT("Table!A"&amp;$AM24):INDIRECT("Table!" &amp; $AP$65 &amp; $AM24),0)),"",INDIRECT(CONCATENATE("Table!",ADDRESS($AI24,MATCH(AD$1,INDIRECT("Table!A" &amp; $AM24):INDIRECT("Table!" &amp; $AP$65 &amp; $AM24),0)))))</f>
        <v>1.2037959362916786E-3</v>
      </c>
      <c r="AE24" s="596">
        <f ca="1">IF(ISERROR(MATCH(AE$1,INDIRECT("Table!A"&amp;$AM24):INDIRECT("Table!" &amp; $AP$65 &amp; $AM24),0)),"",INDIRECT(CONCATENATE("Table!",ADDRESS($AI24,MATCH(AE$1,INDIRECT("Table!A" &amp; $AM24):INDIRECT("Table!" &amp; $AP$65 &amp; $AM24),0)))))</f>
        <v>5.1807846775262312E-3</v>
      </c>
      <c r="AF24" s="596">
        <f ca="1">IF(ISERROR(MATCH(AF$1,INDIRECT("Table!A"&amp;$AM24):INDIRECT("Table!" &amp; $AP$65 &amp; $AM24),0)),"",INDIRECT(CONCATENATE("Table!",ADDRESS($AI24,MATCH(AF$1,INDIRECT("Table!A" &amp; $AM24):INDIRECT("Table!" &amp; $AP$65 &amp; $AM24),0)))))</f>
        <v>5.1807846775262312E-3</v>
      </c>
      <c r="AG24" s="596">
        <f ca="1">IF(ISERROR(MATCH(AG$1,INDIRECT("Table!A"&amp;$AM24):INDIRECT("Table!" &amp; $AP$65 &amp; $AM24),0)),"",INDIRECT(CONCATENATE("Table!",ADDRESS($AI24,MATCH(AG$1,INDIRECT("Table!A" &amp; $AM24):INDIRECT("Table!" &amp; $AP$65 &amp; $AM24),0)))))</f>
        <v>0</v>
      </c>
      <c r="AH24" s="596">
        <f ca="1">IF(ISERROR(MATCH(AH$1,INDIRECT("Table!A"&amp;$AM24):INDIRECT("Table!" &amp; $AP$65 &amp; $AM24),0)),"",INDIRECT(CONCATENATE("Table!",ADDRESS($AI24,MATCH(AH$1,INDIRECT("Table!A" &amp; $AM24):INDIRECT("Table!" &amp; $AP$65 &amp; $AM24),0)))))</f>
        <v>0</v>
      </c>
      <c r="AI24" s="595">
        <f>MATCH($A24,Table!$A:$A,0)+$AK$2-1</f>
        <v>320</v>
      </c>
      <c r="AJ24" s="961"/>
      <c r="AK24" s="961"/>
      <c r="AL24" s="961"/>
      <c r="AM24" s="595">
        <f>MATCH($A24,Table!$A:$A,0)+$AO$2-1</f>
        <v>311</v>
      </c>
      <c r="AN24" s="961"/>
      <c r="AO24" s="961"/>
      <c r="AP24" s="973" t="s">
        <v>302</v>
      </c>
    </row>
    <row r="25" spans="1:42" s="947" customFormat="1" ht="19.5" customHeight="1" x14ac:dyDescent="0.25">
      <c r="A25" s="592">
        <v>41822</v>
      </c>
      <c r="B25" s="596">
        <f ca="1">IF(ISERROR(MATCH(B$1,INDIRECT("Table!A"&amp;$AM25):INDIRECT("Table!" &amp; $AP$108 &amp; $AM25),0)),"",INDIRECT(CONCATENATE("Table!",ADDRESS($AI25,MATCH(B$1,INDIRECT("Table!A" &amp; $AM25):INDIRECT("Table!" &amp; $AP$108 &amp; $AM25),0)))))</f>
        <v>0.71407350419009152</v>
      </c>
      <c r="C25" s="596">
        <f ca="1">IF(ISERROR(MATCH(C$1,INDIRECT("Table!A"&amp;$AM25):INDIRECT("Table!" &amp; $AP$108 &amp; $AM25),0)),"",INDIRECT(CONCATENATE("Table!",ADDRESS($AI25,MATCH(C$1,INDIRECT("Table!A" &amp; $AM25):INDIRECT("Table!" &amp; $AP$108 &amp; $AM25),0)))))</f>
        <v>0.66866497205957864</v>
      </c>
      <c r="D25" s="596">
        <f ca="1">IF(ISERROR(MATCH(D$1,INDIRECT("Table!A"&amp;$AM25):INDIRECT("Table!" &amp; $AP$108 &amp; $AM25),0)),"",INDIRECT(CONCATENATE("Table!",ADDRESS($AI25,MATCH(D$1,INDIRECT("Table!A" &amp; $AM25):INDIRECT("Table!" &amp; $AP$108 &amp; $AM25),0)))))</f>
        <v>0.67404117283995724</v>
      </c>
      <c r="E25" s="596">
        <f ca="1">IF(ISERROR(MATCH(E$1,INDIRECT("Table!A"&amp;$AM25):INDIRECT("Table!" &amp; $AP$108 &amp; $AM25),0)),"",INDIRECT(CONCATENATE("Table!",ADDRESS($AI25,MATCH(E$1,INDIRECT("Table!A" &amp; $AM25):INDIRECT("Table!" &amp; $AP$108 &amp; $AM25),0)))))</f>
        <v>1.2632842798963511</v>
      </c>
      <c r="F25" s="596">
        <f ca="1">IF(ISERROR(MATCH(F$1,INDIRECT("Table!A"&amp;$AM25):INDIRECT("Table!" &amp; $AP$108 &amp; $AM25),0)),"",INDIRECT(CONCATENATE("Table!",ADDRESS($AI25,MATCH(F$1,INDIRECT("Table!A" &amp; $AM25):INDIRECT("Table!" &amp; $AP$108 &amp; $AM25),0)))))</f>
        <v>0.68464961086642162</v>
      </c>
      <c r="G25" s="596">
        <f ca="1">IF(ISERROR(MATCH(G$1,INDIRECT("Table!A"&amp;$AM25):INDIRECT("Table!" &amp; $AP$108 &amp; $AM25),0)),"",INDIRECT(CONCATENATE("Table!",ADDRESS($AI25,MATCH(G$1,INDIRECT("Table!A" &amp; $AM25):INDIRECT("Table!" &amp; $AP$108 &amp; $AM25),0)))))</f>
        <v>1.1789978049062271</v>
      </c>
      <c r="H25" s="596">
        <f ca="1">IF(ISERROR(MATCH(H$1,INDIRECT("Table!A"&amp;$AM25):INDIRECT("Table!" &amp; $AP$108 &amp; $AM25),0)),"",INDIRECT(CONCATENATE("Table!",ADDRESS($AI25,MATCH(H$1,INDIRECT("Table!A" &amp; $AM25):INDIRECT("Table!" &amp; $AP$108 &amp; $AM25),0)))))</f>
        <v>1.3624000686144246</v>
      </c>
      <c r="I25" s="596">
        <f ca="1">IF(ISERROR(MATCH(I$1,INDIRECT("Table!A"&amp;$AM25):INDIRECT("Table!" &amp; $AP$86 &amp; $AM25),0)),"",INDIRECT(CONCATENATE("Table!",ADDRESS($AI25,MATCH(I$1,INDIRECT("Table!A" &amp; $AM25):INDIRECT("Table!" &amp; $AP$86 &amp; $AM25),0)))))</f>
        <v>0.27996328833439704</v>
      </c>
      <c r="J25" s="596">
        <f ca="1">IF(ISERROR(MATCH(J$1,INDIRECT("Table!A"&amp;$AM25):INDIRECT("Table!" &amp; $AP$86 &amp; $AM25),0)),"",INDIRECT(CONCATENATE("Table!",ADDRESS($AI25,MATCH(J$1,INDIRECT("Table!A" &amp; $AM25):INDIRECT("Table!" &amp; $AP$86 &amp; $AM25),0)))))</f>
        <v>1.644808626406234</v>
      </c>
      <c r="K25" s="596">
        <f ca="1">IF(ISERROR(MATCH(K$1,INDIRECT("Table!A"&amp;$AM25):INDIRECT("Table!" &amp; $AP$86 &amp; $AM25),0)),"",INDIRECT(CONCATENATE("Table!",ADDRESS($AI25,MATCH(K$1,INDIRECT("Table!A" &amp; $AM25):INDIRECT("Table!" &amp; $AP$86 &amp; $AM25),0)))))</f>
        <v>1.0257846122125467</v>
      </c>
      <c r="L25" s="596">
        <f ca="1">IF(ISERROR(MATCH(L$1,INDIRECT("Table!A"&amp;$AM25):INDIRECT("Table!" &amp; $AP$108 &amp; $AM25),0)),"",INDIRECT(CONCATENATE("Table!",ADDRESS($AI25,MATCH(L$1,INDIRECT("Table!A" &amp; $AM25):INDIRECT("Table!" &amp; $AP$108 &amp; $AM25),0)))))</f>
        <v>1.109174471621118</v>
      </c>
      <c r="M25" s="596">
        <f ca="1">IF(ISERROR(MATCH(M$1,INDIRECT("Table!A"&amp;$AM25):INDIRECT("Table!" &amp; $AP$108 &amp; $AM25),0)),"",INDIRECT(CONCATENATE("Table!",ADDRESS($AI25,MATCH(M$1,INDIRECT("Table!A" &amp; $AM25):INDIRECT("Table!" &amp; $AP$108 &amp; $AM25),0)))))</f>
        <v>0.83650063358601467</v>
      </c>
      <c r="N25" s="596">
        <f ca="1">IF(ISERROR(MATCH(N$1,INDIRECT("Table!A"&amp;$AM25):INDIRECT("Table!" &amp; $AP$108 &amp; $AM25),0)),"",INDIRECT(CONCATENATE("Table!",ADDRESS($AI25,MATCH(N$1,INDIRECT("Table!A" &amp; $AM25):INDIRECT("Table!" &amp; $AP$108 &amp; $AM25),0)))))</f>
        <v>1.3951503634445583</v>
      </c>
      <c r="O25" s="596">
        <f ca="1">IF(ISERROR(MATCH(O$1,INDIRECT("Table!A"&amp;$AM25):INDIRECT("Table!" &amp; $AP$86 &amp; $AM25),0)),"",INDIRECT(CONCATENATE("Table!",ADDRESS($AI25,MATCH(O$1,INDIRECT("Table!A" &amp; $AM25):INDIRECT("Table!" &amp; $AP$86 &amp; $AM25),0)))))</f>
        <v>0.62749940969918561</v>
      </c>
      <c r="P25" s="596">
        <f ca="1">IF(ISERROR(MATCH(P$1,INDIRECT("Table!A"&amp;$AM25):INDIRECT("Table!" &amp; $AP$86 &amp; $AM25),0)),"",INDIRECT(CONCATENATE("Table!",ADDRESS($AI25,MATCH(P$1,INDIRECT("Table!A" &amp; $AM25):INDIRECT("Table!" &amp; $AP$86 &amp; $AM25),0)))))</f>
        <v>0.74183344412491503</v>
      </c>
      <c r="Q25" s="596">
        <f ca="1">IF(ISERROR(MATCH(Q$1,INDIRECT("Table!A"&amp;$AM25):INDIRECT("Table!" &amp; $AP$86 &amp; $AM25),0)),"",INDIRECT(CONCATENATE("Table!",ADDRESS($AI25,MATCH(Q$1,INDIRECT("Table!A" &amp; $AM25):INDIRECT("Table!" &amp; $AP$86 &amp; $AM25),0)))))</f>
        <v>0.82155386596889002</v>
      </c>
      <c r="R25" s="596">
        <f ca="1">IF(ISERROR(MATCH(R$1,INDIRECT("Table!A"&amp;$AM25):INDIRECT("Table!" &amp; $AP$86 &amp; $AM25),0)),"",INDIRECT(CONCATENATE("Table!",ADDRESS($AI25,MATCH(R$1,INDIRECT("Table!A" &amp; $AM25):INDIRECT("Table!" &amp; $AP$86 &amp; $AM25),0)))))</f>
        <v>1.2991171261917678</v>
      </c>
      <c r="S25" s="596" t="str">
        <f ca="1">IF(ISERROR(MATCH(S$1,INDIRECT("Table!A"&amp;$AM25):INDIRECT("Table!" &amp; $AP$65 &amp; $AM25),0)),"",INDIRECT(CONCATENATE("Table!",ADDRESS($AI25,MATCH(S$1,INDIRECT("Table!A" &amp; $AM25):INDIRECT("Table!" &amp; $AP$65 &amp; $AM25),0)))))</f>
        <v/>
      </c>
      <c r="T25" s="596">
        <f ca="1">IF(ISERROR(MATCH(T$1,INDIRECT("Table!A"&amp;$AM25):INDIRECT("Table!" &amp; $AP$65 &amp; $AM25),0)),"",INDIRECT(CONCATENATE("Table!",ADDRESS($AI25,MATCH(T$1,INDIRECT("Table!A" &amp; $AM25):INDIRECT("Table!" &amp; $AP$65 &amp; $AM25),0)))))</f>
        <v>1.1238830177845605</v>
      </c>
      <c r="U25" s="596">
        <f ca="1">IF(ISERROR(MATCH(U$1,INDIRECT("Table!A"&amp;$AM25):INDIRECT("Table!" &amp; $AP$65 &amp; $AM25),0)),"",INDIRECT(CONCATENATE("Table!",ADDRESS($AI25,MATCH(U$1,INDIRECT("Table!A" &amp; $AM25):INDIRECT("Table!" &amp; $AP$65 &amp; $AM25),0)))))</f>
        <v>0.61299737270845867</v>
      </c>
      <c r="V25" s="596">
        <f ca="1">IF(ISERROR(MATCH(V$1,INDIRECT("Table!A"&amp;$AM25):INDIRECT("Table!" &amp; $AP$65 &amp; $AM25),0)),"",INDIRECT(CONCATENATE("Table!",ADDRESS($AI25,MATCH(V$1,INDIRECT("Table!A" &amp; $AM25):INDIRECT("Table!" &amp; $AP$65 &amp; $AM25),0)))))</f>
        <v>0.40074812705701529</v>
      </c>
      <c r="W25" s="596">
        <f ca="1">IF(ISERROR(MATCH(W$1,INDIRECT("Table!A"&amp;$AM25):INDIRECT("Table!" &amp; $AP$65 &amp; $AM25),0)),"",INDIRECT(CONCATENATE("Table!",ADDRESS($AI25,MATCH(W$1,INDIRECT("Table!A" &amp; $AM25):INDIRECT("Table!" &amp; $AP$65 &amp; $AM25),0)))))</f>
        <v>0.37908179830033317</v>
      </c>
      <c r="X25" s="596">
        <f ca="1">IF(ISERROR(MATCH(X$1,INDIRECT("Table!A"&amp;$AM25):INDIRECT("Table!" &amp; $AP$65 &amp; $AM25),0)),"",INDIRECT(CONCATENATE("Table!",ADDRESS($AI25,MATCH(X$1,INDIRECT("Table!A" &amp; $AM25):INDIRECT("Table!" &amp; $AP$65 &amp; $AM25),0)))))</f>
        <v>0.22966569369894008</v>
      </c>
      <c r="Y25" s="596">
        <f ca="1">IF(ISERROR(MATCH(Y$1,INDIRECT("Table!A"&amp;$AM25):INDIRECT("Table!" &amp; $AP$65 &amp; $AM25),0)),"",INDIRECT(CONCATENATE("Table!",ADDRESS($AI25,MATCH(Y$1,INDIRECT("Table!A" &amp; $AM25):INDIRECT("Table!" &amp; $AP$65 &amp; $AM25),0)))))</f>
        <v>0.18508693546256477</v>
      </c>
      <c r="Z25" s="596">
        <f ca="1">IF(ISERROR(MATCH(Z$1,INDIRECT("Table!A"&amp;$AM25):INDIRECT("Table!" &amp; $AP$65 &amp; $AM25),0)),"",INDIRECT(CONCATENATE("Table!",ADDRESS($AI25,MATCH(Z$1,INDIRECT("Table!A" &amp; $AM25):INDIRECT("Table!" &amp; $AP$65 &amp; $AM25),0)))))</f>
        <v>0.1791295845037984</v>
      </c>
      <c r="AA25" s="596">
        <f ca="1">IF(ISERROR(MATCH(AA$1,INDIRECT("Table!A"&amp;$AM25):INDIRECT("Table!" &amp; $AP$65 &amp; $AM25),0)),"",INDIRECT(CONCATENATE("Table!",ADDRESS($AI25,MATCH(AA$1,INDIRECT("Table!A" &amp; $AM25):INDIRECT("Table!" &amp; $AP$65 &amp; $AM25),0)))))</f>
        <v>0.23418629478008804</v>
      </c>
      <c r="AB25" s="596">
        <f ca="1">IF(ISERROR(MATCH(AB$1,INDIRECT("Table!A"&amp;$AM25):INDIRECT("Table!" &amp; $AP$65 &amp; $AM25),0)),"",INDIRECT(CONCATENATE("Table!",ADDRESS($AI25,MATCH(AB$1,INDIRECT("Table!A" &amp; $AM25):INDIRECT("Table!" &amp; $AP$65 &amp; $AM25),0)))))</f>
        <v>0</v>
      </c>
      <c r="AC25" s="596">
        <f ca="1">IF(ISERROR(MATCH(AC$1,INDIRECT("Table!A"&amp;$AM25):INDIRECT("Table!" &amp; $AP$65 &amp; $AM25),0)),"",INDIRECT(CONCATENATE("Table!",ADDRESS($AI25,MATCH(AC$1,INDIRECT("Table!A" &amp; $AM25):INDIRECT("Table!" &amp; $AP$65 &amp; $AM25),0)))))</f>
        <v>7.2077281685464262E-2</v>
      </c>
      <c r="AD25" s="596">
        <f ca="1">IF(ISERROR(MATCH(AD$1,INDIRECT("Table!A"&amp;$AM25):INDIRECT("Table!" &amp; $AP$65 &amp; $AM25),0)),"",INDIRECT(CONCATENATE("Table!",ADDRESS($AI25,MATCH(AD$1,INDIRECT("Table!A" &amp; $AM25):INDIRECT("Table!" &amp; $AP$65 &amp; $AM25),0)))))</f>
        <v>1.2037959362916786E-3</v>
      </c>
      <c r="AE25" s="596">
        <f ca="1">IF(ISERROR(MATCH(AE$1,INDIRECT("Table!A"&amp;$AM25):INDIRECT("Table!" &amp; $AP$65 &amp; $AM25),0)),"",INDIRECT(CONCATENATE("Table!",ADDRESS($AI25,MATCH(AE$1,INDIRECT("Table!A" &amp; $AM25):INDIRECT("Table!" &amp; $AP$65 &amp; $AM25),0)))))</f>
        <v>5.1807846775262312E-3</v>
      </c>
      <c r="AF25" s="596">
        <f ca="1">IF(ISERROR(MATCH(AF$1,INDIRECT("Table!A"&amp;$AM25):INDIRECT("Table!" &amp; $AP$65 &amp; $AM25),0)),"",INDIRECT(CONCATENATE("Table!",ADDRESS($AI25,MATCH(AF$1,INDIRECT("Table!A" &amp; $AM25):INDIRECT("Table!" &amp; $AP$65 &amp; $AM25),0)))))</f>
        <v>5.1807846775262312E-3</v>
      </c>
      <c r="AG25" s="596">
        <f ca="1">IF(ISERROR(MATCH(AG$1,INDIRECT("Table!A"&amp;$AM25):INDIRECT("Table!" &amp; $AP$65 &amp; $AM25),0)),"",INDIRECT(CONCATENATE("Table!",ADDRESS($AI25,MATCH(AG$1,INDIRECT("Table!A" &amp; $AM25):INDIRECT("Table!" &amp; $AP$65 &amp; $AM25),0)))))</f>
        <v>0</v>
      </c>
      <c r="AH25" s="596">
        <f ca="1">IF(ISERROR(MATCH(AH$1,INDIRECT("Table!A"&amp;$AM25):INDIRECT("Table!" &amp; $AP$65 &amp; $AM25),0)),"",INDIRECT(CONCATENATE("Table!",ADDRESS($AI25,MATCH(AH$1,INDIRECT("Table!A" &amp; $AM25):INDIRECT("Table!" &amp; $AP$65 &amp; $AM25),0)))))</f>
        <v>0</v>
      </c>
      <c r="AI25" s="595">
        <f>MATCH($A25,Table!$A:$A,0)+$AK$2-1</f>
        <v>334</v>
      </c>
      <c r="AJ25" s="958"/>
      <c r="AK25" s="958"/>
      <c r="AL25" s="958"/>
      <c r="AM25" s="595">
        <f>MATCH($A25,Table!$A:$A,0)+$AO$2-1</f>
        <v>325</v>
      </c>
      <c r="AN25" s="958"/>
      <c r="AO25" s="958"/>
      <c r="AP25" s="973" t="s">
        <v>302</v>
      </c>
    </row>
    <row r="26" spans="1:42" s="743" customFormat="1" ht="19.5" customHeight="1" x14ac:dyDescent="0.25">
      <c r="A26" s="592">
        <v>41815</v>
      </c>
      <c r="B26" s="596">
        <f ca="1">IF(ISERROR(MATCH(B$1,INDIRECT("Table!A"&amp;$AM26):INDIRECT("Table!" &amp; $AP$108 &amp; $AM26),0)),"",INDIRECT(CONCATENATE("Table!",ADDRESS($AI26,MATCH(B$1,INDIRECT("Table!A" &amp; $AM26):INDIRECT("Table!" &amp; $AP$108 &amp; $AM26),0)))))</f>
        <v>0.71407350419009152</v>
      </c>
      <c r="C26" s="596">
        <f ca="1">IF(ISERROR(MATCH(C$1,INDIRECT("Table!A"&amp;$AM26):INDIRECT("Table!" &amp; $AP$108 &amp; $AM26),0)),"",INDIRECT(CONCATENATE("Table!",ADDRESS($AI26,MATCH(C$1,INDIRECT("Table!A" &amp; $AM26):INDIRECT("Table!" &amp; $AP$108 &amp; $AM26),0)))))</f>
        <v>0.67404117283995724</v>
      </c>
      <c r="D26" s="596">
        <f ca="1">IF(ISERROR(MATCH(D$1,INDIRECT("Table!A"&amp;$AM26):INDIRECT("Table!" &amp; $AP$108 &amp; $AM26),0)),"",INDIRECT(CONCATENATE("Table!",ADDRESS($AI26,MATCH(D$1,INDIRECT("Table!A" &amp; $AM26):INDIRECT("Table!" &amp; $AP$108 &amp; $AM26),0)))))</f>
        <v>0.67404117283995724</v>
      </c>
      <c r="E26" s="596">
        <f ca="1">IF(ISERROR(MATCH(E$1,INDIRECT("Table!A"&amp;$AM26):INDIRECT("Table!" &amp; $AP$108 &amp; $AM26),0)),"",INDIRECT(CONCATENATE("Table!",ADDRESS($AI26,MATCH(E$1,INDIRECT("Table!A" &amp; $AM26):INDIRECT("Table!" &amp; $AP$108 &amp; $AM26),0)))))</f>
        <v>1.2632842798963511</v>
      </c>
      <c r="F26" s="596">
        <f ca="1">IF(ISERROR(MATCH(F$1,INDIRECT("Table!A"&amp;$AM26):INDIRECT("Table!" &amp; $AP$108 &amp; $AM26),0)),"",INDIRECT(CONCATENATE("Table!",ADDRESS($AI26,MATCH(F$1,INDIRECT("Table!A" &amp; $AM26):INDIRECT("Table!" &amp; $AP$108 &amp; $AM26),0)))))</f>
        <v>0.68464961086642162</v>
      </c>
      <c r="G26" s="596">
        <f ca="1">IF(ISERROR(MATCH(G$1,INDIRECT("Table!A"&amp;$AM26):INDIRECT("Table!" &amp; $AP$108 &amp; $AM26),0)),"",INDIRECT(CONCATENATE("Table!",ADDRESS($AI26,MATCH(G$1,INDIRECT("Table!A" &amp; $AM26):INDIRECT("Table!" &amp; $AP$108 &amp; $AM26),0)))))</f>
        <v>1.1790843686217121</v>
      </c>
      <c r="H26" s="596">
        <f ca="1">IF(ISERROR(MATCH(H$1,INDIRECT("Table!A"&amp;$AM26):INDIRECT("Table!" &amp; $AP$108 &amp; $AM26),0)),"",INDIRECT(CONCATENATE("Table!",ADDRESS($AI26,MATCH(H$1,INDIRECT("Table!A" &amp; $AM26):INDIRECT("Table!" &amp; $AP$108 &amp; $AM26),0)))))</f>
        <v>1.3624000686144246</v>
      </c>
      <c r="I26" s="596">
        <f ca="1">IF(ISERROR(MATCH(I$1,INDIRECT("Table!A"&amp;$AM26):INDIRECT("Table!" &amp; $AP$86 &amp; $AM26),0)),"",INDIRECT(CONCATENATE("Table!",ADDRESS($AI26,MATCH(I$1,INDIRECT("Table!A" &amp; $AM26):INDIRECT("Table!" &amp; $AP$86 &amp; $AM26),0)))))</f>
        <v>0.27996328833439704</v>
      </c>
      <c r="J26" s="596">
        <f ca="1">IF(ISERROR(MATCH(J$1,INDIRECT("Table!A"&amp;$AM26):INDIRECT("Table!" &amp; $AP$86 &amp; $AM26),0)),"",INDIRECT(CONCATENATE("Table!",ADDRESS($AI26,MATCH(J$1,INDIRECT("Table!A" &amp; $AM26):INDIRECT("Table!" &amp; $AP$86 &amp; $AM26),0)))))</f>
        <v>1.6255059136004748</v>
      </c>
      <c r="K26" s="596">
        <f ca="1">IF(ISERROR(MATCH(K$1,INDIRECT("Table!A"&amp;$AM26):INDIRECT("Table!" &amp; $AP$86 &amp; $AM26),0)),"",INDIRECT(CONCATENATE("Table!",ADDRESS($AI26,MATCH(K$1,INDIRECT("Table!A" &amp; $AM26):INDIRECT("Table!" &amp; $AP$86 &amp; $AM26),0)))))</f>
        <v>1.0063734027398434</v>
      </c>
      <c r="L26" s="596">
        <f ca="1">IF(ISERROR(MATCH(L$1,INDIRECT("Table!A"&amp;$AM26):INDIRECT("Table!" &amp; $AP$108 &amp; $AM26),0)),"",INDIRECT(CONCATENATE("Table!",ADDRESS($AI26,MATCH(L$1,INDIRECT("Table!A" &amp; $AM26):INDIRECT("Table!" &amp; $AP$108 &amp; $AM26),0)))))</f>
        <v>1.120353552909898</v>
      </c>
      <c r="M26" s="596">
        <f ca="1">IF(ISERROR(MATCH(M$1,INDIRECT("Table!A"&amp;$AM26):INDIRECT("Table!" &amp; $AP$108 &amp; $AM26),0)),"",INDIRECT(CONCATENATE("Table!",ADDRESS($AI26,MATCH(M$1,INDIRECT("Table!A" &amp; $AM26):INDIRECT("Table!" &amp; $AP$108 &amp; $AM26),0)))))</f>
        <v>0.83650063358601467</v>
      </c>
      <c r="N26" s="596">
        <f ca="1">IF(ISERROR(MATCH(N$1,INDIRECT("Table!A"&amp;$AM26):INDIRECT("Table!" &amp; $AP$108 &amp; $AM26),0)),"",INDIRECT(CONCATENATE("Table!",ADDRESS($AI26,MATCH(N$1,INDIRECT("Table!A" &amp; $AM26):INDIRECT("Table!" &amp; $AP$108 &amp; $AM26),0)))))</f>
        <v>1.3951503634445583</v>
      </c>
      <c r="O26" s="596">
        <f ca="1">IF(ISERROR(MATCH(O$1,INDIRECT("Table!A"&amp;$AM26):INDIRECT("Table!" &amp; $AP$86 &amp; $AM26),0)),"",INDIRECT(CONCATENATE("Table!",ADDRESS($AI26,MATCH(O$1,INDIRECT("Table!A" &amp; $AM26):INDIRECT("Table!" &amp; $AP$86 &amp; $AM26),0)))))</f>
        <v>0.62981941140852271</v>
      </c>
      <c r="P26" s="596">
        <f ca="1">IF(ISERROR(MATCH(P$1,INDIRECT("Table!A"&amp;$AM26):INDIRECT("Table!" &amp; $AP$86 &amp; $AM26),0)),"",INDIRECT(CONCATENATE("Table!",ADDRESS($AI26,MATCH(P$1,INDIRECT("Table!A" &amp; $AM26):INDIRECT("Table!" &amp; $AP$86 &amp; $AM26),0)))))</f>
        <v>0.74183344412491503</v>
      </c>
      <c r="Q26" s="596">
        <f ca="1">IF(ISERROR(MATCH(Q$1,INDIRECT("Table!A"&amp;$AM26):INDIRECT("Table!" &amp; $AP$86 &amp; $AM26),0)),"",INDIRECT(CONCATENATE("Table!",ADDRESS($AI26,MATCH(Q$1,INDIRECT("Table!A" &amp; $AM26):INDIRECT("Table!" &amp; $AP$86 &amp; $AM26),0)))))</f>
        <v>0.80906075727670956</v>
      </c>
      <c r="R26" s="596">
        <f ca="1">IF(ISERROR(MATCH(R$1,INDIRECT("Table!A"&amp;$AM26):INDIRECT("Table!" &amp; $AP$86 &amp; $AM26),0)),"",INDIRECT(CONCATENATE("Table!",ADDRESS($AI26,MATCH(R$1,INDIRECT("Table!A" &amp; $AM26):INDIRECT("Table!" &amp; $AP$86 &amp; $AM26),0)))))</f>
        <v>1.3198562739809956</v>
      </c>
      <c r="S26" s="596" t="str">
        <f ca="1">IF(ISERROR(MATCH(S$1,INDIRECT("Table!A"&amp;$AM26):INDIRECT("Table!" &amp; $AP$65 &amp; $AM26),0)),"",INDIRECT(CONCATENATE("Table!",ADDRESS($AI26,MATCH(S$1,INDIRECT("Table!A" &amp; $AM26):INDIRECT("Table!" &amp; $AP$65 &amp; $AM26),0)))))</f>
        <v/>
      </c>
      <c r="T26" s="596">
        <f ca="1">IF(ISERROR(MATCH(T$1,INDIRECT("Table!A"&amp;$AM26):INDIRECT("Table!" &amp; $AP$65 &amp; $AM26),0)),"",INDIRECT(CONCATENATE("Table!",ADDRESS($AI26,MATCH(T$1,INDIRECT("Table!A" &amp; $AM26):INDIRECT("Table!" &amp; $AP$65 &amp; $AM26),0)))))</f>
        <v>1.1238830177845605</v>
      </c>
      <c r="U26" s="596">
        <f ca="1">IF(ISERROR(MATCH(U$1,INDIRECT("Table!A"&amp;$AM26):INDIRECT("Table!" &amp; $AP$65 &amp; $AM26),0)),"",INDIRECT(CONCATENATE("Table!",ADDRESS($AI26,MATCH(U$1,INDIRECT("Table!A" &amp; $AM26):INDIRECT("Table!" &amp; $AP$65 &amp; $AM26),0)))))</f>
        <v>0.61299737270845867</v>
      </c>
      <c r="V26" s="596">
        <f ca="1">IF(ISERROR(MATCH(V$1,INDIRECT("Table!A"&amp;$AM26):INDIRECT("Table!" &amp; $AP$65 &amp; $AM26),0)),"",INDIRECT(CONCATENATE("Table!",ADDRESS($AI26,MATCH(V$1,INDIRECT("Table!A" &amp; $AM26):INDIRECT("Table!" &amp; $AP$65 &amp; $AM26),0)))))</f>
        <v>0.40074812705701529</v>
      </c>
      <c r="W26" s="596">
        <f ca="1">IF(ISERROR(MATCH(W$1,INDIRECT("Table!A"&amp;$AM26):INDIRECT("Table!" &amp; $AP$65 &amp; $AM26),0)),"",INDIRECT(CONCATENATE("Table!",ADDRESS($AI26,MATCH(W$1,INDIRECT("Table!A" &amp; $AM26):INDIRECT("Table!" &amp; $AP$65 &amp; $AM26),0)))))</f>
        <v>0.36786440827229899</v>
      </c>
      <c r="X26" s="596">
        <f ca="1">IF(ISERROR(MATCH(X$1,INDIRECT("Table!A"&amp;$AM26):INDIRECT("Table!" &amp; $AP$65 &amp; $AM26),0)),"",INDIRECT(CONCATENATE("Table!",ADDRESS($AI26,MATCH(X$1,INDIRECT("Table!A" &amp; $AM26):INDIRECT("Table!" &amp; $AP$65 &amp; $AM26),0)))))</f>
        <v>0.22419363091984829</v>
      </c>
      <c r="Y26" s="596">
        <f ca="1">IF(ISERROR(MATCH(Y$1,INDIRECT("Table!A"&amp;$AM26):INDIRECT("Table!" &amp; $AP$65 &amp; $AM26),0)),"",INDIRECT(CONCATENATE("Table!",ADDRESS($AI26,MATCH(Y$1,INDIRECT("Table!A" &amp; $AM26):INDIRECT("Table!" &amp; $AP$65 &amp; $AM26),0)))))</f>
        <v>0.18508693546256477</v>
      </c>
      <c r="Z26" s="596">
        <f ca="1">IF(ISERROR(MATCH(Z$1,INDIRECT("Table!A"&amp;$AM26):INDIRECT("Table!" &amp; $AP$65 &amp; $AM26),0)),"",INDIRECT(CONCATENATE("Table!",ADDRESS($AI26,MATCH(Z$1,INDIRECT("Table!A" &amp; $AM26):INDIRECT("Table!" &amp; $AP$65 &amp; $AM26),0)))))</f>
        <v>0.1791295845037984</v>
      </c>
      <c r="AA26" s="596">
        <f ca="1">IF(ISERROR(MATCH(AA$1,INDIRECT("Table!A"&amp;$AM26):INDIRECT("Table!" &amp; $AP$65 &amp; $AM26),0)),"",INDIRECT(CONCATENATE("Table!",ADDRESS($AI26,MATCH(AA$1,INDIRECT("Table!A" &amp; $AM26):INDIRECT("Table!" &amp; $AP$65 &amp; $AM26),0)))))</f>
        <v>0.20289990848664657</v>
      </c>
      <c r="AB26" s="596">
        <f ca="1">IF(ISERROR(MATCH(AB$1,INDIRECT("Table!A"&amp;$AM26):INDIRECT("Table!" &amp; $AP$65 &amp; $AM26),0)),"",INDIRECT(CONCATENATE("Table!",ADDRESS($AI26,MATCH(AB$1,INDIRECT("Table!A" &amp; $AM26):INDIRECT("Table!" &amp; $AP$65 &amp; $AM26),0)))))</f>
        <v>0</v>
      </c>
      <c r="AC26" s="596" t="str">
        <f ca="1">IF(ISERROR(MATCH(AC$1,INDIRECT("Table!A"&amp;$AM26):INDIRECT("Table!" &amp; $AP$65 &amp; $AM26),0)),"",INDIRECT(CONCATENATE("Table!",ADDRESS($AI26,MATCH(AC$1,INDIRECT("Table!A" &amp; $AM26):INDIRECT("Table!" &amp; $AP$65 &amp; $AM26),0)))))</f>
        <v/>
      </c>
      <c r="AD26" s="596" t="str">
        <f ca="1">IF(ISERROR(MATCH(AD$1,INDIRECT("Table!A"&amp;$AM26):INDIRECT("Table!" &amp; $AP$65 &amp; $AM26),0)),"",INDIRECT(CONCATENATE("Table!",ADDRESS($AI26,MATCH(AD$1,INDIRECT("Table!A" &amp; $AM26):INDIRECT("Table!" &amp; $AP$65 &amp; $AM26),0)))))</f>
        <v/>
      </c>
      <c r="AE26" s="596" t="str">
        <f ca="1">IF(ISERROR(MATCH(AE$1,INDIRECT("Table!A"&amp;$AM26):INDIRECT("Table!" &amp; $AP$65 &amp; $AM26),0)),"",INDIRECT(CONCATENATE("Table!",ADDRESS($AI26,MATCH(AE$1,INDIRECT("Table!A" &amp; $AM26):INDIRECT("Table!" &amp; $AP$65 &amp; $AM26),0)))))</f>
        <v/>
      </c>
      <c r="AF26" s="596" t="str">
        <f ca="1">IF(ISERROR(MATCH(AF$1,INDIRECT("Table!A"&amp;$AM26):INDIRECT("Table!" &amp; $AP$65 &amp; $AM26),0)),"",INDIRECT(CONCATENATE("Table!",ADDRESS($AI26,MATCH(AF$1,INDIRECT("Table!A" &amp; $AM26):INDIRECT("Table!" &amp; $AP$65 &amp; $AM26),0)))))</f>
        <v/>
      </c>
      <c r="AG26" s="596" t="str">
        <f ca="1">IF(ISERROR(MATCH(AG$1,INDIRECT("Table!A"&amp;$AM26):INDIRECT("Table!" &amp; $AP$65 &amp; $AM26),0)),"",INDIRECT(CONCATENATE("Table!",ADDRESS($AI26,MATCH(AG$1,INDIRECT("Table!A" &amp; $AM26):INDIRECT("Table!" &amp; $AP$65 &amp; $AM26),0)))))</f>
        <v/>
      </c>
      <c r="AH26" s="596" t="str">
        <f ca="1">IF(ISERROR(MATCH(AH$1,INDIRECT("Table!A"&amp;$AM26):INDIRECT("Table!" &amp; $AP$65 &amp; $AM26),0)),"",INDIRECT(CONCATENATE("Table!",ADDRESS($AI26,MATCH(AH$1,INDIRECT("Table!A" &amp; $AM26):INDIRECT("Table!" &amp; $AP$65 &amp; $AM26),0)))))</f>
        <v/>
      </c>
      <c r="AI26" s="595">
        <f>MATCH($A26,Table!$A:$A,0)+$AK$2-1</f>
        <v>348</v>
      </c>
      <c r="AJ26" s="911"/>
      <c r="AK26" s="911"/>
      <c r="AL26" s="911"/>
      <c r="AM26" s="595">
        <f>MATCH($A26,Table!$A:$A,0)+$AO$2-1</f>
        <v>339</v>
      </c>
      <c r="AN26" s="911"/>
      <c r="AO26" s="911"/>
      <c r="AP26" s="973" t="s">
        <v>302</v>
      </c>
    </row>
    <row r="27" spans="1:42" s="743" customFormat="1" ht="19.5" customHeight="1" x14ac:dyDescent="0.25">
      <c r="A27" s="592">
        <v>41808</v>
      </c>
      <c r="B27" s="596">
        <f ca="1">IF(ISERROR(MATCH(B$1,INDIRECT("Table!A"&amp;$AM27):INDIRECT("Table!" &amp; $AP$108 &amp; $AM27),0)),"",INDIRECT(CONCATENATE("Table!",ADDRESS($AI27,MATCH(B$1,INDIRECT("Table!A" &amp; $AM27):INDIRECT("Table!" &amp; $AP$108 &amp; $AM27),0)))))</f>
        <v>0.71757981412568039</v>
      </c>
      <c r="C27" s="596">
        <f ca="1">IF(ISERROR(MATCH(C$1,INDIRECT("Table!A"&amp;$AM27):INDIRECT("Table!" &amp; $AP$108 &amp; $AM27),0)),"",INDIRECT(CONCATENATE("Table!",ADDRESS($AI27,MATCH(C$1,INDIRECT("Table!A" &amp; $AM27):INDIRECT("Table!" &amp; $AP$108 &amp; $AM27),0)))))</f>
        <v>0.66037666252316185</v>
      </c>
      <c r="D27" s="596">
        <f ca="1">IF(ISERROR(MATCH(D$1,INDIRECT("Table!A"&amp;$AM27):INDIRECT("Table!" &amp; $AP$108 &amp; $AM27),0)),"",INDIRECT(CONCATENATE("Table!",ADDRESS($AI27,MATCH(D$1,INDIRECT("Table!A" &amp; $AM27):INDIRECT("Table!" &amp; $AP$108 &amp; $AM27),0)))))</f>
        <v>0.66037666252316185</v>
      </c>
      <c r="E27" s="596">
        <f ca="1">IF(ISERROR(MATCH(E$1,INDIRECT("Table!A"&amp;$AM27):INDIRECT("Table!" &amp; $AP$108 &amp; $AM27),0)),"",INDIRECT(CONCATENATE("Table!",ADDRESS($AI27,MATCH(E$1,INDIRECT("Table!A" &amp; $AM27):INDIRECT("Table!" &amp; $AP$108 &amp; $AM27),0)))))</f>
        <v>1.3233083459890944</v>
      </c>
      <c r="F27" s="596">
        <f ca="1">IF(ISERROR(MATCH(F$1,INDIRECT("Table!A"&amp;$AM27):INDIRECT("Table!" &amp; $AP$108 &amp; $AM27),0)),"",INDIRECT(CONCATENATE("Table!",ADDRESS($AI27,MATCH(F$1,INDIRECT("Table!A" &amp; $AM27):INDIRECT("Table!" &amp; $AP$108 &amp; $AM27),0)))))</f>
        <v>0.68342920157788967</v>
      </c>
      <c r="G27" s="596">
        <f ca="1">IF(ISERROR(MATCH(G$1,INDIRECT("Table!A"&amp;$AM27):INDIRECT("Table!" &amp; $AP$108 &amp; $AM27),0)),"",INDIRECT(CONCATENATE("Table!",ADDRESS($AI27,MATCH(G$1,INDIRECT("Table!A" &amp; $AM27):INDIRECT("Table!" &amp; $AP$108 &amp; $AM27),0)))))</f>
        <v>1.1786515500442869</v>
      </c>
      <c r="H27" s="596">
        <f ca="1">IF(ISERROR(MATCH(H$1,INDIRECT("Table!A"&amp;$AM27):INDIRECT("Table!" &amp; $AP$108 &amp; $AM27),0)),"",INDIRECT(CONCATENATE("Table!",ADDRESS($AI27,MATCH(H$1,INDIRECT("Table!A" &amp; $AM27):INDIRECT("Table!" &amp; $AP$108 &amp; $AM27),0)))))</f>
        <v>1.3624000686144246</v>
      </c>
      <c r="I27" s="596">
        <f ca="1">IF(ISERROR(MATCH(I$1,INDIRECT("Table!A"&amp;$AM27):INDIRECT("Table!" &amp; $AP$86 &amp; $AM27),0)),"",INDIRECT(CONCATENATE("Table!",ADDRESS($AI27,MATCH(I$1,INDIRECT("Table!A" &amp; $AM27):INDIRECT("Table!" &amp; $AP$86 &amp; $AM27),0)))))</f>
        <v>0.27996328833439704</v>
      </c>
      <c r="J27" s="596">
        <f ca="1">IF(ISERROR(MATCH(J$1,INDIRECT("Table!A"&amp;$AM27):INDIRECT("Table!" &amp; $AP$86 &amp; $AM27),0)),"",INDIRECT(CONCATENATE("Table!",ADDRESS($AI27,MATCH(J$1,INDIRECT("Table!A" &amp; $AM27):INDIRECT("Table!" &amp; $AP$86 &amp; $AM27),0)))))</f>
        <v>1.6255059136004748</v>
      </c>
      <c r="K27" s="596">
        <f ca="1">IF(ISERROR(MATCH(K$1,INDIRECT("Table!A"&amp;$AM27):INDIRECT("Table!" &amp; $AP$86 &amp; $AM27),0)),"",INDIRECT(CONCATENATE("Table!",ADDRESS($AI27,MATCH(K$1,INDIRECT("Table!A" &amp; $AM27):INDIRECT("Table!" &amp; $AP$86 &amp; $AM27),0)))))</f>
        <v>0.99584018829729115</v>
      </c>
      <c r="L27" s="596">
        <f ca="1">IF(ISERROR(MATCH(L$1,INDIRECT("Table!A"&amp;$AM27):INDIRECT("Table!" &amp; $AP$108 &amp; $AM27),0)),"",INDIRECT(CONCATENATE("Table!",ADDRESS($AI27,MATCH(L$1,INDIRECT("Table!A" &amp; $AM27):INDIRECT("Table!" &amp; $AP$108 &amp; $AM27),0)))))</f>
        <v>1.1648952049198797</v>
      </c>
      <c r="M27" s="596">
        <f ca="1">IF(ISERROR(MATCH(M$1,INDIRECT("Table!A"&amp;$AM27):INDIRECT("Table!" &amp; $AP$108 &amp; $AM27),0)),"",INDIRECT(CONCATENATE("Table!",ADDRESS($AI27,MATCH(M$1,INDIRECT("Table!A" &amp; $AM27):INDIRECT("Table!" &amp; $AP$108 &amp; $AM27),0)))))</f>
        <v>0.83650063358601467</v>
      </c>
      <c r="N27" s="596">
        <f ca="1">IF(ISERROR(MATCH(N$1,INDIRECT("Table!A"&amp;$AM27):INDIRECT("Table!" &amp; $AP$108 &amp; $AM27),0)),"",INDIRECT(CONCATENATE("Table!",ADDRESS($AI27,MATCH(N$1,INDIRECT("Table!A" &amp; $AM27):INDIRECT("Table!" &amp; $AP$108 &amp; $AM27),0)))))</f>
        <v>1.3927141288168903</v>
      </c>
      <c r="O27" s="596">
        <f ca="1">IF(ISERROR(MATCH(O$1,INDIRECT("Table!A"&amp;$AM27):INDIRECT("Table!" &amp; $AP$86 &amp; $AM27),0)),"",INDIRECT(CONCATENATE("Table!",ADDRESS($AI27,MATCH(O$1,INDIRECT("Table!A" &amp; $AM27):INDIRECT("Table!" &amp; $AP$86 &amp; $AM27),0)))))</f>
        <v>0.63409309876782849</v>
      </c>
      <c r="P27" s="596">
        <f ca="1">IF(ISERROR(MATCH(P$1,INDIRECT("Table!A"&amp;$AM27):INDIRECT("Table!" &amp; $AP$86 &amp; $AM27),0)),"",INDIRECT(CONCATENATE("Table!",ADDRESS($AI27,MATCH(P$1,INDIRECT("Table!A" &amp; $AM27):INDIRECT("Table!" &amp; $AP$86 &amp; $AM27),0)))))</f>
        <v>0.74183344412491503</v>
      </c>
      <c r="Q27" s="596">
        <f ca="1">IF(ISERROR(MATCH(Q$1,INDIRECT("Table!A"&amp;$AM27):INDIRECT("Table!" &amp; $AP$86 &amp; $AM27),0)),"",INDIRECT(CONCATENATE("Table!",ADDRESS($AI27,MATCH(Q$1,INDIRECT("Table!A" &amp; $AM27):INDIRECT("Table!" &amp; $AP$86 &amp; $AM27),0)))))</f>
        <v>0.80906075727670956</v>
      </c>
      <c r="R27" s="596">
        <f ca="1">IF(ISERROR(MATCH(R$1,INDIRECT("Table!A"&amp;$AM27):INDIRECT("Table!" &amp; $AP$86 &amp; $AM27),0)),"",INDIRECT(CONCATENATE("Table!",ADDRESS($AI27,MATCH(R$1,INDIRECT("Table!A" &amp; $AM27):INDIRECT("Table!" &amp; $AP$86 &amp; $AM27),0)))))</f>
        <v>1.3099197631516188</v>
      </c>
      <c r="S27" s="596" t="str">
        <f ca="1">IF(ISERROR(MATCH(S$1,INDIRECT("Table!A"&amp;$AM27):INDIRECT("Table!" &amp; $AP$65 &amp; $AM27),0)),"",INDIRECT(CONCATENATE("Table!",ADDRESS($AI27,MATCH(S$1,INDIRECT("Table!A" &amp; $AM27):INDIRECT("Table!" &amp; $AP$65 &amp; $AM27),0)))))</f>
        <v/>
      </c>
      <c r="T27" s="596">
        <f ca="1">IF(ISERROR(MATCH(T$1,INDIRECT("Table!A"&amp;$AM27):INDIRECT("Table!" &amp; $AP$65 &amp; $AM27),0)),"",INDIRECT(CONCATENATE("Table!",ADDRESS($AI27,MATCH(T$1,INDIRECT("Table!A" &amp; $AM27):INDIRECT("Table!" &amp; $AP$65 &amp; $AM27),0)))))</f>
        <v>1.1238830177845605</v>
      </c>
      <c r="U27" s="596">
        <f ca="1">IF(ISERROR(MATCH(U$1,INDIRECT("Table!A"&amp;$AM27):INDIRECT("Table!" &amp; $AP$65 &amp; $AM27),0)),"",INDIRECT(CONCATENATE("Table!",ADDRESS($AI27,MATCH(U$1,INDIRECT("Table!A" &amp; $AM27):INDIRECT("Table!" &amp; $AP$65 &amp; $AM27),0)))))</f>
        <v>0.61299737270845867</v>
      </c>
      <c r="V27" s="596">
        <f ca="1">IF(ISERROR(MATCH(V$1,INDIRECT("Table!A"&amp;$AM27):INDIRECT("Table!" &amp; $AP$65 &amp; $AM27),0)),"",INDIRECT(CONCATENATE("Table!",ADDRESS($AI27,MATCH(V$1,INDIRECT("Table!A" &amp; $AM27):INDIRECT("Table!" &amp; $AP$65 &amp; $AM27),0)))))</f>
        <v>0.40074812705701529</v>
      </c>
      <c r="W27" s="596">
        <f ca="1">IF(ISERROR(MATCH(W$1,INDIRECT("Table!A"&amp;$AM27):INDIRECT("Table!" &amp; $AP$65 &amp; $AM27),0)),"",INDIRECT(CONCATENATE("Table!",ADDRESS($AI27,MATCH(W$1,INDIRECT("Table!A" &amp; $AM27):INDIRECT("Table!" &amp; $AP$65 &amp; $AM27),0)))))</f>
        <v>0.31210738136824645</v>
      </c>
      <c r="X27" s="596">
        <f ca="1">IF(ISERROR(MATCH(X$1,INDIRECT("Table!A"&amp;$AM27):INDIRECT("Table!" &amp; $AP$65 &amp; $AM27),0)),"",INDIRECT(CONCATENATE("Table!",ADDRESS($AI27,MATCH(X$1,INDIRECT("Table!A" &amp; $AM27):INDIRECT("Table!" &amp; $AP$65 &amp; $AM27),0)))))</f>
        <v>0.19699426004730389</v>
      </c>
      <c r="Y27" s="596">
        <f ca="1">IF(ISERROR(MATCH(Y$1,INDIRECT("Table!A"&amp;$AM27):INDIRECT("Table!" &amp; $AP$65 &amp; $AM27),0)),"",INDIRECT(CONCATENATE("Table!",ADDRESS($AI27,MATCH(Y$1,INDIRECT("Table!A" &amp; $AM27):INDIRECT("Table!" &amp; $AP$65 &amp; $AM27),0)))))</f>
        <v>0.18508693546256477</v>
      </c>
      <c r="Z27" s="596">
        <f ca="1">IF(ISERROR(MATCH(Z$1,INDIRECT("Table!A"&amp;$AM27):INDIRECT("Table!" &amp; $AP$65 &amp; $AM27),0)),"",INDIRECT(CONCATENATE("Table!",ADDRESS($AI27,MATCH(Z$1,INDIRECT("Table!A" &amp; $AM27):INDIRECT("Table!" &amp; $AP$65 &amp; $AM27),0)))))</f>
        <v>0.1791295845037984</v>
      </c>
      <c r="AA27" s="596">
        <f ca="1">IF(ISERROR(MATCH(AA$1,INDIRECT("Table!A"&amp;$AM27):INDIRECT("Table!" &amp; $AP$65 &amp; $AM27),0)),"",INDIRECT(CONCATENATE("Table!",ADDRESS($AI27,MATCH(AA$1,INDIRECT("Table!A" &amp; $AM27):INDIRECT("Table!" &amp; $AP$65 &amp; $AM27),0)))))</f>
        <v>0.10205295557453249</v>
      </c>
      <c r="AB27" s="596">
        <f ca="1">IF(ISERROR(MATCH(AB$1,INDIRECT("Table!A"&amp;$AM27):INDIRECT("Table!" &amp; $AP$65 &amp; $AM27),0)),"",INDIRECT(CONCATENATE("Table!",ADDRESS($AI27,MATCH(AB$1,INDIRECT("Table!A" &amp; $AM27):INDIRECT("Table!" &amp; $AP$65 &amp; $AM27),0)))))</f>
        <v>0</v>
      </c>
      <c r="AC27" s="596" t="str">
        <f ca="1">IF(ISERROR(MATCH(AC$1,INDIRECT("Table!A"&amp;$AM27):INDIRECT("Table!" &amp; $AP$65 &amp; $AM27),0)),"",INDIRECT(CONCATENATE("Table!",ADDRESS($AI27,MATCH(AC$1,INDIRECT("Table!A" &amp; $AM27):INDIRECT("Table!" &amp; $AP$65 &amp; $AM27),0)))))</f>
        <v/>
      </c>
      <c r="AD27" s="596" t="str">
        <f ca="1">IF(ISERROR(MATCH(AD$1,INDIRECT("Table!A"&amp;$AM27):INDIRECT("Table!" &amp; $AP$65 &amp; $AM27),0)),"",INDIRECT(CONCATENATE("Table!",ADDRESS($AI27,MATCH(AD$1,INDIRECT("Table!A" &amp; $AM27):INDIRECT("Table!" &amp; $AP$65 &amp; $AM27),0)))))</f>
        <v/>
      </c>
      <c r="AE27" s="596" t="str">
        <f ca="1">IF(ISERROR(MATCH(AE$1,INDIRECT("Table!A"&amp;$AM27):INDIRECT("Table!" &amp; $AP$65 &amp; $AM27),0)),"",INDIRECT(CONCATENATE("Table!",ADDRESS($AI27,MATCH(AE$1,INDIRECT("Table!A" &amp; $AM27):INDIRECT("Table!" &amp; $AP$65 &amp; $AM27),0)))))</f>
        <v/>
      </c>
      <c r="AF27" s="596" t="str">
        <f ca="1">IF(ISERROR(MATCH(AF$1,INDIRECT("Table!A"&amp;$AM27):INDIRECT("Table!" &amp; $AP$65 &amp; $AM27),0)),"",INDIRECT(CONCATENATE("Table!",ADDRESS($AI27,MATCH(AF$1,INDIRECT("Table!A" &amp; $AM27):INDIRECT("Table!" &amp; $AP$65 &amp; $AM27),0)))))</f>
        <v/>
      </c>
      <c r="AG27" s="596" t="str">
        <f ca="1">IF(ISERROR(MATCH(AG$1,INDIRECT("Table!A"&amp;$AM27):INDIRECT("Table!" &amp; $AP$65 &amp; $AM27),0)),"",INDIRECT(CONCATENATE("Table!",ADDRESS($AI27,MATCH(AG$1,INDIRECT("Table!A" &amp; $AM27):INDIRECT("Table!" &amp; $AP$65 &amp; $AM27),0)))))</f>
        <v/>
      </c>
      <c r="AH27" s="596" t="str">
        <f ca="1">IF(ISERROR(MATCH(AH$1,INDIRECT("Table!A"&amp;$AM27):INDIRECT("Table!" &amp; $AP$65 &amp; $AM27),0)),"",INDIRECT(CONCATENATE("Table!",ADDRESS($AI27,MATCH(AH$1,INDIRECT("Table!A" &amp; $AM27):INDIRECT("Table!" &amp; $AP$65 &amp; $AM27),0)))))</f>
        <v/>
      </c>
      <c r="AI27" s="595">
        <f>MATCH($A27,Table!$A:$A,0)+$AK$2-1</f>
        <v>362</v>
      </c>
      <c r="AJ27" s="908"/>
      <c r="AK27" s="908"/>
      <c r="AL27" s="908"/>
      <c r="AM27" s="595">
        <f>MATCH($A27,Table!$A:$A,0)+$AO$2-1</f>
        <v>353</v>
      </c>
      <c r="AN27" s="908"/>
      <c r="AO27" s="908"/>
      <c r="AP27" s="973" t="s">
        <v>302</v>
      </c>
    </row>
    <row r="28" spans="1:42" s="743" customFormat="1" ht="19.5" customHeight="1" x14ac:dyDescent="0.25">
      <c r="A28" s="592">
        <v>41801</v>
      </c>
      <c r="B28" s="596">
        <f ca="1">IF(ISERROR(MATCH(B$1,INDIRECT("Table!A"&amp;$AM28):INDIRECT("Table!" &amp; $AP$108 &amp; $AM28),0)),"",INDIRECT(CONCATENATE("Table!",ADDRESS($AI28,MATCH(B$1,INDIRECT("Table!A" &amp; $AM28):INDIRECT("Table!" &amp; $AP$108 &amp; $AM28),0)))))</f>
        <v>0.71757981412568039</v>
      </c>
      <c r="C28" s="596">
        <f ca="1">IF(ISERROR(MATCH(C$1,INDIRECT("Table!A"&amp;$AM28):INDIRECT("Table!" &amp; $AP$108 &amp; $AM28),0)),"",INDIRECT(CONCATENATE("Table!",ADDRESS($AI28,MATCH(C$1,INDIRECT("Table!A" &amp; $AM28):INDIRECT("Table!" &amp; $AP$108 &amp; $AM28),0)))))</f>
        <v>0.66037666252316185</v>
      </c>
      <c r="D28" s="596">
        <f ca="1">IF(ISERROR(MATCH(D$1,INDIRECT("Table!A"&amp;$AM28):INDIRECT("Table!" &amp; $AP$108 &amp; $AM28),0)),"",INDIRECT(CONCATENATE("Table!",ADDRESS($AI28,MATCH(D$1,INDIRECT("Table!A" &amp; $AM28):INDIRECT("Table!" &amp; $AP$108 &amp; $AM28),0)))))</f>
        <v>0.66037666252316185</v>
      </c>
      <c r="E28" s="596">
        <f ca="1">IF(ISERROR(MATCH(E$1,INDIRECT("Table!A"&amp;$AM28):INDIRECT("Table!" &amp; $AP$108 &amp; $AM28),0)),"",INDIRECT(CONCATENATE("Table!",ADDRESS($AI28,MATCH(E$1,INDIRECT("Table!A" &amp; $AM28):INDIRECT("Table!" &amp; $AP$108 &amp; $AM28),0)))))</f>
        <v>1.3938922014870427</v>
      </c>
      <c r="F28" s="596">
        <f ca="1">IF(ISERROR(MATCH(F$1,INDIRECT("Table!A"&amp;$AM28):INDIRECT("Table!" &amp; $AP$108 &amp; $AM28),0)),"",INDIRECT(CONCATENATE("Table!",ADDRESS($AI28,MATCH(F$1,INDIRECT("Table!A" &amp; $AM28):INDIRECT("Table!" &amp; $AP$108 &amp; $AM28),0)))))</f>
        <v>0.68098838300082576</v>
      </c>
      <c r="G28" s="596">
        <f ca="1">IF(ISERROR(MATCH(G$1,INDIRECT("Table!A"&amp;$AM28):INDIRECT("Table!" &amp; $AP$108 &amp; $AM28),0)),"",INDIRECT(CONCATENATE("Table!",ADDRESS($AI28,MATCH(G$1,INDIRECT("Table!A" &amp; $AM28):INDIRECT("Table!" &amp; $AP$108 &amp; $AM28),0)))))</f>
        <v>1.1786515500442869</v>
      </c>
      <c r="H28" s="596">
        <f ca="1">IF(ISERROR(MATCH(H$1,INDIRECT("Table!A"&amp;$AM28):INDIRECT("Table!" &amp; $AP$108 &amp; $AM28),0)),"",INDIRECT(CONCATENATE("Table!",ADDRESS($AI28,MATCH(H$1,INDIRECT("Table!A" &amp; $AM28):INDIRECT("Table!" &amp; $AP$108 &amp; $AM28),0)))))</f>
        <v>1.3624000686144246</v>
      </c>
      <c r="I28" s="596">
        <f ca="1">IF(ISERROR(MATCH(I$1,INDIRECT("Table!A"&amp;$AM28):INDIRECT("Table!" &amp; $AP$86 &amp; $AM28),0)),"",INDIRECT(CONCATENATE("Table!",ADDRESS($AI28,MATCH(I$1,INDIRECT("Table!A" &amp; $AM28):INDIRECT("Table!" &amp; $AP$86 &amp; $AM28),0)))))</f>
        <v>0.27996328833439704</v>
      </c>
      <c r="J28" s="596">
        <f ca="1">IF(ISERROR(MATCH(J$1,INDIRECT("Table!A"&amp;$AM28):INDIRECT("Table!" &amp; $AP$86 &amp; $AM28),0)),"",INDIRECT(CONCATENATE("Table!",ADDRESS($AI28,MATCH(J$1,INDIRECT("Table!A" &amp; $AM28):INDIRECT("Table!" &amp; $AP$86 &amp; $AM28),0)))))</f>
        <v>1.6192529221281866</v>
      </c>
      <c r="K28" s="596">
        <f ca="1">IF(ISERROR(MATCH(K$1,INDIRECT("Table!A"&amp;$AM28):INDIRECT("Table!" &amp; $AP$86 &amp; $AM28),0)),"",INDIRECT(CONCATENATE("Table!",ADDRESS($AI28,MATCH(K$1,INDIRECT("Table!A" &amp; $AM28):INDIRECT("Table!" &amp; $AP$86 &amp; $AM28),0)))))</f>
        <v>0.99132595353619735</v>
      </c>
      <c r="L28" s="596">
        <f ca="1">IF(ISERROR(MATCH(L$1,INDIRECT("Table!A"&amp;$AM28):INDIRECT("Table!" &amp; $AP$108 &amp; $AM28),0)),"",INDIRECT(CONCATENATE("Table!",ADDRESS($AI28,MATCH(L$1,INDIRECT("Table!A" &amp; $AM28):INDIRECT("Table!" &amp; $AP$108 &amp; $AM28),0)))))</f>
        <v>1.2296989417657751</v>
      </c>
      <c r="M28" s="596">
        <f ca="1">IF(ISERROR(MATCH(M$1,INDIRECT("Table!A"&amp;$AM28):INDIRECT("Table!" &amp; $AP$108 &amp; $AM28),0)),"",INDIRECT(CONCATENATE("Table!",ADDRESS($AI28,MATCH(M$1,INDIRECT("Table!A" &amp; $AM28):INDIRECT("Table!" &amp; $AP$108 &amp; $AM28),0)))))</f>
        <v>0.83650063358601467</v>
      </c>
      <c r="N28" s="596">
        <f ca="1">IF(ISERROR(MATCH(N$1,INDIRECT("Table!A"&amp;$AM28):INDIRECT("Table!" &amp; $AP$108 &amp; $AM28),0)),"",INDIRECT(CONCATENATE("Table!",ADDRESS($AI28,MATCH(N$1,INDIRECT("Table!A" &amp; $AM28):INDIRECT("Table!" &amp; $AP$108 &amp; $AM28),0)))))</f>
        <v>1.3927141288168903</v>
      </c>
      <c r="O28" s="596">
        <f ca="1">IF(ISERROR(MATCH(O$1,INDIRECT("Table!A"&amp;$AM28):INDIRECT("Table!" &amp; $AP$86 &amp; $AM28),0)),"",INDIRECT(CONCATENATE("Table!",ADDRESS($AI28,MATCH(O$1,INDIRECT("Table!A" &amp; $AM28):INDIRECT("Table!" &amp; $AP$86 &amp; $AM28),0)))))</f>
        <v>0.66632891199230504</v>
      </c>
      <c r="P28" s="596">
        <f ca="1">IF(ISERROR(MATCH(P$1,INDIRECT("Table!A"&amp;$AM28):INDIRECT("Table!" &amp; $AP$86 &amp; $AM28),0)),"",INDIRECT(CONCATENATE("Table!",ADDRESS($AI28,MATCH(P$1,INDIRECT("Table!A" &amp; $AM28):INDIRECT("Table!" &amp; $AP$86 &amp; $AM28),0)))))</f>
        <v>0.74183344412491503</v>
      </c>
      <c r="Q28" s="596">
        <f ca="1">IF(ISERROR(MATCH(Q$1,INDIRECT("Table!A"&amp;$AM28):INDIRECT("Table!" &amp; $AP$86 &amp; $AM28),0)),"",INDIRECT(CONCATENATE("Table!",ADDRESS($AI28,MATCH(Q$1,INDIRECT("Table!A" &amp; $AM28):INDIRECT("Table!" &amp; $AP$86 &amp; $AM28),0)))))</f>
        <v>0.8050136938975524</v>
      </c>
      <c r="R28" s="596">
        <f ca="1">IF(ISERROR(MATCH(R$1,INDIRECT("Table!A"&amp;$AM28):INDIRECT("Table!" &amp; $AP$86 &amp; $AM28),0)),"",INDIRECT(CONCATENATE("Table!",ADDRESS($AI28,MATCH(R$1,INDIRECT("Table!A" &amp; $AM28):INDIRECT("Table!" &amp; $AP$86 &amp; $AM28),0)))))</f>
        <v>1.3095275324609859</v>
      </c>
      <c r="S28" s="596" t="str">
        <f ca="1">IF(ISERROR(MATCH(S$1,INDIRECT("Table!A"&amp;$AM28):INDIRECT("Table!" &amp; $AP$65 &amp; $AM28),0)),"",INDIRECT(CONCATENATE("Table!",ADDRESS($AI28,MATCH(S$1,INDIRECT("Table!A" &amp; $AM28):INDIRECT("Table!" &amp; $AP$65 &amp; $AM28),0)))))</f>
        <v/>
      </c>
      <c r="T28" s="596">
        <f ca="1">IF(ISERROR(MATCH(T$1,INDIRECT("Table!A"&amp;$AM28):INDIRECT("Table!" &amp; $AP$65 &amp; $AM28),0)),"",INDIRECT(CONCATENATE("Table!",ADDRESS($AI28,MATCH(T$1,INDIRECT("Table!A" &amp; $AM28):INDIRECT("Table!" &amp; $AP$65 &amp; $AM28),0)))))</f>
        <v>1.1238830177845605</v>
      </c>
      <c r="U28" s="596">
        <f ca="1">IF(ISERROR(MATCH(U$1,INDIRECT("Table!A"&amp;$AM28):INDIRECT("Table!" &amp; $AP$65 &amp; $AM28),0)),"",INDIRECT(CONCATENATE("Table!",ADDRESS($AI28,MATCH(U$1,INDIRECT("Table!A" &amp; $AM28):INDIRECT("Table!" &amp; $AP$65 &amp; $AM28),0)))))</f>
        <v>0.6096981403472721</v>
      </c>
      <c r="V28" s="596">
        <f ca="1">IF(ISERROR(MATCH(V$1,INDIRECT("Table!A"&amp;$AM28):INDIRECT("Table!" &amp; $AP$65 &amp; $AM28),0)),"",INDIRECT(CONCATENATE("Table!",ADDRESS($AI28,MATCH(V$1,INDIRECT("Table!A" &amp; $AM28):INDIRECT("Table!" &amp; $AP$65 &amp; $AM28),0)))))</f>
        <v>0.39913869682787068</v>
      </c>
      <c r="W28" s="596">
        <f ca="1">IF(ISERROR(MATCH(W$1,INDIRECT("Table!A"&amp;$AM28):INDIRECT("Table!" &amp; $AP$65 &amp; $AM28),0)),"",INDIRECT(CONCATENATE("Table!",ADDRESS($AI28,MATCH(W$1,INDIRECT("Table!A" &amp; $AM28):INDIRECT("Table!" &amp; $AP$65 &amp; $AM28),0)))))</f>
        <v>0.22500764703292186</v>
      </c>
      <c r="X28" s="596">
        <f ca="1">IF(ISERROR(MATCH(X$1,INDIRECT("Table!A"&amp;$AM28):INDIRECT("Table!" &amp; $AP$65 &amp; $AM28),0)),"",INDIRECT(CONCATENATE("Table!",ADDRESS($AI28,MATCH(X$1,INDIRECT("Table!A" &amp; $AM28):INDIRECT("Table!" &amp; $AP$65 &amp; $AM28),0)))))</f>
        <v>0.1545053019978854</v>
      </c>
      <c r="Y28" s="596">
        <f ca="1">IF(ISERROR(MATCH(Y$1,INDIRECT("Table!A"&amp;$AM28):INDIRECT("Table!" &amp; $AP$65 &amp; $AM28),0)),"",INDIRECT(CONCATENATE("Table!",ADDRESS($AI28,MATCH(Y$1,INDIRECT("Table!A" &amp; $AM28):INDIRECT("Table!" &amp; $AP$65 &amp; $AM28),0)))))</f>
        <v>0.18508693546256477</v>
      </c>
      <c r="Z28" s="596">
        <f ca="1">IF(ISERROR(MATCH(Z$1,INDIRECT("Table!A"&amp;$AM28):INDIRECT("Table!" &amp; $AP$65 &amp; $AM28),0)),"",INDIRECT(CONCATENATE("Table!",ADDRESS($AI28,MATCH(Z$1,INDIRECT("Table!A" &amp; $AM28):INDIRECT("Table!" &amp; $AP$65 &amp; $AM28),0)))))</f>
        <v>0.1791295845037984</v>
      </c>
      <c r="AA28" s="596">
        <f ca="1">IF(ISERROR(MATCH(AA$1,INDIRECT("Table!A"&amp;$AM28):INDIRECT("Table!" &amp; $AP$65 &amp; $AM28),0)),"",INDIRECT(CONCATENATE("Table!",ADDRESS($AI28,MATCH(AA$1,INDIRECT("Table!A" &amp; $AM28):INDIRECT("Table!" &amp; $AP$65 &amp; $AM28),0)))))</f>
        <v>0.10610645168632173</v>
      </c>
      <c r="AB28" s="596" t="str">
        <f ca="1">IF(ISERROR(MATCH(AB$1,INDIRECT("Table!A"&amp;$AM28):INDIRECT("Table!" &amp; $AP$65 &amp; $AM28),0)),"",INDIRECT(CONCATENATE("Table!",ADDRESS($AI28,MATCH(AB$1,INDIRECT("Table!A" &amp; $AM28):INDIRECT("Table!" &amp; $AP$65 &amp; $AM28),0)))))</f>
        <v/>
      </c>
      <c r="AC28" s="596"/>
      <c r="AD28" s="596"/>
      <c r="AE28" s="596"/>
      <c r="AF28" s="596"/>
      <c r="AG28" s="596"/>
      <c r="AH28" s="596"/>
      <c r="AI28" s="595">
        <f>MATCH($A28,Table!$A:$A,0)+$AK$2-1</f>
        <v>376</v>
      </c>
      <c r="AJ28" s="899"/>
      <c r="AK28" s="899"/>
      <c r="AL28" s="899"/>
      <c r="AM28" s="595">
        <f>MATCH($A28,Table!$A:$A,0)+$AO$2-1</f>
        <v>367</v>
      </c>
      <c r="AN28" s="899"/>
      <c r="AO28" s="899"/>
      <c r="AP28" s="973" t="s">
        <v>302</v>
      </c>
    </row>
    <row r="29" spans="1:42" s="743" customFormat="1" ht="19.5" customHeight="1" x14ac:dyDescent="0.25">
      <c r="A29" s="592">
        <v>41794</v>
      </c>
      <c r="B29" s="596">
        <f ca="1">IF(ISERROR(MATCH(B$1,INDIRECT("Table!A"&amp;$AM29):INDIRECT("Table!" &amp; $AP$108 &amp; $AM29),0)),"",INDIRECT(CONCATENATE("Table!",ADDRESS($AI29,MATCH(B$1,INDIRECT("Table!A" &amp; $AM29):INDIRECT("Table!" &amp; $AP$108 &amp; $AM29),0)))))</f>
        <v>0.71757981412568039</v>
      </c>
      <c r="C29" s="596">
        <f ca="1">IF(ISERROR(MATCH(C$1,INDIRECT("Table!A"&amp;$AM29):INDIRECT("Table!" &amp; $AP$108 &amp; $AM29),0)),"",INDIRECT(CONCATENATE("Table!",ADDRESS($AI29,MATCH(C$1,INDIRECT("Table!A" &amp; $AM29):INDIRECT("Table!" &amp; $AP$108 &amp; $AM29),0)))))</f>
        <v>0.66037666252316185</v>
      </c>
      <c r="D29" s="596">
        <f ca="1">IF(ISERROR(MATCH(D$1,INDIRECT("Table!A"&amp;$AM29):INDIRECT("Table!" &amp; $AP$108 &amp; $AM29),0)),"",INDIRECT(CONCATENATE("Table!",ADDRESS($AI29,MATCH(D$1,INDIRECT("Table!A" &amp; $AM29):INDIRECT("Table!" &amp; $AP$108 &amp; $AM29),0)))))</f>
        <v>0.66037666252316185</v>
      </c>
      <c r="E29" s="596">
        <f ca="1">IF(ISERROR(MATCH(E$1,INDIRECT("Table!A"&amp;$AM29):INDIRECT("Table!" &amp; $AP$108 &amp; $AM29),0)),"",INDIRECT(CONCATENATE("Table!",ADDRESS($AI29,MATCH(E$1,INDIRECT("Table!A" &amp; $AM29):INDIRECT("Table!" &amp; $AP$108 &amp; $AM29),0)))))</f>
        <v>1.3938922014870427</v>
      </c>
      <c r="F29" s="596">
        <f ca="1">IF(ISERROR(MATCH(F$1,INDIRECT("Table!A"&amp;$AM29):INDIRECT("Table!" &amp; $AP$108 &amp; $AM29),0)),"",INDIRECT(CONCATENATE("Table!",ADDRESS($AI29,MATCH(F$1,INDIRECT("Table!A" &amp; $AM29):INDIRECT("Table!" &amp; $AP$108 &amp; $AM29),0)))))</f>
        <v>0.68098838300082576</v>
      </c>
      <c r="G29" s="596">
        <f ca="1">IF(ISERROR(MATCH(G$1,INDIRECT("Table!A"&amp;$AM29):INDIRECT("Table!" &amp; $AP$108 &amp; $AM29),0)),"",INDIRECT(CONCATENATE("Table!",ADDRESS($AI29,MATCH(G$1,INDIRECT("Table!A" &amp; $AM29):INDIRECT("Table!" &amp; $AP$108 &amp; $AM29),0)))))</f>
        <v>1.1786515500442869</v>
      </c>
      <c r="H29" s="596">
        <f ca="1">IF(ISERROR(MATCH(H$1,INDIRECT("Table!A"&amp;$AM29):INDIRECT("Table!" &amp; $AP$108 &amp; $AM29),0)),"",INDIRECT(CONCATENATE("Table!",ADDRESS($AI29,MATCH(H$1,INDIRECT("Table!A" &amp; $AM29):INDIRECT("Table!" &amp; $AP$108 &amp; $AM29),0)))))</f>
        <v>1.3602434416530262</v>
      </c>
      <c r="I29" s="596">
        <f ca="1">IF(ISERROR(MATCH(I$1,INDIRECT("Table!A"&amp;$AM29):INDIRECT("Table!" &amp; $AP$86 &amp; $AM29),0)),"",INDIRECT(CONCATENATE("Table!",ADDRESS($AI29,MATCH(I$1,INDIRECT("Table!A" &amp; $AM29):INDIRECT("Table!" &amp; $AP$86 &amp; $AM29),0)))))</f>
        <v>0.27996328833439704</v>
      </c>
      <c r="J29" s="596">
        <f ca="1">IF(ISERROR(MATCH(J$1,INDIRECT("Table!A"&amp;$AM29):INDIRECT("Table!" &amp; $AP$86 &amp; $AM29),0)),"",INDIRECT(CONCATENATE("Table!",ADDRESS($AI29,MATCH(J$1,INDIRECT("Table!A" &amp; $AM29):INDIRECT("Table!" &amp; $AP$86 &amp; $AM29),0)))))</f>
        <v>1.6192529221281866</v>
      </c>
      <c r="K29" s="596">
        <f ca="1">IF(ISERROR(MATCH(K$1,INDIRECT("Table!A"&amp;$AM29):INDIRECT("Table!" &amp; $AP$86 &amp; $AM29),0)),"",INDIRECT(CONCATENATE("Table!",ADDRESS($AI29,MATCH(K$1,INDIRECT("Table!A" &amp; $AM29):INDIRECT("Table!" &amp; $AP$86 &amp; $AM29),0)))))</f>
        <v>0.98952025963175982</v>
      </c>
      <c r="L29" s="596">
        <f ca="1">IF(ISERROR(MATCH(L$1,INDIRECT("Table!A"&amp;$AM29):INDIRECT("Table!" &amp; $AP$108 &amp; $AM29),0)),"",INDIRECT(CONCATENATE("Table!",ADDRESS($AI29,MATCH(L$1,INDIRECT("Table!A" &amp; $AM29):INDIRECT("Table!" &amp; $AP$108 &amp; $AM29),0)))))</f>
        <v>1.2296989417657751</v>
      </c>
      <c r="M29" s="596">
        <f ca="1">IF(ISERROR(MATCH(M$1,INDIRECT("Table!A"&amp;$AM29):INDIRECT("Table!" &amp; $AP$108 &amp; $AM29),0)),"",INDIRECT(CONCATENATE("Table!",ADDRESS($AI29,MATCH(M$1,INDIRECT("Table!A" &amp; $AM29):INDIRECT("Table!" &amp; $AP$108 &amp; $AM29),0)))))</f>
        <v>0.83650063358601467</v>
      </c>
      <c r="N29" s="596">
        <f ca="1">IF(ISERROR(MATCH(N$1,INDIRECT("Table!A"&amp;$AM29):INDIRECT("Table!" &amp; $AP$108 &amp; $AM29),0)),"",INDIRECT(CONCATENATE("Table!",ADDRESS($AI29,MATCH(N$1,INDIRECT("Table!A" &amp; $AM29):INDIRECT("Table!" &amp; $AP$108 &amp; $AM29),0)))))</f>
        <v>1.3927141288168903</v>
      </c>
      <c r="O29" s="596">
        <f ca="1">IF(ISERROR(MATCH(O$1,INDIRECT("Table!A"&amp;$AM29):INDIRECT("Table!" &amp; $AP$86 &amp; $AM29),0)),"",INDIRECT(CONCATENATE("Table!",ADDRESS($AI29,MATCH(O$1,INDIRECT("Table!A" &amp; $AM29):INDIRECT("Table!" &amp; $AP$86 &amp; $AM29),0)))))</f>
        <v>0.66498575310795183</v>
      </c>
      <c r="P29" s="596">
        <f ca="1">IF(ISERROR(MATCH(P$1,INDIRECT("Table!A"&amp;$AM29):INDIRECT("Table!" &amp; $AP$86 &amp; $AM29),0)),"",INDIRECT(CONCATENATE("Table!",ADDRESS($AI29,MATCH(P$1,INDIRECT("Table!A" &amp; $AM29):INDIRECT("Table!" &amp; $AP$86 &amp; $AM29),0)))))</f>
        <v>0.74183344412491503</v>
      </c>
      <c r="Q29" s="596">
        <f ca="1">IF(ISERROR(MATCH(Q$1,INDIRECT("Table!A"&amp;$AM29):INDIRECT("Table!" &amp; $AP$86 &amp; $AM29),0)),"",INDIRECT(CONCATENATE("Table!",ADDRESS($AI29,MATCH(Q$1,INDIRECT("Table!A" &amp; $AM29):INDIRECT("Table!" &amp; $AP$86 &amp; $AM29),0)))))</f>
        <v>0.8050136938975524</v>
      </c>
      <c r="R29" s="596">
        <f ca="1">IF(ISERROR(MATCH(R$1,INDIRECT("Table!A"&amp;$AM29):INDIRECT("Table!" &amp; $AP$86 &amp; $AM29),0)),"",INDIRECT(CONCATENATE("Table!",ADDRESS($AI29,MATCH(R$1,INDIRECT("Table!A" &amp; $AM29):INDIRECT("Table!" &amp; $AP$86 &amp; $AM29),0)))))</f>
        <v>1.3040363027921198</v>
      </c>
      <c r="S29" s="596" t="str">
        <f ca="1">IF(ISERROR(MATCH(S$1,INDIRECT("Table!A"&amp;$AM29):INDIRECT("Table!" &amp; $AP$65 &amp; $AM29),0)),"",INDIRECT(CONCATENATE("Table!",ADDRESS($AI29,MATCH(S$1,INDIRECT("Table!A" &amp; $AM29):INDIRECT("Table!" &amp; $AP$65 &amp; $AM29),0)))))</f>
        <v/>
      </c>
      <c r="T29" s="596">
        <f ca="1">IF(ISERROR(MATCH(T$1,INDIRECT("Table!A"&amp;$AM29):INDIRECT("Table!" &amp; $AP$65 &amp; $AM29),0)),"",INDIRECT(CONCATENATE("Table!",ADDRESS($AI29,MATCH(T$1,INDIRECT("Table!A" &amp; $AM29):INDIRECT("Table!" &amp; $AP$65 &amp; $AM29),0)))))</f>
        <v>1.1238830177845605</v>
      </c>
      <c r="U29" s="596">
        <f ca="1">IF(ISERROR(MATCH(U$1,INDIRECT("Table!A"&amp;$AM29):INDIRECT("Table!" &amp; $AP$65 &amp; $AM29),0)),"",INDIRECT(CONCATENATE("Table!",ADDRESS($AI29,MATCH(U$1,INDIRECT("Table!A" &amp; $AM29):INDIRECT("Table!" &amp; $AP$65 &amp; $AM29),0)))))</f>
        <v>0.6096981403472721</v>
      </c>
      <c r="V29" s="596">
        <f ca="1">IF(ISERROR(MATCH(V$1,INDIRECT("Table!A"&amp;$AM29):INDIRECT("Table!" &amp; $AP$65 &amp; $AM29),0)),"",INDIRECT(CONCATENATE("Table!",ADDRESS($AI29,MATCH(V$1,INDIRECT("Table!A" &amp; $AM29):INDIRECT("Table!" &amp; $AP$65 &amp; $AM29),0)))))</f>
        <v>0.39913869682787068</v>
      </c>
      <c r="W29" s="596">
        <f ca="1">IF(ISERROR(MATCH(W$1,INDIRECT("Table!A"&amp;$AM29):INDIRECT("Table!" &amp; $AP$65 &amp; $AM29),0)),"",INDIRECT(CONCATENATE("Table!",ADDRESS($AI29,MATCH(W$1,INDIRECT("Table!A" &amp; $AM29):INDIRECT("Table!" &amp; $AP$65 &amp; $AM29),0)))))</f>
        <v>0.21906902878278611</v>
      </c>
      <c r="X29" s="596">
        <f ca="1">IF(ISERROR(MATCH(X$1,INDIRECT("Table!A"&amp;$AM29):INDIRECT("Table!" &amp; $AP$65 &amp; $AM29),0)),"",INDIRECT(CONCATENATE("Table!",ADDRESS($AI29,MATCH(X$1,INDIRECT("Table!A" &amp; $AM29):INDIRECT("Table!" &amp; $AP$65 &amp; $AM29),0)))))</f>
        <v>0.15160832758542503</v>
      </c>
      <c r="Y29" s="596">
        <f ca="1">IF(ISERROR(MATCH(Y$1,INDIRECT("Table!A"&amp;$AM29):INDIRECT("Table!" &amp; $AP$65 &amp; $AM29),0)),"",INDIRECT(CONCATENATE("Table!",ADDRESS($AI29,MATCH(Y$1,INDIRECT("Table!A" &amp; $AM29):INDIRECT("Table!" &amp; $AP$65 &amp; $AM29),0)))))</f>
        <v>0.1547339977396486</v>
      </c>
      <c r="Z29" s="596">
        <f ca="1">IF(ISERROR(MATCH(Z$1,INDIRECT("Table!A"&amp;$AM29):INDIRECT("Table!" &amp; $AP$65 &amp; $AM29),0)),"",INDIRECT(CONCATENATE("Table!",ADDRESS($AI29,MATCH(Z$1,INDIRECT("Table!A" &amp; $AM29):INDIRECT("Table!" &amp; $AP$65 &amp; $AM29),0)))))</f>
        <v>0.15015984037919489</v>
      </c>
      <c r="AA29" s="596">
        <f ca="1">IF(ISERROR(MATCH(AA$1,INDIRECT("Table!A"&amp;$AM29):INDIRECT("Table!" &amp; $AP$65 &amp; $AM29),0)),"",INDIRECT(CONCATENATE("Table!",ADDRESS($AI29,MATCH(AA$1,INDIRECT("Table!A" &amp; $AM29):INDIRECT("Table!" &amp; $AP$65 &amp; $AM29),0)))))</f>
        <v>8.6331396712793065E-2</v>
      </c>
      <c r="AB29" s="596" t="str">
        <f ca="1">IF(ISERROR(MATCH(AB$1,INDIRECT("Table!A"&amp;$AM29):INDIRECT("Table!" &amp; $AP$65 &amp; $AM29),0)),"",INDIRECT(CONCATENATE("Table!",ADDRESS($AI29,MATCH(AB$1,INDIRECT("Table!A" &amp; $AM29):INDIRECT("Table!" &amp; $AP$65 &amp; $AM29),0)))))</f>
        <v/>
      </c>
      <c r="AC29" s="596"/>
      <c r="AD29" s="596"/>
      <c r="AE29" s="596"/>
      <c r="AF29" s="596"/>
      <c r="AG29" s="596"/>
      <c r="AH29" s="596"/>
      <c r="AI29" s="595">
        <f>MATCH($A29,Table!$A:$A,0)+$AK$2-1</f>
        <v>390</v>
      </c>
      <c r="AJ29" s="896"/>
      <c r="AK29" s="896"/>
      <c r="AL29" s="896"/>
      <c r="AM29" s="595">
        <f>MATCH($A29,Table!$A:$A,0)+$AO$2-1</f>
        <v>381</v>
      </c>
      <c r="AN29" s="896"/>
      <c r="AO29" s="896"/>
      <c r="AP29" s="973" t="s">
        <v>302</v>
      </c>
    </row>
    <row r="30" spans="1:42" s="743" customFormat="1" ht="19.5" customHeight="1" x14ac:dyDescent="0.25">
      <c r="A30" s="592">
        <v>41787</v>
      </c>
      <c r="B30" s="596">
        <f ca="1">IF(ISERROR(MATCH(B$1,INDIRECT("Table!A"&amp;$AM30):INDIRECT("Table!" &amp; $AP$108 &amp; $AM30),0)),"",INDIRECT(CONCATENATE("Table!",ADDRESS($AI30,MATCH(B$1,INDIRECT("Table!A" &amp; $AM30):INDIRECT("Table!" &amp; $AP$108 &amp; $AM30),0)))))</f>
        <v>0.72351356940129208</v>
      </c>
      <c r="C30" s="596">
        <f ca="1">IF(ISERROR(MATCH(C$1,INDIRECT("Table!A"&amp;$AM30):INDIRECT("Table!" &amp; $AP$108 &amp; $AM30),0)),"",INDIRECT(CONCATENATE("Table!",ADDRESS($AI30,MATCH(C$1,INDIRECT("Table!A" &amp; $AM30):INDIRECT("Table!" &amp; $AP$108 &amp; $AM30),0)))))</f>
        <v>0.66037666252316185</v>
      </c>
      <c r="D30" s="596">
        <f ca="1">IF(ISERROR(MATCH(D$1,INDIRECT("Table!A"&amp;$AM30):INDIRECT("Table!" &amp; $AP$108 &amp; $AM30),0)),"",INDIRECT(CONCATENATE("Table!",ADDRESS($AI30,MATCH(D$1,INDIRECT("Table!A" &amp; $AM30):INDIRECT("Table!" &amp; $AP$108 &amp; $AM30),0)))))</f>
        <v>0.66037666252316185</v>
      </c>
      <c r="E30" s="596">
        <f ca="1">IF(ISERROR(MATCH(E$1,INDIRECT("Table!A"&amp;$AM30):INDIRECT("Table!" &amp; $AP$108 &amp; $AM30),0)),"",INDIRECT(CONCATENATE("Table!",ADDRESS($AI30,MATCH(E$1,INDIRECT("Table!A" &amp; $AM30):INDIRECT("Table!" &amp; $AP$108 &amp; $AM30),0)))))</f>
        <v>1.3938922014870427</v>
      </c>
      <c r="F30" s="596">
        <f ca="1">IF(ISERROR(MATCH(F$1,INDIRECT("Table!A"&amp;$AM30):INDIRECT("Table!" &amp; $AP$108 &amp; $AM30),0)),"",INDIRECT(CONCATENATE("Table!",ADDRESS($AI30,MATCH(F$1,INDIRECT("Table!A" &amp; $AM30):INDIRECT("Table!" &amp; $AP$108 &amp; $AM30),0)))))</f>
        <v>0.68098838300082576</v>
      </c>
      <c r="G30" s="596">
        <f ca="1">IF(ISERROR(MATCH(G$1,INDIRECT("Table!A"&amp;$AM30):INDIRECT("Table!" &amp; $AP$108 &amp; $AM30),0)),"",INDIRECT(CONCATENATE("Table!",ADDRESS($AI30,MATCH(G$1,INDIRECT("Table!A" &amp; $AM30):INDIRECT("Table!" &amp; $AP$108 &amp; $AM30),0)))))</f>
        <v>1.1786515500442869</v>
      </c>
      <c r="H30" s="596">
        <f ca="1">IF(ISERROR(MATCH(H$1,INDIRECT("Table!A"&amp;$AM30):INDIRECT("Table!" &amp; $AP$108 &amp; $AM30),0)),"",INDIRECT(CONCATENATE("Table!",ADDRESS($AI30,MATCH(H$1,INDIRECT("Table!A" &amp; $AM30):INDIRECT("Table!" &amp; $AP$108 &amp; $AM30),0)))))</f>
        <v>1.3761240583687793</v>
      </c>
      <c r="I30" s="596">
        <f ca="1">IF(ISERROR(MATCH(I$1,INDIRECT("Table!A"&amp;$AM30):INDIRECT("Table!" &amp; $AP$86 &amp; $AM30),0)),"",INDIRECT(CONCATENATE("Table!",ADDRESS($AI30,MATCH(I$1,INDIRECT("Table!A" &amp; $AM30):INDIRECT("Table!" &amp; $AP$86 &amp; $AM30),0)))))</f>
        <v>0.27996328833439704</v>
      </c>
      <c r="J30" s="596">
        <f ca="1">IF(ISERROR(MATCH(J$1,INDIRECT("Table!A"&amp;$AM30):INDIRECT("Table!" &amp; $AP$86 &amp; $AM30),0)),"",INDIRECT(CONCATENATE("Table!",ADDRESS($AI30,MATCH(J$1,INDIRECT("Table!A" &amp; $AM30):INDIRECT("Table!" &amp; $AP$86 &amp; $AM30),0)))))</f>
        <v>1.6149030150170296</v>
      </c>
      <c r="K30" s="596">
        <f ca="1">IF(ISERROR(MATCH(K$1,INDIRECT("Table!A"&amp;$AM30):INDIRECT("Table!" &amp; $AP$86 &amp; $AM30),0)),"",INDIRECT(CONCATENATE("Table!",ADDRESS($AI30,MATCH(K$1,INDIRECT("Table!A" &amp; $AM30):INDIRECT("Table!" &amp; $AP$86 &amp; $AM30),0)))))</f>
        <v>0.90164315628246727</v>
      </c>
      <c r="L30" s="596">
        <f ca="1">IF(ISERROR(MATCH(L$1,INDIRECT("Table!A"&amp;$AM30):INDIRECT("Table!" &amp; $AP$108 &amp; $AM30),0)),"",INDIRECT(CONCATENATE("Table!",ADDRESS($AI30,MATCH(L$1,INDIRECT("Table!A" &amp; $AM30):INDIRECT("Table!" &amp; $AP$108 &amp; $AM30),0)))))</f>
        <v>1.2522317774884717</v>
      </c>
      <c r="M30" s="596">
        <f ca="1">IF(ISERROR(MATCH(M$1,INDIRECT("Table!A"&amp;$AM30):INDIRECT("Table!" &amp; $AP$108 &amp; $AM30),0)),"",INDIRECT(CONCATENATE("Table!",ADDRESS($AI30,MATCH(M$1,INDIRECT("Table!A" &amp; $AM30):INDIRECT("Table!" &amp; $AP$108 &amp; $AM30),0)))))</f>
        <v>0.83650063358601467</v>
      </c>
      <c r="N30" s="596">
        <f ca="1">IF(ISERROR(MATCH(N$1,INDIRECT("Table!A"&amp;$AM30):INDIRECT("Table!" &amp; $AP$108 &amp; $AM30),0)),"",INDIRECT(CONCATENATE("Table!",ADDRESS($AI30,MATCH(N$1,INDIRECT("Table!A" &amp; $AM30):INDIRECT("Table!" &amp; $AP$108 &amp; $AM30),0)))))</f>
        <v>1.3927141288168903</v>
      </c>
      <c r="O30" s="596">
        <f ca="1">IF(ISERROR(MATCH(O$1,INDIRECT("Table!A"&amp;$AM30):INDIRECT("Table!" &amp; $AP$86 &amp; $AM30),0)),"",INDIRECT(CONCATENATE("Table!",ADDRESS($AI30,MATCH(O$1,INDIRECT("Table!A" &amp; $AM30):INDIRECT("Table!" &amp; $AP$86 &amp; $AM30),0)))))</f>
        <v>0.68232471325142019</v>
      </c>
      <c r="P30" s="596">
        <f ca="1">IF(ISERROR(MATCH(P$1,INDIRECT("Table!A"&amp;$AM30):INDIRECT("Table!" &amp; $AP$86 &amp; $AM30),0)),"",INDIRECT(CONCATENATE("Table!",ADDRESS($AI30,MATCH(P$1,INDIRECT("Table!A" &amp; $AM30):INDIRECT("Table!" &amp; $AP$86 &amp; $AM30),0)))))</f>
        <v>0.74183344412491503</v>
      </c>
      <c r="Q30" s="596">
        <f ca="1">IF(ISERROR(MATCH(Q$1,INDIRECT("Table!A"&amp;$AM30):INDIRECT("Table!" &amp; $AP$86 &amp; $AM30),0)),"",INDIRECT(CONCATENATE("Table!",ADDRESS($AI30,MATCH(Q$1,INDIRECT("Table!A" &amp; $AM30):INDIRECT("Table!" &amp; $AP$86 &amp; $AM30),0)))))</f>
        <v>0.7993829970222035</v>
      </c>
      <c r="R30" s="596">
        <f ca="1">IF(ISERROR(MATCH(R$1,INDIRECT("Table!A"&amp;$AM30):INDIRECT("Table!" &amp; $AP$86 &amp; $AM30),0)),"",INDIRECT(CONCATENATE("Table!",ADDRESS($AI30,MATCH(R$1,INDIRECT("Table!A" &amp; $AM30):INDIRECT("Table!" &amp; $AP$86 &amp; $AM30),0)))))</f>
        <v>1.2840325375698225</v>
      </c>
      <c r="S30" s="596" t="str">
        <f ca="1">IF(ISERROR(MATCH(S$1,INDIRECT("Table!A"&amp;$AM30):INDIRECT("Table!" &amp; $AP$65 &amp; $AM30),0)),"",INDIRECT(CONCATENATE("Table!",ADDRESS($AI30,MATCH(S$1,INDIRECT("Table!A" &amp; $AM30):INDIRECT("Table!" &amp; $AP$65 &amp; $AM30),0)))))</f>
        <v/>
      </c>
      <c r="T30" s="596">
        <f ca="1">IF(ISERROR(MATCH(T$1,INDIRECT("Table!A"&amp;$AM30):INDIRECT("Table!" &amp; $AP$65 &amp; $AM30),0)),"",INDIRECT(CONCATENATE("Table!",ADDRESS($AI30,MATCH(T$1,INDIRECT("Table!A" &amp; $AM30):INDIRECT("Table!" &amp; $AP$65 &amp; $AM30),0)))))</f>
        <v>1.1238830177845605</v>
      </c>
      <c r="U30" s="596">
        <f ca="1">IF(ISERROR(MATCH(U$1,INDIRECT("Table!A"&amp;$AM30):INDIRECT("Table!" &amp; $AP$65 &amp; $AM30),0)),"",INDIRECT(CONCATENATE("Table!",ADDRESS($AI30,MATCH(U$1,INDIRECT("Table!A" &amp; $AM30):INDIRECT("Table!" &amp; $AP$65 &amp; $AM30),0)))))</f>
        <v>0.6096981403472721</v>
      </c>
      <c r="V30" s="596">
        <f ca="1">IF(ISERROR(MATCH(V$1,INDIRECT("Table!A"&amp;$AM30):INDIRECT("Table!" &amp; $AP$65 &amp; $AM30),0)),"",INDIRECT(CONCATENATE("Table!",ADDRESS($AI30,MATCH(V$1,INDIRECT("Table!A" &amp; $AM30):INDIRECT("Table!" &amp; $AP$65 &amp; $AM30),0)))))</f>
        <v>0.39913869682787068</v>
      </c>
      <c r="W30" s="596">
        <f ca="1">IF(ISERROR(MATCH(W$1,INDIRECT("Table!A"&amp;$AM30):INDIRECT("Table!" &amp; $AP$65 &amp; $AM30),0)),"",INDIRECT(CONCATENATE("Table!",ADDRESS($AI30,MATCH(W$1,INDIRECT("Table!A" &amp; $AM30):INDIRECT("Table!" &amp; $AP$65 &amp; $AM30),0)))))</f>
        <v>0.21906902878278611</v>
      </c>
      <c r="X30" s="596">
        <f ca="1">IF(ISERROR(MATCH(X$1,INDIRECT("Table!A"&amp;$AM30):INDIRECT("Table!" &amp; $AP$65 &amp; $AM30),0)),"",INDIRECT(CONCATENATE("Table!",ADDRESS($AI30,MATCH(X$1,INDIRECT("Table!A" &amp; $AM30):INDIRECT("Table!" &amp; $AP$65 &amp; $AM30),0)))))</f>
        <v>0.15160832758542503</v>
      </c>
      <c r="Y30" s="596">
        <f ca="1">IF(ISERROR(MATCH(Y$1,INDIRECT("Table!A"&amp;$AM30):INDIRECT("Table!" &amp; $AP$65 &amp; $AM30),0)),"",INDIRECT(CONCATENATE("Table!",ADDRESS($AI30,MATCH(Y$1,INDIRECT("Table!A" &amp; $AM30):INDIRECT("Table!" &amp; $AP$65 &amp; $AM30),0)))))</f>
        <v>0.1547339977396486</v>
      </c>
      <c r="Z30" s="596">
        <f ca="1">IF(ISERROR(MATCH(Z$1,INDIRECT("Table!A"&amp;$AM30):INDIRECT("Table!" &amp; $AP$65 &amp; $AM30),0)),"",INDIRECT(CONCATENATE("Table!",ADDRESS($AI30,MATCH(Z$1,INDIRECT("Table!A" &amp; $AM30):INDIRECT("Table!" &amp; $AP$65 &amp; $AM30),0)))))</f>
        <v>0.15015984037919489</v>
      </c>
      <c r="AA30" s="596">
        <f ca="1">IF(ISERROR(MATCH(AA$1,INDIRECT("Table!A"&amp;$AM30):INDIRECT("Table!" &amp; $AP$65 &amp; $AM30),0)),"",INDIRECT(CONCATENATE("Table!",ADDRESS($AI30,MATCH(AA$1,INDIRECT("Table!A" &amp; $AM30):INDIRECT("Table!" &amp; $AP$65 &amp; $AM30),0)))))</f>
        <v>2.9367432386061234E-2</v>
      </c>
      <c r="AB30" s="596" t="str">
        <f ca="1">IF(ISERROR(MATCH(AB$1,INDIRECT("Table!A"&amp;$AM30):INDIRECT("Table!" &amp; $AP$65 &amp; $AM30),0)),"",INDIRECT(CONCATENATE("Table!",ADDRESS($AI30,MATCH(AB$1,INDIRECT("Table!A" &amp; $AM30):INDIRECT("Table!" &amp; $AP$65 &amp; $AM30),0)))))</f>
        <v/>
      </c>
      <c r="AC30" s="596"/>
      <c r="AD30" s="596"/>
      <c r="AE30" s="596"/>
      <c r="AF30" s="596"/>
      <c r="AG30" s="596"/>
      <c r="AH30" s="596"/>
      <c r="AI30" s="595">
        <f>MATCH($A30,Table!$A:$A,0)+$AK$2-1</f>
        <v>404</v>
      </c>
      <c r="AJ30" s="893"/>
      <c r="AK30" s="893"/>
      <c r="AL30" s="893"/>
      <c r="AM30" s="595">
        <f>MATCH($A30,Table!$A:$A,0)+$AO$2-1</f>
        <v>395</v>
      </c>
      <c r="AN30" s="893"/>
      <c r="AO30" s="893"/>
      <c r="AP30" s="973" t="s">
        <v>302</v>
      </c>
    </row>
    <row r="31" spans="1:42" s="743" customFormat="1" ht="19.5" customHeight="1" x14ac:dyDescent="0.25">
      <c r="A31" s="592">
        <v>41780</v>
      </c>
      <c r="B31" s="596">
        <f ca="1">IF(ISERROR(MATCH(B$1,INDIRECT("Table!A"&amp;$AM31):INDIRECT("Table!" &amp; $AP$108 &amp; $AM31),0)),"",INDIRECT(CONCATENATE("Table!",ADDRESS($AI31,MATCH(B$1,INDIRECT("Table!A" &amp; $AM31):INDIRECT("Table!" &amp; $AP$108 &amp; $AM31),0)))))</f>
        <v>0.72782902778355518</v>
      </c>
      <c r="C31" s="596">
        <f ca="1">IF(ISERROR(MATCH(C$1,INDIRECT("Table!A"&amp;$AM31):INDIRECT("Table!" &amp; $AP$108 &amp; $AM31),0)),"",INDIRECT(CONCATENATE("Table!",ADDRESS($AI31,MATCH(C$1,INDIRECT("Table!A" &amp; $AM31):INDIRECT("Table!" &amp; $AP$108 &amp; $AM31),0)))))</f>
        <v>0.66776893859618225</v>
      </c>
      <c r="D31" s="596">
        <f ca="1">IF(ISERROR(MATCH(D$1,INDIRECT("Table!A"&amp;$AM31):INDIRECT("Table!" &amp; $AP$108 &amp; $AM31),0)),"",INDIRECT(CONCATENATE("Table!",ADDRESS($AI31,MATCH(D$1,INDIRECT("Table!A" &amp; $AM31):INDIRECT("Table!" &amp; $AP$108 &amp; $AM31),0)))))</f>
        <v>0.67359315610825898</v>
      </c>
      <c r="E31" s="596">
        <f ca="1">IF(ISERROR(MATCH(E$1,INDIRECT("Table!A"&amp;$AM31):INDIRECT("Table!" &amp; $AP$108 &amp; $AM31),0)),"",INDIRECT(CONCATENATE("Table!",ADDRESS($AI31,MATCH(E$1,INDIRECT("Table!A" &amp; $AM31):INDIRECT("Table!" &amp; $AP$108 &amp; $AM31),0)))))</f>
        <v>1.4266831264821527</v>
      </c>
      <c r="F31" s="596">
        <f ca="1">IF(ISERROR(MATCH(F$1,INDIRECT("Table!A"&amp;$AM31):INDIRECT("Table!" &amp; $AP$108 &amp; $AM31),0)),"",INDIRECT(CONCATENATE("Table!",ADDRESS($AI31,MATCH(F$1,INDIRECT("Table!A" &amp; $AM31):INDIRECT("Table!" &amp; $AP$108 &amp; $AM31),0)))))</f>
        <v>0.68261559538553507</v>
      </c>
      <c r="G31" s="596">
        <f ca="1">IF(ISERROR(MATCH(G$1,INDIRECT("Table!A"&amp;$AM31):INDIRECT("Table!" &amp; $AP$108 &amp; $AM31),0)),"",INDIRECT(CONCATENATE("Table!",ADDRESS($AI31,MATCH(G$1,INDIRECT("Table!A" &amp; $AM31):INDIRECT("Table!" &amp; $AP$108 &amp; $AM31),0)))))</f>
        <v>1.1785649863288019</v>
      </c>
      <c r="H31" s="596">
        <f ca="1">IF(ISERROR(MATCH(H$1,INDIRECT("Table!A"&amp;$AM31):INDIRECT("Table!" &amp; $AP$108 &amp; $AM31),0)),"",INDIRECT(CONCATENATE("Table!",ADDRESS($AI31,MATCH(H$1,INDIRECT("Table!A" &amp; $AM31):INDIRECT("Table!" &amp; $AP$108 &amp; $AM31),0)))))</f>
        <v>1.3906322761090968</v>
      </c>
      <c r="I31" s="596">
        <f ca="1">IF(ISERROR(MATCH(I$1,INDIRECT("Table!A"&amp;$AM31):INDIRECT("Table!" &amp; $AP$86 &amp; $AM31),0)),"",INDIRECT(CONCATENATE("Table!",ADDRESS($AI31,MATCH(I$1,INDIRECT("Table!A" &amp; $AM31):INDIRECT("Table!" &amp; $AP$86 &amp; $AM31),0)))))</f>
        <v>0.27996328833439704</v>
      </c>
      <c r="J31" s="596">
        <f ca="1">IF(ISERROR(MATCH(J$1,INDIRECT("Table!A"&amp;$AM31):INDIRECT("Table!" &amp; $AP$86 &amp; $AM31),0)),"",INDIRECT(CONCATENATE("Table!",ADDRESS($AI31,MATCH(J$1,INDIRECT("Table!A" &amp; $AM31):INDIRECT("Table!" &amp; $AP$86 &amp; $AM31),0)))))</f>
        <v>1.589891049127877</v>
      </c>
      <c r="K31" s="596">
        <f ca="1">IF(ISERROR(MATCH(K$1,INDIRECT("Table!A"&amp;$AM31):INDIRECT("Table!" &amp; $AP$86 &amp; $AM31),0)),"",INDIRECT(CONCATENATE("Table!",ADDRESS($AI31,MATCH(K$1,INDIRECT("Table!A" &amp; $AM31):INDIRECT("Table!" &amp; $AP$86 &amp; $AM31),0)))))</f>
        <v>0.85003040551396147</v>
      </c>
      <c r="L31" s="596">
        <f ca="1">IF(ISERROR(MATCH(L$1,INDIRECT("Table!A"&amp;$AM31):INDIRECT("Table!" &amp; $AP$108 &amp; $AM31),0)),"",INDIRECT(CONCATENATE("Table!",ADDRESS($AI31,MATCH(L$1,INDIRECT("Table!A" &amp; $AM31):INDIRECT("Table!" &amp; $AP$108 &amp; $AM31),0)))))</f>
        <v>1.3289132882036956</v>
      </c>
      <c r="M31" s="596">
        <f ca="1">IF(ISERROR(MATCH(M$1,INDIRECT("Table!A"&amp;$AM31):INDIRECT("Table!" &amp; $AP$108 &amp; $AM31),0)),"",INDIRECT(CONCATENATE("Table!",ADDRESS($AI31,MATCH(M$1,INDIRECT("Table!A" &amp; $AM31):INDIRECT("Table!" &amp; $AP$108 &amp; $AM31),0)))))</f>
        <v>0.83650063358601467</v>
      </c>
      <c r="N31" s="596">
        <f ca="1">IF(ISERROR(MATCH(N$1,INDIRECT("Table!A"&amp;$AM31):INDIRECT("Table!" &amp; $AP$108 &amp; $AM31),0)),"",INDIRECT(CONCATENATE("Table!",ADDRESS($AI31,MATCH(N$1,INDIRECT("Table!A" &amp; $AM31):INDIRECT("Table!" &amp; $AP$108 &amp; $AM31),0)))))</f>
        <v>1.3927141288168903</v>
      </c>
      <c r="O31" s="596">
        <f ca="1">IF(ISERROR(MATCH(O$1,INDIRECT("Table!A"&amp;$AM31):INDIRECT("Table!" &amp; $AP$86 &amp; $AM31),0)),"",INDIRECT(CONCATENATE("Table!",ADDRESS($AI31,MATCH(O$1,INDIRECT("Table!A" &amp; $AM31):INDIRECT("Table!" &amp; $AP$86 &amp; $AM31),0)))))</f>
        <v>0.68232471325142019</v>
      </c>
      <c r="P31" s="596">
        <f ca="1">IF(ISERROR(MATCH(P$1,INDIRECT("Table!A"&amp;$AM31):INDIRECT("Table!" &amp; $AP$86 &amp; $AM31),0)),"",INDIRECT(CONCATENATE("Table!",ADDRESS($AI31,MATCH(P$1,INDIRECT("Table!A" &amp; $AM31):INDIRECT("Table!" &amp; $AP$86 &amp; $AM31),0)))))</f>
        <v>0.74183344412491503</v>
      </c>
      <c r="Q31" s="596">
        <f ca="1">IF(ISERROR(MATCH(Q$1,INDIRECT("Table!A"&amp;$AM31):INDIRECT("Table!" &amp; $AP$86 &amp; $AM31),0)),"",INDIRECT(CONCATENATE("Table!",ADDRESS($AI31,MATCH(Q$1,INDIRECT("Table!A" &amp; $AM31):INDIRECT("Table!" &amp; $AP$86 &amp; $AM31),0)))))</f>
        <v>0.78319474350557505</v>
      </c>
      <c r="R31" s="596">
        <f ca="1">IF(ISERROR(MATCH(R$1,INDIRECT("Table!A"&amp;$AM31):INDIRECT("Table!" &amp; $AP$86 &amp; $AM31),0)),"",INDIRECT(CONCATENATE("Table!",ADDRESS($AI31,MATCH(R$1,INDIRECT("Table!A" &amp; $AM31):INDIRECT("Table!" &amp; $AP$86 &amp; $AM31),0)))))</f>
        <v>1.2624598495849919</v>
      </c>
      <c r="S31" s="596" t="str">
        <f ca="1">IF(ISERROR(MATCH(S$1,INDIRECT("Table!A"&amp;$AM31):INDIRECT("Table!" &amp; $AP$65 &amp; $AM31),0)),"",INDIRECT(CONCATENATE("Table!",ADDRESS($AI31,MATCH(S$1,INDIRECT("Table!A" &amp; $AM31):INDIRECT("Table!" &amp; $AP$65 &amp; $AM31),0)))))</f>
        <v/>
      </c>
      <c r="T31" s="596">
        <f ca="1">IF(ISERROR(MATCH(T$1,INDIRECT("Table!A"&amp;$AM31):INDIRECT("Table!" &amp; $AP$65 &amp; $AM31),0)),"",INDIRECT(CONCATENATE("Table!",ADDRESS($AI31,MATCH(T$1,INDIRECT("Table!A" &amp; $AM31):INDIRECT("Table!" &amp; $AP$65 &amp; $AM31),0)))))</f>
        <v>1.1238830177845605</v>
      </c>
      <c r="U31" s="596">
        <f ca="1">IF(ISERROR(MATCH(U$1,INDIRECT("Table!A"&amp;$AM31):INDIRECT("Table!" &amp; $AP$65 &amp; $AM31),0)),"",INDIRECT(CONCATENATE("Table!",ADDRESS($AI31,MATCH(U$1,INDIRECT("Table!A" &amp; $AM31):INDIRECT("Table!" &amp; $AP$65 &amp; $AM31),0)))))</f>
        <v>0.6096981403472721</v>
      </c>
      <c r="V31" s="596">
        <f ca="1">IF(ISERROR(MATCH(V$1,INDIRECT("Table!A"&amp;$AM31):INDIRECT("Table!" &amp; $AP$65 &amp; $AM31),0)),"",INDIRECT(CONCATENATE("Table!",ADDRESS($AI31,MATCH(V$1,INDIRECT("Table!A" &amp; $AM31):INDIRECT("Table!" &amp; $AP$65 &amp; $AM31),0)))))</f>
        <v>0.39913869682787068</v>
      </c>
      <c r="W31" s="596">
        <f ca="1">IF(ISERROR(MATCH(W$1,INDIRECT("Table!A"&amp;$AM31):INDIRECT("Table!" &amp; $AP$65 &amp; $AM31),0)),"",INDIRECT(CONCATENATE("Table!",ADDRESS($AI31,MATCH(W$1,INDIRECT("Table!A" &amp; $AM31):INDIRECT("Table!" &amp; $AP$65 &amp; $AM31),0)))))</f>
        <v>0.16595138776768284</v>
      </c>
      <c r="X31" s="596">
        <f ca="1">IF(ISERROR(MATCH(X$1,INDIRECT("Table!A"&amp;$AM31):INDIRECT("Table!" &amp; $AP$65 &amp; $AM31),0)),"",INDIRECT(CONCATENATE("Table!",ADDRESS($AI31,MATCH(X$1,INDIRECT("Table!A" &amp; $AM31):INDIRECT("Table!" &amp; $AP$65 &amp; $AM31),0)))))</f>
        <v>0.11169445790263799</v>
      </c>
      <c r="Y31" s="596">
        <f ca="1">IF(ISERROR(MATCH(Y$1,INDIRECT("Table!A"&amp;$AM31):INDIRECT("Table!" &amp; $AP$65 &amp; $AM31),0)),"",INDIRECT(CONCATENATE("Table!",ADDRESS($AI31,MATCH(Y$1,INDIRECT("Table!A" &amp; $AM31):INDIRECT("Table!" &amp; $AP$65 &amp; $AM31),0)))))</f>
        <v>0.1547339977396486</v>
      </c>
      <c r="Z31" s="596">
        <f ca="1">IF(ISERROR(MATCH(Z$1,INDIRECT("Table!A"&amp;$AM31):INDIRECT("Table!" &amp; $AP$65 &amp; $AM31),0)),"",INDIRECT(CONCATENATE("Table!",ADDRESS($AI31,MATCH(Z$1,INDIRECT("Table!A" &amp; $AM31):INDIRECT("Table!" &amp; $AP$65 &amp; $AM31),0)))))</f>
        <v>0.15015984037919489</v>
      </c>
      <c r="AA31" s="596">
        <f ca="1">IF(ISERROR(MATCH(AA$1,INDIRECT("Table!A"&amp;$AM31):INDIRECT("Table!" &amp; $AP$65 &amp; $AM31),0)),"",INDIRECT(CONCATENATE("Table!",ADDRESS($AI31,MATCH(AA$1,INDIRECT("Table!A" &amp; $AM31):INDIRECT("Table!" &amp; $AP$65 &amp; $AM31),0)))))</f>
        <v>-1.4757503711588558E-4</v>
      </c>
      <c r="AB31" s="596" t="str">
        <f ca="1">IF(ISERROR(MATCH(AB$1,INDIRECT("Table!A"&amp;$AM31):INDIRECT("Table!" &amp; $AP$65 &amp; $AM31),0)),"",INDIRECT(CONCATENATE("Table!",ADDRESS($AI31,MATCH(AB$1,INDIRECT("Table!A" &amp; $AM31):INDIRECT("Table!" &amp; $AP$65 &amp; $AM31),0)))))</f>
        <v/>
      </c>
      <c r="AC31" s="596"/>
      <c r="AD31" s="596"/>
      <c r="AE31" s="596"/>
      <c r="AF31" s="596"/>
      <c r="AG31" s="596"/>
      <c r="AH31" s="596"/>
      <c r="AI31" s="595">
        <f>MATCH($A31,Table!$A:$A,0)+$AK$2-1</f>
        <v>418</v>
      </c>
      <c r="AJ31" s="893"/>
      <c r="AK31" s="893"/>
      <c r="AL31" s="893"/>
      <c r="AM31" s="595">
        <f>MATCH($A31,Table!$A:$A,0)+$AO$2-1</f>
        <v>409</v>
      </c>
      <c r="AN31" s="893"/>
      <c r="AO31" s="893"/>
      <c r="AP31" s="973" t="s">
        <v>302</v>
      </c>
    </row>
    <row r="32" spans="1:42" s="743" customFormat="1" ht="19.5" customHeight="1" x14ac:dyDescent="0.25">
      <c r="A32" s="592">
        <v>41773</v>
      </c>
      <c r="B32" s="596">
        <f ca="1">IF(ISERROR(MATCH(B$1,INDIRECT("Table!A"&amp;$AM32):INDIRECT("Table!" &amp; $AP$108 &amp; $AM32),0)),"",INDIRECT(CONCATENATE("Table!",ADDRESS($AI32,MATCH(B$1,INDIRECT("Table!A" &amp; $AM32):INDIRECT("Table!" &amp; $AP$108 &amp; $AM32),0)))))</f>
        <v>0.72782902778355518</v>
      </c>
      <c r="C32" s="596">
        <f ca="1">IF(ISERROR(MATCH(C$1,INDIRECT("Table!A"&amp;$AM32):INDIRECT("Table!" &amp; $AP$108 &amp; $AM32),0)),"",INDIRECT(CONCATENATE("Table!",ADDRESS($AI32,MATCH(C$1,INDIRECT("Table!A" &amp; $AM32):INDIRECT("Table!" &amp; $AP$108 &amp; $AM32),0)))))</f>
        <v>0.66575286330354033</v>
      </c>
      <c r="D32" s="596">
        <f ca="1">IF(ISERROR(MATCH(D$1,INDIRECT("Table!A"&amp;$AM32):INDIRECT("Table!" &amp; $AP$108 &amp; $AM32),0)),"",INDIRECT(CONCATENATE("Table!",ADDRESS($AI32,MATCH(D$1,INDIRECT("Table!A" &amp; $AM32):INDIRECT("Table!" &amp; $AP$108 &amp; $AM32),0)))))</f>
        <v>0.67157708081561707</v>
      </c>
      <c r="E32" s="596">
        <f ca="1">IF(ISERROR(MATCH(E$1,INDIRECT("Table!A"&amp;$AM32):INDIRECT("Table!" &amp; $AP$108 &amp; $AM32),0)),"",INDIRECT(CONCATENATE("Table!",ADDRESS($AI32,MATCH(E$1,INDIRECT("Table!A" &amp; $AM32):INDIRECT("Table!" &amp; $AP$108 &amp; $AM32),0)))))</f>
        <v>1.4266831264821527</v>
      </c>
      <c r="F32" s="596">
        <f ca="1">IF(ISERROR(MATCH(F$1,INDIRECT("Table!A"&amp;$AM32):INDIRECT("Table!" &amp; $AP$108 &amp; $AM32),0)),"",INDIRECT(CONCATENATE("Table!",ADDRESS($AI32,MATCH(F$1,INDIRECT("Table!A" &amp; $AM32):INDIRECT("Table!" &amp; $AP$108 &amp; $AM32),0)))))</f>
        <v>0.68261559538553507</v>
      </c>
      <c r="G32" s="596">
        <f ca="1">IF(ISERROR(MATCH(G$1,INDIRECT("Table!A"&amp;$AM32):INDIRECT("Table!" &amp; $AP$108 &amp; $AM32),0)),"",INDIRECT(CONCATENATE("Table!",ADDRESS($AI32,MATCH(G$1,INDIRECT("Table!A" &amp; $AM32):INDIRECT("Table!" &amp; $AP$108 &amp; $AM32),0)))))</f>
        <v>1.1784784226133167</v>
      </c>
      <c r="H32" s="596">
        <f ca="1">IF(ISERROR(MATCH(H$1,INDIRECT("Table!A"&amp;$AM32):INDIRECT("Table!" &amp; $AP$108 &amp; $AM32),0)),"",INDIRECT(CONCATENATE("Table!",ADDRESS($AI32,MATCH(H$1,INDIRECT("Table!A" &amp; $AM32):INDIRECT("Table!" &amp; $AP$108 &amp; $AM32),0)))))</f>
        <v>1.3906322761090968</v>
      </c>
      <c r="I32" s="596">
        <f ca="1">IF(ISERROR(MATCH(I$1,INDIRECT("Table!A"&amp;$AM32):INDIRECT("Table!" &amp; $AP$86 &amp; $AM32),0)),"",INDIRECT(CONCATENATE("Table!",ADDRESS($AI32,MATCH(I$1,INDIRECT("Table!A" &amp; $AM32):INDIRECT("Table!" &amp; $AP$86 &amp; $AM32),0)))))</f>
        <v>0.27996328833439704</v>
      </c>
      <c r="J32" s="596">
        <f ca="1">IF(ISERROR(MATCH(J$1,INDIRECT("Table!A"&amp;$AM32):INDIRECT("Table!" &amp; $AP$86 &amp; $AM32),0)),"",INDIRECT(CONCATENATE("Table!",ADDRESS($AI32,MATCH(J$1,INDIRECT("Table!A" &amp; $AM32):INDIRECT("Table!" &amp; $AP$86 &amp; $AM32),0)))))</f>
        <v>1.589891049127877</v>
      </c>
      <c r="K32" s="596">
        <f ca="1">IF(ISERROR(MATCH(K$1,INDIRECT("Table!A"&amp;$AM32):INDIRECT("Table!" &amp; $AP$86 &amp; $AM32),0)),"",INDIRECT(CONCATENATE("Table!",ADDRESS($AI32,MATCH(K$1,INDIRECT("Table!A" &amp; $AM32):INDIRECT("Table!" &amp; $AP$86 &amp; $AM32),0)))))</f>
        <v>0.81782886421815915</v>
      </c>
      <c r="L32" s="596">
        <f ca="1">IF(ISERROR(MATCH(L$1,INDIRECT("Table!A"&amp;$AM32):INDIRECT("Table!" &amp; $AP$108 &amp; $AM32),0)),"",INDIRECT(CONCATENATE("Table!",ADDRESS($AI32,MATCH(L$1,INDIRECT("Table!A" &amp; $AM32):INDIRECT("Table!" &amp; $AP$108 &amp; $AM32),0)))))</f>
        <v>1.3315333853807534</v>
      </c>
      <c r="M32" s="596">
        <f ca="1">IF(ISERROR(MATCH(M$1,INDIRECT("Table!A"&amp;$AM32):INDIRECT("Table!" &amp; $AP$108 &amp; $AM32),0)),"",INDIRECT(CONCATENATE("Table!",ADDRESS($AI32,MATCH(M$1,INDIRECT("Table!A" &amp; $AM32):INDIRECT("Table!" &amp; $AP$108 &amp; $AM32),0)))))</f>
        <v>0.83650063358601467</v>
      </c>
      <c r="N32" s="596">
        <f ca="1">IF(ISERROR(MATCH(N$1,INDIRECT("Table!A"&amp;$AM32):INDIRECT("Table!" &amp; $AP$108 &amp; $AM32),0)),"",INDIRECT(CONCATENATE("Table!",ADDRESS($AI32,MATCH(N$1,INDIRECT("Table!A" &amp; $AM32):INDIRECT("Table!" &amp; $AP$108 &amp; $AM32),0)))))</f>
        <v>1.3927141288168903</v>
      </c>
      <c r="O32" s="596">
        <f ca="1">IF(ISERROR(MATCH(O$1,INDIRECT("Table!A"&amp;$AM32):INDIRECT("Table!" &amp; $AP$86 &amp; $AM32),0)),"",INDIRECT(CONCATENATE("Table!",ADDRESS($AI32,MATCH(O$1,INDIRECT("Table!A" &amp; $AM32):INDIRECT("Table!" &amp; $AP$86 &amp; $AM32),0)))))</f>
        <v>0.69136050938252347</v>
      </c>
      <c r="P32" s="596">
        <f ca="1">IF(ISERROR(MATCH(P$1,INDIRECT("Table!A"&amp;$AM32):INDIRECT("Table!" &amp; $AP$86 &amp; $AM32),0)),"",INDIRECT(CONCATENATE("Table!",ADDRESS($AI32,MATCH(P$1,INDIRECT("Table!A" &amp; $AM32):INDIRECT("Table!" &amp; $AP$86 &amp; $AM32),0)))))</f>
        <v>0.74183344412491503</v>
      </c>
      <c r="Q32" s="596">
        <f ca="1">IF(ISERROR(MATCH(Q$1,INDIRECT("Table!A"&amp;$AM32):INDIRECT("Table!" &amp; $AP$86 &amp; $AM32),0)),"",INDIRECT(CONCATENATE("Table!",ADDRESS($AI32,MATCH(Q$1,INDIRECT("Table!A" &amp; $AM32):INDIRECT("Table!" &amp; $AP$86 &amp; $AM32),0)))))</f>
        <v>0.78319474350557505</v>
      </c>
      <c r="R32" s="596">
        <f ca="1">IF(ISERROR(MATCH(R$1,INDIRECT("Table!A"&amp;$AM32):INDIRECT("Table!" &amp; $AP$86 &amp; $AM32),0)),"",INDIRECT(CONCATENATE("Table!",ADDRESS($AI32,MATCH(R$1,INDIRECT("Table!A" &amp; $AM32):INDIRECT("Table!" &amp; $AP$86 &amp; $AM32),0)))))</f>
        <v>1.4269496079817485</v>
      </c>
      <c r="S32" s="596" t="str">
        <f ca="1">IF(ISERROR(MATCH(S$1,INDIRECT("Table!A"&amp;$AM32):INDIRECT("Table!" &amp; $AP$65 &amp; $AM32),0)),"",INDIRECT(CONCATENATE("Table!",ADDRESS($AI32,MATCH(S$1,INDIRECT("Table!A" &amp; $AM32):INDIRECT("Table!" &amp; $AP$65 &amp; $AM32),0)))))</f>
        <v/>
      </c>
      <c r="T32" s="596">
        <f ca="1">IF(ISERROR(MATCH(T$1,INDIRECT("Table!A"&amp;$AM32):INDIRECT("Table!" &amp; $AP$65 &amp; $AM32),0)),"",INDIRECT(CONCATENATE("Table!",ADDRESS($AI32,MATCH(T$1,INDIRECT("Table!A" &amp; $AM32):INDIRECT("Table!" &amp; $AP$65 &amp; $AM32),0)))))</f>
        <v>1.1238830177845605</v>
      </c>
      <c r="U32" s="596">
        <f ca="1">IF(ISERROR(MATCH(U$1,INDIRECT("Table!A"&amp;$AM32):INDIRECT("Table!" &amp; $AP$65 &amp; $AM32),0)),"",INDIRECT(CONCATENATE("Table!",ADDRESS($AI32,MATCH(U$1,INDIRECT("Table!A" &amp; $AM32):INDIRECT("Table!" &amp; $AP$65 &amp; $AM32),0)))))</f>
        <v>0.6096981403472721</v>
      </c>
      <c r="V32" s="596">
        <f ca="1">IF(ISERROR(MATCH(V$1,INDIRECT("Table!A"&amp;$AM32):INDIRECT("Table!" &amp; $AP$65 &amp; $AM32),0)),"",INDIRECT(CONCATENATE("Table!",ADDRESS($AI32,MATCH(V$1,INDIRECT("Table!A" &amp; $AM32):INDIRECT("Table!" &amp; $AP$65 &amp; $AM32),0)))))</f>
        <v>0.39913869682787068</v>
      </c>
      <c r="W32" s="596">
        <f ca="1">IF(ISERROR(MATCH(W$1,INDIRECT("Table!A"&amp;$AM32):INDIRECT("Table!" &amp; $AP$65 &amp; $AM32),0)),"",INDIRECT(CONCATENATE("Table!",ADDRESS($AI32,MATCH(W$1,INDIRECT("Table!A" &amp; $AM32):INDIRECT("Table!" &amp; $AP$65 &amp; $AM32),0)))))</f>
        <v>0.13856775916983458</v>
      </c>
      <c r="X32" s="596">
        <f ca="1">IF(ISERROR(MATCH(X$1,INDIRECT("Table!A"&amp;$AM32):INDIRECT("Table!" &amp; $AP$65 &amp; $AM32),0)),"",INDIRECT(CONCATENATE("Table!",ADDRESS($AI32,MATCH(X$1,INDIRECT("Table!A" &amp; $AM32):INDIRECT("Table!" &amp; $AP$65 &amp; $AM32),0)))))</f>
        <v>9.8336187000737485E-2</v>
      </c>
      <c r="Y32" s="596">
        <f ca="1">IF(ISERROR(MATCH(Y$1,INDIRECT("Table!A"&amp;$AM32):INDIRECT("Table!" &amp; $AP$65 &amp; $AM32),0)),"",INDIRECT(CONCATENATE("Table!",ADDRESS($AI32,MATCH(Y$1,INDIRECT("Table!A" &amp; $AM32):INDIRECT("Table!" &amp; $AP$65 &amp; $AM32),0)))))</f>
        <v>0.1547339977396486</v>
      </c>
      <c r="Z32" s="596">
        <f ca="1">IF(ISERROR(MATCH(Z$1,INDIRECT("Table!A"&amp;$AM32):INDIRECT("Table!" &amp; $AP$65 &amp; $AM32),0)),"",INDIRECT(CONCATENATE("Table!",ADDRESS($AI32,MATCH(Z$1,INDIRECT("Table!A" &amp; $AM32):INDIRECT("Table!" &amp; $AP$65 &amp; $AM32),0)))))</f>
        <v>0.15015984037919489</v>
      </c>
      <c r="AA32" s="596" t="str">
        <f ca="1">IF(ISERROR(MATCH(AA$1,INDIRECT("Table!A"&amp;$AM32):INDIRECT("Table!" &amp; $AP$65 &amp; $AM32),0)),"",INDIRECT(CONCATENATE("Table!",ADDRESS($AI32,MATCH(AA$1,INDIRECT("Table!A" &amp; $AM32):INDIRECT("Table!" &amp; $AP$65 &amp; $AM32),0)))))</f>
        <v/>
      </c>
      <c r="AB32" s="596" t="str">
        <f ca="1">IF(ISERROR(MATCH(AB$1,INDIRECT("Table!A"&amp;$AM32):INDIRECT("Table!" &amp; $AP$65 &amp; $AM32),0)),"",INDIRECT(CONCATENATE("Table!",ADDRESS($AI32,MATCH(AB$1,INDIRECT("Table!A" &amp; $AM32):INDIRECT("Table!" &amp; $AP$65 &amp; $AM32),0)))))</f>
        <v/>
      </c>
      <c r="AC32" s="596"/>
      <c r="AD32" s="596"/>
      <c r="AE32" s="596"/>
      <c r="AF32" s="596"/>
      <c r="AG32" s="596"/>
      <c r="AH32" s="596"/>
      <c r="AI32" s="595">
        <f>MATCH($A32,Table!$A:$A,0)+$AK$2-1</f>
        <v>432</v>
      </c>
      <c r="AJ32" s="890"/>
      <c r="AK32" s="890"/>
      <c r="AL32" s="890"/>
      <c r="AM32" s="595">
        <f>MATCH($A32,Table!$A:$A,0)+$AO$2-1</f>
        <v>423</v>
      </c>
      <c r="AN32" s="890"/>
      <c r="AO32" s="890"/>
      <c r="AP32" s="973" t="s">
        <v>302</v>
      </c>
    </row>
    <row r="33" spans="1:42" s="743" customFormat="1" ht="19.5" customHeight="1" x14ac:dyDescent="0.25">
      <c r="A33" s="592">
        <v>41766</v>
      </c>
      <c r="B33" s="596">
        <f ca="1">IF(ISERROR(MATCH(B$1,INDIRECT("Table!A"&amp;$AM33):INDIRECT("Table!" &amp; $AP$108 &amp; $AM33),0)),"",INDIRECT(CONCATENATE("Table!",ADDRESS($AI33,MATCH(B$1,INDIRECT("Table!A" &amp; $AM33):INDIRECT("Table!" &amp; $AP$108 &amp; $AM33),0)))))</f>
        <v>0.7278</v>
      </c>
      <c r="C33" s="596">
        <f ca="1">IF(ISERROR(MATCH(C$1,INDIRECT("Table!A"&amp;$AM33):INDIRECT("Table!" &amp; $AP$108 &amp; $AM33),0)),"",INDIRECT(CONCATENATE("Table!",ADDRESS($AI33,MATCH(C$1,INDIRECT("Table!A" &amp; $AM33):INDIRECT("Table!" &amp; $AP$108 &amp; $AM33),0)))))</f>
        <v>0.66349999999999998</v>
      </c>
      <c r="D33" s="596">
        <f ca="1">IF(ISERROR(MATCH(D$1,INDIRECT("Table!A"&amp;$AM33):INDIRECT("Table!" &amp; $AP$108 &amp; $AM33),0)),"",INDIRECT(CONCATENATE("Table!",ADDRESS($AI33,MATCH(D$1,INDIRECT("Table!A" &amp; $AM33):INDIRECT("Table!" &amp; $AP$108 &amp; $AM33),0)))))</f>
        <v>0.66930000000000001</v>
      </c>
      <c r="E33" s="596">
        <f ca="1">IF(ISERROR(MATCH(E$1,INDIRECT("Table!A"&amp;$AM33):INDIRECT("Table!" &amp; $AP$108 &amp; $AM33),0)),"",INDIRECT(CONCATENATE("Table!",ADDRESS($AI33,MATCH(E$1,INDIRECT("Table!A" &amp; $AM33):INDIRECT("Table!" &amp; $AP$108 &amp; $AM33),0)))))</f>
        <v>1.4260999999999999</v>
      </c>
      <c r="F33" s="596">
        <f ca="1">IF(ISERROR(MATCH(F$1,INDIRECT("Table!A"&amp;$AM33):INDIRECT("Table!" &amp; $AP$108 &amp; $AM33),0)),"",INDIRECT(CONCATENATE("Table!",ADDRESS($AI33,MATCH(F$1,INDIRECT("Table!A" &amp; $AM33):INDIRECT("Table!" &amp; $AP$108 &amp; $AM33),0)))))</f>
        <v>0.68259999999999998</v>
      </c>
      <c r="G33" s="596">
        <f ca="1">IF(ISERROR(MATCH(G$1,INDIRECT("Table!A"&amp;$AM33):INDIRECT("Table!" &amp; $AP$108 &amp; $AM33),0)),"",INDIRECT(CONCATENATE("Table!",ADDRESS($AI33,MATCH(G$1,INDIRECT("Table!A" &amp; $AM33):INDIRECT("Table!" &amp; $AP$108 &amp; $AM33),0)))))</f>
        <v>1.1785000000000001</v>
      </c>
      <c r="H33" s="596">
        <f ca="1">IF(ISERROR(MATCH(H$1,INDIRECT("Table!A"&amp;$AM33):INDIRECT("Table!" &amp; $AP$108 &amp; $AM33),0)),"",INDIRECT(CONCATENATE("Table!",ADDRESS($AI33,MATCH(H$1,INDIRECT("Table!A" &amp; $AM33):INDIRECT("Table!" &amp; $AP$108 &amp; $AM33),0)))))</f>
        <v>1.3906000000000001</v>
      </c>
      <c r="I33" s="596">
        <f ca="1">IF(ISERROR(MATCH(I$1,INDIRECT("Table!A"&amp;$AM33):INDIRECT("Table!" &amp; $AP$86 &amp; $AM33),0)),"",INDIRECT(CONCATENATE("Table!",ADDRESS($AI33,MATCH(I$1,INDIRECT("Table!A" &amp; $AM33):INDIRECT("Table!" &amp; $AP$86 &amp; $AM33),0)))))</f>
        <v>0.27939999999999998</v>
      </c>
      <c r="J33" s="596">
        <f ca="1">IF(ISERROR(MATCH(J$1,INDIRECT("Table!A"&amp;$AM33):INDIRECT("Table!" &amp; $AP$86 &amp; $AM33),0)),"",INDIRECT(CONCATENATE("Table!",ADDRESS($AI33,MATCH(J$1,INDIRECT("Table!A" &amp; $AM33):INDIRECT("Table!" &amp; $AP$86 &amp; $AM33),0)))))</f>
        <v>1.5899000000000001</v>
      </c>
      <c r="K33" s="596">
        <f ca="1">IF(ISERROR(MATCH(K$1,INDIRECT("Table!A"&amp;$AM33):INDIRECT("Table!" &amp; $AP$86 &amp; $AM33),0)),"",INDIRECT(CONCATENATE("Table!",ADDRESS($AI33,MATCH(K$1,INDIRECT("Table!A" &amp; $AM33):INDIRECT("Table!" &amp; $AP$86 &amp; $AM33),0)))))</f>
        <v>0.79769999999999996</v>
      </c>
      <c r="L33" s="596">
        <f ca="1">IF(ISERROR(MATCH(L$1,INDIRECT("Table!A"&amp;$AM33):INDIRECT("Table!" &amp; $AP$108 &amp; $AM33),0)),"",INDIRECT(CONCATENATE("Table!",ADDRESS($AI33,MATCH(L$1,INDIRECT("Table!A" &amp; $AM33):INDIRECT("Table!" &amp; $AP$108 &amp; $AM33),0)))))</f>
        <v>1.3303</v>
      </c>
      <c r="M33" s="596">
        <f ca="1">IF(ISERROR(MATCH(M$1,INDIRECT("Table!A"&amp;$AM33):INDIRECT("Table!" &amp; $AP$108 &amp; $AM33),0)),"",INDIRECT(CONCATENATE("Table!",ADDRESS($AI33,MATCH(M$1,INDIRECT("Table!A" &amp; $AM33):INDIRECT("Table!" &amp; $AP$108 &amp; $AM33),0)))))</f>
        <v>0.83650000000000002</v>
      </c>
      <c r="N33" s="596">
        <f ca="1">IF(ISERROR(MATCH(N$1,INDIRECT("Table!A"&amp;$AM33):INDIRECT("Table!" &amp; $AP$108 &amp; $AM33),0)),"",INDIRECT(CONCATENATE("Table!",ADDRESS($AI33,MATCH(N$1,INDIRECT("Table!A" &amp; $AM33):INDIRECT("Table!" &amp; $AP$108 &amp; $AM33),0)))))</f>
        <v>1.3927</v>
      </c>
      <c r="O33" s="596">
        <f ca="1">IF(ISERROR(MATCH(O$1,INDIRECT("Table!A"&amp;$AM33):INDIRECT("Table!" &amp; $AP$86 &amp; $AM33),0)),"",INDIRECT(CONCATENATE("Table!",ADDRESS($AI33,MATCH(O$1,INDIRECT("Table!A" &amp; $AM33):INDIRECT("Table!" &amp; $AP$86 &amp; $AM33),0)))))</f>
        <v>0.69140000000000001</v>
      </c>
      <c r="P33" s="596">
        <f ca="1">IF(ISERROR(MATCH(P$1,INDIRECT("Table!A"&amp;$AM33):INDIRECT("Table!" &amp; $AP$86 &amp; $AM33),0)),"",INDIRECT(CONCATENATE("Table!",ADDRESS($AI33,MATCH(P$1,INDIRECT("Table!A" &amp; $AM33):INDIRECT("Table!" &amp; $AP$86 &amp; $AM33),0)))))</f>
        <v>0.74060000000000004</v>
      </c>
      <c r="Q33" s="596">
        <f ca="1">IF(ISERROR(MATCH(Q$1,INDIRECT("Table!A"&amp;$AM33):INDIRECT("Table!" &amp; $AP$86 &amp; $AM33),0)),"",INDIRECT(CONCATENATE("Table!",ADDRESS($AI33,MATCH(Q$1,INDIRECT("Table!A" &amp; $AM33):INDIRECT("Table!" &amp; $AP$86 &amp; $AM33),0)))))</f>
        <v>0.78320000000000001</v>
      </c>
      <c r="R33" s="596">
        <f ca="1">IF(ISERROR(MATCH(R$1,INDIRECT("Table!A"&amp;$AM33):INDIRECT("Table!" &amp; $AP$86 &amp; $AM33),0)),"",INDIRECT(CONCATENATE("Table!",ADDRESS($AI33,MATCH(R$1,INDIRECT("Table!A" &amp; $AM33):INDIRECT("Table!" &amp; $AP$86 &amp; $AM33),0)))))</f>
        <v>1.4160999999999999</v>
      </c>
      <c r="S33" s="596" t="str">
        <f ca="1">IF(ISERROR(MATCH(S$1,INDIRECT("Table!A"&amp;$AM33):INDIRECT("Table!" &amp; $AP$65 &amp; $AM33),0)),"",INDIRECT(CONCATENATE("Table!",ADDRESS($AI33,MATCH(S$1,INDIRECT("Table!A" &amp; $AM33):INDIRECT("Table!" &amp; $AP$65 &amp; $AM33),0)))))</f>
        <v/>
      </c>
      <c r="T33" s="596">
        <f ca="1">IF(ISERROR(MATCH(T$1,INDIRECT("Table!A"&amp;$AM33):INDIRECT("Table!" &amp; $AP$65 &amp; $AM33),0)),"",INDIRECT(CONCATENATE("Table!",ADDRESS($AI33,MATCH(T$1,INDIRECT("Table!A" &amp; $AM33):INDIRECT("Table!" &amp; $AP$65 &amp; $AM33),0)))))</f>
        <v>1.1238999999999999</v>
      </c>
      <c r="U33" s="596">
        <f ca="1">IF(ISERROR(MATCH(U$1,INDIRECT("Table!A"&amp;$AM33):INDIRECT("Table!" &amp; $AP$65 &amp; $AM33),0)),"",INDIRECT(CONCATENATE("Table!",ADDRESS($AI33,MATCH(U$1,INDIRECT("Table!A" &amp; $AM33):INDIRECT("Table!" &amp; $AP$65 &amp; $AM33),0)))))</f>
        <v>0.39389999999999997</v>
      </c>
      <c r="V33" s="596">
        <f ca="1">IF(ISERROR(MATCH(V$1,INDIRECT("Table!A"&amp;$AM33):INDIRECT("Table!" &amp; $AP$65 &amp; $AM33),0)),"",INDIRECT(CONCATENATE("Table!",ADDRESS($AI33,MATCH(V$1,INDIRECT("Table!A" &amp; $AM33):INDIRECT("Table!" &amp; $AP$65 &amp; $AM33),0)))))</f>
        <v>0.19220000000000001</v>
      </c>
      <c r="W33" s="596">
        <f ca="1">IF(ISERROR(MATCH(W$1,INDIRECT("Table!A"&amp;$AM33):INDIRECT("Table!" &amp; $AP$65 &amp; $AM33),0)),"",INDIRECT(CONCATENATE("Table!",ADDRESS($AI33,MATCH(W$1,INDIRECT("Table!A" &amp; $AM33):INDIRECT("Table!" &amp; $AP$65 &amp; $AM33),0)))))</f>
        <v>0.13789999999999999</v>
      </c>
      <c r="X33" s="596">
        <f ca="1">IF(ISERROR(MATCH(X$1,INDIRECT("Table!A"&amp;$AM33):INDIRECT("Table!" &amp; $AP$65 &amp; $AM33),0)),"",INDIRECT(CONCATENATE("Table!",ADDRESS($AI33,MATCH(X$1,INDIRECT("Table!A" &amp; $AM33):INDIRECT("Table!" &amp; $AP$65 &amp; $AM33),0)))))</f>
        <v>9.8000000000000004E-2</v>
      </c>
      <c r="Y33" s="596">
        <f ca="1">IF(ISERROR(MATCH(Y$1,INDIRECT("Table!A"&amp;$AM33):INDIRECT("Table!" &amp; $AP$65 &amp; $AM33),0)),"",INDIRECT(CONCATENATE("Table!",ADDRESS($AI33,MATCH(Y$1,INDIRECT("Table!A" &amp; $AM33):INDIRECT("Table!" &amp; $AP$65 &amp; $AM33),0)))))</f>
        <v>-2.9999999999999997E-4</v>
      </c>
      <c r="Z33" s="596">
        <f ca="1">IF(ISERROR(MATCH(Z$1,INDIRECT("Table!A"&amp;$AM33):INDIRECT("Table!" &amp; $AP$65 &amp; $AM33),0)),"",INDIRECT(CONCATENATE("Table!",ADDRESS($AI33,MATCH(Z$1,INDIRECT("Table!A" &amp; $AM33):INDIRECT("Table!" &amp; $AP$65 &amp; $AM33),0)))))</f>
        <v>-2.0000000000000001E-4</v>
      </c>
      <c r="AA33" s="596" t="str">
        <f ca="1">IF(ISERROR(MATCH(AA$1,INDIRECT("Table!A"&amp;$AM33):INDIRECT("Table!" &amp; $AP$65 &amp; $AM33),0)),"",INDIRECT(CONCATENATE("Table!",ADDRESS($AI33,MATCH(AA$1,INDIRECT("Table!A" &amp; $AM33):INDIRECT("Table!" &amp; $AP$65 &amp; $AM33),0)))))</f>
        <v/>
      </c>
      <c r="AB33" s="596" t="str">
        <f ca="1">IF(ISERROR(MATCH(AB$1,INDIRECT("Table!A"&amp;$AM33):INDIRECT("Table!" &amp; $AP$65 &amp; $AM33),0)),"",INDIRECT(CONCATENATE("Table!",ADDRESS($AI33,MATCH(AB$1,INDIRECT("Table!A" &amp; $AM33):INDIRECT("Table!" &amp; $AP$65 &amp; $AM33),0)))))</f>
        <v/>
      </c>
      <c r="AC33" s="596"/>
      <c r="AD33" s="596"/>
      <c r="AE33" s="596"/>
      <c r="AF33" s="596"/>
      <c r="AG33" s="596"/>
      <c r="AH33" s="596"/>
      <c r="AI33" s="595">
        <f>MATCH($A33,Table!$A:$A,0)+$AK$2-1</f>
        <v>446</v>
      </c>
      <c r="AJ33" s="883"/>
      <c r="AK33" s="883"/>
      <c r="AL33" s="883"/>
      <c r="AM33" s="595">
        <f>MATCH($A33,Table!$A:$A,0)+$AO$2-1</f>
        <v>437</v>
      </c>
      <c r="AN33" s="883"/>
      <c r="AO33" s="883"/>
      <c r="AP33" s="973" t="s">
        <v>302</v>
      </c>
    </row>
    <row r="34" spans="1:42" s="743" customFormat="1" ht="19.5" customHeight="1" x14ac:dyDescent="0.25">
      <c r="A34" s="592">
        <v>41752</v>
      </c>
      <c r="B34" s="596">
        <f ca="1">IF(ISERROR(MATCH(B$1,INDIRECT("Table!A"&amp;$AM34):INDIRECT("Table!" &amp; $AP$108 &amp; $AM34),0)),"",INDIRECT(CONCATENATE("Table!",ADDRESS($AI34,MATCH(B$1,INDIRECT("Table!A" &amp; $AM34):INDIRECT("Table!" &amp; $AP$108 &amp; $AM34),0)))))</f>
        <v>0.74455142901482452</v>
      </c>
      <c r="C34" s="596">
        <f ca="1">IF(ISERROR(MATCH(C$1,INDIRECT("Table!A"&amp;$AM34):INDIRECT("Table!" &amp; $AP$108 &amp; $AM34),0)),"",INDIRECT(CONCATENATE("Table!",ADDRESS($AI34,MATCH(C$1,INDIRECT("Table!A" &amp; $AM34):INDIRECT("Table!" &amp; $AP$108 &amp; $AM34),0)))))</f>
        <v>0.66284075454750202</v>
      </c>
      <c r="D34" s="596">
        <f ca="1">IF(ISERROR(MATCH(D$1,INDIRECT("Table!A"&amp;$AM34):INDIRECT("Table!" &amp; $AP$108 &amp; $AM34),0)),"",INDIRECT(CONCATENATE("Table!",ADDRESS($AI34,MATCH(D$1,INDIRECT("Table!A" &amp; $AM34):INDIRECT("Table!" &amp; $AP$108 &amp; $AM34),0)))))</f>
        <v>0.66866497205957864</v>
      </c>
      <c r="E34" s="596">
        <f ca="1">IF(ISERROR(MATCH(E$1,INDIRECT("Table!A"&amp;$AM34):INDIRECT("Table!" &amp; $AP$108 &amp; $AM34),0)),"",INDIRECT(CONCATENATE("Table!",ADDRESS($AI34,MATCH(E$1,INDIRECT("Table!A" &amp; $AM34):INDIRECT("Table!" &amp; $AP$108 &amp; $AM34),0)))))</f>
        <v>1.426127348092405</v>
      </c>
      <c r="F34" s="596">
        <f ca="1">IF(ISERROR(MATCH(F$1,INDIRECT("Table!A"&amp;$AM34):INDIRECT("Table!" &amp; $AP$108 &amp; $AM34),0)),"",INDIRECT(CONCATENATE("Table!",ADDRESS($AI34,MATCH(F$1,INDIRECT("Table!A" &amp; $AM34):INDIRECT("Table!" &amp; $AP$108 &amp; $AM34),0)))))</f>
        <v>0.68261559538553507</v>
      </c>
      <c r="G34" s="596">
        <f ca="1">IF(ISERROR(MATCH(G$1,INDIRECT("Table!A"&amp;$AM34):INDIRECT("Table!" &amp; $AP$108 &amp; $AM34),0)),"",INDIRECT(CONCATENATE("Table!",ADDRESS($AI34,MATCH(G$1,INDIRECT("Table!A" &amp; $AM34):INDIRECT("Table!" &amp; $AP$108 &amp; $AM34),0)))))</f>
        <v>1.1784784226133167</v>
      </c>
      <c r="H34" s="596">
        <f ca="1">IF(ISERROR(MATCH(H$1,INDIRECT("Table!A"&amp;$AM34):INDIRECT("Table!" &amp; $AP$108 &amp; $AM34),0)),"",INDIRECT(CONCATENATE("Table!",ADDRESS($AI34,MATCH(H$1,INDIRECT("Table!A" &amp; $AM34):INDIRECT("Table!" &amp; $AP$108 &amp; $AM34),0)))))</f>
        <v>1.3969060999968019</v>
      </c>
      <c r="I34" s="596">
        <f ca="1">IF(ISERROR(MATCH(I$1,INDIRECT("Table!A"&amp;$AM34):INDIRECT("Table!" &amp; $AP$86 &amp; $AM34),0)),"",INDIRECT(CONCATENATE("Table!",ADDRESS($AI34,MATCH(I$1,INDIRECT("Table!A" &amp; $AM34):INDIRECT("Table!" &amp; $AP$86 &amp; $AM34),0)))))</f>
        <v>0.27935439935114786</v>
      </c>
      <c r="J34" s="596">
        <f ca="1">IF(ISERROR(MATCH(J$1,INDIRECT("Table!A"&amp;$AM34):INDIRECT("Table!" &amp; $AP$86 &amp; $AM34),0)),"",INDIRECT(CONCATENATE("Table!",ADDRESS($AI34,MATCH(J$1,INDIRECT("Table!A" &amp; $AM34):INDIRECT("Table!" &amp; $AP$86 &amp; $AM34),0)))))</f>
        <v>1.1073232289838992</v>
      </c>
      <c r="K34" s="596">
        <f ca="1">IF(ISERROR(MATCH(K$1,INDIRECT("Table!A"&amp;$AM34):INDIRECT("Table!" &amp; $AP$86 &amp; $AM34),0)),"",INDIRECT(CONCATENATE("Table!",ADDRESS($AI34,MATCH(K$1,INDIRECT("Table!A" &amp; $AM34):INDIRECT("Table!" &amp; $AP$86 &amp; $AM34),0)))))</f>
        <v>0.75011534280175229</v>
      </c>
      <c r="L34" s="596">
        <f ca="1">IF(ISERROR(MATCH(L$1,INDIRECT("Table!A"&amp;$AM34):INDIRECT("Table!" &amp; $AP$108 &amp; $AM34),0)),"",INDIRECT(CONCATENATE("Table!",ADDRESS($AI34,MATCH(L$1,INDIRECT("Table!A" &amp; $AM34):INDIRECT("Table!" &amp; $AP$108 &amp; $AM34),0)))))</f>
        <v>1.3303106733647931</v>
      </c>
      <c r="M34" s="596">
        <f ca="1">IF(ISERROR(MATCH(M$1,INDIRECT("Table!A"&amp;$AM34):INDIRECT("Table!" &amp; $AP$108 &amp; $AM34),0)),"",INDIRECT(CONCATENATE("Table!",ADDRESS($AI34,MATCH(M$1,INDIRECT("Table!A" &amp; $AM34):INDIRECT("Table!" &amp; $AP$108 &amp; $AM34),0)))))</f>
        <v>0.83650063358601467</v>
      </c>
      <c r="N34" s="596">
        <f ca="1">IF(ISERROR(MATCH(N$1,INDIRECT("Table!A"&amp;$AM34):INDIRECT("Table!" &amp; $AP$108 &amp; $AM34),0)),"",INDIRECT(CONCATENATE("Table!",ADDRESS($AI34,MATCH(N$1,INDIRECT("Table!A" &amp; $AM34):INDIRECT("Table!" &amp; $AP$108 &amp; $AM34),0)))))</f>
        <v>1.3927141288168903</v>
      </c>
      <c r="O34" s="596">
        <f ca="1">IF(ISERROR(MATCH(O$1,INDIRECT("Table!A"&amp;$AM34):INDIRECT("Table!" &amp; $AP$86 &amp; $AM34),0)),"",INDIRECT(CONCATENATE("Table!",ADDRESS($AI34,MATCH(O$1,INDIRECT("Table!A" &amp; $AM34):INDIRECT("Table!" &amp; $AP$86 &amp; $AM34),0)))))</f>
        <v>0.70894368023223808</v>
      </c>
      <c r="P34" s="596">
        <f ca="1">IF(ISERROR(MATCH(P$1,INDIRECT("Table!A"&amp;$AM34):INDIRECT("Table!" &amp; $AP$86 &amp; $AM34),0)),"",INDIRECT(CONCATENATE("Table!",ADDRESS($AI34,MATCH(P$1,INDIRECT("Table!A" &amp; $AM34):INDIRECT("Table!" &amp; $AP$86 &amp; $AM34),0)))))</f>
        <v>0.740615326811081</v>
      </c>
      <c r="Q34" s="596">
        <f ca="1">IF(ISERROR(MATCH(Q$1,INDIRECT("Table!A"&amp;$AM34):INDIRECT("Table!" &amp; $AP$86 &amp; $AM34),0)),"",INDIRECT(CONCATENATE("Table!",ADDRESS($AI34,MATCH(Q$1,INDIRECT("Table!A" &amp; $AM34):INDIRECT("Table!" &amp; $AP$86 &amp; $AM34),0)))))</f>
        <v>0.78055535434525525</v>
      </c>
      <c r="R34" s="596">
        <f ca="1">IF(ISERROR(MATCH(R$1,INDIRECT("Table!A"&amp;$AM34):INDIRECT("Table!" &amp; $AP$86 &amp; $AM34),0)),"",INDIRECT(CONCATENATE("Table!",ADDRESS($AI34,MATCH(R$1,INDIRECT("Table!A" &amp; $AM34):INDIRECT("Table!" &amp; $AP$86 &amp; $AM34),0)))))</f>
        <v>1.3884281380204146</v>
      </c>
      <c r="S34" s="596" t="str">
        <f ca="1">IF(ISERROR(MATCH(S$1,INDIRECT("Table!A"&amp;$AM34):INDIRECT("Table!" &amp; $AP$65 &amp; $AM34),0)),"",INDIRECT(CONCATENATE("Table!",ADDRESS($AI34,MATCH(S$1,INDIRECT("Table!A" &amp; $AM34):INDIRECT("Table!" &amp; $AP$65 &amp; $AM34),0)))))</f>
        <v/>
      </c>
      <c r="T34" s="596">
        <f ca="1">IF(ISERROR(MATCH(T$1,INDIRECT("Table!A"&amp;$AM34):INDIRECT("Table!" &amp; $AP$65 &amp; $AM34),0)),"",INDIRECT(CONCATENATE("Table!",ADDRESS($AI34,MATCH(T$1,INDIRECT("Table!A" &amp; $AM34):INDIRECT("Table!" &amp; $AP$65 &amp; $AM34),0)))))</f>
        <v>1.1238830177845605</v>
      </c>
      <c r="U34" s="596">
        <f ca="1">IF(ISERROR(MATCH(U$1,INDIRECT("Table!A"&amp;$AM34):INDIRECT("Table!" &amp; $AP$65 &amp; $AM34),0)),"",INDIRECT(CONCATENATE("Table!",ADDRESS($AI34,MATCH(U$1,INDIRECT("Table!A" &amp; $AM34):INDIRECT("Table!" &amp; $AP$65 &amp; $AM34),0)))))</f>
        <v>0.38831964891165549</v>
      </c>
      <c r="V34" s="596">
        <f ca="1">IF(ISERROR(MATCH(V$1,INDIRECT("Table!A"&amp;$AM34):INDIRECT("Table!" &amp; $AP$65 &amp; $AM34),0)),"",INDIRECT(CONCATENATE("Table!",ADDRESS($AI34,MATCH(V$1,INDIRECT("Table!A" &amp; $AM34):INDIRECT("Table!" &amp; $AP$65 &amp; $AM34),0)))))</f>
        <v>0.18942993797032409</v>
      </c>
      <c r="W34" s="596">
        <f ca="1">IF(ISERROR(MATCH(W$1,INDIRECT("Table!A"&amp;$AM34):INDIRECT("Table!" &amp; $AP$65 &amp; $AM34),0)),"",INDIRECT(CONCATENATE("Table!",ADDRESS($AI34,MATCH(W$1,INDIRECT("Table!A" &amp; $AM34):INDIRECT("Table!" &amp; $AP$65 &amp; $AM34),0)))))</f>
        <v>7.6542190779527675E-2</v>
      </c>
      <c r="X34" s="596">
        <f ca="1">IF(ISERROR(MATCH(X$1,INDIRECT("Table!A"&amp;$AM34):INDIRECT("Table!" &amp; $AP$65 &amp; $AM34),0)),"",INDIRECT(CONCATENATE("Table!",ADDRESS($AI34,MATCH(X$1,INDIRECT("Table!A" &amp; $AM34):INDIRECT("Table!" &amp; $AP$65 &amp; $AM34),0)))))</f>
        <v>4.7478191759766863E-2</v>
      </c>
      <c r="Y34" s="596" t="str">
        <f ca="1">IF(ISERROR(MATCH(Y$1,INDIRECT("Table!A"&amp;$AM34):INDIRECT("Table!" &amp; $AP$65 &amp; $AM34),0)),"",INDIRECT(CONCATENATE("Table!",ADDRESS($AI34,MATCH(Y$1,INDIRECT("Table!A" &amp; $AM34):INDIRECT("Table!" &amp; $AP$65 &amp; $AM34),0)))))</f>
        <v/>
      </c>
      <c r="Z34" s="596" t="str">
        <f ca="1">IF(ISERROR(MATCH(Z$1,INDIRECT("Table!A"&amp;$AM34):INDIRECT("Table!" &amp; $AP$65 &amp; $AM34),0)),"",INDIRECT(CONCATENATE("Table!",ADDRESS($AI34,MATCH(Z$1,INDIRECT("Table!A" &amp; $AM34):INDIRECT("Table!" &amp; $AP$65 &amp; $AM34),0)))))</f>
        <v/>
      </c>
      <c r="AA34" s="596" t="str">
        <f ca="1">IF(ISERROR(MATCH(AA$1,INDIRECT("Table!A"&amp;$AM34):INDIRECT("Table!" &amp; $AP$65 &amp; $AM34),0)),"",INDIRECT(CONCATENATE("Table!",ADDRESS($AI34,MATCH(AA$1,INDIRECT("Table!A" &amp; $AM34):INDIRECT("Table!" &amp; $AP$65 &amp; $AM34),0)))))</f>
        <v/>
      </c>
      <c r="AB34" s="596" t="str">
        <f ca="1">IF(ISERROR(MATCH(AB$1,INDIRECT("Table!A"&amp;$AM34):INDIRECT("Table!" &amp; $AP$65 &amp; $AM34),0)),"",INDIRECT(CONCATENATE("Table!",ADDRESS($AI34,MATCH(AB$1,INDIRECT("Table!A" &amp; $AM34):INDIRECT("Table!" &amp; $AP$65 &amp; $AM34),0)))))</f>
        <v/>
      </c>
      <c r="AC34" s="596"/>
      <c r="AD34" s="596"/>
      <c r="AE34" s="596"/>
      <c r="AF34" s="596"/>
      <c r="AG34" s="596"/>
      <c r="AH34" s="596"/>
      <c r="AI34" s="595">
        <f>MATCH($A34,Table!$A:$A,0)+$AK$2-1</f>
        <v>460</v>
      </c>
      <c r="AJ34" s="814"/>
      <c r="AK34" s="814"/>
      <c r="AL34" s="814"/>
      <c r="AM34" s="595">
        <f>MATCH($A34,Table!$A:$A,0)+$AO$2-1</f>
        <v>451</v>
      </c>
      <c r="AN34" s="814"/>
      <c r="AO34" s="814"/>
      <c r="AP34" s="973" t="s">
        <v>302</v>
      </c>
    </row>
    <row r="35" spans="1:42" s="743" customFormat="1" ht="19.5" customHeight="1" x14ac:dyDescent="0.25">
      <c r="A35" s="592">
        <v>41745</v>
      </c>
      <c r="B35" s="596">
        <f ca="1">IF(ISERROR(MATCH(B$1,INDIRECT("Table!A"&amp;$AM35):INDIRECT("Table!" &amp; $AP$108 &amp; $AM35),0)),"",INDIRECT(CONCATENATE("Table!",ADDRESS($AI35,MATCH(B$1,INDIRECT("Table!A" &amp; $AM35):INDIRECT("Table!" &amp; $AP$108 &amp; $AM35),0)))))</f>
        <v>0.74441657094037883</v>
      </c>
      <c r="C35" s="596">
        <f ca="1">IF(ISERROR(MATCH(C$1,INDIRECT("Table!A"&amp;$AM35):INDIRECT("Table!" &amp; $AP$108 &amp; $AM35),0)),"",INDIRECT(CONCATENATE("Table!",ADDRESS($AI35,MATCH(C$1,INDIRECT("Table!A" &amp; $AM35):INDIRECT("Table!" &amp; $AP$108 &amp; $AM35),0)))))</f>
        <v>0.65836058723051982</v>
      </c>
      <c r="D35" s="596">
        <f ca="1">IF(ISERROR(MATCH(D$1,INDIRECT("Table!A"&amp;$AM35):INDIRECT("Table!" &amp; $AP$108 &amp; $AM35),0)),"",INDIRECT(CONCATENATE("Table!",ADDRESS($AI35,MATCH(D$1,INDIRECT("Table!A" &amp; $AM35):INDIRECT("Table!" &amp; $AP$108 &amp; $AM35),0)))))</f>
        <v>0.66418480474259656</v>
      </c>
      <c r="E35" s="596">
        <f ca="1">IF(ISERROR(MATCH(E$1,INDIRECT("Table!A"&amp;$AM35):INDIRECT("Table!" &amp; $AP$108 &amp; $AM35),0)),"",INDIRECT(CONCATENATE("Table!",ADDRESS($AI35,MATCH(E$1,INDIRECT("Table!A" &amp; $AM35):INDIRECT("Table!" &amp; $AP$108 &amp; $AM35),0)))))</f>
        <v>1.426127348092405</v>
      </c>
      <c r="F35" s="596">
        <f ca="1">IF(ISERROR(MATCH(F$1,INDIRECT("Table!A"&amp;$AM35):INDIRECT("Table!" &amp; $AP$108 &amp; $AM35),0)),"",INDIRECT(CONCATENATE("Table!",ADDRESS($AI35,MATCH(F$1,INDIRECT("Table!A" &amp; $AM35):INDIRECT("Table!" &amp; $AP$108 &amp; $AM35),0)))))</f>
        <v>0.698074113040273</v>
      </c>
      <c r="G35" s="596">
        <f ca="1">IF(ISERROR(MATCH(G$1,INDIRECT("Table!A"&amp;$AM35):INDIRECT("Table!" &amp; $AP$108 &amp; $AM35),0)),"",INDIRECT(CONCATENATE("Table!",ADDRESS($AI35,MATCH(G$1,INDIRECT("Table!A" &amp; $AM35):INDIRECT("Table!" &amp; $AP$108 &amp; $AM35),0)))))</f>
        <v>1.1788246774752569</v>
      </c>
      <c r="H35" s="596">
        <f ca="1">IF(ISERROR(MATCH(H$1,INDIRECT("Table!A"&amp;$AM35):INDIRECT("Table!" &amp; $AP$108 &amp; $AM35),0)),"",INDIRECT(CONCATENATE("Table!",ADDRESS($AI35,MATCH(H$1,INDIRECT("Table!A" &amp; $AM35):INDIRECT("Table!" &amp; $AP$108 &amp; $AM35),0)))))</f>
        <v>1.396710043000311</v>
      </c>
      <c r="I35" s="596">
        <f ca="1">IF(ISERROR(MATCH(I$1,INDIRECT("Table!A"&amp;$AM35):INDIRECT("Table!" &amp; $AP$86 &amp; $AM35),0)),"",INDIRECT(CONCATENATE("Table!",ADDRESS($AI35,MATCH(I$1,INDIRECT("Table!A" &amp; $AM35):INDIRECT("Table!" &amp; $AP$86 &amp; $AM35),0)))))</f>
        <v>0.27935439935114786</v>
      </c>
      <c r="J35" s="596">
        <f ca="1">IF(ISERROR(MATCH(J$1,INDIRECT("Table!A"&amp;$AM35):INDIRECT("Table!" &amp; $AP$86 &amp; $AM35),0)),"",INDIRECT(CONCATENATE("Table!",ADDRESS($AI35,MATCH(J$1,INDIRECT("Table!A" &amp; $AM35):INDIRECT("Table!" &amp; $AP$86 &amp; $AM35),0)))))</f>
        <v>1.1043326678449787</v>
      </c>
      <c r="K35" s="596">
        <f ca="1">IF(ISERROR(MATCH(K$1,INDIRECT("Table!A"&amp;$AM35):INDIRECT("Table!" &amp; $AP$86 &amp; $AM35),0)),"",INDIRECT(CONCATENATE("Table!",ADDRESS($AI35,MATCH(K$1,INDIRECT("Table!A" &amp; $AM35):INDIRECT("Table!" &amp; $AP$86 &amp; $AM35),0)))))</f>
        <v>0.74499921007251257</v>
      </c>
      <c r="L35" s="596">
        <f ca="1">IF(ISERROR(MATCH(L$1,INDIRECT("Table!A"&amp;$AM35):INDIRECT("Table!" &amp; $AP$108 &amp; $AM35),0)),"",INDIRECT(CONCATENATE("Table!",ADDRESS($AI35,MATCH(L$1,INDIRECT("Table!A" &amp; $AM35):INDIRECT("Table!" &amp; $AP$108 &amp; $AM35),0)))))</f>
        <v>1.3303106733647931</v>
      </c>
      <c r="M35" s="596">
        <f ca="1">IF(ISERROR(MATCH(M$1,INDIRECT("Table!A"&amp;$AM35):INDIRECT("Table!" &amp; $AP$108 &amp; $AM35),0)),"",INDIRECT(CONCATENATE("Table!",ADDRESS($AI35,MATCH(M$1,INDIRECT("Table!A" &amp; $AM35):INDIRECT("Table!" &amp; $AP$108 &amp; $AM35),0)))))</f>
        <v>0.83696227852728733</v>
      </c>
      <c r="N35" s="596">
        <f ca="1">IF(ISERROR(MATCH(N$1,INDIRECT("Table!A"&amp;$AM35):INDIRECT("Table!" &amp; $AP$108 &amp; $AM35),0)),"",INDIRECT(CONCATENATE("Table!",ADDRESS($AI35,MATCH(N$1,INDIRECT("Table!A" &amp; $AM35):INDIRECT("Table!" &amp; $AP$108 &amp; $AM35),0)))))</f>
        <v>1.4048953019552304</v>
      </c>
      <c r="O35" s="596">
        <f ca="1">IF(ISERROR(MATCH(O$1,INDIRECT("Table!A"&amp;$AM35):INDIRECT("Table!" &amp; $AP$86 &amp; $AM35),0)),"",INDIRECT(CONCATENATE("Table!",ADDRESS($AI35,MATCH(O$1,INDIRECT("Table!A" &amp; $AM35):INDIRECT("Table!" &amp; $AP$86 &amp; $AM35),0)))))</f>
        <v>0.72945737955690471</v>
      </c>
      <c r="P35" s="596">
        <f ca="1">IF(ISERROR(MATCH(P$1,INDIRECT("Table!A"&amp;$AM35):INDIRECT("Table!" &amp; $AP$86 &amp; $AM35),0)),"",INDIRECT(CONCATENATE("Table!",ADDRESS($AI35,MATCH(P$1,INDIRECT("Table!A" &amp; $AM35):INDIRECT("Table!" &amp; $AP$86 &amp; $AM35),0)))))</f>
        <v>0.740615326811081</v>
      </c>
      <c r="Q35" s="596">
        <f ca="1">IF(ISERROR(MATCH(Q$1,INDIRECT("Table!A"&amp;$AM35):INDIRECT("Table!" &amp; $AP$86 &amp; $AM35),0)),"",INDIRECT(CONCATENATE("Table!",ADDRESS($AI35,MATCH(Q$1,INDIRECT("Table!A" &amp; $AM35):INDIRECT("Table!" &amp; $AP$86 &amp; $AM35),0)))))</f>
        <v>0.77791596518493533</v>
      </c>
      <c r="R35" s="596">
        <f ca="1">IF(ISERROR(MATCH(R$1,INDIRECT("Table!A"&amp;$AM35):INDIRECT("Table!" &amp; $AP$86 &amp; $AM35),0)),"",INDIRECT(CONCATENATE("Table!",ADDRESS($AI35,MATCH(R$1,INDIRECT("Table!A" &amp; $AM35):INDIRECT("Table!" &amp; $AP$86 &amp; $AM35),0)))))</f>
        <v>1.3837634287672846</v>
      </c>
      <c r="S35" s="596" t="str">
        <f ca="1">IF(ISERROR(MATCH(S$1,INDIRECT("Table!A"&amp;$AM35):INDIRECT("Table!" &amp; $AP$65 &amp; $AM35),0)),"",INDIRECT(CONCATENATE("Table!",ADDRESS($AI35,MATCH(S$1,INDIRECT("Table!A" &amp; $AM35):INDIRECT("Table!" &amp; $AP$65 &amp; $AM35),0)))))</f>
        <v/>
      </c>
      <c r="T35" s="596">
        <f ca="1">IF(ISERROR(MATCH(T$1,INDIRECT("Table!A"&amp;$AM35):INDIRECT("Table!" &amp; $AP$65 &amp; $AM35),0)),"",INDIRECT(CONCATENATE("Table!",ADDRESS($AI35,MATCH(T$1,INDIRECT("Table!A" &amp; $AM35):INDIRECT("Table!" &amp; $AP$65 &amp; $AM35),0)))))</f>
        <v>1.1238830177845605</v>
      </c>
      <c r="U35" s="596">
        <f ca="1">IF(ISERROR(MATCH(U$1,INDIRECT("Table!A"&amp;$AM35):INDIRECT("Table!" &amp; $AP$65 &amp; $AM35),0)),"",INDIRECT(CONCATENATE("Table!",ADDRESS($AI35,MATCH(U$1,INDIRECT("Table!A" &amp; $AM35):INDIRECT("Table!" &amp; $AP$65 &amp; $AM35),0)))))</f>
        <v>0.38831964891165549</v>
      </c>
      <c r="V35" s="596">
        <f ca="1">IF(ISERROR(MATCH(V$1,INDIRECT("Table!A"&amp;$AM35):INDIRECT("Table!" &amp; $AP$65 &amp; $AM35),0)),"",INDIRECT(CONCATENATE("Table!",ADDRESS($AI35,MATCH(V$1,INDIRECT("Table!A" &amp; $AM35):INDIRECT("Table!" &amp; $AP$65 &amp; $AM35),0)))))</f>
        <v>0.18942993797032409</v>
      </c>
      <c r="W35" s="596">
        <f ca="1">IF(ISERROR(MATCH(W$1,INDIRECT("Table!A"&amp;$AM35):INDIRECT("Table!" &amp; $AP$65 &amp; $AM35),0)),"",INDIRECT(CONCATENATE("Table!",ADDRESS($AI35,MATCH(W$1,INDIRECT("Table!A" &amp; $AM35):INDIRECT("Table!" &amp; $AP$65 &amp; $AM35),0)))))</f>
        <v>-3.2992323611865374E-4</v>
      </c>
      <c r="X35" s="596">
        <f ca="1">IF(ISERROR(MATCH(X$1,INDIRECT("Table!A"&amp;$AM35):INDIRECT("Table!" &amp; $AP$65 &amp; $AM35),0)),"",INDIRECT(CONCATENATE("Table!",ADDRESS($AI35,MATCH(X$1,INDIRECT("Table!A" &amp; $AM35):INDIRECT("Table!" &amp; $AP$65 &amp; $AM35),0)))))</f>
        <v>-1.6094302291446395E-4</v>
      </c>
      <c r="Y35" s="596" t="str">
        <f ca="1">IF(ISERROR(MATCH(Y$1,INDIRECT("Table!A"&amp;$AM35):INDIRECT("Table!" &amp; $AP$65 &amp; $AM35),0)),"",INDIRECT(CONCATENATE("Table!",ADDRESS($AI35,MATCH(Y$1,INDIRECT("Table!A" &amp; $AM35):INDIRECT("Table!" &amp; $AP$65 &amp; $AM35),0)))))</f>
        <v/>
      </c>
      <c r="Z35" s="596" t="str">
        <f ca="1">IF(ISERROR(MATCH(Z$1,INDIRECT("Table!A"&amp;$AM35):INDIRECT("Table!" &amp; $AP$65 &amp; $AM35),0)),"",INDIRECT(CONCATENATE("Table!",ADDRESS($AI35,MATCH(Z$1,INDIRECT("Table!A" &amp; $AM35):INDIRECT("Table!" &amp; $AP$65 &amp; $AM35),0)))))</f>
        <v/>
      </c>
      <c r="AA35" s="596" t="str">
        <f ca="1">IF(ISERROR(MATCH(AA$1,INDIRECT("Table!A"&amp;$AM35):INDIRECT("Table!" &amp; $AP$65 &amp; $AM35),0)),"",INDIRECT(CONCATENATE("Table!",ADDRESS($AI35,MATCH(AA$1,INDIRECT("Table!A" &amp; $AM35):INDIRECT("Table!" &amp; $AP$65 &amp; $AM35),0)))))</f>
        <v/>
      </c>
      <c r="AB35" s="596" t="str">
        <f ca="1">IF(ISERROR(MATCH(AB$1,INDIRECT("Table!A"&amp;$AM35):INDIRECT("Table!" &amp; $AP$65 &amp; $AM35),0)),"",INDIRECT(CONCATENATE("Table!",ADDRESS($AI35,MATCH(AB$1,INDIRECT("Table!A" &amp; $AM35):INDIRECT("Table!" &amp; $AP$65 &amp; $AM35),0)))))</f>
        <v/>
      </c>
      <c r="AC35" s="596"/>
      <c r="AD35" s="596"/>
      <c r="AE35" s="596"/>
      <c r="AF35" s="596"/>
      <c r="AG35" s="596"/>
      <c r="AH35" s="596"/>
      <c r="AI35" s="595">
        <f>MATCH($A35,Table!$A:$A,0)+$AK$2-1</f>
        <v>474</v>
      </c>
      <c r="AJ35" s="769"/>
      <c r="AK35" s="769"/>
      <c r="AL35" s="769"/>
      <c r="AM35" s="595">
        <f>MATCH($A35,Table!$A:$A,0)+$AO$2-1</f>
        <v>465</v>
      </c>
      <c r="AN35" s="769"/>
      <c r="AO35" s="769"/>
      <c r="AP35" s="973" t="s">
        <v>302</v>
      </c>
    </row>
    <row r="36" spans="1:42" s="743" customFormat="1" ht="19.5" customHeight="1" x14ac:dyDescent="0.25">
      <c r="A36" s="592">
        <v>41739</v>
      </c>
      <c r="B36" s="596">
        <f ca="1">IF(ISERROR(MATCH(B$1,INDIRECT("Table!A"&amp;$AM36):INDIRECT("Table!" &amp; $AP$108 &amp; $AM36),0)),"",INDIRECT(CONCATENATE("Table!",ADDRESS($AI36,MATCH(B$1,INDIRECT("Table!A" &amp; $AM36):INDIRECT("Table!" &amp; $AP$108 &amp; $AM36),0)))))</f>
        <v>0.74428171286593303</v>
      </c>
      <c r="C36" s="596">
        <f ca="1">IF(ISERROR(MATCH(C$1,INDIRECT("Table!A"&amp;$AM36):INDIRECT("Table!" &amp; $AP$108 &amp; $AM36),0)),"",INDIRECT(CONCATENATE("Table!",ADDRESS($AI36,MATCH(C$1,INDIRECT("Table!A" &amp; $AM36):INDIRECT("Table!" &amp; $AP$108 &amp; $AM36),0)))))</f>
        <v>0.65836058723051982</v>
      </c>
      <c r="D36" s="596">
        <f ca="1">IF(ISERROR(MATCH(D$1,INDIRECT("Table!A"&amp;$AM36):INDIRECT("Table!" &amp; $AP$108 &amp; $AM36),0)),"",INDIRECT(CONCATENATE("Table!",ADDRESS($AI36,MATCH(D$1,INDIRECT("Table!A" &amp; $AM36):INDIRECT("Table!" &amp; $AP$108 &amp; $AM36),0)))))</f>
        <v>0.66418480474259656</v>
      </c>
      <c r="E36" s="596">
        <f ca="1">IF(ISERROR(MATCH(E$1,INDIRECT("Table!A"&amp;$AM36):INDIRECT("Table!" &amp; $AP$108 &amp; $AM36),0)),"",INDIRECT(CONCATENATE("Table!",ADDRESS($AI36,MATCH(E$1,INDIRECT("Table!A" &amp; $AM36):INDIRECT("Table!" &amp; $AP$108 &amp; $AM36),0)))))</f>
        <v>1.4264978670189035</v>
      </c>
      <c r="F36" s="596">
        <f ca="1">IF(ISERROR(MATCH(F$1,INDIRECT("Table!A"&amp;$AM36):INDIRECT("Table!" &amp; $AP$108 &amp; $AM36),0)),"",INDIRECT(CONCATENATE("Table!",ADDRESS($AI36,MATCH(F$1,INDIRECT("Table!A" &amp; $AM36):INDIRECT("Table!" &amp; $AP$108 &amp; $AM36),0)))))</f>
        <v>0.7123122214064791</v>
      </c>
      <c r="G36" s="596">
        <f ca="1">IF(ISERROR(MATCH(G$1,INDIRECT("Table!A"&amp;$AM36):INDIRECT("Table!" &amp; $AP$108 &amp; $AM36),0)),"",INDIRECT(CONCATENATE("Table!",ADDRESS($AI36,MATCH(G$1,INDIRECT("Table!A" &amp; $AM36):INDIRECT("Table!" &amp; $AP$108 &amp; $AM36),0)))))</f>
        <v>1.1788246774752569</v>
      </c>
      <c r="H36" s="596">
        <f ca="1">IF(ISERROR(MATCH(H$1,INDIRECT("Table!A"&amp;$AM36):INDIRECT("Table!" &amp; $AP$108 &amp; $AM36),0)),"",INDIRECT(CONCATENATE("Table!",ADDRESS($AI36,MATCH(H$1,INDIRECT("Table!A" &amp; $AM36):INDIRECT("Table!" &amp; $AP$108 &amp; $AM36),0)))))</f>
        <v>1.3965139860038203</v>
      </c>
      <c r="I36" s="596">
        <f ca="1">IF(ISERROR(MATCH(I$1,INDIRECT("Table!A"&amp;$AM36):INDIRECT("Table!" &amp; $AP$86 &amp; $AM36),0)),"",INDIRECT(CONCATENATE("Table!",ADDRESS($AI36,MATCH(I$1,INDIRECT("Table!A" &amp; $AM36):INDIRECT("Table!" &amp; $AP$86 &amp; $AM36),0)))))</f>
        <v>0.27935439935114786</v>
      </c>
      <c r="J36" s="596">
        <f ca="1">IF(ISERROR(MATCH(J$1,INDIRECT("Table!A"&amp;$AM36):INDIRECT("Table!" &amp; $AP$86 &amp; $AM36),0)),"",INDIRECT(CONCATENATE("Table!",ADDRESS($AI36,MATCH(J$1,INDIRECT("Table!A" &amp; $AM36):INDIRECT("Table!" &amp; $AP$86 &amp; $AM36),0)))))</f>
        <v>1.0263062090386004</v>
      </c>
      <c r="K36" s="596">
        <f ca="1">IF(ISERROR(MATCH(K$1,INDIRECT("Table!A"&amp;$AM36):INDIRECT("Table!" &amp; $AP$86 &amp; $AM36),0)),"",INDIRECT(CONCATENATE("Table!",ADDRESS($AI36,MATCH(K$1,INDIRECT("Table!A" &amp; $AM36):INDIRECT("Table!" &amp; $AP$86 &amp; $AM36),0)))))</f>
        <v>0.74319351616807516</v>
      </c>
      <c r="L36" s="596">
        <f ca="1">IF(ISERROR(MATCH(L$1,INDIRECT("Table!A"&amp;$AM36):INDIRECT("Table!" &amp; $AP$108 &amp; $AM36),0)),"",INDIRECT(CONCATENATE("Table!",ADDRESS($AI36,MATCH(L$1,INDIRECT("Table!A" &amp; $AM36):INDIRECT("Table!" &amp; $AP$108 &amp; $AM36),0)))))</f>
        <v>1.3303106733647931</v>
      </c>
      <c r="M36" s="596">
        <f ca="1">IF(ISERROR(MATCH(M$1,INDIRECT("Table!A"&amp;$AM36):INDIRECT("Table!" &amp; $AP$108 &amp; $AM36),0)),"",INDIRECT(CONCATENATE("Table!",ADDRESS($AI36,MATCH(M$1,INDIRECT("Table!A" &amp; $AM36):INDIRECT("Table!" &amp; $AP$108 &amp; $AM36),0)))))</f>
        <v>0.83696227852728733</v>
      </c>
      <c r="N36" s="596">
        <f ca="1">IF(ISERROR(MATCH(N$1,INDIRECT("Table!A"&amp;$AM36):INDIRECT("Table!" &amp; $AP$108 &amp; $AM36),0)),"",INDIRECT(CONCATENATE("Table!",ADDRESS($AI36,MATCH(N$1,INDIRECT("Table!A" &amp; $AM36):INDIRECT("Table!" &amp; $AP$108 &amp; $AM36),0)))))</f>
        <v>1.4792004580991054</v>
      </c>
      <c r="O36" s="596">
        <f ca="1">IF(ISERROR(MATCH(O$1,INDIRECT("Table!A"&amp;$AM36):INDIRECT("Table!" &amp; $AP$86 &amp; $AM36),0)),"",INDIRECT(CONCATENATE("Table!",ADDRESS($AI36,MATCH(O$1,INDIRECT("Table!A" &amp; $AM36):INDIRECT("Table!" &amp; $AP$86 &amp; $AM36),0)))))</f>
        <v>0.72933527420378197</v>
      </c>
      <c r="P36" s="596">
        <f ca="1">IF(ISERROR(MATCH(P$1,INDIRECT("Table!A"&amp;$AM36):INDIRECT("Table!" &amp; $AP$86 &amp; $AM36),0)),"",INDIRECT(CONCATENATE("Table!",ADDRESS($AI36,MATCH(P$1,INDIRECT("Table!A" &amp; $AM36):INDIRECT("Table!" &amp; $AP$86 &amp; $AM36),0)))))</f>
        <v>0.740615326811081</v>
      </c>
      <c r="Q36" s="596">
        <f ca="1">IF(ISERROR(MATCH(Q$1,INDIRECT("Table!A"&amp;$AM36):INDIRECT("Table!" &amp; $AP$86 &amp; $AM36),0)),"",INDIRECT(CONCATENATE("Table!",ADDRESS($AI36,MATCH(Q$1,INDIRECT("Table!A" &amp; $AM36):INDIRECT("Table!" &amp; $AP$86 &amp; $AM36),0)))))</f>
        <v>0.72741565258414909</v>
      </c>
      <c r="R36" s="596">
        <f ca="1">IF(ISERROR(MATCH(R$1,INDIRECT("Table!A"&amp;$AM36):INDIRECT("Table!" &amp; $AP$86 &amp; $AM36),0)),"",INDIRECT(CONCATENATE("Table!",ADDRESS($AI36,MATCH(R$1,INDIRECT("Table!A" &amp; $AM36):INDIRECT("Table!" &amp; $AP$86 &amp; $AM36),0)))))</f>
        <v>1.3837634287672846</v>
      </c>
      <c r="S36" s="596" t="str">
        <f ca="1">IF(ISERROR(MATCH(S$1,INDIRECT("Table!A"&amp;$AM36):INDIRECT("Table!" &amp; $AP$65 &amp; $AM36),0)),"",INDIRECT(CONCATENATE("Table!",ADDRESS($AI36,MATCH(S$1,INDIRECT("Table!A" &amp; $AM36):INDIRECT("Table!" &amp; $AP$65 &amp; $AM36),0)))))</f>
        <v/>
      </c>
      <c r="T36" s="596">
        <f ca="1">IF(ISERROR(MATCH(T$1,INDIRECT("Table!A"&amp;$AM36):INDIRECT("Table!" &amp; $AP$65 &amp; $AM36),0)),"",INDIRECT(CONCATENATE("Table!",ADDRESS($AI36,MATCH(T$1,INDIRECT("Table!A" &amp; $AM36):INDIRECT("Table!" &amp; $AP$65 &amp; $AM36),0)))))</f>
        <v>1.107580090962663</v>
      </c>
      <c r="U36" s="596">
        <f ca="1">IF(ISERROR(MATCH(U$1,INDIRECT("Table!A"&amp;$AM36):INDIRECT("Table!" &amp; $AP$65 &amp; $AM36),0)),"",INDIRECT(CONCATENATE("Table!",ADDRESS($AI36,MATCH(U$1,INDIRECT("Table!A" &amp; $AM36):INDIRECT("Table!" &amp; $AP$65 &amp; $AM36),0)))))</f>
        <v>0.38831964891165549</v>
      </c>
      <c r="V36" s="596">
        <f ca="1">IF(ISERROR(MATCH(V$1,INDIRECT("Table!A"&amp;$AM36):INDIRECT("Table!" &amp; $AP$65 &amp; $AM36),0)),"",INDIRECT(CONCATENATE("Table!",ADDRESS($AI36,MATCH(V$1,INDIRECT("Table!A" &amp; $AM36):INDIRECT("Table!" &amp; $AP$65 &amp; $AM36),0)))))</f>
        <v>0.18942993797032409</v>
      </c>
      <c r="W36" s="596" t="str">
        <f ca="1">IF(ISERROR(MATCH(W$1,INDIRECT("Table!A"&amp;$AM36):INDIRECT("Table!" &amp; $AP$65 &amp; $AM36),0)),"",INDIRECT(CONCATENATE("Table!",ADDRESS($AI36,MATCH(W$1,INDIRECT("Table!A" &amp; $AM36):INDIRECT("Table!" &amp; $AP$65 &amp; $AM36),0)))))</f>
        <v/>
      </c>
      <c r="X36" s="596"/>
      <c r="Y36" s="596"/>
      <c r="Z36" s="596"/>
      <c r="AA36" s="596"/>
      <c r="AB36" s="596"/>
      <c r="AC36" s="596"/>
      <c r="AD36" s="596"/>
      <c r="AE36" s="596"/>
      <c r="AF36" s="596"/>
      <c r="AG36" s="596"/>
      <c r="AH36" s="596"/>
      <c r="AI36" s="595">
        <f>MATCH($A36,Table!$A:$A,0)+$AK$2-1</f>
        <v>488</v>
      </c>
      <c r="AJ36" s="764"/>
      <c r="AK36" s="764"/>
      <c r="AL36" s="764"/>
      <c r="AM36" s="595">
        <f>MATCH($A36,Table!$A:$A,0)+$AO$2-1</f>
        <v>479</v>
      </c>
      <c r="AN36" s="764"/>
      <c r="AO36" s="764"/>
      <c r="AP36" s="973" t="s">
        <v>302</v>
      </c>
    </row>
    <row r="37" spans="1:42" s="743" customFormat="1" ht="19.5" customHeight="1" x14ac:dyDescent="0.25">
      <c r="A37" s="592">
        <v>41732</v>
      </c>
      <c r="B37" s="596">
        <f ca="1">IF(ISERROR(MATCH(B$1,INDIRECT("Table!A"&amp;$AM37):INDIRECT("Table!" &amp; $AP$108 &amp; $AM37),0)),"",INDIRECT(CONCATENATE("Table!",ADDRESS($AI37,MATCH(B$1,INDIRECT("Table!A" &amp; $AM37):INDIRECT("Table!" &amp; $AP$108 &amp; $AM37),0)))))</f>
        <v>0.74320284827036731</v>
      </c>
      <c r="C37" s="596">
        <f ca="1">IF(ISERROR(MATCH(C$1,INDIRECT("Table!A"&amp;$AM37):INDIRECT("Table!" &amp; $AP$108 &amp; $AM37),0)),"",INDIRECT(CONCATENATE("Table!",ADDRESS($AI37,MATCH(C$1,INDIRECT("Table!A" &amp; $AM37):INDIRECT("Table!" &amp; $AP$108 &amp; $AM37),0)))))</f>
        <v>0.65836058723051982</v>
      </c>
      <c r="D37" s="596">
        <f ca="1">IF(ISERROR(MATCH(D$1,INDIRECT("Table!A"&amp;$AM37):INDIRECT("Table!" &amp; $AP$108 &amp; $AM37),0)),"",INDIRECT(CONCATENATE("Table!",ADDRESS($AI37,MATCH(D$1,INDIRECT("Table!A" &amp; $AM37):INDIRECT("Table!" &amp; $AP$108 &amp; $AM37),0)))))</f>
        <v>0.66418480474259656</v>
      </c>
      <c r="E37" s="596">
        <f ca="1">IF(ISERROR(MATCH(E$1,INDIRECT("Table!A"&amp;$AM37):INDIRECT("Table!" &amp; $AP$108 &amp; $AM37),0)),"",INDIRECT(CONCATENATE("Table!",ADDRESS($AI37,MATCH(E$1,INDIRECT("Table!A" &amp; $AM37):INDIRECT("Table!" &amp; $AP$108 &amp; $AM37),0)))))</f>
        <v>1.4264978670189035</v>
      </c>
      <c r="F37" s="596">
        <f ca="1">IF(ISERROR(MATCH(F$1,INDIRECT("Table!A"&amp;$AM37):INDIRECT("Table!" &amp; $AP$108 &amp; $AM37),0)),"",INDIRECT(CONCATENATE("Table!",ADDRESS($AI37,MATCH(F$1,INDIRECT("Table!A" &amp; $AM37):INDIRECT("Table!" &amp; $AP$108 &amp; $AM37),0)))))</f>
        <v>0.7123122214064791</v>
      </c>
      <c r="G37" s="596">
        <f ca="1">IF(ISERROR(MATCH(G$1,INDIRECT("Table!A"&amp;$AM37):INDIRECT("Table!" &amp; $AP$108 &amp; $AM37),0)),"",INDIRECT(CONCATENATE("Table!",ADDRESS($AI37,MATCH(G$1,INDIRECT("Table!A" &amp; $AM37):INDIRECT("Table!" &amp; $AP$108 &amp; $AM37),0)))))</f>
        <v>1.1788246774752569</v>
      </c>
      <c r="H37" s="596">
        <f ca="1">IF(ISERROR(MATCH(H$1,INDIRECT("Table!A"&amp;$AM37):INDIRECT("Table!" &amp; $AP$108 &amp; $AM37),0)),"",INDIRECT(CONCATENATE("Table!",ADDRESS($AI37,MATCH(H$1,INDIRECT("Table!A" &amp; $AM37):INDIRECT("Table!" &amp; $AP$108 &amp; $AM37),0)))))</f>
        <v>1.3941613020459309</v>
      </c>
      <c r="I37" s="596">
        <f ca="1">IF(ISERROR(MATCH(I$1,INDIRECT("Table!A"&amp;$AM37):INDIRECT("Table!" &amp; $AP$86 &amp; $AM37),0)),"",INDIRECT(CONCATENATE("Table!",ADDRESS($AI37,MATCH(I$1,INDIRECT("Table!A" &amp; $AM37):INDIRECT("Table!" &amp; $AP$86 &amp; $AM37),0)))))</f>
        <v>0.27813628423769809</v>
      </c>
      <c r="J37" s="596">
        <f ca="1">IF(ISERROR(MATCH(J$1,INDIRECT("Table!A"&amp;$AM37):INDIRECT("Table!" &amp; $AP$86 &amp; $AM37),0)),"",INDIRECT(CONCATENATE("Table!",ADDRESS($AI37,MATCH(J$1,INDIRECT("Table!A" &amp; $AM37):INDIRECT("Table!" &amp; $AP$86 &amp; $AM37),0)))))</f>
        <v>1.0233156478996801</v>
      </c>
      <c r="K37" s="596">
        <f ca="1">IF(ISERROR(MATCH(K$1,INDIRECT("Table!A"&amp;$AM37):INDIRECT("Table!" &amp; $AP$86 &amp; $AM37),0)),"",INDIRECT(CONCATENATE("Table!",ADDRESS($AI37,MATCH(K$1,INDIRECT("Table!A" &amp; $AM37):INDIRECT("Table!" &amp; $AP$86 &amp; $AM37),0)))))</f>
        <v>0.73341267418570522</v>
      </c>
      <c r="L37" s="596">
        <f ca="1">IF(ISERROR(MATCH(L$1,INDIRECT("Table!A"&amp;$AM37):INDIRECT("Table!" &amp; $AP$108 &amp; $AM37),0)),"",INDIRECT(CONCATENATE("Table!",ADDRESS($AI37,MATCH(L$1,INDIRECT("Table!A" &amp; $AM37):INDIRECT("Table!" &amp; $AP$108 &amp; $AM37),0)))))</f>
        <v>1.3303106733647931</v>
      </c>
      <c r="M37" s="596">
        <f ca="1">IF(ISERROR(MATCH(M$1,INDIRECT("Table!A"&amp;$AM37):INDIRECT("Table!" &amp; $AP$108 &amp; $AM37),0)),"",INDIRECT(CONCATENATE("Table!",ADDRESS($AI37,MATCH(M$1,INDIRECT("Table!A" &amp; $AM37):INDIRECT("Table!" &amp; $AP$108 &amp; $AM37),0)))))</f>
        <v>0.83696227852728733</v>
      </c>
      <c r="N37" s="596">
        <f ca="1">IF(ISERROR(MATCH(N$1,INDIRECT("Table!A"&amp;$AM37):INDIRECT("Table!" &amp; $AP$108 &amp; $AM37),0)),"",INDIRECT(CONCATENATE("Table!",ADDRESS($AI37,MATCH(N$1,INDIRECT("Table!A" &amp; $AM37):INDIRECT("Table!" &amp; $AP$108 &amp; $AM37),0)))))</f>
        <v>1.4792004580991054</v>
      </c>
      <c r="O37" s="596">
        <f ca="1">IF(ISERROR(MATCH(O$1,INDIRECT("Table!A"&amp;$AM37):INDIRECT("Table!" &amp; $AP$86 &amp; $AM37),0)),"",INDIRECT(CONCATENATE("Table!",ADDRESS($AI37,MATCH(O$1,INDIRECT("Table!A" &amp; $AM37):INDIRECT("Table!" &amp; $AP$86 &amp; $AM37),0)))))</f>
        <v>0.72787000996630558</v>
      </c>
      <c r="P37" s="596">
        <f ca="1">IF(ISERROR(MATCH(P$1,INDIRECT("Table!A"&amp;$AM37):INDIRECT("Table!" &amp; $AP$86 &amp; $AM37),0)),"",INDIRECT(CONCATENATE("Table!",ADDRESS($AI37,MATCH(P$1,INDIRECT("Table!A" &amp; $AM37):INDIRECT("Table!" &amp; $AP$86 &amp; $AM37),0)))))</f>
        <v>0.73817909218341304</v>
      </c>
      <c r="Q37" s="596">
        <f ca="1">IF(ISERROR(MATCH(Q$1,INDIRECT("Table!A"&amp;$AM37):INDIRECT("Table!" &amp; $AP$86 &amp; $AM37),0)),"",INDIRECT(CONCATENATE("Table!",ADDRESS($AI37,MATCH(Q$1,INDIRECT("Table!A" &amp; $AM37):INDIRECT("Table!" &amp; $AP$86 &amp; $AM37),0)))))</f>
        <v>0.7210811185993814</v>
      </c>
      <c r="R37" s="596">
        <f ca="1">IF(ISERROR(MATCH(R$1,INDIRECT("Table!A"&amp;$AM37):INDIRECT("Table!" &amp; $AP$86 &amp; $AM37),0)),"",INDIRECT(CONCATENATE("Table!",ADDRESS($AI37,MATCH(R$1,INDIRECT("Table!A" &amp; $AM37):INDIRECT("Table!" &amp; $AP$86 &amp; $AM37),0)))))</f>
        <v>1.3052157439242524</v>
      </c>
      <c r="S37" s="596" t="str">
        <f ca="1">IF(ISERROR(MATCH(S$1,INDIRECT("Table!A"&amp;$AM37):INDIRECT("Table!" &amp; $AP$65 &amp; $AM37),0)),"",INDIRECT(CONCATENATE("Table!",ADDRESS($AI37,MATCH(S$1,INDIRECT("Table!A" &amp; $AM37):INDIRECT("Table!" &amp; $AP$65 &amp; $AM37),0)))))</f>
        <v/>
      </c>
      <c r="T37" s="596">
        <f ca="1">IF(ISERROR(MATCH(T$1,INDIRECT("Table!A"&amp;$AM37):INDIRECT("Table!" &amp; $AP$65 &amp; $AM37),0)),"",INDIRECT(CONCATENATE("Table!",ADDRESS($AI37,MATCH(T$1,INDIRECT("Table!A" &amp; $AM37):INDIRECT("Table!" &amp; $AP$65 &amp; $AM37),0)))))</f>
        <v>1.107580090962663</v>
      </c>
      <c r="U37" s="596">
        <f ca="1">IF(ISERROR(MATCH(U$1,INDIRECT("Table!A"&amp;$AM37):INDIRECT("Table!" &amp; $AP$65 &amp; $AM37),0)),"",INDIRECT(CONCATENATE("Table!",ADDRESS($AI37,MATCH(U$1,INDIRECT("Table!A" &amp; $AM37):INDIRECT("Table!" &amp; $AP$65 &amp; $AM37),0)))))</f>
        <v>0.38337080036987564</v>
      </c>
      <c r="V37" s="596">
        <f ca="1">IF(ISERROR(MATCH(V$1,INDIRECT("Table!A"&amp;$AM37):INDIRECT("Table!" &amp; $AP$65 &amp; $AM37),0)),"",INDIRECT(CONCATENATE("Table!",ADDRESS($AI37,MATCH(V$1,INDIRECT("Table!A" &amp; $AM37):INDIRECT("Table!" &amp; $AP$65 &amp; $AM37),0)))))</f>
        <v>0.18701579262660711</v>
      </c>
      <c r="W37" s="596" t="str">
        <f ca="1">IF(ISERROR(MATCH(W$1,INDIRECT("Table!A"&amp;$AM37):INDIRECT("Table!" &amp; $AP$65 &amp; $AM37),0)),"",INDIRECT(CONCATENATE("Table!",ADDRESS($AI37,MATCH(W$1,INDIRECT("Table!A" &amp; $AM37):INDIRECT("Table!" &amp; $AP$65 &amp; $AM37),0)))))</f>
        <v/>
      </c>
      <c r="X37" s="596"/>
      <c r="Y37" s="596"/>
      <c r="Z37" s="596"/>
      <c r="AA37" s="596"/>
      <c r="AB37" s="596"/>
      <c r="AC37" s="596"/>
      <c r="AD37" s="596"/>
      <c r="AE37" s="596"/>
      <c r="AF37" s="596"/>
      <c r="AG37" s="596"/>
      <c r="AH37" s="596"/>
      <c r="AI37" s="595">
        <f>MATCH($A37,Table!$A:$A,0)+$AK$2-1</f>
        <v>502</v>
      </c>
      <c r="AJ37" s="759"/>
      <c r="AK37" s="759"/>
      <c r="AL37" s="759"/>
      <c r="AM37" s="595">
        <f>MATCH($A37,Table!$A:$A,0)+$AO$2-1</f>
        <v>493</v>
      </c>
      <c r="AN37" s="759"/>
      <c r="AO37" s="759"/>
      <c r="AP37" s="973" t="s">
        <v>302</v>
      </c>
    </row>
    <row r="38" spans="1:42" s="743" customFormat="1" ht="19.5" customHeight="1" x14ac:dyDescent="0.25">
      <c r="A38" s="592">
        <v>41725</v>
      </c>
      <c r="B38" s="596">
        <f ca="1">IF(ISERROR(MATCH(B$1,INDIRECT("Table!A"&amp;$AM38):INDIRECT("Table!" &amp; $AP$108 &amp; $AM38),0)),"",INDIRECT(CONCATENATE("Table!",ADDRESS($AI38,MATCH(B$1,INDIRECT("Table!A" &amp; $AM38):INDIRECT("Table!" &amp; $AP$108 &amp; $AM38),0)))))</f>
        <v>0.74320284827036731</v>
      </c>
      <c r="C38" s="596">
        <f ca="1">IF(ISERROR(MATCH(C$1,INDIRECT("Table!A"&amp;$AM38):INDIRECT("Table!" &amp; $AP$108 &amp; $AM38),0)),"",INDIRECT(CONCATENATE("Table!",ADDRESS($AI38,MATCH(C$1,INDIRECT("Table!A" &amp; $AM38):INDIRECT("Table!" &amp; $AP$108 &amp; $AM38),0)))))</f>
        <v>0.65836058723051982</v>
      </c>
      <c r="D38" s="596">
        <f ca="1">IF(ISERROR(MATCH(D$1,INDIRECT("Table!A"&amp;$AM38):INDIRECT("Table!" &amp; $AP$108 &amp; $AM38),0)),"",INDIRECT(CONCATENATE("Table!",ADDRESS($AI38,MATCH(D$1,INDIRECT("Table!A" &amp; $AM38):INDIRECT("Table!" &amp; $AP$108 &amp; $AM38),0)))))</f>
        <v>0.66418480474259656</v>
      </c>
      <c r="E38" s="596">
        <f ca="1">IF(ISERROR(MATCH(E$1,INDIRECT("Table!A"&amp;$AM38):INDIRECT("Table!" &amp; $AP$108 &amp; $AM38),0)),"",INDIRECT(CONCATENATE("Table!",ADDRESS($AI38,MATCH(E$1,INDIRECT("Table!A" &amp; $AM38):INDIRECT("Table!" &amp; $AP$108 &amp; $AM38),0)))))</f>
        <v>1.4264978670189035</v>
      </c>
      <c r="F38" s="596">
        <f ca="1">IF(ISERROR(MATCH(F$1,INDIRECT("Table!A"&amp;$AM38):INDIRECT("Table!" &amp; $AP$108 &amp; $AM38),0)),"",INDIRECT(CONCATENATE("Table!",ADDRESS($AI38,MATCH(F$1,INDIRECT("Table!A" &amp; $AM38):INDIRECT("Table!" &amp; $AP$108 &amp; $AM38),0)))))</f>
        <v>0.7123122214064791</v>
      </c>
      <c r="G38" s="596">
        <f ca="1">IF(ISERROR(MATCH(G$1,INDIRECT("Table!A"&amp;$AM38):INDIRECT("Table!" &amp; $AP$108 &amp; $AM38),0)),"",INDIRECT(CONCATENATE("Table!",ADDRESS($AI38,MATCH(G$1,INDIRECT("Table!A" &amp; $AM38):INDIRECT("Table!" &amp; $AP$108 &amp; $AM38),0)))))</f>
        <v>1.1788246774752569</v>
      </c>
      <c r="H38" s="596">
        <f ca="1">IF(ISERROR(MATCH(H$1,INDIRECT("Table!A"&amp;$AM38):INDIRECT("Table!" &amp; $AP$108 &amp; $AM38),0)),"",INDIRECT(CONCATENATE("Table!",ADDRESS($AI38,MATCH(H$1,INDIRECT("Table!A" &amp; $AM38):INDIRECT("Table!" &amp; $AP$108 &amp; $AM38),0)))))</f>
        <v>1.3941613020459309</v>
      </c>
      <c r="I38" s="596">
        <f ca="1">IF(ISERROR(MATCH(I$1,INDIRECT("Table!A"&amp;$AM38):INDIRECT("Table!" &amp; $AP$86 &amp; $AM38),0)),"",INDIRECT(CONCATENATE("Table!",ADDRESS($AI38,MATCH(I$1,INDIRECT("Table!A" &amp; $AM38):INDIRECT("Table!" &amp; $AP$86 &amp; $AM38),0)))))</f>
        <v>0.27813628423769809</v>
      </c>
      <c r="J38" s="596">
        <f ca="1">IF(ISERROR(MATCH(J$1,INDIRECT("Table!A"&amp;$AM38):INDIRECT("Table!" &amp; $AP$86 &amp; $AM38),0)),"",INDIRECT(CONCATENATE("Table!",ADDRESS($AI38,MATCH(J$1,INDIRECT("Table!A" &amp; $AM38):INDIRECT("Table!" &amp; $AP$86 &amp; $AM38),0)))))</f>
        <v>1.0233156478996801</v>
      </c>
      <c r="K38" s="596">
        <f ca="1">IF(ISERROR(MATCH(K$1,INDIRECT("Table!A"&amp;$AM38):INDIRECT("Table!" &amp; $AP$86 &amp; $AM38),0)),"",INDIRECT(CONCATENATE("Table!",ADDRESS($AI38,MATCH(K$1,INDIRECT("Table!A" &amp; $AM38):INDIRECT("Table!" &amp; $AP$86 &amp; $AM38),0)))))</f>
        <v>0.73341267418570522</v>
      </c>
      <c r="L38" s="596">
        <f ca="1">IF(ISERROR(MATCH(L$1,INDIRECT("Table!A"&amp;$AM38):INDIRECT("Table!" &amp; $AP$108 &amp; $AM38),0)),"",INDIRECT(CONCATENATE("Table!",ADDRESS($AI38,MATCH(L$1,INDIRECT("Table!A" &amp; $AM38):INDIRECT("Table!" &amp; $AP$108 &amp; $AM38),0)))))</f>
        <v>1.3303106733647931</v>
      </c>
      <c r="M38" s="596">
        <f ca="1">IF(ISERROR(MATCH(M$1,INDIRECT("Table!A"&amp;$AM38):INDIRECT("Table!" &amp; $AP$108 &amp; $AM38),0)),"",INDIRECT(CONCATENATE("Table!",ADDRESS($AI38,MATCH(M$1,INDIRECT("Table!A" &amp; $AM38):INDIRECT("Table!" &amp; $AP$108 &amp; $AM38),0)))))</f>
        <v>0.83696227852728733</v>
      </c>
      <c r="N38" s="596">
        <f ca="1">IF(ISERROR(MATCH(N$1,INDIRECT("Table!A"&amp;$AM38):INDIRECT("Table!" &amp; $AP$108 &amp; $AM38),0)),"",INDIRECT(CONCATENATE("Table!",ADDRESS($AI38,MATCH(N$1,INDIRECT("Table!A" &amp; $AM38):INDIRECT("Table!" &amp; $AP$108 &amp; $AM38),0)))))</f>
        <v>1.4792004580991054</v>
      </c>
      <c r="O38" s="596">
        <f ca="1">IF(ISERROR(MATCH(O$1,INDIRECT("Table!A"&amp;$AM38):INDIRECT("Table!" &amp; $AP$86 &amp; $AM38),0)),"",INDIRECT(CONCATENATE("Table!",ADDRESS($AI38,MATCH(O$1,INDIRECT("Table!A" &amp; $AM38):INDIRECT("Table!" &amp; $AP$86 &amp; $AM38),0)))))</f>
        <v>0.72787000996630558</v>
      </c>
      <c r="P38" s="596">
        <f ca="1">IF(ISERROR(MATCH(P$1,INDIRECT("Table!A"&amp;$AM38):INDIRECT("Table!" &amp; $AP$86 &amp; $AM38),0)),"",INDIRECT(CONCATENATE("Table!",ADDRESS($AI38,MATCH(P$1,INDIRECT("Table!A" &amp; $AM38):INDIRECT("Table!" &amp; $AP$86 &amp; $AM38),0)))))</f>
        <v>0.73817909218341304</v>
      </c>
      <c r="Q38" s="596">
        <f ca="1">IF(ISERROR(MATCH(Q$1,INDIRECT("Table!A"&amp;$AM38):INDIRECT("Table!" &amp; $AP$86 &amp; $AM38),0)),"",INDIRECT(CONCATENATE("Table!",ADDRESS($AI38,MATCH(Q$1,INDIRECT("Table!A" &amp; $AM38):INDIRECT("Table!" &amp; $AP$86 &amp; $AM38),0)))))</f>
        <v>0.7210811185993814</v>
      </c>
      <c r="R38" s="596">
        <f ca="1">IF(ISERROR(MATCH(R$1,INDIRECT("Table!A"&amp;$AM38):INDIRECT("Table!" &amp; $AP$86 &amp; $AM38),0)),"",INDIRECT(CONCATENATE("Table!",ADDRESS($AI38,MATCH(R$1,INDIRECT("Table!A" &amp; $AM38):INDIRECT("Table!" &amp; $AP$86 &amp; $AM38),0)))))</f>
        <v>1.3052157439242524</v>
      </c>
      <c r="S38" s="596" t="str">
        <f ca="1">IF(ISERROR(MATCH(S$1,INDIRECT("Table!A"&amp;$AM38):INDIRECT("Table!" &amp; $AP$65 &amp; $AM38),0)),"",INDIRECT(CONCATENATE("Table!",ADDRESS($AI38,MATCH(S$1,INDIRECT("Table!A" &amp; $AM38):INDIRECT("Table!" &amp; $AP$65 &amp; $AM38),0)))))</f>
        <v/>
      </c>
      <c r="T38" s="596">
        <f ca="1">IF(ISERROR(MATCH(T$1,INDIRECT("Table!A"&amp;$AM38):INDIRECT("Table!" &amp; $AP$65 &amp; $AM38),0)),"",INDIRECT(CONCATENATE("Table!",ADDRESS($AI38,MATCH(T$1,INDIRECT("Table!A" &amp; $AM38):INDIRECT("Table!" &amp; $AP$65 &amp; $AM38),0)))))</f>
        <v>1.107580090962663</v>
      </c>
      <c r="U38" s="596">
        <f ca="1">IF(ISERROR(MATCH(U$1,INDIRECT("Table!A"&amp;$AM38):INDIRECT("Table!" &amp; $AP$65 &amp; $AM38),0)),"",INDIRECT(CONCATENATE("Table!",ADDRESS($AI38,MATCH(U$1,INDIRECT("Table!A" &amp; $AM38):INDIRECT("Table!" &amp; $AP$65 &amp; $AM38),0)))))</f>
        <v>0.38337080036987564</v>
      </c>
      <c r="V38" s="596">
        <f ca="1">IF(ISERROR(MATCH(V$1,INDIRECT("Table!A"&amp;$AM38):INDIRECT("Table!" &amp; $AP$65 &amp; $AM38),0)),"",INDIRECT(CONCATENATE("Table!",ADDRESS($AI38,MATCH(V$1,INDIRECT("Table!A" &amp; $AM38):INDIRECT("Table!" &amp; $AP$65 &amp; $AM38),0)))))</f>
        <v>0.18701579262660711</v>
      </c>
      <c r="W38" s="596" t="str">
        <f ca="1">IF(ISERROR(MATCH(W$1,INDIRECT("Table!A"&amp;$AM38):INDIRECT("Table!" &amp; $AP$65 &amp; $AM38),0)),"",INDIRECT(CONCATENATE("Table!",ADDRESS($AI38,MATCH(W$1,INDIRECT("Table!A" &amp; $AM38):INDIRECT("Table!" &amp; $AP$65 &amp; $AM38),0)))))</f>
        <v/>
      </c>
      <c r="X38" s="596"/>
      <c r="Y38" s="596"/>
      <c r="Z38" s="596"/>
      <c r="AA38" s="596"/>
      <c r="AB38" s="596"/>
      <c r="AC38" s="596"/>
      <c r="AD38" s="596"/>
      <c r="AE38" s="596"/>
      <c r="AF38" s="596"/>
      <c r="AG38" s="596"/>
      <c r="AH38" s="596"/>
      <c r="AI38" s="595">
        <f>MATCH($A38,Table!$A:$A,0)+$AK$2-1</f>
        <v>516</v>
      </c>
      <c r="AJ38" s="742"/>
      <c r="AK38" s="742"/>
      <c r="AL38" s="742"/>
      <c r="AM38" s="595">
        <f>MATCH($A38,Table!$A:$A,0)+$AO$2-1</f>
        <v>507</v>
      </c>
      <c r="AN38" s="742"/>
      <c r="AO38" s="742"/>
      <c r="AP38" s="973" t="s">
        <v>302</v>
      </c>
    </row>
    <row r="39" spans="1:42" s="743" customFormat="1" ht="19.5" customHeight="1" x14ac:dyDescent="0.25">
      <c r="A39" s="592">
        <v>41709</v>
      </c>
      <c r="B39" s="596">
        <f ca="1">IF(ISERROR(MATCH(B$1,INDIRECT("Table!A"&amp;$AM39):INDIRECT("Table!" &amp; $AP$108 &amp; $AM39),0)),"",INDIRECT(CONCATENATE("Table!",ADDRESS($AI39,MATCH(B$1,INDIRECT("Table!A" &amp; $AM39):INDIRECT("Table!" &amp; $AP$108 &amp; $AM39),0)))))</f>
        <v>0.74724859050373893</v>
      </c>
      <c r="C39" s="596">
        <f ca="1">IF(ISERROR(MATCH(C$1,INDIRECT("Table!A"&amp;$AM39):INDIRECT("Table!" &amp; $AP$108 &amp; $AM39),0)),"",INDIRECT(CONCATENATE("Table!",ADDRESS($AI39,MATCH(C$1,INDIRECT("Table!A" &amp; $AM39):INDIRECT("Table!" &amp; $AP$108 &amp; $AM39),0)))))</f>
        <v>0.65836058723051982</v>
      </c>
      <c r="D39" s="596">
        <f ca="1">IF(ISERROR(MATCH(D$1,INDIRECT("Table!A"&amp;$AM39):INDIRECT("Table!" &amp; $AP$108 &amp; $AM39),0)),"",INDIRECT(CONCATENATE("Table!",ADDRESS($AI39,MATCH(D$1,INDIRECT("Table!A" &amp; $AM39):INDIRECT("Table!" &amp; $AP$108 &amp; $AM39),0)))))</f>
        <v>0.66418480474259656</v>
      </c>
      <c r="E39" s="596">
        <f ca="1">IF(ISERROR(MATCH(E$1,INDIRECT("Table!A"&amp;$AM39):INDIRECT("Table!" &amp; $AP$108 &amp; $AM39),0)),"",INDIRECT(CONCATENATE("Table!",ADDRESS($AI39,MATCH(E$1,INDIRECT("Table!A" &amp; $AM39):INDIRECT("Table!" &amp; $AP$108 &amp; $AM39),0)))))</f>
        <v>1.4353903212548655</v>
      </c>
      <c r="F39" s="596">
        <f ca="1">IF(ISERROR(MATCH(F$1,INDIRECT("Table!A"&amp;$AM39):INDIRECT("Table!" &amp; $AP$108 &amp; $AM39),0)),"",INDIRECT(CONCATENATE("Table!",ADDRESS($AI39,MATCH(F$1,INDIRECT("Table!A" &amp; $AM39):INDIRECT("Table!" &amp; $AP$108 &amp; $AM39),0)))))</f>
        <v>0.71800746475296151</v>
      </c>
      <c r="G39" s="596">
        <f ca="1">IF(ISERROR(MATCH(G$1,INDIRECT("Table!A"&amp;$AM39):INDIRECT("Table!" &amp; $AP$108 &amp; $AM39),0)),"",INDIRECT(CONCATENATE("Table!",ADDRESS($AI39,MATCH(G$1,INDIRECT("Table!A" &amp; $AM39):INDIRECT("Table!" &amp; $AP$108 &amp; $AM39),0)))))</f>
        <v>1.1788246774752569</v>
      </c>
      <c r="H39" s="596">
        <f ca="1">IF(ISERROR(MATCH(H$1,INDIRECT("Table!A"&amp;$AM39):INDIRECT("Table!" &amp; $AP$108 &amp; $AM39),0)),"",INDIRECT(CONCATENATE("Table!",ADDRESS($AI39,MATCH(H$1,INDIRECT("Table!A" &amp; $AM39):INDIRECT("Table!" &amp; $AP$108 &amp; $AM39),0)))))</f>
        <v>1.3914165040950601</v>
      </c>
      <c r="I39" s="596">
        <f ca="1">IF(ISERROR(MATCH(I$1,INDIRECT("Table!A"&amp;$AM39):INDIRECT("Table!" &amp; $AP$86 &amp; $AM39),0)),"",INDIRECT(CONCATENATE("Table!",ADDRESS($AI39,MATCH(I$1,INDIRECT("Table!A" &amp; $AM39):INDIRECT("Table!" &amp; $AP$86 &amp; $AM39),0)))))</f>
        <v>0.26697022903107515</v>
      </c>
      <c r="J39" s="596">
        <f ca="1">IF(ISERROR(MATCH(J$1,INDIRECT("Table!A"&amp;$AM39):INDIRECT("Table!" &amp; $AP$86 &amp; $AM39),0)),"",INDIRECT(CONCATENATE("Table!",ADDRESS($AI39,MATCH(J$1,INDIRECT("Table!A" &amp; $AM39):INDIRECT("Table!" &amp; $AP$86 &amp; $AM39),0)))))</f>
        <v>1.0159751796496026</v>
      </c>
      <c r="K39" s="596">
        <f ca="1">IF(ISERROR(MATCH(K$1,INDIRECT("Table!A"&amp;$AM39):INDIRECT("Table!" &amp; $AP$86 &amp; $AM39),0)),"",INDIRECT(CONCATENATE("Table!",ADDRESS($AI39,MATCH(K$1,INDIRECT("Table!A" &amp; $AM39):INDIRECT("Table!" &amp; $AP$86 &amp; $AM39),0)))))</f>
        <v>0.72498610263166341</v>
      </c>
      <c r="L39" s="596">
        <f ca="1">IF(ISERROR(MATCH(L$1,INDIRECT("Table!A"&amp;$AM39):INDIRECT("Table!" &amp; $AP$108 &amp; $AM39),0)),"",INDIRECT(CONCATENATE("Table!",ADDRESS($AI39,MATCH(L$1,INDIRECT("Table!A" &amp; $AM39):INDIRECT("Table!" &amp; $AP$108 &amp; $AM39),0)))))</f>
        <v>1.3303106733647931</v>
      </c>
      <c r="M39" s="596">
        <f ca="1">IF(ISERROR(MATCH(M$1,INDIRECT("Table!A"&amp;$AM39):INDIRECT("Table!" &amp; $AP$108 &amp; $AM39),0)),"",INDIRECT(CONCATENATE("Table!",ADDRESS($AI39,MATCH(M$1,INDIRECT("Table!A" &amp; $AM39):INDIRECT("Table!" &amp; $AP$108 &amp; $AM39),0)))))</f>
        <v>0.83650063358601467</v>
      </c>
      <c r="N39" s="596">
        <f ca="1">IF(ISERROR(MATCH(N$1,INDIRECT("Table!A"&amp;$AM39):INDIRECT("Table!" &amp; $AP$108 &amp; $AM39),0)),"",INDIRECT(CONCATENATE("Table!",ADDRESS($AI39,MATCH(N$1,INDIRECT("Table!A" &amp; $AM39):INDIRECT("Table!" &amp; $AP$108 &amp; $AM39),0)))))</f>
        <v>1.4930057876558909</v>
      </c>
      <c r="O39" s="596">
        <f ca="1">IF(ISERROR(MATCH(O$1,INDIRECT("Table!A"&amp;$AM39):INDIRECT("Table!" &amp; $AP$86 &amp; $AM39),0)),"",INDIRECT(CONCATENATE("Table!",ADDRESS($AI39,MATCH(O$1,INDIRECT("Table!A" &amp; $AM39):INDIRECT("Table!" &amp; $AP$86 &amp; $AM39),0)))))</f>
        <v>0.72616053502258326</v>
      </c>
      <c r="P39" s="596">
        <f ca="1">IF(ISERROR(MATCH(P$1,INDIRECT("Table!A"&amp;$AM39):INDIRECT("Table!" &amp; $AP$86 &amp; $AM39),0)),"",INDIRECT(CONCATENATE("Table!",ADDRESS($AI39,MATCH(P$1,INDIRECT("Table!A" &amp; $AM39):INDIRECT("Table!" &amp; $AP$86 &amp; $AM39),0)))))</f>
        <v>0.71584694142978933</v>
      </c>
      <c r="Q39" s="596">
        <f ca="1">IF(ISERROR(MATCH(Q$1,INDIRECT("Table!A"&amp;$AM39):INDIRECT("Table!" &amp; $AP$86 &amp; $AM39),0)),"",INDIRECT(CONCATENATE("Table!",ADDRESS($AI39,MATCH(Q$1,INDIRECT("Table!A" &amp; $AM39):INDIRECT("Table!" &amp; $AP$86 &amp; $AM39),0)))))</f>
        <v>0.72072920004467211</v>
      </c>
      <c r="R39" s="596">
        <f ca="1">IF(ISERROR(MATCH(R$1,INDIRECT("Table!A"&amp;$AM39):INDIRECT("Table!" &amp; $AP$86 &amp; $AM39),0)),"",INDIRECT(CONCATENATE("Table!",ADDRESS($AI39,MATCH(R$1,INDIRECT("Table!A" &amp; $AM39):INDIRECT("Table!" &amp; $AP$86 &amp; $AM39),0)))))</f>
        <v>1.2916730396409712</v>
      </c>
      <c r="S39" s="596" t="str">
        <f ca="1">IF(ISERROR(MATCH(S$1,INDIRECT("Table!A"&amp;$AM39):INDIRECT("Table!" &amp; $AP$65 &amp; $AM39),0)),"",INDIRECT(CONCATENATE("Table!",ADDRESS($AI39,MATCH(S$1,INDIRECT("Table!A" &amp; $AM39):INDIRECT("Table!" &amp; $AP$65 &amp; $AM39),0)))))</f>
        <v/>
      </c>
      <c r="T39" s="596">
        <f ca="1">IF(ISERROR(MATCH(T$1,INDIRECT("Table!A"&amp;$AM39):INDIRECT("Table!" &amp; $AP$65 &amp; $AM39),0)),"",INDIRECT(CONCATENATE("Table!",ADDRESS($AI39,MATCH(T$1,INDIRECT("Table!A" &amp; $AM39):INDIRECT("Table!" &amp; $AP$65 &amp; $AM39),0)))))</f>
        <v>1.107580090962663</v>
      </c>
      <c r="U39" s="596">
        <f ca="1">IF(ISERROR(MATCH(U$1,INDIRECT("Table!A"&amp;$AM39):INDIRECT("Table!" &amp; $AP$65 &amp; $AM39),0)),"",INDIRECT(CONCATENATE("Table!",ADDRESS($AI39,MATCH(U$1,INDIRECT("Table!A" &amp; $AM39):INDIRECT("Table!" &amp; $AP$65 &amp; $AM39),0)))))</f>
        <v>0.24843219679734627</v>
      </c>
      <c r="V39" s="596">
        <f ca="1">IF(ISERROR(MATCH(V$1,INDIRECT("Table!A"&amp;$AM39):INDIRECT("Table!" &amp; $AP$65 &amp; $AM39),0)),"",INDIRECT(CONCATENATE("Table!",ADDRESS($AI39,MATCH(V$1,INDIRECT("Table!A" &amp; $AM39):INDIRECT("Table!" &amp; $AP$65 &amp; $AM39),0)))))</f>
        <v>0.12119009625459136</v>
      </c>
      <c r="W39" s="596" t="str">
        <f ca="1">IF(ISERROR(MATCH(W$1,INDIRECT("Table!A"&amp;$AM39):INDIRECT("Table!" &amp; $AP$65 &amp; $AM39),0)),"",INDIRECT(CONCATENATE("Table!",ADDRESS($AI39,MATCH(W$1,INDIRECT("Table!A" &amp; $AM39):INDIRECT("Table!" &amp; $AP$65 &amp; $AM39),0)))))</f>
        <v/>
      </c>
      <c r="X39" s="596"/>
      <c r="Y39" s="596"/>
      <c r="Z39" s="596"/>
      <c r="AA39" s="596"/>
      <c r="AB39" s="596"/>
      <c r="AC39" s="596"/>
      <c r="AD39" s="596"/>
      <c r="AE39" s="596"/>
      <c r="AF39" s="596"/>
      <c r="AG39" s="596"/>
      <c r="AH39" s="596"/>
      <c r="AI39" s="595">
        <f>MATCH($A39,Table!$A:$A,0)+$AK$2-1</f>
        <v>530</v>
      </c>
      <c r="AJ39" s="737"/>
      <c r="AK39" s="737"/>
      <c r="AL39" s="737"/>
      <c r="AM39" s="595">
        <f>MATCH($A39,Table!$A:$A,0)+$AO$2-1</f>
        <v>521</v>
      </c>
      <c r="AN39" s="737"/>
      <c r="AO39" s="737"/>
      <c r="AP39" s="973" t="s">
        <v>302</v>
      </c>
    </row>
    <row r="40" spans="1:42" s="591" customFormat="1" ht="19.5" customHeight="1" x14ac:dyDescent="0.25">
      <c r="A40" s="592">
        <v>41704</v>
      </c>
      <c r="B40" s="596">
        <f ca="1">IF(ISERROR(MATCH(B$1,INDIRECT("Table!A"&amp;$AM40):INDIRECT("Table!" &amp; $AP$108 &amp; $AM40),0)),"",INDIRECT(CONCATENATE("Table!",ADDRESS($AI40,MATCH(B$1,INDIRECT("Table!A" &amp; $AM40):INDIRECT("Table!" &amp; $AP$108 &amp; $AM40),0)))))</f>
        <v>0.75722808801272223</v>
      </c>
      <c r="C40" s="596">
        <f ca="1">IF(ISERROR(MATCH(C$1,INDIRECT("Table!A"&amp;$AM40):INDIRECT("Table!" &amp; $AP$108 &amp; $AM40),0)),"",INDIRECT(CONCATENATE("Table!",ADDRESS($AI40,MATCH(C$1,INDIRECT("Table!A" &amp; $AM40):INDIRECT("Table!" &amp; $AP$108 &amp; $AM40),0)))))</f>
        <v>0.65836058723051982</v>
      </c>
      <c r="D40" s="596">
        <f ca="1">IF(ISERROR(MATCH(D$1,INDIRECT("Table!A"&amp;$AM40):INDIRECT("Table!" &amp; $AP$108 &amp; $AM40),0)),"",INDIRECT(CONCATENATE("Table!",ADDRESS($AI40,MATCH(D$1,INDIRECT("Table!A" &amp; $AM40):INDIRECT("Table!" &amp; $AP$108 &amp; $AM40),0)))))</f>
        <v>0.66418480474259656</v>
      </c>
      <c r="E40" s="596">
        <f ca="1">IF(ISERROR(MATCH(E$1,INDIRECT("Table!A"&amp;$AM40):INDIRECT("Table!" &amp; $AP$108 &amp; $AM40),0)),"",INDIRECT(CONCATENATE("Table!",ADDRESS($AI40,MATCH(E$1,INDIRECT("Table!A" &amp; $AM40):INDIRECT("Table!" &amp; $AP$108 &amp; $AM40),0)))))</f>
        <v>1.4998606144655899</v>
      </c>
      <c r="F40" s="596">
        <f ca="1">IF(ISERROR(MATCH(F$1,INDIRECT("Table!A"&amp;$AM40):INDIRECT("Table!" &amp; $AP$108 &amp; $AM40),0)),"",INDIRECT(CONCATENATE("Table!",ADDRESS($AI40,MATCH(F$1,INDIRECT("Table!A" &amp; $AM40):INDIRECT("Table!" &amp; $AP$108 &amp; $AM40),0)))))</f>
        <v>0.72980475454210358</v>
      </c>
      <c r="G40" s="596">
        <f ca="1">IF(ISERROR(MATCH(G$1,INDIRECT("Table!A"&amp;$AM40):INDIRECT("Table!" &amp; $AP$108 &amp; $AM40),0)),"",INDIRECT(CONCATENATE("Table!",ADDRESS($AI40,MATCH(G$1,INDIRECT("Table!A" &amp; $AM40):INDIRECT("Table!" &amp; $AP$108 &amp; $AM40),0)))))</f>
        <v>1.1788246774752569</v>
      </c>
      <c r="H40" s="596">
        <f ca="1">IF(ISERROR(MATCH(H$1,INDIRECT("Table!A"&amp;$AM40):INDIRECT("Table!" &amp; $AP$108 &amp; $AM40),0)),"",INDIRECT(CONCATENATE("Table!",ADDRESS($AI40,MATCH(H$1,INDIRECT("Table!A" &amp; $AM40):INDIRECT("Table!" &amp; $AP$108 &amp; $AM40),0)))))</f>
        <v>1.3914165040950601</v>
      </c>
      <c r="I40" s="596">
        <f ca="1">IF(ISERROR(MATCH(I$1,INDIRECT("Table!A"&amp;$AM40):INDIRECT("Table!" &amp; $AP$86 &amp; $AM40),0)),"",INDIRECT(CONCATENATE("Table!",ADDRESS($AI40,MATCH(I$1,INDIRECT("Table!A" &amp; $AM40):INDIRECT("Table!" &amp; $AP$86 &amp; $AM40),0)))))</f>
        <v>0.26169173020612613</v>
      </c>
      <c r="J40" s="596">
        <f ca="1">IF(ISERROR(MATCH(J$1,INDIRECT("Table!A"&amp;$AM40):INDIRECT("Table!" &amp; $AP$86 &amp; $AM40),0)),"",INDIRECT(CONCATENATE("Table!",ADDRESS($AI40,MATCH(J$1,INDIRECT("Table!A" &amp; $AM40):INDIRECT("Table!" &amp; $AP$86 &amp; $AM40),0)))))</f>
        <v>1.011897141732893</v>
      </c>
      <c r="K40" s="596">
        <f ca="1">IF(ISERROR(MATCH(K$1,INDIRECT("Table!A"&amp;$AM40):INDIRECT("Table!" &amp; $AP$86 &amp; $AM40),0)),"",INDIRECT(CONCATENATE("Table!",ADDRESS($AI40,MATCH(K$1,INDIRECT("Table!A" &amp; $AM40):INDIRECT("Table!" &amp; $AP$86 &amp; $AM40),0)))))</f>
        <v>0.71174434733245506</v>
      </c>
      <c r="L40" s="596">
        <f ca="1">IF(ISERROR(MATCH(L$1,INDIRECT("Table!A"&amp;$AM40):INDIRECT("Table!" &amp; $AP$108 &amp; $AM40),0)),"",INDIRECT(CONCATENATE("Table!",ADDRESS($AI40,MATCH(L$1,INDIRECT("Table!A" &amp; $AM40):INDIRECT("Table!" &amp; $AP$108 &amp; $AM40),0)))))</f>
        <v>1.4110096664181719</v>
      </c>
      <c r="M40" s="596">
        <f ca="1">IF(ISERROR(MATCH(M$1,INDIRECT("Table!A"&amp;$AM40):INDIRECT("Table!" &amp; $AP$108 &amp; $AM40),0)),"",INDIRECT(CONCATENATE("Table!",ADDRESS($AI40,MATCH(M$1,INDIRECT("Table!A" &amp; $AM40):INDIRECT("Table!" &amp; $AP$108 &amp; $AM40),0)))))</f>
        <v>0.83650063358601467</v>
      </c>
      <c r="N40" s="596">
        <f ca="1">IF(ISERROR(MATCH(N$1,INDIRECT("Table!A"&amp;$AM40):INDIRECT("Table!" &amp; $AP$108 &amp; $AM40),0)),"",INDIRECT(CONCATENATE("Table!",ADDRESS($AI40,MATCH(N$1,INDIRECT("Table!A" &amp; $AM40):INDIRECT("Table!" &amp; $AP$108 &amp; $AM40),0)))))</f>
        <v>1.5084352736311217</v>
      </c>
      <c r="O40" s="596">
        <f ca="1">IF(ISERROR(MATCH(O$1,INDIRECT("Table!A"&amp;$AM40):INDIRECT("Table!" &amp; $AP$86 &amp; $AM40),0)),"",INDIRECT(CONCATENATE("Table!",ADDRESS($AI40,MATCH(O$1,INDIRECT("Table!A" &amp; $AM40):INDIRECT("Table!" &amp; $AP$86 &amp; $AM40),0)))))</f>
        <v>0.72616053502258326</v>
      </c>
      <c r="P40" s="596">
        <f ca="1">IF(ISERROR(MATCH(P$1,INDIRECT("Table!A"&amp;$AM40):INDIRECT("Table!" &amp; $AP$86 &amp; $AM40),0)),"",INDIRECT(CONCATENATE("Table!",ADDRESS($AI40,MATCH(P$1,INDIRECT("Table!A" &amp; $AM40):INDIRECT("Table!" &amp; $AP$86 &amp; $AM40),0)))))</f>
        <v>0.7052899247098946</v>
      </c>
      <c r="Q40" s="596">
        <f ca="1">IF(ISERROR(MATCH(Q$1,INDIRECT("Table!A"&amp;$AM40):INDIRECT("Table!" &amp; $AP$86 &amp; $AM40),0)),"",INDIRECT(CONCATENATE("Table!",ADDRESS($AI40,MATCH(Q$1,INDIRECT("Table!A" &amp; $AM40):INDIRECT("Table!" &amp; $AP$86 &amp; $AM40),0)))))</f>
        <v>0.7180898108843522</v>
      </c>
      <c r="R40" s="596">
        <f ca="1">IF(ISERROR(MATCH(R$1,INDIRECT("Table!A"&amp;$AM40):INDIRECT("Table!" &amp; $AP$86 &amp; $AM40),0)),"",INDIRECT(CONCATENATE("Table!",ADDRESS($AI40,MATCH(R$1,INDIRECT("Table!A" &amp; $AM40):INDIRECT("Table!" &amp; $AP$86 &amp; $AM40),0)))))</f>
        <v>1.1625659254736886</v>
      </c>
      <c r="S40" s="596" t="str">
        <f ca="1">IF(ISERROR(MATCH(S$1,INDIRECT("Table!A"&amp;$AM40):INDIRECT("Table!" &amp; $AP$65 &amp; $AM40),0)),"",INDIRECT(CONCATENATE("Table!",ADDRESS($AI40,MATCH(S$1,INDIRECT("Table!A" &amp; $AM40):INDIRECT("Table!" &amp; $AP$65 &amp; $AM40),0)))))</f>
        <v/>
      </c>
      <c r="T40" s="596">
        <f ca="1">IF(ISERROR(MATCH(T$1,INDIRECT("Table!A"&amp;$AM40):INDIRECT("Table!" &amp; $AP$65 &amp; $AM40),0)),"",INDIRECT(CONCATENATE("Table!",ADDRESS($AI40,MATCH(T$1,INDIRECT("Table!A" &amp; $AM40):INDIRECT("Table!" &amp; $AP$65 &amp; $AM40),0)))))</f>
        <v>1.107580090962663</v>
      </c>
      <c r="U40" s="596">
        <f ca="1">IF(ISERROR(MATCH(U$1,INDIRECT("Table!A"&amp;$AM40):INDIRECT("Table!" &amp; $AP$65 &amp; $AM40),0)),"",INDIRECT(CONCATENATE("Table!",ADDRESS($AI40,MATCH(U$1,INDIRECT("Table!A" &amp; $AM40):INDIRECT("Table!" &amp; $AP$65 &amp; $AM40),0)))))</f>
        <v>0.21445010347712495</v>
      </c>
      <c r="V40" s="596">
        <f ca="1">IF(ISERROR(MATCH(V$1,INDIRECT("Table!A"&amp;$AM40):INDIRECT("Table!" &amp; $AP$65 &amp; $AM40),0)),"",INDIRECT(CONCATENATE("Table!",ADDRESS($AI40,MATCH(V$1,INDIRECT("Table!A" &amp; $AM40):INDIRECT("Table!" &amp; $AP$65 &amp; $AM40),0)))))</f>
        <v>0.10461296489440157</v>
      </c>
      <c r="W40" s="596" t="str">
        <f ca="1">IF(ISERROR(MATCH(W$1,INDIRECT("Table!A"&amp;$AM40):INDIRECT("Table!" &amp; $AP$65 &amp; $AM40),0)),"",INDIRECT(CONCATENATE("Table!",ADDRESS($AI40,MATCH(W$1,INDIRECT("Table!A" &amp; $AM40):INDIRECT("Table!" &amp; $AP$65 &amp; $AM40),0)))))</f>
        <v/>
      </c>
      <c r="X40" s="596"/>
      <c r="Y40" s="596"/>
      <c r="Z40" s="596"/>
      <c r="AA40" s="596"/>
      <c r="AB40" s="596"/>
      <c r="AC40" s="596"/>
      <c r="AD40" s="596"/>
      <c r="AE40" s="596"/>
      <c r="AF40" s="596"/>
      <c r="AG40" s="596"/>
      <c r="AH40" s="596"/>
      <c r="AI40" s="595">
        <f>MATCH($A40,Table!$A:$A,0)+$AK$2-1</f>
        <v>544</v>
      </c>
      <c r="AJ40" s="732"/>
      <c r="AK40" s="732"/>
      <c r="AL40" s="732"/>
      <c r="AM40" s="595">
        <f>MATCH($A40,Table!$A:$A,0)+$AO$2-1</f>
        <v>535</v>
      </c>
      <c r="AN40" s="732"/>
      <c r="AO40" s="732"/>
      <c r="AP40" s="973" t="s">
        <v>302</v>
      </c>
    </row>
    <row r="41" spans="1:42" s="591" customFormat="1" ht="19.5" customHeight="1" x14ac:dyDescent="0.25">
      <c r="A41" s="592">
        <v>41703</v>
      </c>
      <c r="B41" s="596">
        <f ca="1">IF(ISERROR(MATCH(B$1,INDIRECT("Table!A"&amp;$AM41):INDIRECT("Table!" &amp; $AP$108 &amp; $AM41),0)),"",INDIRECT(CONCATENATE("Table!",ADDRESS($AI41,MATCH(B$1,INDIRECT("Table!A" &amp; $AM41):INDIRECT("Table!" &amp; $AP$108 &amp; $AM41),0)))))</f>
        <v>0.75722808801272223</v>
      </c>
      <c r="C41" s="596">
        <f ca="1">IF(ISERROR(MATCH(C$1,INDIRECT("Table!A"&amp;$AM41):INDIRECT("Table!" &amp; $AP$108 &amp; $AM41),0)),"",INDIRECT(CONCATENATE("Table!",ADDRESS($AI41,MATCH(C$1,INDIRECT("Table!A" &amp; $AM41):INDIRECT("Table!" &amp; $AP$108 &amp; $AM41),0)))))</f>
        <v>0.65836058723051982</v>
      </c>
      <c r="D41" s="596">
        <f ca="1">IF(ISERROR(MATCH(D$1,INDIRECT("Table!A"&amp;$AM41):INDIRECT("Table!" &amp; $AP$108 &amp; $AM41),0)),"",INDIRECT(CONCATENATE("Table!",ADDRESS($AI41,MATCH(D$1,INDIRECT("Table!A" &amp; $AM41):INDIRECT("Table!" &amp; $AP$108 &amp; $AM41),0)))))</f>
        <v>0.66418480474259656</v>
      </c>
      <c r="E41" s="596">
        <f ca="1">IF(ISERROR(MATCH(E$1,INDIRECT("Table!A"&amp;$AM41):INDIRECT("Table!" &amp; $AP$108 &amp; $AM41),0)),"",INDIRECT(CONCATENATE("Table!",ADDRESS($AI41,MATCH(E$1,INDIRECT("Table!A" &amp; $AM41):INDIRECT("Table!" &amp; $AP$108 &amp; $AM41),0)))))</f>
        <v>1.4998606144655899</v>
      </c>
      <c r="F41" s="596">
        <f ca="1">IF(ISERROR(MATCH(F$1,INDIRECT("Table!A"&amp;$AM41):INDIRECT("Table!" &amp; $AP$108 &amp; $AM41),0)),"",INDIRECT(CONCATENATE("Table!",ADDRESS($AI41,MATCH(F$1,INDIRECT("Table!A" &amp; $AM41):INDIRECT("Table!" &amp; $AP$108 &amp; $AM41),0)))))</f>
        <v>0.72980475454210358</v>
      </c>
      <c r="G41" s="596">
        <f ca="1">IF(ISERROR(MATCH(G$1,INDIRECT("Table!A"&amp;$AM41):INDIRECT("Table!" &amp; $AP$108 &amp; $AM41),0)),"",INDIRECT(CONCATENATE("Table!",ADDRESS($AI41,MATCH(G$1,INDIRECT("Table!A" &amp; $AM41):INDIRECT("Table!" &amp; $AP$108 &amp; $AM41),0)))))</f>
        <v>1.1788246774752569</v>
      </c>
      <c r="H41" s="596">
        <f ca="1">IF(ISERROR(MATCH(H$1,INDIRECT("Table!A"&amp;$AM41):INDIRECT("Table!" &amp; $AP$108 &amp; $AM41),0)),"",INDIRECT(CONCATENATE("Table!",ADDRESS($AI41,MATCH(H$1,INDIRECT("Table!A" &amp; $AM41):INDIRECT("Table!" &amp; $AP$108 &amp; $AM41),0)))))</f>
        <v>1.3884756491476984</v>
      </c>
      <c r="I41" s="596">
        <f ca="1">IF(ISERROR(MATCH(I$1,INDIRECT("Table!A"&amp;$AM41):INDIRECT("Table!" &amp; $AP$86 &amp; $AM41),0)),"",INDIRECT(CONCATENATE("Table!",ADDRESS($AI41,MATCH(I$1,INDIRECT("Table!A" &amp; $AM41):INDIRECT("Table!" &amp; $AP$86 &amp; $AM41),0)))))</f>
        <v>0.26169173020612613</v>
      </c>
      <c r="J41" s="596">
        <f ca="1">IF(ISERROR(MATCH(J$1,INDIRECT("Table!A"&amp;$AM41):INDIRECT("Table!" &amp; $AP$86 &amp; $AM41),0)),"",INDIRECT(CONCATENATE("Table!",ADDRESS($AI41,MATCH(J$1,INDIRECT("Table!A" &amp; $AM41):INDIRECT("Table!" &amp; $AP$86 &amp; $AM41),0)))))</f>
        <v>1.0110815341495512</v>
      </c>
      <c r="K41" s="596">
        <f ca="1">IF(ISERROR(MATCH(K$1,INDIRECT("Table!A"&amp;$AM41):INDIRECT("Table!" &amp; $AP$86 &amp; $AM41),0)),"",INDIRECT(CONCATENATE("Table!",ADDRESS($AI41,MATCH(K$1,INDIRECT("Table!A" &amp; $AM41):INDIRECT("Table!" &amp; $AP$86 &amp; $AM41),0)))))</f>
        <v>0.612581657080428</v>
      </c>
      <c r="L41" s="596">
        <f ca="1">IF(ISERROR(MATCH(L$1,INDIRECT("Table!A"&amp;$AM41):INDIRECT("Table!" &amp; $AP$108 &amp; $AM41),0)),"",INDIRECT(CONCATENATE("Table!",ADDRESS($AI41,MATCH(L$1,INDIRECT("Table!A" &amp; $AM41):INDIRECT("Table!" &amp; $AP$108 &amp; $AM41),0)))))</f>
        <v>1.4110096664181719</v>
      </c>
      <c r="M41" s="596">
        <f ca="1">IF(ISERROR(MATCH(M$1,INDIRECT("Table!A"&amp;$AM41):INDIRECT("Table!" &amp; $AP$108 &amp; $AM41),0)),"",INDIRECT(CONCATENATE("Table!",ADDRESS($AI41,MATCH(M$1,INDIRECT("Table!A" &amp; $AM41):INDIRECT("Table!" &amp; $AP$108 &amp; $AM41),0)))))</f>
        <v>0.83650063358601467</v>
      </c>
      <c r="N41" s="596">
        <f ca="1">IF(ISERROR(MATCH(N$1,INDIRECT("Table!A"&amp;$AM41):INDIRECT("Table!" &amp; $AP$108 &amp; $AM41),0)),"",INDIRECT(CONCATENATE("Table!",ADDRESS($AI41,MATCH(N$1,INDIRECT("Table!A" &amp; $AM41):INDIRECT("Table!" &amp; $AP$108 &amp; $AM41),0)))))</f>
        <v>1.5084352736311217</v>
      </c>
      <c r="O41" s="596">
        <f ca="1">IF(ISERROR(MATCH(O$1,INDIRECT("Table!A"&amp;$AM41):INDIRECT("Table!" &amp; $AP$86 &amp; $AM41),0)),"",INDIRECT(CONCATENATE("Table!",ADDRESS($AI41,MATCH(O$1,INDIRECT("Table!A" &amp; $AM41):INDIRECT("Table!" &amp; $AP$86 &amp; $AM41),0)))))</f>
        <v>0.72432895472573822</v>
      </c>
      <c r="P41" s="596">
        <f ca="1">IF(ISERROR(MATCH(P$1,INDIRECT("Table!A"&amp;$AM41):INDIRECT("Table!" &amp; $AP$86 &amp; $AM41),0)),"",INDIRECT(CONCATENATE("Table!",ADDRESS($AI41,MATCH(P$1,INDIRECT("Table!A" &amp; $AM41):INDIRECT("Table!" &amp; $AP$86 &amp; $AM41),0)))))</f>
        <v>0.7052899247098946</v>
      </c>
      <c r="Q41" s="596">
        <f ca="1">IF(ISERROR(MATCH(Q$1,INDIRECT("Table!A"&amp;$AM41):INDIRECT("Table!" &amp; $AP$86 &amp; $AM41),0)),"",INDIRECT(CONCATENATE("Table!",ADDRESS($AI41,MATCH(Q$1,INDIRECT("Table!A" &amp; $AM41):INDIRECT("Table!" &amp; $AP$86 &amp; $AM41),0)))))</f>
        <v>0.71756193305228833</v>
      </c>
      <c r="R41" s="596">
        <f ca="1">IF(ISERROR(MATCH(R$1,INDIRECT("Table!A"&amp;$AM41):INDIRECT("Table!" &amp; $AP$86 &amp; $AM41),0)),"",INDIRECT(CONCATENATE("Table!",ADDRESS($AI41,MATCH(R$1,INDIRECT("Table!A" &amp; $AM41):INDIRECT("Table!" &amp; $AP$86 &amp; $AM41),0)))))</f>
        <v>1.1618135530135063</v>
      </c>
      <c r="S41" s="596" t="str">
        <f ca="1">IF(ISERROR(MATCH(S$1,INDIRECT("Table!A"&amp;$AM41):INDIRECT("Table!" &amp; $AP$65 &amp; $AM41),0)),"",INDIRECT(CONCATENATE("Table!",ADDRESS($AI41,MATCH(S$1,INDIRECT("Table!A" &amp; $AM41):INDIRECT("Table!" &amp; $AP$65 &amp; $AM41),0)))))</f>
        <v/>
      </c>
      <c r="T41" s="596">
        <f ca="1">IF(ISERROR(MATCH(T$1,INDIRECT("Table!A"&amp;$AM41):INDIRECT("Table!" &amp; $AP$65 &amp; $AM41),0)),"",INDIRECT(CONCATENATE("Table!",ADDRESS($AI41,MATCH(T$1,INDIRECT("Table!A" &amp; $AM41):INDIRECT("Table!" &amp; $AP$65 &amp; $AM41),0)))))</f>
        <v>1.107580090962663</v>
      </c>
      <c r="U41" s="596">
        <f ca="1">IF(ISERROR(MATCH(U$1,INDIRECT("Table!A"&amp;$AM41):INDIRECT("Table!" &amp; $AP$65 &amp; $AM41),0)),"",INDIRECT(CONCATENATE("Table!",ADDRESS($AI41,MATCH(U$1,INDIRECT("Table!A" &amp; $AM41):INDIRECT("Table!" &amp; $AP$65 &amp; $AM41),0)))))</f>
        <v>0.21115087111593839</v>
      </c>
      <c r="V41" s="596">
        <f ca="1">IF(ISERROR(MATCH(V$1,INDIRECT("Table!A"&amp;$AM41):INDIRECT("Table!" &amp; $AP$65 &amp; $AM41),0)),"",INDIRECT(CONCATENATE("Table!",ADDRESS($AI41,MATCH(V$1,INDIRECT("Table!A" &amp; $AM41):INDIRECT("Table!" &amp; $AP$65 &amp; $AM41),0)))))</f>
        <v>0.10300353466525693</v>
      </c>
      <c r="W41" s="596" t="str">
        <f ca="1">IF(ISERROR(MATCH(W$1,INDIRECT("Table!A"&amp;$AM41):INDIRECT("Table!" &amp; $AP$65 &amp; $AM41),0)),"",INDIRECT(CONCATENATE("Table!",ADDRESS($AI41,MATCH(W$1,INDIRECT("Table!A" &amp; $AM41):INDIRECT("Table!" &amp; $AP$65 &amp; $AM41),0)))))</f>
        <v/>
      </c>
      <c r="X41" s="596"/>
      <c r="Y41" s="596"/>
      <c r="Z41" s="596"/>
      <c r="AA41" s="596"/>
      <c r="AB41" s="596"/>
      <c r="AC41" s="596"/>
      <c r="AD41" s="596"/>
      <c r="AE41" s="596"/>
      <c r="AF41" s="596"/>
      <c r="AG41" s="596"/>
      <c r="AH41" s="596"/>
      <c r="AI41" s="595">
        <f>MATCH($A41,Table!$A:$A,0)+$AK$2-1</f>
        <v>558</v>
      </c>
      <c r="AJ41" s="723"/>
      <c r="AK41" s="723"/>
      <c r="AL41" s="723"/>
      <c r="AM41" s="595">
        <f>MATCH($A41,Table!$A:$A,0)+$AO$2-1</f>
        <v>549</v>
      </c>
      <c r="AN41" s="723"/>
      <c r="AO41" s="723"/>
      <c r="AP41" s="973" t="s">
        <v>302</v>
      </c>
    </row>
    <row r="42" spans="1:42" s="591" customFormat="1" ht="19.5" customHeight="1" x14ac:dyDescent="0.25">
      <c r="A42" s="592">
        <v>41702</v>
      </c>
      <c r="B42" s="596">
        <f ca="1">IF(ISERROR(MATCH(B$1,INDIRECT("Table!A"&amp;$AM42):INDIRECT("Table!" &amp; $AP$108 &amp; $AM42),0)),"",INDIRECT(CONCATENATE("Table!",ADDRESS($AI42,MATCH(B$1,INDIRECT("Table!A" &amp; $AM42):INDIRECT("Table!" &amp; $AP$108 &amp; $AM42),0)))))</f>
        <v>0.75722808801272223</v>
      </c>
      <c r="C42" s="596">
        <f ca="1">IF(ISERROR(MATCH(C$1,INDIRECT("Table!A"&amp;$AM42):INDIRECT("Table!" &amp; $AP$108 &amp; $AM42),0)),"",INDIRECT(CONCATENATE("Table!",ADDRESS($AI42,MATCH(C$1,INDIRECT("Table!A" &amp; $AM42):INDIRECT("Table!" &amp; $AP$108 &amp; $AM42),0)))))</f>
        <v>0.58667791015880633</v>
      </c>
      <c r="D42" s="596">
        <f ca="1">IF(ISERROR(MATCH(D$1,INDIRECT("Table!A"&amp;$AM42):INDIRECT("Table!" &amp; $AP$108 &amp; $AM42),0)),"",INDIRECT(CONCATENATE("Table!",ADDRESS($AI42,MATCH(D$1,INDIRECT("Table!A" &amp; $AM42):INDIRECT("Table!" &amp; $AP$108 &amp; $AM42),0)))))</f>
        <v>0.59250212767088295</v>
      </c>
      <c r="E42" s="596">
        <f ca="1">IF(ISERROR(MATCH(E$1,INDIRECT("Table!A"&amp;$AM42):INDIRECT("Table!" &amp; $AP$108 &amp; $AM42),0)),"",INDIRECT(CONCATENATE("Table!",ADDRESS($AI42,MATCH(E$1,INDIRECT("Table!A" &amp; $AM42):INDIRECT("Table!" &amp; $AP$108 &amp; $AM42),0)))))</f>
        <v>1.4998606144655899</v>
      </c>
      <c r="F42" s="596">
        <f ca="1">IF(ISERROR(MATCH(F$1,INDIRECT("Table!A"&amp;$AM42):INDIRECT("Table!" &amp; $AP$108 &amp; $AM42),0)),"",INDIRECT(CONCATENATE("Table!",ADDRESS($AI42,MATCH(F$1,INDIRECT("Table!A" &amp; $AM42):INDIRECT("Table!" &amp; $AP$108 &amp; $AM42),0)))))</f>
        <v>0.73118184867651626</v>
      </c>
      <c r="G42" s="596">
        <f ca="1">IF(ISERROR(MATCH(G$1,INDIRECT("Table!A"&amp;$AM42):INDIRECT("Table!" &amp; $AP$108 &amp; $AM42),0)),"",INDIRECT(CONCATENATE("Table!",ADDRESS($AI42,MATCH(G$1,INDIRECT("Table!A" &amp; $AM42):INDIRECT("Table!" &amp; $AP$108 &amp; $AM42),0)))))</f>
        <v>1.1788246774752569</v>
      </c>
      <c r="H42" s="596">
        <f ca="1">IF(ISERROR(MATCH(H$1,INDIRECT("Table!A"&amp;$AM42):INDIRECT("Table!" &amp; $AP$108 &amp; $AM42),0)),"",INDIRECT(CONCATENATE("Table!",ADDRESS($AI42,MATCH(H$1,INDIRECT("Table!A" &amp; $AM42):INDIRECT("Table!" &amp; $AP$108 &amp; $AM42),0)))))</f>
        <v>1.3177682568612015</v>
      </c>
      <c r="I42" s="596">
        <f ca="1">IF(ISERROR(MATCH(I$1,INDIRECT("Table!A"&amp;$AM42):INDIRECT("Table!" &amp; $AP$86 &amp; $AM42),0)),"",INDIRECT(CONCATENATE("Table!",ADDRESS($AI42,MATCH(I$1,INDIRECT("Table!A" &amp; $AM42):INDIRECT("Table!" &amp; $AP$86 &amp; $AM42),0)))))</f>
        <v>0.26267932077592798</v>
      </c>
      <c r="J42" s="596">
        <f ca="1">IF(ISERROR(MATCH(J$1,INDIRECT("Table!A"&amp;$AM42):INDIRECT("Table!" &amp; $AP$86 &amp; $AM42),0)),"",INDIRECT(CONCATENATE("Table!",ADDRESS($AI42,MATCH(J$1,INDIRECT("Table!A" &amp; $AM42):INDIRECT("Table!" &amp; $AP$86 &amp; $AM42),0)))))</f>
        <v>1.033043640521788</v>
      </c>
      <c r="K42" s="596">
        <f ca="1">IF(ISERROR(MATCH(K$1,INDIRECT("Table!A"&amp;$AM42):INDIRECT("Table!" &amp; $AP$86 &amp; $AM42),0)),"",INDIRECT(CONCATENATE("Table!",ADDRESS($AI42,MATCH(K$1,INDIRECT("Table!A" &amp; $AM42):INDIRECT("Table!" &amp; $AP$86 &amp; $AM42),0)))))</f>
        <v>0.62085775414243327</v>
      </c>
      <c r="L42" s="596">
        <f ca="1">IF(ISERROR(MATCH(L$1,INDIRECT("Table!A"&amp;$AM42):INDIRECT("Table!" &amp; $AP$108 &amp; $AM42),0)),"",INDIRECT(CONCATENATE("Table!",ADDRESS($AI42,MATCH(L$1,INDIRECT("Table!A" &amp; $AM42):INDIRECT("Table!" &amp; $AP$108 &amp; $AM42),0)))))</f>
        <v>1.4443722371393741</v>
      </c>
      <c r="M42" s="596">
        <f ca="1">IF(ISERROR(MATCH(M$1,INDIRECT("Table!A"&amp;$AM42):INDIRECT("Table!" &amp; $AP$108 &amp; $AM42),0)),"",INDIRECT(CONCATENATE("Table!",ADDRESS($AI42,MATCH(M$1,INDIRECT("Table!A" &amp; $AM42):INDIRECT("Table!" &amp; $AP$108 &amp; $AM42),0)))))</f>
        <v>0.83650063358601467</v>
      </c>
      <c r="N42" s="596">
        <f ca="1">IF(ISERROR(MATCH(N$1,INDIRECT("Table!A"&amp;$AM42):INDIRECT("Table!" &amp; $AP$108 &amp; $AM42),0)),"",INDIRECT(CONCATENATE("Table!",ADDRESS($AI42,MATCH(N$1,INDIRECT("Table!A" &amp; $AM42):INDIRECT("Table!" &amp; $AP$108 &amp; $AM42),0)))))</f>
        <v>1.514127922578711</v>
      </c>
      <c r="O42" s="596">
        <f ca="1">IF(ISERROR(MATCH(O$1,INDIRECT("Table!A"&amp;$AM42):INDIRECT("Table!" &amp; $AP$86 &amp; $AM42),0)),"",INDIRECT(CONCATENATE("Table!",ADDRESS($AI42,MATCH(O$1,INDIRECT("Table!A" &amp; $AM42):INDIRECT("Table!" &amp; $AP$86 &amp; $AM42),0)))))</f>
        <v>0.67640638973001377</v>
      </c>
      <c r="P42" s="596">
        <f ca="1">IF(ISERROR(MATCH(P$1,INDIRECT("Table!A"&amp;$AM42):INDIRECT("Table!" &amp; $AP$86 &amp; $AM42),0)),"",INDIRECT(CONCATENATE("Table!",ADDRESS($AI42,MATCH(P$1,INDIRECT("Table!A" &amp; $AM42):INDIRECT("Table!" &amp; $AP$86 &amp; $AM42),0)))))</f>
        <v>0.70795160202401641</v>
      </c>
      <c r="Q42" s="596">
        <f ca="1">IF(ISERROR(MATCH(Q$1,INDIRECT("Table!A"&amp;$AM42):INDIRECT("Table!" &amp; $AP$86 &amp; $AM42),0)),"",INDIRECT(CONCATENATE("Table!",ADDRESS($AI42,MATCH(Q$1,INDIRECT("Table!A" &amp; $AM42):INDIRECT("Table!" &amp; $AP$86 &amp; $AM42),0)))))</f>
        <v>0.72757308648037688</v>
      </c>
      <c r="R42" s="596">
        <f ca="1">IF(ISERROR(MATCH(R$1,INDIRECT("Table!A"&amp;$AM42):INDIRECT("Table!" &amp; $AP$86 &amp; $AM42),0)),"",INDIRECT(CONCATENATE("Table!",ADDRESS($AI42,MATCH(R$1,INDIRECT("Table!A" &amp; $AM42):INDIRECT("Table!" &amp; $AP$86 &amp; $AM42),0)))))</f>
        <v>1.1618135530135063</v>
      </c>
      <c r="S42" s="596" t="str">
        <f ca="1">IF(ISERROR(MATCH(S$1,INDIRECT("Table!A"&amp;$AM42):INDIRECT("Table!" &amp; $AP$65 &amp; $AM42),0)),"",INDIRECT(CONCATENATE("Table!",ADDRESS($AI42,MATCH(S$1,INDIRECT("Table!A" &amp; $AM42):INDIRECT("Table!" &amp; $AP$65 &amp; $AM42),0)))))</f>
        <v/>
      </c>
      <c r="T42" s="596">
        <f ca="1">IF(ISERROR(MATCH(T$1,INDIRECT("Table!A"&amp;$AM42):INDIRECT("Table!" &amp; $AP$65 &amp; $AM42),0)),"",INDIRECT(CONCATENATE("Table!",ADDRESS($AI42,MATCH(T$1,INDIRECT("Table!A" &amp; $AM42):INDIRECT("Table!" &amp; $AP$65 &amp; $AM42),0)))))</f>
        <v>1.107580090962663</v>
      </c>
      <c r="U42" s="596">
        <f ca="1">IF(ISERROR(MATCH(U$1,INDIRECT("Table!A"&amp;$AM42):INDIRECT("Table!" &amp; $AP$65 &amp; $AM42),0)),"",INDIRECT(CONCATENATE("Table!",ADDRESS($AI42,MATCH(U$1,INDIRECT("Table!A" &amp; $AM42):INDIRECT("Table!" &amp; $AP$65 &amp; $AM42),0)))))</f>
        <v>0.21508975828557186</v>
      </c>
      <c r="V42" s="596">
        <f ca="1">IF(ISERROR(MATCH(V$1,INDIRECT("Table!A"&amp;$AM42):INDIRECT("Table!" &amp; $AP$65 &amp; $AM42),0)),"",INDIRECT(CONCATENATE("Table!",ADDRESS($AI42,MATCH(V$1,INDIRECT("Table!A" &amp; $AM42):INDIRECT("Table!" &amp; $AP$65 &amp; $AM42),0)))))</f>
        <v>0.10393199277543647</v>
      </c>
      <c r="W42" s="596" t="str">
        <f ca="1">IF(ISERROR(MATCH(W$1,INDIRECT("Table!A"&amp;$AM42):INDIRECT("Table!" &amp; $AP$65 &amp; $AM42),0)),"",INDIRECT(CONCATENATE("Table!",ADDRESS($AI42,MATCH(W$1,INDIRECT("Table!A" &amp; $AM42):INDIRECT("Table!" &amp; $AP$65 &amp; $AM42),0)))))</f>
        <v/>
      </c>
      <c r="X42" s="596"/>
      <c r="Y42" s="596"/>
      <c r="Z42" s="596"/>
      <c r="AA42" s="596"/>
      <c r="AB42" s="596"/>
      <c r="AC42" s="596"/>
      <c r="AD42" s="596"/>
      <c r="AE42" s="596"/>
      <c r="AF42" s="596"/>
      <c r="AG42" s="596"/>
      <c r="AH42" s="596"/>
      <c r="AI42" s="595">
        <f>MATCH($A42,Table!$A:$A,0)+$AK$2-1</f>
        <v>572</v>
      </c>
      <c r="AJ42" s="702"/>
      <c r="AK42" s="702"/>
      <c r="AL42" s="702"/>
      <c r="AM42" s="595">
        <f>MATCH($A42,Table!$A:$A,0)+$AO$2-1</f>
        <v>563</v>
      </c>
      <c r="AN42" s="702"/>
      <c r="AO42" s="702"/>
      <c r="AP42" s="973" t="s">
        <v>302</v>
      </c>
    </row>
    <row r="43" spans="1:42" s="591" customFormat="1" ht="19.5" customHeight="1" x14ac:dyDescent="0.25">
      <c r="A43" s="592">
        <v>41695</v>
      </c>
      <c r="B43" s="596">
        <f ca="1">IF(ISERROR(MATCH(B$1,INDIRECT("Table!A"&amp;$AM43):INDIRECT("Table!" &amp; $AP$108 &amp; $AM43),0)),"",INDIRECT(CONCATENATE("Table!",ADDRESS($AI43,MATCH(B$1,INDIRECT("Table!A" &amp; $AM43):INDIRECT("Table!" &amp; $AP$108 &amp; $AM43),0)))))</f>
        <v>1.3202942612261406</v>
      </c>
      <c r="C43" s="596">
        <f ca="1">IF(ISERROR(MATCH(C$1,INDIRECT("Table!A"&amp;$AM43):INDIRECT("Table!" &amp; $AP$108 &amp; $AM43),0)),"",INDIRECT(CONCATENATE("Table!",ADDRESS($AI43,MATCH(C$1,INDIRECT("Table!A" &amp; $AM43):INDIRECT("Table!" &amp; $AP$108 &amp; $AM43),0)))))</f>
        <v>0.58667791015880633</v>
      </c>
      <c r="D43" s="596">
        <f ca="1">IF(ISERROR(MATCH(D$1,INDIRECT("Table!A"&amp;$AM43):INDIRECT("Table!" &amp; $AP$108 &amp; $AM43),0)),"",INDIRECT(CONCATENATE("Table!",ADDRESS($AI43,MATCH(D$1,INDIRECT("Table!A" &amp; $AM43):INDIRECT("Table!" &amp; $AP$108 &amp; $AM43),0)))))</f>
        <v>0.59250212767088295</v>
      </c>
      <c r="E43" s="596">
        <f ca="1">IF(ISERROR(MATCH(E$1,INDIRECT("Table!A"&amp;$AM43):INDIRECT("Table!" &amp; $AP$108 &amp; $AM43),0)),"",INDIRECT(CONCATENATE("Table!",ADDRESS($AI43,MATCH(E$1,INDIRECT("Table!A" &amp; $AM43):INDIRECT("Table!" &amp; $AP$108 &amp; $AM43),0)))))</f>
        <v>1.4998606144655899</v>
      </c>
      <c r="F43" s="596">
        <f ca="1">IF(ISERROR(MATCH(F$1,INDIRECT("Table!A"&amp;$AM43):INDIRECT("Table!" &amp; $AP$108 &amp; $AM43),0)),"",INDIRECT(CONCATENATE("Table!",ADDRESS($AI43,MATCH(F$1,INDIRECT("Table!A" &amp; $AM43):INDIRECT("Table!" &amp; $AP$108 &amp; $AM43),0)))))</f>
        <v>0.73403484362675908</v>
      </c>
      <c r="G43" s="596">
        <f ca="1">IF(ISERROR(MATCH(G$1,INDIRECT("Table!A"&amp;$AM43):INDIRECT("Table!" &amp; $AP$108 &amp; $AM43),0)),"",INDIRECT(CONCATENATE("Table!",ADDRESS($AI43,MATCH(G$1,INDIRECT("Table!A" &amp; $AM43):INDIRECT("Table!" &amp; $AP$108 &amp; $AM43),0)))))</f>
        <v>3.4749718351750398</v>
      </c>
      <c r="H43" s="596">
        <f ca="1">IF(ISERROR(MATCH(H$1,INDIRECT("Table!A"&amp;$AM43):INDIRECT("Table!" &amp; $AP$108 &amp; $AM43),0)),"",INDIRECT(CONCATENATE("Table!",ADDRESS($AI43,MATCH(H$1,INDIRECT("Table!A" &amp; $AM43):INDIRECT("Table!" &amp; $AP$108 &amp; $AM43),0)))))</f>
        <v>1.314612870433518</v>
      </c>
      <c r="I43" s="596">
        <f ca="1">IF(ISERROR(MATCH(I$1,INDIRECT("Table!A"&amp;$AM43):INDIRECT("Table!" &amp; $AP$86 &amp; $AM43),0)),"",INDIRECT(CONCATENATE("Table!",ADDRESS($AI43,MATCH(I$1,INDIRECT("Table!A" &amp; $AM43):INDIRECT("Table!" &amp; $AP$86 &amp; $AM43),0)))))</f>
        <v>0.26104903794721779</v>
      </c>
      <c r="J43" s="596">
        <f ca="1">IF(ISERROR(MATCH(J$1,INDIRECT("Table!A"&amp;$AM43):INDIRECT("Table!" &amp; $AP$86 &amp; $AM43),0)),"",INDIRECT(CONCATENATE("Table!",ADDRESS($AI43,MATCH(J$1,INDIRECT("Table!A" &amp; $AM43):INDIRECT("Table!" &amp; $AP$86 &amp; $AM43),0)))))</f>
        <v>1.0149882932150076</v>
      </c>
      <c r="K43" s="596">
        <f ca="1">IF(ISERROR(MATCH(K$1,INDIRECT("Table!A"&amp;$AM43):INDIRECT("Table!" &amp; $AP$86 &amp; $AM43),0)),"",INDIRECT(CONCATENATE("Table!",ADDRESS($AI43,MATCH(K$1,INDIRECT("Table!A" &amp; $AM43):INDIRECT("Table!" &amp; $AP$86 &amp; $AM43),0)))))</f>
        <v>1.5590790794280018</v>
      </c>
      <c r="L43" s="596">
        <f ca="1">IF(ISERROR(MATCH(L$1,INDIRECT("Table!A"&amp;$AM43):INDIRECT("Table!" &amp; $AP$108 &amp; $AM43),0)),"",INDIRECT(CONCATENATE("Table!",ADDRESS($AI43,MATCH(L$1,INDIRECT("Table!A" &amp; $AM43):INDIRECT("Table!" &amp; $AP$108 &amp; $AM43),0)))))</f>
        <v>1.4122323784341324</v>
      </c>
      <c r="M43" s="596">
        <f ca="1">IF(ISERROR(MATCH(M$1,INDIRECT("Table!A"&amp;$AM43):INDIRECT("Table!" &amp; $AP$108 &amp; $AM43),0)),"",INDIRECT(CONCATENATE("Table!",ADDRESS($AI43,MATCH(M$1,INDIRECT("Table!A" &amp; $AM43):INDIRECT("Table!" &amp; $AP$108 &amp; $AM43),0)))))</f>
        <v>2.7742615503027634</v>
      </c>
      <c r="N43" s="596">
        <f ca="1">IF(ISERROR(MATCH(N$1,INDIRECT("Table!A"&amp;$AM43):INDIRECT("Table!" &amp; $AP$108 &amp; $AM43),0)),"",INDIRECT(CONCATENATE("Table!",ADDRESS($AI43,MATCH(N$1,INDIRECT("Table!A" &amp; $AM43):INDIRECT("Table!" &amp; $AP$108 &amp; $AM43),0)))))</f>
        <v>1.514127922578711</v>
      </c>
      <c r="O43" s="596">
        <f ca="1">IF(ISERROR(MATCH(O$1,INDIRECT("Table!A"&amp;$AM43):INDIRECT("Table!" &amp; $AP$86 &amp; $AM43),0)),"",INDIRECT(CONCATENATE("Table!",ADDRESS($AI43,MATCH(O$1,INDIRECT("Table!A" &amp; $AM43):INDIRECT("Table!" &amp; $AP$86 &amp; $AM43),0)))))</f>
        <v>0.674694587586807</v>
      </c>
      <c r="P43" s="596">
        <f ca="1">IF(ISERROR(MATCH(P$1,INDIRECT("Table!A"&amp;$AM43):INDIRECT("Table!" &amp; $AP$86 &amp; $AM43),0)),"",INDIRECT(CONCATENATE("Table!",ADDRESS($AI43,MATCH(P$1,INDIRECT("Table!A" &amp; $AM43):INDIRECT("Table!" &amp; $AP$86 &amp; $AM43),0)))))</f>
        <v>0.7046910304545333</v>
      </c>
      <c r="Q43" s="596">
        <f ca="1">IF(ISERROR(MATCH(Q$1,INDIRECT("Table!A"&amp;$AM43):INDIRECT("Table!" &amp; $AP$86 &amp; $AM43),0)),"",INDIRECT(CONCATENATE("Table!",ADDRESS($AI43,MATCH(Q$1,INDIRECT("Table!A" &amp; $AM43):INDIRECT("Table!" &amp; $AP$86 &amp; $AM43),0)))))</f>
        <v>0.71597616381700646</v>
      </c>
      <c r="R43" s="596">
        <f ca="1">IF(ISERROR(MATCH(R$1,INDIRECT("Table!A"&amp;$AM43):INDIRECT("Table!" &amp; $AP$86 &amp; $AM43),0)),"",INDIRECT(CONCATENATE("Table!",ADDRESS($AI43,MATCH(R$1,INDIRECT("Table!A" &amp; $AM43):INDIRECT("Table!" &amp; $AP$86 &amp; $AM43),0)))))</f>
        <v>3.0683097765400058</v>
      </c>
      <c r="S43" s="596" t="str">
        <f ca="1">IF(ISERROR(MATCH(S$1,INDIRECT("Table!A"&amp;$AM43):INDIRECT("Table!" &amp; $AP$65 &amp; $AM43),0)),"",INDIRECT(CONCATENATE("Table!",ADDRESS($AI43,MATCH(S$1,INDIRECT("Table!A" &amp; $AM43):INDIRECT("Table!" &amp; $AP$65 &amp; $AM43),0)))))</f>
        <v/>
      </c>
      <c r="T43" s="596">
        <f ca="1">IF(ISERROR(MATCH(T$1,INDIRECT("Table!A"&amp;$AM43):INDIRECT("Table!" &amp; $AP$65 &amp; $AM43),0)),"",INDIRECT(CONCATENATE("Table!",ADDRESS($AI43,MATCH(T$1,INDIRECT("Table!A" &amp; $AM43):INDIRECT("Table!" &amp; $AP$65 &amp; $AM43),0)))))</f>
        <v>1.107580090962663</v>
      </c>
      <c r="U43" s="596">
        <f ca="1">IF(ISERROR(MATCH(U$1,INDIRECT("Table!A"&amp;$AM43):INDIRECT("Table!" &amp; $AP$65 &amp; $AM43),0)),"",INDIRECT(CONCATENATE("Table!",ADDRESS($AI43,MATCH(U$1,INDIRECT("Table!A" &amp; $AM43):INDIRECT("Table!" &amp; $AP$65 &amp; $AM43),0)))))</f>
        <v>2.6886219785696483E-2</v>
      </c>
      <c r="V43" s="596">
        <f ca="1">IF(ISERROR(MATCH(V$1,INDIRECT("Table!A"&amp;$AM43):INDIRECT("Table!" &amp; $AP$65 &amp; $AM43),0)),"",INDIRECT(CONCATENATE("Table!",ADDRESS($AI43,MATCH(V$1,INDIRECT("Table!A" &amp; $AM43):INDIRECT("Table!" &amp; $AP$65 &amp; $AM43),0)))))</f>
        <v>0.10393199277543647</v>
      </c>
      <c r="W43" s="596" t="str">
        <f ca="1">IF(ISERROR(MATCH(W$1,INDIRECT("Table!A"&amp;$AM43):INDIRECT("Table!" &amp; $AP$65 &amp; $AM43),0)),"",INDIRECT(CONCATENATE("Table!",ADDRESS($AI43,MATCH(W$1,INDIRECT("Table!A" &amp; $AM43):INDIRECT("Table!" &amp; $AP$65 &amp; $AM43),0)))))</f>
        <v/>
      </c>
      <c r="X43" s="596"/>
      <c r="Y43" s="596"/>
      <c r="Z43" s="596"/>
      <c r="AA43" s="596"/>
      <c r="AB43" s="596"/>
      <c r="AC43" s="596"/>
      <c r="AD43" s="596"/>
      <c r="AE43" s="596"/>
      <c r="AF43" s="596"/>
      <c r="AG43" s="596"/>
      <c r="AH43" s="596"/>
      <c r="AI43" s="595">
        <f>MATCH($A43,Table!$A:$A,0)+$AK$2-1</f>
        <v>586</v>
      </c>
      <c r="AJ43" s="697"/>
      <c r="AK43" s="697"/>
      <c r="AL43" s="697"/>
      <c r="AM43" s="595">
        <f>MATCH($A43,Table!$A:$A,0)+$AO$2-1</f>
        <v>577</v>
      </c>
      <c r="AN43" s="697"/>
      <c r="AO43" s="697"/>
      <c r="AP43" s="973" t="s">
        <v>302</v>
      </c>
    </row>
    <row r="44" spans="1:42" s="591" customFormat="1" ht="19.5" customHeight="1" x14ac:dyDescent="0.25">
      <c r="A44" s="592">
        <v>41690</v>
      </c>
      <c r="B44" s="596">
        <f ca="1">IF(ISERROR(MATCH(B$1,INDIRECT("Table!A"&amp;$AM44):INDIRECT("Table!" &amp; $AP$108 &amp; $AM44),0)),"",INDIRECT(CONCATENATE("Table!",ADDRESS($AI44,MATCH(B$1,INDIRECT("Table!A" &amp; $AM44):INDIRECT("Table!" &amp; $AP$108 &amp; $AM44),0)))))</f>
        <v>1.311123918182896</v>
      </c>
      <c r="C44" s="596">
        <f ca="1">IF(ISERROR(MATCH(C$1,INDIRECT("Table!A"&amp;$AM44):INDIRECT("Table!" &amp; $AP$108 &amp; $AM44),0)),"",INDIRECT(CONCATENATE("Table!",ADDRESS($AI44,MATCH(C$1,INDIRECT("Table!A" &amp; $AM44):INDIRECT("Table!" &amp; $AP$108 &amp; $AM44),0)))))</f>
        <v>0.57122133291521793</v>
      </c>
      <c r="D44" s="596">
        <f ca="1">IF(ISERROR(MATCH(D$1,INDIRECT("Table!A"&amp;$AM44):INDIRECT("Table!" &amp; $AP$108 &amp; $AM44),0)),"",INDIRECT(CONCATENATE("Table!",ADDRESS($AI44,MATCH(D$1,INDIRECT("Table!A" &amp; $AM44):INDIRECT("Table!" &amp; $AP$108 &amp; $AM44),0)))))</f>
        <v>0.57794158389069117</v>
      </c>
      <c r="E44" s="596">
        <f ca="1">IF(ISERROR(MATCH(E$1,INDIRECT("Table!A"&amp;$AM44):INDIRECT("Table!" &amp; $AP$108 &amp; $AM44),0)),"",INDIRECT(CONCATENATE("Table!",ADDRESS($AI44,MATCH(E$1,INDIRECT("Table!A" &amp; $AM44):INDIRECT("Table!" &amp; $AP$108 &amp; $AM44),0)))))</f>
        <v>1.5363567287256841</v>
      </c>
      <c r="F44" s="596">
        <f ca="1">IF(ISERROR(MATCH(F$1,INDIRECT("Table!A"&amp;$AM44):INDIRECT("Table!" &amp; $AP$108 &amp; $AM44),0)),"",INDIRECT(CONCATENATE("Table!",ADDRESS($AI44,MATCH(F$1,INDIRECT("Table!A" &amp; $AM44):INDIRECT("Table!" &amp; $AP$108 &amp; $AM44),0)))))</f>
        <v>0.73729540928417958</v>
      </c>
      <c r="G44" s="596">
        <f ca="1">IF(ISERROR(MATCH(G$1,INDIRECT("Table!A"&amp;$AM44):INDIRECT("Table!" &amp; $AP$108 &amp; $AM44),0)),"",INDIRECT(CONCATENATE("Table!",ADDRESS($AI44,MATCH(G$1,INDIRECT("Table!A" &amp; $AM44):INDIRECT("Table!" &amp; $AP$108 &amp; $AM44),0)))))</f>
        <v>3.4861995309268168</v>
      </c>
      <c r="H44" s="596">
        <f ca="1">IF(ISERROR(MATCH(H$1,INDIRECT("Table!A"&amp;$AM44):INDIRECT("Table!" &amp; $AP$108 &amp; $AM44),0)),"",INDIRECT(CONCATENATE("Table!",ADDRESS($AI44,MATCH(H$1,INDIRECT("Table!A" &amp; $AM44):INDIRECT("Table!" &amp; $AP$108 &amp; $AM44),0)))))</f>
        <v>0.91447042907294085</v>
      </c>
      <c r="I44" s="596">
        <f ca="1">IF(ISERROR(MATCH(I$1,INDIRECT("Table!A"&amp;$AM44):INDIRECT("Table!" &amp; $AP$86 &amp; $AM44),0)),"",INDIRECT(CONCATENATE("Table!",ADDRESS($AI44,MATCH(I$1,INDIRECT("Table!A" &amp; $AM44):INDIRECT("Table!" &amp; $AP$86 &amp; $AM44),0)))))</f>
        <v>0.25310140915725565</v>
      </c>
      <c r="J44" s="596">
        <f ca="1">IF(ISERROR(MATCH(J$1,INDIRECT("Table!A"&amp;$AM44):INDIRECT("Table!" &amp; $AP$86 &amp; $AM44),0)),"",INDIRECT(CONCATENATE("Table!",ADDRESS($AI44,MATCH(J$1,INDIRECT("Table!A" &amp; $AM44):INDIRECT("Table!" &amp; $AP$86 &amp; $AM44),0)))))</f>
        <v>1.0022106628132863</v>
      </c>
      <c r="K44" s="596">
        <f ca="1">IF(ISERROR(MATCH(K$1,INDIRECT("Table!A"&amp;$AM44):INDIRECT("Table!" &amp; $AP$86 &amp; $AM44),0)),"",INDIRECT(CONCATENATE("Table!",ADDRESS($AI44,MATCH(K$1,INDIRECT("Table!A" &amp; $AM44):INDIRECT("Table!" &amp; $AP$86 &amp; $AM44),0)))))</f>
        <v>1.2133825744235605</v>
      </c>
      <c r="L44" s="596">
        <f ca="1">IF(ISERROR(MATCH(L$1,INDIRECT("Table!A"&amp;$AM44):INDIRECT("Table!" &amp; $AP$108 &amp; $AM44),0)),"",INDIRECT(CONCATENATE("Table!",ADDRESS($AI44,MATCH(L$1,INDIRECT("Table!A" &amp; $AM44):INDIRECT("Table!" &amp; $AP$108 &amp; $AM44),0)))))</f>
        <v>1.4457696223004717</v>
      </c>
      <c r="M44" s="596">
        <f ca="1">IF(ISERROR(MATCH(M$1,INDIRECT("Table!A"&amp;$AM44):INDIRECT("Table!" &amp; $AP$108 &amp; $AM44),0)),"",INDIRECT(CONCATENATE("Table!",ADDRESS($AI44,MATCH(M$1,INDIRECT("Table!A" &amp; $AM44):INDIRECT("Table!" &amp; $AP$108 &amp; $AM44),0)))))</f>
        <v>2.7742615503027634</v>
      </c>
      <c r="N44" s="596">
        <f ca="1">IF(ISERROR(MATCH(N$1,INDIRECT("Table!A"&amp;$AM44):INDIRECT("Table!" &amp; $AP$108 &amp; $AM44),0)),"",INDIRECT(CONCATENATE("Table!",ADDRESS($AI44,MATCH(N$1,INDIRECT("Table!A" &amp; $AM44):INDIRECT("Table!" &amp; $AP$108 &amp; $AM44),0)))))</f>
        <v>1.5169809227020086</v>
      </c>
      <c r="O44" s="596">
        <f ca="1">IF(ISERROR(MATCH(O$1,INDIRECT("Table!A"&amp;$AM44):INDIRECT("Table!" &amp; $AP$86 &amp; $AM44),0)),"",INDIRECT(CONCATENATE("Table!",ADDRESS($AI44,MATCH(O$1,INDIRECT("Table!A" &amp; $AM44):INDIRECT("Table!" &amp; $AP$86 &amp; $AM44),0)))))</f>
        <v>0.674694587586807</v>
      </c>
      <c r="P44" s="596">
        <f ca="1">IF(ISERROR(MATCH(P$1,INDIRECT("Table!A"&amp;$AM44):INDIRECT("Table!" &amp; $AP$86 &amp; $AM44),0)),"",INDIRECT(CONCATENATE("Table!",ADDRESS($AI44,MATCH(P$1,INDIRECT("Table!A" &amp; $AM44):INDIRECT("Table!" &amp; $AP$86 &amp; $AM44),0)))))</f>
        <v>0.6932790299613425</v>
      </c>
      <c r="Q44" s="596">
        <f ca="1">IF(ISERROR(MATCH(Q$1,INDIRECT("Table!A"&amp;$AM44):INDIRECT("Table!" &amp; $AP$86 &amp; $AM44),0)),"",INDIRECT(CONCATENATE("Table!",ADDRESS($AI44,MATCH(Q$1,INDIRECT("Table!A" &amp; $AM44):INDIRECT("Table!" &amp; $AP$86 &amp; $AM44),0)))))</f>
        <v>0.71597616381700646</v>
      </c>
      <c r="R44" s="596">
        <f ca="1">IF(ISERROR(MATCH(R$1,INDIRECT("Table!A"&amp;$AM44):INDIRECT("Table!" &amp; $AP$86 &amp; $AM44),0)),"",INDIRECT(CONCATENATE("Table!",ADDRESS($AI44,MATCH(R$1,INDIRECT("Table!A" &amp; $AM44):INDIRECT("Table!" &amp; $AP$86 &amp; $AM44),0)))))</f>
        <v>2.7712458396487332</v>
      </c>
      <c r="S44" s="596" t="str">
        <f ca="1">IF(ISERROR(MATCH(S$1,INDIRECT("Table!A"&amp;$AM44):INDIRECT("Table!" &amp; $AP$65 &amp; $AM44),0)),"",INDIRECT(CONCATENATE("Table!",ADDRESS($AI44,MATCH(S$1,INDIRECT("Table!A" &amp; $AM44):INDIRECT("Table!" &amp; $AP$65 &amp; $AM44),0)))))</f>
        <v/>
      </c>
      <c r="T44" s="596">
        <f ca="1">IF(ISERROR(MATCH(T$1,INDIRECT("Table!A"&amp;$AM44):INDIRECT("Table!" &amp; $AP$65 &amp; $AM44),0)),"",INDIRECT(CONCATENATE("Table!",ADDRESS($AI44,MATCH(T$1,INDIRECT("Table!A" &amp; $AM44):INDIRECT("Table!" &amp; $AP$65 &amp; $AM44),0)))))</f>
        <v>1.107580090962663</v>
      </c>
      <c r="U44" s="596">
        <f ca="1">IF(ISERROR(MATCH(U$1,INDIRECT("Table!A"&amp;$AM44):INDIRECT("Table!" &amp; $AP$65 &amp; $AM44),0)),"",INDIRECT(CONCATENATE("Table!",ADDRESS($AI44,MATCH(U$1,INDIRECT("Table!A" &amp; $AM44):INDIRECT("Table!" &amp; $AP$65 &amp; $AM44),0)))))</f>
        <v>2.2181131323199602E-2</v>
      </c>
      <c r="V44" s="596" t="str">
        <f ca="1">IF(ISERROR(MATCH(V$1,INDIRECT("Table!A"&amp;$AM44):INDIRECT("Table!" &amp; $AP$65 &amp; $AM44),0)),"",INDIRECT(CONCATENATE("Table!",ADDRESS($AI44,MATCH(V$1,INDIRECT("Table!A" &amp; $AM44):INDIRECT("Table!" &amp; $AP$65 &amp; $AM44),0)))))</f>
        <v/>
      </c>
      <c r="W44" s="596"/>
      <c r="X44" s="596"/>
      <c r="Y44" s="596"/>
      <c r="Z44" s="596"/>
      <c r="AA44" s="596"/>
      <c r="AB44" s="596"/>
      <c r="AC44" s="596"/>
      <c r="AD44" s="596"/>
      <c r="AE44" s="596"/>
      <c r="AF44" s="596"/>
      <c r="AG44" s="596"/>
      <c r="AH44" s="596"/>
      <c r="AI44" s="595">
        <f>MATCH($A44,Table!$A:$A,0)+$AK$2-1</f>
        <v>600</v>
      </c>
      <c r="AJ44" s="697"/>
      <c r="AK44" s="697"/>
      <c r="AL44" s="697"/>
      <c r="AM44" s="595">
        <f>MATCH($A44,Table!$A:$A,0)+$AO$2-1</f>
        <v>591</v>
      </c>
      <c r="AN44" s="697"/>
      <c r="AO44" s="697"/>
      <c r="AP44" s="973" t="s">
        <v>302</v>
      </c>
    </row>
    <row r="45" spans="1:42" s="591" customFormat="1" ht="19.5" customHeight="1" x14ac:dyDescent="0.25">
      <c r="A45" s="592">
        <v>41684</v>
      </c>
      <c r="B45" s="596">
        <f ca="1">IF(ISERROR(MATCH(B$1,INDIRECT("Table!A"&amp;$AM45):INDIRECT("Table!" &amp; $AP$108 &amp; $AM45),0)),"",INDIRECT(CONCATENATE("Table!",ADDRESS($AI45,MATCH(B$1,INDIRECT("Table!A" &amp; $AM45):INDIRECT("Table!" &amp; $AP$108 &amp; $AM45),0)))))</f>
        <v>1.311123918182896</v>
      </c>
      <c r="C45" s="596">
        <f ca="1">IF(ISERROR(MATCH(C$1,INDIRECT("Table!A"&amp;$AM45):INDIRECT("Table!" &amp; $AP$108 &amp; $AM45),0)),"",INDIRECT(CONCATENATE("Table!",ADDRESS($AI45,MATCH(C$1,INDIRECT("Table!A" &amp; $AM45):INDIRECT("Table!" &amp; $AP$108 &amp; $AM45),0)))))</f>
        <v>0.57122133291521793</v>
      </c>
      <c r="D45" s="596">
        <f ca="1">IF(ISERROR(MATCH(D$1,INDIRECT("Table!A"&amp;$AM45):INDIRECT("Table!" &amp; $AP$108 &amp; $AM45),0)),"",INDIRECT(CONCATENATE("Table!",ADDRESS($AI45,MATCH(D$1,INDIRECT("Table!A" &amp; $AM45):INDIRECT("Table!" &amp; $AP$108 &amp; $AM45),0)))))</f>
        <v>0.57794158389069117</v>
      </c>
      <c r="E45" s="596">
        <f ca="1">IF(ISERROR(MATCH(E$1,INDIRECT("Table!A"&amp;$AM45):INDIRECT("Table!" &amp; $AP$108 &amp; $AM45),0)),"",INDIRECT(CONCATENATE("Table!",ADDRESS($AI45,MATCH(E$1,INDIRECT("Table!A" &amp; $AM45):INDIRECT("Table!" &amp; $AP$108 &amp; $AM45),0)))))</f>
        <v>1.5363567287256841</v>
      </c>
      <c r="F45" s="596">
        <f ca="1">IF(ISERROR(MATCH(F$1,INDIRECT("Table!A"&amp;$AM45):INDIRECT("Table!" &amp; $AP$108 &amp; $AM45),0)),"",INDIRECT(CONCATENATE("Table!",ADDRESS($AI45,MATCH(F$1,INDIRECT("Table!A" &amp; $AM45):INDIRECT("Table!" &amp; $AP$108 &amp; $AM45),0)))))</f>
        <v>0.73729540928417958</v>
      </c>
      <c r="G45" s="596">
        <f ca="1">IF(ISERROR(MATCH(G$1,INDIRECT("Table!A"&amp;$AM45):INDIRECT("Table!" &amp; $AP$108 &amp; $AM45),0)),"",INDIRECT(CONCATENATE("Table!",ADDRESS($AI45,MATCH(G$1,INDIRECT("Table!A" &amp; $AM45):INDIRECT("Table!" &amp; $AP$108 &amp; $AM45),0)))))</f>
        <v>3.4861995309268168</v>
      </c>
      <c r="H45" s="596">
        <f ca="1">IF(ISERROR(MATCH(H$1,INDIRECT("Table!A"&amp;$AM45):INDIRECT("Table!" &amp; $AP$108 &amp; $AM45),0)),"",INDIRECT(CONCATENATE("Table!",ADDRESS($AI45,MATCH(H$1,INDIRECT("Table!A" &amp; $AM45):INDIRECT("Table!" &amp; $AP$108 &amp; $AM45),0)))))</f>
        <v>0.91447042907294085</v>
      </c>
      <c r="I45" s="596">
        <f ca="1">IF(ISERROR(MATCH(I$1,INDIRECT("Table!A"&amp;$AM45):INDIRECT("Table!" &amp; $AP$86 &amp; $AM45),0)),"",INDIRECT(CONCATENATE("Table!",ADDRESS($AI45,MATCH(I$1,INDIRECT("Table!A" &amp; $AM45):INDIRECT("Table!" &amp; $AP$86 &amp; $AM45),0)))))</f>
        <v>0.25310140915725565</v>
      </c>
      <c r="J45" s="596">
        <f ca="1">IF(ISERROR(MATCH(J$1,INDIRECT("Table!A"&amp;$AM45):INDIRECT("Table!" &amp; $AP$86 &amp; $AM45),0)),"",INDIRECT(CONCATENATE("Table!",ADDRESS($AI45,MATCH(J$1,INDIRECT("Table!A" &amp; $AM45):INDIRECT("Table!" &amp; $AP$86 &amp; $AM45),0)))))</f>
        <v>1.0022106628132863</v>
      </c>
      <c r="K45" s="596">
        <f ca="1">IF(ISERROR(MATCH(K$1,INDIRECT("Table!A"&amp;$AM45):INDIRECT("Table!" &amp; $AP$86 &amp; $AM45),0)),"",INDIRECT(CONCATENATE("Table!",ADDRESS($AI45,MATCH(K$1,INDIRECT("Table!A" &amp; $AM45):INDIRECT("Table!" &amp; $AP$86 &amp; $AM45),0)))))</f>
        <v>1.2133825744235605</v>
      </c>
      <c r="L45" s="596">
        <f ca="1">IF(ISERROR(MATCH(L$1,INDIRECT("Table!A"&amp;$AM45):INDIRECT("Table!" &amp; $AP$108 &amp; $AM45),0)),"",INDIRECT(CONCATENATE("Table!",ADDRESS($AI45,MATCH(L$1,INDIRECT("Table!A" &amp; $AM45):INDIRECT("Table!" &amp; $AP$108 &amp; $AM45),0)))))</f>
        <v>1.4480403731872551</v>
      </c>
      <c r="M45" s="596">
        <f ca="1">IF(ISERROR(MATCH(M$1,INDIRECT("Table!A"&amp;$AM45):INDIRECT("Table!" &amp; $AP$108 &amp; $AM45),0)),"",INDIRECT(CONCATENATE("Table!",ADDRESS($AI45,MATCH(M$1,INDIRECT("Table!A" &amp; $AM45):INDIRECT("Table!" &amp; $AP$108 &amp; $AM45),0)))))</f>
        <v>2.7742615503027634</v>
      </c>
      <c r="N45" s="596">
        <f ca="1">IF(ISERROR(MATCH(N$1,INDIRECT("Table!A"&amp;$AM45):INDIRECT("Table!" &amp; $AP$108 &amp; $AM45),0)),"",INDIRECT(CONCATENATE("Table!",ADDRESS($AI45,MATCH(N$1,INDIRECT("Table!A" &amp; $AM45):INDIRECT("Table!" &amp; $AP$108 &amp; $AM45),0)))))</f>
        <v>1.5169809227020086</v>
      </c>
      <c r="O45" s="596">
        <f ca="1">IF(ISERROR(MATCH(O$1,INDIRECT("Table!A"&amp;$AM45):INDIRECT("Table!" &amp; $AP$86 &amp; $AM45),0)),"",INDIRECT(CONCATENATE("Table!",ADDRESS($AI45,MATCH(O$1,INDIRECT("Table!A" &amp; $AM45):INDIRECT("Table!" &amp; $AP$86 &amp; $AM45),0)))))</f>
        <v>0.67090416855542057</v>
      </c>
      <c r="P45" s="596">
        <f ca="1">IF(ISERROR(MATCH(P$1,INDIRECT("Table!A"&amp;$AM45):INDIRECT("Table!" &amp; $AP$86 &amp; $AM45),0)),"",INDIRECT(CONCATENATE("Table!",ADDRESS($AI45,MATCH(P$1,INDIRECT("Table!A" &amp; $AM45):INDIRECT("Table!" &amp; $AP$86 &amp; $AM45),0)))))</f>
        <v>0.68879574405330324</v>
      </c>
      <c r="Q45" s="596">
        <f ca="1">IF(ISERROR(MATCH(Q$1,INDIRECT("Table!A"&amp;$AM45):INDIRECT("Table!" &amp; $AP$86 &amp; $AM45),0)),"",INDIRECT(CONCATENATE("Table!",ADDRESS($AI45,MATCH(Q$1,INDIRECT("Table!A" &amp; $AM45):INDIRECT("Table!" &amp; $AP$86 &amp; $AM45),0)))))</f>
        <v>0.70776911085523675</v>
      </c>
      <c r="R45" s="596">
        <f ca="1">IF(ISERROR(MATCH(R$1,INDIRECT("Table!A"&amp;$AM45):INDIRECT("Table!" &amp; $AP$86 &amp; $AM45),0)),"",INDIRECT(CONCATENATE("Table!",ADDRESS($AI45,MATCH(R$1,INDIRECT("Table!A" &amp; $AM45):INDIRECT("Table!" &amp; $AP$86 &amp; $AM45),0)))))</f>
        <v>2.7141025721157597</v>
      </c>
      <c r="S45" s="596" t="str">
        <f ca="1">IF(ISERROR(MATCH(S$1,INDIRECT("Table!A"&amp;$AM45):INDIRECT("Table!" &amp; $AP$65 &amp; $AM45),0)),"",INDIRECT(CONCATENATE("Table!",ADDRESS($AI45,MATCH(S$1,INDIRECT("Table!A" &amp; $AM45):INDIRECT("Table!" &amp; $AP$65 &amp; $AM45),0)))))</f>
        <v/>
      </c>
      <c r="T45" s="596">
        <f ca="1">IF(ISERROR(MATCH(T$1,INDIRECT("Table!A"&amp;$AM45):INDIRECT("Table!" &amp; $AP$65 &amp; $AM45),0)),"",INDIRECT(CONCATENATE("Table!",ADDRESS($AI45,MATCH(T$1,INDIRECT("Table!A" &amp; $AM45):INDIRECT("Table!" &amp; $AP$65 &amp; $AM45),0)))))</f>
        <v>1.107580090962663</v>
      </c>
      <c r="U45" s="596" t="str">
        <f ca="1">IF(ISERROR(MATCH(U$1,INDIRECT("Table!A"&amp;$AM45):INDIRECT("Table!" &amp; $AP$65 &amp; $AM45),0)),"",INDIRECT(CONCATENATE("Table!",ADDRESS($AI45,MATCH(U$1,INDIRECT("Table!A" &amp; $AM45):INDIRECT("Table!" &amp; $AP$65 &amp; $AM45),0)))))</f>
        <v/>
      </c>
      <c r="V45" s="596" t="str">
        <f ca="1">IF(ISERROR(MATCH(V$1,INDIRECT("Table!A"&amp;$AM45):INDIRECT("Table!" &amp; $AP$65 &amp; $AM45),0)),"",INDIRECT(CONCATENATE("Table!",ADDRESS($AI45,MATCH(V$1,INDIRECT("Table!A" &amp; $AM45):INDIRECT("Table!" &amp; $AP$65 &amp; $AM45),0)))))</f>
        <v/>
      </c>
      <c r="W45" s="596"/>
      <c r="X45" s="596"/>
      <c r="Y45" s="596"/>
      <c r="Z45" s="596"/>
      <c r="AA45" s="596"/>
      <c r="AB45" s="596"/>
      <c r="AC45" s="596"/>
      <c r="AD45" s="596"/>
      <c r="AE45" s="596"/>
      <c r="AF45" s="596"/>
      <c r="AG45" s="596"/>
      <c r="AH45" s="596"/>
      <c r="AI45" s="595">
        <f>MATCH($A45,Table!$A:$A,0)+$AK$2-1</f>
        <v>614</v>
      </c>
      <c r="AJ45" s="697"/>
      <c r="AK45" s="697"/>
      <c r="AL45" s="697"/>
      <c r="AM45" s="595">
        <f>MATCH($A45,Table!$A:$A,0)+$AO$2-1</f>
        <v>605</v>
      </c>
      <c r="AN45" s="697"/>
      <c r="AO45" s="697"/>
      <c r="AP45" s="973" t="s">
        <v>302</v>
      </c>
    </row>
    <row r="46" spans="1:42" s="591" customFormat="1" ht="19.5" customHeight="1" x14ac:dyDescent="0.25">
      <c r="A46" s="592">
        <v>41676</v>
      </c>
      <c r="B46" s="596">
        <f ca="1">IF(ISERROR(MATCH(B$1,INDIRECT("Table!A"&amp;$AM46):INDIRECT("Table!" &amp; $AP$108 &amp; $AM46),0)),"",INDIRECT(CONCATENATE("Table!",ADDRESS($AI46,MATCH(B$1,INDIRECT("Table!A" &amp; $AM46):INDIRECT("Table!" &amp; $AP$108 &amp; $AM46),0)))))</f>
        <v>1.311123918182896</v>
      </c>
      <c r="C46" s="596">
        <f ca="1">IF(ISERROR(MATCH(C$1,INDIRECT("Table!A"&amp;$AM46):INDIRECT("Table!" &amp; $AP$108 &amp; $AM46),0)),"",INDIRECT(CONCATENATE("Table!",ADDRESS($AI46,MATCH(C$1,INDIRECT("Table!A" &amp; $AM46):INDIRECT("Table!" &amp; $AP$108 &amp; $AM46),0)))))</f>
        <v>0.64290400998693154</v>
      </c>
      <c r="D46" s="596">
        <f ca="1">IF(ISERROR(MATCH(D$1,INDIRECT("Table!A"&amp;$AM46):INDIRECT("Table!" &amp; $AP$108 &amp; $AM46),0)),"",INDIRECT(CONCATENATE("Table!",ADDRESS($AI46,MATCH(D$1,INDIRECT("Table!A" &amp; $AM46):INDIRECT("Table!" &amp; $AP$108 &amp; $AM46),0)))))</f>
        <v>0.64962426096240478</v>
      </c>
      <c r="E46" s="596">
        <f ca="1">IF(ISERROR(MATCH(E$1,INDIRECT("Table!A"&amp;$AM46):INDIRECT("Table!" &amp; $AP$108 &amp; $AM46),0)),"",INDIRECT(CONCATENATE("Table!",ADDRESS($AI46,MATCH(E$1,INDIRECT("Table!A" &amp; $AM46):INDIRECT("Table!" &amp; $AP$108 &amp; $AM46),0)))))</f>
        <v>1.5363567287256841</v>
      </c>
      <c r="F46" s="596">
        <f ca="1">IF(ISERROR(MATCH(F$1,INDIRECT("Table!A"&amp;$AM46):INDIRECT("Table!" &amp; $AP$108 &amp; $AM46),0)),"",INDIRECT(CONCATENATE("Table!",ADDRESS($AI46,MATCH(F$1,INDIRECT("Table!A" &amp; $AM46):INDIRECT("Table!" &amp; $AP$108 &amp; $AM46),0)))))</f>
        <v>0.73729540928417958</v>
      </c>
      <c r="G46" s="596">
        <f ca="1">IF(ISERROR(MATCH(G$1,INDIRECT("Table!A"&amp;$AM46):INDIRECT("Table!" &amp; $AP$108 &amp; $AM46),0)),"",INDIRECT(CONCATENATE("Table!",ADDRESS($AI46,MATCH(G$1,INDIRECT("Table!A" &amp; $AM46):INDIRECT("Table!" &amp; $AP$108 &amp; $AM46),0)))))</f>
        <v>3.4861995309268168</v>
      </c>
      <c r="H46" s="596">
        <f ca="1">IF(ISERROR(MATCH(H$1,INDIRECT("Table!A"&amp;$AM46):INDIRECT("Table!" &amp; $AP$108 &amp; $AM46),0)),"",INDIRECT(CONCATENATE("Table!",ADDRESS($AI46,MATCH(H$1,INDIRECT("Table!A" &amp; $AM46):INDIRECT("Table!" &amp; $AP$108 &amp; $AM46),0)))))</f>
        <v>0.91269552420736899</v>
      </c>
      <c r="I46" s="596">
        <f ca="1">IF(ISERROR(MATCH(I$1,INDIRECT("Table!A"&amp;$AM46):INDIRECT("Table!" &amp; $AP$86 &amp; $AM46),0)),"",INDIRECT(CONCATENATE("Table!",ADDRESS($AI46,MATCH(I$1,INDIRECT("Table!A" &amp; $AM46):INDIRECT("Table!" &amp; $AP$86 &amp; $AM46),0)))))</f>
        <v>0.25310140915725565</v>
      </c>
      <c r="J46" s="596">
        <f ca="1">IF(ISERROR(MATCH(J$1,INDIRECT("Table!A"&amp;$AM46):INDIRECT("Table!" &amp; $AP$86 &amp; $AM46),0)),"",INDIRECT(CONCATENATE("Table!",ADDRESS($AI46,MATCH(J$1,INDIRECT("Table!A" &amp; $AM46):INDIRECT("Table!" &amp; $AP$86 &amp; $AM46),0)))))</f>
        <v>0.9938774255947721</v>
      </c>
      <c r="K46" s="596">
        <f ca="1">IF(ISERROR(MATCH(K$1,INDIRECT("Table!A"&amp;$AM46):INDIRECT("Table!" &amp; $AP$86 &amp; $AM46),0)),"",INDIRECT(CONCATENATE("Table!",ADDRESS($AI46,MATCH(K$1,INDIRECT("Table!A" &amp; $AM46):INDIRECT("Table!" &amp; $AP$86 &amp; $AM46),0)))))</f>
        <v>1.1886610189660332</v>
      </c>
      <c r="L46" s="596">
        <f ca="1">IF(ISERROR(MATCH(L$1,INDIRECT("Table!A"&amp;$AM46):INDIRECT("Table!" &amp; $AP$108 &amp; $AM46),0)),"",INDIRECT(CONCATENATE("Table!",ADDRESS($AI46,MATCH(L$1,INDIRECT("Table!A" &amp; $AM46):INDIRECT("Table!" &amp; $AP$108 &amp; $AM46),0)))))</f>
        <v>1.4480403731872551</v>
      </c>
      <c r="M46" s="596">
        <f ca="1">IF(ISERROR(MATCH(M$1,INDIRECT("Table!A"&amp;$AM46):INDIRECT("Table!" &amp; $AP$108 &amp; $AM46),0)),"",INDIRECT(CONCATENATE("Table!",ADDRESS($AI46,MATCH(M$1,INDIRECT("Table!A" &amp; $AM46):INDIRECT("Table!" &amp; $AP$108 &amp; $AM46),0)))))</f>
        <v>2.7742615503027634</v>
      </c>
      <c r="N46" s="596">
        <f ca="1">IF(ISERROR(MATCH(N$1,INDIRECT("Table!A"&amp;$AM46):INDIRECT("Table!" &amp; $AP$108 &amp; $AM46),0)),"",INDIRECT(CONCATENATE("Table!",ADDRESS($AI46,MATCH(N$1,INDIRECT("Table!A" &amp; $AM46):INDIRECT("Table!" &amp; $AP$108 &amp; $AM46),0)))))</f>
        <v>1.5169809227020086</v>
      </c>
      <c r="O46" s="596">
        <f ca="1">IF(ISERROR(MATCH(O$1,INDIRECT("Table!A"&amp;$AM46):INDIRECT("Table!" &amp; $AP$86 &amp; $AM46),0)),"",INDIRECT(CONCATENATE("Table!",ADDRESS($AI46,MATCH(O$1,INDIRECT("Table!A" &amp; $AM46):INDIRECT("Table!" &amp; $AP$86 &amp; $AM46),0)))))</f>
        <v>0.66980372432050173</v>
      </c>
      <c r="P46" s="596">
        <f ca="1">IF(ISERROR(MATCH(P$1,INDIRECT("Table!A"&amp;$AM46):INDIRECT("Table!" &amp; $AP$86 &amp; $AM46),0)),"",INDIRECT(CONCATENATE("Table!",ADDRESS($AI46,MATCH(P$1,INDIRECT("Table!A" &amp; $AM46):INDIRECT("Table!" &amp; $AP$86 &amp; $AM46),0)))))</f>
        <v>0.68879574405330324</v>
      </c>
      <c r="Q46" s="596">
        <f ca="1">IF(ISERROR(MATCH(Q$1,INDIRECT("Table!A"&amp;$AM46):INDIRECT("Table!" &amp; $AP$86 &amp; $AM46),0)),"",INDIRECT(CONCATENATE("Table!",ADDRESS($AI46,MATCH(Q$1,INDIRECT("Table!A" &amp; $AM46):INDIRECT("Table!" &amp; $AP$86 &amp; $AM46),0)))))</f>
        <v>0.70241668501060417</v>
      </c>
      <c r="R46" s="596">
        <f ca="1">IF(ISERROR(MATCH(R$1,INDIRECT("Table!A"&amp;$AM46):INDIRECT("Table!" &amp; $AP$86 &amp; $AM46),0)),"",INDIRECT(CONCATENATE("Table!",ADDRESS($AI46,MATCH(R$1,INDIRECT("Table!A" &amp; $AM46):INDIRECT("Table!" &amp; $AP$86 &amp; $AM46),0)))))</f>
        <v>2.671549075016737</v>
      </c>
      <c r="S46" s="596" t="str">
        <f ca="1">IF(ISERROR(MATCH(S$1,INDIRECT("Table!A"&amp;$AM46):INDIRECT("Table!" &amp; $AP$65 &amp; $AM46),0)),"",INDIRECT(CONCATENATE("Table!",ADDRESS($AI46,MATCH(S$1,INDIRECT("Table!A" &amp; $AM46):INDIRECT("Table!" &amp; $AP$65 &amp; $AM46),0)))))</f>
        <v/>
      </c>
      <c r="T46" s="596">
        <f ca="1">IF(ISERROR(MATCH(T$1,INDIRECT("Table!A"&amp;$AM46):INDIRECT("Table!" &amp; $AP$65 &amp; $AM46),0)),"",INDIRECT(CONCATENATE("Table!",ADDRESS($AI46,MATCH(T$1,INDIRECT("Table!A" &amp; $AM46):INDIRECT("Table!" &amp; $AP$65 &amp; $AM46),0)))))</f>
        <v>1.107580090962663</v>
      </c>
      <c r="U46" s="596" t="str">
        <f ca="1">IF(ISERROR(MATCH(U$1,INDIRECT("Table!A"&amp;$AM46):INDIRECT("Table!" &amp; $AP$65 &amp; $AM46),0)),"",INDIRECT(CONCATENATE("Table!",ADDRESS($AI46,MATCH(U$1,INDIRECT("Table!A" &amp; $AM46):INDIRECT("Table!" &amp; $AP$65 &amp; $AM46),0)))))</f>
        <v/>
      </c>
      <c r="V46" s="596"/>
      <c r="W46" s="596"/>
      <c r="X46" s="596"/>
      <c r="Y46" s="596"/>
      <c r="Z46" s="596"/>
      <c r="AA46" s="596"/>
      <c r="AB46" s="596"/>
      <c r="AC46" s="596"/>
      <c r="AD46" s="596"/>
      <c r="AE46" s="596"/>
      <c r="AF46" s="596"/>
      <c r="AG46" s="596"/>
      <c r="AH46" s="596"/>
      <c r="AI46" s="595">
        <f>MATCH($A46,Table!$A:$A,0)+$AK$2-1</f>
        <v>628</v>
      </c>
      <c r="AJ46" s="697"/>
      <c r="AK46" s="697"/>
      <c r="AL46" s="697"/>
      <c r="AM46" s="595">
        <f>MATCH($A46,Table!$A:$A,0)+$AO$2-1</f>
        <v>619</v>
      </c>
      <c r="AN46" s="697"/>
      <c r="AO46" s="697"/>
      <c r="AP46" s="973" t="s">
        <v>302</v>
      </c>
    </row>
    <row r="47" spans="1:42" s="591" customFormat="1" ht="19.5" customHeight="1" x14ac:dyDescent="0.25">
      <c r="A47" s="592">
        <v>41642</v>
      </c>
      <c r="B47" s="596">
        <f ca="1">IF(ISERROR(MATCH(B$1,INDIRECT("Table!A"&amp;$AM47):INDIRECT("Table!" &amp; $AP$108 &amp; $AM47),0)),"",INDIRECT(CONCATENATE("Table!",ADDRESS($AI47,MATCH(B$1,INDIRECT("Table!A" &amp; $AM47):INDIRECT("Table!" &amp; $AP$108 &amp; $AM47),0)))))</f>
        <v>1.3012481641363247</v>
      </c>
      <c r="C47" s="596">
        <f ca="1">IF(ISERROR(MATCH(C$1,INDIRECT("Table!A"&amp;$AM47):INDIRECT("Table!" &amp; $AP$108 &amp; $AM47),0)),"",INDIRECT(CONCATENATE("Table!",ADDRESS($AI47,MATCH(C$1,INDIRECT("Table!A" &amp; $AM47):INDIRECT("Table!" &amp; $AP$108 &amp; $AM47),0)))))</f>
        <v>0.64178396815768612</v>
      </c>
      <c r="D47" s="596">
        <f ca="1">IF(ISERROR(MATCH(D$1,INDIRECT("Table!A"&amp;$AM47):INDIRECT("Table!" &amp; $AP$108 &amp; $AM47),0)),"",INDIRECT(CONCATENATE("Table!",ADDRESS($AI47,MATCH(D$1,INDIRECT("Table!A" &amp; $AM47):INDIRECT("Table!" &amp; $AP$108 &amp; $AM47),0)))))</f>
        <v>0.64850421913315925</v>
      </c>
      <c r="E47" s="596">
        <f ca="1">IF(ISERROR(MATCH(E$1,INDIRECT("Table!A"&amp;$AM47):INDIRECT("Table!" &amp; $AP$108 &amp; $AM47),0)),"",INDIRECT(CONCATENATE("Table!",ADDRESS($AI47,MATCH(E$1,INDIRECT("Table!A" &amp; $AM47):INDIRECT("Table!" &amp; $AP$108 &amp; $AM47),0)))))</f>
        <v>1.542655550476157</v>
      </c>
      <c r="F47" s="596">
        <f ca="1">IF(ISERROR(MATCH(F$1,INDIRECT("Table!A"&amp;$AM47):INDIRECT("Table!" &amp; $AP$108 &amp; $AM47),0)),"",INDIRECT(CONCATENATE("Table!",ADDRESS($AI47,MATCH(F$1,INDIRECT("Table!A" &amp; $AM47):INDIRECT("Table!" &amp; $AP$108 &amp; $AM47),0)))))</f>
        <v>0.73729540928417958</v>
      </c>
      <c r="G47" s="596">
        <f ca="1">IF(ISERROR(MATCH(G$1,INDIRECT("Table!A"&amp;$AM47):INDIRECT("Table!" &amp; $AP$108 &amp; $AM47),0)),"",INDIRECT(CONCATENATE("Table!",ADDRESS($AI47,MATCH(G$1,INDIRECT("Table!A" &amp; $AM47):INDIRECT("Table!" &amp; $AP$108 &amp; $AM47),0)))))</f>
        <v>3.4861995309268168</v>
      </c>
      <c r="H47" s="596">
        <f ca="1">IF(ISERROR(MATCH(H$1,INDIRECT("Table!A"&amp;$AM47):INDIRECT("Table!" &amp; $AP$108 &amp; $AM47),0)),"",INDIRECT(CONCATENATE("Table!",ADDRESS($AI47,MATCH(H$1,INDIRECT("Table!A" &amp; $AM47):INDIRECT("Table!" &amp; $AP$108 &amp; $AM47),0)))))</f>
        <v>0.96890084495047613</v>
      </c>
      <c r="I47" s="596">
        <f ca="1">IF(ISERROR(MATCH(I$1,INDIRECT("Table!A"&amp;$AM47):INDIRECT("Table!" &amp; $AP$86 &amp; $AM47),0)),"",INDIRECT(CONCATENATE("Table!",ADDRESS($AI47,MATCH(I$1,INDIRECT("Table!A" &amp; $AM47):INDIRECT("Table!" &amp; $AP$86 &amp; $AM47),0)))))</f>
        <v>0.16588127782126094</v>
      </c>
      <c r="J47" s="596">
        <f ca="1">IF(ISERROR(MATCH(J$1,INDIRECT("Table!A"&amp;$AM47):INDIRECT("Table!" &amp; $AP$86 &amp; $AM47),0)),"",INDIRECT(CONCATENATE("Table!",ADDRESS($AI47,MATCH(J$1,INDIRECT("Table!A" &amp; $AM47):INDIRECT("Table!" &amp; $AP$86 &amp; $AM47),0)))))</f>
        <v>1.1007729440892702</v>
      </c>
      <c r="K47" s="596">
        <f ca="1">IF(ISERROR(MATCH(K$1,INDIRECT("Table!A"&amp;$AM47):INDIRECT("Table!" &amp; $AP$86 &amp; $AM47),0)),"",INDIRECT(CONCATENATE("Table!",ADDRESS($AI47,MATCH(K$1,INDIRECT("Table!A" &amp; $AM47):INDIRECT("Table!" &amp; $AP$86 &amp; $AM47),0)))))</f>
        <v>0.89281289627758975</v>
      </c>
      <c r="L47" s="596">
        <f ca="1">IF(ISERROR(MATCH(L$1,INDIRECT("Table!A"&amp;$AM47):INDIRECT("Table!" &amp; $AP$108 &amp; $AM47),0)),"",INDIRECT(CONCATENATE("Table!",ADDRESS($AI47,MATCH(L$1,INDIRECT("Table!A" &amp; $AM47):INDIRECT("Table!" &amp; $AP$108 &amp; $AM47),0)))))</f>
        <v>1.4581714156052119</v>
      </c>
      <c r="M47" s="596">
        <f ca="1">IF(ISERROR(MATCH(M$1,INDIRECT("Table!A"&amp;$AM47):INDIRECT("Table!" &amp; $AP$108 &amp; $AM47),0)),"",INDIRECT(CONCATENATE("Table!",ADDRESS($AI47,MATCH(M$1,INDIRECT("Table!A" &amp; $AM47):INDIRECT("Table!" &amp; $AP$108 &amp; $AM47),0)))))</f>
        <v>2.7911030939304289</v>
      </c>
      <c r="N47" s="596">
        <f ca="1">IF(ISERROR(MATCH(N$1,INDIRECT("Table!A"&amp;$AM47):INDIRECT("Table!" &amp; $AP$108 &amp; $AM47),0)),"",INDIRECT(CONCATENATE("Table!",ADDRESS($AI47,MATCH(N$1,INDIRECT("Table!A" &amp; $AM47):INDIRECT("Table!" &amp; $AP$108 &amp; $AM47),0)))))</f>
        <v>1.5345064948879801</v>
      </c>
      <c r="O47" s="596">
        <f ca="1">IF(ISERROR(MATCH(O$1,INDIRECT("Table!A"&amp;$AM47):INDIRECT("Table!" &amp; $AP$86 &amp; $AM47),0)),"",INDIRECT(CONCATENATE("Table!",ADDRESS($AI47,MATCH(O$1,INDIRECT("Table!A" &amp; $AM47):INDIRECT("Table!" &amp; $AP$86 &amp; $AM47),0)))))</f>
        <v>0.70465112509292671</v>
      </c>
      <c r="P47" s="596">
        <f ca="1">IF(ISERROR(MATCH(P$1,INDIRECT("Table!A"&amp;$AM47):INDIRECT("Table!" &amp; $AP$86 &amp; $AM47),0)),"",INDIRECT(CONCATENATE("Table!",ADDRESS($AI47,MATCH(P$1,INDIRECT("Table!A" &amp; $AM47):INDIRECT("Table!" &amp; $AP$86 &amp; $AM47),0)))))</f>
        <v>0.5143551650859578</v>
      </c>
      <c r="Q47" s="596">
        <f ca="1">IF(ISERROR(MATCH(Q$1,INDIRECT("Table!A"&amp;$AM47):INDIRECT("Table!" &amp; $AP$86 &amp; $AM47),0)),"",INDIRECT(CONCATENATE("Table!",ADDRESS($AI47,MATCH(Q$1,INDIRECT("Table!A" &amp; $AM47):INDIRECT("Table!" &amp; $AP$86 &amp; $AM47),0)))))</f>
        <v>0.55879325817963232</v>
      </c>
      <c r="R47" s="596">
        <f ca="1">IF(ISERROR(MATCH(R$1,INDIRECT("Table!A"&amp;$AM47):INDIRECT("Table!" &amp; $AP$86 &amp; $AM47),0)),"",INDIRECT(CONCATENATE("Table!",ADDRESS($AI47,MATCH(R$1,INDIRECT("Table!A" &amp; $AM47):INDIRECT("Table!" &amp; $AP$86 &amp; $AM47),0)))))</f>
        <v>2.2926203151349638</v>
      </c>
      <c r="S47" s="596" t="str">
        <f ca="1">IF(ISERROR(MATCH(S$1,INDIRECT("Table!A"&amp;$AM47):INDIRECT("Table!" &amp; $AP$65 &amp; $AM47),0)),"",INDIRECT(CONCATENATE("Table!",ADDRESS($AI47,MATCH(S$1,INDIRECT("Table!A" &amp; $AM47):INDIRECT("Table!" &amp; $AP$65 &amp; $AM47),0)))))</f>
        <v/>
      </c>
      <c r="T47" s="596">
        <f ca="1">IF(ISERROR(MATCH(T$1,INDIRECT("Table!A"&amp;$AM47):INDIRECT("Table!" &amp; $AP$65 &amp; $AM47),0)),"",INDIRECT(CONCATENATE("Table!",ADDRESS($AI47,MATCH(T$1,INDIRECT("Table!A" &amp; $AM47):INDIRECT("Table!" &amp; $AP$65 &amp; $AM47),0)))))</f>
        <v>1.034216920264124</v>
      </c>
      <c r="U47" s="596" t="str">
        <f ca="1">IF(ISERROR(MATCH(U$1,INDIRECT("Table!A"&amp;$AM47):INDIRECT("Table!" &amp; $AP$65 &amp; $AM47),0)),"",INDIRECT(CONCATENATE("Table!",ADDRESS($AI47,MATCH(U$1,INDIRECT("Table!A" &amp; $AM47):INDIRECT("Table!" &amp; $AP$65 &amp; $AM47),0)))))</f>
        <v/>
      </c>
      <c r="V47" s="596"/>
      <c r="W47" s="596"/>
      <c r="X47" s="596"/>
      <c r="Y47" s="596"/>
      <c r="Z47" s="596"/>
      <c r="AA47" s="596"/>
      <c r="AB47" s="596"/>
      <c r="AC47" s="596"/>
      <c r="AD47" s="596"/>
      <c r="AE47" s="596"/>
      <c r="AF47" s="596"/>
      <c r="AG47" s="596"/>
      <c r="AH47" s="596"/>
      <c r="AI47" s="595">
        <f>MATCH($A47,Table!$A:$A,0)+$AK$2-1</f>
        <v>670</v>
      </c>
      <c r="AJ47" s="697"/>
      <c r="AK47" s="697"/>
      <c r="AL47" s="697"/>
      <c r="AM47" s="595">
        <f>MATCH($A47,Table!$A:$A,0)+$AO$2-1</f>
        <v>661</v>
      </c>
      <c r="AN47" s="697"/>
      <c r="AO47" s="697"/>
      <c r="AP47" s="973" t="s">
        <v>302</v>
      </c>
    </row>
    <row r="48" spans="1:42" s="591" customFormat="1" ht="19.5" customHeight="1" x14ac:dyDescent="0.25">
      <c r="A48" s="592">
        <v>41626</v>
      </c>
      <c r="B48" s="596">
        <f ca="1">IF(ISERROR(MATCH(B$1,INDIRECT("Table!A"&amp;$AM48):INDIRECT("Table!" &amp; $AP$108 &amp; $AM48),0)),"",INDIRECT(CONCATENATE("Table!",ADDRESS($AI48,MATCH(B$1,INDIRECT("Table!A" &amp; $AM48):INDIRECT("Table!" &amp; $AP$108 &amp; $AM48),0)))))</f>
        <v>1.3012481641363247</v>
      </c>
      <c r="C48" s="596">
        <f ca="1">IF(ISERROR(MATCH(C$1,INDIRECT("Table!A"&amp;$AM48):INDIRECT("Table!" &amp; $AP$108 &amp; $AM48),0)),"",INDIRECT(CONCATENATE("Table!",ADDRESS($AI48,MATCH(C$1,INDIRECT("Table!A" &amp; $AM48):INDIRECT("Table!" &amp; $AP$108 &amp; $AM48),0)))))</f>
        <v>0.64178396815768612</v>
      </c>
      <c r="D48" s="596">
        <f ca="1">IF(ISERROR(MATCH(D$1,INDIRECT("Table!A"&amp;$AM48):INDIRECT("Table!" &amp; $AP$108 &amp; $AM48),0)),"",INDIRECT(CONCATENATE("Table!",ADDRESS($AI48,MATCH(D$1,INDIRECT("Table!A" &amp; $AM48):INDIRECT("Table!" &amp; $AP$108 &amp; $AM48),0)))))</f>
        <v>0.64850421913315925</v>
      </c>
      <c r="E48" s="596">
        <f ca="1">IF(ISERROR(MATCH(E$1,INDIRECT("Table!A"&amp;$AM48):INDIRECT("Table!" &amp; $AP$108 &amp; $AM48),0)),"",INDIRECT(CONCATENATE("Table!",ADDRESS($AI48,MATCH(E$1,INDIRECT("Table!A" &amp; $AM48):INDIRECT("Table!" &amp; $AP$108 &amp; $AM48),0)))))</f>
        <v>1.542655550476157</v>
      </c>
      <c r="F48" s="596">
        <f ca="1">IF(ISERROR(MATCH(F$1,INDIRECT("Table!A"&amp;$AM48):INDIRECT("Table!" &amp; $AP$108 &amp; $AM48),0)),"",INDIRECT(CONCATENATE("Table!",ADDRESS($AI48,MATCH(F$1,INDIRECT("Table!A" &amp; $AM48):INDIRECT("Table!" &amp; $AP$108 &amp; $AM48),0)))))</f>
        <v>0.73729540928417958</v>
      </c>
      <c r="G48" s="596">
        <f ca="1">IF(ISERROR(MATCH(G$1,INDIRECT("Table!A"&amp;$AM48):INDIRECT("Table!" &amp; $AP$108 &amp; $AM48),0)),"",INDIRECT(CONCATENATE("Table!",ADDRESS($AI48,MATCH(G$1,INDIRECT("Table!A" &amp; $AM48):INDIRECT("Table!" &amp; $AP$108 &amp; $AM48),0)))))</f>
        <v>3.4861995309268168</v>
      </c>
      <c r="H48" s="596">
        <f ca="1">IF(ISERROR(MATCH(H$1,INDIRECT("Table!A"&amp;$AM48):INDIRECT("Table!" &amp; $AP$108 &amp; $AM48),0)),"",INDIRECT(CONCATENATE("Table!",ADDRESS($AI48,MATCH(H$1,INDIRECT("Table!A" &amp; $AM48):INDIRECT("Table!" &amp; $AP$108 &amp; $AM48),0)))))</f>
        <v>0.96890084495047613</v>
      </c>
      <c r="I48" s="596">
        <f ca="1">IF(ISERROR(MATCH(I$1,INDIRECT("Table!A"&amp;$AM48):INDIRECT("Table!" &amp; $AP$86 &amp; $AM48),0)),"",INDIRECT(CONCATENATE("Table!",ADDRESS($AI48,MATCH(I$1,INDIRECT("Table!A" &amp; $AM48):INDIRECT("Table!" &amp; $AP$86 &amp; $AM48),0)))))</f>
        <v>0.15834121973847637</v>
      </c>
      <c r="J48" s="596">
        <f ca="1">IF(ISERROR(MATCH(J$1,INDIRECT("Table!A"&amp;$AM48):INDIRECT("Table!" &amp; $AP$86 &amp; $AM48),0)),"",INDIRECT(CONCATENATE("Table!",ADDRESS($AI48,MATCH(J$1,INDIRECT("Table!A" &amp; $AM48):INDIRECT("Table!" &amp; $AP$86 &amp; $AM48),0)))))</f>
        <v>1.1007729440892702</v>
      </c>
      <c r="K48" s="596">
        <f ca="1">IF(ISERROR(MATCH(K$1,INDIRECT("Table!A"&amp;$AM48):INDIRECT("Table!" &amp; $AP$86 &amp; $AM48),0)),"",INDIRECT(CONCATENATE("Table!",ADDRESS($AI48,MATCH(K$1,INDIRECT("Table!A" &amp; $AM48):INDIRECT("Table!" &amp; $AP$86 &amp; $AM48),0)))))</f>
        <v>0.89281289627758975</v>
      </c>
      <c r="L48" s="596">
        <f ca="1">IF(ISERROR(MATCH(L$1,INDIRECT("Table!A"&amp;$AM48):INDIRECT("Table!" &amp; $AP$108 &amp; $AM48),0)),"",INDIRECT(CONCATENATE("Table!",ADDRESS($AI48,MATCH(L$1,INDIRECT("Table!A" &amp; $AM48):INDIRECT("Table!" &amp; $AP$108 &amp; $AM48),0)))))</f>
        <v>1.4581714156052119</v>
      </c>
      <c r="M48" s="596">
        <f ca="1">IF(ISERROR(MATCH(M$1,INDIRECT("Table!A"&amp;$AM48):INDIRECT("Table!" &amp; $AP$108 &amp; $AM48),0)),"",INDIRECT(CONCATENATE("Table!",ADDRESS($AI48,MATCH(M$1,INDIRECT("Table!A" &amp; $AM48):INDIRECT("Table!" &amp; $AP$108 &amp; $AM48),0)))))</f>
        <v>2.7908479190269797</v>
      </c>
      <c r="N48" s="596">
        <f ca="1">IF(ISERROR(MATCH(N$1,INDIRECT("Table!A"&amp;$AM48):INDIRECT("Table!" &amp; $AP$108 &amp; $AM48),0)),"",INDIRECT(CONCATENATE("Table!",ADDRESS($AI48,MATCH(N$1,INDIRECT("Table!A" &amp; $AM48):INDIRECT("Table!" &amp; $AP$108 &amp; $AM48),0)))))</f>
        <v>1.5345064948879801</v>
      </c>
      <c r="O48" s="596">
        <f ca="1">IF(ISERROR(MATCH(O$1,INDIRECT("Table!A"&amp;$AM48):INDIRECT("Table!" &amp; $AP$86 &amp; $AM48),0)),"",INDIRECT(CONCATENATE("Table!",ADDRESS($AI48,MATCH(O$1,INDIRECT("Table!A" &amp; $AM48):INDIRECT("Table!" &amp; $AP$86 &amp; $AM48),0)))))</f>
        <v>0.70465112509292671</v>
      </c>
      <c r="P48" s="596">
        <f ca="1">IF(ISERROR(MATCH(P$1,INDIRECT("Table!A"&amp;$AM48):INDIRECT("Table!" &amp; $AP$86 &amp; $AM48),0)),"",INDIRECT(CONCATENATE("Table!",ADDRESS($AI48,MATCH(P$1,INDIRECT("Table!A" &amp; $AM48):INDIRECT("Table!" &amp; $AP$86 &amp; $AM48),0)))))</f>
        <v>0.49927502157709847</v>
      </c>
      <c r="Q48" s="596">
        <f ca="1">IF(ISERROR(MATCH(Q$1,INDIRECT("Table!A"&amp;$AM48):INDIRECT("Table!" &amp; $AP$86 &amp; $AM48),0)),"",INDIRECT(CONCATENATE("Table!",ADDRESS($AI48,MATCH(Q$1,INDIRECT("Table!A" &amp; $AM48):INDIRECT("Table!" &amp; $AP$86 &amp; $AM48),0)))))</f>
        <v>0.55879325817963232</v>
      </c>
      <c r="R48" s="596">
        <f ca="1">IF(ISERROR(MATCH(R$1,INDIRECT("Table!A"&amp;$AM48):INDIRECT("Table!" &amp; $AP$86 &amp; $AM48),0)),"",INDIRECT(CONCATENATE("Table!",ADDRESS($AI48,MATCH(R$1,INDIRECT("Table!A" &amp; $AM48):INDIRECT("Table!" &amp; $AP$86 &amp; $AM48),0)))))</f>
        <v>2.2926203151349638</v>
      </c>
      <c r="S48" s="596" t="str">
        <f ca="1">IF(ISERROR(MATCH(S$1,INDIRECT("Table!A"&amp;$AM48):INDIRECT("Table!" &amp; $AP$65 &amp; $AM48),0)),"",INDIRECT(CONCATENATE("Table!",ADDRESS($AI48,MATCH(S$1,INDIRECT("Table!A" &amp; $AM48):INDIRECT("Table!" &amp; $AP$65 &amp; $AM48),0)))))</f>
        <v/>
      </c>
      <c r="T48" s="596">
        <f ca="1">IF(ISERROR(MATCH(T$1,INDIRECT("Table!A"&amp;$AM48):INDIRECT("Table!" &amp; $AP$65 &amp; $AM48),0)),"",INDIRECT(CONCATENATE("Table!",ADDRESS($AI48,MATCH(T$1,INDIRECT("Table!A" &amp; $AM48):INDIRECT("Table!" &amp; $AP$65 &amp; $AM48),0)))))</f>
        <v>1.034216920264124</v>
      </c>
      <c r="U48" s="596" t="str">
        <f ca="1">IF(ISERROR(MATCH(U$1,INDIRECT("Table!A"&amp;$AM48):INDIRECT("Table!" &amp; $AP$65 &amp; $AM48),0)),"",INDIRECT(CONCATENATE("Table!",ADDRESS($AI48,MATCH(U$1,INDIRECT("Table!A" &amp; $AM48):INDIRECT("Table!" &amp; $AP$65 &amp; $AM48),0)))))</f>
        <v/>
      </c>
      <c r="V48" s="596"/>
      <c r="W48" s="596"/>
      <c r="X48" s="596"/>
      <c r="Y48" s="596"/>
      <c r="Z48" s="596"/>
      <c r="AA48" s="596"/>
      <c r="AB48" s="596"/>
      <c r="AC48" s="596"/>
      <c r="AD48" s="596"/>
      <c r="AE48" s="596"/>
      <c r="AF48" s="596"/>
      <c r="AG48" s="596"/>
      <c r="AH48" s="596"/>
      <c r="AI48" s="595">
        <f>MATCH($A48,Table!$A:$A,0)+$AK$2-1</f>
        <v>684</v>
      </c>
      <c r="AJ48" s="607"/>
      <c r="AK48" s="607"/>
      <c r="AL48" s="607"/>
      <c r="AM48" s="595">
        <f>MATCH($A48,Table!$A:$A,0)+$AO$2-1</f>
        <v>675</v>
      </c>
      <c r="AN48" s="607"/>
      <c r="AO48" s="607"/>
      <c r="AP48" s="973" t="s">
        <v>302</v>
      </c>
    </row>
    <row r="49" spans="1:42" s="591" customFormat="1" ht="19.5" customHeight="1" x14ac:dyDescent="0.25">
      <c r="A49" s="592">
        <v>41617</v>
      </c>
      <c r="B49" s="596">
        <f ca="1">IF(ISERROR(MATCH(B$1,INDIRECT("Table!A"&amp;$AM49):INDIRECT("Table!" &amp; $AP$108 &amp; $AM49),0)),"",INDIRECT(CONCATENATE("Table!",ADDRESS($AI49,MATCH(B$1,INDIRECT("Table!A" &amp; $AM49):INDIRECT("Table!" &amp; $AP$108 &amp; $AM49),0)))))</f>
        <v>1.3012481641363247</v>
      </c>
      <c r="C49" s="596">
        <f ca="1">IF(ISERROR(MATCH(C$1,INDIRECT("Table!A"&amp;$AM49):INDIRECT("Table!" &amp; $AP$108 &amp; $AM49),0)),"",INDIRECT(CONCATENATE("Table!",ADDRESS($AI49,MATCH(C$1,INDIRECT("Table!A" &amp; $AM49):INDIRECT("Table!" &amp; $AP$108 &amp; $AM49),0)))))</f>
        <v>0.64178396815768612</v>
      </c>
      <c r="D49" s="596">
        <f ca="1">IF(ISERROR(MATCH(D$1,INDIRECT("Table!A"&amp;$AM49):INDIRECT("Table!" &amp; $AP$108 &amp; $AM49),0)),"",INDIRECT(CONCATENATE("Table!",ADDRESS($AI49,MATCH(D$1,INDIRECT("Table!A" &amp; $AM49):INDIRECT("Table!" &amp; $AP$108 &amp; $AM49),0)))))</f>
        <v>0.64850421913315925</v>
      </c>
      <c r="E49" s="596">
        <f ca="1">IF(ISERROR(MATCH(E$1,INDIRECT("Table!A"&amp;$AM49):INDIRECT("Table!" &amp; $AP$108 &amp; $AM49),0)),"",INDIRECT(CONCATENATE("Table!",ADDRESS($AI49,MATCH(E$1,INDIRECT("Table!A" &amp; $AM49):INDIRECT("Table!" &amp; $AP$108 &amp; $AM49),0)))))</f>
        <v>1.542655550476157</v>
      </c>
      <c r="F49" s="596">
        <f ca="1">IF(ISERROR(MATCH(F$1,INDIRECT("Table!A"&amp;$AM49):INDIRECT("Table!" &amp; $AP$108 &amp; $AM49),0)),"",INDIRECT(CONCATENATE("Table!",ADDRESS($AI49,MATCH(F$1,INDIRECT("Table!A" &amp; $AM49):INDIRECT("Table!" &amp; $AP$108 &amp; $AM49),0)))))</f>
        <v>1.5561049600038681</v>
      </c>
      <c r="G49" s="596">
        <f ca="1">IF(ISERROR(MATCH(G$1,INDIRECT("Table!A"&amp;$AM49):INDIRECT("Table!" &amp; $AP$108 &amp; $AM49),0)),"",INDIRECT(CONCATENATE("Table!",ADDRESS($AI49,MATCH(G$1,INDIRECT("Table!A" &amp; $AM49):INDIRECT("Table!" &amp; $AP$108 &amp; $AM49),0)))))</f>
        <v>3.4861995309268168</v>
      </c>
      <c r="H49" s="596">
        <f ca="1">IF(ISERROR(MATCH(H$1,INDIRECT("Table!A"&amp;$AM49):INDIRECT("Table!" &amp; $AP$108 &amp; $AM49),0)),"",INDIRECT(CONCATENATE("Table!",ADDRESS($AI49,MATCH(H$1,INDIRECT("Table!A" &amp; $AM49):INDIRECT("Table!" &amp; $AP$108 &amp; $AM49),0)))))</f>
        <v>0.96811199834355544</v>
      </c>
      <c r="I49" s="596">
        <f ca="1">IF(ISERROR(MATCH(I$1,INDIRECT("Table!A"&amp;$AM49):INDIRECT("Table!" &amp; $AP$86 &amp; $AM49),0)),"",INDIRECT(CONCATENATE("Table!",ADDRESS($AI49,MATCH(I$1,INDIRECT("Table!A" &amp; $AM49):INDIRECT("Table!" &amp; $AP$86 &amp; $AM49),0)))))</f>
        <v>0.13225669447911345</v>
      </c>
      <c r="J49" s="596">
        <f ca="1">IF(ISERROR(MATCH(J$1,INDIRECT("Table!A"&amp;$AM49):INDIRECT("Table!" &amp; $AP$86 &amp; $AM49),0)),"",INDIRECT(CONCATENATE("Table!",ADDRESS($AI49,MATCH(J$1,INDIRECT("Table!A" &amp; $AM49):INDIRECT("Table!" &amp; $AP$86 &amp; $AM49),0)))))</f>
        <v>1.0953000921962177</v>
      </c>
      <c r="K49" s="596">
        <f ca="1">IF(ISERROR(MATCH(K$1,INDIRECT("Table!A"&amp;$AM49):INDIRECT("Table!" &amp; $AP$86 &amp; $AM49),0)),"",INDIRECT(CONCATENATE("Table!",ADDRESS($AI49,MATCH(K$1,INDIRECT("Table!A" &amp; $AM49):INDIRECT("Table!" &amp; $AP$86 &amp; $AM49),0)))))</f>
        <v>0.33174045195141838</v>
      </c>
      <c r="L49" s="596">
        <f ca="1">IF(ISERROR(MATCH(L$1,INDIRECT("Table!A"&amp;$AM49):INDIRECT("Table!" &amp; $AP$108 &amp; $AM49),0)),"",INDIRECT(CONCATENATE("Table!",ADDRESS($AI49,MATCH(L$1,INDIRECT("Table!A" &amp; $AM49):INDIRECT("Table!" &amp; $AP$108 &amp; $AM49),0)))))</f>
        <v>1.4564246841538397</v>
      </c>
      <c r="M49" s="596">
        <f ca="1">IF(ISERROR(MATCH(M$1,INDIRECT("Table!A"&amp;$AM49):INDIRECT("Table!" &amp; $AP$108 &amp; $AM49),0)),"",INDIRECT(CONCATENATE("Table!",ADDRESS($AI49,MATCH(M$1,INDIRECT("Table!A" &amp; $AM49):INDIRECT("Table!" &amp; $AP$108 &amp; $AM49),0)))))</f>
        <v>0.86883801229030222</v>
      </c>
      <c r="N49" s="596">
        <f ca="1">IF(ISERROR(MATCH(N$1,INDIRECT("Table!A"&amp;$AM49):INDIRECT("Table!" &amp; $AP$108 &amp; $AM49),0)),"",INDIRECT(CONCATENATE("Table!",ADDRESS($AI49,MATCH(N$1,INDIRECT("Table!A" &amp; $AM49):INDIRECT("Table!" &amp; $AP$108 &amp; $AM49),0)))))</f>
        <v>1.6160207841250576</v>
      </c>
      <c r="O49" s="596">
        <f ca="1">IF(ISERROR(MATCH(O$1,INDIRECT("Table!A"&amp;$AM49):INDIRECT("Table!" &amp; $AP$86 &amp; $AM49),0)),"",INDIRECT(CONCATENATE("Table!",ADDRESS($AI49,MATCH(O$1,INDIRECT("Table!A" &amp; $AM49):INDIRECT("Table!" &amp; $AP$86 &amp; $AM49),0)))))</f>
        <v>1.0237799532193432</v>
      </c>
      <c r="P49" s="596">
        <f ca="1">IF(ISERROR(MATCH(P$1,INDIRECT("Table!A"&amp;$AM49):INDIRECT("Table!" &amp; $AP$86 &amp; $AM49),0)),"",INDIRECT(CONCATENATE("Table!",ADDRESS($AI49,MATCH(P$1,INDIRECT("Table!A" &amp; $AM49):INDIRECT("Table!" &amp; $AP$86 &amp; $AM49),0)))))</f>
        <v>0.44710587646536903</v>
      </c>
      <c r="Q49" s="596">
        <f ca="1">IF(ISERROR(MATCH(Q$1,INDIRECT("Table!A"&amp;$AM49):INDIRECT("Table!" &amp; $AP$86 &amp; $AM49),0)),"",INDIRECT(CONCATENATE("Table!",ADDRESS($AI49,MATCH(Q$1,INDIRECT("Table!A" &amp; $AM49):INDIRECT("Table!" &amp; $AP$86 &amp; $AM49),0)))))</f>
        <v>0.55611704525731598</v>
      </c>
      <c r="R49" s="596">
        <f ca="1">IF(ISERROR(MATCH(R$1,INDIRECT("Table!A"&amp;$AM49):INDIRECT("Table!" &amp; $AP$86 &amp; $AM49),0)),"",INDIRECT(CONCATENATE("Table!",ADDRESS($AI49,MATCH(R$1,INDIRECT("Table!A" &amp; $AM49):INDIRECT("Table!" &amp; $AP$86 &amp; $AM49),0)))))</f>
        <v>0.34693347548271558</v>
      </c>
      <c r="S49" s="596" t="str">
        <f ca="1">IF(ISERROR(MATCH(S$1,INDIRECT("Table!A"&amp;$AM49):INDIRECT("Table!" &amp; $AP$65 &amp; $AM49),0)),"",INDIRECT(CONCATENATE("Table!",ADDRESS($AI49,MATCH(S$1,INDIRECT("Table!A" &amp; $AM49):INDIRECT("Table!" &amp; $AP$65 &amp; $AM49),0)))))</f>
        <v/>
      </c>
      <c r="T49" s="596">
        <f ca="1">IF(ISERROR(MATCH(T$1,INDIRECT("Table!A"&amp;$AM49):INDIRECT("Table!" &amp; $AP$65 &amp; $AM49),0)),"",INDIRECT(CONCATENATE("Table!",ADDRESS($AI49,MATCH(T$1,INDIRECT("Table!A" &amp; $AM49):INDIRECT("Table!" &amp; $AP$65 &amp; $AM49),0)))))</f>
        <v>1.034216920264124</v>
      </c>
      <c r="U49" s="596" t="str">
        <f ca="1">IF(ISERROR(MATCH(U$1,INDIRECT("Table!A"&amp;$AM49):INDIRECT("Table!" &amp; $AP$65 &amp; $AM49),0)),"",INDIRECT(CONCATENATE("Table!",ADDRESS($AI49,MATCH(U$1,INDIRECT("Table!A" &amp; $AM49):INDIRECT("Table!" &amp; $AP$65 &amp; $AM49),0)))))</f>
        <v/>
      </c>
      <c r="V49" s="596"/>
      <c r="W49" s="596"/>
      <c r="X49" s="596"/>
      <c r="Y49" s="596"/>
      <c r="Z49" s="596"/>
      <c r="AA49" s="596"/>
      <c r="AB49" s="596"/>
      <c r="AC49" s="596"/>
      <c r="AD49" s="596"/>
      <c r="AE49" s="596"/>
      <c r="AF49" s="596"/>
      <c r="AG49" s="596"/>
      <c r="AH49" s="596"/>
      <c r="AI49" s="595">
        <f>MATCH($A49,Table!$A:$A,0)+$AK$2-1</f>
        <v>696</v>
      </c>
      <c r="AJ49" s="593"/>
      <c r="AK49" s="593"/>
      <c r="AL49" s="593"/>
      <c r="AM49" s="595">
        <f>MATCH($A49,Table!$A:$A,0)+$AO$2-1</f>
        <v>687</v>
      </c>
      <c r="AN49" s="593"/>
      <c r="AO49" s="593"/>
      <c r="AP49" s="973" t="s">
        <v>302</v>
      </c>
    </row>
    <row r="50" spans="1:42" s="591" customFormat="1" ht="19.5" customHeight="1" x14ac:dyDescent="0.25">
      <c r="A50" s="592">
        <v>41610</v>
      </c>
      <c r="B50" s="596">
        <f ca="1">IF(ISERROR(MATCH(B$1,INDIRECT("Table!A"&amp;$AM50):INDIRECT("Table!" &amp; $AP$108 &amp; $AM50),0)),"",INDIRECT(CONCATENATE("Table!",ADDRESS($AI50,MATCH(B$1,INDIRECT("Table!A" &amp; $AM50):INDIRECT("Table!" &amp; $AP$108 &amp; $AM50),0)))))</f>
        <v>1.3186483022183788</v>
      </c>
      <c r="C50" s="596">
        <f ca="1">IF(ISERROR(MATCH(C$1,INDIRECT("Table!A"&amp;$AM50):INDIRECT("Table!" &amp; $AP$108 &amp; $AM50),0)),"",INDIRECT(CONCATENATE("Table!",ADDRESS($AI50,MATCH(C$1,INDIRECT("Table!A" &amp; $AM50):INDIRECT("Table!" &amp; $AP$108 &amp; $AM50),0)))))</f>
        <v>0.64178396815768612</v>
      </c>
      <c r="D50" s="596">
        <f ca="1">IF(ISERROR(MATCH(D$1,INDIRECT("Table!A"&amp;$AM50):INDIRECT("Table!" &amp; $AP$108 &amp; $AM50),0)),"",INDIRECT(CONCATENATE("Table!",ADDRESS($AI50,MATCH(D$1,INDIRECT("Table!A" &amp; $AM50):INDIRECT("Table!" &amp; $AP$108 &amp; $AM50),0)))))</f>
        <v>0.64850421913315925</v>
      </c>
      <c r="E50" s="596">
        <f ca="1">IF(ISERROR(MATCH(E$1,INDIRECT("Table!A"&amp;$AM50):INDIRECT("Table!" &amp; $AP$108 &amp; $AM50),0)),"",INDIRECT(CONCATENATE("Table!",ADDRESS($AI50,MATCH(E$1,INDIRECT("Table!A" &amp; $AM50):INDIRECT("Table!" &amp; $AP$108 &amp; $AM50),0)))))</f>
        <v>1.542655550476157</v>
      </c>
      <c r="F50" s="596">
        <f ca="1">IF(ISERROR(MATCH(F$1,INDIRECT("Table!A"&amp;$AM50):INDIRECT("Table!" &amp; $AP$108 &amp; $AM50),0)),"",INDIRECT(CONCATENATE("Table!",ADDRESS($AI50,MATCH(F$1,INDIRECT("Table!A" &amp; $AM50):INDIRECT("Table!" &amp; $AP$108 &amp; $AM50),0)))))</f>
        <v>1.5561049600038681</v>
      </c>
      <c r="G50" s="596">
        <f ca="1">IF(ISERROR(MATCH(G$1,INDIRECT("Table!A"&amp;$AM50):INDIRECT("Table!" &amp; $AP$108 &amp; $AM50),0)),"",INDIRECT(CONCATENATE("Table!",ADDRESS($AI50,MATCH(G$1,INDIRECT("Table!A" &amp; $AM50):INDIRECT("Table!" &amp; $AP$108 &amp; $AM50),0)))))</f>
        <v>3.4861995309268168</v>
      </c>
      <c r="H50" s="596">
        <f ca="1">IF(ISERROR(MATCH(H$1,INDIRECT("Table!A"&amp;$AM50):INDIRECT("Table!" &amp; $AP$108 &amp; $AM50),0)),"",INDIRECT(CONCATENATE("Table!",ADDRESS($AI50,MATCH(H$1,INDIRECT("Table!A" &amp; $AM50):INDIRECT("Table!" &amp; $AP$108 &amp; $AM50),0)))))</f>
        <v>0.96811199834355544</v>
      </c>
      <c r="I50" s="596">
        <f ca="1">IF(ISERROR(MATCH(I$1,INDIRECT("Table!A"&amp;$AM50):INDIRECT("Table!" &amp; $AP$86 &amp; $AM50),0)),"",INDIRECT(CONCATENATE("Table!",ADDRESS($AI50,MATCH(I$1,INDIRECT("Table!A" &amp; $AM50):INDIRECT("Table!" &amp; $AP$86 &amp; $AM50),0)))))</f>
        <v>0.13225669447911345</v>
      </c>
      <c r="J50" s="596">
        <f ca="1">IF(ISERROR(MATCH(J$1,INDIRECT("Table!A"&amp;$AM50):INDIRECT("Table!" &amp; $AP$86 &amp; $AM50),0)),"",INDIRECT(CONCATENATE("Table!",ADDRESS($AI50,MATCH(J$1,INDIRECT("Table!A" &amp; $AM50):INDIRECT("Table!" &amp; $AP$86 &amp; $AM50),0)))))</f>
        <v>1.0953000921962177</v>
      </c>
      <c r="K50" s="596">
        <f ca="1">IF(ISERROR(MATCH(K$1,INDIRECT("Table!A"&amp;$AM50):INDIRECT("Table!" &amp; $AP$86 &amp; $AM50),0)),"",INDIRECT(CONCATENATE("Table!",ADDRESS($AI50,MATCH(K$1,INDIRECT("Table!A" &amp; $AM50):INDIRECT("Table!" &amp; $AP$86 &amp; $AM50),0)))))</f>
        <v>0.32202944722007371</v>
      </c>
      <c r="L50" s="596">
        <f ca="1">IF(ISERROR(MATCH(L$1,INDIRECT("Table!A"&amp;$AM50):INDIRECT("Table!" &amp; $AP$108 &amp; $AM50),0)),"",INDIRECT(CONCATENATE("Table!",ADDRESS($AI50,MATCH(L$1,INDIRECT("Table!A" &amp; $AM50):INDIRECT("Table!" &amp; $AP$108 &amp; $AM50),0)))))</f>
        <v>1.4581714156052119</v>
      </c>
      <c r="M50" s="596">
        <f ca="1">IF(ISERROR(MATCH(M$1,INDIRECT("Table!A"&amp;$AM50):INDIRECT("Table!" &amp; $AP$108 &amp; $AM50),0)),"",INDIRECT(CONCATENATE("Table!",ADDRESS($AI50,MATCH(M$1,INDIRECT("Table!A" &amp; $AM50):INDIRECT("Table!" &amp; $AP$108 &amp; $AM50),0)))))</f>
        <v>0.86883801229030222</v>
      </c>
      <c r="N50" s="596">
        <f ca="1">IF(ISERROR(MATCH(N$1,INDIRECT("Table!A"&amp;$AM50):INDIRECT("Table!" &amp; $AP$108 &amp; $AM50),0)),"",INDIRECT(CONCATENATE("Table!",ADDRESS($AI50,MATCH(N$1,INDIRECT("Table!A" &amp; $AM50):INDIRECT("Table!" &amp; $AP$108 &amp; $AM50),0)))))</f>
        <v>1.6160207841250576</v>
      </c>
      <c r="O50" s="596">
        <f ca="1">IF(ISERROR(MATCH(O$1,INDIRECT("Table!A"&amp;$AM50):INDIRECT("Table!" &amp; $AP$86 &amp; $AM50),0)),"",INDIRECT(CONCATENATE("Table!",ADDRESS($AI50,MATCH(O$1,INDIRECT("Table!A" &amp; $AM50):INDIRECT("Table!" &amp; $AP$86 &amp; $AM50),0)))))</f>
        <v>1.0237799532193432</v>
      </c>
      <c r="P50" s="596">
        <f ca="1">IF(ISERROR(MATCH(P$1,INDIRECT("Table!A"&amp;$AM50):INDIRECT("Table!" &amp; $AP$86 &amp; $AM50),0)),"",INDIRECT(CONCATENATE("Table!",ADDRESS($AI50,MATCH(P$1,INDIRECT("Table!A" &amp; $AM50):INDIRECT("Table!" &amp; $AP$86 &amp; $AM50),0)))))</f>
        <v>0.44710587646536903</v>
      </c>
      <c r="Q50" s="596">
        <f ca="1">IF(ISERROR(MATCH(Q$1,INDIRECT("Table!A"&amp;$AM50):INDIRECT("Table!" &amp; $AP$86 &amp; $AM50),0)),"",INDIRECT(CONCATENATE("Table!",ADDRESS($AI50,MATCH(Q$1,INDIRECT("Table!A" &amp; $AM50):INDIRECT("Table!" &amp; $AP$86 &amp; $AM50),0)))))</f>
        <v>0.54059501030788182</v>
      </c>
      <c r="R50" s="596">
        <f ca="1">IF(ISERROR(MATCH(R$1,INDIRECT("Table!A"&amp;$AM50):INDIRECT("Table!" &amp; $AP$86 &amp; $AM50),0)),"",INDIRECT(CONCATENATE("Table!",ADDRESS($AI50,MATCH(R$1,INDIRECT("Table!A" &amp; $AM50):INDIRECT("Table!" &amp; $AP$86 &amp; $AM50),0)))))</f>
        <v>0.31075215140302831</v>
      </c>
      <c r="S50" s="596" t="str">
        <f ca="1">IF(ISERROR(MATCH(S$1,INDIRECT("Table!A"&amp;$AM50):INDIRECT("Table!" &amp; $AP$65 &amp; $AM50),0)),"",INDIRECT(CONCATENATE("Table!",ADDRESS($AI50,MATCH(S$1,INDIRECT("Table!A" &amp; $AM50):INDIRECT("Table!" &amp; $AP$65 &amp; $AM50),0)))))</f>
        <v/>
      </c>
      <c r="T50" s="596">
        <f ca="1">IF(ISERROR(MATCH(T$1,INDIRECT("Table!A"&amp;$AM50):INDIRECT("Table!" &amp; $AP$65 &amp; $AM50),0)),"",INDIRECT(CONCATENATE("Table!",ADDRESS($AI50,MATCH(T$1,INDIRECT("Table!A" &amp; $AM50):INDIRECT("Table!" &amp; $AP$65 &amp; $AM50),0)))))</f>
        <v>0.99244067028301175</v>
      </c>
      <c r="U50" s="596" t="str">
        <f ca="1">IF(ISERROR(MATCH(U$1,INDIRECT("Table!A"&amp;$AM50):INDIRECT("Table!" &amp; $AP$65 &amp; $AM50),0)),"",INDIRECT(CONCATENATE("Table!",ADDRESS($AI50,MATCH(U$1,INDIRECT("Table!A" &amp; $AM50):INDIRECT("Table!" &amp; $AP$65 &amp; $AM50),0)))))</f>
        <v/>
      </c>
      <c r="V50" s="596"/>
      <c r="W50" s="596"/>
      <c r="X50" s="596"/>
      <c r="Y50" s="596"/>
      <c r="Z50" s="596"/>
      <c r="AA50" s="596"/>
      <c r="AB50" s="596"/>
      <c r="AC50" s="596"/>
      <c r="AD50" s="596"/>
      <c r="AE50" s="596"/>
      <c r="AF50" s="596"/>
      <c r="AG50" s="596"/>
      <c r="AH50" s="596"/>
      <c r="AI50" s="595">
        <f>MATCH($A50,Table!$A:$A,0)+$AK$2-1</f>
        <v>708</v>
      </c>
      <c r="AJ50" s="593"/>
      <c r="AK50" s="593"/>
      <c r="AL50" s="593"/>
      <c r="AM50" s="595">
        <f>MATCH($A50,Table!$A:$A,0)+$AO$2-1</f>
        <v>699</v>
      </c>
      <c r="AN50" s="593"/>
      <c r="AO50" s="593"/>
      <c r="AP50" s="973" t="s">
        <v>302</v>
      </c>
    </row>
    <row r="51" spans="1:42" s="591" customFormat="1" ht="19.5" customHeight="1" x14ac:dyDescent="0.25">
      <c r="A51" s="592">
        <v>41603</v>
      </c>
      <c r="B51" s="596">
        <f ca="1">IF(ISERROR(MATCH(B$1,INDIRECT("Table!A"&amp;$AM51):INDIRECT("Table!" &amp; $AP$108 &amp; $AM51),0)),"",INDIRECT(CONCATENATE("Table!",ADDRESS($AI51,MATCH(B$1,INDIRECT("Table!A" &amp; $AM51):INDIRECT("Table!" &amp; $AP$108 &amp; $AM51),0)))))</f>
        <v>1.3165320692083993</v>
      </c>
      <c r="C51" s="596">
        <f ca="1">IF(ISERROR(MATCH(C$1,INDIRECT("Table!A"&amp;$AM51):INDIRECT("Table!" &amp; $AP$108 &amp; $AM51),0)),"",INDIRECT(CONCATENATE("Table!",ADDRESS($AI51,MATCH(C$1,INDIRECT("Table!A" &amp; $AM51):INDIRECT("Table!" &amp; $AP$108 &amp; $AM51),0)))))</f>
        <v>0.64178396815768612</v>
      </c>
      <c r="D51" s="596">
        <f ca="1">IF(ISERROR(MATCH(D$1,INDIRECT("Table!A"&amp;$AM51):INDIRECT("Table!" &amp; $AP$108 &amp; $AM51),0)),"",INDIRECT(CONCATENATE("Table!",ADDRESS($AI51,MATCH(D$1,INDIRECT("Table!A" &amp; $AM51):INDIRECT("Table!" &amp; $AP$108 &amp; $AM51),0)))))</f>
        <v>0.64850421913315925</v>
      </c>
      <c r="E51" s="596">
        <f ca="1">IF(ISERROR(MATCH(E$1,INDIRECT("Table!A"&amp;$AM51):INDIRECT("Table!" &amp; $AP$108 &amp; $AM51),0)),"",INDIRECT(CONCATENATE("Table!",ADDRESS($AI51,MATCH(E$1,INDIRECT("Table!A" &amp; $AM51):INDIRECT("Table!" &amp; $AP$108 &amp; $AM51),0)))))</f>
        <v>1.542655550476157</v>
      </c>
      <c r="F51" s="596">
        <f ca="1">IF(ISERROR(MATCH(F$1,INDIRECT("Table!A"&amp;$AM51):INDIRECT("Table!" &amp; $AP$108 &amp; $AM51),0)),"",INDIRECT(CONCATENATE("Table!",ADDRESS($AI51,MATCH(F$1,INDIRECT("Table!A" &amp; $AM51):INDIRECT("Table!" &amp; $AP$108 &amp; $AM51),0)))))</f>
        <v>1.5561049600038681</v>
      </c>
      <c r="G51" s="596">
        <f ca="1">IF(ISERROR(MATCH(G$1,INDIRECT("Table!A"&amp;$AM51):INDIRECT("Table!" &amp; $AP$108 &amp; $AM51),0)),"",INDIRECT(CONCATENATE("Table!",ADDRESS($AI51,MATCH(G$1,INDIRECT("Table!A" &amp; $AM51):INDIRECT("Table!" &amp; $AP$108 &amp; $AM51),0)))))</f>
        <v>3.4861995309268168</v>
      </c>
      <c r="H51" s="596">
        <f ca="1">IF(ISERROR(MATCH(H$1,INDIRECT("Table!A"&amp;$AM51):INDIRECT("Table!" &amp; $AP$108 &amp; $AM51),0)),"",INDIRECT(CONCATENATE("Table!",ADDRESS($AI51,MATCH(H$1,INDIRECT("Table!A" &amp; $AM51):INDIRECT("Table!" &amp; $AP$108 &amp; $AM51),0)))))</f>
        <v>0.96811199834355544</v>
      </c>
      <c r="I51" s="596">
        <f ca="1">IF(ISERROR(MATCH(I$1,INDIRECT("Table!A"&amp;$AM51):INDIRECT("Table!" &amp; $AP$86 &amp; $AM51),0)),"",INDIRECT(CONCATENATE("Table!",ADDRESS($AI51,MATCH(I$1,INDIRECT("Table!A" &amp; $AM51):INDIRECT("Table!" &amp; $AP$86 &amp; $AM51),0)))))</f>
        <v>0.12043714397096465</v>
      </c>
      <c r="J51" s="596">
        <f ca="1">IF(ISERROR(MATCH(J$1,INDIRECT("Table!A"&amp;$AM51):INDIRECT("Table!" &amp; $AP$86 &amp; $AM51),0)),"",INDIRECT(CONCATENATE("Table!",ADDRESS($AI51,MATCH(J$1,INDIRECT("Table!A" &amp; $AM51):INDIRECT("Table!" &amp; $AP$86 &amp; $AM51),0)))))</f>
        <v>1.0923812378532562</v>
      </c>
      <c r="K51" s="596">
        <f ca="1">IF(ISERROR(MATCH(K$1,INDIRECT("Table!A"&amp;$AM51):INDIRECT("Table!" &amp; $AP$86 &amp; $AM51),0)),"",INDIRECT(CONCATENATE("Table!",ADDRESS($AI51,MATCH(K$1,INDIRECT("Table!A" &amp; $AM51):INDIRECT("Table!" &amp; $AP$86 &amp; $AM51),0)))))</f>
        <v>0.2747274564319111</v>
      </c>
      <c r="L51" s="596">
        <f ca="1">IF(ISERROR(MATCH(L$1,INDIRECT("Table!A"&amp;$AM51):INDIRECT("Table!" &amp; $AP$108 &amp; $AM51),0)),"",INDIRECT(CONCATENATE("Table!",ADDRESS($AI51,MATCH(L$1,INDIRECT("Table!A" &amp; $AM51):INDIRECT("Table!" &amp; $AP$108 &amp; $AM51),0)))))</f>
        <v>1.4581714156052119</v>
      </c>
      <c r="M51" s="596">
        <f ca="1">IF(ISERROR(MATCH(M$1,INDIRECT("Table!A"&amp;$AM51):INDIRECT("Table!" &amp; $AP$108 &amp; $AM51),0)),"",INDIRECT(CONCATENATE("Table!",ADDRESS($AI51,MATCH(M$1,INDIRECT("Table!A" &amp; $AM51):INDIRECT("Table!" &amp; $AP$108 &amp; $AM51),0)))))</f>
        <v>0.86883801229030222</v>
      </c>
      <c r="N51" s="596">
        <f ca="1">IF(ISERROR(MATCH(N$1,INDIRECT("Table!A"&amp;$AM51):INDIRECT("Table!" &amp; $AP$108 &amp; $AM51),0)),"",INDIRECT(CONCATENATE("Table!",ADDRESS($AI51,MATCH(N$1,INDIRECT("Table!A" &amp; $AM51):INDIRECT("Table!" &amp; $AP$108 &amp; $AM51),0)))))</f>
        <v>1.6160207841250576</v>
      </c>
      <c r="O51" s="596">
        <f ca="1">IF(ISERROR(MATCH(O$1,INDIRECT("Table!A"&amp;$AM51):INDIRECT("Table!" &amp; $AP$86 &amp; $AM51),0)),"",INDIRECT(CONCATENATE("Table!",ADDRESS($AI51,MATCH(O$1,INDIRECT("Table!A" &amp; $AM51):INDIRECT("Table!" &amp; $AP$86 &amp; $AM51),0)))))</f>
        <v>1.0237799532193432</v>
      </c>
      <c r="P51" s="596">
        <f ca="1">IF(ISERROR(MATCH(P$1,INDIRECT("Table!A"&amp;$AM51):INDIRECT("Table!" &amp; $AP$86 &amp; $AM51),0)),"",INDIRECT(CONCATENATE("Table!",ADDRESS($AI51,MATCH(P$1,INDIRECT("Table!A" &amp; $AM51):INDIRECT("Table!" &amp; $AP$86 &amp; $AM51),0)))))</f>
        <v>0.42346673258661655</v>
      </c>
      <c r="Q51" s="596">
        <f ca="1">IF(ISERROR(MATCH(Q$1,INDIRECT("Table!A"&amp;$AM51):INDIRECT("Table!" &amp; $AP$86 &amp; $AM51),0)),"",INDIRECT(CONCATENATE("Table!",ADDRESS($AI51,MATCH(Q$1,INDIRECT("Table!A" &amp; $AM51):INDIRECT("Table!" &amp; $AP$86 &amp; $AM51),0)))))</f>
        <v>0.53916769674931309</v>
      </c>
      <c r="R51" s="596">
        <f ca="1">IF(ISERROR(MATCH(R$1,INDIRECT("Table!A"&amp;$AM51):INDIRECT("Table!" &amp; $AP$86 &amp; $AM51),0)),"",INDIRECT(CONCATENATE("Table!",ADDRESS($AI51,MATCH(R$1,INDIRECT("Table!A" &amp; $AM51):INDIRECT("Table!" &amp; $AP$86 &amp; $AM51),0)))))</f>
        <v>9.7266676422016418E-2</v>
      </c>
      <c r="S51" s="596" t="str">
        <f ca="1">IF(ISERROR(MATCH(S$1,INDIRECT("Table!A"&amp;$AM51):INDIRECT("Table!" &amp; $AP$65 &amp; $AM51),0)),"",INDIRECT(CONCATENATE("Table!",ADDRESS($AI51,MATCH(S$1,INDIRECT("Table!A" &amp; $AM51):INDIRECT("Table!" &amp; $AP$65 &amp; $AM51),0)))))</f>
        <v/>
      </c>
      <c r="T51" s="596">
        <f ca="1">IF(ISERROR(MATCH(T$1,INDIRECT("Table!A"&amp;$AM51):INDIRECT("Table!" &amp; $AP$65 &amp; $AM51),0)),"",INDIRECT(CONCATENATE("Table!",ADDRESS($AI51,MATCH(T$1,INDIRECT("Table!A" &amp; $AM51):INDIRECT("Table!" &amp; $AP$65 &amp; $AM51),0)))))</f>
        <v>0.99244067028301175</v>
      </c>
      <c r="U51" s="596" t="str">
        <f ca="1">IF(ISERROR(MATCH(U$1,INDIRECT("Table!A"&amp;$AM51):INDIRECT("Table!" &amp; $AP$65 &amp; $AM51),0)),"",INDIRECT(CONCATENATE("Table!",ADDRESS($AI51,MATCH(U$1,INDIRECT("Table!A" &amp; $AM51):INDIRECT("Table!" &amp; $AP$65 &amp; $AM51),0)))))</f>
        <v/>
      </c>
      <c r="V51" s="596"/>
      <c r="W51" s="596"/>
      <c r="X51" s="596"/>
      <c r="Y51" s="596"/>
      <c r="Z51" s="596"/>
      <c r="AA51" s="596"/>
      <c r="AB51" s="596"/>
      <c r="AC51" s="596"/>
      <c r="AD51" s="596"/>
      <c r="AE51" s="596"/>
      <c r="AF51" s="596"/>
      <c r="AG51" s="596"/>
      <c r="AH51" s="596"/>
      <c r="AI51" s="595">
        <f>MATCH($A51,Table!$A:$A,0)+$AK$2-1</f>
        <v>720</v>
      </c>
      <c r="AJ51" s="593"/>
      <c r="AK51" s="593"/>
      <c r="AL51" s="593"/>
      <c r="AM51" s="595">
        <f>MATCH($A51,Table!$A:$A,0)+$AO$2-1</f>
        <v>711</v>
      </c>
      <c r="AN51" s="593"/>
      <c r="AO51" s="593"/>
      <c r="AP51" s="973" t="s">
        <v>302</v>
      </c>
    </row>
    <row r="52" spans="1:42" s="591" customFormat="1" ht="19.5" customHeight="1" x14ac:dyDescent="0.25">
      <c r="A52" s="592">
        <v>41596</v>
      </c>
      <c r="B52" s="596">
        <f ca="1">IF(ISERROR(MATCH(B$1,INDIRECT("Table!A"&amp;$AM52):INDIRECT("Table!" &amp; $AP$108 &amp; $AM52),0)),"",INDIRECT(CONCATENATE("Table!",ADDRESS($AI52,MATCH(B$1,INDIRECT("Table!A" &amp; $AM52):INDIRECT("Table!" &amp; $AP$108 &amp; $AM52),0)))))</f>
        <v>1.3165320692083993</v>
      </c>
      <c r="C52" s="596">
        <f ca="1">IF(ISERROR(MATCH(C$1,INDIRECT("Table!A"&amp;$AM52):INDIRECT("Table!" &amp; $AP$108 &amp; $AM52),0)),"",INDIRECT(CONCATENATE("Table!",ADDRESS($AI52,MATCH(C$1,INDIRECT("Table!A" &amp; $AM52):INDIRECT("Table!" &amp; $AP$108 &amp; $AM52),0)))))</f>
        <v>0.64178396815768612</v>
      </c>
      <c r="D52" s="596">
        <f ca="1">IF(ISERROR(MATCH(D$1,INDIRECT("Table!A"&amp;$AM52):INDIRECT("Table!" &amp; $AP$108 &amp; $AM52),0)),"",INDIRECT(CONCATENATE("Table!",ADDRESS($AI52,MATCH(D$1,INDIRECT("Table!A" &amp; $AM52):INDIRECT("Table!" &amp; $AP$108 &amp; $AM52),0)))))</f>
        <v>0.64850421913315925</v>
      </c>
      <c r="E52" s="596">
        <f ca="1">IF(ISERROR(MATCH(E$1,INDIRECT("Table!A"&amp;$AM52):INDIRECT("Table!" &amp; $AP$108 &amp; $AM52),0)),"",INDIRECT(CONCATENATE("Table!",ADDRESS($AI52,MATCH(E$1,INDIRECT("Table!A" &amp; $AM52):INDIRECT("Table!" &amp; $AP$108 &amp; $AM52),0)))))</f>
        <v>1.542655550476157</v>
      </c>
      <c r="F52" s="596">
        <f ca="1">IF(ISERROR(MATCH(F$1,INDIRECT("Table!A"&amp;$AM52):INDIRECT("Table!" &amp; $AP$108 &amp; $AM52),0)),"",INDIRECT(CONCATENATE("Table!",ADDRESS($AI52,MATCH(F$1,INDIRECT("Table!A" &amp; $AM52):INDIRECT("Table!" &amp; $AP$108 &amp; $AM52),0)))))</f>
        <v>1.5561049600038681</v>
      </c>
      <c r="G52" s="596">
        <f ca="1">IF(ISERROR(MATCH(G$1,INDIRECT("Table!A"&amp;$AM52):INDIRECT("Table!" &amp; $AP$108 &amp; $AM52),0)),"",INDIRECT(CONCATENATE("Table!",ADDRESS($AI52,MATCH(G$1,INDIRECT("Table!A" &amp; $AM52):INDIRECT("Table!" &amp; $AP$108 &amp; $AM52),0)))))</f>
        <v>3.4861995309268168</v>
      </c>
      <c r="H52" s="596">
        <f ca="1">IF(ISERROR(MATCH(H$1,INDIRECT("Table!A"&amp;$AM52):INDIRECT("Table!" &amp; $AP$108 &amp; $AM52),0)),"",INDIRECT(CONCATENATE("Table!",ADDRESS($AI52,MATCH(H$1,INDIRECT("Table!A" &amp; $AM52):INDIRECT("Table!" &amp; $AP$108 &amp; $AM52),0)))))</f>
        <v>0.95332112446379036</v>
      </c>
      <c r="I52" s="596">
        <f ca="1">IF(ISERROR(MATCH(I$1,INDIRECT("Table!A"&amp;$AM52):INDIRECT("Table!" &amp; $AP$86 &amp; $AM52),0)),"",INDIRECT(CONCATENATE("Table!",ADDRESS($AI52,MATCH(I$1,INDIRECT("Table!A" &amp; $AM52):INDIRECT("Table!" &amp; $AP$86 &amp; $AM52),0)))))</f>
        <v>0.11962200255660957</v>
      </c>
      <c r="J52" s="596">
        <f ca="1">IF(ISERROR(MATCH(J$1,INDIRECT("Table!A"&amp;$AM52):INDIRECT("Table!" &amp; $AP$86 &amp; $AM52),0)),"",INDIRECT(CONCATENATE("Table!",ADDRESS($AI52,MATCH(J$1,INDIRECT("Table!A" &amp; $AM52):INDIRECT("Table!" &amp; $AP$86 &amp; $AM52),0)))))</f>
        <v>1.0675709759380856</v>
      </c>
      <c r="K52" s="596">
        <f ca="1">IF(ISERROR(MATCH(K$1,INDIRECT("Table!A"&amp;$AM52):INDIRECT("Table!" &amp; $AP$86 &amp; $AM52),0)),"",INDIRECT(CONCATENATE("Table!",ADDRESS($AI52,MATCH(K$1,INDIRECT("Table!A" &amp; $AM52):INDIRECT("Table!" &amp; $AP$86 &amp; $AM52),0)))))</f>
        <v>0.24747399154071814</v>
      </c>
      <c r="L52" s="596">
        <f ca="1">IF(ISERROR(MATCH(L$1,INDIRECT("Table!A"&amp;$AM52):INDIRECT("Table!" &amp; $AP$108 &amp; $AM52),0)),"",INDIRECT(CONCATENATE("Table!",ADDRESS($AI52,MATCH(L$1,INDIRECT("Table!A" &amp; $AM52):INDIRECT("Table!" &amp; $AP$108 &amp; $AM52),0)))))</f>
        <v>1.4564246841538397</v>
      </c>
      <c r="M52" s="596">
        <f ca="1">IF(ISERROR(MATCH(M$1,INDIRECT("Table!A"&amp;$AM52):INDIRECT("Table!" &amp; $AP$108 &amp; $AM52),0)),"",INDIRECT(CONCATENATE("Table!",ADDRESS($AI52,MATCH(M$1,INDIRECT("Table!A" &amp; $AM52):INDIRECT("Table!" &amp; $AP$108 &amp; $AM52),0)))))</f>
        <v>0.86883801229030222</v>
      </c>
      <c r="N52" s="596">
        <f ca="1">IF(ISERROR(MATCH(N$1,INDIRECT("Table!A"&amp;$AM52):INDIRECT("Table!" &amp; $AP$108 &amp; $AM52),0)),"",INDIRECT(CONCATENATE("Table!",ADDRESS($AI52,MATCH(N$1,INDIRECT("Table!A" &amp; $AM52):INDIRECT("Table!" &amp; $AP$108 &amp; $AM52),0)))))</f>
        <v>1.6160207841250576</v>
      </c>
      <c r="O52" s="596">
        <f ca="1">IF(ISERROR(MATCH(O$1,INDIRECT("Table!A"&amp;$AM52):INDIRECT("Table!" &amp; $AP$86 &amp; $AM52),0)),"",INDIRECT(CONCATENATE("Table!",ADDRESS($AI52,MATCH(O$1,INDIRECT("Table!A" &amp; $AM52):INDIRECT("Table!" &amp; $AP$86 &amp; $AM52),0)))))</f>
        <v>1.0146095845950209</v>
      </c>
      <c r="P52" s="596">
        <f ca="1">IF(ISERROR(MATCH(P$1,INDIRECT("Table!A"&amp;$AM52):INDIRECT("Table!" &amp; $AP$86 &amp; $AM52),0)),"",INDIRECT(CONCATENATE("Table!",ADDRESS($AI52,MATCH(P$1,INDIRECT("Table!A" &amp; $AM52):INDIRECT("Table!" &amp; $AP$86 &amp; $AM52),0)))))</f>
        <v>0.4218364468018751</v>
      </c>
      <c r="Q52" s="596">
        <f ca="1">IF(ISERROR(MATCH(Q$1,INDIRECT("Table!A"&amp;$AM52):INDIRECT("Table!" &amp; $AP$86 &amp; $AM52),0)),"",INDIRECT(CONCATENATE("Table!",ADDRESS($AI52,MATCH(Q$1,INDIRECT("Table!A" &amp; $AM52):INDIRECT("Table!" &amp; $AP$86 &amp; $AM52),0)))))</f>
        <v>0.5198989637086362</v>
      </c>
      <c r="R52" s="596">
        <f ca="1">IF(ISERROR(MATCH(R$1,INDIRECT("Table!A"&amp;$AM52):INDIRECT("Table!" &amp; $AP$86 &amp; $AM52),0)),"",INDIRECT(CONCATENATE("Table!",ADDRESS($AI52,MATCH(R$1,INDIRECT("Table!A" &amp; $AM52):INDIRECT("Table!" &amp; $AP$86 &amp; $AM52),0)))))</f>
        <v>0.56715400213224076</v>
      </c>
      <c r="S52" s="596" t="str">
        <f ca="1">IF(ISERROR(MATCH(S$1,INDIRECT("Table!A"&amp;$AM52):INDIRECT("Table!" &amp; $AP$65 &amp; $AM52),0)),"",INDIRECT(CONCATENATE("Table!",ADDRESS($AI52,MATCH(S$1,INDIRECT("Table!A" &amp; $AM52):INDIRECT("Table!" &amp; $AP$65 &amp; $AM52),0)))))</f>
        <v/>
      </c>
      <c r="T52" s="596">
        <f ca="1">IF(ISERROR(MATCH(T$1,INDIRECT("Table!A"&amp;$AM52):INDIRECT("Table!" &amp; $AP$65 &amp; $AM52),0)),"",INDIRECT(CONCATENATE("Table!",ADDRESS($AI52,MATCH(T$1,INDIRECT("Table!A" &amp; $AM52):INDIRECT("Table!" &amp; $AP$65 &amp; $AM52),0)))))</f>
        <v>0.99244067028301175</v>
      </c>
      <c r="U52" s="596" t="str">
        <f ca="1">IF(ISERROR(MATCH(U$1,INDIRECT("Table!A"&amp;$AM52):INDIRECT("Table!" &amp; $AP$65 &amp; $AM52),0)),"",INDIRECT(CONCATENATE("Table!",ADDRESS($AI52,MATCH(U$1,INDIRECT("Table!A" &amp; $AM52):INDIRECT("Table!" &amp; $AP$65 &amp; $AM52),0)))))</f>
        <v/>
      </c>
      <c r="V52" s="596"/>
      <c r="W52" s="596"/>
      <c r="X52" s="596"/>
      <c r="Y52" s="596"/>
      <c r="Z52" s="596"/>
      <c r="AA52" s="596"/>
      <c r="AB52" s="596"/>
      <c r="AC52" s="596"/>
      <c r="AD52" s="596"/>
      <c r="AE52" s="596"/>
      <c r="AF52" s="596"/>
      <c r="AG52" s="596"/>
      <c r="AH52" s="596"/>
      <c r="AI52" s="595">
        <f>MATCH($A52,Table!$A:$A,0)+$AK$2-1</f>
        <v>732</v>
      </c>
      <c r="AJ52" s="593"/>
      <c r="AK52" s="593"/>
      <c r="AL52" s="593"/>
      <c r="AM52" s="595">
        <f>MATCH($A52,Table!$A:$A,0)+$AO$2-1</f>
        <v>723</v>
      </c>
      <c r="AN52" s="593"/>
      <c r="AO52" s="593"/>
      <c r="AP52" s="973" t="s">
        <v>302</v>
      </c>
    </row>
    <row r="53" spans="1:42" s="591" customFormat="1" ht="19.5" customHeight="1" x14ac:dyDescent="0.25">
      <c r="A53" s="592">
        <v>41589</v>
      </c>
      <c r="B53" s="596">
        <f ca="1">IF(ISERROR(MATCH(B$1,INDIRECT("Table!A"&amp;$AM53):INDIRECT("Table!" &amp; $AP$108 &amp; $AM53),0)),"",INDIRECT(CONCATENATE("Table!",ADDRESS($AI53,MATCH(B$1,INDIRECT("Table!A" &amp; $AM53):INDIRECT("Table!" &amp; $AP$108 &amp; $AM53),0)))))</f>
        <v>1.3165320692083993</v>
      </c>
      <c r="C53" s="596">
        <f ca="1">IF(ISERROR(MATCH(C$1,INDIRECT("Table!A"&amp;$AM53):INDIRECT("Table!" &amp; $AP$108 &amp; $AM53),0)),"",INDIRECT(CONCATENATE("Table!",ADDRESS($AI53,MATCH(C$1,INDIRECT("Table!A" &amp; $AM53):INDIRECT("Table!" &amp; $AP$108 &amp; $AM53),0)))))</f>
        <v>0.64178396815768612</v>
      </c>
      <c r="D53" s="596">
        <f ca="1">IF(ISERROR(MATCH(D$1,INDIRECT("Table!A"&amp;$AM53):INDIRECT("Table!" &amp; $AP$108 &amp; $AM53),0)),"",INDIRECT(CONCATENATE("Table!",ADDRESS($AI53,MATCH(D$1,INDIRECT("Table!A" &amp; $AM53):INDIRECT("Table!" &amp; $AP$108 &amp; $AM53),0)))))</f>
        <v>0.64850421913315925</v>
      </c>
      <c r="E53" s="596">
        <f ca="1">IF(ISERROR(MATCH(E$1,INDIRECT("Table!A"&amp;$AM53):INDIRECT("Table!" &amp; $AP$108 &amp; $AM53),0)),"",INDIRECT(CONCATENATE("Table!",ADDRESS($AI53,MATCH(E$1,INDIRECT("Table!A" &amp; $AM53):INDIRECT("Table!" &amp; $AP$108 &amp; $AM53),0)))))</f>
        <v>1.542655550476157</v>
      </c>
      <c r="F53" s="596">
        <f ca="1">IF(ISERROR(MATCH(F$1,INDIRECT("Table!A"&amp;$AM53):INDIRECT("Table!" &amp; $AP$108 &amp; $AM53),0)),"",INDIRECT(CONCATENATE("Table!",ADDRESS($AI53,MATCH(F$1,INDIRECT("Table!A" &amp; $AM53):INDIRECT("Table!" &amp; $AP$108 &amp; $AM53),0)))))</f>
        <v>1.5561049600038681</v>
      </c>
      <c r="G53" s="596">
        <f ca="1">IF(ISERROR(MATCH(G$1,INDIRECT("Table!A"&amp;$AM53):INDIRECT("Table!" &amp; $AP$108 &amp; $AM53),0)),"",INDIRECT(CONCATENATE("Table!",ADDRESS($AI53,MATCH(G$1,INDIRECT("Table!A" &amp; $AM53):INDIRECT("Table!" &amp; $AP$108 &amp; $AM53),0)))))</f>
        <v>3.4861995309268168</v>
      </c>
      <c r="H53" s="596">
        <f ca="1">IF(ISERROR(MATCH(H$1,INDIRECT("Table!A"&amp;$AM53):INDIRECT("Table!" &amp; $AP$108 &amp; $AM53),0)),"",INDIRECT(CONCATENATE("Table!",ADDRESS($AI53,MATCH(H$1,INDIRECT("Table!A" &amp; $AM53):INDIRECT("Table!" &amp; $AP$108 &amp; $AM53),0)))))</f>
        <v>0.93833303893229514</v>
      </c>
      <c r="I53" s="596">
        <f ca="1">IF(ISERROR(MATCH(I$1,INDIRECT("Table!A"&amp;$AM53):INDIRECT("Table!" &amp; $AP$86 &amp; $AM53),0)),"",INDIRECT(CONCATENATE("Table!",ADDRESS($AI53,MATCH(I$1,INDIRECT("Table!A" &amp; $AM53):INDIRECT("Table!" &amp; $AP$86 &amp; $AM53),0)))))</f>
        <v>0.11962200255660957</v>
      </c>
      <c r="J53" s="596">
        <f ca="1">IF(ISERROR(MATCH(J$1,INDIRECT("Table!A"&amp;$AM53):INDIRECT("Table!" &amp; $AP$86 &amp; $AM53),0)),"",INDIRECT(CONCATENATE("Table!",ADDRESS($AI53,MATCH(J$1,INDIRECT("Table!A" &amp; $AM53):INDIRECT("Table!" &amp; $AP$86 &amp; $AM53),0)))))</f>
        <v>1.0617332672521631</v>
      </c>
      <c r="K53" s="596">
        <f ca="1">IF(ISERROR(MATCH(K$1,INDIRECT("Table!A"&amp;$AM53):INDIRECT("Table!" &amp; $AP$86 &amp; $AM53),0)),"",INDIRECT(CONCATENATE("Table!",ADDRESS($AI53,MATCH(K$1,INDIRECT("Table!A" &amp; $AM53):INDIRECT("Table!" &amp; $AP$86 &amp; $AM53),0)))))</f>
        <v>0.24183534363219542</v>
      </c>
      <c r="L53" s="596">
        <f ca="1">IF(ISERROR(MATCH(L$1,INDIRECT("Table!A"&amp;$AM53):INDIRECT("Table!" &amp; $AP$108 &amp; $AM53),0)),"",INDIRECT(CONCATENATE("Table!",ADDRESS($AI53,MATCH(L$1,INDIRECT("Table!A" &amp; $AM53):INDIRECT("Table!" &amp; $AP$108 &amp; $AM53),0)))))</f>
        <v>1.4564246841538397</v>
      </c>
      <c r="M53" s="596">
        <f ca="1">IF(ISERROR(MATCH(M$1,INDIRECT("Table!A"&amp;$AM53):INDIRECT("Table!" &amp; $AP$108 &amp; $AM53),0)),"",INDIRECT(CONCATENATE("Table!",ADDRESS($AI53,MATCH(M$1,INDIRECT("Table!A" &amp; $AM53):INDIRECT("Table!" &amp; $AP$108 &amp; $AM53),0)))))</f>
        <v>0.86883801229030222</v>
      </c>
      <c r="N53" s="596">
        <f ca="1">IF(ISERROR(MATCH(N$1,INDIRECT("Table!A"&amp;$AM53):INDIRECT("Table!" &amp; $AP$108 &amp; $AM53),0)),"",INDIRECT(CONCATENATE("Table!",ADDRESS($AI53,MATCH(N$1,INDIRECT("Table!A" &amp; $AM53):INDIRECT("Table!" &amp; $AP$108 &amp; $AM53),0)))))</f>
        <v>1.6160207841250576</v>
      </c>
      <c r="O53" s="596">
        <f ca="1">IF(ISERROR(MATCH(O$1,INDIRECT("Table!A"&amp;$AM53):INDIRECT("Table!" &amp; $AP$86 &amp; $AM53),0)),"",INDIRECT(CONCATENATE("Table!",ADDRESS($AI53,MATCH(O$1,INDIRECT("Table!A" &amp; $AM53):INDIRECT("Table!" &amp; $AP$86 &amp; $AM53),0)))))</f>
        <v>1.0053169443890411</v>
      </c>
      <c r="P53" s="596">
        <f ca="1">IF(ISERROR(MATCH(P$1,INDIRECT("Table!A"&amp;$AM53):INDIRECT("Table!" &amp; $AP$86 &amp; $AM53),0)),"",INDIRECT(CONCATENATE("Table!",ADDRESS($AI53,MATCH(P$1,INDIRECT("Table!A" &amp; $AM53):INDIRECT("Table!" &amp; $AP$86 &amp; $AM53),0)))))</f>
        <v>0.4218364468018751</v>
      </c>
      <c r="Q53" s="596">
        <f ca="1">IF(ISERROR(MATCH(Q$1,INDIRECT("Table!A"&amp;$AM53):INDIRECT("Table!" &amp; $AP$86 &amp; $AM53),0)),"",INDIRECT(CONCATENATE("Table!",ADDRESS($AI53,MATCH(Q$1,INDIRECT("Table!A" &amp; $AM53):INDIRECT("Table!" &amp; $AP$86 &amp; $AM53),0)))))</f>
        <v>0.51704433659149884</v>
      </c>
      <c r="R53" s="596">
        <f ca="1">IF(ISERROR(MATCH(R$1,INDIRECT("Table!A"&amp;$AM53):INDIRECT("Table!" &amp; $AP$86 &amp; $AM53),0)),"",INDIRECT(CONCATENATE("Table!",ADDRESS($AI53,MATCH(R$1,INDIRECT("Table!A" &amp; $AM53):INDIRECT("Table!" &amp; $AP$86 &amp; $AM53),0)))))</f>
        <v>0.55979243402944723</v>
      </c>
      <c r="S53" s="596" t="str">
        <f ca="1">IF(ISERROR(MATCH(S$1,INDIRECT("Table!A"&amp;$AM53):INDIRECT("Table!" &amp; $AP$65 &amp; $AM53),0)),"",INDIRECT(CONCATENATE("Table!",ADDRESS($AI53,MATCH(S$1,INDIRECT("Table!A" &amp; $AM53):INDIRECT("Table!" &amp; $AP$65 &amp; $AM53),0)))))</f>
        <v/>
      </c>
      <c r="T53" s="596">
        <f ca="1">IF(ISERROR(MATCH(T$1,INDIRECT("Table!A"&amp;$AM53):INDIRECT("Table!" &amp; $AP$65 &amp; $AM53),0)),"",INDIRECT(CONCATENATE("Table!",ADDRESS($AI53,MATCH(T$1,INDIRECT("Table!A" &amp; $AM53):INDIRECT("Table!" &amp; $AP$65 &amp; $AM53),0)))))</f>
        <v>0.99244067028301175</v>
      </c>
      <c r="U53" s="596" t="str">
        <f ca="1">IF(ISERROR(MATCH(U$1,INDIRECT("Table!A"&amp;$AM53):INDIRECT("Table!" &amp; $AP$65 &amp; $AM53),0)),"",INDIRECT(CONCATENATE("Table!",ADDRESS($AI53,MATCH(U$1,INDIRECT("Table!A" &amp; $AM53):INDIRECT("Table!" &amp; $AP$65 &amp; $AM53),0)))))</f>
        <v/>
      </c>
      <c r="V53" s="596"/>
      <c r="W53" s="596"/>
      <c r="X53" s="596"/>
      <c r="Y53" s="596"/>
      <c r="Z53" s="596"/>
      <c r="AA53" s="596"/>
      <c r="AB53" s="596"/>
      <c r="AC53" s="596"/>
      <c r="AD53" s="596"/>
      <c r="AE53" s="596"/>
      <c r="AF53" s="596"/>
      <c r="AG53" s="596"/>
      <c r="AH53" s="596"/>
      <c r="AI53" s="595">
        <f>MATCH($A53,Table!$A:$A,0)+$AK$2-1</f>
        <v>744</v>
      </c>
      <c r="AJ53" s="593"/>
      <c r="AK53" s="593"/>
      <c r="AL53" s="593"/>
      <c r="AM53" s="595">
        <f>MATCH($A53,Table!$A:$A,0)+$AO$2-1</f>
        <v>735</v>
      </c>
      <c r="AN53" s="593"/>
      <c r="AO53" s="593"/>
      <c r="AP53" s="973" t="s">
        <v>302</v>
      </c>
    </row>
    <row r="54" spans="1:42" s="267" customFormat="1" ht="19.5" customHeight="1" x14ac:dyDescent="0.25">
      <c r="A54" s="268">
        <v>41561</v>
      </c>
      <c r="B54" s="596">
        <f ca="1">IF(ISERROR(MATCH(B$1,INDIRECT("Table!A"&amp;$AM54):INDIRECT("Table!" &amp; $AP$108 &amp; $AM54),0)),"",INDIRECT(CONCATENATE("Table!",ADDRESS($AI54,MATCH(B$1,INDIRECT("Table!A" &amp; $AM54):INDIRECT("Table!" &amp; $AP$108 &amp; $AM54),0)))))</f>
        <v>1.3108887811817871</v>
      </c>
      <c r="C54" s="273">
        <f ca="1">IF(ISERROR(MATCH(C$1,INDIRECT("Table!A"&amp;$AM54):INDIRECT("Table!" &amp; $AP$108 &amp; $AM54),0)),"",INDIRECT(CONCATENATE("Table!",ADDRESS($AI54,MATCH(C$1,INDIRECT("Table!A" &amp; $AM54):INDIRECT("Table!" &amp; $AP$108 &amp; $AM54),0)))))</f>
        <v>0.64178396815768612</v>
      </c>
      <c r="D54" s="273">
        <f ca="1">IF(ISERROR(MATCH(D$1,INDIRECT("Table!A"&amp;$AM54):INDIRECT("Table!" &amp; $AP$108 &amp; $AM54),0)),"",INDIRECT(CONCATENATE("Table!",ADDRESS($AI54,MATCH(D$1,INDIRECT("Table!A" &amp; $AM54):INDIRECT("Table!" &amp; $AP$108 &amp; $AM54),0)))))</f>
        <v>0.64850421913315925</v>
      </c>
      <c r="E54" s="273">
        <f ca="1">IF(ISERROR(MATCH(E$1,INDIRECT("Table!A"&amp;$AM54):INDIRECT("Table!" &amp; $AP$108 &amp; $AM54),0)),"",INDIRECT(CONCATENATE("Table!",ADDRESS($AI54,MATCH(E$1,INDIRECT("Table!A" &amp; $AM54):INDIRECT("Table!" &amp; $AP$108 &amp; $AM54),0)))))</f>
        <v>1.542655550476157</v>
      </c>
      <c r="F54" s="273">
        <f ca="1">IF(ISERROR(MATCH(F$1,INDIRECT("Table!A"&amp;$AM54):INDIRECT("Table!" &amp; $AP$108 &amp; $AM54),0)),"",INDIRECT(CONCATENATE("Table!",ADDRESS($AI54,MATCH(F$1,INDIRECT("Table!A" &amp; $AM54):INDIRECT("Table!" &amp; $AP$108 &amp; $AM54),0)))))</f>
        <v>1.5561049600038681</v>
      </c>
      <c r="G54" s="273">
        <f ca="1">IF(ISERROR(MATCH(G$1,INDIRECT("Table!A"&amp;$AM54):INDIRECT("Table!" &amp; $AP$108 &amp; $AM54),0)),"",INDIRECT(CONCATENATE("Table!",ADDRESS($AI54,MATCH(G$1,INDIRECT("Table!A" &amp; $AM54):INDIRECT("Table!" &amp; $AP$108 &amp; $AM54),0)))))</f>
        <v>3.4861995309268168</v>
      </c>
      <c r="H54" s="273">
        <f ca="1">IF(ISERROR(MATCH(H$1,INDIRECT("Table!A"&amp;$AM54):INDIRECT("Table!" &amp; $AP$108 &amp; $AM54),0)),"",INDIRECT(CONCATENATE("Table!",ADDRESS($AI54,MATCH(H$1,INDIRECT("Table!A" &amp; $AM54):INDIRECT("Table!" &amp; $AP$108 &amp; $AM54),0)))))</f>
        <v>0.86970338413018533</v>
      </c>
      <c r="I54" s="273">
        <f ca="1">IF(ISERROR(MATCH(I$1,INDIRECT("Table!A"&amp;$AM54):INDIRECT("Table!" &amp; $AP$86 &amp; $AM54),0)),"",INDIRECT(CONCATENATE("Table!",ADDRESS($AI54,MATCH(I$1,INDIRECT("Table!A" &amp; $AM54):INDIRECT("Table!" &amp; $AP$86 &amp; $AM54),0)))))</f>
        <v>0.11819550508148816</v>
      </c>
      <c r="J54" s="273">
        <f ca="1">IF(ISERROR(MATCH(J$1,INDIRECT("Table!A"&amp;$AM54):INDIRECT("Table!" &amp; $AP$86 &amp; $AM54),0)),"",INDIRECT(CONCATENATE("Table!",ADDRESS($AI54,MATCH(J$1,INDIRECT("Table!A" &amp; $AM54):INDIRECT("Table!" &amp; $AP$86 &amp; $AM54),0)))))</f>
        <v>1.0493281362945777</v>
      </c>
      <c r="K54" s="273">
        <f ca="1">IF(ISERROR(MATCH(K$1,INDIRECT("Table!A"&amp;$AM54):INDIRECT("Table!" &amp; $AP$86 &amp; $AM54),0)),"",INDIRECT(CONCATENATE("Table!",ADDRESS($AI54,MATCH(K$1,INDIRECT("Table!A" &amp; $AM54):INDIRECT("Table!" &amp; $AP$86 &amp; $AM54),0)))))</f>
        <v>0.16555696775856901</v>
      </c>
      <c r="L54" s="273">
        <f ca="1">IF(ISERROR(MATCH(L$1,INDIRECT("Table!A"&amp;$AM54):INDIRECT("Table!" &amp; $AP$108 &amp; $AM54),0)),"",INDIRECT(CONCATENATE("Table!",ADDRESS($AI54,MATCH(L$1,INDIRECT("Table!A" &amp; $AM54):INDIRECT("Table!" &amp; $AP$108 &amp; $AM54),0)))))</f>
        <v>1.4564246841538397</v>
      </c>
      <c r="M54" s="273">
        <f ca="1">IF(ISERROR(MATCH(M$1,INDIRECT("Table!A"&amp;$AM54):INDIRECT("Table!" &amp; $AP$108 &amp; $AM54),0)),"",INDIRECT(CONCATENATE("Table!",ADDRESS($AI54,MATCH(M$1,INDIRECT("Table!A" &amp; $AM54):INDIRECT("Table!" &amp; $AP$108 &amp; $AM54),0)))))</f>
        <v>0.85501540882147975</v>
      </c>
      <c r="N54" s="273">
        <f ca="1">IF(ISERROR(MATCH(N$1,INDIRECT("Table!A"&amp;$AM54):INDIRECT("Table!" &amp; $AP$108 &amp; $AM54),0)),"",INDIRECT(CONCATENATE("Table!",ADDRESS($AI54,MATCH(N$1,INDIRECT("Table!A" &amp; $AM54):INDIRECT("Table!" &amp; $AP$108 &amp; $AM54),0)))))</f>
        <v>1.6531097857279278</v>
      </c>
      <c r="O54" s="273">
        <f ca="1">IF(ISERROR(MATCH(O$1,INDIRECT("Table!A"&amp;$AM54):INDIRECT("Table!" &amp; $AP$86 &amp; $AM54),0)),"",INDIRECT(CONCATENATE("Table!",ADDRESS($AI54,MATCH(O$1,INDIRECT("Table!A" &amp; $AM54):INDIRECT("Table!" &amp; $AP$86 &amp; $AM54),0)))))</f>
        <v>0.9516397200413409</v>
      </c>
      <c r="P54" s="273">
        <f ca="1">IF(ISERROR(MATCH(P$1,INDIRECT("Table!A"&amp;$AM54):INDIRECT("Table!" &amp; $AP$86 &amp; $AM54),0)),"",INDIRECT(CONCATENATE("Table!",ADDRESS($AI54,MATCH(P$1,INDIRECT("Table!A" &amp; $AM54):INDIRECT("Table!" &amp; $AP$86 &amp; $AM54),0)))))</f>
        <v>0.41898344667857734</v>
      </c>
      <c r="Q54" s="273">
        <f ca="1">IF(ISERROR(MATCH(Q$1,INDIRECT("Table!A"&amp;$AM54):INDIRECT("Table!" &amp; $AP$86 &amp; $AM54),0)),"",INDIRECT(CONCATENATE("Table!",ADDRESS($AI54,MATCH(Q$1,INDIRECT("Table!A" &amp; $AM54):INDIRECT("Table!" &amp; $AP$86 &amp; $AM54),0)))))</f>
        <v>0.48385929635477737</v>
      </c>
      <c r="R54" s="273">
        <f ca="1">IF(ISERROR(MATCH(R$1,INDIRECT("Table!A"&amp;$AM54):INDIRECT("Table!" &amp; $AP$86 &amp; $AM54),0)),"",INDIRECT(CONCATENATE("Table!",ADDRESS($AI54,MATCH(R$1,INDIRECT("Table!A" &amp; $AM54):INDIRECT("Table!" &amp; $AP$86 &amp; $AM54),0)))))</f>
        <v>0.46550171067026219</v>
      </c>
      <c r="S54" s="596" t="str">
        <f ca="1">IF(ISERROR(MATCH(S$1,INDIRECT("Table!A"&amp;$AM54):INDIRECT("Table!" &amp; $AP$65 &amp; $AM54),0)),"",INDIRECT(CONCATENATE("Table!",ADDRESS($AI54,MATCH(S$1,INDIRECT("Table!A" &amp; $AM54):INDIRECT("Table!" &amp; $AP$65 &amp; $AM54),0)))))</f>
        <v/>
      </c>
      <c r="T54" s="273">
        <f ca="1">IF(ISERROR(MATCH(T$1,INDIRECT("Table!A"&amp;$AM54):INDIRECT("Table!" &amp; $AP$65 &amp; $AM54),0)),"",INDIRECT(CONCATENATE("Table!",ADDRESS($AI54,MATCH(T$1,INDIRECT("Table!A" &amp; $AM54):INDIRECT("Table!" &amp; $AP$65 &amp; $AM54),0)))))</f>
        <v>0.95881588371284809</v>
      </c>
      <c r="U54" s="596" t="str">
        <f ca="1">IF(ISERROR(MATCH(U$1,INDIRECT("Table!A"&amp;$AM54):INDIRECT("Table!" &amp; $AP$65 &amp; $AM54),0)),"",INDIRECT(CONCATENATE("Table!",ADDRESS($AI54,MATCH(U$1,INDIRECT("Table!A" &amp; $AM54):INDIRECT("Table!" &amp; $AP$65 &amp; $AM54),0)))))</f>
        <v/>
      </c>
      <c r="V54" s="596"/>
      <c r="W54" s="596"/>
      <c r="X54" s="596"/>
      <c r="Y54" s="596"/>
      <c r="Z54" s="596"/>
      <c r="AA54" s="596"/>
      <c r="AB54" s="596"/>
      <c r="AC54" s="596"/>
      <c r="AD54" s="596"/>
      <c r="AE54" s="596"/>
      <c r="AF54" s="596"/>
      <c r="AG54" s="596"/>
      <c r="AH54" s="596"/>
      <c r="AI54" s="272">
        <f>MATCH($A54,Table!$A:$A,0)+$AK$2-1</f>
        <v>756</v>
      </c>
      <c r="AJ54" s="487"/>
      <c r="AK54" s="487"/>
      <c r="AL54" s="487"/>
      <c r="AM54" s="272">
        <f>MATCH($A54,Table!$A:$A,0)+$AO$2-1</f>
        <v>747</v>
      </c>
      <c r="AN54" s="487"/>
      <c r="AO54" s="487"/>
      <c r="AP54" s="973" t="s">
        <v>302</v>
      </c>
    </row>
    <row r="55" spans="1:42" s="267" customFormat="1" ht="19.5" customHeight="1" x14ac:dyDescent="0.25">
      <c r="A55" s="268">
        <v>41548</v>
      </c>
      <c r="B55" s="596">
        <f ca="1">IF(ISERROR(MATCH(B$1,INDIRECT("Table!A"&amp;$AM55):INDIRECT("Table!" &amp; $AP$108 &amp; $AM55),0)),"",INDIRECT(CONCATENATE("Table!",ADDRESS($AI55,MATCH(B$1,INDIRECT("Table!A" &amp; $AM55):INDIRECT("Table!" &amp; $AP$108 &amp; $AM55),0)))))</f>
        <v>1.3108887811817871</v>
      </c>
      <c r="C55" s="273">
        <f ca="1">IF(ISERROR(MATCH(C$1,INDIRECT("Table!A"&amp;$AM55):INDIRECT("Table!" &amp; $AP$108 &amp; $AM55),0)),"",INDIRECT(CONCATENATE("Table!",ADDRESS($AI55,MATCH(C$1,INDIRECT("Table!A" &amp; $AM55):INDIRECT("Table!" &amp; $AP$108 &amp; $AM55),0)))))</f>
        <v>0.64178396815768612</v>
      </c>
      <c r="D55" s="273">
        <f ca="1">IF(ISERROR(MATCH(D$1,INDIRECT("Table!A"&amp;$AM55):INDIRECT("Table!" &amp; $AP$108 &amp; $AM55),0)),"",INDIRECT(CONCATENATE("Table!",ADDRESS($AI55,MATCH(D$1,INDIRECT("Table!A" &amp; $AM55):INDIRECT("Table!" &amp; $AP$108 &amp; $AM55),0)))))</f>
        <v>0.64850421913315925</v>
      </c>
      <c r="E55" s="273">
        <f ca="1">IF(ISERROR(MATCH(E$1,INDIRECT("Table!A"&amp;$AM55):INDIRECT("Table!" &amp; $AP$108 &amp; $AM55),0)),"",INDIRECT(CONCATENATE("Table!",ADDRESS($AI55,MATCH(E$1,INDIRECT("Table!A" &amp; $AM55):INDIRECT("Table!" &amp; $AP$108 &amp; $AM55),0)))))</f>
        <v>1.542655550476157</v>
      </c>
      <c r="F55" s="273">
        <f ca="1">IF(ISERROR(MATCH(F$1,INDIRECT("Table!A"&amp;$AM55):INDIRECT("Table!" &amp; $AP$108 &amp; $AM55),0)),"",INDIRECT(CONCATENATE("Table!",ADDRESS($AI55,MATCH(F$1,INDIRECT("Table!A" &amp; $AM55):INDIRECT("Table!" &amp; $AP$108 &amp; $AM55),0)))))</f>
        <v>1.5931938943570247</v>
      </c>
      <c r="G55" s="273">
        <f ca="1">IF(ISERROR(MATCH(G$1,INDIRECT("Table!A"&amp;$AM55):INDIRECT("Table!" &amp; $AP$108 &amp; $AM55),0)),"",INDIRECT(CONCATENATE("Table!",ADDRESS($AI55,MATCH(G$1,INDIRECT("Table!A" &amp; $AM55):INDIRECT("Table!" &amp; $AP$108 &amp; $AM55),0)))))</f>
        <v>3.4910478540923573</v>
      </c>
      <c r="H55" s="273">
        <f ca="1">IF(ISERROR(MATCH(H$1,INDIRECT("Table!A"&amp;$AM55):INDIRECT("Table!" &amp; $AP$108 &amp; $AM55),0)),"",INDIRECT(CONCATENATE("Table!",ADDRESS($AI55,MATCH(H$1,INDIRECT("Table!A" &amp; $AM55):INDIRECT("Table!" &amp; $AP$108 &amp; $AM55),0)))))</f>
        <v>0.86970338413018533</v>
      </c>
      <c r="I55" s="273">
        <f ca="1">IF(ISERROR(MATCH(I$1,INDIRECT("Table!A"&amp;$AM55):INDIRECT("Table!" &amp; $AP$86 &amp; $AM55),0)),"",INDIRECT(CONCATENATE("Table!",ADDRESS($AI55,MATCH(I$1,INDIRECT("Table!A" &amp; $AM55):INDIRECT("Table!" &amp; $AP$86 &amp; $AM55),0)))))</f>
        <v>0.11819550508148816</v>
      </c>
      <c r="J55" s="273">
        <f ca="1">IF(ISERROR(MATCH(J$1,INDIRECT("Table!A"&amp;$AM55):INDIRECT("Table!" &amp; $AP$86 &amp; $AM55),0)),"",INDIRECT(CONCATENATE("Table!",ADDRESS($AI55,MATCH(J$1,INDIRECT("Table!A" &amp; $AM55):INDIRECT("Table!" &amp; $AP$86 &amp; $AM55),0)))))</f>
        <v>1.022693590415056</v>
      </c>
      <c r="K55" s="273">
        <f ca="1">IF(ISERROR(MATCH(K$1,INDIRECT("Table!A"&amp;$AM55):INDIRECT("Table!" &amp; $AP$86 &amp; $AM55),0)),"",INDIRECT(CONCATENATE("Table!",ADDRESS($AI55,MATCH(K$1,INDIRECT("Table!A" &amp; $AM55):INDIRECT("Table!" &amp; $AP$86 &amp; $AM55),0)))))</f>
        <v>0.11872486429611667</v>
      </c>
      <c r="L55" s="273">
        <f ca="1">IF(ISERROR(MATCH(L$1,INDIRECT("Table!A"&amp;$AM55):INDIRECT("Table!" &amp; $AP$108 &amp; $AM55),0)),"",INDIRECT(CONCATENATE("Table!",ADDRESS($AI55,MATCH(L$1,INDIRECT("Table!A" &amp; $AM55):INDIRECT("Table!" &amp; $AP$108 &amp; $AM55),0)))))</f>
        <v>1.4564246841538397</v>
      </c>
      <c r="M55" s="273">
        <f ca="1">IF(ISERROR(MATCH(M$1,INDIRECT("Table!A"&amp;$AM55):INDIRECT("Table!" &amp; $AP$108 &amp; $AM55),0)),"",INDIRECT(CONCATENATE("Table!",ADDRESS($AI55,MATCH(M$1,INDIRECT("Table!A" &amp; $AM55):INDIRECT("Table!" &amp; $AP$108 &amp; $AM55),0)))))</f>
        <v>0.85501540882147975</v>
      </c>
      <c r="N55" s="273">
        <f ca="1">IF(ISERROR(MATCH(N$1,INDIRECT("Table!A"&amp;$AM55):INDIRECT("Table!" &amp; $AP$108 &amp; $AM55),0)),"",INDIRECT(CONCATENATE("Table!",ADDRESS($AI55,MATCH(N$1,INDIRECT("Table!A" &amp; $AM55):INDIRECT("Table!" &amp; $AP$108 &amp; $AM55),0)))))</f>
        <v>1.6531097857279278</v>
      </c>
      <c r="O55" s="273">
        <f ca="1">IF(ISERROR(MATCH(O$1,INDIRECT("Table!A"&amp;$AM55):INDIRECT("Table!" &amp; $AP$86 &amp; $AM55),0)),"",INDIRECT(CONCATENATE("Table!",ADDRESS($AI55,MATCH(O$1,INDIRECT("Table!A" &amp; $AM55):INDIRECT("Table!" &amp; $AP$86 &amp; $AM55),0)))))</f>
        <v>0.94381433881525267</v>
      </c>
      <c r="P55" s="273">
        <f ca="1">IF(ISERROR(MATCH(P$1,INDIRECT("Table!A"&amp;$AM55):INDIRECT("Table!" &amp; $AP$86 &amp; $AM55),0)),"",INDIRECT(CONCATENATE("Table!",ADDRESS($AI55,MATCH(P$1,INDIRECT("Table!A" &amp; $AM55):INDIRECT("Table!" &amp; $AP$86 &amp; $AM55),0)))))</f>
        <v>0.41898344667857734</v>
      </c>
      <c r="Q55" s="273">
        <f ca="1">IF(ISERROR(MATCH(Q$1,INDIRECT("Table!A"&amp;$AM55):INDIRECT("Table!" &amp; $AP$86 &amp; $AM55),0)),"",INDIRECT(CONCATENATE("Table!",ADDRESS($AI55,MATCH(Q$1,INDIRECT("Table!A" &amp; $AM55):INDIRECT("Table!" &amp; $AP$86 &amp; $AM55),0)))))</f>
        <v>0.45602668196268842</v>
      </c>
      <c r="R55" s="273">
        <f ca="1">IF(ISERROR(MATCH(R$1,INDIRECT("Table!A"&amp;$AM55):INDIRECT("Table!" &amp; $AP$86 &amp; $AM55),0)),"",INDIRECT(CONCATENATE("Table!",ADDRESS($AI55,MATCH(R$1,INDIRECT("Table!A" &amp; $AM55):INDIRECT("Table!" &amp; $AP$86 &amp; $AM55),0)))))</f>
        <v>0.48836956052149311</v>
      </c>
      <c r="S55" s="596" t="str">
        <f ca="1">IF(ISERROR(MATCH(S$1,INDIRECT("Table!A"&amp;$AM55):INDIRECT("Table!" &amp; $AP$65 &amp; $AM55),0)),"",INDIRECT(CONCATENATE("Table!",ADDRESS($AI55,MATCH(S$1,INDIRECT("Table!A" &amp; $AM55):INDIRECT("Table!" &amp; $AP$65 &amp; $AM55),0)))))</f>
        <v/>
      </c>
      <c r="T55" s="273">
        <f ca="1">IF(ISERROR(MATCH(T$1,INDIRECT("Table!A"&amp;$AM55):INDIRECT("Table!" &amp; $AP$65 &amp; $AM55),0)),"",INDIRECT(CONCATENATE("Table!",ADDRESS($AI55,MATCH(T$1,INDIRECT("Table!A" &amp; $AM55):INDIRECT("Table!" &amp; $AP$65 &amp; $AM55),0)))))</f>
        <v>0.95881588371284809</v>
      </c>
      <c r="U55" s="596" t="str">
        <f ca="1">IF(ISERROR(MATCH(U$1,INDIRECT("Table!A"&amp;$AM55):INDIRECT("Table!" &amp; $AP$65 &amp; $AM55),0)),"",INDIRECT(CONCATENATE("Table!",ADDRESS($AI55,MATCH(U$1,INDIRECT("Table!A" &amp; $AM55):INDIRECT("Table!" &amp; $AP$65 &amp; $AM55),0)))))</f>
        <v/>
      </c>
      <c r="V55" s="596"/>
      <c r="W55" s="596"/>
      <c r="X55" s="596"/>
      <c r="Y55" s="596"/>
      <c r="Z55" s="596"/>
      <c r="AA55" s="596"/>
      <c r="AB55" s="596"/>
      <c r="AC55" s="596"/>
      <c r="AD55" s="596"/>
      <c r="AE55" s="596"/>
      <c r="AF55" s="596"/>
      <c r="AG55" s="596"/>
      <c r="AH55" s="596"/>
      <c r="AI55" s="272">
        <f>MATCH($A55,Table!$A:$A,0)+$AK$2-1</f>
        <v>768</v>
      </c>
      <c r="AJ55" s="482"/>
      <c r="AK55" s="482"/>
      <c r="AL55" s="482"/>
      <c r="AM55" s="272">
        <f>MATCH($A55,Table!$A:$A,0)+$AO$2-1</f>
        <v>759</v>
      </c>
      <c r="AN55" s="482"/>
      <c r="AO55" s="482"/>
      <c r="AP55" s="973" t="s">
        <v>302</v>
      </c>
    </row>
    <row r="56" spans="1:42" s="267" customFormat="1" ht="19.5" customHeight="1" x14ac:dyDescent="0.25">
      <c r="A56" s="268">
        <v>41541</v>
      </c>
      <c r="B56" s="596">
        <f ca="1">IF(ISERROR(MATCH(B$1,INDIRECT("Table!A"&amp;$AM56):INDIRECT("Table!" &amp; $AP$108 &amp; $AM56),0)),"",INDIRECT(CONCATENATE("Table!",ADDRESS($AI56,MATCH(B$1,INDIRECT("Table!A" &amp; $AM56):INDIRECT("Table!" &amp; $AP$108 &amp; $AM56),0)))))</f>
        <v>1.3108887811817871</v>
      </c>
      <c r="C56" s="273">
        <f ca="1">IF(ISERROR(MATCH(C$1,INDIRECT("Table!A"&amp;$AM56):INDIRECT("Table!" &amp; $AP$108 &amp; $AM56),0)),"",INDIRECT(CONCATENATE("Table!",ADDRESS($AI56,MATCH(C$1,INDIRECT("Table!A" &amp; $AM56):INDIRECT("Table!" &amp; $AP$108 &amp; $AM56),0)))))</f>
        <v>0.64178396815768612</v>
      </c>
      <c r="D56" s="273">
        <f ca="1">IF(ISERROR(MATCH(D$1,INDIRECT("Table!A"&amp;$AM56):INDIRECT("Table!" &amp; $AP$108 &amp; $AM56),0)),"",INDIRECT(CONCATENATE("Table!",ADDRESS($AI56,MATCH(D$1,INDIRECT("Table!A" &amp; $AM56):INDIRECT("Table!" &amp; $AP$108 &amp; $AM56),0)))))</f>
        <v>0.64850421913315925</v>
      </c>
      <c r="E56" s="273">
        <f ca="1">IF(ISERROR(MATCH(E$1,INDIRECT("Table!A"&amp;$AM56):INDIRECT("Table!" &amp; $AP$108 &amp; $AM56),0)),"",INDIRECT(CONCATENATE("Table!",ADDRESS($AI56,MATCH(E$1,INDIRECT("Table!A" &amp; $AM56):INDIRECT("Table!" &amp; $AP$108 &amp; $AM56),0)))))</f>
        <v>1.542655550476157</v>
      </c>
      <c r="F56" s="273">
        <f ca="1">IF(ISERROR(MATCH(F$1,INDIRECT("Table!A"&amp;$AM56):INDIRECT("Table!" &amp; $AP$108 &amp; $AM56),0)),"",INDIRECT(CONCATENATE("Table!",ADDRESS($AI56,MATCH(F$1,INDIRECT("Table!A" &amp; $AM56):INDIRECT("Table!" &amp; $AP$108 &amp; $AM56),0)))))</f>
        <v>1.5931938943570247</v>
      </c>
      <c r="G56" s="273">
        <f ca="1">IF(ISERROR(MATCH(G$1,INDIRECT("Table!A"&amp;$AM56):INDIRECT("Table!" &amp; $AP$108 &amp; $AM56),0)),"",INDIRECT(CONCATENATE("Table!",ADDRESS($AI56,MATCH(G$1,INDIRECT("Table!A" &amp; $AM56):INDIRECT("Table!" &amp; $AP$108 &amp; $AM56),0)))))</f>
        <v>3.4910478540923573</v>
      </c>
      <c r="H56" s="273">
        <f ca="1">IF(ISERROR(MATCH(H$1,INDIRECT("Table!A"&amp;$AM56):INDIRECT("Table!" &amp; $AP$108 &amp; $AM56),0)),"",INDIRECT(CONCATENATE("Table!",ADDRESS($AI56,MATCH(H$1,INDIRECT("Table!A" &amp; $AM56):INDIRECT("Table!" &amp; $AP$108 &amp; $AM56),0)))))</f>
        <v>0.85057385391235585</v>
      </c>
      <c r="I56" s="273">
        <f ca="1">IF(ISERROR(MATCH(I$1,INDIRECT("Table!A"&amp;$AM56):INDIRECT("Table!" &amp; $AP$86 &amp; $AM56),0)),"",INDIRECT(CONCATENATE("Table!",ADDRESS($AI56,MATCH(I$1,INDIRECT("Table!A" &amp; $AM56):INDIRECT("Table!" &amp; $AP$86 &amp; $AM56),0)))))</f>
        <v>0.11819550508148816</v>
      </c>
      <c r="J56" s="273">
        <f ca="1">IF(ISERROR(MATCH(J$1,INDIRECT("Table!A"&amp;$AM56):INDIRECT("Table!" &amp; $AP$86 &amp; $AM56),0)),"",INDIRECT(CONCATENATE("Table!",ADDRESS($AI56,MATCH(J$1,INDIRECT("Table!A" &amp; $AM56):INDIRECT("Table!" &amp; $AP$86 &amp; $AM56),0)))))</f>
        <v>1.022693590415056</v>
      </c>
      <c r="K56" s="273">
        <f ca="1">IF(ISERROR(MATCH(K$1,INDIRECT("Table!A"&amp;$AM56):INDIRECT("Table!" &amp; $AP$86 &amp; $AM56),0)),"",INDIRECT(CONCATENATE("Table!",ADDRESS($AI56,MATCH(K$1,INDIRECT("Table!A" &amp; $AM56):INDIRECT("Table!" &amp; $AP$86 &amp; $AM56),0)))))</f>
        <v>0.30358984137505007</v>
      </c>
      <c r="L56" s="273">
        <f ca="1">IF(ISERROR(MATCH(L$1,INDIRECT("Table!A"&amp;$AM56):INDIRECT("Table!" &amp; $AP$108 &amp; $AM56),0)),"",INDIRECT(CONCATENATE("Table!",ADDRESS($AI56,MATCH(L$1,INDIRECT("Table!A" &amp; $AM56):INDIRECT("Table!" &amp; $AP$108 &amp; $AM56),0)))))</f>
        <v>1.4564246841538397</v>
      </c>
      <c r="M56" s="273">
        <f ca="1">IF(ISERROR(MATCH(M$1,INDIRECT("Table!A"&amp;$AM56):INDIRECT("Table!" &amp; $AP$108 &amp; $AM56),0)),"",INDIRECT(CONCATENATE("Table!",ADDRESS($AI56,MATCH(M$1,INDIRECT("Table!A" &amp; $AM56):INDIRECT("Table!" &amp; $AP$108 &amp; $AM56),0)))))</f>
        <v>2.7464474858267698</v>
      </c>
      <c r="N56" s="273">
        <f ca="1">IF(ISERROR(MATCH(N$1,INDIRECT("Table!A"&amp;$AM56):INDIRECT("Table!" &amp; $AP$108 &amp; $AM56),0)),"",INDIRECT(CONCATENATE("Table!",ADDRESS($AI56,MATCH(N$1,INDIRECT("Table!A" &amp; $AM56):INDIRECT("Table!" &amp; $AP$108 &amp; $AM56),0)))))</f>
        <v>1.6531097857279278</v>
      </c>
      <c r="O56" s="273">
        <f ca="1">IF(ISERROR(MATCH(O$1,INDIRECT("Table!A"&amp;$AM56):INDIRECT("Table!" &amp; $AP$86 &amp; $AM56),0)),"",INDIRECT(CONCATENATE("Table!",ADDRESS($AI56,MATCH(O$1,INDIRECT("Table!A" &amp; $AM56):INDIRECT("Table!" &amp; $AP$86 &amp; $AM56),0)))))</f>
        <v>0.93195399539446244</v>
      </c>
      <c r="P56" s="273">
        <f ca="1">IF(ISERROR(MATCH(P$1,INDIRECT("Table!A"&amp;$AM56):INDIRECT("Table!" &amp; $AP$86 &amp; $AM56),0)),"",INDIRECT(CONCATENATE("Table!",ADDRESS($AI56,MATCH(P$1,INDIRECT("Table!A" &amp; $AM56):INDIRECT("Table!" &amp; $AP$86 &amp; $AM56),0)))))</f>
        <v>0.41898344667857734</v>
      </c>
      <c r="Q56" s="273">
        <f ca="1">IF(ISERROR(MATCH(Q$1,INDIRECT("Table!A"&amp;$AM56):INDIRECT("Table!" &amp; $AP$86 &amp; $AM56),0)),"",INDIRECT(CONCATENATE("Table!",ADDRESS($AI56,MATCH(Q$1,INDIRECT("Table!A" &amp; $AM56):INDIRECT("Table!" &amp; $AP$86 &amp; $AM56),0)))))</f>
        <v>0.45602668196268842</v>
      </c>
      <c r="R56" s="273">
        <f ca="1">IF(ISERROR(MATCH(R$1,INDIRECT("Table!A"&amp;$AM56):INDIRECT("Table!" &amp; $AP$86 &amp; $AM56),0)),"",INDIRECT(CONCATENATE("Table!",ADDRESS($AI56,MATCH(R$1,INDIRECT("Table!A" &amp; $AM56):INDIRECT("Table!" &amp; $AP$86 &amp; $AM56),0)))))</f>
        <v>1.2620151425367294</v>
      </c>
      <c r="S56" s="596" t="str">
        <f ca="1">IF(ISERROR(MATCH(S$1,INDIRECT("Table!A"&amp;$AM56):INDIRECT("Table!" &amp; $AP$65 &amp; $AM56),0)),"",INDIRECT(CONCATENATE("Table!",ADDRESS($AI56,MATCH(S$1,INDIRECT("Table!A" &amp; $AM56):INDIRECT("Table!" &amp; $AP$65 &amp; $AM56),0)))))</f>
        <v/>
      </c>
      <c r="T56" s="273">
        <f ca="1">IF(ISERROR(MATCH(T$1,INDIRECT("Table!A"&amp;$AM56):INDIRECT("Table!" &amp; $AP$65 &amp; $AM56),0)),"",INDIRECT(CONCATENATE("Table!",ADDRESS($AI56,MATCH(T$1,INDIRECT("Table!A" &amp; $AM56):INDIRECT("Table!" &amp; $AP$65 &amp; $AM56),0)))))</f>
        <v>0.95881588371284809</v>
      </c>
      <c r="U56" s="596" t="str">
        <f ca="1">IF(ISERROR(MATCH(U$1,INDIRECT("Table!A"&amp;$AM56):INDIRECT("Table!" &amp; $AP$65 &amp; $AM56),0)),"",INDIRECT(CONCATENATE("Table!",ADDRESS($AI56,MATCH(U$1,INDIRECT("Table!A" &amp; $AM56):INDIRECT("Table!" &amp; $AP$65 &amp; $AM56),0)))))</f>
        <v/>
      </c>
      <c r="V56" s="596"/>
      <c r="W56" s="596"/>
      <c r="X56" s="596"/>
      <c r="Y56" s="596"/>
      <c r="Z56" s="596"/>
      <c r="AA56" s="596"/>
      <c r="AB56" s="596"/>
      <c r="AC56" s="596"/>
      <c r="AD56" s="596"/>
      <c r="AE56" s="596"/>
      <c r="AF56" s="596"/>
      <c r="AG56" s="596"/>
      <c r="AH56" s="596"/>
      <c r="AI56" s="272">
        <f>MATCH($A56,Table!$A:$A,0)+$AK$2-1</f>
        <v>780</v>
      </c>
      <c r="AJ56" s="482"/>
      <c r="AK56" s="482"/>
      <c r="AL56" s="482"/>
      <c r="AM56" s="272">
        <f>MATCH($A56,Table!$A:$A,0)+$AO$2-1</f>
        <v>771</v>
      </c>
      <c r="AN56" s="482"/>
      <c r="AO56" s="482"/>
      <c r="AP56" s="973" t="s">
        <v>302</v>
      </c>
    </row>
    <row r="57" spans="1:42" s="267" customFormat="1" ht="19.5" customHeight="1" x14ac:dyDescent="0.25">
      <c r="A57" s="268">
        <v>41534</v>
      </c>
      <c r="B57" s="596">
        <f ca="1">IF(ISERROR(MATCH(B$1,INDIRECT("Table!A"&amp;$AM57):INDIRECT("Table!" &amp; $AP$108 &amp; $AM57),0)),"",INDIRECT(CONCATENATE("Table!",ADDRESS($AI57,MATCH(B$1,INDIRECT("Table!A" &amp; $AM57):INDIRECT("Table!" &amp; $AP$108 &amp; $AM57),0)))))</f>
        <v>1.3092428221740251</v>
      </c>
      <c r="C57" s="273">
        <f ca="1">IF(ISERROR(MATCH(C$1,INDIRECT("Table!A"&amp;$AM57):INDIRECT("Table!" &amp; $AP$108 &amp; $AM57),0)),"",INDIRECT(CONCATENATE("Table!",ADDRESS($AI57,MATCH(C$1,INDIRECT("Table!A" &amp; $AM57):INDIRECT("Table!" &amp; $AP$108 &amp; $AM57),0)))))</f>
        <v>0.64178396815768612</v>
      </c>
      <c r="D57" s="273">
        <f ca="1">IF(ISERROR(MATCH(D$1,INDIRECT("Table!A"&amp;$AM57):INDIRECT("Table!" &amp; $AP$108 &amp; $AM57),0)),"",INDIRECT(CONCATENATE("Table!",ADDRESS($AI57,MATCH(D$1,INDIRECT("Table!A" &amp; $AM57):INDIRECT("Table!" &amp; $AP$108 &amp; $AM57),0)))))</f>
        <v>0.64850421913315925</v>
      </c>
      <c r="E57" s="273">
        <f ca="1">IF(ISERROR(MATCH(E$1,INDIRECT("Table!A"&amp;$AM57):INDIRECT("Table!" &amp; $AP$108 &amp; $AM57),0)),"",INDIRECT(CONCATENATE("Table!",ADDRESS($AI57,MATCH(E$1,INDIRECT("Table!A" &amp; $AM57):INDIRECT("Table!" &amp; $AP$108 &amp; $AM57),0)))))</f>
        <v>1.542655550476157</v>
      </c>
      <c r="F57" s="273">
        <f ca="1">IF(ISERROR(MATCH(F$1,INDIRECT("Table!A"&amp;$AM57):INDIRECT("Table!" &amp; $AP$108 &amp; $AM57),0)),"",INDIRECT(CONCATENATE("Table!",ADDRESS($AI57,MATCH(F$1,INDIRECT("Table!A" &amp; $AM57):INDIRECT("Table!" &amp; $AP$108 &amp; $AM57),0)))))</f>
        <v>1.5931938943570247</v>
      </c>
      <c r="G57" s="273">
        <f ca="1">IF(ISERROR(MATCH(G$1,INDIRECT("Table!A"&amp;$AM57):INDIRECT("Table!" &amp; $AP$108 &amp; $AM57),0)),"",INDIRECT(CONCATENATE("Table!",ADDRESS($AI57,MATCH(G$1,INDIRECT("Table!A" &amp; $AM57):INDIRECT("Table!" &amp; $AP$108 &amp; $AM57),0)))))</f>
        <v>3.4910478540923573</v>
      </c>
      <c r="H57" s="273">
        <f ca="1">IF(ISERROR(MATCH(H$1,INDIRECT("Table!A"&amp;$AM57):INDIRECT("Table!" &amp; $AP$108 &amp; $AM57),0)),"",INDIRECT(CONCATENATE("Table!",ADDRESS($AI57,MATCH(H$1,INDIRECT("Table!A" &amp; $AM57):INDIRECT("Table!" &amp; $AP$108 &amp; $AM57),0)))))</f>
        <v>0.85057385391235585</v>
      </c>
      <c r="I57" s="273">
        <f ca="1">IF(ISERROR(MATCH(I$1,INDIRECT("Table!A"&amp;$AM57):INDIRECT("Table!" &amp; $AP$86 &amp; $AM57),0)),"",INDIRECT(CONCATENATE("Table!",ADDRESS($AI57,MATCH(I$1,INDIRECT("Table!A" &amp; $AM57):INDIRECT("Table!" &amp; $AP$86 &amp; $AM57),0)))))</f>
        <v>0.11819550508148816</v>
      </c>
      <c r="J57" s="273">
        <f ca="1">IF(ISERROR(MATCH(J$1,INDIRECT("Table!A"&amp;$AM57):INDIRECT("Table!" &amp; $AP$86 &amp; $AM57),0)),"",INDIRECT(CONCATENATE("Table!",ADDRESS($AI57,MATCH(J$1,INDIRECT("Table!A" &amp; $AM57):INDIRECT("Table!" &amp; $AP$86 &amp; $AM57),0)))))</f>
        <v>1.022693590415056</v>
      </c>
      <c r="K57" s="273">
        <f ca="1">IF(ISERROR(MATCH(K$1,INDIRECT("Table!A"&amp;$AM57):INDIRECT("Table!" &amp; $AP$86 &amp; $AM57),0)),"",INDIRECT(CONCATENATE("Table!",ADDRESS($AI57,MATCH(K$1,INDIRECT("Table!A" &amp; $AM57):INDIRECT("Table!" &amp; $AP$86 &amp; $AM57),0)))))</f>
        <v>0.23087617165463886</v>
      </c>
      <c r="L57" s="273">
        <f ca="1">IF(ISERROR(MATCH(L$1,INDIRECT("Table!A"&amp;$AM57):INDIRECT("Table!" &amp; $AP$108 &amp; $AM57),0)),"",INDIRECT(CONCATENATE("Table!",ADDRESS($AI57,MATCH(L$1,INDIRECT("Table!A" &amp; $AM57):INDIRECT("Table!" &amp; $AP$108 &amp; $AM57),0)))))</f>
        <v>1.4214900551264031</v>
      </c>
      <c r="M57" s="273">
        <f ca="1">IF(ISERROR(MATCH(M$1,INDIRECT("Table!A"&amp;$AM57):INDIRECT("Table!" &amp; $AP$108 &amp; $AM57),0)),"",INDIRECT(CONCATENATE("Table!",ADDRESS($AI57,MATCH(M$1,INDIRECT("Table!A" &amp; $AM57):INDIRECT("Table!" &amp; $AP$108 &amp; $AM57),0)))))</f>
        <v>2.7464474858267698</v>
      </c>
      <c r="N57" s="273">
        <f ca="1">IF(ISERROR(MATCH(N$1,INDIRECT("Table!A"&amp;$AM57):INDIRECT("Table!" &amp; $AP$108 &amp; $AM57),0)),"",INDIRECT(CONCATENATE("Table!",ADDRESS($AI57,MATCH(N$1,INDIRECT("Table!A" &amp; $AM57):INDIRECT("Table!" &amp; $AP$108 &amp; $AM57),0)))))</f>
        <v>1.6531097857279278</v>
      </c>
      <c r="O57" s="273">
        <f ca="1">IF(ISERROR(MATCH(O$1,INDIRECT("Table!A"&amp;$AM57):INDIRECT("Table!" &amp; $AP$86 &amp; $AM57),0)),"",INDIRECT(CONCATENATE("Table!",ADDRESS($AI57,MATCH(O$1,INDIRECT("Table!A" &amp; $AM57):INDIRECT("Table!" &amp; $AP$86 &amp; $AM57),0)))))</f>
        <v>0.93195399539446244</v>
      </c>
      <c r="P57" s="273">
        <f ca="1">IF(ISERROR(MATCH(P$1,INDIRECT("Table!A"&amp;$AM57):INDIRECT("Table!" &amp; $AP$86 &amp; $AM57),0)),"",INDIRECT(CONCATENATE("Table!",ADDRESS($AI57,MATCH(P$1,INDIRECT("Table!A" &amp; $AM57):INDIRECT("Table!" &amp; $AP$86 &amp; $AM57),0)))))</f>
        <v>0.41898344667857734</v>
      </c>
      <c r="Q57" s="273">
        <f ca="1">IF(ISERROR(MATCH(Q$1,INDIRECT("Table!A"&amp;$AM57):INDIRECT("Table!" &amp; $AP$86 &amp; $AM57),0)),"",INDIRECT(CONCATENATE("Table!",ADDRESS($AI57,MATCH(Q$1,INDIRECT("Table!A" &amp; $AM57):INDIRECT("Table!" &amp; $AP$86 &amp; $AM57),0)))))</f>
        <v>0.45602668196268842</v>
      </c>
      <c r="R57" s="273">
        <f ca="1">IF(ISERROR(MATCH(R$1,INDIRECT("Table!A"&amp;$AM57):INDIRECT("Table!" &amp; $AP$86 &amp; $AM57),0)),"",INDIRECT(CONCATENATE("Table!",ADDRESS($AI57,MATCH(R$1,INDIRECT("Table!A" &amp; $AM57):INDIRECT("Table!" &amp; $AP$86 &amp; $AM57),0)))))</f>
        <v>1.2445884722961771</v>
      </c>
      <c r="S57" s="596" t="str">
        <f ca="1">IF(ISERROR(MATCH(S$1,INDIRECT("Table!A"&amp;$AM57):INDIRECT("Table!" &amp; $AP$65 &amp; $AM57),0)),"",INDIRECT(CONCATENATE("Table!",ADDRESS($AI57,MATCH(S$1,INDIRECT("Table!A" &amp; $AM57):INDIRECT("Table!" &amp; $AP$65 &amp; $AM57),0)))))</f>
        <v/>
      </c>
      <c r="T57" s="273">
        <f ca="1">IF(ISERROR(MATCH(T$1,INDIRECT("Table!A"&amp;$AM57):INDIRECT("Table!" &amp; $AP$65 &amp; $AM57),0)),"",INDIRECT(CONCATENATE("Table!",ADDRESS($AI57,MATCH(T$1,INDIRECT("Table!A" &amp; $AM57):INDIRECT("Table!" &amp; $AP$65 &amp; $AM57),0)))))</f>
        <v>0.95881588371284809</v>
      </c>
      <c r="U57" s="596" t="str">
        <f ca="1">IF(ISERROR(MATCH(U$1,INDIRECT("Table!A"&amp;$AM57):INDIRECT("Table!" &amp; $AP$65 &amp; $AM57),0)),"",INDIRECT(CONCATENATE("Table!",ADDRESS($AI57,MATCH(U$1,INDIRECT("Table!A" &amp; $AM57):INDIRECT("Table!" &amp; $AP$65 &amp; $AM57),0)))))</f>
        <v/>
      </c>
      <c r="V57" s="596"/>
      <c r="W57" s="596"/>
      <c r="X57" s="596"/>
      <c r="Y57" s="596"/>
      <c r="Z57" s="596"/>
      <c r="AA57" s="596"/>
      <c r="AB57" s="596"/>
      <c r="AC57" s="596"/>
      <c r="AD57" s="596"/>
      <c r="AE57" s="596"/>
      <c r="AF57" s="596"/>
      <c r="AG57" s="596"/>
      <c r="AH57" s="596"/>
      <c r="AI57" s="272">
        <f>MATCH($A57,Table!$A:$A,0)+$AK$2-1</f>
        <v>792</v>
      </c>
      <c r="AJ57" s="473"/>
      <c r="AK57" s="473"/>
      <c r="AL57" s="473"/>
      <c r="AM57" s="272">
        <f>MATCH($A57,Table!$A:$A,0)+$AO$2-1</f>
        <v>783</v>
      </c>
      <c r="AN57" s="473"/>
      <c r="AO57" s="473"/>
      <c r="AP57" s="973" t="s">
        <v>302</v>
      </c>
    </row>
    <row r="58" spans="1:42" s="267" customFormat="1" ht="19.5" customHeight="1" x14ac:dyDescent="0.25">
      <c r="A58" s="268">
        <v>41519</v>
      </c>
      <c r="B58" s="596">
        <f ca="1">IF(ISERROR(MATCH(B$1,INDIRECT("Table!A"&amp;$AM58):INDIRECT("Table!" &amp; $AP$108 &amp; $AM58),0)),"",INDIRECT(CONCATENATE("Table!",ADDRESS($AI58,MATCH(B$1,INDIRECT("Table!A" &amp; $AM58):INDIRECT("Table!" &amp; $AP$108 &amp; $AM58),0)))))</f>
        <v>1.2951346021074948</v>
      </c>
      <c r="C58" s="273">
        <f ca="1">IF(ISERROR(MATCH(C$1,INDIRECT("Table!A"&amp;$AM58):INDIRECT("Table!" &amp; $AP$108 &amp; $AM58),0)),"",INDIRECT(CONCATENATE("Table!",ADDRESS($AI58,MATCH(C$1,INDIRECT("Table!A" &amp; $AM58):INDIRECT("Table!" &amp; $AP$108 &amp; $AM58),0)))))</f>
        <v>0.62744743274334336</v>
      </c>
      <c r="D58" s="273">
        <f ca="1">IF(ISERROR(MATCH(D$1,INDIRECT("Table!A"&amp;$AM58):INDIRECT("Table!" &amp; $AP$108 &amp; $AM58),0)),"",INDIRECT(CONCATENATE("Table!",ADDRESS($AI58,MATCH(D$1,INDIRECT("Table!A" &amp; $AM58):INDIRECT("Table!" &amp; $AP$108 &amp; $AM58),0)))))</f>
        <v>0.63416768371881649</v>
      </c>
      <c r="E58" s="273">
        <f ca="1">IF(ISERROR(MATCH(E$1,INDIRECT("Table!A"&amp;$AM58):INDIRECT("Table!" &amp; $AP$108 &amp; $AM58),0)),"",INDIRECT(CONCATENATE("Table!",ADDRESS($AI58,MATCH(E$1,INDIRECT("Table!A" &amp; $AM58):INDIRECT("Table!" &amp; $AP$108 &amp; $AM58),0)))))</f>
        <v>1.542655550476157</v>
      </c>
      <c r="F58" s="273">
        <f ca="1">IF(ISERROR(MATCH(F$1,INDIRECT("Table!A"&amp;$AM58):INDIRECT("Table!" &amp; $AP$108 &amp; $AM58),0)),"",INDIRECT(CONCATENATE("Table!",ADDRESS($AI58,MATCH(F$1,INDIRECT("Table!A" &amp; $AM58):INDIRECT("Table!" &amp; $AP$108 &amp; $AM58),0)))))</f>
        <v>1.5931938943570247</v>
      </c>
      <c r="G58" s="273">
        <f ca="1">IF(ISERROR(MATCH(G$1,INDIRECT("Table!A"&amp;$AM58):INDIRECT("Table!" &amp; $AP$108 &amp; $AM58),0)),"",INDIRECT(CONCATENATE("Table!",ADDRESS($AI58,MATCH(G$1,INDIRECT("Table!A" &amp; $AM58):INDIRECT("Table!" &amp; $AP$108 &amp; $AM58),0)))))</f>
        <v>3.4905375042854581</v>
      </c>
      <c r="H58" s="273">
        <f ca="1">IF(ISERROR(MATCH(H$1,INDIRECT("Table!A"&amp;$AM58):INDIRECT("Table!" &amp; $AP$108 &amp; $AM58),0)),"",INDIRECT(CONCATENATE("Table!",ADDRESS($AI58,MATCH(H$1,INDIRECT("Table!A" &amp; $AM58):INDIRECT("Table!" &amp; $AP$108 &amp; $AM58),0)))))</f>
        <v>0.84465750436044973</v>
      </c>
      <c r="I58" s="273">
        <f ca="1">IF(ISERROR(MATCH(I$1,INDIRECT("Table!A"&amp;$AM58):INDIRECT("Table!" &amp; $AP$86 &amp; $AM58),0)),"",INDIRECT(CONCATENATE("Table!",ADDRESS($AI58,MATCH(I$1,INDIRECT("Table!A" &amp; $AM58):INDIRECT("Table!" &amp; $AP$86 &amp; $AM58),0)))))</f>
        <v>0.11819550508148816</v>
      </c>
      <c r="J58" s="273">
        <f ca="1">IF(ISERROR(MATCH(J$1,INDIRECT("Table!A"&amp;$AM58):INDIRECT("Table!" &amp; $AP$86 &amp; $AM58),0)),"",INDIRECT(CONCATENATE("Table!",ADDRESS($AI58,MATCH(J$1,INDIRECT("Table!A" &amp; $AM58):INDIRECT("Table!" &amp; $AP$86 &amp; $AM58),0)))))</f>
        <v>0.95774908128416769</v>
      </c>
      <c r="K58" s="273">
        <f ca="1">IF(ISERROR(MATCH(K$1,INDIRECT("Table!A"&amp;$AM58):INDIRECT("Table!" &amp; $AP$86 &amp; $AM58),0)),"",INDIRECT(CONCATENATE("Table!",ADDRESS($AI58,MATCH(K$1,INDIRECT("Table!A" &amp; $AM58):INDIRECT("Table!" &amp; $AP$86 &amp; $AM58),0)))))</f>
        <v>7.0483098856533644E-2</v>
      </c>
      <c r="L58" s="273">
        <f ca="1">IF(ISERROR(MATCH(L$1,INDIRECT("Table!A"&amp;$AM58):INDIRECT("Table!" &amp; $AP$108 &amp; $AM58),0)),"",INDIRECT(CONCATENATE("Table!",ADDRESS($AI58,MATCH(L$1,INDIRECT("Table!A" &amp; $AM58):INDIRECT("Table!" &amp; $AP$108 &amp; $AM58),0)))))</f>
        <v>1.4272542689159304</v>
      </c>
      <c r="M58" s="273">
        <f ca="1">IF(ISERROR(MATCH(M$1,INDIRECT("Table!A"&amp;$AM58):INDIRECT("Table!" &amp; $AP$108 &amp; $AM58),0)),"",INDIRECT(CONCATENATE("Table!",ADDRESS($AI58,MATCH(M$1,INDIRECT("Table!A" &amp; $AM58):INDIRECT("Table!" &amp; $AP$108 &amp; $AM58),0)))))</f>
        <v>2.7464474858267698</v>
      </c>
      <c r="N58" s="273">
        <f ca="1">IF(ISERROR(MATCH(N$1,INDIRECT("Table!A"&amp;$AM58):INDIRECT("Table!" &amp; $AP$108 &amp; $AM58),0)),"",INDIRECT(CONCATENATE("Table!",ADDRESS($AI58,MATCH(N$1,INDIRECT("Table!A" &amp; $AM58):INDIRECT("Table!" &amp; $AP$108 &amp; $AM58),0)))))</f>
        <v>1.6531097857279278</v>
      </c>
      <c r="O58" s="273">
        <f ca="1">IF(ISERROR(MATCH(O$1,INDIRECT("Table!A"&amp;$AM58):INDIRECT("Table!" &amp; $AP$86 &amp; $AM58),0)),"",INDIRECT(CONCATENATE("Table!",ADDRESS($AI58,MATCH(O$1,INDIRECT("Table!A" &amp; $AM58):INDIRECT("Table!" &amp; $AP$86 &amp; $AM58),0)))))</f>
        <v>0.92828584794473346</v>
      </c>
      <c r="P58" s="273">
        <f ca="1">IF(ISERROR(MATCH(P$1,INDIRECT("Table!A"&amp;$AM58):INDIRECT("Table!" &amp; $AP$86 &amp; $AM58),0)),"",INDIRECT(CONCATENATE("Table!",ADDRESS($AI58,MATCH(P$1,INDIRECT("Table!A" &amp; $AM58):INDIRECT("Table!" &amp; $AP$86 &amp; $AM58),0)))))</f>
        <v>0.41898344667857734</v>
      </c>
      <c r="Q58" s="273">
        <f ca="1">IF(ISERROR(MATCH(Q$1,INDIRECT("Table!A"&amp;$AM58):INDIRECT("Table!" &amp; $AP$86 &amp; $AM58),0)),"",INDIRECT(CONCATENATE("Table!",ADDRESS($AI58,MATCH(Q$1,INDIRECT("Table!A" &amp; $AM58):INDIRECT("Table!" &amp; $AP$86 &amp; $AM58),0)))))</f>
        <v>0.42212798494668258</v>
      </c>
      <c r="R58" s="273">
        <f ca="1">IF(ISERROR(MATCH(R$1,INDIRECT("Table!A"&amp;$AM58):INDIRECT("Table!" &amp; $AP$86 &amp; $AM58),0)),"",INDIRECT(CONCATENATE("Table!",ADDRESS($AI58,MATCH(R$1,INDIRECT("Table!A" &amp; $AM58):INDIRECT("Table!" &amp; $AP$86 &amp; $AM58),0)))))</f>
        <v>0.46691137264739285</v>
      </c>
      <c r="S58" s="596" t="str">
        <f ca="1">IF(ISERROR(MATCH(S$1,INDIRECT("Table!A"&amp;$AM58):INDIRECT("Table!" &amp; $AP$65 &amp; $AM58),0)),"",INDIRECT(CONCATENATE("Table!",ADDRESS($AI58,MATCH(S$1,INDIRECT("Table!A" &amp; $AM58):INDIRECT("Table!" &amp; $AP$65 &amp; $AM58),0)))))</f>
        <v/>
      </c>
      <c r="T58" s="273">
        <f ca="1">IF(ISERROR(MATCH(T$1,INDIRECT("Table!A"&amp;$AM58):INDIRECT("Table!" &amp; $AP$65 &amp; $AM58),0)),"",INDIRECT(CONCATENATE("Table!",ADDRESS($AI58,MATCH(T$1,INDIRECT("Table!A" &amp; $AM58):INDIRECT("Table!" &amp; $AP$65 &amp; $AM58),0)))))</f>
        <v>0.92417216421631587</v>
      </c>
      <c r="U58" s="596" t="str">
        <f ca="1">IF(ISERROR(MATCH(U$1,INDIRECT("Table!A"&amp;$AM58):INDIRECT("Table!" &amp; $AP$65 &amp; $AM58),0)),"",INDIRECT(CONCATENATE("Table!",ADDRESS($AI58,MATCH(U$1,INDIRECT("Table!A" &amp; $AM58):INDIRECT("Table!" &amp; $AP$65 &amp; $AM58),0)))))</f>
        <v/>
      </c>
      <c r="V58" s="596"/>
      <c r="W58" s="596"/>
      <c r="X58" s="596"/>
      <c r="Y58" s="596"/>
      <c r="Z58" s="596"/>
      <c r="AA58" s="596"/>
      <c r="AB58" s="596"/>
      <c r="AC58" s="596"/>
      <c r="AD58" s="596"/>
      <c r="AE58" s="596"/>
      <c r="AF58" s="596"/>
      <c r="AG58" s="596"/>
      <c r="AH58" s="596"/>
      <c r="AI58" s="272">
        <f>MATCH($A58,Table!$A:$A,0)+$AK$2-1</f>
        <v>804</v>
      </c>
      <c r="AJ58" s="468"/>
      <c r="AK58" s="468"/>
      <c r="AL58" s="468"/>
      <c r="AM58" s="272">
        <f>MATCH($A58,Table!$A:$A,0)+$AO$2-1</f>
        <v>795</v>
      </c>
      <c r="AN58" s="468"/>
      <c r="AO58" s="468"/>
      <c r="AP58" s="973" t="s">
        <v>302</v>
      </c>
    </row>
    <row r="59" spans="1:42" s="267" customFormat="1" ht="19.5" customHeight="1" x14ac:dyDescent="0.25">
      <c r="A59" s="268">
        <v>41513</v>
      </c>
      <c r="B59" s="596">
        <f ca="1">IF(ISERROR(MATCH(B$1,INDIRECT("Table!A"&amp;$AM59):INDIRECT("Table!" &amp; $AP$108 &amp; $AM59),0)),"",INDIRECT(CONCATENATE("Table!",ADDRESS($AI59,MATCH(B$1,INDIRECT("Table!A" &amp; $AM59):INDIRECT("Table!" &amp; $AP$108 &amp; $AM59),0)))))</f>
        <v>1.2894913140808826</v>
      </c>
      <c r="C59" s="273">
        <f ca="1">IF(ISERROR(MATCH(C$1,INDIRECT("Table!A"&amp;$AM59):INDIRECT("Table!" &amp; $AP$108 &amp; $AM59),0)),"",INDIRECT(CONCATENATE("Table!",ADDRESS($AI59,MATCH(C$1,INDIRECT("Table!A" &amp; $AM59):INDIRECT("Table!" &amp; $AP$108 &amp; $AM59),0)))))</f>
        <v>0.62475933235315417</v>
      </c>
      <c r="D59" s="273">
        <f ca="1">IF(ISERROR(MATCH(D$1,INDIRECT("Table!A"&amp;$AM59):INDIRECT("Table!" &amp; $AP$108 &amp; $AM59),0)),"",INDIRECT(CONCATENATE("Table!",ADDRESS($AI59,MATCH(D$1,INDIRECT("Table!A" &amp; $AM59):INDIRECT("Table!" &amp; $AP$108 &amp; $AM59),0)))))</f>
        <v>0.62767144110919249</v>
      </c>
      <c r="E59" s="273">
        <f ca="1">IF(ISERROR(MATCH(E$1,INDIRECT("Table!A"&amp;$AM59):INDIRECT("Table!" &amp; $AP$108 &amp; $AM59),0)),"",INDIRECT(CONCATENATE("Table!",ADDRESS($AI59,MATCH(E$1,INDIRECT("Table!A" &amp; $AM59):INDIRECT("Table!" &amp; $AP$108 &amp; $AM59),0)))))</f>
        <v>1.542655550476157</v>
      </c>
      <c r="F59" s="273">
        <f ca="1">IF(ISERROR(MATCH(F$1,INDIRECT("Table!A"&amp;$AM59):INDIRECT("Table!" &amp; $AP$108 &amp; $AM59),0)),"",INDIRECT(CONCATENATE("Table!",ADDRESS($AI59,MATCH(F$1,INDIRECT("Table!A" &amp; $AM59):INDIRECT("Table!" &amp; $AP$108 &amp; $AM59),0)))))</f>
        <v>1.5891181872852491</v>
      </c>
      <c r="G59" s="273">
        <f ca="1">IF(ISERROR(MATCH(G$1,INDIRECT("Table!A"&amp;$AM59):INDIRECT("Table!" &amp; $AP$108 &amp; $AM59),0)),"",INDIRECT(CONCATENATE("Table!",ADDRESS($AI59,MATCH(G$1,INDIRECT("Table!A" &amp; $AM59):INDIRECT("Table!" &amp; $AP$108 &amp; $AM59),0)))))</f>
        <v>3.4887512799613116</v>
      </c>
      <c r="H59" s="273">
        <f ca="1">IF(ISERROR(MATCH(H$1,INDIRECT("Table!A"&amp;$AM59):INDIRECT("Table!" &amp; $AP$108 &amp; $AM59),0)),"",INDIRECT(CONCATENATE("Table!",ADDRESS($AI59,MATCH(H$1,INDIRECT("Table!A" &amp; $AM59):INDIRECT("Table!" &amp; $AP$108 &amp; $AM59),0)))))</f>
        <v>0.84327702279833838</v>
      </c>
      <c r="I59" s="273">
        <f ca="1">IF(ISERROR(MATCH(I$1,INDIRECT("Table!A"&amp;$AM59):INDIRECT("Table!" &amp; $AP$86 &amp; $AM59),0)),"",INDIRECT(CONCATENATE("Table!",ADDRESS($AI59,MATCH(I$1,INDIRECT("Table!A" &amp; $AM59):INDIRECT("Table!" &amp; $AP$86 &amp; $AM59),0)))))</f>
        <v>0.11493493942406778</v>
      </c>
      <c r="J59" s="273">
        <f ca="1">IF(ISERROR(MATCH(J$1,INDIRECT("Table!A"&amp;$AM59):INDIRECT("Table!" &amp; $AP$86 &amp; $AM59),0)),"",INDIRECT(CONCATENATE("Table!",ADDRESS($AI59,MATCH(J$1,INDIRECT("Table!A" &amp; $AM59):INDIRECT("Table!" &amp; $AP$86 &amp; $AM59),0)))))</f>
        <v>0.95774908128416769</v>
      </c>
      <c r="K59" s="273">
        <f ca="1">IF(ISERROR(MATCH(K$1,INDIRECT("Table!A"&amp;$AM59):INDIRECT("Table!" &amp; $AP$86 &amp; $AM59),0)),"",INDIRECT(CONCATENATE("Table!",ADDRESS($AI59,MATCH(K$1,INDIRECT("Table!A" &amp; $AM59):INDIRECT("Table!" &amp; $AP$86 &amp; $AM59),0)))))</f>
        <v>7.0483098856533644E-2</v>
      </c>
      <c r="L59" s="273">
        <f ca="1">IF(ISERROR(MATCH(L$1,INDIRECT("Table!A"&amp;$AM59):INDIRECT("Table!" &amp; $AP$108 &amp; $AM59),0)),"",INDIRECT(CONCATENATE("Table!",ADDRESS($AI59,MATCH(L$1,INDIRECT("Table!A" &amp; $AM59):INDIRECT("Table!" &amp; $AP$108 &amp; $AM59),0)))))</f>
        <v>1.42603155689997</v>
      </c>
      <c r="M59" s="273">
        <f ca="1">IF(ISERROR(MATCH(M$1,INDIRECT("Table!A"&amp;$AM59):INDIRECT("Table!" &amp; $AP$108 &amp; $AM59),0)),"",INDIRECT(CONCATENATE("Table!",ADDRESS($AI59,MATCH(M$1,INDIRECT("Table!A" &amp; $AM59):INDIRECT("Table!" &amp; $AP$108 &amp; $AM59),0)))))</f>
        <v>2.7464474858267698</v>
      </c>
      <c r="N59" s="273">
        <f ca="1">IF(ISERROR(MATCH(N$1,INDIRECT("Table!A"&amp;$AM59):INDIRECT("Table!" &amp; $AP$108 &amp; $AM59),0)),"",INDIRECT(CONCATENATE("Table!",ADDRESS($AI59,MATCH(N$1,INDIRECT("Table!A" &amp; $AM59):INDIRECT("Table!" &amp; $AP$108 &amp; $AM59),0)))))</f>
        <v>1.6490340712660738</v>
      </c>
      <c r="O59" s="273">
        <f ca="1">IF(ISERROR(MATCH(O$1,INDIRECT("Table!A"&amp;$AM59):INDIRECT("Table!" &amp; $AP$86 &amp; $AM59),0)),"",INDIRECT(CONCATENATE("Table!",ADDRESS($AI59,MATCH(O$1,INDIRECT("Table!A" &amp; $AM59):INDIRECT("Table!" &amp; $AP$86 &amp; $AM59),0)))))</f>
        <v>0.92742994687313007</v>
      </c>
      <c r="P59" s="273">
        <f ca="1">IF(ISERROR(MATCH(P$1,INDIRECT("Table!A"&amp;$AM59):INDIRECT("Table!" &amp; $AP$86 &amp; $AM59),0)),"",INDIRECT(CONCATENATE("Table!",ADDRESS($AI59,MATCH(P$1,INDIRECT("Table!A" &amp; $AM59):INDIRECT("Table!" &amp; $AP$86 &amp; $AM59),0)))))</f>
        <v>0.41246230353961116</v>
      </c>
      <c r="Q59" s="273">
        <f ca="1">IF(ISERROR(MATCH(Q$1,INDIRECT("Table!A"&amp;$AM59):INDIRECT("Table!" &amp; $AP$86 &amp; $AM59),0)),"",INDIRECT(CONCATENATE("Table!",ADDRESS($AI59,MATCH(Q$1,INDIRECT("Table!A" &amp; $AM59):INDIRECT("Table!" &amp; $AP$86 &amp; $AM59),0)))))</f>
        <v>0.42212798494668258</v>
      </c>
      <c r="R59" s="273">
        <f ca="1">IF(ISERROR(MATCH(R$1,INDIRECT("Table!A"&amp;$AM59):INDIRECT("Table!" &amp; $AP$86 &amp; $AM59),0)),"",INDIRECT(CONCATENATE("Table!",ADDRESS($AI59,MATCH(R$1,INDIRECT("Table!A" &amp; $AM59):INDIRECT("Table!" &amp; $AP$86 &amp; $AM59),0)))))</f>
        <v>0.46691137264739285</v>
      </c>
      <c r="S59" s="596" t="str">
        <f ca="1">IF(ISERROR(MATCH(S$1,INDIRECT("Table!A"&amp;$AM59):INDIRECT("Table!" &amp; $AP$65 &amp; $AM59),0)),"",INDIRECT(CONCATENATE("Table!",ADDRESS($AI59,MATCH(S$1,INDIRECT("Table!A" &amp; $AM59):INDIRECT("Table!" &amp; $AP$65 &amp; $AM59),0)))))</f>
        <v/>
      </c>
      <c r="T59" s="273">
        <f ca="1">IF(ISERROR(MATCH(T$1,INDIRECT("Table!A"&amp;$AM59):INDIRECT("Table!" &amp; $AP$65 &amp; $AM59),0)),"",INDIRECT(CONCATENATE("Table!",ADDRESS($AI59,MATCH(T$1,INDIRECT("Table!A" &amp; $AM59):INDIRECT("Table!" &amp; $AP$65 &amp; $AM59),0)))))</f>
        <v>0.92417216421631587</v>
      </c>
      <c r="U59" s="596" t="str">
        <f ca="1">IF(ISERROR(MATCH(U$1,INDIRECT("Table!A"&amp;$AM59):INDIRECT("Table!" &amp; $AP$65 &amp; $AM59),0)),"",INDIRECT(CONCATENATE("Table!",ADDRESS($AI59,MATCH(U$1,INDIRECT("Table!A" &amp; $AM59):INDIRECT("Table!" &amp; $AP$65 &amp; $AM59),0)))))</f>
        <v/>
      </c>
      <c r="V59" s="596"/>
      <c r="W59" s="596"/>
      <c r="X59" s="596"/>
      <c r="Y59" s="596"/>
      <c r="Z59" s="596"/>
      <c r="AA59" s="596"/>
      <c r="AB59" s="596"/>
      <c r="AC59" s="596"/>
      <c r="AD59" s="596"/>
      <c r="AE59" s="596"/>
      <c r="AF59" s="596"/>
      <c r="AG59" s="596"/>
      <c r="AH59" s="596"/>
      <c r="AI59" s="272">
        <f>MATCH($A59,Table!$A:$A,0)+$AK$2-1</f>
        <v>816</v>
      </c>
      <c r="AJ59" s="463"/>
      <c r="AK59" s="463"/>
      <c r="AL59" s="463"/>
      <c r="AM59" s="272">
        <f>MATCH($A59,Table!$A:$A,0)+$AO$2-1</f>
        <v>807</v>
      </c>
      <c r="AN59" s="463"/>
      <c r="AO59" s="463"/>
      <c r="AP59" s="973" t="s">
        <v>302</v>
      </c>
    </row>
    <row r="60" spans="1:42" s="267" customFormat="1" ht="19.5" customHeight="1" x14ac:dyDescent="0.25">
      <c r="A60" s="268">
        <v>41498</v>
      </c>
      <c r="B60" s="596">
        <f ca="1">IF(ISERROR(MATCH(B$1,INDIRECT("Table!A"&amp;$AM60):INDIRECT("Table!" &amp; $AP$108 &amp; $AM60),0)),"",INDIRECT(CONCATENATE("Table!",ADDRESS($AI60,MATCH(B$1,INDIRECT("Table!A" &amp; $AM60):INDIRECT("Table!" &amp; $AP$108 &amp; $AM60),0)))))</f>
        <v>1.2859642590642499</v>
      </c>
      <c r="C60" s="273">
        <f ca="1">IF(ISERROR(MATCH(C$1,INDIRECT("Table!A"&amp;$AM60):INDIRECT("Table!" &amp; $AP$108 &amp; $AM60),0)),"",INDIRECT(CONCATENATE("Table!",ADDRESS($AI60,MATCH(C$1,INDIRECT("Table!A" &amp; $AM60):INDIRECT("Table!" &amp; $AP$108 &amp; $AM60),0)))))</f>
        <v>0.62072718176787023</v>
      </c>
      <c r="D60" s="273">
        <f ca="1">IF(ISERROR(MATCH(D$1,INDIRECT("Table!A"&amp;$AM60):INDIRECT("Table!" &amp; $AP$108 &amp; $AM60),0)),"",INDIRECT(CONCATENATE("Table!",ADDRESS($AI60,MATCH(D$1,INDIRECT("Table!A" &amp; $AM60):INDIRECT("Table!" &amp; $AP$108 &amp; $AM60),0)))))</f>
        <v>0.62767144110919249</v>
      </c>
      <c r="E60" s="273">
        <f ca="1">IF(ISERROR(MATCH(E$1,INDIRECT("Table!A"&amp;$AM60):INDIRECT("Table!" &amp; $AP$108 &amp; $AM60),0)),"",INDIRECT(CONCATENATE("Table!",ADDRESS($AI60,MATCH(E$1,INDIRECT("Table!A" &amp; $AM60):INDIRECT("Table!" &amp; $AP$108 &amp; $AM60),0)))))</f>
        <v>1.532095761070952</v>
      </c>
      <c r="F60" s="273">
        <f ca="1">IF(ISERROR(MATCH(F$1,INDIRECT("Table!A"&amp;$AM60):INDIRECT("Table!" &amp; $AP$108 &amp; $AM60),0)),"",INDIRECT(CONCATENATE("Table!",ADDRESS($AI60,MATCH(F$1,INDIRECT("Table!A" &amp; $AM60):INDIRECT("Table!" &amp; $AP$108 &amp; $AM60),0)))))</f>
        <v>1.5891181872852491</v>
      </c>
      <c r="G60" s="273">
        <f ca="1">IF(ISERROR(MATCH(G$1,INDIRECT("Table!A"&amp;$AM60):INDIRECT("Table!" &amp; $AP$108 &amp; $AM60),0)),"",INDIRECT(CONCATENATE("Table!",ADDRESS($AI60,MATCH(G$1,INDIRECT("Table!A" &amp; $AM60):INDIRECT("Table!" &amp; $AP$108 &amp; $AM60),0)))))</f>
        <v>3.4675717629750045</v>
      </c>
      <c r="H60" s="273">
        <f ca="1">IF(ISERROR(MATCH(H$1,INDIRECT("Table!A"&amp;$AM60):INDIRECT("Table!" &amp; $AP$108 &amp; $AM60),0)),"",INDIRECT(CONCATENATE("Table!",ADDRESS($AI60,MATCH(H$1,INDIRECT("Table!A" &amp; $AM60):INDIRECT("Table!" &amp; $AP$108 &amp; $AM60),0)))))</f>
        <v>0.83736067324643226</v>
      </c>
      <c r="I60" s="273">
        <f ca="1">IF(ISERROR(MATCH(I$1,INDIRECT("Table!A"&amp;$AM60):INDIRECT("Table!" &amp; $AP$86 &amp; $AM60),0)),"",INDIRECT(CONCATENATE("Table!",ADDRESS($AI60,MATCH(I$1,INDIRECT("Table!A" &amp; $AM60):INDIRECT("Table!" &amp; $AP$86 &amp; $AM60),0)))))</f>
        <v>0.11167437376664743</v>
      </c>
      <c r="J60" s="273">
        <f ca="1">IF(ISERROR(MATCH(J$1,INDIRECT("Table!A"&amp;$AM60):INDIRECT("Table!" &amp; $AP$86 &amp; $AM60),0)),"",INDIRECT(CONCATENATE("Table!",ADDRESS($AI60,MATCH(J$1,INDIRECT("Table!A" &amp; $AM60):INDIRECT("Table!" &amp; $AP$86 &amp; $AM60),0)))))</f>
        <v>0.6592962247163775</v>
      </c>
      <c r="K60" s="273">
        <f ca="1">IF(ISERROR(MATCH(K$1,INDIRECT("Table!A"&amp;$AM60):INDIRECT("Table!" &amp; $AP$86 &amp; $AM60),0)),"",INDIRECT(CONCATENATE("Table!",ADDRESS($AI60,MATCH(K$1,INDIRECT("Table!A" &amp; $AM60):INDIRECT("Table!" &amp; $AP$86 &amp; $AM60),0)))))</f>
        <v>5.388041334810572E-2</v>
      </c>
      <c r="L60" s="273">
        <f ca="1">IF(ISERROR(MATCH(L$1,INDIRECT("Table!A"&amp;$AM60):INDIRECT("Table!" &amp; $AP$108 &amp; $AM60),0)),"",INDIRECT(CONCATENATE("Table!",ADDRESS($AI60,MATCH(L$1,INDIRECT("Table!A" &amp; $AM60):INDIRECT("Table!" &amp; $AP$108 &amp; $AM60),0)))))</f>
        <v>1.42603155689997</v>
      </c>
      <c r="M60" s="273">
        <f ca="1">IF(ISERROR(MATCH(M$1,INDIRECT("Table!A"&amp;$AM60):INDIRECT("Table!" &amp; $AP$108 &amp; $AM60),0)),"",INDIRECT(CONCATENATE("Table!",ADDRESS($AI60,MATCH(M$1,INDIRECT("Table!A" &amp; $AM60):INDIRECT("Table!" &amp; $AP$108 &amp; $AM60),0)))))</f>
        <v>2.7367508394956896</v>
      </c>
      <c r="N60" s="273">
        <f ca="1">IF(ISERROR(MATCH(N$1,INDIRECT("Table!A"&amp;$AM60):INDIRECT("Table!" &amp; $AP$108 &amp; $AM60),0)),"",INDIRECT(CONCATENATE("Table!",ADDRESS($AI60,MATCH(N$1,INDIRECT("Table!A" &amp; $AM60):INDIRECT("Table!" &amp; $AP$108 &amp; $AM60),0)))))</f>
        <v>1.6490340712660738</v>
      </c>
      <c r="O60" s="273">
        <f ca="1">IF(ISERROR(MATCH(O$1,INDIRECT("Table!A"&amp;$AM60):INDIRECT("Table!" &amp; $AP$86 &amp; $AM60),0)),"",INDIRECT(CONCATENATE("Table!",ADDRESS($AI60,MATCH(O$1,INDIRECT("Table!A" &amp; $AM60):INDIRECT("Table!" &amp; $AP$86 &amp; $AM60),0)))))</f>
        <v>0.9237617994234012</v>
      </c>
      <c r="P60" s="273">
        <f ca="1">IF(ISERROR(MATCH(P$1,INDIRECT("Table!A"&amp;$AM60):INDIRECT("Table!" &amp; $AP$86 &amp; $AM60),0)),"",INDIRECT(CONCATENATE("Table!",ADDRESS($AI60,MATCH(P$1,INDIRECT("Table!A" &amp; $AM60):INDIRECT("Table!" &amp; $AP$86 &amp; $AM60),0)))))</f>
        <v>0.40594116040064498</v>
      </c>
      <c r="Q60" s="273">
        <f ca="1">IF(ISERROR(MATCH(Q$1,INDIRECT("Table!A"&amp;$AM60):INDIRECT("Table!" &amp; $AP$86 &amp; $AM60),0)),"",INDIRECT(CONCATENATE("Table!",ADDRESS($AI60,MATCH(Q$1,INDIRECT("Table!A" &amp; $AM60):INDIRECT("Table!" &amp; $AP$86 &amp; $AM60),0)))))</f>
        <v>0.34291208244612176</v>
      </c>
      <c r="R60" s="273">
        <f ca="1">IF(ISERROR(MATCH(R$1,INDIRECT("Table!A"&amp;$AM60):INDIRECT("Table!" &amp; $AP$86 &amp; $AM60),0)),"",INDIRECT(CONCATENATE("Table!",ADDRESS($AI60,MATCH(R$1,INDIRECT("Table!A" &amp; $AM60):INDIRECT("Table!" &amp; $AP$86 &amp; $AM60),0)))))</f>
        <v>0.44451341012187212</v>
      </c>
      <c r="S60" s="596" t="str">
        <f ca="1">IF(ISERROR(MATCH(S$1,INDIRECT("Table!A"&amp;$AM60):INDIRECT("Table!" &amp; $AP$65 &amp; $AM60),0)),"",INDIRECT(CONCATENATE("Table!",ADDRESS($AI60,MATCH(S$1,INDIRECT("Table!A" &amp; $AM60):INDIRECT("Table!" &amp; $AP$65 &amp; $AM60),0)))))</f>
        <v/>
      </c>
      <c r="T60" s="273">
        <f ca="1">IF(ISERROR(MATCH(T$1,INDIRECT("Table!A"&amp;$AM60):INDIRECT("Table!" &amp; $AP$65 &amp; $AM60),0)),"",INDIRECT(CONCATENATE("Table!",ADDRESS($AI60,MATCH(T$1,INDIRECT("Table!A" &amp; $AM60):INDIRECT("Table!" &amp; $AP$65 &amp; $AM60),0)))))</f>
        <v>0.53290192049077523</v>
      </c>
      <c r="U60" s="596" t="str">
        <f ca="1">IF(ISERROR(MATCH(U$1,INDIRECT("Table!A"&amp;$AM60):INDIRECT("Table!" &amp; $AP$65 &amp; $AM60),0)),"",INDIRECT(CONCATENATE("Table!",ADDRESS($AI60,MATCH(U$1,INDIRECT("Table!A" &amp; $AM60):INDIRECT("Table!" &amp; $AP$65 &amp; $AM60),0)))))</f>
        <v/>
      </c>
      <c r="V60" s="596"/>
      <c r="W60" s="596"/>
      <c r="X60" s="596"/>
      <c r="Y60" s="596"/>
      <c r="Z60" s="596"/>
      <c r="AA60" s="596"/>
      <c r="AB60" s="596"/>
      <c r="AC60" s="596"/>
      <c r="AD60" s="596"/>
      <c r="AE60" s="596"/>
      <c r="AF60" s="596"/>
      <c r="AG60" s="596"/>
      <c r="AH60" s="596"/>
      <c r="AI60" s="272">
        <f>MATCH($A60,Table!$A:$A,0)+$AK$2-1</f>
        <v>828</v>
      </c>
      <c r="AJ60" s="458"/>
      <c r="AK60" s="458"/>
      <c r="AL60" s="458"/>
      <c r="AM60" s="272">
        <f>MATCH($A60,Table!$A:$A,0)+$AO$2-1</f>
        <v>819</v>
      </c>
      <c r="AN60" s="458"/>
      <c r="AO60" s="458"/>
      <c r="AP60" s="973" t="s">
        <v>302</v>
      </c>
    </row>
    <row r="61" spans="1:42" s="267" customFormat="1" ht="19.5" customHeight="1" x14ac:dyDescent="0.25">
      <c r="A61" s="268">
        <v>41491</v>
      </c>
      <c r="B61" s="596">
        <f ca="1">IF(ISERROR(MATCH(B$1,INDIRECT("Table!A"&amp;$AM61):INDIRECT("Table!" &amp; $AP$108 &amp; $AM61),0)),"",INDIRECT(CONCATENATE("Table!",ADDRESS($AI61,MATCH(B$1,INDIRECT("Table!A" &amp; $AM61):INDIRECT("Table!" &amp; $AP$108 &amp; $AM61),0)))))</f>
        <v>1.2859642590642499</v>
      </c>
      <c r="C61" s="273">
        <f ca="1">IF(ISERROR(MATCH(C$1,INDIRECT("Table!A"&amp;$AM61):INDIRECT("Table!" &amp; $AP$108 &amp; $AM61),0)),"",INDIRECT(CONCATENATE("Table!",ADDRESS($AI61,MATCH(C$1,INDIRECT("Table!A" &amp; $AM61):INDIRECT("Table!" &amp; $AP$108 &amp; $AM61),0)))))</f>
        <v>0.62610338254824871</v>
      </c>
      <c r="D61" s="273">
        <f ca="1">IF(ISERROR(MATCH(D$1,INDIRECT("Table!A"&amp;$AM61):INDIRECT("Table!" &amp; $AP$108 &amp; $AM61),0)),"",INDIRECT(CONCATENATE("Table!",ADDRESS($AI61,MATCH(D$1,INDIRECT("Table!A" &amp; $AM61):INDIRECT("Table!" &amp; $AP$108 &amp; $AM61),0)))))</f>
        <v>0.63304764188957097</v>
      </c>
      <c r="E61" s="273">
        <f ca="1">IF(ISERROR(MATCH(E$1,INDIRECT("Table!A"&amp;$AM61):INDIRECT("Table!" &amp; $AP$108 &amp; $AM61),0)),"",INDIRECT(CONCATENATE("Table!",ADDRESS($AI61,MATCH(E$1,INDIRECT("Table!A" &amp; $AM61):INDIRECT("Table!" &amp; $AP$108 &amp; $AM61),0)))))</f>
        <v>1.5293168691222139</v>
      </c>
      <c r="F61" s="273">
        <f ca="1">IF(ISERROR(MATCH(F$1,INDIRECT("Table!A"&amp;$AM61):INDIRECT("Table!" &amp; $AP$108 &amp; $AM61),0)),"",INDIRECT(CONCATENATE("Table!",ADDRESS($AI61,MATCH(F$1,INDIRECT("Table!A" &amp; $AM61):INDIRECT("Table!" &amp; $AP$108 &amp; $AM61),0)))))</f>
        <v>1.5891181872852491</v>
      </c>
      <c r="G61" s="273">
        <f ca="1">IF(ISERROR(MATCH(G$1,INDIRECT("Table!A"&amp;$AM61):INDIRECT("Table!" &amp; $AP$108 &amp; $AM61),0)),"",INDIRECT(CONCATENATE("Table!",ADDRESS($AI61,MATCH(G$1,INDIRECT("Table!A" &amp; $AM61):INDIRECT("Table!" &amp; $AP$108 &amp; $AM61),0)))))</f>
        <v>3.4675717629750045</v>
      </c>
      <c r="H61" s="273">
        <f ca="1">IF(ISERROR(MATCH(H$1,INDIRECT("Table!A"&amp;$AM61):INDIRECT("Table!" &amp; $AP$108 &amp; $AM61),0)),"",INDIRECT(CONCATENATE("Table!",ADDRESS($AI61,MATCH(H$1,INDIRECT("Table!A" &amp; $AM61):INDIRECT("Table!" &amp; $AP$108 &amp; $AM61),0)))))</f>
        <v>0.82828893726684305</v>
      </c>
      <c r="I61" s="273">
        <f ca="1">IF(ISERROR(MATCH(I$1,INDIRECT("Table!A"&amp;$AM61):INDIRECT("Table!" &amp; $AP$86 &amp; $AM61),0)),"",INDIRECT(CONCATENATE("Table!",ADDRESS($AI61,MATCH(I$1,INDIRECT("Table!A" &amp; $AM61):INDIRECT("Table!" &amp; $AP$86 &amp; $AM61),0)))))</f>
        <v>0.11167437376664743</v>
      </c>
      <c r="J61" s="273">
        <f ca="1">IF(ISERROR(MATCH(J$1,INDIRECT("Table!A"&amp;$AM61):INDIRECT("Table!" &amp; $AP$86 &amp; $AM61),0)),"",INDIRECT(CONCATENATE("Table!",ADDRESS($AI61,MATCH(J$1,INDIRECT("Table!A" &amp; $AM61):INDIRECT("Table!" &amp; $AP$86 &amp; $AM61),0)))))</f>
        <v>0.56808202649883777</v>
      </c>
      <c r="K61" s="273">
        <f ca="1">IF(ISERROR(MATCH(K$1,INDIRECT("Table!A"&amp;$AM61):INDIRECT("Table!" &amp; $AP$86 &amp; $AM61),0)),"",INDIRECT(CONCATENATE("Table!",ADDRESS($AI61,MATCH(K$1,INDIRECT("Table!A" &amp; $AM61):INDIRECT("Table!" &amp; $AP$86 &amp; $AM61),0)))))</f>
        <v>5.419367156524587E-2</v>
      </c>
      <c r="L61" s="273">
        <f ca="1">IF(ISERROR(MATCH(L$1,INDIRECT("Table!A"&amp;$AM61):INDIRECT("Table!" &amp; $AP$108 &amp; $AM61),0)),"",INDIRECT(CONCATENATE("Table!",ADDRESS($AI61,MATCH(L$1,INDIRECT("Table!A" &amp; $AM61):INDIRECT("Table!" &amp; $AP$108 &amp; $AM61),0)))))</f>
        <v>1.42603155689997</v>
      </c>
      <c r="M61" s="273">
        <f ca="1">IF(ISERROR(MATCH(M$1,INDIRECT("Table!A"&amp;$AM61):INDIRECT("Table!" &amp; $AP$108 &amp; $AM61),0)),"",INDIRECT(CONCATENATE("Table!",ADDRESS($AI61,MATCH(M$1,INDIRECT("Table!A" &amp; $AM61):INDIRECT("Table!" &amp; $AP$108 &amp; $AM61),0)))))</f>
        <v>2.7160816723162813</v>
      </c>
      <c r="N61" s="273">
        <f ca="1">IF(ISERROR(MATCH(N$1,INDIRECT("Table!A"&amp;$AM61):INDIRECT("Table!" &amp; $AP$108 &amp; $AM61),0)),"",INDIRECT(CONCATENATE("Table!",ADDRESS($AI61,MATCH(N$1,INDIRECT("Table!A" &amp; $AM61):INDIRECT("Table!" &amp; $AP$108 &amp; $AM61),0)))))</f>
        <v>1.6490340712660738</v>
      </c>
      <c r="O61" s="273">
        <f ca="1">IF(ISERROR(MATCH(O$1,INDIRECT("Table!A"&amp;$AM61):INDIRECT("Table!" &amp; $AP$86 &amp; $AM61),0)),"",INDIRECT(CONCATENATE("Table!",ADDRESS($AI61,MATCH(O$1,INDIRECT("Table!A" &amp; $AM61):INDIRECT("Table!" &amp; $AP$86 &amp; $AM61),0)))))</f>
        <v>0.9181373066671501</v>
      </c>
      <c r="P61" s="273">
        <f ca="1">IF(ISERROR(MATCH(P$1,INDIRECT("Table!A"&amp;$AM61):INDIRECT("Table!" &amp; $AP$86 &amp; $AM61),0)),"",INDIRECT(CONCATENATE("Table!",ADDRESS($AI61,MATCH(P$1,INDIRECT("Table!A" &amp; $AM61):INDIRECT("Table!" &amp; $AP$86 &amp; $AM61),0)))))</f>
        <v>0.40594116040064498</v>
      </c>
      <c r="Q61" s="273">
        <f ca="1">IF(ISERROR(MATCH(Q$1,INDIRECT("Table!A"&amp;$AM61):INDIRECT("Table!" &amp; $AP$86 &amp; $AM61),0)),"",INDIRECT(CONCATENATE("Table!",ADDRESS($AI61,MATCH(Q$1,INDIRECT("Table!A" &amp; $AM61):INDIRECT("Table!" &amp; $AP$86 &amp; $AM61),0)))))</f>
        <v>0.29937901890977742</v>
      </c>
      <c r="R61" s="273">
        <f ca="1">IF(ISERROR(MATCH(R$1,INDIRECT("Table!A"&amp;$AM61):INDIRECT("Table!" &amp; $AP$86 &amp; $AM61),0)),"",INDIRECT(CONCATENATE("Table!",ADDRESS($AI61,MATCH(R$1,INDIRECT("Table!A" &amp; $AM61):INDIRECT("Table!" &amp; $AP$86 &amp; $AM61),0)))))</f>
        <v>0.39313906251088765</v>
      </c>
      <c r="S61" s="596" t="str">
        <f ca="1">IF(ISERROR(MATCH(S$1,INDIRECT("Table!A"&amp;$AM61):INDIRECT("Table!" &amp; $AP$65 &amp; $AM61),0)),"",INDIRECT(CONCATENATE("Table!",ADDRESS($AI61,MATCH(S$1,INDIRECT("Table!A" &amp; $AM61):INDIRECT("Table!" &amp; $AP$65 &amp; $AM61),0)))))</f>
        <v/>
      </c>
      <c r="T61" s="273">
        <f ca="1">IF(ISERROR(MATCH(T$1,INDIRECT("Table!A"&amp;$AM61):INDIRECT("Table!" &amp; $AP$65 &amp; $AM61),0)),"",INDIRECT(CONCATENATE("Table!",ADDRESS($AI61,MATCH(T$1,INDIRECT("Table!A" &amp; $AM61):INDIRECT("Table!" &amp; $AP$65 &amp; $AM61),0)))))</f>
        <v>0.53290192049077523</v>
      </c>
      <c r="U61" s="596" t="str">
        <f ca="1">IF(ISERROR(MATCH(U$1,INDIRECT("Table!A"&amp;$AM61):INDIRECT("Table!" &amp; $AP$65 &amp; $AM61),0)),"",INDIRECT(CONCATENATE("Table!",ADDRESS($AI61,MATCH(U$1,INDIRECT("Table!A" &amp; $AM61):INDIRECT("Table!" &amp; $AP$65 &amp; $AM61),0)))))</f>
        <v/>
      </c>
      <c r="V61" s="596"/>
      <c r="W61" s="596"/>
      <c r="X61" s="596"/>
      <c r="Y61" s="596"/>
      <c r="Z61" s="596"/>
      <c r="AA61" s="596"/>
      <c r="AB61" s="596"/>
      <c r="AC61" s="596"/>
      <c r="AD61" s="596"/>
      <c r="AE61" s="596"/>
      <c r="AF61" s="596"/>
      <c r="AG61" s="596"/>
      <c r="AH61" s="596"/>
      <c r="AI61" s="272">
        <f>MATCH($A61,Table!$A:$A,0)+$AK$2-1</f>
        <v>840</v>
      </c>
      <c r="AJ61" s="453"/>
      <c r="AK61" s="453"/>
      <c r="AL61" s="453"/>
      <c r="AM61" s="272">
        <f>MATCH($A61,Table!$A:$A,0)+$AO$2-1</f>
        <v>831</v>
      </c>
      <c r="AN61" s="453"/>
      <c r="AO61" s="453"/>
      <c r="AP61" s="973" t="s">
        <v>302</v>
      </c>
    </row>
    <row r="62" spans="1:42" s="267" customFormat="1" ht="19.5" customHeight="1" x14ac:dyDescent="0.25">
      <c r="A62" s="268">
        <v>41485</v>
      </c>
      <c r="B62" s="596">
        <f ca="1">IF(ISERROR(MATCH(B$1,INDIRECT("Table!A"&amp;$AM62):INDIRECT("Table!" &amp; $AP$108 &amp; $AM62),0)),"",INDIRECT(CONCATENATE("Table!",ADDRESS($AI62,MATCH(B$1,INDIRECT("Table!A" &amp; $AM62):INDIRECT("Table!" &amp; $AP$108 &amp; $AM62),0)))))</f>
        <v>1.2859642590642499</v>
      </c>
      <c r="C62" s="273">
        <f ca="1">IF(ISERROR(MATCH(C$1,INDIRECT("Table!A"&amp;$AM62):INDIRECT("Table!" &amp; $AP$108 &amp; $AM62),0)),"",INDIRECT(CONCATENATE("Table!",ADDRESS($AI62,MATCH(C$1,INDIRECT("Table!A" &amp; $AM62):INDIRECT("Table!" &amp; $AP$108 &amp; $AM62),0)))))</f>
        <v>0.62475933235315417</v>
      </c>
      <c r="D62" s="273">
        <f ca="1">IF(ISERROR(MATCH(D$1,INDIRECT("Table!A"&amp;$AM62):INDIRECT("Table!" &amp; $AP$108 &amp; $AM62),0)),"",INDIRECT(CONCATENATE("Table!",ADDRESS($AI62,MATCH(D$1,INDIRECT("Table!A" &amp; $AM62):INDIRECT("Table!" &amp; $AP$108 &amp; $AM62),0)))))</f>
        <v>0.63170359169447643</v>
      </c>
      <c r="E62" s="273">
        <f ca="1">IF(ISERROR(MATCH(E$1,INDIRECT("Table!A"&amp;$AM62):INDIRECT("Table!" &amp; $AP$108 &amp; $AM62),0)),"",INDIRECT(CONCATENATE("Table!",ADDRESS($AI62,MATCH(E$1,INDIRECT("Table!A" &amp; $AM62):INDIRECT("Table!" &amp; $AP$108 &amp; $AM62),0)))))</f>
        <v>1.5293168691222139</v>
      </c>
      <c r="F62" s="273">
        <f ca="1">IF(ISERROR(MATCH(F$1,INDIRECT("Table!A"&amp;$AM62):INDIRECT("Table!" &amp; $AP$108 &amp; $AM62),0)),"",INDIRECT(CONCATENATE("Table!",ADDRESS($AI62,MATCH(F$1,INDIRECT("Table!A" &amp; $AM62):INDIRECT("Table!" &amp; $AP$108 &amp; $AM62),0)))))</f>
        <v>1.5874879044565391</v>
      </c>
      <c r="G62" s="273">
        <f ca="1">IF(ISERROR(MATCH(G$1,INDIRECT("Table!A"&amp;$AM62):INDIRECT("Table!" &amp; $AP$108 &amp; $AM62),0)),"",INDIRECT(CONCATENATE("Table!",ADDRESS($AI62,MATCH(G$1,INDIRECT("Table!A" &amp; $AM62):INDIRECT("Table!" &amp; $AP$108 &amp; $AM62),0)))))</f>
        <v>3.4703786869129494</v>
      </c>
      <c r="H62" s="273">
        <f ca="1">IF(ISERROR(MATCH(H$1,INDIRECT("Table!A"&amp;$AM62):INDIRECT("Table!" &amp; $AP$108 &amp; $AM62),0)),"",INDIRECT(CONCATENATE("Table!",ADDRESS($AI62,MATCH(H$1,INDIRECT("Table!A" &amp; $AM62):INDIRECT("Table!" &amp; $AP$108 &amp; $AM62),0)))))</f>
        <v>0.82828893726684305</v>
      </c>
      <c r="I62" s="273">
        <f ca="1">IF(ISERROR(MATCH(I$1,INDIRECT("Table!A"&amp;$AM62):INDIRECT("Table!" &amp; $AP$86 &amp; $AM62),0)),"",INDIRECT(CONCATENATE("Table!",ADDRESS($AI62,MATCH(I$1,INDIRECT("Table!A" &amp; $AM62):INDIRECT("Table!" &amp; $AP$86 &amp; $AM62),0)))))</f>
        <v>0.11167437376664743</v>
      </c>
      <c r="J62" s="273">
        <f ca="1">IF(ISERROR(MATCH(J$1,INDIRECT("Table!A"&amp;$AM62):INDIRECT("Table!" &amp; $AP$86 &amp; $AM62),0)),"",INDIRECT(CONCATENATE("Table!",ADDRESS($AI62,MATCH(J$1,INDIRECT("Table!A" &amp; $AM62):INDIRECT("Table!" &amp; $AP$86 &amp; $AM62),0)))))</f>
        <v>0.45169270957325702</v>
      </c>
      <c r="K62" s="273">
        <f ca="1">IF(ISERROR(MATCH(K$1,INDIRECT("Table!A"&amp;$AM62):INDIRECT("Table!" &amp; $AP$86 &amp; $AM62),0)),"",INDIRECT(CONCATENATE("Table!",ADDRESS($AI62,MATCH(K$1,INDIRECT("Table!A" &amp; $AM62):INDIRECT("Table!" &amp; $AP$86 &amp; $AM62),0)))))</f>
        <v>4.6988732571022429E-2</v>
      </c>
      <c r="L62" s="273">
        <f ca="1">IF(ISERROR(MATCH(L$1,INDIRECT("Table!A"&amp;$AM62):INDIRECT("Table!" &amp; $AP$108 &amp; $AM62),0)),"",INDIRECT(CONCATENATE("Table!",ADDRESS($AI62,MATCH(L$1,INDIRECT("Table!A" &amp; $AM62):INDIRECT("Table!" &amp; $AP$108 &amp; $AM62),0)))))</f>
        <v>1.4269049226256558</v>
      </c>
      <c r="M62" s="273">
        <f ca="1">IF(ISERROR(MATCH(M$1,INDIRECT("Table!A"&amp;$AM62):INDIRECT("Table!" &amp; $AP$108 &amp; $AM62),0)),"",INDIRECT(CONCATENATE("Table!",ADDRESS($AI62,MATCH(M$1,INDIRECT("Table!A" &amp; $AM62):INDIRECT("Table!" &amp; $AP$108 &amp; $AM62),0)))))</f>
        <v>2.8441794738479214</v>
      </c>
      <c r="N62" s="273">
        <f ca="1">IF(ISERROR(MATCH(N$1,INDIRECT("Table!A"&amp;$AM62):INDIRECT("Table!" &amp; $AP$108 &amp; $AM62),0)),"",INDIRECT(CONCATENATE("Table!",ADDRESS($AI62,MATCH(N$1,INDIRECT("Table!A" &amp; $AM62):INDIRECT("Table!" &amp; $AP$108 &amp; $AM62),0)))))</f>
        <v>1.6474037854813324</v>
      </c>
      <c r="O62" s="273">
        <f ca="1">IF(ISERROR(MATCH(O$1,INDIRECT("Table!A"&amp;$AM62):INDIRECT("Table!" &amp; $AP$86 &amp; $AM62),0)),"",INDIRECT(CONCATENATE("Table!",ADDRESS($AI62,MATCH(O$1,INDIRECT("Table!A" &amp; $AM62):INDIRECT("Table!" &amp; $AP$86 &amp; $AM62),0)))))</f>
        <v>0.9181373066671501</v>
      </c>
      <c r="P62" s="273">
        <f ca="1">IF(ISERROR(MATCH(P$1,INDIRECT("Table!A"&amp;$AM62):INDIRECT("Table!" &amp; $AP$86 &amp; $AM62),0)),"",INDIRECT(CONCATENATE("Table!",ADDRESS($AI62,MATCH(P$1,INDIRECT("Table!A" &amp; $AM62):INDIRECT("Table!" &amp; $AP$86 &amp; $AM62),0)))))</f>
        <v>0.40594116040064498</v>
      </c>
      <c r="Q62" s="273">
        <f ca="1">IF(ISERROR(MATCH(Q$1,INDIRECT("Table!A"&amp;$AM62):INDIRECT("Table!" &amp; $AP$86 &amp; $AM62),0)),"",INDIRECT(CONCATENATE("Table!",ADDRESS($AI62,MATCH(Q$1,INDIRECT("Table!A" &amp; $AM62):INDIRECT("Table!" &amp; $AP$86 &amp; $AM62),0)))))</f>
        <v>0.23390100941043995</v>
      </c>
      <c r="R62" s="273">
        <f ca="1">IF(ISERROR(MATCH(R$1,INDIRECT("Table!A"&amp;$AM62):INDIRECT("Table!" &amp; $AP$86 &amp; $AM62),0)),"",INDIRECT(CONCATENATE("Table!",ADDRESS($AI62,MATCH(R$1,INDIRECT("Table!A" &amp; $AM62):INDIRECT("Table!" &amp; $AP$86 &amp; $AM62),0)))))</f>
        <v>0.37825929719673052</v>
      </c>
      <c r="S62" s="596" t="str">
        <f ca="1">IF(ISERROR(MATCH(S$1,INDIRECT("Table!A"&amp;$AM62):INDIRECT("Table!" &amp; $AP$65 &amp; $AM62),0)),"",INDIRECT(CONCATENATE("Table!",ADDRESS($AI62,MATCH(S$1,INDIRECT("Table!A" &amp; $AM62):INDIRECT("Table!" &amp; $AP$65 &amp; $AM62),0)))))</f>
        <v/>
      </c>
      <c r="T62" s="273">
        <f ca="1">IF(ISERROR(MATCH(T$1,INDIRECT("Table!A"&amp;$AM62):INDIRECT("Table!" &amp; $AP$65 &amp; $AM62),0)),"",INDIRECT(CONCATENATE("Table!",ADDRESS($AI62,MATCH(T$1,INDIRECT("Table!A" &amp; $AM62):INDIRECT("Table!" &amp; $AP$65 &amp; $AM62),0)))))</f>
        <v>0.53290192049077523</v>
      </c>
      <c r="U62" s="596" t="str">
        <f ca="1">IF(ISERROR(MATCH(U$1,INDIRECT("Table!A"&amp;$AM62):INDIRECT("Table!" &amp; $AP$65 &amp; $AM62),0)),"",INDIRECT(CONCATENATE("Table!",ADDRESS($AI62,MATCH(U$1,INDIRECT("Table!A" &amp; $AM62):INDIRECT("Table!" &amp; $AP$65 &amp; $AM62),0)))))</f>
        <v/>
      </c>
      <c r="V62" s="596"/>
      <c r="W62" s="596"/>
      <c r="X62" s="596"/>
      <c r="Y62" s="596"/>
      <c r="Z62" s="596"/>
      <c r="AA62" s="596"/>
      <c r="AB62" s="596"/>
      <c r="AC62" s="596"/>
      <c r="AD62" s="596"/>
      <c r="AE62" s="596"/>
      <c r="AF62" s="596"/>
      <c r="AG62" s="596"/>
      <c r="AH62" s="596"/>
      <c r="AI62" s="272">
        <f>MATCH($A62,Table!$A:$A,0)+$AK$2-1</f>
        <v>852</v>
      </c>
      <c r="AJ62" s="448"/>
      <c r="AK62" s="448"/>
      <c r="AL62" s="448"/>
      <c r="AM62" s="272">
        <f>MATCH($A62,Table!$A:$A,0)+$AO$2-1</f>
        <v>843</v>
      </c>
      <c r="AN62" s="448"/>
      <c r="AO62" s="448"/>
      <c r="AP62" s="973" t="s">
        <v>302</v>
      </c>
    </row>
    <row r="63" spans="1:42" s="267" customFormat="1" ht="19.5" customHeight="1" x14ac:dyDescent="0.25">
      <c r="A63" s="268">
        <v>41478</v>
      </c>
      <c r="B63" s="596">
        <f ca="1">IF(ISERROR(MATCH(B$1,INDIRECT("Table!A"&amp;$AM63):INDIRECT("Table!" &amp; $AP$108 &amp; $AM63),0)),"",INDIRECT(CONCATENATE("Table!",ADDRESS($AI63,MATCH(B$1,INDIRECT("Table!A" &amp; $AM63):INDIRECT("Table!" &amp; $AP$108 &amp; $AM63),0)))))</f>
        <v>1.2859642590642499</v>
      </c>
      <c r="C63" s="273">
        <f ca="1">IF(ISERROR(MATCH(C$1,INDIRECT("Table!A"&amp;$AM63):INDIRECT("Table!" &amp; $AP$108 &amp; $AM63),0)),"",INDIRECT(CONCATENATE("Table!",ADDRESS($AI63,MATCH(C$1,INDIRECT("Table!A" &amp; $AM63):INDIRECT("Table!" &amp; $AP$108 &amp; $AM63),0)))))</f>
        <v>0.6231912737922104</v>
      </c>
      <c r="D63" s="273">
        <f ca="1">IF(ISERROR(MATCH(D$1,INDIRECT("Table!A"&amp;$AM63):INDIRECT("Table!" &amp; $AP$108 &amp; $AM63),0)),"",INDIRECT(CONCATENATE("Table!",ADDRESS($AI63,MATCH(D$1,INDIRECT("Table!A" &amp; $AM63):INDIRECT("Table!" &amp; $AP$108 &amp; $AM63),0)))))</f>
        <v>0.63013553313353265</v>
      </c>
      <c r="E63" s="273">
        <f ca="1">IF(ISERROR(MATCH(E$1,INDIRECT("Table!A"&amp;$AM63):INDIRECT("Table!" &amp; $AP$108 &amp; $AM63),0)),"",INDIRECT(CONCATENATE("Table!",ADDRESS($AI63,MATCH(E$1,INDIRECT("Table!A" &amp; $AM63):INDIRECT("Table!" &amp; $AP$108 &amp; $AM63),0)))))</f>
        <v>1.5293168691222139</v>
      </c>
      <c r="F63" s="273">
        <f ca="1">IF(ISERROR(MATCH(F$1,INDIRECT("Table!A"&amp;$AM63):INDIRECT("Table!" &amp; $AP$108 &amp; $AM63),0)),"",INDIRECT(CONCATENATE("Table!",ADDRESS($AI63,MATCH(F$1,INDIRECT("Table!A" &amp; $AM63):INDIRECT("Table!" &amp; $AP$108 &amp; $AM63),0)))))</f>
        <v>1.5874879044565391</v>
      </c>
      <c r="G63" s="273">
        <f ca="1">IF(ISERROR(MATCH(G$1,INDIRECT("Table!A"&amp;$AM63):INDIRECT("Table!" &amp; $AP$108 &amp; $AM63),0)),"",INDIRECT(CONCATENATE("Table!",ADDRESS($AI63,MATCH(G$1,INDIRECT("Table!A" &amp; $AM63):INDIRECT("Table!" &amp; $AP$108 &amp; $AM63),0)))))</f>
        <v>3.4703786869129494</v>
      </c>
      <c r="H63" s="273">
        <f ca="1">IF(ISERROR(MATCH(H$1,INDIRECT("Table!A"&amp;$AM63):INDIRECT("Table!" &amp; $AP$108 &amp; $AM63),0)),"",INDIRECT(CONCATENATE("Table!",ADDRESS($AI63,MATCH(H$1,INDIRECT("Table!A" &amp; $AM63):INDIRECT("Table!" &amp; $AP$108 &amp; $AM63),0)))))</f>
        <v>0.82828893726684305</v>
      </c>
      <c r="I63" s="273">
        <f ca="1">IF(ISERROR(MATCH(I$1,INDIRECT("Table!A"&amp;$AM63):INDIRECT("Table!" &amp; $AP$86 &amp; $AM63),0)),"",INDIRECT(CONCATENATE("Table!",ADDRESS($AI63,MATCH(I$1,INDIRECT("Table!A" &amp; $AM63):INDIRECT("Table!" &amp; $AP$86 &amp; $AM63),0)))))</f>
        <v>0.11167437376664743</v>
      </c>
      <c r="J63" s="273">
        <f ca="1">IF(ISERROR(MATCH(J$1,INDIRECT("Table!A"&amp;$AM63):INDIRECT("Table!" &amp; $AP$86 &amp; $AM63),0)),"",INDIRECT(CONCATENATE("Table!",ADDRESS($AI63,MATCH(J$1,INDIRECT("Table!A" &amp; $AM63):INDIRECT("Table!" &amp; $AP$86 &amp; $AM63),0)))))</f>
        <v>0.35938394097710669</v>
      </c>
      <c r="K63" s="273">
        <f ca="1">IF(ISERROR(MATCH(K$1,INDIRECT("Table!A"&amp;$AM63):INDIRECT("Table!" &amp; $AP$86 &amp; $AM63),0)),"",INDIRECT(CONCATENATE("Table!",ADDRESS($AI63,MATCH(K$1,INDIRECT("Table!A" &amp; $AM63):INDIRECT("Table!" &amp; $AP$86 &amp; $AM63),0)))))</f>
        <v>4.6988732571022429E-2</v>
      </c>
      <c r="L63" s="273">
        <f ca="1">IF(ISERROR(MATCH(L$1,INDIRECT("Table!A"&amp;$AM63):INDIRECT("Table!" &amp; $AP$108 &amp; $AM63),0)),"",INDIRECT(CONCATENATE("Table!",ADDRESS($AI63,MATCH(L$1,INDIRECT("Table!A" &amp; $AM63):INDIRECT("Table!" &amp; $AP$108 &amp; $AM63),0)))))</f>
        <v>1.42603155689997</v>
      </c>
      <c r="M63" s="273">
        <f ca="1">IF(ISERROR(MATCH(M$1,INDIRECT("Table!A"&amp;$AM63):INDIRECT("Table!" &amp; $AP$108 &amp; $AM63),0)),"",INDIRECT(CONCATENATE("Table!",ADDRESS($AI63,MATCH(M$1,INDIRECT("Table!A" &amp; $AM63):INDIRECT("Table!" &amp; $AP$108 &amp; $AM63),0)))))</f>
        <v>2.8441794738479214</v>
      </c>
      <c r="N63" s="273">
        <f ca="1">IF(ISERROR(MATCH(N$1,INDIRECT("Table!A"&amp;$AM63):INDIRECT("Table!" &amp; $AP$108 &amp; $AM63),0)),"",INDIRECT(CONCATENATE("Table!",ADDRESS($AI63,MATCH(N$1,INDIRECT("Table!A" &amp; $AM63):INDIRECT("Table!" &amp; $AP$108 &amp; $AM63),0)))))</f>
        <v>1.6474037854813324</v>
      </c>
      <c r="O63" s="273">
        <f ca="1">IF(ISERROR(MATCH(O$1,INDIRECT("Table!A"&amp;$AM63):INDIRECT("Table!" &amp; $AP$86 &amp; $AM63),0)),"",INDIRECT(CONCATENATE("Table!",ADDRESS($AI63,MATCH(O$1,INDIRECT("Table!A" &amp; $AM63):INDIRECT("Table!" &amp; $AP$86 &amp; $AM63),0)))))</f>
        <v>0.9181373066671501</v>
      </c>
      <c r="P63" s="273">
        <f ca="1">IF(ISERROR(MATCH(P$1,INDIRECT("Table!A"&amp;$AM63):INDIRECT("Table!" &amp; $AP$86 &amp; $AM63),0)),"",INDIRECT(CONCATENATE("Table!",ADDRESS($AI63,MATCH(P$1,INDIRECT("Table!A" &amp; $AM63):INDIRECT("Table!" &amp; $AP$86 &amp; $AM63),0)))))</f>
        <v>0.40594116040064498</v>
      </c>
      <c r="Q63" s="273">
        <f ca="1">IF(ISERROR(MATCH(Q$1,INDIRECT("Table!A"&amp;$AM63):INDIRECT("Table!" &amp; $AP$86 &amp; $AM63),0)),"",INDIRECT(CONCATENATE("Table!",ADDRESS($AI63,MATCH(Q$1,INDIRECT("Table!A" &amp; $AM63):INDIRECT("Table!" &amp; $AP$86 &amp; $AM63),0)))))</f>
        <v>0.1983965846410444</v>
      </c>
      <c r="R63" s="273">
        <f ca="1">IF(ISERROR(MATCH(R$1,INDIRECT("Table!A"&amp;$AM63):INDIRECT("Table!" &amp; $AP$86 &amp; $AM63),0)),"",INDIRECT(CONCATENATE("Table!",ADDRESS($AI63,MATCH(R$1,INDIRECT("Table!A" &amp; $AM63):INDIRECT("Table!" &amp; $AP$86 &amp; $AM63),0)))))</f>
        <v>0.37825929719673052</v>
      </c>
      <c r="S63" s="596" t="str">
        <f ca="1">IF(ISERROR(MATCH(S$1,INDIRECT("Table!A"&amp;$AM63):INDIRECT("Table!" &amp; $AP$65 &amp; $AM63),0)),"",INDIRECT(CONCATENATE("Table!",ADDRESS($AI63,MATCH(S$1,INDIRECT("Table!A" &amp; $AM63):INDIRECT("Table!" &amp; $AP$65 &amp; $AM63),0)))))</f>
        <v/>
      </c>
      <c r="T63" s="273">
        <f ca="1">IF(ISERROR(MATCH(T$1,INDIRECT("Table!A"&amp;$AM63):INDIRECT("Table!" &amp; $AP$65 &amp; $AM63),0)),"",INDIRECT(CONCATENATE("Table!",ADDRESS($AI63,MATCH(T$1,INDIRECT("Table!A" &amp; $AM63):INDIRECT("Table!" &amp; $AP$65 &amp; $AM63),0)))))</f>
        <v>0.53290192049077523</v>
      </c>
      <c r="U63" s="596" t="str">
        <f ca="1">IF(ISERROR(MATCH(U$1,INDIRECT("Table!A"&amp;$AM63):INDIRECT("Table!" &amp; $AP$65 &amp; $AM63),0)),"",INDIRECT(CONCATENATE("Table!",ADDRESS($AI63,MATCH(U$1,INDIRECT("Table!A" &amp; $AM63):INDIRECT("Table!" &amp; $AP$65 &amp; $AM63),0)))))</f>
        <v/>
      </c>
      <c r="V63" s="596"/>
      <c r="W63" s="596"/>
      <c r="X63" s="596"/>
      <c r="Y63" s="596"/>
      <c r="Z63" s="596"/>
      <c r="AA63" s="596"/>
      <c r="AB63" s="596"/>
      <c r="AC63" s="596"/>
      <c r="AD63" s="596"/>
      <c r="AE63" s="596"/>
      <c r="AF63" s="596"/>
      <c r="AG63" s="596"/>
      <c r="AH63" s="596"/>
      <c r="AI63" s="272">
        <f>MATCH($A63,Table!$A:$A,0)+$AK$2-1</f>
        <v>864</v>
      </c>
      <c r="AJ63" s="443"/>
      <c r="AK63" s="443"/>
      <c r="AL63" s="443"/>
      <c r="AM63" s="272">
        <f>MATCH($A63,Table!$A:$A,0)+$AO$2-1</f>
        <v>855</v>
      </c>
      <c r="AN63" s="443"/>
      <c r="AO63" s="443"/>
      <c r="AP63" s="973" t="s">
        <v>302</v>
      </c>
    </row>
    <row r="64" spans="1:42" s="267" customFormat="1" ht="19.5" customHeight="1" x14ac:dyDescent="0.25">
      <c r="A64" s="268">
        <v>41470</v>
      </c>
      <c r="B64" s="596">
        <f ca="1">IF(ISERROR(MATCH(B$1,INDIRECT("Table!A"&amp;$AM64):INDIRECT("Table!" &amp; $AP$108 &amp; $AM64),0)),"",INDIRECT(CONCATENATE("Table!",ADDRESS($AI64,MATCH(B$1,INDIRECT("Table!A" &amp; $AM64):INDIRECT("Table!" &amp; $AP$108 &amp; $AM64),0)))))</f>
        <v>1.2859642590642499</v>
      </c>
      <c r="C64" s="273">
        <f ca="1">IF(ISERROR(MATCH(C$1,INDIRECT("Table!A"&amp;$AM64):INDIRECT("Table!" &amp; $AP$108 &amp; $AM64),0)),"",INDIRECT(CONCATENATE("Table!",ADDRESS($AI64,MATCH(C$1,INDIRECT("Table!A" &amp; $AM64):INDIRECT("Table!" &amp; $AP$108 &amp; $AM64),0)))))</f>
        <v>0.6231912737922104</v>
      </c>
      <c r="D64" s="273">
        <f ca="1">IF(ISERROR(MATCH(D$1,INDIRECT("Table!A"&amp;$AM64):INDIRECT("Table!" &amp; $AP$108 &amp; $AM64),0)),"",INDIRECT(CONCATENATE("Table!",ADDRESS($AI64,MATCH(D$1,INDIRECT("Table!A" &amp; $AM64):INDIRECT("Table!" &amp; $AP$108 &amp; $AM64),0)))))</f>
        <v>0.63013553313353265</v>
      </c>
      <c r="E64" s="273">
        <f ca="1">IF(ISERROR(MATCH(E$1,INDIRECT("Table!A"&amp;$AM64):INDIRECT("Table!" &amp; $AP$108 &amp; $AM64),0)),"",INDIRECT(CONCATENATE("Table!",ADDRESS($AI64,MATCH(E$1,INDIRECT("Table!A" &amp; $AM64):INDIRECT("Table!" &amp; $AP$108 &amp; $AM64),0)))))</f>
        <v>1.5306136853649586</v>
      </c>
      <c r="F64" s="273">
        <f ca="1">IF(ISERROR(MATCH(F$1,INDIRECT("Table!A"&amp;$AM64):INDIRECT("Table!" &amp; $AP$108 &amp; $AM64),0)),"",INDIRECT(CONCATENATE("Table!",ADDRESS($AI64,MATCH(F$1,INDIRECT("Table!A" &amp; $AM64):INDIRECT("Table!" &amp; $AP$108 &amp; $AM64),0)))))</f>
        <v>1.5813743438488759</v>
      </c>
      <c r="G64" s="273">
        <f ca="1">IF(ISERROR(MATCH(G$1,INDIRECT("Table!A"&amp;$AM64):INDIRECT("Table!" &amp; $AP$108 &amp; $AM64),0)),"",INDIRECT(CONCATENATE("Table!",ADDRESS($AI64,MATCH(G$1,INDIRECT("Table!A" &amp; $AM64):INDIRECT("Table!" &amp; $AP$108 &amp; $AM64),0)))))</f>
        <v>3.4703786869129494</v>
      </c>
      <c r="H64" s="273">
        <f ca="1">IF(ISERROR(MATCH(H$1,INDIRECT("Table!A"&amp;$AM64):INDIRECT("Table!" &amp; $AP$108 &amp; $AM64),0)),"",INDIRECT(CONCATENATE("Table!",ADDRESS($AI64,MATCH(H$1,INDIRECT("Table!A" &amp; $AM64):INDIRECT("Table!" &amp; $AP$108 &amp; $AM64),0)))))</f>
        <v>0.82828893726684305</v>
      </c>
      <c r="I64" s="273">
        <f ca="1">IF(ISERROR(MATCH(I$1,INDIRECT("Table!A"&amp;$AM64):INDIRECT("Table!" &amp; $AP$86 &amp; $AM64),0)),"",INDIRECT(CONCATENATE("Table!",ADDRESS($AI64,MATCH(I$1,INDIRECT("Table!A" &amp; $AM64):INDIRECT("Table!" &amp; $AP$86 &amp; $AM64),0)))))</f>
        <v>0.10556081315898425</v>
      </c>
      <c r="J64" s="273">
        <f ca="1">IF(ISERROR(MATCH(J$1,INDIRECT("Table!A"&amp;$AM64):INDIRECT("Table!" &amp; $AP$86 &amp; $AM64),0)),"",INDIRECT(CONCATENATE("Table!",ADDRESS($AI64,MATCH(J$1,INDIRECT("Table!A" &amp; $AM64):INDIRECT("Table!" &amp; $AP$86 &amp; $AM64),0)))))</f>
        <v>0.21818436213635517</v>
      </c>
      <c r="K64" s="273">
        <f ca="1">IF(ISERROR(MATCH(K$1,INDIRECT("Table!A"&amp;$AM64):INDIRECT("Table!" &amp; $AP$86 &amp; $AM64),0)),"",INDIRECT(CONCATENATE("Table!",ADDRESS($AI64,MATCH(K$1,INDIRECT("Table!A" &amp; $AM64):INDIRECT("Table!" &amp; $AP$86 &amp; $AM64),0)))))</f>
        <v>3.273548369114563E-2</v>
      </c>
      <c r="L64" s="273">
        <f ca="1">IF(ISERROR(MATCH(L$1,INDIRECT("Table!A"&amp;$AM64):INDIRECT("Table!" &amp; $AP$108 &amp; $AM64),0)),"",INDIRECT(CONCATENATE("Table!",ADDRESS($AI64,MATCH(L$1,INDIRECT("Table!A" &amp; $AM64):INDIRECT("Table!" &amp; $AP$108 &amp; $AM64),0)))))</f>
        <v>1.4270795957707931</v>
      </c>
      <c r="M64" s="273">
        <f ca="1">IF(ISERROR(MATCH(M$1,INDIRECT("Table!A"&amp;$AM64):INDIRECT("Table!" &amp; $AP$108 &amp; $AM64),0)),"",INDIRECT(CONCATENATE("Table!",ADDRESS($AI64,MATCH(M$1,INDIRECT("Table!A" &amp; $AM64):INDIRECT("Table!" &amp; $AP$108 &amp; $AM64),0)))))</f>
        <v>2.8441794738479214</v>
      </c>
      <c r="N64" s="273">
        <f ca="1">IF(ISERROR(MATCH(N$1,INDIRECT("Table!A"&amp;$AM64):INDIRECT("Table!" &amp; $AP$108 &amp; $AM64),0)),"",INDIRECT(CONCATENATE("Table!",ADDRESS($AI64,MATCH(N$1,INDIRECT("Table!A" &amp; $AM64):INDIRECT("Table!" &amp; $AP$108 &amp; $AM64),0)))))</f>
        <v>1.6412902137885514</v>
      </c>
      <c r="O64" s="273">
        <f ca="1">IF(ISERROR(MATCH(O$1,INDIRECT("Table!A"&amp;$AM64):INDIRECT("Table!" &amp; $AP$86 &amp; $AM64),0)),"",INDIRECT(CONCATENATE("Table!",ADDRESS($AI64,MATCH(O$1,INDIRECT("Table!A" &amp; $AM64):INDIRECT("Table!" &amp; $AP$86 &amp; $AM64),0)))))</f>
        <v>0.9181373066671501</v>
      </c>
      <c r="P64" s="273">
        <f ca="1">IF(ISERROR(MATCH(P$1,INDIRECT("Table!A"&amp;$AM64):INDIRECT("Table!" &amp; $AP$86 &amp; $AM64),0)),"",INDIRECT(CONCATENATE("Table!",ADDRESS($AI64,MATCH(P$1,INDIRECT("Table!A" &amp; $AM64):INDIRECT("Table!" &amp; $AP$86 &amp; $AM64),0)))))</f>
        <v>0.39126858833797107</v>
      </c>
      <c r="Q64" s="273">
        <f ca="1">IF(ISERROR(MATCH(Q$1,INDIRECT("Table!A"&amp;$AM64):INDIRECT("Table!" &amp; $AP$86 &amp; $AM64),0)),"",INDIRECT(CONCATENATE("Table!",ADDRESS($AI64,MATCH(Q$1,INDIRECT("Table!A" &amp; $AM64):INDIRECT("Table!" &amp; $AP$86 &amp; $AM64),0)))))</f>
        <v>0.12257055184208408</v>
      </c>
      <c r="R64" s="273">
        <f ca="1">IF(ISERROR(MATCH(R$1,INDIRECT("Table!A"&amp;$AM64):INDIRECT("Table!" &amp; $AP$86 &amp; $AM64),0)),"",INDIRECT(CONCATENATE("Table!",ADDRESS($AI64,MATCH(R$1,INDIRECT("Table!A" &amp; $AM64):INDIRECT("Table!" &amp; $AP$86 &amp; $AM64),0)))))</f>
        <v>0.22852186940373906</v>
      </c>
      <c r="S64" s="596" t="str">
        <f ca="1">IF(ISERROR(MATCH(S$1,INDIRECT("Table!A"&amp;$AM64):INDIRECT("Table!" &amp; $AP$65 &amp; $AM64),0)),"",INDIRECT(CONCATENATE("Table!",ADDRESS($AI64,MATCH(S$1,INDIRECT("Table!A" &amp; $AM64):INDIRECT("Table!" &amp; $AP$65 &amp; $AM64),0)))))</f>
        <v/>
      </c>
      <c r="T64" s="273">
        <f ca="1">IF(ISERROR(MATCH(T$1,INDIRECT("Table!A"&amp;$AM64):INDIRECT("Table!" &amp; $AP$65 &amp; $AM64),0)),"",INDIRECT(CONCATENATE("Table!",ADDRESS($AI64,MATCH(T$1,INDIRECT("Table!A" &amp; $AM64):INDIRECT("Table!" &amp; $AP$65 &amp; $AM64),0)))))</f>
        <v>0.50742859733156043</v>
      </c>
      <c r="U64" s="596" t="str">
        <f ca="1">IF(ISERROR(MATCH(U$1,INDIRECT("Table!A"&amp;$AM64):INDIRECT("Table!" &amp; $AP$65 &amp; $AM64),0)),"",INDIRECT(CONCATENATE("Table!",ADDRESS($AI64,MATCH(U$1,INDIRECT("Table!A" &amp; $AM64):INDIRECT("Table!" &amp; $AP$65 &amp; $AM64),0)))))</f>
        <v/>
      </c>
      <c r="V64" s="596"/>
      <c r="W64" s="596"/>
      <c r="X64" s="596"/>
      <c r="Y64" s="596"/>
      <c r="Z64" s="596"/>
      <c r="AA64" s="596"/>
      <c r="AB64" s="596"/>
      <c r="AC64" s="596"/>
      <c r="AD64" s="596"/>
      <c r="AE64" s="596"/>
      <c r="AF64" s="596"/>
      <c r="AG64" s="596"/>
      <c r="AH64" s="596"/>
      <c r="AI64" s="272">
        <f>MATCH($A64,Table!$A:$A,0)+$AK$2-1</f>
        <v>876</v>
      </c>
      <c r="AJ64" s="443"/>
      <c r="AK64" s="443"/>
      <c r="AL64" s="443"/>
      <c r="AM64" s="272">
        <f>MATCH($A64,Table!$A:$A,0)+$AO$2-1</f>
        <v>867</v>
      </c>
      <c r="AN64" s="443"/>
      <c r="AO64" s="443"/>
      <c r="AP64" s="973" t="s">
        <v>302</v>
      </c>
    </row>
    <row r="65" spans="1:42" s="267" customFormat="1" ht="19.5" customHeight="1" x14ac:dyDescent="0.25">
      <c r="A65" s="268">
        <v>41464</v>
      </c>
      <c r="B65" s="596">
        <f ca="1">IF(ISERROR(MATCH(B$1,INDIRECT("Table!A"&amp;$AM65):INDIRECT("Table!" &amp; $AP$108 &amp; $AM65),0)),"",INDIRECT(CONCATENATE("Table!",ADDRESS($AI65,MATCH(B$1,INDIRECT("Table!A" &amp; $AM65):INDIRECT("Table!" &amp; $AP$108 &amp; $AM65),0)))))</f>
        <v>1.2782047380276582</v>
      </c>
      <c r="C65" s="273">
        <f ca="1">IF(ISERROR(MATCH(C$1,INDIRECT("Table!A"&amp;$AM65):INDIRECT("Table!" &amp; $AP$108 &amp; $AM65),0)),"",INDIRECT(CONCATENATE("Table!",ADDRESS($AI65,MATCH(C$1,INDIRECT("Table!A" &amp; $AM65):INDIRECT("Table!" &amp; $AP$108 &amp; $AM65),0)))))</f>
        <v>0.61691903954843541</v>
      </c>
      <c r="D65" s="273">
        <f ca="1">IF(ISERROR(MATCH(D$1,INDIRECT("Table!A"&amp;$AM65):INDIRECT("Table!" &amp; $AP$108 &amp; $AM65),0)),"",INDIRECT(CONCATENATE("Table!",ADDRESS($AI65,MATCH(D$1,INDIRECT("Table!A" &amp; $AM65):INDIRECT("Table!" &amp; $AP$108 &amp; $AM65),0)))))</f>
        <v>0.62386329888975767</v>
      </c>
      <c r="E65" s="273">
        <f ca="1">IF(ISERROR(MATCH(E$1,INDIRECT("Table!A"&amp;$AM65):INDIRECT("Table!" &amp; $AP$108 &amp; $AM65),0)),"",INDIRECT(CONCATENATE("Table!",ADDRESS($AI65,MATCH(E$1,INDIRECT("Table!A" &amp; $AM65):INDIRECT("Table!" &amp; $AP$108 &amp; $AM65),0)))))</f>
        <v>1.5217295923357315</v>
      </c>
      <c r="F65" s="273">
        <f ca="1">IF(ISERROR(MATCH(F$1,INDIRECT("Table!A"&amp;$AM65):INDIRECT("Table!" &amp; $AP$108 &amp; $AM65),0)),"",INDIRECT(CONCATENATE("Table!",ADDRESS($AI65,MATCH(F$1,INDIRECT("Table!A" &amp; $AM65):INDIRECT("Table!" &amp; $AP$108 &amp; $AM65),0)))))</f>
        <v>1.5805687553829648</v>
      </c>
      <c r="G65" s="273">
        <f ca="1">IF(ISERROR(MATCH(G$1,INDIRECT("Table!A"&amp;$AM65):INDIRECT("Table!" &amp; $AP$108 &amp; $AM65),0)),"",INDIRECT(CONCATENATE("Table!",ADDRESS($AI65,MATCH(G$1,INDIRECT("Table!A" &amp; $AM65):INDIRECT("Table!" &amp; $AP$108 &amp; $AM65),0)))))</f>
        <v>3.5022755498441343</v>
      </c>
      <c r="H65" s="273">
        <f ca="1">IF(ISERROR(MATCH(H$1,INDIRECT("Table!A"&amp;$AM65):INDIRECT("Table!" &amp; $AP$108 &amp; $AM65),0)),"",INDIRECT(CONCATENATE("Table!",ADDRESS($AI65,MATCH(H$1,INDIRECT("Table!A" &amp; $AM65):INDIRECT("Table!" &amp; $AP$108 &amp; $AM65),0)))))</f>
        <v>0.8261196090978109</v>
      </c>
      <c r="I65" s="273">
        <f ca="1">IF(ISERROR(MATCH(I$1,INDIRECT("Table!A"&amp;$AM65):INDIRECT("Table!" &amp; $AP$86 &amp; $AM65),0)),"",INDIRECT(CONCATENATE("Table!",ADDRESS($AI65,MATCH(I$1,INDIRECT("Table!A" &amp; $AM65):INDIRECT("Table!" &amp; $AP$86 &amp; $AM65),0)))))</f>
        <v>0.10556081315898425</v>
      </c>
      <c r="J65" s="273">
        <f ca="1">IF(ISERROR(MATCH(J$1,INDIRECT("Table!A"&amp;$AM65):INDIRECT("Table!" &amp; $AP$86 &amp; $AM65),0)),"",INDIRECT(CONCATENATE("Table!",ADDRESS($AI65,MATCH(J$1,INDIRECT("Table!A" &amp; $AM65):INDIRECT("Table!" &amp; $AP$86 &amp; $AM65),0)))))</f>
        <v>0.18498239398517069</v>
      </c>
      <c r="K65" s="273">
        <f ca="1">IF(ISERROR(MATCH(K$1,INDIRECT("Table!A"&amp;$AM65):INDIRECT("Table!" &amp; $AP$86 &amp; $AM65),0)),"",INDIRECT(CONCATENATE("Table!",ADDRESS($AI65,MATCH(K$1,INDIRECT("Table!A" &amp; $AM65):INDIRECT("Table!" &amp; $AP$86 &amp; $AM65),0)))))</f>
        <v>2.2210789732717496E-2</v>
      </c>
      <c r="L65" s="273">
        <f ca="1">IF(ISERROR(MATCH(L$1,INDIRECT("Table!A"&amp;$AM65):INDIRECT("Table!" &amp; $AP$108 &amp; $AM65),0)),"",INDIRECT(CONCATENATE("Table!",ADDRESS($AI65,MATCH(L$1,INDIRECT("Table!A" &amp; $AM65):INDIRECT("Table!" &amp; $AP$108 &amp; $AM65),0)))))</f>
        <v>1.4590447813308975</v>
      </c>
      <c r="M65" s="273">
        <f ca="1">IF(ISERROR(MATCH(M$1,INDIRECT("Table!A"&amp;$AM65):INDIRECT("Table!" &amp; $AP$108 &amp; $AM65),0)),"",INDIRECT(CONCATENATE("Table!",ADDRESS($AI65,MATCH(M$1,INDIRECT("Table!A" &amp; $AM65):INDIRECT("Table!" &amp; $AP$108 &amp; $AM65),0)))))</f>
        <v>2.8403518502961789</v>
      </c>
      <c r="N65" s="273">
        <f ca="1">IF(ISERROR(MATCH(N$1,INDIRECT("Table!A"&amp;$AM65):INDIRECT("Table!" &amp; $AP$108 &amp; $AM65),0)),"",INDIRECT(CONCATENATE("Table!",ADDRESS($AI65,MATCH(N$1,INDIRECT("Table!A" &amp; $AM65):INDIRECT("Table!" &amp; $AP$108 &amp; $AM65),0)))))</f>
        <v>1.6404750708961806</v>
      </c>
      <c r="O65" s="273">
        <f ca="1">IF(ISERROR(MATCH(O$1,INDIRECT("Table!A"&amp;$AM65):INDIRECT("Table!" &amp; $AP$86 &amp; $AM65),0)),"",INDIRECT(CONCATENATE("Table!",ADDRESS($AI65,MATCH(O$1,INDIRECT("Table!A" &amp; $AM65):INDIRECT("Table!" &amp; $AP$86 &amp; $AM65),0)))))</f>
        <v>0.91593641819731275</v>
      </c>
      <c r="P65" s="273">
        <f ca="1">IF(ISERROR(MATCH(P$1,INDIRECT("Table!A"&amp;$AM65):INDIRECT("Table!" &amp; $AP$86 &amp; $AM65),0)),"",INDIRECT(CONCATENATE("Table!",ADDRESS($AI65,MATCH(P$1,INDIRECT("Table!A" &amp; $AM65):INDIRECT("Table!" &amp; $AP$86 &amp; $AM65),0)))))</f>
        <v>0.39126858833797107</v>
      </c>
      <c r="Q65" s="273">
        <f ca="1">IF(ISERROR(MATCH(Q$1,INDIRECT("Table!A"&amp;$AM65):INDIRECT("Table!" &amp; $AP$86 &amp; $AM65),0)),"",INDIRECT(CONCATENATE("Table!",ADDRESS($AI65,MATCH(Q$1,INDIRECT("Table!A" &amp; $AM65):INDIRECT("Table!" &amp; $AP$86 &amp; $AM65),0)))))</f>
        <v>0.1066916885030077</v>
      </c>
      <c r="R65" s="273">
        <f ca="1">IF(ISERROR(MATCH(R$1,INDIRECT("Table!A"&amp;$AM65):INDIRECT("Table!" &amp; $AP$86 &amp; $AM65),0)),"",INDIRECT(CONCATENATE("Table!",ADDRESS($AI65,MATCH(R$1,INDIRECT("Table!A" &amp; $AM65):INDIRECT("Table!" &amp; $AP$86 &amp; $AM65),0)))))</f>
        <v>5.1059286741879303E-2</v>
      </c>
      <c r="S65" s="596" t="str">
        <f ca="1">IF(ISERROR(MATCH(S$1,INDIRECT("Table!A"&amp;$AM65):INDIRECT("Table!" &amp; $AP$65 &amp; $AM65),0)),"",INDIRECT(CONCATENATE("Table!",ADDRESS($AI65,MATCH(S$1,INDIRECT("Table!A" &amp; $AM65):INDIRECT("Table!" &amp; $AP$65 &amp; $AM65),0)))))</f>
        <v/>
      </c>
      <c r="T65" s="273">
        <f ca="1">IF(ISERROR(MATCH(T$1,INDIRECT("Table!A"&amp;$AM65):INDIRECT("Table!" &amp; $AP$65 &amp; $AM65),0)),"",INDIRECT(CONCATENATE("Table!",ADDRESS($AI65,MATCH(T$1,INDIRECT("Table!A" &amp; $AM65):INDIRECT("Table!" &amp; $AP$65 &amp; $AM65),0)))))</f>
        <v>0.50742859733156043</v>
      </c>
      <c r="U65" s="596" t="str">
        <f ca="1">IF(ISERROR(MATCH(U$1,INDIRECT("Table!A"&amp;$AM65):INDIRECT("Table!" &amp; $AP$65 &amp; $AM65),0)),"",INDIRECT(CONCATENATE("Table!",ADDRESS($AI65,MATCH(U$1,INDIRECT("Table!A" &amp; $AM65):INDIRECT("Table!" &amp; $AP$65 &amp; $AM65),0)))))</f>
        <v/>
      </c>
      <c r="V65" s="596"/>
      <c r="W65" s="596"/>
      <c r="X65" s="596"/>
      <c r="Y65" s="596"/>
      <c r="Z65" s="596"/>
      <c r="AA65" s="596"/>
      <c r="AB65" s="596"/>
      <c r="AC65" s="596"/>
      <c r="AD65" s="596"/>
      <c r="AE65" s="596"/>
      <c r="AF65" s="596"/>
      <c r="AG65" s="596"/>
      <c r="AH65" s="596"/>
      <c r="AI65" s="272">
        <f>MATCH($A65,Table!$A:$A,0)+$AK$2-1</f>
        <v>888</v>
      </c>
      <c r="AJ65" s="369"/>
      <c r="AK65" s="369"/>
      <c r="AL65" s="369"/>
      <c r="AM65" s="272">
        <f>MATCH($A65,Table!$A:$A,0)+$AO$2-1</f>
        <v>879</v>
      </c>
      <c r="AN65" s="369"/>
      <c r="AO65" s="369"/>
      <c r="AP65" s="973" t="s">
        <v>302</v>
      </c>
    </row>
    <row r="66" spans="1:42" s="267" customFormat="1" ht="19.5" customHeight="1" x14ac:dyDescent="0.25">
      <c r="A66" s="268">
        <v>41449</v>
      </c>
      <c r="B66" s="596">
        <f ca="1">IF(ISERROR(MATCH(B$1,INDIRECT("Table!A"&amp;$AM66):INDIRECT("Table!" &amp; $AP$108 &amp; $AM66),0)),"",INDIRECT(CONCATENATE("Table!",ADDRESS($AI66,MATCH(B$1,INDIRECT("Table!A" &amp; $AM66):INDIRECT("Table!" &amp; $AP$108 &amp; $AM66),0)))))</f>
        <v>1.2782047380276582</v>
      </c>
      <c r="C66" s="273">
        <f ca="1">IF(ISERROR(MATCH(C$1,INDIRECT("Table!A"&amp;$AM66):INDIRECT("Table!" &amp; $AP$108 &amp; $AM66),0)),"",INDIRECT(CONCATENATE("Table!",ADDRESS($AI66,MATCH(C$1,INDIRECT("Table!A" &amp; $AM66):INDIRECT("Table!" &amp; $AP$108 &amp; $AM66),0)))))</f>
        <v>0.61691903954843541</v>
      </c>
      <c r="D66" s="273">
        <f ca="1">IF(ISERROR(MATCH(D$1,INDIRECT("Table!A"&amp;$AM66):INDIRECT("Table!" &amp; $AP$108 &amp; $AM66),0)),"",INDIRECT(CONCATENATE("Table!",ADDRESS($AI66,MATCH(D$1,INDIRECT("Table!A" &amp; $AM66):INDIRECT("Table!" &amp; $AP$108 &amp; $AM66),0)))))</f>
        <v>0.62386329888975767</v>
      </c>
      <c r="E66" s="273">
        <f ca="1">IF(ISERROR(MATCH(E$1,INDIRECT("Table!A"&amp;$AM66):INDIRECT("Table!" &amp; $AP$108 &amp; $AM66),0)),"",INDIRECT(CONCATENATE("Table!",ADDRESS($AI66,MATCH(E$1,INDIRECT("Table!A" &amp; $AM66):INDIRECT("Table!" &amp; $AP$108 &amp; $AM66),0)))))</f>
        <v>1.5217295923357315</v>
      </c>
      <c r="F66" s="273">
        <f ca="1">IF(ISERROR(MATCH(F$1,INDIRECT("Table!A"&amp;$AM66):INDIRECT("Table!" &amp; $AP$108 &amp; $AM66),0)),"",INDIRECT(CONCATENATE("Table!",ADDRESS($AI66,MATCH(F$1,INDIRECT("Table!A" &amp; $AM66):INDIRECT("Table!" &amp; $AP$108 &amp; $AM66),0)))))</f>
        <v>1.5805687553829648</v>
      </c>
      <c r="G66" s="273">
        <f ca="1">IF(ISERROR(MATCH(G$1,INDIRECT("Table!A"&amp;$AM66):INDIRECT("Table!" &amp; $AP$108 &amp; $AM66),0)),"",INDIRECT(CONCATENATE("Table!",ADDRESS($AI66,MATCH(G$1,INDIRECT("Table!A" &amp; $AM66):INDIRECT("Table!" &amp; $AP$108 &amp; $AM66),0)))))</f>
        <v>3.5022755498441343</v>
      </c>
      <c r="H66" s="273">
        <f ca="1">IF(ISERROR(MATCH(H$1,INDIRECT("Table!A"&amp;$AM66):INDIRECT("Table!" &amp; $AP$108 &amp; $AM66),0)),"",INDIRECT(CONCATENATE("Table!",ADDRESS($AI66,MATCH(H$1,INDIRECT("Table!A" &amp; $AM66):INDIRECT("Table!" &amp; $AP$108 &amp; $AM66),0)))))</f>
        <v>0.8261196090978109</v>
      </c>
      <c r="I66" s="273">
        <f ca="1">IF(ISERROR(MATCH(I$1,INDIRECT("Table!A"&amp;$AM66):INDIRECT("Table!" &amp; $AP$86 &amp; $AM66),0)),"",INDIRECT(CONCATENATE("Table!",ADDRESS($AI66,MATCH(I$1,INDIRECT("Table!A" &amp; $AM66):INDIRECT("Table!" &amp; $AP$86 &amp; $AM66),0)))))</f>
        <v>0.10556081315898425</v>
      </c>
      <c r="J66" s="273">
        <f ca="1">IF(ISERROR(MATCH(J$1,INDIRECT("Table!A"&amp;$AM66):INDIRECT("Table!" &amp; $AP$86 &amp; $AM66),0)),"",INDIRECT(CONCATENATE("Table!",ADDRESS($AI66,MATCH(J$1,INDIRECT("Table!A" &amp; $AM66):INDIRECT("Table!" &amp; $AP$86 &amp; $AM66),0)))))</f>
        <v>0.18498239398517069</v>
      </c>
      <c r="K66" s="273">
        <f ca="1">IF(ISERROR(MATCH(K$1,INDIRECT("Table!A"&amp;$AM66):INDIRECT("Table!" &amp; $AP$86 &amp; $AM66),0)),"",INDIRECT(CONCATENATE("Table!",ADDRESS($AI66,MATCH(K$1,INDIRECT("Table!A" &amp; $AM66):INDIRECT("Table!" &amp; $AP$86 &amp; $AM66),0)))))</f>
        <v>2.2210789732717496E-2</v>
      </c>
      <c r="L66" s="273">
        <f ca="1">IF(ISERROR(MATCH(L$1,INDIRECT("Table!A"&amp;$AM66):INDIRECT("Table!" &amp; $AP$108 &amp; $AM66),0)),"",INDIRECT(CONCATENATE("Table!",ADDRESS($AI66,MATCH(L$1,INDIRECT("Table!A" &amp; $AM66):INDIRECT("Table!" &amp; $AP$108 &amp; $AM66),0)))))</f>
        <v>1.4590447813308975</v>
      </c>
      <c r="M66" s="273">
        <f ca="1">IF(ISERROR(MATCH(M$1,INDIRECT("Table!A"&amp;$AM66):INDIRECT("Table!" &amp; $AP$108 &amp; $AM66),0)),"",INDIRECT(CONCATENATE("Table!",ADDRESS($AI66,MATCH(M$1,INDIRECT("Table!A" &amp; $AM66):INDIRECT("Table!" &amp; $AP$108 &amp; $AM66),0)))))</f>
        <v>2.8403518502961789</v>
      </c>
      <c r="N66" s="273">
        <f ca="1">IF(ISERROR(MATCH(N$1,INDIRECT("Table!A"&amp;$AM66):INDIRECT("Table!" &amp; $AP$108 &amp; $AM66),0)),"",INDIRECT(CONCATENATE("Table!",ADDRESS($AI66,MATCH(N$1,INDIRECT("Table!A" &amp; $AM66):INDIRECT("Table!" &amp; $AP$108 &amp; $AM66),0)))))</f>
        <v>1.6404750708961806</v>
      </c>
      <c r="O66" s="273">
        <f ca="1">IF(ISERROR(MATCH(O$1,INDIRECT("Table!A"&amp;$AM66):INDIRECT("Table!" &amp; $AP$86 &amp; $AM66),0)),"",INDIRECT(CONCATENATE("Table!",ADDRESS($AI66,MATCH(O$1,INDIRECT("Table!A" &amp; $AM66):INDIRECT("Table!" &amp; $AP$86 &amp; $AM66),0)))))</f>
        <v>0.91593641819731275</v>
      </c>
      <c r="P66" s="273">
        <f ca="1">IF(ISERROR(MATCH(P$1,INDIRECT("Table!A"&amp;$AM66):INDIRECT("Table!" &amp; $AP$86 &amp; $AM66),0)),"",INDIRECT(CONCATENATE("Table!",ADDRESS($AI66,MATCH(P$1,INDIRECT("Table!A" &amp; $AM66):INDIRECT("Table!" &amp; $AP$86 &amp; $AM66),0)))))</f>
        <v>0.39126858833797107</v>
      </c>
      <c r="Q66" s="273">
        <f ca="1">IF(ISERROR(MATCH(Q$1,INDIRECT("Table!A"&amp;$AM66):INDIRECT("Table!" &amp; $AP$86 &amp; $AM66),0)),"",INDIRECT(CONCATENATE("Table!",ADDRESS($AI66,MATCH(Q$1,INDIRECT("Table!A" &amp; $AM66):INDIRECT("Table!" &amp; $AP$86 &amp; $AM66),0)))))</f>
        <v>0.1066916885030077</v>
      </c>
      <c r="R66" s="273">
        <f ca="1">IF(ISERROR(MATCH(R$1,INDIRECT("Table!A"&amp;$AM66):INDIRECT("Table!" &amp; $AP$86 &amp; $AM66),0)),"",INDIRECT(CONCATENATE("Table!",ADDRESS($AI66,MATCH(R$1,INDIRECT("Table!A" &amp; $AM66):INDIRECT("Table!" &amp; $AP$86 &amp; $AM66),0)))))</f>
        <v>5.1059286741879303E-2</v>
      </c>
      <c r="S66" s="596" t="str">
        <f ca="1">IF(ISERROR(MATCH(S$1,INDIRECT("Table!A"&amp;$AM66):INDIRECT("Table!" &amp; $AP$65 &amp; $AM66),0)),"",INDIRECT(CONCATENATE("Table!",ADDRESS($AI66,MATCH(S$1,INDIRECT("Table!A" &amp; $AM66):INDIRECT("Table!" &amp; $AP$65 &amp; $AM66),0)))))</f>
        <v/>
      </c>
      <c r="T66" s="273">
        <f ca="1">IF(ISERROR(MATCH(T$1,INDIRECT("Table!A"&amp;$AM66):INDIRECT("Table!" &amp; $AP$65 &amp; $AM66),0)),"",INDIRECT(CONCATENATE("Table!",ADDRESS($AI66,MATCH(T$1,INDIRECT("Table!A" &amp; $AM66):INDIRECT("Table!" &amp; $AP$65 &amp; $AM66),0)))))</f>
        <v>0.50742859733156043</v>
      </c>
      <c r="U66" s="596" t="str">
        <f ca="1">IF(ISERROR(MATCH(U$1,INDIRECT("Table!A"&amp;$AM66):INDIRECT("Table!" &amp; $AP$65 &amp; $AM66),0)),"",INDIRECT(CONCATENATE("Table!",ADDRESS($AI66,MATCH(U$1,INDIRECT("Table!A" &amp; $AM66):INDIRECT("Table!" &amp; $AP$65 &amp; $AM66),0)))))</f>
        <v/>
      </c>
      <c r="V66" s="596"/>
      <c r="W66" s="596"/>
      <c r="X66" s="596"/>
      <c r="Y66" s="596"/>
      <c r="Z66" s="596"/>
      <c r="AA66" s="596"/>
      <c r="AB66" s="596"/>
      <c r="AC66" s="596"/>
      <c r="AD66" s="596"/>
      <c r="AE66" s="596"/>
      <c r="AF66" s="596"/>
      <c r="AG66" s="596"/>
      <c r="AH66" s="596"/>
      <c r="AI66" s="272">
        <f>MATCH($A66,Table!$A:$A,0)+$AK$2-1</f>
        <v>900</v>
      </c>
      <c r="AJ66" s="412"/>
      <c r="AK66" s="412"/>
      <c r="AL66" s="412"/>
      <c r="AM66" s="272">
        <f>MATCH($A66,Table!$A:$A,0)+$AO$2-1</f>
        <v>891</v>
      </c>
      <c r="AN66" s="412"/>
      <c r="AO66" s="412"/>
      <c r="AP66" s="973" t="s">
        <v>302</v>
      </c>
    </row>
    <row r="67" spans="1:42" s="267" customFormat="1" ht="19.5" customHeight="1" x14ac:dyDescent="0.25">
      <c r="A67" s="268">
        <v>41445</v>
      </c>
      <c r="B67" s="596">
        <f ca="1">IF(ISERROR(MATCH(B$1,INDIRECT("Table!A"&amp;$AM67):INDIRECT("Table!" &amp; $AP$108 &amp; $AM67),0)),"",INDIRECT(CONCATENATE("Table!",ADDRESS($AI67,MATCH(B$1,INDIRECT("Table!A" &amp; $AM67):INDIRECT("Table!" &amp; $AP$108 &amp; $AM67),0)))))</f>
        <v>1.2711506279943929</v>
      </c>
      <c r="C67" s="273">
        <f ca="1">IF(ISERROR(MATCH(C$1,INDIRECT("Table!A"&amp;$AM67):INDIRECT("Table!" &amp; $AP$108 &amp; $AM67),0)),"",INDIRECT(CONCATENATE("Table!",ADDRESS($AI67,MATCH(C$1,INDIRECT("Table!A" &amp; $AM67):INDIRECT("Table!" &amp; $AP$108 &amp; $AM67),0)))))</f>
        <v>0.60504659615843281</v>
      </c>
      <c r="D67" s="273">
        <f ca="1">IF(ISERROR(MATCH(D$1,INDIRECT("Table!A"&amp;$AM67):INDIRECT("Table!" &amp; $AP$108 &amp; $AM67),0)),"",INDIRECT(CONCATENATE("Table!",ADDRESS($AI67,MATCH(D$1,INDIRECT("Table!A" &amp; $AM67):INDIRECT("Table!" &amp; $AP$108 &amp; $AM67),0)))))</f>
        <v>0.61199085549975507</v>
      </c>
      <c r="E67" s="273">
        <f ca="1">IF(ISERROR(MATCH(E$1,INDIRECT("Table!A"&amp;$AM67):INDIRECT("Table!" &amp; $AP$108 &amp; $AM67),0)),"",INDIRECT(CONCATENATE("Table!",ADDRESS($AI67,MATCH(E$1,INDIRECT("Table!A" &amp; $AM67):INDIRECT("Table!" &amp; $AP$108 &amp; $AM67),0)))))</f>
        <v>1.5217295923357315</v>
      </c>
      <c r="F67" s="273">
        <f ca="1">IF(ISERROR(MATCH(F$1,INDIRECT("Table!A"&amp;$AM67):INDIRECT("Table!" &amp; $AP$108 &amp; $AM67),0)),"",INDIRECT(CONCATENATE("Table!",ADDRESS($AI67,MATCH(F$1,INDIRECT("Table!A" &amp; $AM67):INDIRECT("Table!" &amp; $AP$108 &amp; $AM67),0)))))</f>
        <v>1.5805687553829648</v>
      </c>
      <c r="G67" s="273">
        <f ca="1">IF(ISERROR(MATCH(G$1,INDIRECT("Table!A"&amp;$AM67):INDIRECT("Table!" &amp; $AP$108 &amp; $AM67),0)),"",INDIRECT(CONCATENATE("Table!",ADDRESS($AI67,MATCH(G$1,INDIRECT("Table!A" &amp; $AM67):INDIRECT("Table!" &amp; $AP$108 &amp; $AM67),0)))))</f>
        <v>3.4849236564095691</v>
      </c>
      <c r="H67" s="273">
        <f ca="1">IF(ISERROR(MATCH(H$1,INDIRECT("Table!A"&amp;$AM67):INDIRECT("Table!" &amp; $AP$108 &amp; $AM67),0)),"",INDIRECT(CONCATENATE("Table!",ADDRESS($AI67,MATCH(H$1,INDIRECT("Table!A" &amp; $AM67):INDIRECT("Table!" &amp; $AP$108 &amp; $AM67),0)))))</f>
        <v>0.8245419158839693</v>
      </c>
      <c r="I67" s="273">
        <f ca="1">IF(ISERROR(MATCH(I$1,INDIRECT("Table!A"&amp;$AM67):INDIRECT("Table!" &amp; $AP$86 &amp; $AM67),0)),"",INDIRECT(CONCATENATE("Table!",ADDRESS($AI67,MATCH(I$1,INDIRECT("Table!A" &amp; $AM67):INDIRECT("Table!" &amp; $AP$86 &amp; $AM67),0)))))</f>
        <v>0.10556081315898425</v>
      </c>
      <c r="J67" s="273">
        <f ca="1">IF(ISERROR(MATCH(J$1,INDIRECT("Table!A"&amp;$AM67):INDIRECT("Table!" &amp; $AP$86 &amp; $AM67),0)),"",INDIRECT(CONCATENATE("Table!",ADDRESS($AI67,MATCH(J$1,INDIRECT("Table!A" &amp; $AM67):INDIRECT("Table!" &amp; $AP$86 &amp; $AM67),0)))))</f>
        <v>0.13390244298334839</v>
      </c>
      <c r="K67" s="273">
        <f ca="1">IF(ISERROR(MATCH(K$1,INDIRECT("Table!A"&amp;$AM67):INDIRECT("Table!" &amp; $AP$86 &amp; $AM67),0)),"",INDIRECT(CONCATENATE("Table!",ADDRESS($AI67,MATCH(K$1,INDIRECT("Table!A" &amp; $AM67):INDIRECT("Table!" &amp; $AP$86 &amp; $AM67),0)))))</f>
        <v>2.2210789732717496E-2</v>
      </c>
      <c r="L67" s="273">
        <f ca="1">IF(ISERROR(MATCH(L$1,INDIRECT("Table!A"&amp;$AM67):INDIRECT("Table!" &amp; $AP$108 &amp; $AM67),0)),"",INDIRECT(CONCATENATE("Table!",ADDRESS($AI67,MATCH(L$1,INDIRECT("Table!A" &amp; $AM67):INDIRECT("Table!" &amp; $AP$108 &amp; $AM67),0)))))</f>
        <v>1.4590447813308975</v>
      </c>
      <c r="M67" s="273">
        <f ca="1">IF(ISERROR(MATCH(M$1,INDIRECT("Table!A"&amp;$AM67):INDIRECT("Table!" &amp; $AP$108 &amp; $AM67),0)),"",INDIRECT(CONCATENATE("Table!",ADDRESS($AI67,MATCH(M$1,INDIRECT("Table!A" &amp; $AM67):INDIRECT("Table!" &amp; $AP$108 &amp; $AM67),0)))))</f>
        <v>2.8403518502961789</v>
      </c>
      <c r="N67" s="273">
        <f ca="1">IF(ISERROR(MATCH(N$1,INDIRECT("Table!A"&amp;$AM67):INDIRECT("Table!" &amp; $AP$108 &amp; $AM67),0)),"",INDIRECT(CONCATENATE("Table!",ADDRESS($AI67,MATCH(N$1,INDIRECT("Table!A" &amp; $AM67):INDIRECT("Table!" &amp; $AP$108 &amp; $AM67),0)))))</f>
        <v>1.6404750708961806</v>
      </c>
      <c r="O67" s="273">
        <f ca="1">IF(ISERROR(MATCH(O$1,INDIRECT("Table!A"&amp;$AM67):INDIRECT("Table!" &amp; $AP$86 &amp; $AM67),0)),"",INDIRECT(CONCATENATE("Table!",ADDRESS($AI67,MATCH(O$1,INDIRECT("Table!A" &amp; $AM67):INDIRECT("Table!" &amp; $AP$86 &amp; $AM67),0)))))</f>
        <v>0.91581414661565519</v>
      </c>
      <c r="P67" s="273">
        <f ca="1">IF(ISERROR(MATCH(P$1,INDIRECT("Table!A"&amp;$AM67):INDIRECT("Table!" &amp; $AP$86 &amp; $AM67),0)),"",INDIRECT(CONCATENATE("Table!",ADDRESS($AI67,MATCH(P$1,INDIRECT("Table!A" &amp; $AM67):INDIRECT("Table!" &amp; $AP$86 &amp; $AM67),0)))))</f>
        <v>0.39126858833797107</v>
      </c>
      <c r="Q67" s="273">
        <f ca="1">IF(ISERROR(MATCH(Q$1,INDIRECT("Table!A"&amp;$AM67):INDIRECT("Table!" &amp; $AP$86 &amp; $AM67),0)),"",INDIRECT(CONCATENATE("Table!",ADDRESS($AI67,MATCH(Q$1,INDIRECT("Table!A" &amp; $AM67):INDIRECT("Table!" &amp; $AP$86 &amp; $AM67),0)))))</f>
        <v>6.7262151447548324E-2</v>
      </c>
      <c r="R67" s="273">
        <f ca="1">IF(ISERROR(MATCH(R$1,INDIRECT("Table!A"&amp;$AM67):INDIRECT("Table!" &amp; $AP$86 &amp; $AM67),0)),"",INDIRECT(CONCATENATE("Table!",ADDRESS($AI67,MATCH(R$1,INDIRECT("Table!A" &amp; $AM67):INDIRECT("Table!" &amp; $AP$86 &amp; $AM67),0)))))</f>
        <v>5.1059286741879303E-2</v>
      </c>
      <c r="S67" s="596" t="str">
        <f ca="1">IF(ISERROR(MATCH(S$1,INDIRECT("Table!A"&amp;$AM67):INDIRECT("Table!" &amp; $AP$65 &amp; $AM67),0)),"",INDIRECT(CONCATENATE("Table!",ADDRESS($AI67,MATCH(S$1,INDIRECT("Table!A" &amp; $AM67):INDIRECT("Table!" &amp; $AP$65 &amp; $AM67),0)))))</f>
        <v/>
      </c>
      <c r="T67" s="273">
        <f ca="1">IF(ISERROR(MATCH(T$1,INDIRECT("Table!A"&amp;$AM67):INDIRECT("Table!" &amp; $AP$65 &amp; $AM67),0)),"",INDIRECT(CONCATENATE("Table!",ADDRESS($AI67,MATCH(T$1,INDIRECT("Table!A" &amp; $AM67):INDIRECT("Table!" &amp; $AP$65 &amp; $AM67),0)))))</f>
        <v>0.50742859733156043</v>
      </c>
      <c r="U67" s="596" t="str">
        <f ca="1">IF(ISERROR(MATCH(U$1,INDIRECT("Table!A"&amp;$AM67):INDIRECT("Table!" &amp; $AP$65 &amp; $AM67),0)),"",INDIRECT(CONCATENATE("Table!",ADDRESS($AI67,MATCH(U$1,INDIRECT("Table!A" &amp; $AM67):INDIRECT("Table!" &amp; $AP$65 &amp; $AM67),0)))))</f>
        <v/>
      </c>
      <c r="V67" s="596"/>
      <c r="W67" s="596"/>
      <c r="X67" s="596"/>
      <c r="Y67" s="596"/>
      <c r="Z67" s="596"/>
      <c r="AA67" s="596"/>
      <c r="AB67" s="596"/>
      <c r="AC67" s="596"/>
      <c r="AD67" s="596"/>
      <c r="AE67" s="596"/>
      <c r="AF67" s="596"/>
      <c r="AG67" s="596"/>
      <c r="AH67" s="596"/>
      <c r="AI67" s="272">
        <f>MATCH($A67,Table!$A:$A,0)+$AK$2-1</f>
        <v>912</v>
      </c>
      <c r="AJ67" s="407"/>
      <c r="AK67" s="407"/>
      <c r="AL67" s="407"/>
      <c r="AM67" s="272">
        <f>MATCH($A67,Table!$A:$A,0)+$AO$2-1</f>
        <v>903</v>
      </c>
      <c r="AN67" s="407"/>
      <c r="AO67" s="407"/>
      <c r="AP67" s="973" t="s">
        <v>302</v>
      </c>
    </row>
    <row r="68" spans="1:42" s="267" customFormat="1" ht="19.5" customHeight="1" x14ac:dyDescent="0.25">
      <c r="A68" s="268">
        <v>41443</v>
      </c>
      <c r="B68" s="596">
        <f ca="1">IF(ISERROR(MATCH(B$1,INDIRECT("Table!A"&amp;$AM68):INDIRECT("Table!" &amp; $AP$108 &amp; $AM68),0)),"",INDIRECT(CONCATENATE("Table!",ADDRESS($AI68,MATCH(B$1,INDIRECT("Table!A" &amp; $AM68):INDIRECT("Table!" &amp; $AP$108 &amp; $AM68),0)))))</f>
        <v>1.2711506279943929</v>
      </c>
      <c r="C68" s="273">
        <f ca="1">IF(ISERROR(MATCH(C$1,INDIRECT("Table!A"&amp;$AM68):INDIRECT("Table!" &amp; $AP$108 &amp; $AM68),0)),"",INDIRECT(CONCATENATE("Table!",ADDRESS($AI68,MATCH(C$1,INDIRECT("Table!A" &amp; $AM68):INDIRECT("Table!" &amp; $AP$108 &amp; $AM68),0)))))</f>
        <v>0.60504659615843281</v>
      </c>
      <c r="D68" s="273">
        <f ca="1">IF(ISERROR(MATCH(D$1,INDIRECT("Table!A"&amp;$AM68):INDIRECT("Table!" &amp; $AP$108 &amp; $AM68),0)),"",INDIRECT(CONCATENATE("Table!",ADDRESS($AI68,MATCH(D$1,INDIRECT("Table!A" &amp; $AM68):INDIRECT("Table!" &amp; $AP$108 &amp; $AM68),0)))))</f>
        <v>0.61199085549975507</v>
      </c>
      <c r="E68" s="273">
        <f ca="1">IF(ISERROR(MATCH(E$1,INDIRECT("Table!A"&amp;$AM68):INDIRECT("Table!" &amp; $AP$108 &amp; $AM68),0)),"",INDIRECT(CONCATENATE("Table!",ADDRESS($AI68,MATCH(E$1,INDIRECT("Table!A" &amp; $AM68):INDIRECT("Table!" &amp; $AP$108 &amp; $AM68),0)))))</f>
        <v>1.5217295923357315</v>
      </c>
      <c r="F68" s="273">
        <f ca="1">IF(ISERROR(MATCH(F$1,INDIRECT("Table!A"&amp;$AM68):INDIRECT("Table!" &amp; $AP$108 &amp; $AM68),0)),"",INDIRECT(CONCATENATE("Table!",ADDRESS($AI68,MATCH(F$1,INDIRECT("Table!A" &amp; $AM68):INDIRECT("Table!" &amp; $AP$108 &amp; $AM68),0)))))</f>
        <v>1.5805687553829648</v>
      </c>
      <c r="G68" s="273">
        <f ca="1">IF(ISERROR(MATCH(G$1,INDIRECT("Table!A"&amp;$AM68):INDIRECT("Table!" &amp; $AP$108 &amp; $AM68),0)),"",INDIRECT(CONCATENATE("Table!",ADDRESS($AI68,MATCH(G$1,INDIRECT("Table!A" &amp; $AM68):INDIRECT("Table!" &amp; $AP$108 &amp; $AM68),0)))))</f>
        <v>3.4849236564095691</v>
      </c>
      <c r="H68" s="273">
        <f ca="1">IF(ISERROR(MATCH(H$1,INDIRECT("Table!A"&amp;$AM68):INDIRECT("Table!" &amp; $AP$108 &amp; $AM68),0)),"",INDIRECT(CONCATENATE("Table!",ADDRESS($AI68,MATCH(H$1,INDIRECT("Table!A" &amp; $AM68):INDIRECT("Table!" &amp; $AP$108 &amp; $AM68),0)))))</f>
        <v>0.81921720128725395</v>
      </c>
      <c r="I68" s="273">
        <f ca="1">IF(ISERROR(MATCH(I$1,INDIRECT("Table!A"&amp;$AM68):INDIRECT("Table!" &amp; $AP$86 &amp; $AM68),0)),"",INDIRECT(CONCATENATE("Table!",ADDRESS($AI68,MATCH(I$1,INDIRECT("Table!A" &amp; $AM68):INDIRECT("Table!" &amp; $AP$86 &amp; $AM68),0)))))</f>
        <v>8.7016345982405929E-2</v>
      </c>
      <c r="J68" s="273">
        <f ca="1">IF(ISERROR(MATCH(J$1,INDIRECT("Table!A"&amp;$AM68):INDIRECT("Table!" &amp; $AP$86 &amp; $AM68),0)),"",INDIRECT(CONCATENATE("Table!",ADDRESS($AI68,MATCH(J$1,INDIRECT("Table!A" &amp; $AM68):INDIRECT("Table!" &amp; $AP$86 &amp; $AM68),0)))))</f>
        <v>0.13390244298334839</v>
      </c>
      <c r="K68" s="273">
        <f ca="1">IF(ISERROR(MATCH(K$1,INDIRECT("Table!A"&amp;$AM68):INDIRECT("Table!" &amp; $AP$86 &amp; $AM68),0)),"",INDIRECT(CONCATENATE("Table!",ADDRESS($AI68,MATCH(K$1,INDIRECT("Table!A" &amp; $AM68):INDIRECT("Table!" &amp; $AP$86 &amp; $AM68),0)))))</f>
        <v>2.2210789732717496E-2</v>
      </c>
      <c r="L68" s="273">
        <f ca="1">IF(ISERROR(MATCH(L$1,INDIRECT("Table!A"&amp;$AM68):INDIRECT("Table!" &amp; $AP$108 &amp; $AM68),0)),"",INDIRECT(CONCATENATE("Table!",ADDRESS($AI68,MATCH(L$1,INDIRECT("Table!A" &amp; $AM68):INDIRECT("Table!" &amp; $AP$108 &amp; $AM68),0)))))</f>
        <v>1.4590447813308975</v>
      </c>
      <c r="M68" s="273">
        <f ca="1">IF(ISERROR(MATCH(M$1,INDIRECT("Table!A"&amp;$AM68):INDIRECT("Table!" &amp; $AP$108 &amp; $AM68),0)),"",INDIRECT(CONCATENATE("Table!",ADDRESS($AI68,MATCH(M$1,INDIRECT("Table!A" &amp; $AM68):INDIRECT("Table!" &amp; $AP$108 &amp; $AM68),0)))))</f>
        <v>2.8403518502961789</v>
      </c>
      <c r="N68" s="273">
        <f ca="1">IF(ISERROR(MATCH(N$1,INDIRECT("Table!A"&amp;$AM68):INDIRECT("Table!" &amp; $AP$108 &amp; $AM68),0)),"",INDIRECT(CONCATENATE("Table!",ADDRESS($AI68,MATCH(N$1,INDIRECT("Table!A" &amp; $AM68):INDIRECT("Table!" &amp; $AP$108 &amp; $AM68),0)))))</f>
        <v>1.6404750708961806</v>
      </c>
      <c r="O68" s="273">
        <f ca="1">IF(ISERROR(MATCH(O$1,INDIRECT("Table!A"&amp;$AM68):INDIRECT("Table!" &amp; $AP$86 &amp; $AM68),0)),"",INDIRECT(CONCATENATE("Table!",ADDRESS($AI68,MATCH(O$1,INDIRECT("Table!A" &amp; $AM68):INDIRECT("Table!" &amp; $AP$86 &amp; $AM68),0)))))</f>
        <v>0.90970056753277362</v>
      </c>
      <c r="P68" s="273">
        <f ca="1">IF(ISERROR(MATCH(P$1,INDIRECT("Table!A"&amp;$AM68):INDIRECT("Table!" &amp; $AP$86 &amp; $AM68),0)),"",INDIRECT(CONCATENATE("Table!",ADDRESS($AI68,MATCH(P$1,INDIRECT("Table!A" &amp; $AM68):INDIRECT("Table!" &amp; $AP$86 &amp; $AM68),0)))))</f>
        <v>0.35417958673510092</v>
      </c>
      <c r="Q68" s="273">
        <f ca="1">IF(ISERROR(MATCH(Q$1,INDIRECT("Table!A"&amp;$AM68):INDIRECT("Table!" &amp; $AP$86 &amp; $AM68),0)),"",INDIRECT(CONCATENATE("Table!",ADDRESS($AI68,MATCH(Q$1,INDIRECT("Table!A" &amp; $AM68):INDIRECT("Table!" &amp; $AP$86 &amp; $AM68),0)))))</f>
        <v>6.7262151447548324E-2</v>
      </c>
      <c r="R68" s="273">
        <f ca="1">IF(ISERROR(MATCH(R$1,INDIRECT("Table!A"&amp;$AM68):INDIRECT("Table!" &amp; $AP$86 &amp; $AM68),0)),"",INDIRECT(CONCATENATE("Table!",ADDRESS($AI68,MATCH(R$1,INDIRECT("Table!A" &amp; $AM68):INDIRECT("Table!" &amp; $AP$86 &amp; $AM68),0)))))</f>
        <v>5.1059286741879303E-2</v>
      </c>
      <c r="S68" s="596" t="str">
        <f ca="1">IF(ISERROR(MATCH(S$1,INDIRECT("Table!A"&amp;$AM68):INDIRECT("Table!" &amp; $AP$65 &amp; $AM68),0)),"",INDIRECT(CONCATENATE("Table!",ADDRESS($AI68,MATCH(S$1,INDIRECT("Table!A" &amp; $AM68):INDIRECT("Table!" &amp; $AP$65 &amp; $AM68),0)))))</f>
        <v/>
      </c>
      <c r="T68" s="273">
        <f ca="1">IF(ISERROR(MATCH(T$1,INDIRECT("Table!A"&amp;$AM68):INDIRECT("Table!" &amp; $AP$65 &amp; $AM68),0)),"",INDIRECT(CONCATENATE("Table!",ADDRESS($AI68,MATCH(T$1,INDIRECT("Table!A" &amp; $AM68):INDIRECT("Table!" &amp; $AP$65 &amp; $AM68),0)))))</f>
        <v>0.50742859733156043</v>
      </c>
      <c r="U68" s="596" t="str">
        <f ca="1">IF(ISERROR(MATCH(U$1,INDIRECT("Table!A"&amp;$AM68):INDIRECT("Table!" &amp; $AP$65 &amp; $AM68),0)),"",INDIRECT(CONCATENATE("Table!",ADDRESS($AI68,MATCH(U$1,INDIRECT("Table!A" &amp; $AM68):INDIRECT("Table!" &amp; $AP$65 &amp; $AM68),0)))))</f>
        <v/>
      </c>
      <c r="V68" s="596"/>
      <c r="W68" s="596"/>
      <c r="X68" s="596"/>
      <c r="Y68" s="596"/>
      <c r="Z68" s="596"/>
      <c r="AA68" s="596"/>
      <c r="AB68" s="596"/>
      <c r="AC68" s="596"/>
      <c r="AD68" s="596"/>
      <c r="AE68" s="596"/>
      <c r="AF68" s="596"/>
      <c r="AG68" s="596"/>
      <c r="AH68" s="596"/>
      <c r="AI68" s="272">
        <f>MATCH($A68,Table!$A:$A,0)+$AK$2-1</f>
        <v>924</v>
      </c>
      <c r="AJ68" s="407"/>
      <c r="AK68" s="407"/>
      <c r="AL68" s="407"/>
      <c r="AM68" s="272">
        <f>MATCH($A68,Table!$A:$A,0)+$AO$2-1</f>
        <v>915</v>
      </c>
      <c r="AN68" s="407"/>
      <c r="AO68" s="407"/>
      <c r="AP68" s="973" t="s">
        <v>302</v>
      </c>
    </row>
    <row r="69" spans="1:42" s="267" customFormat="1" ht="19.5" customHeight="1" x14ac:dyDescent="0.25">
      <c r="A69" s="268">
        <v>41437</v>
      </c>
      <c r="B69" s="596">
        <f ca="1">IF(ISERROR(MATCH(B$1,INDIRECT("Table!A"&amp;$AM69):INDIRECT("Table!" &amp; $AP$108 &amp; $AM69),0)),"",INDIRECT(CONCATENATE("Table!",ADDRESS($AI69,MATCH(B$1,INDIRECT("Table!A" &amp; $AM69):INDIRECT("Table!" &amp; $AP$108 &amp; $AM69),0)))))</f>
        <v>1.2553964489201006</v>
      </c>
      <c r="C69" s="273">
        <f ca="1">IF(ISERROR(MATCH(C$1,INDIRECT("Table!A"&amp;$AM69):INDIRECT("Table!" &amp; $AP$108 &amp; $AM69),0)),"",INDIRECT(CONCATENATE("Table!",ADDRESS($AI69,MATCH(C$1,INDIRECT("Table!A" &amp; $AM69):INDIRECT("Table!" &amp; $AP$108 &amp; $AM69),0)))))</f>
        <v>0.60191047903654538</v>
      </c>
      <c r="D69" s="273">
        <f ca="1">IF(ISERROR(MATCH(D$1,INDIRECT("Table!A"&amp;$AM69):INDIRECT("Table!" &amp; $AP$108 &amp; $AM69),0)),"",INDIRECT(CONCATENATE("Table!",ADDRESS($AI69,MATCH(D$1,INDIRECT("Table!A" &amp; $AM69):INDIRECT("Table!" &amp; $AP$108 &amp; $AM69),0)))))</f>
        <v>0.60885473837786763</v>
      </c>
      <c r="E69" s="273">
        <f ca="1">IF(ISERROR(MATCH(E$1,INDIRECT("Table!A"&amp;$AM69):INDIRECT("Table!" &amp; $AP$108 &amp; $AM69),0)),"",INDIRECT(CONCATENATE("Table!",ADDRESS($AI69,MATCH(E$1,INDIRECT("Table!A" &amp; $AM69):INDIRECT("Table!" &amp; $AP$108 &amp; $AM69),0)))))</f>
        <v>1.5276579277331923</v>
      </c>
      <c r="F69" s="273">
        <f ca="1">IF(ISERROR(MATCH(F$1,INDIRECT("Table!A"&amp;$AM69):INDIRECT("Table!" &amp; $AP$108 &amp; $AM69),0)),"",INDIRECT(CONCATENATE("Table!",ADDRESS($AI69,MATCH(F$1,INDIRECT("Table!A" &amp; $AM69):INDIRECT("Table!" &amp; $AP$108 &amp; $AM69),0)))))</f>
        <v>1.5805687553829648</v>
      </c>
      <c r="G69" s="273">
        <f ca="1">IF(ISERROR(MATCH(G$1,INDIRECT("Table!A"&amp;$AM69):INDIRECT("Table!" &amp; $AP$108 &amp; $AM69),0)),"",INDIRECT(CONCATENATE("Table!",ADDRESS($AI69,MATCH(G$1,INDIRECT("Table!A" &amp; $AM69):INDIRECT("Table!" &amp; $AP$108 &amp; $AM69),0)))))</f>
        <v>3.4772684093060851</v>
      </c>
      <c r="H69" s="273">
        <f ca="1">IF(ISERROR(MATCH(H$1,INDIRECT("Table!A"&amp;$AM69):INDIRECT("Table!" &amp; $AP$108 &amp; $AM69),0)),"",INDIRECT(CONCATENATE("Table!",ADDRESS($AI69,MATCH(H$1,INDIRECT("Table!A" &amp; $AM69):INDIRECT("Table!" &amp; $AP$108 &amp; $AM69),0)))))</f>
        <v>0.81921720128725395</v>
      </c>
      <c r="I69" s="273">
        <f ca="1">IF(ISERROR(MATCH(I$1,INDIRECT("Table!A"&amp;$AM69):INDIRECT("Table!" &amp; $AP$86 &amp; $AM69),0)),"",INDIRECT(CONCATENATE("Table!",ADDRESS($AI69,MATCH(I$1,INDIRECT("Table!A" &amp; $AM69):INDIRECT("Table!" &amp; $AP$86 &amp; $AM69),0)))))</f>
        <v>8.7016345982405929E-2</v>
      </c>
      <c r="J69" s="273">
        <f ca="1">IF(ISERROR(MATCH(J$1,INDIRECT("Table!A"&amp;$AM69):INDIRECT("Table!" &amp; $AP$86 &amp; $AM69),0)),"",INDIRECT(CONCATENATE("Table!",ADDRESS($AI69,MATCH(J$1,INDIRECT("Table!A" &amp; $AM69):INDIRECT("Table!" &amp; $AP$86 &amp; $AM69),0)))))</f>
        <v>3.2472254565444163E-2</v>
      </c>
      <c r="K69" s="273">
        <f ca="1">IF(ISERROR(MATCH(K$1,INDIRECT("Table!A"&amp;$AM69):INDIRECT("Table!" &amp; $AP$86 &amp; $AM69),0)),"",INDIRECT(CONCATENATE("Table!",ADDRESS($AI69,MATCH(K$1,INDIRECT("Table!A" &amp; $AM69):INDIRECT("Table!" &amp; $AP$86 &amp; $AM69),0)))))</f>
        <v>2.2210789732717496E-2</v>
      </c>
      <c r="L69" s="273">
        <f ca="1">IF(ISERROR(MATCH(L$1,INDIRECT("Table!A"&amp;$AM69):INDIRECT("Table!" &amp; $AP$108 &amp; $AM69),0)),"",INDIRECT(CONCATENATE("Table!",ADDRESS($AI69,MATCH(L$1,INDIRECT("Table!A" &amp; $AM69):INDIRECT("Table!" &amp; $AP$108 &amp; $AM69),0)))))</f>
        <v>1.4637609562496015</v>
      </c>
      <c r="M69" s="273">
        <f ca="1">IF(ISERROR(MATCH(M$1,INDIRECT("Table!A"&amp;$AM69):INDIRECT("Table!" &amp; $AP$108 &amp; $AM69),0)),"",INDIRECT(CONCATENATE("Table!",ADDRESS($AI69,MATCH(M$1,INDIRECT("Table!A" &amp; $AM69):INDIRECT("Table!" &amp; $AP$108 &amp; $AM69),0)))))</f>
        <v>2.8403518502961789</v>
      </c>
      <c r="N69" s="273">
        <f ca="1">IF(ISERROR(MATCH(N$1,INDIRECT("Table!A"&amp;$AM69):INDIRECT("Table!" &amp; $AP$108 &amp; $AM69),0)),"",INDIRECT(CONCATENATE("Table!",ADDRESS($AI69,MATCH(N$1,INDIRECT("Table!A" &amp; $AM69):INDIRECT("Table!" &amp; $AP$108 &amp; $AM69),0)))))</f>
        <v>1.6404750708961806</v>
      </c>
      <c r="O69" s="273">
        <f ca="1">IF(ISERROR(MATCH(O$1,INDIRECT("Table!A"&amp;$AM69):INDIRECT("Table!" &amp; $AP$86 &amp; $AM69),0)),"",INDIRECT(CONCATENATE("Table!",ADDRESS($AI69,MATCH(O$1,INDIRECT("Table!A" &amp; $AM69):INDIRECT("Table!" &amp; $AP$86 &amp; $AM69),0)))))</f>
        <v>0.90970056753277362</v>
      </c>
      <c r="P69" s="273">
        <f ca="1">IF(ISERROR(MATCH(P$1,INDIRECT("Table!A"&amp;$AM69):INDIRECT("Table!" &amp; $AP$86 &amp; $AM69),0)),"",INDIRECT(CONCATENATE("Table!",ADDRESS($AI69,MATCH(P$1,INDIRECT("Table!A" &amp; $AM69):INDIRECT("Table!" &amp; $AP$86 &amp; $AM69),0)))))</f>
        <v>0.35417958673510092</v>
      </c>
      <c r="Q69" s="273">
        <f ca="1">IF(ISERROR(MATCH(Q$1,INDIRECT("Table!A"&amp;$AM69):INDIRECT("Table!" &amp; $AP$86 &amp; $AM69),0)),"",INDIRECT(CONCATENATE("Table!",ADDRESS($AI69,MATCH(Q$1,INDIRECT("Table!A" &amp; $AM69):INDIRECT("Table!" &amp; $AP$86 &amp; $AM69),0)))))</f>
        <v>2.8546271171373292E-2</v>
      </c>
      <c r="R69" s="273">
        <f ca="1">IF(ISERROR(MATCH(R$1,INDIRECT("Table!A"&amp;$AM69):INDIRECT("Table!" &amp; $AP$86 &amp; $AM69),0)),"",INDIRECT(CONCATENATE("Table!",ADDRESS($AI69,MATCH(R$1,INDIRECT("Table!A" &amp; $AM69):INDIRECT("Table!" &amp; $AP$86 &amp; $AM69),0)))))</f>
        <v>5.3612251078973272E-3</v>
      </c>
      <c r="S69" s="596" t="str">
        <f ca="1">IF(ISERROR(MATCH(S$1,INDIRECT("Table!A"&amp;$AM69):INDIRECT("Table!" &amp; $AP$65 &amp; $AM69),0)),"",INDIRECT(CONCATENATE("Table!",ADDRESS($AI69,MATCH(S$1,INDIRECT("Table!A" &amp; $AM69):INDIRECT("Table!" &amp; $AP$65 &amp; $AM69),0)))))</f>
        <v/>
      </c>
      <c r="T69" s="273">
        <f ca="1">IF(ISERROR(MATCH(T$1,INDIRECT("Table!A"&amp;$AM69):INDIRECT("Table!" &amp; $AP$65 &amp; $AM69),0)),"",INDIRECT(CONCATENATE("Table!",ADDRESS($AI69,MATCH(T$1,INDIRECT("Table!A" &amp; $AM69):INDIRECT("Table!" &amp; $AP$65 &amp; $AM69),0)))))</f>
        <v>0.50742859733156043</v>
      </c>
      <c r="U69" s="596" t="str">
        <f ca="1">IF(ISERROR(MATCH(U$1,INDIRECT("Table!A"&amp;$AM69):INDIRECT("Table!" &amp; $AP$65 &amp; $AM69),0)),"",INDIRECT(CONCATENATE("Table!",ADDRESS($AI69,MATCH(U$1,INDIRECT("Table!A" &amp; $AM69):INDIRECT("Table!" &amp; $AP$65 &amp; $AM69),0)))))</f>
        <v/>
      </c>
      <c r="V69" s="596"/>
      <c r="W69" s="596"/>
      <c r="X69" s="596"/>
      <c r="Y69" s="596"/>
      <c r="Z69" s="596"/>
      <c r="AA69" s="596"/>
      <c r="AB69" s="596"/>
      <c r="AC69" s="596"/>
      <c r="AD69" s="596"/>
      <c r="AE69" s="596"/>
      <c r="AF69" s="596"/>
      <c r="AG69" s="596"/>
      <c r="AH69" s="596"/>
      <c r="AI69" s="272">
        <f>MATCH($A69,Table!$A:$A,0)+$AK$2-1</f>
        <v>936</v>
      </c>
      <c r="AJ69" s="388"/>
      <c r="AK69" s="388"/>
      <c r="AL69" s="388"/>
      <c r="AM69" s="272">
        <f>MATCH($A69,Table!$A:$A,0)+$AO$2-1</f>
        <v>927</v>
      </c>
      <c r="AN69" s="388"/>
      <c r="AO69" s="388"/>
      <c r="AP69" s="973" t="s">
        <v>302</v>
      </c>
    </row>
    <row r="70" spans="1:42" s="267" customFormat="1" ht="19.5" customHeight="1" x14ac:dyDescent="0.25">
      <c r="A70" s="268">
        <v>41430</v>
      </c>
      <c r="B70" s="596">
        <f ca="1">IF(ISERROR(MATCH(B$1,INDIRECT("Table!A"&amp;$AM70):INDIRECT("Table!" &amp; $AP$108 &amp; $AM70),0)),"",INDIRECT(CONCATENATE("Table!",ADDRESS($AI70,MATCH(B$1,INDIRECT("Table!A" &amp; $AM70):INDIRECT("Table!" &amp; $AP$108 &amp; $AM70),0)))))</f>
        <v>1.2554034529074802</v>
      </c>
      <c r="C70" s="273">
        <f ca="1">IF(ISERROR(MATCH(C$1,INDIRECT("Table!A"&amp;$AM70):INDIRECT("Table!" &amp; $AP$108 &amp; $AM70),0)),"",INDIRECT(CONCATENATE("Table!",ADDRESS($AI70,MATCH(C$1,INDIRECT("Table!A" &amp; $AM70):INDIRECT("Table!" &amp; $AP$108 &amp; $AM70),0)))))</f>
        <v>0.60101803930218622</v>
      </c>
      <c r="D70" s="273">
        <f ca="1">IF(ISERROR(MATCH(D$1,INDIRECT("Table!A"&amp;$AM70):INDIRECT("Table!" &amp; $AP$108 &amp; $AM70),0)),"",INDIRECT(CONCATENATE("Table!",ADDRESS($AI70,MATCH(D$1,INDIRECT("Table!A" &amp; $AM70):INDIRECT("Table!" &amp; $AP$108 &amp; $AM70),0)))))</f>
        <v>0.60796234016628159</v>
      </c>
      <c r="E70" s="273">
        <f ca="1">IF(ISERROR(MATCH(E$1,INDIRECT("Table!A"&amp;$AM70):INDIRECT("Table!" &amp; $AP$108 &amp; $AM70),0)),"",INDIRECT(CONCATENATE("Table!",ADDRESS($AI70,MATCH(E$1,INDIRECT("Table!A" &amp; $AM70):INDIRECT("Table!" &amp; $AP$108 &amp; $AM70),0)))))</f>
        <v>1.5276579277331923</v>
      </c>
      <c r="F70" s="273">
        <f ca="1">IF(ISERROR(MATCH(F$1,INDIRECT("Table!A"&amp;$AM70):INDIRECT("Table!" &amp; $AP$108 &amp; $AM70),0)),"",INDIRECT(CONCATENATE("Table!",ADDRESS($AI70,MATCH(F$1,INDIRECT("Table!A" &amp; $AM70):INDIRECT("Table!" &amp; $AP$108 &amp; $AM70),0)))))</f>
        <v>1.5769005968480378</v>
      </c>
      <c r="G70" s="273">
        <f ca="1">IF(ISERROR(MATCH(G$1,INDIRECT("Table!A"&amp;$AM70):INDIRECT("Table!" &amp; $AP$108 &amp; $AM70),0)),"",INDIRECT(CONCATENATE("Table!",ADDRESS($AI70,MATCH(G$1,INDIRECT("Table!A" &amp; $AM70):INDIRECT("Table!" &amp; $AP$108 &amp; $AM70),0)))))</f>
        <v>3.4765265643447463</v>
      </c>
      <c r="H70" s="273">
        <f ca="1">IF(ISERROR(MATCH(H$1,INDIRECT("Table!A"&amp;$AM70):INDIRECT("Table!" &amp; $AP$108 &amp; $AM70),0)),"",INDIRECT(CONCATENATE("Table!",ADDRESS($AI70,MATCH(H$1,INDIRECT("Table!A" &amp; $AM70):INDIRECT("Table!" &amp; $AP$108 &amp; $AM70),0)))))</f>
        <v>0.81921720128725395</v>
      </c>
      <c r="I70" s="273">
        <f ca="1">IF(ISERROR(MATCH(I$1,INDIRECT("Table!A"&amp;$AM70):INDIRECT("Table!" &amp; $AP$86 &amp; $AM70),0)),"",INDIRECT(CONCATENATE("Table!",ADDRESS($AI70,MATCH(I$1,INDIRECT("Table!A" &amp; $AM70):INDIRECT("Table!" &amp; $AP$86 &amp; $AM70),0)))))</f>
        <v>8.6689192240508819E-2</v>
      </c>
      <c r="J70" s="273">
        <f ca="1">IF(ISERROR(MATCH(J$1,INDIRECT("Table!A"&amp;$AM70):INDIRECT("Table!" &amp; $AP$86 &amp; $AM70),0)),"",INDIRECT(CONCATENATE("Table!",ADDRESS($AI70,MATCH(J$1,INDIRECT("Table!A" &amp; $AM70):INDIRECT("Table!" &amp; $AP$86 &amp; $AM70),0)))))</f>
        <v>3.1572815595270413E-2</v>
      </c>
      <c r="K70" s="273" t="str">
        <f ca="1">IF(ISERROR(MATCH(K$1,INDIRECT("Table!A"&amp;$AM70):INDIRECT("Table!" &amp; $AP$86 &amp; $AM70),0)),"",INDIRECT(CONCATENATE("Table!",ADDRESS($AI70,MATCH(K$1,INDIRECT("Table!A" &amp; $AM70):INDIRECT("Table!" &amp; $AP$86 &amp; $AM70),0)))))</f>
        <v/>
      </c>
      <c r="L70" s="273">
        <f ca="1">IF(ISERROR(MATCH(L$1,INDIRECT("Table!A"&amp;$AM70):INDIRECT("Table!" &amp; $AP$108 &amp; $AM70),0)),"",INDIRECT(CONCATENATE("Table!",ADDRESS($AI70,MATCH(L$1,INDIRECT("Table!A" &amp; $AM70):INDIRECT("Table!" &amp; $AP$108 &amp; $AM70),0)))))</f>
        <v>1.4637768809544778</v>
      </c>
      <c r="M70" s="273">
        <f ca="1">IF(ISERROR(MATCH(M$1,INDIRECT("Table!A"&amp;$AM70):INDIRECT("Table!" &amp; $AP$108 &amp; $AM70),0)),"",INDIRECT(CONCATENATE("Table!",ADDRESS($AI70,MATCH(M$1,INDIRECT("Table!A" &amp; $AM70):INDIRECT("Table!" &amp; $AP$108 &amp; $AM70),0)))))</f>
        <v>2.8350081963366986</v>
      </c>
      <c r="N70" s="273">
        <f ca="1">IF(ISERROR(MATCH(N$1,INDIRECT("Table!A"&amp;$AM70):INDIRECT("Table!" &amp; $AP$108 &amp; $AM70),0)),"",INDIRECT(CONCATENATE("Table!",ADDRESS($AI70,MATCH(N$1,INDIRECT("Table!A" &amp; $AM70):INDIRECT("Table!" &amp; $AP$108 &amp; $AM70),0)))))</f>
        <v>1.6368128636237811</v>
      </c>
      <c r="O70" s="273">
        <f ca="1">IF(ISERROR(MATCH(O$1,INDIRECT("Table!A"&amp;$AM70):INDIRECT("Table!" &amp; $AP$86 &amp; $AM70),0)),"",INDIRECT(CONCATENATE("Table!",ADDRESS($AI70,MATCH(O$1,INDIRECT("Table!A" &amp; $AM70):INDIRECT("Table!" &amp; $AP$86 &amp; $AM70),0)))))</f>
        <v>0.90970056753277362</v>
      </c>
      <c r="P70" s="273">
        <f ca="1">IF(ISERROR(MATCH(P$1,INDIRECT("Table!A"&amp;$AM70):INDIRECT("Table!" &amp; $AP$86 &amp; $AM70),0)),"",INDIRECT(CONCATENATE("Table!",ADDRESS($AI70,MATCH(P$1,INDIRECT("Table!A" &amp; $AM70):INDIRECT("Table!" &amp; $AP$86 &amp; $AM70),0)))))</f>
        <v>0.35284713207047291</v>
      </c>
      <c r="Q70" s="273">
        <f ca="1">IF(ISERROR(MATCH(Q$1,INDIRECT("Table!A"&amp;$AM70):INDIRECT("Table!" &amp; $AP$86 &amp; $AM70),0)),"",INDIRECT(CONCATENATE("Table!",ADDRESS($AI70,MATCH(Q$1,INDIRECT("Table!A" &amp; $AM70):INDIRECT("Table!" &amp; $AP$86 &amp; $AM70),0)))))</f>
        <v>2.8546271171373292E-2</v>
      </c>
      <c r="R70" s="273" t="str">
        <f ca="1">IF(ISERROR(MATCH(R$1,INDIRECT("Table!A"&amp;$AM70):INDIRECT("Table!" &amp; $AP$86 &amp; $AM70),0)),"",INDIRECT(CONCATENATE("Table!",ADDRESS($AI70,MATCH(R$1,INDIRECT("Table!A" &amp; $AM70):INDIRECT("Table!" &amp; $AP$86 &amp; $AM70),0)))))</f>
        <v/>
      </c>
      <c r="S70" s="596" t="str">
        <f ca="1">IF(ISERROR(MATCH(S$1,INDIRECT("Table!A"&amp;$AM70):INDIRECT("Table!" &amp; $AP$65 &amp; $AM70),0)),"",INDIRECT(CONCATENATE("Table!",ADDRESS($AI70,MATCH(S$1,INDIRECT("Table!A" &amp; $AM70):INDIRECT("Table!" &amp; $AP$65 &amp; $AM70),0)))))</f>
        <v/>
      </c>
      <c r="T70" s="273">
        <f ca="1">IF(ISERROR(MATCH(T$1,INDIRECT("Table!A"&amp;$AM70):INDIRECT("Table!" &amp; $AP$65 &amp; $AM70),0)),"",INDIRECT(CONCATENATE("Table!",ADDRESS($AI70,MATCH(T$1,INDIRECT("Table!A" &amp; $AM70):INDIRECT("Table!" &amp; $AP$65 &amp; $AM70),0)))))</f>
        <v>0.50742859733156043</v>
      </c>
      <c r="U70" s="596" t="str">
        <f ca="1">IF(ISERROR(MATCH(U$1,INDIRECT("Table!A"&amp;$AM70):INDIRECT("Table!" &amp; $AP$65 &amp; $AM70),0)),"",INDIRECT(CONCATENATE("Table!",ADDRESS($AI70,MATCH(U$1,INDIRECT("Table!A" &amp; $AM70):INDIRECT("Table!" &amp; $AP$65 &amp; $AM70),0)))))</f>
        <v/>
      </c>
      <c r="V70" s="596"/>
      <c r="W70" s="596"/>
      <c r="X70" s="596"/>
      <c r="Y70" s="596"/>
      <c r="Z70" s="596"/>
      <c r="AA70" s="596"/>
      <c r="AB70" s="596"/>
      <c r="AC70" s="596"/>
      <c r="AD70" s="596"/>
      <c r="AE70" s="596"/>
      <c r="AF70" s="596"/>
      <c r="AG70" s="596"/>
      <c r="AH70" s="596"/>
      <c r="AI70" s="272">
        <f>MATCH($A70,Table!$A:$A,0)+$AK$2-1</f>
        <v>948</v>
      </c>
      <c r="AJ70" s="384"/>
      <c r="AK70" s="384"/>
      <c r="AL70" s="384"/>
      <c r="AM70" s="272">
        <f>MATCH($A70,Table!$A:$A,0)+$AO$2-1</f>
        <v>939</v>
      </c>
      <c r="AN70" s="384"/>
      <c r="AO70" s="384"/>
      <c r="AP70" s="973" t="s">
        <v>302</v>
      </c>
    </row>
    <row r="71" spans="1:42" s="267" customFormat="1" ht="19.5" customHeight="1" x14ac:dyDescent="0.25">
      <c r="A71" s="268">
        <v>41428</v>
      </c>
      <c r="B71" s="596">
        <f ca="1">IF(ISERROR(MATCH(B$1,INDIRECT("Table!A"&amp;$AM71):INDIRECT("Table!" &amp; $AP$108 &amp; $AM71),0)),"",INDIRECT(CONCATENATE("Table!",ADDRESS($AI71,MATCH(B$1,INDIRECT("Table!A" &amp; $AM71):INDIRECT("Table!" &amp; $AP$108 &amp; $AM71),0)))))</f>
        <v>1.2554034529074802</v>
      </c>
      <c r="C71" s="273">
        <f ca="1">IF(ISERROR(MATCH(C$1,INDIRECT("Table!A"&amp;$AM71):INDIRECT("Table!" &amp; $AP$108 &amp; $AM71),0)),"",INDIRECT(CONCATENATE("Table!",ADDRESS($AI71,MATCH(C$1,INDIRECT("Table!A" &amp; $AM71):INDIRECT("Table!" &amp; $AP$108 &amp; $AM71),0)))))</f>
        <v>0.60101803930218622</v>
      </c>
      <c r="D71" s="273">
        <f ca="1">IF(ISERROR(MATCH(D$1,INDIRECT("Table!A"&amp;$AM71):INDIRECT("Table!" &amp; $AP$108 &amp; $AM71),0)),"",INDIRECT(CONCATENATE("Table!",ADDRESS($AI71,MATCH(D$1,INDIRECT("Table!A" &amp; $AM71):INDIRECT("Table!" &amp; $AP$108 &amp; $AM71),0)))))</f>
        <v>0.60796234016628159</v>
      </c>
      <c r="E71" s="273">
        <f ca="1">IF(ISERROR(MATCH(E$1,INDIRECT("Table!A"&amp;$AM71):INDIRECT("Table!" &amp; $AP$108 &amp; $AM71),0)),"",INDIRECT(CONCATENATE("Table!",ADDRESS($AI71,MATCH(E$1,INDIRECT("Table!A" &amp; $AM71):INDIRECT("Table!" &amp; $AP$108 &amp; $AM71),0)))))</f>
        <v>1.5276579277331923</v>
      </c>
      <c r="F71" s="273">
        <f ca="1">IF(ISERROR(MATCH(F$1,INDIRECT("Table!A"&amp;$AM71):INDIRECT("Table!" &amp; $AP$108 &amp; $AM71),0)),"",INDIRECT(CONCATENATE("Table!",ADDRESS($AI71,MATCH(F$1,INDIRECT("Table!A" &amp; $AM71):INDIRECT("Table!" &amp; $AP$108 &amp; $AM71),0)))))</f>
        <v>1.5683415602665416</v>
      </c>
      <c r="G71" s="273">
        <f ca="1">IF(ISERROR(MATCH(G$1,INDIRECT("Table!A"&amp;$AM71):INDIRECT("Table!" &amp; $AP$108 &amp; $AM71),0)),"",INDIRECT(CONCATENATE("Table!",ADDRESS($AI71,MATCH(G$1,INDIRECT("Table!A" &amp; $AM71):INDIRECT("Table!" &amp; $AP$108 &amp; $AM71),0)))))</f>
        <v>3.4760162110616655</v>
      </c>
      <c r="H71" s="273">
        <f ca="1">IF(ISERROR(MATCH(H$1,INDIRECT("Table!A"&amp;$AM71):INDIRECT("Table!" &amp; $AP$108 &amp; $AM71),0)),"",INDIRECT(CONCATENATE("Table!",ADDRESS($AI71,MATCH(H$1,INDIRECT("Table!A" &amp; $AM71):INDIRECT("Table!" &amp; $AP$108 &amp; $AM71),0)))))</f>
        <v>0.81468133329745929</v>
      </c>
      <c r="I71" s="273">
        <f ca="1">IF(ISERROR(MATCH(I$1,INDIRECT("Table!A"&amp;$AM71):INDIRECT("Table!" &amp; $AP$86 &amp; $AM71),0)),"",INDIRECT(CONCATENATE("Table!",ADDRESS($AI71,MATCH(I$1,INDIRECT("Table!A" &amp; $AM71):INDIRECT("Table!" &amp; $AP$86 &amp; $AM71),0)))))</f>
        <v>7.7147290518485595E-2</v>
      </c>
      <c r="J71" s="273">
        <f ca="1">IF(ISERROR(MATCH(J$1,INDIRECT("Table!A"&amp;$AM71):INDIRECT("Table!" &amp; $AP$86 &amp; $AM71),0)),"",INDIRECT(CONCATENATE("Table!",ADDRESS($AI71,MATCH(J$1,INDIRECT("Table!A" &amp; $AM71):INDIRECT("Table!" &amp; $AP$86 &amp; $AM71),0)))))</f>
        <v>0</v>
      </c>
      <c r="K71" s="273" t="str">
        <f ca="1">IF(ISERROR(MATCH(K$1,INDIRECT("Table!A"&amp;$AM71):INDIRECT("Table!" &amp; $AP$86 &amp; $AM71),0)),"",INDIRECT(CONCATENATE("Table!",ADDRESS($AI71,MATCH(K$1,INDIRECT("Table!A" &amp; $AM71):INDIRECT("Table!" &amp; $AP$86 &amp; $AM71),0)))))</f>
        <v/>
      </c>
      <c r="L71" s="273">
        <f ca="1">IF(ISERROR(MATCH(L$1,INDIRECT("Table!A"&amp;$AM71):INDIRECT("Table!" &amp; $AP$108 &amp; $AM71),0)),"",INDIRECT(CONCATENATE("Table!",ADDRESS($AI71,MATCH(L$1,INDIRECT("Table!A" &amp; $AM71):INDIRECT("Table!" &amp; $AP$108 &amp; $AM71),0)))))</f>
        <v>1.4637768809544778</v>
      </c>
      <c r="M71" s="273">
        <f ca="1">IF(ISERROR(MATCH(M$1,INDIRECT("Table!A"&amp;$AM71):INDIRECT("Table!" &amp; $AP$108 &amp; $AM71),0)),"",INDIRECT(CONCATENATE("Table!",ADDRESS($AI71,MATCH(M$1,INDIRECT("Table!A" &amp; $AM71):INDIRECT("Table!" &amp; $AP$108 &amp; $AM71),0)))))</f>
        <v>2.8350081963366986</v>
      </c>
      <c r="N71" s="273">
        <f ca="1">IF(ISERROR(MATCH(N$1,INDIRECT("Table!A"&amp;$AM71):INDIRECT("Table!" &amp; $AP$108 &amp; $AM71),0)),"",INDIRECT(CONCATENATE("Table!",ADDRESS($AI71,MATCH(N$1,INDIRECT("Table!A" &amp; $AM71):INDIRECT("Table!" &amp; $AP$108 &amp; $AM71),0)))))</f>
        <v>1.6282538322153899</v>
      </c>
      <c r="O71" s="273">
        <f ca="1">IF(ISERROR(MATCH(O$1,INDIRECT("Table!A"&amp;$AM71):INDIRECT("Table!" &amp; $AP$86 &amp; $AM71),0)),"",INDIRECT(CONCATENATE("Table!",ADDRESS($AI71,MATCH(O$1,INDIRECT("Table!A" &amp; $AM71):INDIRECT("Table!" &amp; $AP$86 &amp; $AM71),0)))))</f>
        <v>0.90688832115464812</v>
      </c>
      <c r="P71" s="273">
        <f ca="1">IF(ISERROR(MATCH(P$1,INDIRECT("Table!A"&amp;$AM71):INDIRECT("Table!" &amp; $AP$86 &amp; $AM71),0)),"",INDIRECT(CONCATENATE("Table!",ADDRESS($AI71,MATCH(P$1,INDIRECT("Table!A" &amp; $AM71):INDIRECT("Table!" &amp; $AP$86 &amp; $AM71),0)))))</f>
        <v>0.34756863642384905</v>
      </c>
      <c r="Q71" s="273">
        <f ca="1">IF(ISERROR(MATCH(Q$1,INDIRECT("Table!A"&amp;$AM71):INDIRECT("Table!" &amp; $AP$86 &amp; $AM71),0)),"",INDIRECT(CONCATENATE("Table!",ADDRESS($AI71,MATCH(Q$1,INDIRECT("Table!A" &amp; $AM71):INDIRECT("Table!" &amp; $AP$86 &amp; $AM71),0)))))</f>
        <v>0</v>
      </c>
      <c r="R71" s="273" t="str">
        <f ca="1">IF(ISERROR(MATCH(R$1,INDIRECT("Table!A"&amp;$AM71):INDIRECT("Table!" &amp; $AP$86 &amp; $AM71),0)),"",INDIRECT(CONCATENATE("Table!",ADDRESS($AI71,MATCH(R$1,INDIRECT("Table!A" &amp; $AM71):INDIRECT("Table!" &amp; $AP$86 &amp; $AM71),0)))))</f>
        <v/>
      </c>
      <c r="S71" s="596" t="str">
        <f ca="1">IF(ISERROR(MATCH(S$1,INDIRECT("Table!A"&amp;$AM71):INDIRECT("Table!" &amp; $AP$65 &amp; $AM71),0)),"",INDIRECT(CONCATENATE("Table!",ADDRESS($AI71,MATCH(S$1,INDIRECT("Table!A" &amp; $AM71):INDIRECT("Table!" &amp; $AP$65 &amp; $AM71),0)))))</f>
        <v/>
      </c>
      <c r="T71" s="273">
        <f ca="1">IF(ISERROR(MATCH(T$1,INDIRECT("Table!A"&amp;$AM71):INDIRECT("Table!" &amp; $AP$65 &amp; $AM71),0)),"",INDIRECT(CONCATENATE("Table!",ADDRESS($AI71,MATCH(T$1,INDIRECT("Table!A" &amp; $AM71):INDIRECT("Table!" &amp; $AP$65 &amp; $AM71),0)))))</f>
        <v>0.50742859733156043</v>
      </c>
      <c r="U71" s="596" t="str">
        <f ca="1">IF(ISERROR(MATCH(U$1,INDIRECT("Table!A"&amp;$AM71):INDIRECT("Table!" &amp; $AP$65 &amp; $AM71),0)),"",INDIRECT(CONCATENATE("Table!",ADDRESS($AI71,MATCH(U$1,INDIRECT("Table!A" &amp; $AM71):INDIRECT("Table!" &amp; $AP$65 &amp; $AM71),0)))))</f>
        <v/>
      </c>
      <c r="V71" s="596"/>
      <c r="W71" s="596"/>
      <c r="X71" s="596"/>
      <c r="Y71" s="596"/>
      <c r="Z71" s="596"/>
      <c r="AA71" s="596"/>
      <c r="AB71" s="596"/>
      <c r="AC71" s="596"/>
      <c r="AD71" s="596"/>
      <c r="AE71" s="596"/>
      <c r="AF71" s="596"/>
      <c r="AG71" s="596"/>
      <c r="AH71" s="596"/>
      <c r="AI71" s="272">
        <f>MATCH($A71,Table!$A:$A,0)+$AK$2-1</f>
        <v>960</v>
      </c>
      <c r="AJ71" s="380"/>
      <c r="AK71" s="380"/>
      <c r="AL71" s="380"/>
      <c r="AM71" s="272">
        <f>MATCH($A71,Table!$A:$A,0)+$AO$2-1</f>
        <v>951</v>
      </c>
      <c r="AN71" s="380"/>
      <c r="AO71" s="380"/>
      <c r="AP71" s="973" t="s">
        <v>302</v>
      </c>
    </row>
    <row r="72" spans="1:42" s="267" customFormat="1" ht="19.5" customHeight="1" x14ac:dyDescent="0.25">
      <c r="A72" s="268">
        <v>41423</v>
      </c>
      <c r="B72" s="596">
        <f ca="1">IF(ISERROR(MATCH(B$1,INDIRECT("Table!A"&amp;$AM72):INDIRECT("Table!" &amp; $AP$108 &amp; $AM72),0)),"",INDIRECT(CONCATENATE("Table!",ADDRESS($AI72,MATCH(B$1,INDIRECT("Table!A" &amp; $AM72):INDIRECT("Table!" &amp; $AP$108 &amp; $AM72),0)))))</f>
        <v>1.2554034529074802</v>
      </c>
      <c r="C72" s="273">
        <f ca="1">IF(ISERROR(MATCH(C$1,INDIRECT("Table!A"&amp;$AM72):INDIRECT("Table!" &amp; $AP$108 &amp; $AM72),0)),"",INDIRECT(CONCATENATE("Table!",ADDRESS($AI72,MATCH(C$1,INDIRECT("Table!A" &amp; $AM72):INDIRECT("Table!" &amp; $AP$108 &amp; $AM72),0)))))</f>
        <v>0.60101803930218622</v>
      </c>
      <c r="D72" s="273">
        <f ca="1">IF(ISERROR(MATCH(D$1,INDIRECT("Table!A"&amp;$AM72):INDIRECT("Table!" &amp; $AP$108 &amp; $AM72),0)),"",INDIRECT(CONCATENATE("Table!",ADDRESS($AI72,MATCH(D$1,INDIRECT("Table!A" &amp; $AM72):INDIRECT("Table!" &amp; $AP$108 &amp; $AM72),0)))))</f>
        <v>0.60796234016628159</v>
      </c>
      <c r="E72" s="273">
        <f ca="1">IF(ISERROR(MATCH(E$1,INDIRECT("Table!A"&amp;$AM72):INDIRECT("Table!" &amp; $AP$108 &amp; $AM72),0)),"",INDIRECT(CONCATENATE("Table!",ADDRESS($AI72,MATCH(E$1,INDIRECT("Table!A" &amp; $AM72):INDIRECT("Table!" &amp; $AP$108 &amp; $AM72),0)))))</f>
        <v>1.5276579277331923</v>
      </c>
      <c r="F72" s="273">
        <f ca="1">IF(ISERROR(MATCH(F$1,INDIRECT("Table!A"&amp;$AM72):INDIRECT("Table!" &amp; $AP$108 &amp; $AM72),0)),"",INDIRECT(CONCATENATE("Table!",ADDRESS($AI72,MATCH(F$1,INDIRECT("Table!A" &amp; $AM72):INDIRECT("Table!" &amp; $AP$108 &amp; $AM72),0)))))</f>
        <v>1.5683415602665416</v>
      </c>
      <c r="G72" s="273">
        <f ca="1">IF(ISERROR(MATCH(G$1,INDIRECT("Table!A"&amp;$AM72):INDIRECT("Table!" &amp; $AP$108 &amp; $AM72),0)),"",INDIRECT(CONCATENATE("Table!",ADDRESS($AI72,MATCH(G$1,INDIRECT("Table!A" &amp; $AM72):INDIRECT("Table!" &amp; $AP$108 &amp; $AM72),0)))))</f>
        <v>3.4760162110616655</v>
      </c>
      <c r="H72" s="273">
        <f ca="1">IF(ISERROR(MATCH(H$1,INDIRECT("Table!A"&amp;$AM72):INDIRECT("Table!" &amp; $AP$108 &amp; $AM72),0)),"",INDIRECT(CONCATENATE("Table!",ADDRESS($AI72,MATCH(H$1,INDIRECT("Table!A" &amp; $AM72):INDIRECT("Table!" &amp; $AP$108 &amp; $AM72),0)))))</f>
        <v>0.81468133329745929</v>
      </c>
      <c r="I72" s="273">
        <f ca="1">IF(ISERROR(MATCH(I$1,INDIRECT("Table!A"&amp;$AM72):INDIRECT("Table!" &amp; $AP$86 &amp; $AM72),0)),"",INDIRECT(CONCATENATE("Table!",ADDRESS($AI72,MATCH(I$1,INDIRECT("Table!A" &amp; $AM72):INDIRECT("Table!" &amp; $AP$86 &amp; $AM72),0)))))</f>
        <v>7.7147290518485595E-2</v>
      </c>
      <c r="J72" s="273">
        <f ca="1">IF(ISERROR(MATCH(J$1,INDIRECT("Table!A"&amp;$AM72):INDIRECT("Table!" &amp; $AP$86 &amp; $AM72),0)),"",INDIRECT(CONCATENATE("Table!",ADDRESS($AI72,MATCH(J$1,INDIRECT("Table!A" &amp; $AM72):INDIRECT("Table!" &amp; $AP$86 &amp; $AM72),0)))))</f>
        <v>0</v>
      </c>
      <c r="K72" s="273" t="str">
        <f ca="1">IF(ISERROR(MATCH(K$1,INDIRECT("Table!A"&amp;$AM72):INDIRECT("Table!" &amp; $AP$86 &amp; $AM72),0)),"",INDIRECT(CONCATENATE("Table!",ADDRESS($AI72,MATCH(K$1,INDIRECT("Table!A" &amp; $AM72):INDIRECT("Table!" &amp; $AP$86 &amp; $AM72),0)))))</f>
        <v/>
      </c>
      <c r="L72" s="273">
        <f ca="1">IF(ISERROR(MATCH(L$1,INDIRECT("Table!A"&amp;$AM72):INDIRECT("Table!" &amp; $AP$108 &amp; $AM72),0)),"",INDIRECT(CONCATENATE("Table!",ADDRESS($AI72,MATCH(L$1,INDIRECT("Table!A" &amp; $AM72):INDIRECT("Table!" &amp; $AP$108 &amp; $AM72),0)))))</f>
        <v>1.4637768809544778</v>
      </c>
      <c r="M72" s="273">
        <f ca="1">IF(ISERROR(MATCH(M$1,INDIRECT("Table!A"&amp;$AM72):INDIRECT("Table!" &amp; $AP$108 &amp; $AM72),0)),"",INDIRECT(CONCATENATE("Table!",ADDRESS($AI72,MATCH(M$1,INDIRECT("Table!A" &amp; $AM72):INDIRECT("Table!" &amp; $AP$108 &amp; $AM72),0)))))</f>
        <v>2.8350081963366986</v>
      </c>
      <c r="N72" s="273">
        <f ca="1">IF(ISERROR(MATCH(N$1,INDIRECT("Table!A"&amp;$AM72):INDIRECT("Table!" &amp; $AP$108 &amp; $AM72),0)),"",INDIRECT(CONCATENATE("Table!",ADDRESS($AI72,MATCH(N$1,INDIRECT("Table!A" &amp; $AM72):INDIRECT("Table!" &amp; $AP$108 &amp; $AM72),0)))))</f>
        <v>1.6282538322153899</v>
      </c>
      <c r="O72" s="273">
        <f ca="1">IF(ISERROR(MATCH(O$1,INDIRECT("Table!A"&amp;$AM72):INDIRECT("Table!" &amp; $AP$86 &amp; $AM72),0)),"",INDIRECT(CONCATENATE("Table!",ADDRESS($AI72,MATCH(O$1,INDIRECT("Table!A" &amp; $AM72):INDIRECT("Table!" &amp; $AP$86 &amp; $AM72),0)))))</f>
        <v>0.90688832115464812</v>
      </c>
      <c r="P72" s="273">
        <f ca="1">IF(ISERROR(MATCH(P$1,INDIRECT("Table!A"&amp;$AM72):INDIRECT("Table!" &amp; $AP$86 &amp; $AM72),0)),"",INDIRECT(CONCATENATE("Table!",ADDRESS($AI72,MATCH(P$1,INDIRECT("Table!A" &amp; $AM72):INDIRECT("Table!" &amp; $AP$86 &amp; $AM72),0)))))</f>
        <v>0.34756863642384905</v>
      </c>
      <c r="Q72" s="273">
        <f ca="1">IF(ISERROR(MATCH(Q$1,INDIRECT("Table!A"&amp;$AM72):INDIRECT("Table!" &amp; $AP$86 &amp; $AM72),0)),"",INDIRECT(CONCATENATE("Table!",ADDRESS($AI72,MATCH(Q$1,INDIRECT("Table!A" &amp; $AM72):INDIRECT("Table!" &amp; $AP$86 &amp; $AM72),0)))))</f>
        <v>0</v>
      </c>
      <c r="R72" s="273" t="str">
        <f ca="1">IF(ISERROR(MATCH(R$1,INDIRECT("Table!A"&amp;$AM72):INDIRECT("Table!" &amp; $AP$86 &amp; $AM72),0)),"",INDIRECT(CONCATENATE("Table!",ADDRESS($AI72,MATCH(R$1,INDIRECT("Table!A" &amp; $AM72):INDIRECT("Table!" &amp; $AP$86 &amp; $AM72),0)))))</f>
        <v/>
      </c>
      <c r="S72" s="596" t="str">
        <f ca="1">IF(ISERROR(MATCH(S$1,INDIRECT("Table!A"&amp;$AM72):INDIRECT("Table!" &amp; $AP$65 &amp; $AM72),0)),"",INDIRECT(CONCATENATE("Table!",ADDRESS($AI72,MATCH(S$1,INDIRECT("Table!A" &amp; $AM72):INDIRECT("Table!" &amp; $AP$65 &amp; $AM72),0)))))</f>
        <v/>
      </c>
      <c r="T72" s="273">
        <f ca="1">IF(ISERROR(MATCH(T$1,INDIRECT("Table!A"&amp;$AM72):INDIRECT("Table!" &amp; $AP$65 &amp; $AM72),0)),"",INDIRECT(CONCATENATE("Table!",ADDRESS($AI72,MATCH(T$1,INDIRECT("Table!A" &amp; $AM72):INDIRECT("Table!" &amp; $AP$65 &amp; $AM72),0)))))</f>
        <v>0.50742859733156043</v>
      </c>
      <c r="U72" s="596" t="str">
        <f ca="1">IF(ISERROR(MATCH(U$1,INDIRECT("Table!A"&amp;$AM72):INDIRECT("Table!" &amp; $AP$65 &amp; $AM72),0)),"",INDIRECT(CONCATENATE("Table!",ADDRESS($AI72,MATCH(U$1,INDIRECT("Table!A" &amp; $AM72):INDIRECT("Table!" &amp; $AP$65 &amp; $AM72),0)))))</f>
        <v/>
      </c>
      <c r="V72" s="596"/>
      <c r="W72" s="596"/>
      <c r="X72" s="596"/>
      <c r="Y72" s="596"/>
      <c r="Z72" s="596"/>
      <c r="AA72" s="596"/>
      <c r="AB72" s="596"/>
      <c r="AC72" s="596"/>
      <c r="AD72" s="596"/>
      <c r="AE72" s="596"/>
      <c r="AF72" s="596"/>
      <c r="AG72" s="596"/>
      <c r="AH72" s="596"/>
      <c r="AI72" s="272">
        <f>MATCH($A72,Table!$A:$A,0)+$AK$2-1</f>
        <v>972</v>
      </c>
      <c r="AJ72" s="379"/>
      <c r="AK72" s="379"/>
      <c r="AL72" s="379"/>
      <c r="AM72" s="272">
        <f>MATCH($A72,Table!$A:$A,0)+$AO$2-1</f>
        <v>963</v>
      </c>
      <c r="AN72" s="379"/>
      <c r="AO72" s="379"/>
      <c r="AP72" s="973" t="s">
        <v>302</v>
      </c>
    </row>
    <row r="73" spans="1:42" s="267" customFormat="1" ht="19.5" customHeight="1" x14ac:dyDescent="0.25">
      <c r="A73" s="268">
        <v>41422</v>
      </c>
      <c r="B73" s="596">
        <f ca="1">IF(ISERROR(MATCH(B$1,INDIRECT("Table!A"&amp;$AM73):INDIRECT("Table!" &amp; $AP$108 &amp; $AM73),0)),"",INDIRECT(CONCATENATE("Table!",ADDRESS($AI73,MATCH(B$1,INDIRECT("Table!A" &amp; $AM73):INDIRECT("Table!" &amp; $AP$108 &amp; $AM73),0)))))</f>
        <v>1.2554034529074802</v>
      </c>
      <c r="C73" s="273">
        <f ca="1">IF(ISERROR(MATCH(C$1,INDIRECT("Table!A"&amp;$AM73):INDIRECT("Table!" &amp; $AP$108 &amp; $AM73),0)),"",INDIRECT(CONCATENATE("Table!",ADDRESS($AI73,MATCH(C$1,INDIRECT("Table!A" &amp; $AM73):INDIRECT("Table!" &amp; $AP$108 &amp; $AM73),0)))))</f>
        <v>0.60101803930218622</v>
      </c>
      <c r="D73" s="273">
        <f ca="1">IF(ISERROR(MATCH(D$1,INDIRECT("Table!A"&amp;$AM73):INDIRECT("Table!" &amp; $AP$108 &amp; $AM73),0)),"",INDIRECT(CONCATENATE("Table!",ADDRESS($AI73,MATCH(D$1,INDIRECT("Table!A" &amp; $AM73):INDIRECT("Table!" &amp; $AP$108 &amp; $AM73),0)))))</f>
        <v>0.60796234016628159</v>
      </c>
      <c r="E73" s="273">
        <f ca="1">IF(ISERROR(MATCH(E$1,INDIRECT("Table!A"&amp;$AM73):INDIRECT("Table!" &amp; $AP$108 &amp; $AM73),0)),"",INDIRECT(CONCATENATE("Table!",ADDRESS($AI73,MATCH(E$1,INDIRECT("Table!A" &amp; $AM73):INDIRECT("Table!" &amp; $AP$108 &amp; $AM73),0)))))</f>
        <v>1.5276579277331923</v>
      </c>
      <c r="F73" s="273">
        <f ca="1">IF(ISERROR(MATCH(F$1,INDIRECT("Table!A"&amp;$AM73):INDIRECT("Table!" &amp; $AP$108 &amp; $AM73),0)),"",INDIRECT(CONCATENATE("Table!",ADDRESS($AI73,MATCH(F$1,INDIRECT("Table!A" &amp; $AM73):INDIRECT("Table!" &amp; $AP$108 &amp; $AM73),0)))))</f>
        <v>1.5683415602665416</v>
      </c>
      <c r="G73" s="273">
        <f ca="1">IF(ISERROR(MATCH(G$1,INDIRECT("Table!A"&amp;$AM73):INDIRECT("Table!" &amp; $AP$108 &amp; $AM73),0)),"",INDIRECT(CONCATENATE("Table!",ADDRESS($AI73,MATCH(G$1,INDIRECT("Table!A" &amp; $AM73):INDIRECT("Table!" &amp; $AP$108 &amp; $AM73),0)))))</f>
        <v>3.4760162110616655</v>
      </c>
      <c r="H73" s="273">
        <f ca="1">IF(ISERROR(MATCH(H$1,INDIRECT("Table!A"&amp;$AM73):INDIRECT("Table!" &amp; $AP$108 &amp; $AM73),0)),"",INDIRECT(CONCATENATE("Table!",ADDRESS($AI73,MATCH(H$1,INDIRECT("Table!A" &amp; $AM73):INDIRECT("Table!" &amp; $AP$108 &amp; $AM73),0)))))</f>
        <v>0.81468133329745929</v>
      </c>
      <c r="I73" s="273">
        <f ca="1">IF(ISERROR(MATCH(I$1,INDIRECT("Table!A"&amp;$AM73):INDIRECT("Table!" &amp; $AP$86 &amp; $AM73),0)),"",INDIRECT(CONCATENATE("Table!",ADDRESS($AI73,MATCH(I$1,INDIRECT("Table!A" &amp; $AM73):INDIRECT("Table!" &amp; $AP$86 &amp; $AM73),0)))))</f>
        <v>7.7147290518485595E-2</v>
      </c>
      <c r="J73" s="273">
        <f ca="1">IF(ISERROR(MATCH(J$1,INDIRECT("Table!A"&amp;$AM73):INDIRECT("Table!" &amp; $AP$86 &amp; $AM73),0)),"",INDIRECT(CONCATENATE("Table!",ADDRESS($AI73,MATCH(J$1,INDIRECT("Table!A" &amp; $AM73):INDIRECT("Table!" &amp; $AP$86 &amp; $AM73),0)))))</f>
        <v>0</v>
      </c>
      <c r="K73" s="273" t="str">
        <f ca="1">IF(ISERROR(MATCH(K$1,INDIRECT("Table!A"&amp;$AM73):INDIRECT("Table!" &amp; $AP$86 &amp; $AM73),0)),"",INDIRECT(CONCATENATE("Table!",ADDRESS($AI73,MATCH(K$1,INDIRECT("Table!A" &amp; $AM73):INDIRECT("Table!" &amp; $AP$86 &amp; $AM73),0)))))</f>
        <v/>
      </c>
      <c r="L73" s="273">
        <f ca="1">IF(ISERROR(MATCH(L$1,INDIRECT("Table!A"&amp;$AM73):INDIRECT("Table!" &amp; $AP$108 &amp; $AM73),0)),"",INDIRECT(CONCATENATE("Table!",ADDRESS($AI73,MATCH(L$1,INDIRECT("Table!A" &amp; $AM73):INDIRECT("Table!" &amp; $AP$108 &amp; $AM73),0)))))</f>
        <v>1.4637768809544778</v>
      </c>
      <c r="M73" s="273">
        <f ca="1">IF(ISERROR(MATCH(M$1,INDIRECT("Table!A"&amp;$AM73):INDIRECT("Table!" &amp; $AP$108 &amp; $AM73),0)),"",INDIRECT(CONCATENATE("Table!",ADDRESS($AI73,MATCH(M$1,INDIRECT("Table!A" &amp; $AM73):INDIRECT("Table!" &amp; $AP$108 &amp; $AM73),0)))))</f>
        <v>2.8350081963366986</v>
      </c>
      <c r="N73" s="273">
        <f ca="1">IF(ISERROR(MATCH(N$1,INDIRECT("Table!A"&amp;$AM73):INDIRECT("Table!" &amp; $AP$108 &amp; $AM73),0)),"",INDIRECT(CONCATENATE("Table!",ADDRESS($AI73,MATCH(N$1,INDIRECT("Table!A" &amp; $AM73):INDIRECT("Table!" &amp; $AP$108 &amp; $AM73),0)))))</f>
        <v>1.6282538322153899</v>
      </c>
      <c r="O73" s="273">
        <f ca="1">IF(ISERROR(MATCH(O$1,INDIRECT("Table!A"&amp;$AM73):INDIRECT("Table!" &amp; $AP$86 &amp; $AM73),0)),"",INDIRECT(CONCATENATE("Table!",ADDRESS($AI73,MATCH(O$1,INDIRECT("Table!A" &amp; $AM73):INDIRECT("Table!" &amp; $AP$86 &amp; $AM73),0)))))</f>
        <v>0.90688832115464812</v>
      </c>
      <c r="P73" s="273">
        <f ca="1">IF(ISERROR(MATCH(P$1,INDIRECT("Table!A"&amp;$AM73):INDIRECT("Table!" &amp; $AP$86 &amp; $AM73),0)),"",INDIRECT(CONCATENATE("Table!",ADDRESS($AI73,MATCH(P$1,INDIRECT("Table!A" &amp; $AM73):INDIRECT("Table!" &amp; $AP$86 &amp; $AM73),0)))))</f>
        <v>0.34756863642384905</v>
      </c>
      <c r="Q73" s="273">
        <f ca="1">IF(ISERROR(MATCH(Q$1,INDIRECT("Table!A"&amp;$AM73):INDIRECT("Table!" &amp; $AP$86 &amp; $AM73),0)),"",INDIRECT(CONCATENATE("Table!",ADDRESS($AI73,MATCH(Q$1,INDIRECT("Table!A" &amp; $AM73):INDIRECT("Table!" &amp; $AP$86 &amp; $AM73),0)))))</f>
        <v>0</v>
      </c>
      <c r="R73" s="273" t="str">
        <f ca="1">IF(ISERROR(MATCH(R$1,INDIRECT("Table!A"&amp;$AM73):INDIRECT("Table!" &amp; $AP$86 &amp; $AM73),0)),"",INDIRECT(CONCATENATE("Table!",ADDRESS($AI73,MATCH(R$1,INDIRECT("Table!A" &amp; $AM73):INDIRECT("Table!" &amp; $AP$86 &amp; $AM73),0)))))</f>
        <v/>
      </c>
      <c r="S73" s="596" t="str">
        <f ca="1">IF(ISERROR(MATCH(S$1,INDIRECT("Table!A"&amp;$AM73):INDIRECT("Table!" &amp; $AP$65 &amp; $AM73),0)),"",INDIRECT(CONCATENATE("Table!",ADDRESS($AI73,MATCH(S$1,INDIRECT("Table!A" &amp; $AM73):INDIRECT("Table!" &amp; $AP$65 &amp; $AM73),0)))))</f>
        <v/>
      </c>
      <c r="T73" s="273">
        <f ca="1">IF(ISERROR(MATCH(T$1,INDIRECT("Table!A"&amp;$AM73):INDIRECT("Table!" &amp; $AP$65 &amp; $AM73),0)),"",INDIRECT(CONCATENATE("Table!",ADDRESS($AI73,MATCH(T$1,INDIRECT("Table!A" &amp; $AM73):INDIRECT("Table!" &amp; $AP$65 &amp; $AM73),0)))))</f>
        <v>0.50742859733156043</v>
      </c>
      <c r="U73" s="596" t="str">
        <f ca="1">IF(ISERROR(MATCH(U$1,INDIRECT("Table!A"&amp;$AM73):INDIRECT("Table!" &amp; $AP$65 &amp; $AM73),0)),"",INDIRECT(CONCATENATE("Table!",ADDRESS($AI73,MATCH(U$1,INDIRECT("Table!A" &amp; $AM73):INDIRECT("Table!" &amp; $AP$65 &amp; $AM73),0)))))</f>
        <v/>
      </c>
      <c r="V73" s="596"/>
      <c r="W73" s="596"/>
      <c r="X73" s="596"/>
      <c r="Y73" s="596"/>
      <c r="Z73" s="596"/>
      <c r="AA73" s="596"/>
      <c r="AB73" s="596"/>
      <c r="AC73" s="596"/>
      <c r="AD73" s="596"/>
      <c r="AE73" s="596"/>
      <c r="AF73" s="596"/>
      <c r="AG73" s="596"/>
      <c r="AH73" s="596"/>
      <c r="AI73" s="272">
        <f>MATCH($A73,Table!$A:$A,0)+$AK$2-1</f>
        <v>984</v>
      </c>
      <c r="AJ73" s="373"/>
      <c r="AK73" s="373"/>
      <c r="AL73" s="373"/>
      <c r="AM73" s="272">
        <f>MATCH($A73,Table!$A:$A,0)+$AO$2-1</f>
        <v>975</v>
      </c>
      <c r="AN73" s="373"/>
      <c r="AO73" s="373"/>
      <c r="AP73" s="973" t="s">
        <v>302</v>
      </c>
    </row>
    <row r="74" spans="1:42" s="267" customFormat="1" ht="19.5" customHeight="1" x14ac:dyDescent="0.25">
      <c r="A74" s="268">
        <v>41414</v>
      </c>
      <c r="B74" s="596">
        <f ca="1">IF(ISERROR(MATCH(B$1,INDIRECT("Table!A"&amp;$AM74):INDIRECT("Table!" &amp; $AP$108 &amp; $AM74),0)),"",INDIRECT(CONCATENATE("Table!",ADDRESS($AI74,MATCH(B$1,INDIRECT("Table!A" &amp; $AM74):INDIRECT("Table!" &amp; $AP$108 &amp; $AM74),0)))))</f>
        <v>1.2549331762815548</v>
      </c>
      <c r="C74" s="273">
        <f ca="1">IF(ISERROR(MATCH(C$1,INDIRECT("Table!A"&amp;$AM74):INDIRECT("Table!" &amp; $AP$108 &amp; $AM74),0)),"",INDIRECT(CONCATENATE("Table!",ADDRESS($AI74,MATCH(C$1,INDIRECT("Table!A" &amp; $AM74):INDIRECT("Table!" &amp; $AP$108 &amp; $AM74),0)))))</f>
        <v>0.59429774814338432</v>
      </c>
      <c r="D74" s="273">
        <f ca="1">IF(ISERROR(MATCH(D$1,INDIRECT("Table!A"&amp;$AM74):INDIRECT("Table!" &amp; $AP$108 &amp; $AM74),0)),"",INDIRECT(CONCATENATE("Table!",ADDRESS($AI74,MATCH(D$1,INDIRECT("Table!A" &amp; $AM74):INDIRECT("Table!" &amp; $AP$108 &amp; $AM74),0)))))</f>
        <v>0.60124204900747968</v>
      </c>
      <c r="E74" s="273">
        <f ca="1">IF(ISERROR(MATCH(E$1,INDIRECT("Table!A"&amp;$AM74):INDIRECT("Table!" &amp; $AP$108 &amp; $AM74),0)),"",INDIRECT(CONCATENATE("Table!",ADDRESS($AI74,MATCH(E$1,INDIRECT("Table!A" &amp; $AM74):INDIRECT("Table!" &amp; $AP$108 &amp; $AM74),0)))))</f>
        <v>1.5276579277331923</v>
      </c>
      <c r="F74" s="273">
        <f ca="1">IF(ISERROR(MATCH(F$1,INDIRECT("Table!A"&amp;$AM74):INDIRECT("Table!" &amp; $AP$108 &amp; $AM74),0)),"",INDIRECT(CONCATENATE("Table!",ADDRESS($AI74,MATCH(F$1,INDIRECT("Table!A" &amp; $AM74):INDIRECT("Table!" &amp; $AP$108 &amp; $AM74),0)))))</f>
        <v>1.5589673773439505</v>
      </c>
      <c r="G74" s="273">
        <f ca="1">IF(ISERROR(MATCH(G$1,INDIRECT("Table!A"&amp;$AM74):INDIRECT("Table!" &amp; $AP$108 &amp; $AM74),0)),"",INDIRECT(CONCATENATE("Table!",ADDRESS($AI74,MATCH(G$1,INDIRECT("Table!A" &amp; $AM74):INDIRECT("Table!" &amp; $AP$108 &amp; $AM74),0)))))</f>
        <v>3.4760162110616655</v>
      </c>
      <c r="H74" s="273">
        <f ca="1">IF(ISERROR(MATCH(H$1,INDIRECT("Table!A"&amp;$AM74):INDIRECT("Table!" &amp; $AP$108 &amp; $AM74),0)),"",INDIRECT(CONCATENATE("Table!",ADDRESS($AI74,MATCH(H$1,INDIRECT("Table!A" &amp; $AM74):INDIRECT("Table!" &amp; $AP$108 &amp; $AM74),0)))))</f>
        <v>0.81468133329745929</v>
      </c>
      <c r="I74" s="273">
        <f ca="1">IF(ISERROR(MATCH(I$1,INDIRECT("Table!A"&amp;$AM74):INDIRECT("Table!" &amp; $AP$86 &amp; $AM74),0)),"",INDIRECT(CONCATENATE("Table!",ADDRESS($AI74,MATCH(I$1,INDIRECT("Table!A" &amp; $AM74):INDIRECT("Table!" &amp; $AP$86 &amp; $AM74),0)))))</f>
        <v>7.7147290518485595E-2</v>
      </c>
      <c r="J74" s="273" t="str">
        <f ca="1">IF(ISERROR(MATCH(J$1,INDIRECT("Table!A"&amp;$AM74):INDIRECT("Table!" &amp; $AP$86 &amp; $AM74),0)),"",INDIRECT(CONCATENATE("Table!",ADDRESS($AI74,MATCH(J$1,INDIRECT("Table!A" &amp; $AM74):INDIRECT("Table!" &amp; $AP$86 &amp; $AM74),0)))))</f>
        <v/>
      </c>
      <c r="K74" s="273" t="str">
        <f ca="1">IF(ISERROR(MATCH(K$1,INDIRECT("Table!A"&amp;$AM74):INDIRECT("Table!" &amp; $AP$86 &amp; $AM74),0)),"",INDIRECT(CONCATENATE("Table!",ADDRESS($AI74,MATCH(K$1,INDIRECT("Table!A" &amp; $AM74):INDIRECT("Table!" &amp; $AP$86 &amp; $AM74),0)))))</f>
        <v/>
      </c>
      <c r="L74" s="273">
        <f ca="1">IF(ISERROR(MATCH(L$1,INDIRECT("Table!A"&amp;$AM74):INDIRECT("Table!" &amp; $AP$108 &amp; $AM74),0)),"",INDIRECT(CONCATENATE("Table!",ADDRESS($AI74,MATCH(L$1,INDIRECT("Table!A" &amp; $AM74):INDIRECT("Table!" &amp; $AP$108 &amp; $AM74),0)))))</f>
        <v>1.4637768809544778</v>
      </c>
      <c r="M74" s="273">
        <f ca="1">IF(ISERROR(MATCH(M$1,INDIRECT("Table!A"&amp;$AM74):INDIRECT("Table!" &amp; $AP$108 &amp; $AM74),0)),"",INDIRECT(CONCATENATE("Table!",ADDRESS($AI74,MATCH(M$1,INDIRECT("Table!A" &amp; $AM74):INDIRECT("Table!" &amp; $AP$108 &amp; $AM74),0)))))</f>
        <v>2.8189320922530614</v>
      </c>
      <c r="N74" s="273">
        <f ca="1">IF(ISERROR(MATCH(N$1,INDIRECT("Table!A"&amp;$AM74):INDIRECT("Table!" &amp; $AP$108 &amp; $AM74),0)),"",INDIRECT(CONCATENATE("Table!",ADDRESS($AI74,MATCH(N$1,INDIRECT("Table!A" &amp; $AM74):INDIRECT("Table!" &amp; $AP$108 &amp; $AM74),0)))))</f>
        <v>1.6188796549585802</v>
      </c>
      <c r="O74" s="273">
        <f ca="1">IF(ISERROR(MATCH(O$1,INDIRECT("Table!A"&amp;$AM74):INDIRECT("Table!" &amp; $AP$86 &amp; $AM74),0)),"",INDIRECT(CONCATENATE("Table!",ADDRESS($AI74,MATCH(O$1,INDIRECT("Table!A" &amp; $AM74):INDIRECT("Table!" &amp; $AP$86 &amp; $AM74),0)))))</f>
        <v>0.90688832115464812</v>
      </c>
      <c r="P74" s="273">
        <f ca="1">IF(ISERROR(MATCH(P$1,INDIRECT("Table!A"&amp;$AM74):INDIRECT("Table!" &amp; $AP$86 &amp; $AM74),0)),"",INDIRECT(CONCATENATE("Table!",ADDRESS($AI74,MATCH(P$1,INDIRECT("Table!A" &amp; $AM74):INDIRECT("Table!" &amp; $AP$86 &amp; $AM74),0)))))</f>
        <v>0.34716259829718565</v>
      </c>
      <c r="Q74" s="273" t="str">
        <f ca="1">IF(ISERROR(MATCH(Q$1,INDIRECT("Table!A"&amp;$AM74):INDIRECT("Table!" &amp; $AP$86 &amp; $AM74),0)),"",INDIRECT(CONCATENATE("Table!",ADDRESS($AI74,MATCH(Q$1,INDIRECT("Table!A" &amp; $AM74):INDIRECT("Table!" &amp; $AP$86 &amp; $AM74),0)))))</f>
        <v/>
      </c>
      <c r="R74" s="273" t="str">
        <f ca="1">IF(ISERROR(MATCH(R$1,INDIRECT("Table!A"&amp;$AM74):INDIRECT("Table!" &amp; $AP$86 &amp; $AM74),0)),"",INDIRECT(CONCATENATE("Table!",ADDRESS($AI74,MATCH(R$1,INDIRECT("Table!A" &amp; $AM74):INDIRECT("Table!" &amp; $AP$86 &amp; $AM74),0)))))</f>
        <v/>
      </c>
      <c r="S74" s="596" t="str">
        <f ca="1">IF(ISERROR(MATCH(S$1,INDIRECT("Table!A"&amp;$AM74):INDIRECT("Table!" &amp; $AP$65 &amp; $AM74),0)),"",INDIRECT(CONCATENATE("Table!",ADDRESS($AI74,MATCH(S$1,INDIRECT("Table!A" &amp; $AM74):INDIRECT("Table!" &amp; $AP$65 &amp; $AM74),0)))))</f>
        <v/>
      </c>
      <c r="T74" s="273">
        <f ca="1">IF(ISERROR(MATCH(T$1,INDIRECT("Table!A"&amp;$AM74):INDIRECT("Table!" &amp; $AP$86 &amp; $AM74),0)),"",INDIRECT(CONCATENATE("Table!",ADDRESS($AI74,MATCH(T$1,INDIRECT("Table!A" &amp; $AM74):INDIRECT("Table!" &amp; $AP$86 &amp; $AM74),0)))))</f>
        <v>0.50742859733156043</v>
      </c>
      <c r="U74" s="596" t="str">
        <f ca="1">IF(ISERROR(MATCH(U$1,INDIRECT("Table!A"&amp;$AM74):INDIRECT("Table!" &amp; $AP$86 &amp; $AM74),0)),"",INDIRECT(CONCATENATE("Table!",ADDRESS($AI74,MATCH(U$1,INDIRECT("Table!A" &amp; $AM74):INDIRECT("Table!" &amp; $AP$86 &amp; $AM74),0)))))</f>
        <v/>
      </c>
      <c r="V74" s="596"/>
      <c r="W74" s="596"/>
      <c r="X74" s="596"/>
      <c r="Y74" s="596"/>
      <c r="Z74" s="596"/>
      <c r="AA74" s="596"/>
      <c r="AB74" s="596"/>
      <c r="AC74" s="596"/>
      <c r="AD74" s="596"/>
      <c r="AE74" s="596"/>
      <c r="AF74" s="596"/>
      <c r="AG74" s="596"/>
      <c r="AH74" s="596"/>
      <c r="AI74" s="272">
        <f>MATCH($A74,Table!$A:$A,0)+$AK$2-1</f>
        <v>996</v>
      </c>
      <c r="AJ74" s="370"/>
      <c r="AK74" s="370"/>
      <c r="AL74" s="370"/>
      <c r="AM74" s="272">
        <f>MATCH($A74,Table!$A:$A,0)+$AO$2-1</f>
        <v>987</v>
      </c>
      <c r="AN74" s="370"/>
      <c r="AO74" s="370"/>
      <c r="AP74" s="973" t="s">
        <v>302</v>
      </c>
    </row>
    <row r="75" spans="1:42" s="267" customFormat="1" ht="19.5" customHeight="1" x14ac:dyDescent="0.25">
      <c r="A75" s="268">
        <v>41408</v>
      </c>
      <c r="B75" s="596">
        <f ca="1">IF(ISERROR(MATCH(B$1,INDIRECT("Table!A"&amp;$AM75):INDIRECT("Table!" &amp; $AP$108 &amp; $AM75),0)),"",INDIRECT(CONCATENATE("Table!",ADDRESS($AI75,MATCH(B$1,INDIRECT("Table!A" &amp; $AM75):INDIRECT("Table!" &amp; $AP$108 &amp; $AM75),0)))))</f>
        <v>1.2450573671371243</v>
      </c>
      <c r="C75" s="273">
        <f ca="1">IF(ISERROR(MATCH(C$1,INDIRECT("Table!A"&amp;$AM75):INDIRECT("Table!" &amp; $AP$108 &amp; $AM75),0)),"",INDIRECT(CONCATENATE("Table!",ADDRESS($AI75,MATCH(C$1,INDIRECT("Table!A" &amp; $AM75):INDIRECT("Table!" &amp; $AP$108 &amp; $AM75),0)))))</f>
        <v>0.59429774814338432</v>
      </c>
      <c r="D75" s="273">
        <f ca="1">IF(ISERROR(MATCH(D$1,INDIRECT("Table!A"&amp;$AM75):INDIRECT("Table!" &amp; $AP$108 &amp; $AM75),0)),"",INDIRECT(CONCATENATE("Table!",ADDRESS($AI75,MATCH(D$1,INDIRECT("Table!A" &amp; $AM75):INDIRECT("Table!" &amp; $AP$108 &amp; $AM75),0)))))</f>
        <v>0.60124204900747968</v>
      </c>
      <c r="E75" s="273">
        <f ca="1">IF(ISERROR(MATCH(E$1,INDIRECT("Table!A"&amp;$AM75):INDIRECT("Table!" &amp; $AP$108 &amp; $AM75),0)),"",INDIRECT(CONCATENATE("Table!",ADDRESS($AI75,MATCH(E$1,INDIRECT("Table!A" &amp; $AM75):INDIRECT("Table!" &amp; $AP$108 &amp; $AM75),0)))))</f>
        <v>1.5276579277331923</v>
      </c>
      <c r="F75" s="273">
        <f ca="1">IF(ISERROR(MATCH(F$1,INDIRECT("Table!A"&amp;$AM75):INDIRECT("Table!" &amp; $AP$108 &amp; $AM75),0)),"",INDIRECT(CONCATENATE("Table!",ADDRESS($AI75,MATCH(F$1,INDIRECT("Table!A" &amp; $AM75):INDIRECT("Table!" &amp; $AP$108 &amp; $AM75),0)))))</f>
        <v>1.5487780480802646</v>
      </c>
      <c r="G75" s="273">
        <f ca="1">IF(ISERROR(MATCH(G$1,INDIRECT("Table!A"&amp;$AM75):INDIRECT("Table!" &amp; $AP$108 &amp; $AM75),0)),"",INDIRECT(CONCATENATE("Table!",ADDRESS($AI75,MATCH(G$1,INDIRECT("Table!A" &amp; $AM75):INDIRECT("Table!" &amp; $AP$108 &amp; $AM75),0)))))</f>
        <v>3.4744851512124235</v>
      </c>
      <c r="H75" s="273">
        <f ca="1">IF(ISERROR(MATCH(H$1,INDIRECT("Table!A"&amp;$AM75):INDIRECT("Table!" &amp; $AP$108 &amp; $AM75),0)),"",INDIRECT(CONCATENATE("Table!",ADDRESS($AI75,MATCH(H$1,INDIRECT("Table!A" &amp; $AM75):INDIRECT("Table!" &amp; $AP$108 &amp; $AM75),0)))))</f>
        <v>0.81468133329745929</v>
      </c>
      <c r="I75" s="273">
        <f ca="1">IF(ISERROR(MATCH(I$1,INDIRECT("Table!A"&amp;$AM75):INDIRECT("Table!" &amp; $AP$86 &amp; $AM75),0)),"",INDIRECT(CONCATENATE("Table!",ADDRESS($AI75,MATCH(I$1,INDIRECT("Table!A" &amp; $AM75):INDIRECT("Table!" &amp; $AP$86 &amp; $AM75),0)))))</f>
        <v>7.5117098662735984E-2</v>
      </c>
      <c r="J75" s="273" t="str">
        <f ca="1">IF(ISERROR(MATCH(J$1,INDIRECT("Table!A"&amp;$AM75):INDIRECT("Table!" &amp; $AP$86 &amp; $AM75),0)),"",INDIRECT(CONCATENATE("Table!",ADDRESS($AI75,MATCH(J$1,INDIRECT("Table!A" &amp; $AM75):INDIRECT("Table!" &amp; $AP$86 &amp; $AM75),0)))))</f>
        <v/>
      </c>
      <c r="K75" s="273" t="str">
        <f ca="1">IF(ISERROR(MATCH(K$1,INDIRECT("Table!A"&amp;$AM75):INDIRECT("Table!" &amp; $AP$86 &amp; $AM75),0)),"",INDIRECT(CONCATENATE("Table!",ADDRESS($AI75,MATCH(K$1,INDIRECT("Table!A" &amp; $AM75):INDIRECT("Table!" &amp; $AP$86 &amp; $AM75),0)))))</f>
        <v/>
      </c>
      <c r="L75" s="273">
        <f ca="1">IF(ISERROR(MATCH(L$1,INDIRECT("Table!A"&amp;$AM75):INDIRECT("Table!" &amp; $AP$108 &amp; $AM75),0)),"",INDIRECT(CONCATENATE("Table!",ADDRESS($AI75,MATCH(L$1,INDIRECT("Table!A" &amp; $AM75):INDIRECT("Table!" &amp; $AP$108 &amp; $AM75),0)))))</f>
        <v>1.4637768809544778</v>
      </c>
      <c r="M75" s="273">
        <f ca="1">IF(ISERROR(MATCH(M$1,INDIRECT("Table!A"&amp;$AM75):INDIRECT("Table!" &amp; $AP$108 &amp; $AM75),0)),"",INDIRECT(CONCATENATE("Table!",ADDRESS($AI75,MATCH(M$1,INDIRECT("Table!A" &amp; $AM75):INDIRECT("Table!" &amp; $AP$108 &amp; $AM75),0)))))</f>
        <v>2.818166563487174</v>
      </c>
      <c r="N75" s="273">
        <f ca="1">IF(ISERROR(MATCH(N$1,INDIRECT("Table!A"&amp;$AM75):INDIRECT("Table!" &amp; $AP$108 &amp; $AM75),0)),"",INDIRECT(CONCATENATE("Table!",ADDRESS($AI75,MATCH(N$1,INDIRECT("Table!A" &amp; $AM75):INDIRECT("Table!" &amp; $AP$108 &amp; $AM75),0)))))</f>
        <v>1.6086903318533523</v>
      </c>
      <c r="O75" s="273">
        <f ca="1">IF(ISERROR(MATCH(O$1,INDIRECT("Table!A"&amp;$AM75):INDIRECT("Table!" &amp; $AP$86 &amp; $AM75),0)),"",INDIRECT(CONCATENATE("Table!",ADDRESS($AI75,MATCH(O$1,INDIRECT("Table!A" &amp; $AM75):INDIRECT("Table!" &amp; $AP$86 &amp; $AM75),0)))))</f>
        <v>0.90688832115464812</v>
      </c>
      <c r="P75" s="273">
        <f ca="1">IF(ISERROR(MATCH(P$1,INDIRECT("Table!A"&amp;$AM75):INDIRECT("Table!" &amp; $AP$86 &amp; $AM75),0)),"",INDIRECT(CONCATENATE("Table!",ADDRESS($AI75,MATCH(P$1,INDIRECT("Table!A" &amp; $AM75):INDIRECT("Table!" &amp; $AP$86 &amp; $AM75),0)))))</f>
        <v>0.34066598827057165</v>
      </c>
      <c r="Q75" s="273" t="str">
        <f ca="1">IF(ISERROR(MATCH(Q$1,INDIRECT("Table!A"&amp;$AM75):INDIRECT("Table!" &amp; $AP$86 &amp; $AM75),0)),"",INDIRECT(CONCATENATE("Table!",ADDRESS($AI75,MATCH(Q$1,INDIRECT("Table!A" &amp; $AM75):INDIRECT("Table!" &amp; $AP$86 &amp; $AM75),0)))))</f>
        <v/>
      </c>
      <c r="R75" s="273" t="str">
        <f ca="1">IF(ISERROR(MATCH(R$1,INDIRECT("Table!A"&amp;$AM75):INDIRECT("Table!" &amp; $AP$86 &amp; $AM75),0)),"",INDIRECT(CONCATENATE("Table!",ADDRESS($AI75,MATCH(R$1,INDIRECT("Table!A" &amp; $AM75):INDIRECT("Table!" &amp; $AP$86 &amp; $AM75),0)))))</f>
        <v/>
      </c>
      <c r="S75" s="596" t="str">
        <f ca="1">IF(ISERROR(MATCH(S$1,INDIRECT("Table!A"&amp;$AM75):INDIRECT("Table!" &amp; $AP$65 &amp; $AM75),0)),"",INDIRECT(CONCATENATE("Table!",ADDRESS($AI75,MATCH(S$1,INDIRECT("Table!A" &amp; $AM75):INDIRECT("Table!" &amp; $AP$65 &amp; $AM75),0)))))</f>
        <v/>
      </c>
      <c r="T75" s="273">
        <f ca="1">IF(ISERROR(MATCH(T$1,INDIRECT("Table!A"&amp;$AM75):INDIRECT("Table!" &amp; $AP$86 &amp; $AM75),0)),"",INDIRECT(CONCATENATE("Table!",ADDRESS($AI75,MATCH(T$1,INDIRECT("Table!A" &amp; $AM75):INDIRECT("Table!" &amp; $AP$86 &amp; $AM75),0)))))</f>
        <v>0.50742859733156043</v>
      </c>
      <c r="U75" s="596" t="str">
        <f ca="1">IF(ISERROR(MATCH(U$1,INDIRECT("Table!A"&amp;$AM75):INDIRECT("Table!" &amp; $AP$86 &amp; $AM75),0)),"",INDIRECT(CONCATENATE("Table!",ADDRESS($AI75,MATCH(U$1,INDIRECT("Table!A" &amp; $AM75):INDIRECT("Table!" &amp; $AP$86 &amp; $AM75),0)))))</f>
        <v/>
      </c>
      <c r="V75" s="596"/>
      <c r="W75" s="596"/>
      <c r="X75" s="596"/>
      <c r="Y75" s="596"/>
      <c r="Z75" s="596"/>
      <c r="AA75" s="596"/>
      <c r="AB75" s="596"/>
      <c r="AC75" s="596"/>
      <c r="AD75" s="596"/>
      <c r="AE75" s="596"/>
      <c r="AF75" s="596"/>
      <c r="AG75" s="596"/>
      <c r="AH75" s="596"/>
      <c r="AI75" s="272">
        <f>MATCH($A75,Table!$A:$A,0)+$AK$2-1</f>
        <v>1008</v>
      </c>
      <c r="AJ75" s="369"/>
      <c r="AK75" s="369"/>
      <c r="AL75" s="369"/>
      <c r="AM75" s="272">
        <f>MATCH($A75,Table!$A:$A,0)+$AO$2-1</f>
        <v>999</v>
      </c>
      <c r="AN75" s="369"/>
      <c r="AO75" s="369"/>
      <c r="AP75" s="973" t="s">
        <v>302</v>
      </c>
    </row>
    <row r="76" spans="1:42" s="267" customFormat="1" ht="19.5" customHeight="1" x14ac:dyDescent="0.25">
      <c r="A76" s="268">
        <v>41401</v>
      </c>
      <c r="B76" s="596">
        <f ca="1">IF(ISERROR(MATCH(B$1,INDIRECT("Table!A"&amp;$AM76):INDIRECT("Table!" &amp; $AP$108 &amp; $AM76),0)),"",INDIRECT(CONCATENATE("Table!",ADDRESS($AI76,MATCH(B$1,INDIRECT("Table!A" &amp; $AM76):INDIRECT("Table!" &amp; $AP$108 &amp; $AM76),0)))))</f>
        <v>1.2293031001686283</v>
      </c>
      <c r="C76" s="273">
        <f ca="1">IF(ISERROR(MATCH(C$1,INDIRECT("Table!A"&amp;$AM76):INDIRECT("Table!" &amp; $AP$108 &amp; $AM76),0)),"",INDIRECT(CONCATENATE("Table!",ADDRESS($AI76,MATCH(C$1,INDIRECT("Table!A" &amp; $AM76):INDIRECT("Table!" &amp; $AP$108 &amp; $AM76),0)))))</f>
        <v>0.59295368991162389</v>
      </c>
      <c r="D76" s="273">
        <f ca="1">IF(ISERROR(MATCH(D$1,INDIRECT("Table!A"&amp;$AM76):INDIRECT("Table!" &amp; $AP$108 &amp; $AM76),0)),"",INDIRECT(CONCATENATE("Table!",ADDRESS($AI76,MATCH(D$1,INDIRECT("Table!A" &amp; $AM76):INDIRECT("Table!" &amp; $AP$108 &amp; $AM76),0)))))</f>
        <v>0.59989799077571926</v>
      </c>
      <c r="E76" s="273">
        <f ca="1">IF(ISERROR(MATCH(E$1,INDIRECT("Table!A"&amp;$AM76):INDIRECT("Table!" &amp; $AP$108 &amp; $AM76),0)),"",INDIRECT(CONCATENATE("Table!",ADDRESS($AI76,MATCH(E$1,INDIRECT("Table!A" &amp; $AM76):INDIRECT("Table!" &amp; $AP$108 &amp; $AM76),0)))))</f>
        <v>1.5276579277331923</v>
      </c>
      <c r="F76" s="273">
        <f ca="1">IF(ISERROR(MATCH(F$1,INDIRECT("Table!A"&amp;$AM76):INDIRECT("Table!" &amp; $AP$108 &amp; $AM76),0)),"",INDIRECT(CONCATENATE("Table!",ADDRESS($AI76,MATCH(F$1,INDIRECT("Table!A" &amp; $AM76):INDIRECT("Table!" &amp; $AP$108 &amp; $AM76),0)))))</f>
        <v>1.5459250358864325</v>
      </c>
      <c r="G76" s="273">
        <f ca="1">IF(ISERROR(MATCH(G$1,INDIRECT("Table!A"&amp;$AM76):INDIRECT("Table!" &amp; $AP$108 &amp; $AM76),0)),"",INDIRECT(CONCATENATE("Table!",ADDRESS($AI76,MATCH(G$1,INDIRECT("Table!A" &amp; $AM76):INDIRECT("Table!" &amp; $AP$108 &amp; $AM76),0)))))</f>
        <v>3.463767732267732</v>
      </c>
      <c r="H76" s="273">
        <f ca="1">IF(ISERROR(MATCH(H$1,INDIRECT("Table!A"&amp;$AM76):INDIRECT("Table!" &amp; $AP$108 &amp; $AM76),0)),"",INDIRECT(CONCATENATE("Table!",ADDRESS($AI76,MATCH(H$1,INDIRECT("Table!A" &amp; $AM76):INDIRECT("Table!" &amp; $AP$108 &amp; $AM76),0)))))</f>
        <v>1.1774236350239591</v>
      </c>
      <c r="I76" s="273">
        <f ca="1">IF(ISERROR(MATCH(I$1,INDIRECT("Table!A"&amp;$AM76):INDIRECT("Table!" &amp; $AP$86 &amp; $AM76),0)),"",INDIRECT(CONCATENATE("Table!",ADDRESS($AI76,MATCH(I$1,INDIRECT("Table!A" &amp; $AM76):INDIRECT("Table!" &amp; $AP$86 &amp; $AM76),0)))))</f>
        <v>7.4914079477161027E-2</v>
      </c>
      <c r="J76" s="273" t="str">
        <f ca="1">IF(ISERROR(MATCH(J$1,INDIRECT("Table!A"&amp;$AM76):INDIRECT("Table!" &amp; $AP$86 &amp; $AM76),0)),"",INDIRECT(CONCATENATE("Table!",ADDRESS($AI76,MATCH(J$1,INDIRECT("Table!A" &amp; $AM76):INDIRECT("Table!" &amp; $AP$86 &amp; $AM76),0)))))</f>
        <v/>
      </c>
      <c r="K76" s="273" t="str">
        <f ca="1">IF(ISERROR(MATCH(K$1,INDIRECT("Table!A"&amp;$AM76):INDIRECT("Table!" &amp; $AP$86 &amp; $AM76),0)),"",INDIRECT(CONCATENATE("Table!",ADDRESS($AI76,MATCH(K$1,INDIRECT("Table!A" &amp; $AM76):INDIRECT("Table!" &amp; $AP$86 &amp; $AM76),0)))))</f>
        <v/>
      </c>
      <c r="L76" s="273">
        <f ca="1">IF(ISERROR(MATCH(L$1,INDIRECT("Table!A"&amp;$AM76):INDIRECT("Table!" &amp; $AP$108 &amp; $AM76),0)),"",INDIRECT(CONCATENATE("Table!",ADDRESS($AI76,MATCH(L$1,INDIRECT("Table!A" &amp; $AM76):INDIRECT("Table!" &amp; $AP$108 &amp; $AM76),0)))))</f>
        <v>1.4637768809544778</v>
      </c>
      <c r="M76" s="273">
        <f ca="1">IF(ISERROR(MATCH(M$1,INDIRECT("Table!A"&amp;$AM76):INDIRECT("Table!" &amp; $AP$108 &amp; $AM76),0)),"",INDIRECT(CONCATENATE("Table!",ADDRESS($AI76,MATCH(M$1,INDIRECT("Table!A" &amp; $AM76):INDIRECT("Table!" &amp; $AP$108 &amp; $AM76),0)))))</f>
        <v>2.8207183260401321</v>
      </c>
      <c r="N76" s="273">
        <f ca="1">IF(ISERROR(MATCH(N$1,INDIRECT("Table!A"&amp;$AM76):INDIRECT("Table!" &amp; $AP$108 &amp; $AM76),0)),"",INDIRECT(CONCATENATE("Table!",ADDRESS($AI76,MATCH(N$1,INDIRECT("Table!A" &amp; $AM76):INDIRECT("Table!" &amp; $AP$108 &amp; $AM76),0)))))</f>
        <v>1.6037994567628431</v>
      </c>
      <c r="O76" s="273">
        <f ca="1">IF(ISERROR(MATCH(O$1,INDIRECT("Table!A"&amp;$AM76):INDIRECT("Table!" &amp; $AP$86 &amp; $AM76),0)),"",INDIRECT(CONCATENATE("Table!",ADDRESS($AI76,MATCH(O$1,INDIRECT("Table!A" &amp; $AM76):INDIRECT("Table!" &amp; $AP$86 &amp; $AM76),0)))))</f>
        <v>1.4496865471799785</v>
      </c>
      <c r="P76" s="273">
        <f ca="1">IF(ISERROR(MATCH(P$1,INDIRECT("Table!A"&amp;$AM76):INDIRECT("Table!" &amp; $AP$86 &amp; $AM76),0)),"",INDIRECT(CONCATENATE("Table!",ADDRESS($AI76,MATCH(P$1,INDIRECT("Table!A" &amp; $AM76):INDIRECT("Table!" &amp; $AP$86 &amp; $AM76),0)))))</f>
        <v>0.34025995014390825</v>
      </c>
      <c r="Q76" s="273" t="str">
        <f ca="1">IF(ISERROR(MATCH(Q$1,INDIRECT("Table!A"&amp;$AM76):INDIRECT("Table!" &amp; $AP$86 &amp; $AM76),0)),"",INDIRECT(CONCATENATE("Table!",ADDRESS($AI76,MATCH(Q$1,INDIRECT("Table!A" &amp; $AM76):INDIRECT("Table!" &amp; $AP$86 &amp; $AM76),0)))))</f>
        <v/>
      </c>
      <c r="R76" s="273" t="str">
        <f ca="1">IF(ISERROR(MATCH(R$1,INDIRECT("Table!A"&amp;$AM76):INDIRECT("Table!" &amp; $AP$86 &amp; $AM76),0)),"",INDIRECT(CONCATENATE("Table!",ADDRESS($AI76,MATCH(R$1,INDIRECT("Table!A" &amp; $AM76):INDIRECT("Table!" &amp; $AP$86 &amp; $AM76),0)))))</f>
        <v/>
      </c>
      <c r="S76" s="596" t="str">
        <f ca="1">IF(ISERROR(MATCH(S$1,INDIRECT("Table!A"&amp;$AM76):INDIRECT("Table!" &amp; $AP$65 &amp; $AM76),0)),"",INDIRECT(CONCATENATE("Table!",ADDRESS($AI76,MATCH(S$1,INDIRECT("Table!A" &amp; $AM76):INDIRECT("Table!" &amp; $AP$65 &amp; $AM76),0)))))</f>
        <v/>
      </c>
      <c r="T76" s="273">
        <f ca="1">IF(ISERROR(MATCH(T$1,INDIRECT("Table!A"&amp;$AM76):INDIRECT("Table!" &amp; $AP$86 &amp; $AM76),0)),"",INDIRECT(CONCATENATE("Table!",ADDRESS($AI76,MATCH(T$1,INDIRECT("Table!A" &amp; $AM76):INDIRECT("Table!" &amp; $AP$86 &amp; $AM76),0)))))</f>
        <v>0.4921446034360315</v>
      </c>
      <c r="U76" s="596" t="str">
        <f ca="1">IF(ISERROR(MATCH(U$1,INDIRECT("Table!A"&amp;$AM76):INDIRECT("Table!" &amp; $AP$86 &amp; $AM76),0)),"",INDIRECT(CONCATENATE("Table!",ADDRESS($AI76,MATCH(U$1,INDIRECT("Table!A" &amp; $AM76):INDIRECT("Table!" &amp; $AP$86 &amp; $AM76),0)))))</f>
        <v/>
      </c>
      <c r="V76" s="596"/>
      <c r="W76" s="596"/>
      <c r="X76" s="596"/>
      <c r="Y76" s="596"/>
      <c r="Z76" s="596"/>
      <c r="AA76" s="596"/>
      <c r="AB76" s="596"/>
      <c r="AC76" s="596"/>
      <c r="AD76" s="596"/>
      <c r="AE76" s="596"/>
      <c r="AF76" s="596"/>
      <c r="AG76" s="596"/>
      <c r="AH76" s="596"/>
      <c r="AI76" s="272">
        <f>MATCH($A76,Table!$A:$A,0)+$AK$2-1</f>
        <v>1020</v>
      </c>
      <c r="AJ76" s="369"/>
      <c r="AK76" s="369"/>
      <c r="AL76" s="369"/>
      <c r="AM76" s="272">
        <f>MATCH($A76,Table!$A:$A,0)+$AO$2-1</f>
        <v>1011</v>
      </c>
      <c r="AN76" s="369"/>
      <c r="AO76" s="369"/>
      <c r="AP76" s="973" t="s">
        <v>302</v>
      </c>
    </row>
    <row r="77" spans="1:42" s="267" customFormat="1" ht="19.5" customHeight="1" x14ac:dyDescent="0.25">
      <c r="A77" s="268">
        <v>41395</v>
      </c>
      <c r="B77" s="596">
        <f ca="1">IF(ISERROR(MATCH(B$1,INDIRECT("Table!A"&amp;$AM77):INDIRECT("Table!" &amp; $AP$108 &amp; $AM77),0)),"",INDIRECT(CONCATENATE("Table!",ADDRESS($AI77,MATCH(B$1,INDIRECT("Table!A" &amp; $AM77):INDIRECT("Table!" &amp; $AP$108 &amp; $AM77),0)))))</f>
        <v>1.3428749053295783</v>
      </c>
      <c r="C77" s="273">
        <f ca="1">IF(ISERROR(MATCH(C$1,INDIRECT("Table!A"&amp;$AM77):INDIRECT("Table!" &amp; $AP$108 &amp; $AM77),0)),"",INDIRECT(CONCATENATE("Table!",ADDRESS($AI77,MATCH(C$1,INDIRECT("Table!A" &amp; $AM77):INDIRECT("Table!" &amp; $AP$108 &amp; $AM77),0)))))</f>
        <v>0.59295368991162389</v>
      </c>
      <c r="D77" s="273">
        <f ca="1">IF(ISERROR(MATCH(D$1,INDIRECT("Table!A"&amp;$AM77):INDIRECT("Table!" &amp; $AP$108 &amp; $AM77),0)),"",INDIRECT(CONCATENATE("Table!",ADDRESS($AI77,MATCH(D$1,INDIRECT("Table!A" &amp; $AM77):INDIRECT("Table!" &amp; $AP$108 &amp; $AM77),0)))))</f>
        <v>0.59989799077571926</v>
      </c>
      <c r="E77" s="273">
        <f ca="1">IF(ISERROR(MATCH(E$1,INDIRECT("Table!A"&amp;$AM77):INDIRECT("Table!" &amp; $AP$108 &amp; $AM77),0)),"",INDIRECT(CONCATENATE("Table!",ADDRESS($AI77,MATCH(E$1,INDIRECT("Table!A" &amp; $AM77):INDIRECT("Table!" &amp; $AP$108 &amp; $AM77),0)))))</f>
        <v>1.5276579277331923</v>
      </c>
      <c r="F77" s="273">
        <f ca="1">IF(ISERROR(MATCH(F$1,INDIRECT("Table!A"&amp;$AM77):INDIRECT("Table!" &amp; $AP$108 &amp; $AM77),0)),"",INDIRECT(CONCATENATE("Table!",ADDRESS($AI77,MATCH(F$1,INDIRECT("Table!A" &amp; $AM77):INDIRECT("Table!" &amp; $AP$108 &amp; $AM77),0)))))</f>
        <v>1.534105413940557</v>
      </c>
      <c r="G77" s="273">
        <f ca="1">IF(ISERROR(MATCH(G$1,INDIRECT("Table!A"&amp;$AM77):INDIRECT("Table!" &amp; $AP$108 &amp; $AM77),0)),"",INDIRECT(CONCATENATE("Table!",ADDRESS($AI77,MATCH(G$1,INDIRECT("Table!A" &amp; $AM77):INDIRECT("Table!" &amp; $AP$108 &amp; $AM77),0)))))</f>
        <v>3.4331465352828987</v>
      </c>
      <c r="H77" s="273">
        <f ca="1">IF(ISERROR(MATCH(H$1,INDIRECT("Table!A"&amp;$AM77):INDIRECT("Table!" &amp; $AP$108 &amp; $AM77),0)),"",INDIRECT(CONCATENATE("Table!",ADDRESS($AI77,MATCH(H$1,INDIRECT("Table!A" &amp; $AM77):INDIRECT("Table!" &amp; $AP$108 &amp; $AM77),0)))))</f>
        <v>1.1774236350239591</v>
      </c>
      <c r="I77" s="273">
        <f ca="1">IF(ISERROR(MATCH(I$1,INDIRECT("Table!A"&amp;$AM77):INDIRECT("Table!" &amp; $AP$86 &amp; $AM77),0)),"",INDIRECT(CONCATENATE("Table!",ADDRESS($AI77,MATCH(I$1,INDIRECT("Table!A" &amp; $AM77):INDIRECT("Table!" &amp; $AP$86 &amp; $AM77),0)))))</f>
        <v>7.4914079477161027E-2</v>
      </c>
      <c r="J77" s="273" t="str">
        <f ca="1">IF(ISERROR(MATCH(J$1,INDIRECT("Table!A"&amp;$AM77):INDIRECT("Table!" &amp; $AP$86 &amp; $AM77),0)),"",INDIRECT(CONCATENATE("Table!",ADDRESS($AI77,MATCH(J$1,INDIRECT("Table!A" &amp; $AM77):INDIRECT("Table!" &amp; $AP$86 &amp; $AM77),0)))))</f>
        <v/>
      </c>
      <c r="K77" s="273" t="str">
        <f ca="1">IF(ISERROR(MATCH(K$1,INDIRECT("Table!A"&amp;$AM77):INDIRECT("Table!" &amp; $AP$86 &amp; $AM77),0)),"",INDIRECT(CONCATENATE("Table!",ADDRESS($AI77,MATCH(K$1,INDIRECT("Table!A" &amp; $AM77):INDIRECT("Table!" &amp; $AP$86 &amp; $AM77),0)))))</f>
        <v/>
      </c>
      <c r="L77" s="273">
        <f ca="1">IF(ISERROR(MATCH(L$1,INDIRECT("Table!A"&amp;$AM77):INDIRECT("Table!" &amp; $AP$108 &amp; $AM77),0)),"",INDIRECT(CONCATENATE("Table!",ADDRESS($AI77,MATCH(L$1,INDIRECT("Table!A" &amp; $AM77):INDIRECT("Table!" &amp; $AP$108 &amp; $AM77),0)))))</f>
        <v>1.4637768809544778</v>
      </c>
      <c r="M77" s="273">
        <f ca="1">IF(ISERROR(MATCH(M$1,INDIRECT("Table!A"&amp;$AM77):INDIRECT("Table!" &amp; $AP$108 &amp; $AM77),0)),"",INDIRECT(CONCATENATE("Table!",ADDRESS($AI77,MATCH(M$1,INDIRECT("Table!A" &amp; $AM77):INDIRECT("Table!" &amp; $AP$108 &amp; $AM77),0)))))</f>
        <v>2.8168906822106945</v>
      </c>
      <c r="N77" s="273">
        <f ca="1">IF(ISERROR(MATCH(N$1,INDIRECT("Table!A"&amp;$AM77):INDIRECT("Table!" &amp; $AP$108 &amp; $AM77),0)),"",INDIRECT(CONCATENATE("Table!",ADDRESS($AI77,MATCH(N$1,INDIRECT("Table!A" &amp; $AM77):INDIRECT("Table!" &amp; $AP$108 &amp; $AM77),0)))))</f>
        <v>1.5940177065818246</v>
      </c>
      <c r="O77" s="273">
        <f ca="1">IF(ISERROR(MATCH(O$1,INDIRECT("Table!A"&amp;$AM77):INDIRECT("Table!" &amp; $AP$86 &amp; $AM77),0)),"",INDIRECT(CONCATENATE("Table!",ADDRESS($AI77,MATCH(O$1,INDIRECT("Table!A" &amp; $AM77):INDIRECT("Table!" &amp; $AP$86 &amp; $AM77),0)))))</f>
        <v>1.4496865471799785</v>
      </c>
      <c r="P77" s="273">
        <f ca="1">IF(ISERROR(MATCH(P$1,INDIRECT("Table!A"&amp;$AM77):INDIRECT("Table!" &amp; $AP$86 &amp; $AM77),0)),"",INDIRECT(CONCATENATE("Table!",ADDRESS($AI77,MATCH(P$1,INDIRECT("Table!A" &amp; $AM77):INDIRECT("Table!" &amp; $AP$86 &amp; $AM77),0)))))</f>
        <v>0.34025995014390825</v>
      </c>
      <c r="Q77" s="273" t="str">
        <f ca="1">IF(ISERROR(MATCH(Q$1,INDIRECT("Table!A"&amp;$AM77):INDIRECT("Table!" &amp; $AP$86 &amp; $AM77),0)),"",INDIRECT(CONCATENATE("Table!",ADDRESS($AI77,MATCH(Q$1,INDIRECT("Table!A" &amp; $AM77):INDIRECT("Table!" &amp; $AP$86 &amp; $AM77),0)))))</f>
        <v/>
      </c>
      <c r="R77" s="273" t="str">
        <f ca="1">IF(ISERROR(MATCH(R$1,INDIRECT("Table!A"&amp;$AM77):INDIRECT("Table!" &amp; $AP$86 &amp; $AM77),0)),"",INDIRECT(CONCATENATE("Table!",ADDRESS($AI77,MATCH(R$1,INDIRECT("Table!A" &amp; $AM77):INDIRECT("Table!" &amp; $AP$86 &amp; $AM77),0)))))</f>
        <v/>
      </c>
      <c r="S77" s="596" t="str">
        <f ca="1">IF(ISERROR(MATCH(S$1,INDIRECT("Table!A"&amp;$AM77):INDIRECT("Table!" &amp; $AP$65 &amp; $AM77),0)),"",INDIRECT(CONCATENATE("Table!",ADDRESS($AI77,MATCH(S$1,INDIRECT("Table!A" &amp; $AM77):INDIRECT("Table!" &amp; $AP$65 &amp; $AM77),0)))))</f>
        <v/>
      </c>
      <c r="T77" s="273">
        <f ca="1">IF(ISERROR(MATCH(T$1,INDIRECT("Table!A"&amp;$AM77):INDIRECT("Table!" &amp; $AP$86 &amp; $AM77),0)),"",INDIRECT(CONCATENATE("Table!",ADDRESS($AI77,MATCH(T$1,INDIRECT("Table!A" &amp; $AM77):INDIRECT("Table!" &amp; $AP$86 &amp; $AM77),0)))))</f>
        <v>0.4921446034360315</v>
      </c>
      <c r="U77" s="596" t="str">
        <f ca="1">IF(ISERROR(MATCH(U$1,INDIRECT("Table!A"&amp;$AM77):INDIRECT("Table!" &amp; $AP$86 &amp; $AM77),0)),"",INDIRECT(CONCATENATE("Table!",ADDRESS($AI77,MATCH(U$1,INDIRECT("Table!A" &amp; $AM77):INDIRECT("Table!" &amp; $AP$86 &amp; $AM77),0)))))</f>
        <v/>
      </c>
      <c r="V77" s="596"/>
      <c r="W77" s="596"/>
      <c r="X77" s="596"/>
      <c r="Y77" s="596"/>
      <c r="Z77" s="596"/>
      <c r="AA77" s="596"/>
      <c r="AB77" s="596"/>
      <c r="AC77" s="596"/>
      <c r="AD77" s="596"/>
      <c r="AE77" s="596"/>
      <c r="AF77" s="596"/>
      <c r="AG77" s="596"/>
      <c r="AH77" s="596"/>
      <c r="AI77" s="272">
        <f>MATCH($A77,Table!$A:$A,0)+$AK$2-1</f>
        <v>1032</v>
      </c>
      <c r="AJ77" s="366"/>
      <c r="AK77" s="366"/>
      <c r="AL77" s="366"/>
      <c r="AM77" s="272">
        <f>MATCH($A77,Table!$A:$A,0)+$AO$2-1</f>
        <v>1023</v>
      </c>
      <c r="AN77" s="366"/>
      <c r="AO77" s="366"/>
      <c r="AP77" s="973" t="s">
        <v>302</v>
      </c>
    </row>
    <row r="78" spans="1:42" s="267" customFormat="1" ht="19.5" customHeight="1" x14ac:dyDescent="0.25">
      <c r="A78" s="268">
        <v>41393</v>
      </c>
      <c r="B78" s="596">
        <f ca="1">IF(ISERROR(MATCH(B$1,INDIRECT("Table!A"&amp;$AM78):INDIRECT("Table!" &amp; $AP$108 &amp; $AM78),0)),"",INDIRECT(CONCATENATE("Table!",ADDRESS($AI78,MATCH(B$1,INDIRECT("Table!A" &amp; $AM78):INDIRECT("Table!" &amp; $AP$108 &amp; $AM78),0)))))</f>
        <v>1.3428749053295783</v>
      </c>
      <c r="C78" s="273">
        <f ca="1">IF(ISERROR(MATCH(C$1,INDIRECT("Table!A"&amp;$AM78):INDIRECT("Table!" &amp; $AP$108 &amp; $AM78),0)),"",INDIRECT(CONCATENATE("Table!",ADDRESS($AI78,MATCH(C$1,INDIRECT("Table!A" &amp; $AM78):INDIRECT("Table!" &amp; $AP$108 &amp; $AM78),0)))))</f>
        <v>0.59295368991162389</v>
      </c>
      <c r="D78" s="273">
        <f ca="1">IF(ISERROR(MATCH(D$1,INDIRECT("Table!A"&amp;$AM78):INDIRECT("Table!" &amp; $AP$108 &amp; $AM78),0)),"",INDIRECT(CONCATENATE("Table!",ADDRESS($AI78,MATCH(D$1,INDIRECT("Table!A" &amp; $AM78):INDIRECT("Table!" &amp; $AP$108 &amp; $AM78),0)))))</f>
        <v>0.59989799077571926</v>
      </c>
      <c r="E78" s="273">
        <f ca="1">IF(ISERROR(MATCH(E$1,INDIRECT("Table!A"&amp;$AM78):INDIRECT("Table!" &amp; $AP$108 &amp; $AM78),0)),"",INDIRECT(CONCATENATE("Table!",ADDRESS($AI78,MATCH(E$1,INDIRECT("Table!A" &amp; $AM78):INDIRECT("Table!" &amp; $AP$108 &amp; $AM78),0)))))</f>
        <v>1.5276579277331923</v>
      </c>
      <c r="F78" s="273">
        <f ca="1">IF(ISERROR(MATCH(F$1,INDIRECT("Table!A"&amp;$AM78):INDIRECT("Table!" &amp; $AP$108 &amp; $AM78),0)),"",INDIRECT(CONCATENATE("Table!",ADDRESS($AI78,MATCH(F$1,INDIRECT("Table!A" &amp; $AM78):INDIRECT("Table!" &amp; $AP$108 &amp; $AM78),0)))))</f>
        <v>1.534105413940557</v>
      </c>
      <c r="G78" s="273">
        <f ca="1">IF(ISERROR(MATCH(G$1,INDIRECT("Table!A"&amp;$AM78):INDIRECT("Table!" &amp; $AP$108 &amp; $AM78),0)),"",INDIRECT(CONCATENATE("Table!",ADDRESS($AI78,MATCH(G$1,INDIRECT("Table!A" &amp; $AM78):INDIRECT("Table!" &amp; $AP$108 &amp; $AM78),0)))))</f>
        <v>3.4331465352828987</v>
      </c>
      <c r="H78" s="273">
        <f ca="1">IF(ISERROR(MATCH(H$1,INDIRECT("Table!A"&amp;$AM78):INDIRECT("Table!" &amp; $AP$108 &amp; $AM78),0)),"",INDIRECT(CONCATENATE("Table!",ADDRESS($AI78,MATCH(H$1,INDIRECT("Table!A" &amp; $AM78):INDIRECT("Table!" &amp; $AP$108 &amp; $AM78),0)))))</f>
        <v>1.175200508028398</v>
      </c>
      <c r="I78" s="273">
        <f ca="1">IF(ISERROR(MATCH(I$1,INDIRECT("Table!A"&amp;$AM78):INDIRECT("Table!" &amp; $AP$86 &amp; $AM78),0)),"",INDIRECT(CONCATENATE("Table!",ADDRESS($AI78,MATCH(I$1,INDIRECT("Table!A" &amp; $AM78):INDIRECT("Table!" &amp; $AP$86 &amp; $AM78),0)))))</f>
        <v>7.4914079477161027E-2</v>
      </c>
      <c r="J78" s="273" t="str">
        <f ca="1">IF(ISERROR(MATCH(J$1,INDIRECT("Table!A"&amp;$AM78):INDIRECT("Table!" &amp; $AP$86 &amp; $AM78),0)),"",INDIRECT(CONCATENATE("Table!",ADDRESS($AI78,MATCH(J$1,INDIRECT("Table!A" &amp; $AM78):INDIRECT("Table!" &amp; $AP$86 &amp; $AM78),0)))))</f>
        <v/>
      </c>
      <c r="K78" s="273" t="str">
        <f ca="1">IF(ISERROR(MATCH(K$1,INDIRECT("Table!A"&amp;$AM78):INDIRECT("Table!" &amp; $AP$86 &amp; $AM78),0)),"",INDIRECT(CONCATENATE("Table!",ADDRESS($AI78,MATCH(K$1,INDIRECT("Table!A" &amp; $AM78):INDIRECT("Table!" &amp; $AP$86 &amp; $AM78),0)))))</f>
        <v/>
      </c>
      <c r="L78" s="273">
        <f ca="1">IF(ISERROR(MATCH(L$1,INDIRECT("Table!A"&amp;$AM78):INDIRECT("Table!" &amp; $AP$108 &amp; $AM78),0)),"",INDIRECT(CONCATENATE("Table!",ADDRESS($AI78,MATCH(L$1,INDIRECT("Table!A" &amp; $AM78):INDIRECT("Table!" &amp; $AP$108 &amp; $AM78),0)))))</f>
        <v>1.4637768809544778</v>
      </c>
      <c r="M78" s="273">
        <f ca="1">IF(ISERROR(MATCH(M$1,INDIRECT("Table!A"&amp;$AM78):INDIRECT("Table!" &amp; $AP$108 &amp; $AM78),0)),"",INDIRECT(CONCATENATE("Table!",ADDRESS($AI78,MATCH(M$1,INDIRECT("Table!A" &amp; $AM78):INDIRECT("Table!" &amp; $AP$108 &amp; $AM78),0)))))</f>
        <v>2.8145940959130322</v>
      </c>
      <c r="N78" s="273">
        <f ca="1">IF(ISERROR(MATCH(N$1,INDIRECT("Table!A"&amp;$AM78):INDIRECT("Table!" &amp; $AP$108 &amp; $AM78),0)),"",INDIRECT(CONCATENATE("Table!",ADDRESS($AI78,MATCH(N$1,INDIRECT("Table!A" &amp; $AM78):INDIRECT("Table!" &amp; $AP$108 &amp; $AM78),0)))))</f>
        <v>1.5940177065818246</v>
      </c>
      <c r="O78" s="273">
        <f ca="1">IF(ISERROR(MATCH(O$1,INDIRECT("Table!A"&amp;$AM78):INDIRECT("Table!" &amp; $AP$86 &amp; $AM78),0)),"",INDIRECT(CONCATENATE("Table!",ADDRESS($AI78,MATCH(O$1,INDIRECT("Table!A" &amp; $AM78):INDIRECT("Table!" &amp; $AP$86 &amp; $AM78),0)))))</f>
        <v>1.4481581480791033</v>
      </c>
      <c r="P78" s="273">
        <f ca="1">IF(ISERROR(MATCH(P$1,INDIRECT("Table!A"&amp;$AM78):INDIRECT("Table!" &amp; $AP$86 &amp; $AM78),0)),"",INDIRECT(CONCATENATE("Table!",ADDRESS($AI78,MATCH(P$1,INDIRECT("Table!A" &amp; $AM78):INDIRECT("Table!" &amp; $AP$86 &amp; $AM78),0)))))</f>
        <v>0.32807880634400705</v>
      </c>
      <c r="Q78" s="273" t="str">
        <f ca="1">IF(ISERROR(MATCH(Q$1,INDIRECT("Table!A"&amp;$AM78):INDIRECT("Table!" &amp; $AP$86 &amp; $AM78),0)),"",INDIRECT(CONCATENATE("Table!",ADDRESS($AI78,MATCH(Q$1,INDIRECT("Table!A" &amp; $AM78):INDIRECT("Table!" &amp; $AP$86 &amp; $AM78),0)))))</f>
        <v/>
      </c>
      <c r="R78" s="273" t="str">
        <f ca="1">IF(ISERROR(MATCH(R$1,INDIRECT("Table!A"&amp;$AM78):INDIRECT("Table!" &amp; $AP$86 &amp; $AM78),0)),"",INDIRECT(CONCATENATE("Table!",ADDRESS($AI78,MATCH(R$1,INDIRECT("Table!A" &amp; $AM78):INDIRECT("Table!" &amp; $AP$86 &amp; $AM78),0)))))</f>
        <v/>
      </c>
      <c r="S78" s="596" t="str">
        <f ca="1">IF(ISERROR(MATCH(S$1,INDIRECT("Table!A"&amp;$AM78):INDIRECT("Table!" &amp; $AP$65 &amp; $AM78),0)),"",INDIRECT(CONCATENATE("Table!",ADDRESS($AI78,MATCH(S$1,INDIRECT("Table!A" &amp; $AM78):INDIRECT("Table!" &amp; $AP$65 &amp; $AM78),0)))))</f>
        <v/>
      </c>
      <c r="T78" s="273">
        <f ca="1">IF(ISERROR(MATCH(T$1,INDIRECT("Table!A"&amp;$AM78):INDIRECT("Table!" &amp; $AP$86 &amp; $AM78),0)),"",INDIRECT(CONCATENATE("Table!",ADDRESS($AI78,MATCH(T$1,INDIRECT("Table!A" &amp; $AM78):INDIRECT("Table!" &amp; $AP$86 &amp; $AM78),0)))))</f>
        <v>0.4921446034360315</v>
      </c>
      <c r="U78" s="596" t="str">
        <f ca="1">IF(ISERROR(MATCH(U$1,INDIRECT("Table!A"&amp;$AM78):INDIRECT("Table!" &amp; $AP$86 &amp; $AM78),0)),"",INDIRECT(CONCATENATE("Table!",ADDRESS($AI78,MATCH(U$1,INDIRECT("Table!A" &amp; $AM78):INDIRECT("Table!" &amp; $AP$86 &amp; $AM78),0)))))</f>
        <v/>
      </c>
      <c r="V78" s="596"/>
      <c r="W78" s="596"/>
      <c r="X78" s="596"/>
      <c r="Y78" s="596"/>
      <c r="Z78" s="596"/>
      <c r="AA78" s="596"/>
      <c r="AB78" s="596"/>
      <c r="AC78" s="596"/>
      <c r="AD78" s="596"/>
      <c r="AE78" s="596"/>
      <c r="AF78" s="596"/>
      <c r="AG78" s="596"/>
      <c r="AH78" s="596"/>
      <c r="AI78" s="272">
        <f>MATCH($A78,Table!$A:$A,0)+$AK$2-1</f>
        <v>1044</v>
      </c>
      <c r="AJ78" s="365"/>
      <c r="AK78" s="365"/>
      <c r="AL78" s="365"/>
      <c r="AM78" s="272">
        <f>MATCH($A78,Table!$A:$A,0)+$AO$2-1</f>
        <v>1035</v>
      </c>
      <c r="AN78" s="365"/>
      <c r="AO78" s="365"/>
      <c r="AP78" s="973" t="s">
        <v>302</v>
      </c>
    </row>
    <row r="79" spans="1:42" s="267" customFormat="1" ht="19.5" customHeight="1" x14ac:dyDescent="0.25">
      <c r="A79" s="268">
        <v>41390</v>
      </c>
      <c r="B79" s="596">
        <f ca="1">IF(ISERROR(MATCH(B$1,INDIRECT("Table!A"&amp;$AM79):INDIRECT("Table!" &amp; $AP$108 &amp; $AM79),0)),"",INDIRECT(CONCATENATE("Table!",ADDRESS($AI79,MATCH(B$1,INDIRECT("Table!A" &amp; $AM79):INDIRECT("Table!" &amp; $AP$108 &amp; $AM79),0)))))</f>
        <v>1.3428749053295783</v>
      </c>
      <c r="C79" s="273">
        <f ca="1">IF(ISERROR(MATCH(C$1,INDIRECT("Table!A"&amp;$AM79):INDIRECT("Table!" &amp; $AP$108 &amp; $AM79),0)),"",INDIRECT(CONCATENATE("Table!",ADDRESS($AI79,MATCH(C$1,INDIRECT("Table!A" &amp; $AM79):INDIRECT("Table!" &amp; $AP$108 &amp; $AM79),0)))))</f>
        <v>0.59295368991162389</v>
      </c>
      <c r="D79" s="273">
        <f ca="1">IF(ISERROR(MATCH(D$1,INDIRECT("Table!A"&amp;$AM79):INDIRECT("Table!" &amp; $AP$108 &amp; $AM79),0)),"",INDIRECT(CONCATENATE("Table!",ADDRESS($AI79,MATCH(D$1,INDIRECT("Table!A" &amp; $AM79):INDIRECT("Table!" &amp; $AP$108 &amp; $AM79),0)))))</f>
        <v>0.59989799077571926</v>
      </c>
      <c r="E79" s="273">
        <f ca="1">IF(ISERROR(MATCH(E$1,INDIRECT("Table!A"&amp;$AM79):INDIRECT("Table!" &amp; $AP$108 &amp; $AM79),0)),"",INDIRECT(CONCATENATE("Table!",ADDRESS($AI79,MATCH(E$1,INDIRECT("Table!A" &amp; $AM79):INDIRECT("Table!" &amp; $AP$108 &amp; $AM79),0)))))</f>
        <v>1.5276579277331923</v>
      </c>
      <c r="F79" s="273">
        <f ca="1">IF(ISERROR(MATCH(F$1,INDIRECT("Table!A"&amp;$AM79):INDIRECT("Table!" &amp; $AP$108 &amp; $AM79),0)),"",INDIRECT(CONCATENATE("Table!",ADDRESS($AI79,MATCH(F$1,INDIRECT("Table!A" &amp; $AM79):INDIRECT("Table!" &amp; $AP$108 &amp; $AM79),0)))))</f>
        <v>1.534105413940557</v>
      </c>
      <c r="G79" s="273">
        <f ca="1">IF(ISERROR(MATCH(G$1,INDIRECT("Table!A"&amp;$AM79):INDIRECT("Table!" &amp; $AP$108 &amp; $AM79),0)),"",INDIRECT(CONCATENATE("Table!",ADDRESS($AI79,MATCH(G$1,INDIRECT("Table!A" &amp; $AM79):INDIRECT("Table!" &amp; $AP$108 &amp; $AM79),0)))))</f>
        <v>3.4331465352828987</v>
      </c>
      <c r="H79" s="273">
        <f ca="1">IF(ISERROR(MATCH(H$1,INDIRECT("Table!A"&amp;$AM79):INDIRECT("Table!" &amp; $AP$108 &amp; $AM79),0)),"",INDIRECT(CONCATENATE("Table!",ADDRESS($AI79,MATCH(H$1,INDIRECT("Table!A" &amp; $AM79):INDIRECT("Table!" &amp; $AP$108 &amp; $AM79),0)))))</f>
        <v>1.1718658175350565</v>
      </c>
      <c r="I79" s="273">
        <f ca="1">IF(ISERROR(MATCH(I$1,INDIRECT("Table!A"&amp;$AM79):INDIRECT("Table!" &amp; $AP$86 &amp; $AM79),0)),"",INDIRECT(CONCATENATE("Table!",ADDRESS($AI79,MATCH(I$1,INDIRECT("Table!A" &amp; $AM79):INDIRECT("Table!" &amp; $AP$86 &amp; $AM79),0)))))</f>
        <v>7.4914079477161027E-2</v>
      </c>
      <c r="J79" s="273" t="str">
        <f ca="1">IF(ISERROR(MATCH(J$1,INDIRECT("Table!A"&amp;$AM79):INDIRECT("Table!" &amp; $AP$86 &amp; $AM79),0)),"",INDIRECT(CONCATENATE("Table!",ADDRESS($AI79,MATCH(J$1,INDIRECT("Table!A" &amp; $AM79):INDIRECT("Table!" &amp; $AP$86 &amp; $AM79),0)))))</f>
        <v/>
      </c>
      <c r="K79" s="273" t="str">
        <f ca="1">IF(ISERROR(MATCH(K$1,INDIRECT("Table!A"&amp;$AM79):INDIRECT("Table!" &amp; $AP$86 &amp; $AM79),0)),"",INDIRECT(CONCATENATE("Table!",ADDRESS($AI79,MATCH(K$1,INDIRECT("Table!A" &amp; $AM79):INDIRECT("Table!" &amp; $AP$86 &amp; $AM79),0)))))</f>
        <v/>
      </c>
      <c r="L79" s="273">
        <f ca="1">IF(ISERROR(MATCH(L$1,INDIRECT("Table!A"&amp;$AM79):INDIRECT("Table!" &amp; $AP$108 &amp; $AM79),0)),"",INDIRECT(CONCATENATE("Table!",ADDRESS($AI79,MATCH(L$1,INDIRECT("Table!A" &amp; $AM79):INDIRECT("Table!" &amp; $AP$108 &amp; $AM79),0)))))</f>
        <v>1.4637768809544778</v>
      </c>
      <c r="M79" s="273">
        <f ca="1">IF(ISERROR(MATCH(M$1,INDIRECT("Table!A"&amp;$AM79):INDIRECT("Table!" &amp; $AP$108 &amp; $AM79),0)),"",INDIRECT(CONCATENATE("Table!",ADDRESS($AI79,MATCH(M$1,INDIRECT("Table!A" &amp; $AM79):INDIRECT("Table!" &amp; $AP$108 &amp; $AM79),0)))))</f>
        <v>2.8566981780368446</v>
      </c>
      <c r="N79" s="273">
        <f ca="1">IF(ISERROR(MATCH(N$1,INDIRECT("Table!A"&amp;$AM79):INDIRECT("Table!" &amp; $AP$108 &amp; $AM79),0)),"",INDIRECT(CONCATENATE("Table!",ADDRESS($AI79,MATCH(N$1,INDIRECT("Table!A" &amp; $AM79):INDIRECT("Table!" &amp; $AP$108 &amp; $AM79),0)))))</f>
        <v>1.5940177065818246</v>
      </c>
      <c r="O79" s="273">
        <f ca="1">IF(ISERROR(MATCH(O$1,INDIRECT("Table!A"&amp;$AM79):INDIRECT("Table!" &amp; $AP$86 &amp; $AM79),0)),"",INDIRECT(CONCATENATE("Table!",ADDRESS($AI79,MATCH(O$1,INDIRECT("Table!A" &amp; $AM79):INDIRECT("Table!" &amp; $AP$86 &amp; $AM79),0)))))</f>
        <v>1.4458655494277908</v>
      </c>
      <c r="P79" s="273">
        <f ca="1">IF(ISERROR(MATCH(P$1,INDIRECT("Table!A"&amp;$AM79):INDIRECT("Table!" &amp; $AP$86 &amp; $AM79),0)),"",INDIRECT(CONCATENATE("Table!",ADDRESS($AI79,MATCH(P$1,INDIRECT("Table!A" &amp; $AM79):INDIRECT("Table!" &amp; $AP$86 &amp; $AM79),0)))))</f>
        <v>0.32807880634400705</v>
      </c>
      <c r="Q79" s="273" t="str">
        <f ca="1">IF(ISERROR(MATCH(Q$1,INDIRECT("Table!A"&amp;$AM79):INDIRECT("Table!" &amp; $AP$86 &amp; $AM79),0)),"",INDIRECT(CONCATENATE("Table!",ADDRESS($AI79,MATCH(Q$1,INDIRECT("Table!A" &amp; $AM79):INDIRECT("Table!" &amp; $AP$86 &amp; $AM79),0)))))</f>
        <v/>
      </c>
      <c r="R79" s="273" t="str">
        <f ca="1">IF(ISERROR(MATCH(R$1,INDIRECT("Table!A"&amp;$AM79):INDIRECT("Table!" &amp; $AP$86 &amp; $AM79),0)),"",INDIRECT(CONCATENATE("Table!",ADDRESS($AI79,MATCH(R$1,INDIRECT("Table!A" &amp; $AM79):INDIRECT("Table!" &amp; $AP$86 &amp; $AM79),0)))))</f>
        <v/>
      </c>
      <c r="S79" s="596" t="str">
        <f ca="1">IF(ISERROR(MATCH(S$1,INDIRECT("Table!A"&amp;$AM79):INDIRECT("Table!" &amp; $AP$65 &amp; $AM79),0)),"",INDIRECT(CONCATENATE("Table!",ADDRESS($AI79,MATCH(S$1,INDIRECT("Table!A" &amp; $AM79):INDIRECT("Table!" &amp; $AP$65 &amp; $AM79),0)))))</f>
        <v/>
      </c>
      <c r="T79" s="273">
        <f ca="1">IF(ISERROR(MATCH(T$1,INDIRECT("Table!A"&amp;$AM79):INDIRECT("Table!" &amp; $AP$86 &amp; $AM79),0)),"",INDIRECT(CONCATENATE("Table!",ADDRESS($AI79,MATCH(T$1,INDIRECT("Table!A" &amp; $AM79):INDIRECT("Table!" &amp; $AP$86 &amp; $AM79),0)))))</f>
        <v>0.4921446034360315</v>
      </c>
      <c r="U79" s="596" t="str">
        <f ca="1">IF(ISERROR(MATCH(U$1,INDIRECT("Table!A"&amp;$AM79):INDIRECT("Table!" &amp; $AP$86 &amp; $AM79),0)),"",INDIRECT(CONCATENATE("Table!",ADDRESS($AI79,MATCH(U$1,INDIRECT("Table!A" &amp; $AM79):INDIRECT("Table!" &amp; $AP$86 &amp; $AM79),0)))))</f>
        <v/>
      </c>
      <c r="V79" s="596"/>
      <c r="W79" s="596"/>
      <c r="X79" s="596"/>
      <c r="Y79" s="596"/>
      <c r="Z79" s="596"/>
      <c r="AA79" s="596"/>
      <c r="AB79" s="596"/>
      <c r="AC79" s="596"/>
      <c r="AD79" s="596"/>
      <c r="AE79" s="596"/>
      <c r="AF79" s="596"/>
      <c r="AG79" s="596"/>
      <c r="AH79" s="596"/>
      <c r="AI79" s="272">
        <f>MATCH($A79,Table!$A:$A,0)+$AK$2-1</f>
        <v>1056</v>
      </c>
      <c r="AJ79" s="364"/>
      <c r="AK79" s="364"/>
      <c r="AL79" s="364"/>
      <c r="AM79" s="272">
        <f>MATCH($A79,Table!$A:$A,0)+$AO$2-1</f>
        <v>1047</v>
      </c>
      <c r="AN79" s="364"/>
      <c r="AO79" s="364"/>
      <c r="AP79" s="973" t="s">
        <v>302</v>
      </c>
    </row>
    <row r="80" spans="1:42" s="267" customFormat="1" ht="19.5" customHeight="1" x14ac:dyDescent="0.25">
      <c r="A80" s="268">
        <v>41387</v>
      </c>
      <c r="B80" s="596">
        <f ca="1">IF(ISERROR(MATCH(B$1,INDIRECT("Table!A"&amp;$AM80):INDIRECT("Table!" &amp; $AP$108 &amp; $AM80),0)),"",INDIRECT(CONCATENATE("Table!",ADDRESS($AI80,MATCH(B$1,INDIRECT("Table!A" &amp; $AM80):INDIRECT("Table!" &amp; $AP$108 &amp; $AM80),0)))))</f>
        <v>1.3407586605129149</v>
      </c>
      <c r="C80" s="273">
        <f ca="1">IF(ISERROR(MATCH(C$1,INDIRECT("Table!A"&amp;$AM80):INDIRECT("Table!" &amp; $AP$108 &amp; $AM80),0)),"",INDIRECT(CONCATENATE("Table!",ADDRESS($AI80,MATCH(C$1,INDIRECT("Table!A" &amp; $AM80):INDIRECT("Table!" &amp; $AP$108 &amp; $AM80),0)))))</f>
        <v>0.59295368991162389</v>
      </c>
      <c r="D80" s="273">
        <f ca="1">IF(ISERROR(MATCH(D$1,INDIRECT("Table!A"&amp;$AM80):INDIRECT("Table!" &amp; $AP$108 &amp; $AM80),0)),"",INDIRECT(CONCATENATE("Table!",ADDRESS($AI80,MATCH(D$1,INDIRECT("Table!A" &amp; $AM80):INDIRECT("Table!" &amp; $AP$108 &amp; $AM80),0)))))</f>
        <v>0.59989799077571926</v>
      </c>
      <c r="E80" s="273">
        <f ca="1">IF(ISERROR(MATCH(E$1,INDIRECT("Table!A"&amp;$AM80):INDIRECT("Table!" &amp; $AP$108 &amp; $AM80),0)),"",INDIRECT(CONCATENATE("Table!",ADDRESS($AI80,MATCH(E$1,INDIRECT("Table!A" &amp; $AM80):INDIRECT("Table!" &amp; $AP$108 &amp; $AM80),0)))))</f>
        <v>1.5276579277331923</v>
      </c>
      <c r="F80" s="273">
        <f ca="1">IF(ISERROR(MATCH(F$1,INDIRECT("Table!A"&amp;$AM80):INDIRECT("Table!" &amp; $AP$108 &amp; $AM80),0)),"",INDIRECT(CONCATENATE("Table!",ADDRESS($AI80,MATCH(F$1,INDIRECT("Table!A" &amp; $AM80):INDIRECT("Table!" &amp; $AP$108 &amp; $AM80),0)))))</f>
        <v>1.534105413940557</v>
      </c>
      <c r="G80" s="273">
        <f ca="1">IF(ISERROR(MATCH(G$1,INDIRECT("Table!A"&amp;$AM80):INDIRECT("Table!" &amp; $AP$108 &amp; $AM80),0)),"",INDIRECT(CONCATENATE("Table!",ADDRESS($AI80,MATCH(G$1,INDIRECT("Table!A" &amp; $AM80):INDIRECT("Table!" &amp; $AP$108 &amp; $AM80),0)))))</f>
        <v>3.4331465352828987</v>
      </c>
      <c r="H80" s="273">
        <f ca="1">IF(ISERROR(MATCH(H$1,INDIRECT("Table!A"&amp;$AM80):INDIRECT("Table!" &amp; $AP$108 &amp; $AM80),0)),"",INDIRECT(CONCATENATE("Table!",ADDRESS($AI80,MATCH(H$1,INDIRECT("Table!A" &amp; $AM80):INDIRECT("Table!" &amp; $AP$108 &amp; $AM80),0)))))</f>
        <v>1.1707542540372762</v>
      </c>
      <c r="I80" s="273">
        <f ca="1">IF(ISERROR(MATCH(I$1,INDIRECT("Table!A"&amp;$AM80):INDIRECT("Table!" &amp; $AP$86 &amp; $AM80),0)),"",INDIRECT(CONCATENATE("Table!",ADDRESS($AI80,MATCH(I$1,INDIRECT("Table!A" &amp; $AM80):INDIRECT("Table!" &amp; $AP$86 &amp; $AM80),0)))))</f>
        <v>7.4914079477161027E-2</v>
      </c>
      <c r="J80" s="273" t="str">
        <f ca="1">IF(ISERROR(MATCH(J$1,INDIRECT("Table!A"&amp;$AM80):INDIRECT("Table!" &amp; $AP$86 &amp; $AM80),0)),"",INDIRECT(CONCATENATE("Table!",ADDRESS($AI80,MATCH(J$1,INDIRECT("Table!A" &amp; $AM80):INDIRECT("Table!" &amp; $AP$86 &amp; $AM80),0)))))</f>
        <v/>
      </c>
      <c r="K80" s="273" t="str">
        <f ca="1">IF(ISERROR(MATCH(K$1,INDIRECT("Table!A"&amp;$AM80):INDIRECT("Table!" &amp; $AP$86 &amp; $AM80),0)),"",INDIRECT(CONCATENATE("Table!",ADDRESS($AI80,MATCH(K$1,INDIRECT("Table!A" &amp; $AM80):INDIRECT("Table!" &amp; $AP$86 &amp; $AM80),0)))))</f>
        <v/>
      </c>
      <c r="L80" s="273">
        <f ca="1">IF(ISERROR(MATCH(L$1,INDIRECT("Table!A"&amp;$AM80):INDIRECT("Table!" &amp; $AP$108 &amp; $AM80),0)),"",INDIRECT(CONCATENATE("Table!",ADDRESS($AI80,MATCH(L$1,INDIRECT("Table!A" &amp; $AM80):INDIRECT("Table!" &amp; $AP$108 &amp; $AM80),0)))))</f>
        <v>1.4637768809544778</v>
      </c>
      <c r="M80" s="273">
        <f ca="1">IF(ISERROR(MATCH(M$1,INDIRECT("Table!A"&amp;$AM80):INDIRECT("Table!" &amp; $AP$108 &amp; $AM80),0)),"",INDIRECT(CONCATENATE("Table!",ADDRESS($AI80,MATCH(M$1,INDIRECT("Table!A" &amp; $AM80):INDIRECT("Table!" &amp; $AP$108 &amp; $AM80),0)))))</f>
        <v>2.8566981780368446</v>
      </c>
      <c r="N80" s="273">
        <f ca="1">IF(ISERROR(MATCH(N$1,INDIRECT("Table!A"&amp;$AM80):INDIRECT("Table!" &amp; $AP$108 &amp; $AM80),0)),"",INDIRECT(CONCATENATE("Table!",ADDRESS($AI80,MATCH(N$1,INDIRECT("Table!A" &amp; $AM80):INDIRECT("Table!" &amp; $AP$108 &amp; $AM80),0)))))</f>
        <v>1.5940177065818246</v>
      </c>
      <c r="O80" s="273">
        <f ca="1">IF(ISERROR(MATCH(O$1,INDIRECT("Table!A"&amp;$AM80):INDIRECT("Table!" &amp; $AP$86 &amp; $AM80),0)),"",INDIRECT(CONCATENATE("Table!",ADDRESS($AI80,MATCH(O$1,INDIRECT("Table!A" &amp; $AM80):INDIRECT("Table!" &amp; $AP$86 &amp; $AM80),0)))))</f>
        <v>1.4451013498773533</v>
      </c>
      <c r="P80" s="273">
        <f ca="1">IF(ISERROR(MATCH(P$1,INDIRECT("Table!A"&amp;$AM80):INDIRECT("Table!" &amp; $AP$86 &amp; $AM80),0)),"",INDIRECT(CONCATENATE("Table!",ADDRESS($AI80,MATCH(P$1,INDIRECT("Table!A" &amp; $AM80):INDIRECT("Table!" &amp; $AP$86 &amp; $AM80),0)))))</f>
        <v>0.32807880634400705</v>
      </c>
      <c r="Q80" s="273" t="str">
        <f ca="1">IF(ISERROR(MATCH(Q$1,INDIRECT("Table!A"&amp;$AM80):INDIRECT("Table!" &amp; $AP$86 &amp; $AM80),0)),"",INDIRECT(CONCATENATE("Table!",ADDRESS($AI80,MATCH(Q$1,INDIRECT("Table!A" &amp; $AM80):INDIRECT("Table!" &amp; $AP$86 &amp; $AM80),0)))))</f>
        <v/>
      </c>
      <c r="R80" s="273" t="str">
        <f ca="1">IF(ISERROR(MATCH(R$1,INDIRECT("Table!A"&amp;$AM80):INDIRECT("Table!" &amp; $AP$86 &amp; $AM80),0)),"",INDIRECT(CONCATENATE("Table!",ADDRESS($AI80,MATCH(R$1,INDIRECT("Table!A" &amp; $AM80):INDIRECT("Table!" &amp; $AP$86 &amp; $AM80),0)))))</f>
        <v/>
      </c>
      <c r="S80" s="596" t="str">
        <f ca="1">IF(ISERROR(MATCH(S$1,INDIRECT("Table!A"&amp;$AM80):INDIRECT("Table!" &amp; $AP$65 &amp; $AM80),0)),"",INDIRECT(CONCATENATE("Table!",ADDRESS($AI80,MATCH(S$1,INDIRECT("Table!A" &amp; $AM80):INDIRECT("Table!" &amp; $AP$65 &amp; $AM80),0)))))</f>
        <v/>
      </c>
      <c r="T80" s="273">
        <f ca="1">IF(ISERROR(MATCH(T$1,INDIRECT("Table!A"&amp;$AM80):INDIRECT("Table!" &amp; $AP$86 &amp; $AM80),0)),"",INDIRECT(CONCATENATE("Table!",ADDRESS($AI80,MATCH(T$1,INDIRECT("Table!A" &amp; $AM80):INDIRECT("Table!" &amp; $AP$86 &amp; $AM80),0)))))</f>
        <v>0.38821344494643478</v>
      </c>
      <c r="U80" s="596" t="str">
        <f ca="1">IF(ISERROR(MATCH(U$1,INDIRECT("Table!A"&amp;$AM80):INDIRECT("Table!" &amp; $AP$86 &amp; $AM80),0)),"",INDIRECT(CONCATENATE("Table!",ADDRESS($AI80,MATCH(U$1,INDIRECT("Table!A" &amp; $AM80):INDIRECT("Table!" &amp; $AP$86 &amp; $AM80),0)))))</f>
        <v/>
      </c>
      <c r="V80" s="596"/>
      <c r="W80" s="596"/>
      <c r="X80" s="596"/>
      <c r="Y80" s="596"/>
      <c r="Z80" s="596"/>
      <c r="AA80" s="596"/>
      <c r="AB80" s="596"/>
      <c r="AC80" s="596"/>
      <c r="AD80" s="596"/>
      <c r="AE80" s="596"/>
      <c r="AF80" s="596"/>
      <c r="AG80" s="596"/>
      <c r="AH80" s="596"/>
      <c r="AI80" s="272">
        <f>MATCH($A80,Table!$A:$A,0)+$AK$2-1</f>
        <v>1068</v>
      </c>
      <c r="AJ80" s="363"/>
      <c r="AK80" s="363"/>
      <c r="AL80" s="363"/>
      <c r="AM80" s="272">
        <f>MATCH($A80,Table!$A:$A,0)+$AO$2-1</f>
        <v>1059</v>
      </c>
      <c r="AN80" s="363"/>
      <c r="AO80" s="363"/>
      <c r="AP80" s="973" t="s">
        <v>302</v>
      </c>
    </row>
    <row r="81" spans="1:42" s="267" customFormat="1" ht="19.5" customHeight="1" x14ac:dyDescent="0.25">
      <c r="A81" s="268">
        <v>41383</v>
      </c>
      <c r="B81" s="596">
        <f ca="1">IF(ISERROR(MATCH(B$1,INDIRECT("Table!A"&amp;$AM81):INDIRECT("Table!" &amp; $AP$108 &amp; $AM81),0)),"",INDIRECT(CONCATENATE("Table!",ADDRESS($AI81,MATCH(B$1,INDIRECT("Table!A" &amp; $AM81):INDIRECT("Table!" &amp; $AP$108 &amp; $AM81),0)))))</f>
        <v>1.3407586605129149</v>
      </c>
      <c r="C81" s="273">
        <f ca="1">IF(ISERROR(MATCH(C$1,INDIRECT("Table!A"&amp;$AM81):INDIRECT("Table!" &amp; $AP$108 &amp; $AM81),0)),"",INDIRECT(CONCATENATE("Table!",ADDRESS($AI81,MATCH(C$1,INDIRECT("Table!A" &amp; $AM81):INDIRECT("Table!" &amp; $AP$108 &amp; $AM81),0)))))</f>
        <v>0.59295368991162389</v>
      </c>
      <c r="D81" s="273">
        <f ca="1">IF(ISERROR(MATCH(D$1,INDIRECT("Table!A"&amp;$AM81):INDIRECT("Table!" &amp; $AP$108 &amp; $AM81),0)),"",INDIRECT(CONCATENATE("Table!",ADDRESS($AI81,MATCH(D$1,INDIRECT("Table!A" &amp; $AM81):INDIRECT("Table!" &amp; $AP$108 &amp; $AM81),0)))))</f>
        <v>0.59989799077571926</v>
      </c>
      <c r="E81" s="273">
        <f ca="1">IF(ISERROR(MATCH(E$1,INDIRECT("Table!A"&amp;$AM81):INDIRECT("Table!" &amp; $AP$108 &amp; $AM81),0)),"",INDIRECT(CONCATENATE("Table!",ADDRESS($AI81,MATCH(E$1,INDIRECT("Table!A" &amp; $AM81):INDIRECT("Table!" &amp; $AP$108 &amp; $AM81),0)))))</f>
        <v>1.5276579277331923</v>
      </c>
      <c r="F81" s="273">
        <f ca="1">IF(ISERROR(MATCH(F$1,INDIRECT("Table!A"&amp;$AM81):INDIRECT("Table!" &amp; $AP$108 &amp; $AM81),0)),"",INDIRECT(CONCATENATE("Table!",ADDRESS($AI81,MATCH(F$1,INDIRECT("Table!A" &amp; $AM81):INDIRECT("Table!" &amp; $AP$108 &amp; $AM81),0)))))</f>
        <v>1.534105413940557</v>
      </c>
      <c r="G81" s="273">
        <f ca="1">IF(ISERROR(MATCH(G$1,INDIRECT("Table!A"&amp;$AM81):INDIRECT("Table!" &amp; $AP$108 &amp; $AM81),0)),"",INDIRECT(CONCATENATE("Table!",ADDRESS($AI81,MATCH(G$1,INDIRECT("Table!A" &amp; $AM81):INDIRECT("Table!" &amp; $AP$108 &amp; $AM81),0)))))</f>
        <v>3.4331465352828987</v>
      </c>
      <c r="H81" s="273">
        <f ca="1">IF(ISERROR(MATCH(H$1,INDIRECT("Table!A"&amp;$AM81):INDIRECT("Table!" &amp; $AP$108 &amp; $AM81),0)),"",INDIRECT(CONCATENATE("Table!",ADDRESS($AI81,MATCH(H$1,INDIRECT("Table!A" &amp; $AM81):INDIRECT("Table!" &amp; $AP$108 &amp; $AM81),0)))))</f>
        <v>1.1615838551805875</v>
      </c>
      <c r="I81" s="273">
        <f ca="1">IF(ISERROR(MATCH(I$1,INDIRECT("Table!A"&amp;$AM81):INDIRECT("Table!" &amp; $AP$86 &amp; $AM81),0)),"",INDIRECT(CONCATENATE("Table!",ADDRESS($AI81,MATCH(I$1,INDIRECT("Table!A" &amp; $AM81):INDIRECT("Table!" &amp; $AP$86 &amp; $AM81),0)))))</f>
        <v>7.4914079477161027E-2</v>
      </c>
      <c r="J81" s="273" t="str">
        <f ca="1">IF(ISERROR(MATCH(J$1,INDIRECT("Table!A"&amp;$AM81):INDIRECT("Table!" &amp; $AP$86 &amp; $AM81),0)),"",INDIRECT(CONCATENATE("Table!",ADDRESS($AI81,MATCH(J$1,INDIRECT("Table!A" &amp; $AM81):INDIRECT("Table!" &amp; $AP$86 &amp; $AM81),0)))))</f>
        <v/>
      </c>
      <c r="K81" s="273" t="str">
        <f ca="1">IF(ISERROR(MATCH(K$1,INDIRECT("Table!A"&amp;$AM81):INDIRECT("Table!" &amp; $AP$86 &amp; $AM81),0)),"",INDIRECT(CONCATENATE("Table!",ADDRESS($AI81,MATCH(K$1,INDIRECT("Table!A" &amp; $AM81):INDIRECT("Table!" &amp; $AP$86 &amp; $AM81),0)))))</f>
        <v/>
      </c>
      <c r="L81" s="273">
        <f ca="1">IF(ISERROR(MATCH(L$1,INDIRECT("Table!A"&amp;$AM81):INDIRECT("Table!" &amp; $AP$108 &amp; $AM81),0)),"",INDIRECT(CONCATENATE("Table!",ADDRESS($AI81,MATCH(L$1,INDIRECT("Table!A" &amp; $AM81):INDIRECT("Table!" &amp; $AP$108 &amp; $AM81),0)))))</f>
        <v>1.4637768809544778</v>
      </c>
      <c r="M81" s="273">
        <f ca="1">IF(ISERROR(MATCH(M$1,INDIRECT("Table!A"&amp;$AM81):INDIRECT("Table!" &amp; $AP$108 &amp; $AM81),0)),"",INDIRECT(CONCATENATE("Table!",ADDRESS($AI81,MATCH(M$1,INDIRECT("Table!A" &amp; $AM81):INDIRECT("Table!" &amp; $AP$108 &amp; $AM81),0)))))</f>
        <v>2.8199527972742446</v>
      </c>
      <c r="N81" s="273">
        <f ca="1">IF(ISERROR(MATCH(N$1,INDIRECT("Table!A"&amp;$AM81):INDIRECT("Table!" &amp; $AP$108 &amp; $AM81),0)),"",INDIRECT(CONCATENATE("Table!",ADDRESS($AI81,MATCH(N$1,INDIRECT("Table!A" &amp; $AM81):INDIRECT("Table!" &amp; $AP$108 &amp; $AM81),0)))))</f>
        <v>1.5907571231881517</v>
      </c>
      <c r="O81" s="273">
        <f ca="1">IF(ISERROR(MATCH(O$1,INDIRECT("Table!A"&amp;$AM81):INDIRECT("Table!" &amp; $AP$86 &amp; $AM81),0)),"",INDIRECT(CONCATENATE("Table!",ADDRESS($AI81,MATCH(O$1,INDIRECT("Table!A" &amp; $AM81):INDIRECT("Table!" &amp; $AP$86 &amp; $AM81),0)))))</f>
        <v>1.4114765696581024</v>
      </c>
      <c r="P81" s="273">
        <f ca="1">IF(ISERROR(MATCH(P$1,INDIRECT("Table!A"&amp;$AM81):INDIRECT("Table!" &amp; $AP$86 &amp; $AM81),0)),"",INDIRECT(CONCATENATE("Table!",ADDRESS($AI81,MATCH(P$1,INDIRECT("Table!A" &amp; $AM81):INDIRECT("Table!" &amp; $AP$86 &amp; $AM81),0)))))</f>
        <v>0.32807880634400705</v>
      </c>
      <c r="Q81" s="273" t="str">
        <f ca="1">IF(ISERROR(MATCH(Q$1,INDIRECT("Table!A"&amp;$AM81):INDIRECT("Table!" &amp; $AP$86 &amp; $AM81),0)),"",INDIRECT(CONCATENATE("Table!",ADDRESS($AI81,MATCH(Q$1,INDIRECT("Table!A" &amp; $AM81):INDIRECT("Table!" &amp; $AP$86 &amp; $AM81),0)))))</f>
        <v/>
      </c>
      <c r="R81" s="273" t="str">
        <f ca="1">IF(ISERROR(MATCH(R$1,INDIRECT("Table!A"&amp;$AM81):INDIRECT("Table!" &amp; $AP$86 &amp; $AM81),0)),"",INDIRECT(CONCATENATE("Table!",ADDRESS($AI81,MATCH(R$1,INDIRECT("Table!A" &amp; $AM81):INDIRECT("Table!" &amp; $AP$86 &amp; $AM81),0)))))</f>
        <v/>
      </c>
      <c r="S81" s="596" t="str">
        <f ca="1">IF(ISERROR(MATCH(S$1,INDIRECT("Table!A"&amp;$AM81):INDIRECT("Table!" &amp; $AP$65 &amp; $AM81),0)),"",INDIRECT(CONCATENATE("Table!",ADDRESS($AI81,MATCH(S$1,INDIRECT("Table!A" &amp; $AM81):INDIRECT("Table!" &amp; $AP$65 &amp; $AM81),0)))))</f>
        <v/>
      </c>
      <c r="T81" s="273">
        <f ca="1">IF(ISERROR(MATCH(T$1,INDIRECT("Table!A"&amp;$AM81):INDIRECT("Table!" &amp; $AP$86 &amp; $AM81),0)),"",INDIRECT(CONCATENATE("Table!",ADDRESS($AI81,MATCH(T$1,INDIRECT("Table!A" &amp; $AM81):INDIRECT("Table!" &amp; $AP$86 &amp; $AM81),0)))))</f>
        <v>0.38821344494643478</v>
      </c>
      <c r="U81" s="596" t="str">
        <f ca="1">IF(ISERROR(MATCH(U$1,INDIRECT("Table!A"&amp;$AM81):INDIRECT("Table!" &amp; $AP$86 &amp; $AM81),0)),"",INDIRECT(CONCATENATE("Table!",ADDRESS($AI81,MATCH(U$1,INDIRECT("Table!A" &amp; $AM81):INDIRECT("Table!" &amp; $AP$86 &amp; $AM81),0)))))</f>
        <v/>
      </c>
      <c r="V81" s="596"/>
      <c r="W81" s="596"/>
      <c r="X81" s="596"/>
      <c r="Y81" s="596"/>
      <c r="Z81" s="596"/>
      <c r="AA81" s="596"/>
      <c r="AB81" s="596"/>
      <c r="AC81" s="596"/>
      <c r="AD81" s="596"/>
      <c r="AE81" s="596"/>
      <c r="AF81" s="596"/>
      <c r="AG81" s="596"/>
      <c r="AH81" s="596"/>
      <c r="AI81" s="272">
        <f>MATCH($A81,Table!$A:$A,0)+$AK$2-1</f>
        <v>1080</v>
      </c>
      <c r="AJ81" s="362"/>
      <c r="AK81" s="362"/>
      <c r="AL81" s="362"/>
      <c r="AM81" s="272">
        <f>MATCH($A81,Table!$A:$A,0)+$AO$2-1</f>
        <v>1071</v>
      </c>
      <c r="AN81" s="362"/>
      <c r="AO81" s="362"/>
      <c r="AP81" s="973" t="s">
        <v>302</v>
      </c>
    </row>
    <row r="82" spans="1:42" s="267" customFormat="1" ht="19.5" customHeight="1" x14ac:dyDescent="0.25">
      <c r="A82" s="268">
        <v>41379</v>
      </c>
      <c r="B82" s="596">
        <f ca="1">IF(ISERROR(MATCH(B$1,INDIRECT("Table!A"&amp;$AM82):INDIRECT("Table!" &amp; $AP$108 &amp; $AM82),0)),"",INDIRECT(CONCATENATE("Table!",ADDRESS($AI82,MATCH(B$1,INDIRECT("Table!A" &amp; $AM82):INDIRECT("Table!" &amp; $AP$108 &amp; $AM82),0)))))</f>
        <v>1.3407586605129149</v>
      </c>
      <c r="C82" s="273">
        <f ca="1">IF(ISERROR(MATCH(C$1,INDIRECT("Table!A"&amp;$AM82):INDIRECT("Table!" &amp; $AP$108 &amp; $AM82),0)),"",INDIRECT(CONCATENATE("Table!",ADDRESS($AI82,MATCH(C$1,INDIRECT("Table!A" &amp; $AM82):INDIRECT("Table!" &amp; $AP$108 &amp; $AM82),0)))))</f>
        <v>0.59295368991162389</v>
      </c>
      <c r="D82" s="273">
        <f ca="1">IF(ISERROR(MATCH(D$1,INDIRECT("Table!A"&amp;$AM82):INDIRECT("Table!" &amp; $AP$108 &amp; $AM82),0)),"",INDIRECT(CONCATENATE("Table!",ADDRESS($AI82,MATCH(D$1,INDIRECT("Table!A" &amp; $AM82):INDIRECT("Table!" &amp; $AP$108 &amp; $AM82),0)))))</f>
        <v>0.59989799077571926</v>
      </c>
      <c r="E82" s="273">
        <f ca="1">IF(ISERROR(MATCH(E$1,INDIRECT("Table!A"&amp;$AM82):INDIRECT("Table!" &amp; $AP$108 &amp; $AM82),0)),"",INDIRECT(CONCATENATE("Table!",ADDRESS($AI82,MATCH(E$1,INDIRECT("Table!A" &amp; $AM82):INDIRECT("Table!" &amp; $AP$108 &amp; $AM82),0)))))</f>
        <v>1.520988550411049</v>
      </c>
      <c r="F82" s="273">
        <f ca="1">IF(ISERROR(MATCH(F$1,INDIRECT("Table!A"&amp;$AM82):INDIRECT("Table!" &amp; $AP$108 &amp; $AM82),0)),"",INDIRECT(CONCATENATE("Table!",ADDRESS($AI82,MATCH(F$1,INDIRECT("Table!A" &amp; $AM82):INDIRECT("Table!" &amp; $AP$108 &amp; $AM82),0)))))</f>
        <v>1.5308448285761773</v>
      </c>
      <c r="G82" s="273">
        <f ca="1">IF(ISERROR(MATCH(G$1,INDIRECT("Table!A"&amp;$AM82):INDIRECT("Table!" &amp; $AP$108 &amp; $AM82),0)),"",INDIRECT(CONCATENATE("Table!",ADDRESS($AI82,MATCH(G$1,INDIRECT("Table!A" &amp; $AM82):INDIRECT("Table!" &amp; $AP$108 &amp; $AM82),0)))))</f>
        <v>3.4308499455090362</v>
      </c>
      <c r="H82" s="273">
        <f ca="1">IF(ISERROR(MATCH(H$1,INDIRECT("Table!A"&amp;$AM82):INDIRECT("Table!" &amp; $AP$108 &amp; $AM82),0)),"",INDIRECT(CONCATENATE("Table!",ADDRESS($AI82,MATCH(H$1,INDIRECT("Table!A" &amp; $AM82):INDIRECT("Table!" &amp; $AP$108 &amp; $AM82),0)))))</f>
        <v>1.1218454601349357</v>
      </c>
      <c r="I82" s="273">
        <f ca="1">IF(ISERROR(MATCH(I$1,INDIRECT("Table!A"&amp;$AM82):INDIRECT("Table!" &amp; $AP$86 &amp; $AM82),0)),"",INDIRECT(CONCATENATE("Table!",ADDRESS($AI82,MATCH(I$1,INDIRECT("Table!A" &amp; $AM82):INDIRECT("Table!" &amp; $AP$86 &amp; $AM82),0)))))</f>
        <v>7.4914079477161027E-2</v>
      </c>
      <c r="J82" s="273" t="str">
        <f ca="1">IF(ISERROR(MATCH(J$1,INDIRECT("Table!A"&amp;$AM82):INDIRECT("Table!" &amp; $AP$86 &amp; $AM82),0)),"",INDIRECT(CONCATENATE("Table!",ADDRESS($AI82,MATCH(J$1,INDIRECT("Table!A" &amp; $AM82):INDIRECT("Table!" &amp; $AP$86 &amp; $AM82),0)))))</f>
        <v/>
      </c>
      <c r="K82" s="273" t="str">
        <f ca="1">IF(ISERROR(MATCH(K$1,INDIRECT("Table!A"&amp;$AM82):INDIRECT("Table!" &amp; $AP$86 &amp; $AM82),0)),"",INDIRECT(CONCATENATE("Table!",ADDRESS($AI82,MATCH(K$1,INDIRECT("Table!A" &amp; $AM82):INDIRECT("Table!" &amp; $AP$86 &amp; $AM82),0)))))</f>
        <v/>
      </c>
      <c r="L82" s="273">
        <f ca="1">IF(ISERROR(MATCH(L$1,INDIRECT("Table!A"&amp;$AM82):INDIRECT("Table!" &amp; $AP$108 &amp; $AM82),0)),"",INDIRECT(CONCATENATE("Table!",ADDRESS($AI82,MATCH(L$1,INDIRECT("Table!A" &amp; $AM82):INDIRECT("Table!" &amp; $AP$108 &amp; $AM82),0)))))</f>
        <v>1.4637768809544778</v>
      </c>
      <c r="M82" s="273">
        <f ca="1">IF(ISERROR(MATCH(M$1,INDIRECT("Table!A"&amp;$AM82):INDIRECT("Table!" &amp; $AP$108 &amp; $AM82),0)),"",INDIRECT(CONCATENATE("Table!",ADDRESS($AI82,MATCH(M$1,INDIRECT("Table!A" &amp; $AM82):INDIRECT("Table!" &amp; $AP$108 &amp; $AM82),0)))))</f>
        <v>2.8199527972742446</v>
      </c>
      <c r="N82" s="273">
        <f ca="1">IF(ISERROR(MATCH(N$1,INDIRECT("Table!A"&amp;$AM82):INDIRECT("Table!" &amp; $AP$108 &amp; $AM82),0)),"",INDIRECT(CONCATENATE("Table!",ADDRESS($AI82,MATCH(N$1,INDIRECT("Table!A" &amp; $AM82):INDIRECT("Table!" &amp; $AP$108 &amp; $AM82),0)))))</f>
        <v>1.5907571231881517</v>
      </c>
      <c r="O82" s="273">
        <f ca="1">IF(ISERROR(MATCH(O$1,INDIRECT("Table!A"&amp;$AM82):INDIRECT("Table!" &amp; $AP$86 &amp; $AM82),0)),"",INDIRECT(CONCATENATE("Table!",ADDRESS($AI82,MATCH(O$1,INDIRECT("Table!A" &amp; $AM82):INDIRECT("Table!" &amp; $AP$86 &amp; $AM82),0)))))</f>
        <v>1.4114765696581024</v>
      </c>
      <c r="P82" s="273">
        <f ca="1">IF(ISERROR(MATCH(P$1,INDIRECT("Table!A"&amp;$AM82):INDIRECT("Table!" &amp; $AP$86 &amp; $AM82),0)),"",INDIRECT(CONCATENATE("Table!",ADDRESS($AI82,MATCH(P$1,INDIRECT("Table!A" &amp; $AM82):INDIRECT("Table!" &amp; $AP$86 &amp; $AM82),0)))))</f>
        <v>0.32807880634400705</v>
      </c>
      <c r="Q82" s="273" t="str">
        <f ca="1">IF(ISERROR(MATCH(Q$1,INDIRECT("Table!A"&amp;$AM82):INDIRECT("Table!" &amp; $AP$86 &amp; $AM82),0)),"",INDIRECT(CONCATENATE("Table!",ADDRESS($AI82,MATCH(Q$1,INDIRECT("Table!A" &amp; $AM82):INDIRECT("Table!" &amp; $AP$86 &amp; $AM82),0)))))</f>
        <v/>
      </c>
      <c r="R82" s="273" t="str">
        <f ca="1">IF(ISERROR(MATCH(R$1,INDIRECT("Table!A"&amp;$AM82):INDIRECT("Table!" &amp; $AP$86 &amp; $AM82),0)),"",INDIRECT(CONCATENATE("Table!",ADDRESS($AI82,MATCH(R$1,INDIRECT("Table!A" &amp; $AM82):INDIRECT("Table!" &amp; $AP$86 &amp; $AM82),0)))))</f>
        <v/>
      </c>
      <c r="S82" s="596" t="str">
        <f ca="1">IF(ISERROR(MATCH(S$1,INDIRECT("Table!A"&amp;$AM82):INDIRECT("Table!" &amp; $AP$65 &amp; $AM82),0)),"",INDIRECT(CONCATENATE("Table!",ADDRESS($AI82,MATCH(S$1,INDIRECT("Table!A" &amp; $AM82):INDIRECT("Table!" &amp; $AP$65 &amp; $AM82),0)))))</f>
        <v/>
      </c>
      <c r="T82" s="273">
        <f ca="1">IF(ISERROR(MATCH(T$1,INDIRECT("Table!A"&amp;$AM82):INDIRECT("Table!" &amp; $AP$86 &amp; $AM82),0)),"",INDIRECT(CONCATENATE("Table!",ADDRESS($AI82,MATCH(T$1,INDIRECT("Table!A" &amp; $AM82):INDIRECT("Table!" &amp; $AP$86 &amp; $AM82),0)))))</f>
        <v>0.38821344494643478</v>
      </c>
      <c r="U82" s="596" t="str">
        <f ca="1">IF(ISERROR(MATCH(U$1,INDIRECT("Table!A"&amp;$AM82):INDIRECT("Table!" &amp; $AP$86 &amp; $AM82),0)),"",INDIRECT(CONCATENATE("Table!",ADDRESS($AI82,MATCH(U$1,INDIRECT("Table!A" &amp; $AM82):INDIRECT("Table!" &amp; $AP$86 &amp; $AM82),0)))))</f>
        <v/>
      </c>
      <c r="V82" s="596"/>
      <c r="W82" s="596"/>
      <c r="X82" s="596"/>
      <c r="Y82" s="596"/>
      <c r="Z82" s="596"/>
      <c r="AA82" s="596"/>
      <c r="AB82" s="596"/>
      <c r="AC82" s="596"/>
      <c r="AD82" s="596"/>
      <c r="AE82" s="596"/>
      <c r="AF82" s="596"/>
      <c r="AG82" s="596"/>
      <c r="AH82" s="596"/>
      <c r="AI82" s="272">
        <f>MATCH($A82,Table!$A:$A,0)+$AK$2-1</f>
        <v>1092</v>
      </c>
      <c r="AJ82" s="361"/>
      <c r="AK82" s="361"/>
      <c r="AL82" s="361"/>
      <c r="AM82" s="272">
        <f>MATCH($A82,Table!$A:$A,0)+$AO$2-1</f>
        <v>1083</v>
      </c>
      <c r="AN82" s="361"/>
      <c r="AO82" s="361"/>
      <c r="AP82" s="973" t="s">
        <v>302</v>
      </c>
    </row>
    <row r="83" spans="1:42" s="267" customFormat="1" ht="19.5" customHeight="1" x14ac:dyDescent="0.25">
      <c r="A83" s="268">
        <v>41374</v>
      </c>
      <c r="B83" s="596">
        <f ca="1">IF(ISERROR(MATCH(B$1,INDIRECT("Table!A"&amp;$AM83):INDIRECT("Table!" &amp; $AP$108 &amp; $AM83),0)),"",INDIRECT(CONCATENATE("Table!",ADDRESS($AI83,MATCH(B$1,INDIRECT("Table!A" &amp; $AM83):INDIRECT("Table!" &amp; $AP$108 &amp; $AM83),0)))))</f>
        <v>1.3407586605129149</v>
      </c>
      <c r="C83" s="273">
        <f ca="1">IF(ISERROR(MATCH(C$1,INDIRECT("Table!A"&amp;$AM83):INDIRECT("Table!" &amp; $AP$108 &amp; $AM83),0)),"",INDIRECT(CONCATENATE("Table!",ADDRESS($AI83,MATCH(C$1,INDIRECT("Table!A" &amp; $AM83):INDIRECT("Table!" &amp; $AP$108 &amp; $AM83),0)))))</f>
        <v>0.59295368991162389</v>
      </c>
      <c r="D83" s="273">
        <f ca="1">IF(ISERROR(MATCH(D$1,INDIRECT("Table!A"&amp;$AM83):INDIRECT("Table!" &amp; $AP$108 &amp; $AM83),0)),"",INDIRECT(CONCATENATE("Table!",ADDRESS($AI83,MATCH(D$1,INDIRECT("Table!A" &amp; $AM83):INDIRECT("Table!" &amp; $AP$108 &amp; $AM83),0)))))</f>
        <v>0.59989799077571926</v>
      </c>
      <c r="E83" s="273">
        <f ca="1">IF(ISERROR(MATCH(E$1,INDIRECT("Table!A"&amp;$AM83):INDIRECT("Table!" &amp; $AP$108 &amp; $AM83),0)),"",INDIRECT(CONCATENATE("Table!",ADDRESS($AI83,MATCH(E$1,INDIRECT("Table!A" &amp; $AM83):INDIRECT("Table!" &amp; $AP$108 &amp; $AM83),0)))))</f>
        <v>1.5276579277331923</v>
      </c>
      <c r="F83" s="273">
        <f ca="1">IF(ISERROR(MATCH(F$1,INDIRECT("Table!A"&amp;$AM83):INDIRECT("Table!" &amp; $AP$108 &amp; $AM83),0)),"",INDIRECT(CONCATENATE("Table!",ADDRESS($AI83,MATCH(F$1,INDIRECT("Table!A" &amp; $AM83):INDIRECT("Table!" &amp; $AP$108 &amp; $AM83),0)))))</f>
        <v>1.5328826944289147</v>
      </c>
      <c r="G83" s="273">
        <f ca="1">IF(ISERROR(MATCH(G$1,INDIRECT("Table!A"&amp;$AM83):INDIRECT("Table!" &amp; $AP$108 &amp; $AM83),0)),"",INDIRECT(CONCATENATE("Table!",ADDRESS($AI83,MATCH(G$1,INDIRECT("Table!A" &amp; $AM83):INDIRECT("Table!" &amp; $AP$108 &amp; $AM83),0)))))</f>
        <v>3.4229394696212876</v>
      </c>
      <c r="H83" s="273">
        <f ca="1">IF(ISERROR(MATCH(H$1,INDIRECT("Table!A"&amp;$AM83):INDIRECT("Table!" &amp; $AP$108 &amp; $AM83),0)),"",INDIRECT(CONCATENATE("Table!",ADDRESS($AI83,MATCH(H$1,INDIRECT("Table!A" &amp; $AM83):INDIRECT("Table!" &amp; $AP$108 &amp; $AM83),0)))))</f>
        <v>1.1021152080493324</v>
      </c>
      <c r="I83" s="273">
        <f ca="1">IF(ISERROR(MATCH(I$1,INDIRECT("Table!A"&amp;$AM83):INDIRECT("Table!" &amp; $AP$86 &amp; $AM83),0)),"",INDIRECT(CONCATENATE("Table!",ADDRESS($AI83,MATCH(I$1,INDIRECT("Table!A" &amp; $AM83):INDIRECT("Table!" &amp; $AP$86 &amp; $AM83),0)))))</f>
        <v>6.3138966713813208E-2</v>
      </c>
      <c r="J83" s="273" t="str">
        <f ca="1">IF(ISERROR(MATCH(J$1,INDIRECT("Table!A"&amp;$AM83):INDIRECT("Table!" &amp; $AP$86 &amp; $AM83),0)),"",INDIRECT(CONCATENATE("Table!",ADDRESS($AI83,MATCH(J$1,INDIRECT("Table!A" &amp; $AM83):INDIRECT("Table!" &amp; $AP$86 &amp; $AM83),0)))))</f>
        <v/>
      </c>
      <c r="K83" s="273" t="str">
        <f ca="1">IF(ISERROR(MATCH(K$1,INDIRECT("Table!A"&amp;$AM83):INDIRECT("Table!" &amp; $AP$86 &amp; $AM83),0)),"",INDIRECT(CONCATENATE("Table!",ADDRESS($AI83,MATCH(K$1,INDIRECT("Table!A" &amp; $AM83):INDIRECT("Table!" &amp; $AP$86 &amp; $AM83),0)))))</f>
        <v/>
      </c>
      <c r="L83" s="273">
        <f ca="1">IF(ISERROR(MATCH(L$1,INDIRECT("Table!A"&amp;$AM83):INDIRECT("Table!" &amp; $AP$108 &amp; $AM83),0)),"",INDIRECT(CONCATENATE("Table!",ADDRESS($AI83,MATCH(L$1,INDIRECT("Table!A" &amp; $AM83):INDIRECT("Table!" &amp; $AP$108 &amp; $AM83),0)))))</f>
        <v>1.4676197319545969</v>
      </c>
      <c r="M83" s="273">
        <f ca="1">IF(ISERROR(MATCH(M$1,INDIRECT("Table!A"&amp;$AM83):INDIRECT("Table!" &amp; $AP$108 &amp; $AM83),0)),"",INDIRECT(CONCATENATE("Table!",ADDRESS($AI83,MATCH(M$1,INDIRECT("Table!A" &amp; $AM83):INDIRECT("Table!" &amp; $AP$108 &amp; $AM83),0)))))</f>
        <v>2.8207183260401321</v>
      </c>
      <c r="N83" s="273">
        <f ca="1">IF(ISERROR(MATCH(N$1,INDIRECT("Table!A"&amp;$AM83):INDIRECT("Table!" &amp; $AP$108 &amp; $AM83),0)),"",INDIRECT(CONCATENATE("Table!",ADDRESS($AI83,MATCH(N$1,INDIRECT("Table!A" &amp; $AM83):INDIRECT("Table!" &amp; $AP$108 &amp; $AM83),0)))))</f>
        <v>1.5976858628997064</v>
      </c>
      <c r="O83" s="273">
        <f ca="1">IF(ISERROR(MATCH(O$1,INDIRECT("Table!A"&amp;$AM83):INDIRECT("Table!" &amp; $AP$86 &amp; $AM83),0)),"",INDIRECT(CONCATENATE("Table!",ADDRESS($AI83,MATCH(O$1,INDIRECT("Table!A" &amp; $AM83):INDIRECT("Table!" &amp; $AP$86 &amp; $AM83),0)))))</f>
        <v>1.3916073813467269</v>
      </c>
      <c r="P83" s="273">
        <f ca="1">IF(ISERROR(MATCH(P$1,INDIRECT("Table!A"&amp;$AM83):INDIRECT("Table!" &amp; $AP$86 &amp; $AM83),0)),"",INDIRECT(CONCATENATE("Table!",ADDRESS($AI83,MATCH(P$1,INDIRECT("Table!A" &amp; $AM83):INDIRECT("Table!" &amp; $AP$86 &amp; $AM83),0)))))</f>
        <v>0.32807880634400705</v>
      </c>
      <c r="Q83" s="273" t="str">
        <f ca="1">IF(ISERROR(MATCH(Q$1,INDIRECT("Table!A"&amp;$AM83):INDIRECT("Table!" &amp; $AP$86 &amp; $AM83),0)),"",INDIRECT(CONCATENATE("Table!",ADDRESS($AI83,MATCH(Q$1,INDIRECT("Table!A" &amp; $AM83):INDIRECT("Table!" &amp; $AP$86 &amp; $AM83),0)))))</f>
        <v/>
      </c>
      <c r="R83" s="273" t="str">
        <f ca="1">IF(ISERROR(MATCH(R$1,INDIRECT("Table!A"&amp;$AM83):INDIRECT("Table!" &amp; $AP$86 &amp; $AM83),0)),"",INDIRECT(CONCATENATE("Table!",ADDRESS($AI83,MATCH(R$1,INDIRECT("Table!A" &amp; $AM83):INDIRECT("Table!" &amp; $AP$86 &amp; $AM83),0)))))</f>
        <v/>
      </c>
      <c r="S83" s="596" t="str">
        <f ca="1">IF(ISERROR(MATCH(S$1,INDIRECT("Table!A"&amp;$AM83):INDIRECT("Table!" &amp; $AP$65 &amp; $AM83),0)),"",INDIRECT(CONCATENATE("Table!",ADDRESS($AI83,MATCH(S$1,INDIRECT("Table!A" &amp; $AM83):INDIRECT("Table!" &amp; $AP$65 &amp; $AM83),0)))))</f>
        <v/>
      </c>
      <c r="T83" s="273">
        <f ca="1">IF(ISERROR(MATCH(T$1,INDIRECT("Table!A"&amp;$AM83):INDIRECT("Table!" &amp; $AP$86 &amp; $AM83),0)),"",INDIRECT(CONCATENATE("Table!",ADDRESS($AI83,MATCH(T$1,INDIRECT("Table!A" &amp; $AM83):INDIRECT("Table!" &amp; $AP$86 &amp; $AM83),0)))))</f>
        <v>0.38821344494643478</v>
      </c>
      <c r="U83" s="596" t="str">
        <f ca="1">IF(ISERROR(MATCH(U$1,INDIRECT("Table!A"&amp;$AM83):INDIRECT("Table!" &amp; $AP$86 &amp; $AM83),0)),"",INDIRECT(CONCATENATE("Table!",ADDRESS($AI83,MATCH(U$1,INDIRECT("Table!A" &amp; $AM83):INDIRECT("Table!" &amp; $AP$86 &amp; $AM83),0)))))</f>
        <v/>
      </c>
      <c r="V83" s="596"/>
      <c r="W83" s="596"/>
      <c r="X83" s="596"/>
      <c r="Y83" s="596"/>
      <c r="Z83" s="596"/>
      <c r="AA83" s="596"/>
      <c r="AB83" s="596"/>
      <c r="AC83" s="596"/>
      <c r="AD83" s="596"/>
      <c r="AE83" s="596"/>
      <c r="AF83" s="596"/>
      <c r="AG83" s="596"/>
      <c r="AH83" s="596"/>
      <c r="AI83" s="272">
        <f>MATCH($A83,Table!$A:$A,0)+$AK$2-1</f>
        <v>1104</v>
      </c>
      <c r="AJ83" s="360"/>
      <c r="AK83" s="360"/>
      <c r="AL83" s="360"/>
      <c r="AM83" s="272">
        <f>MATCH($A83,Table!$A:$A,0)+$AO$2-1</f>
        <v>1095</v>
      </c>
      <c r="AN83" s="360"/>
      <c r="AO83" s="360"/>
      <c r="AP83" s="973" t="s">
        <v>302</v>
      </c>
    </row>
    <row r="84" spans="1:42" s="267" customFormat="1" ht="19.5" customHeight="1" x14ac:dyDescent="0.25">
      <c r="A84" s="268">
        <v>41373</v>
      </c>
      <c r="B84" s="596">
        <f ca="1">IF(ISERROR(MATCH(B$1,INDIRECT("Table!A"&amp;$AM84):INDIRECT("Table!" &amp; $AP$108 &amp; $AM84),0)),"",INDIRECT(CONCATENATE("Table!",ADDRESS($AI84,MATCH(B$1,INDIRECT("Table!A" &amp; $AM84):INDIRECT("Table!" &amp; $AP$108 &amp; $AM84),0)))))</f>
        <v>1.3407586605129149</v>
      </c>
      <c r="C84" s="273">
        <f ca="1">IF(ISERROR(MATCH(C$1,INDIRECT("Table!A"&amp;$AM84):INDIRECT("Table!" &amp; $AP$108 &amp; $AM84),0)),"",INDIRECT(CONCATENATE("Table!",ADDRESS($AI84,MATCH(C$1,INDIRECT("Table!A" &amp; $AM84):INDIRECT("Table!" &amp; $AP$108 &amp; $AM84),0)))))</f>
        <v>0.59295368991162389</v>
      </c>
      <c r="D84" s="273">
        <f ca="1">IF(ISERROR(MATCH(D$1,INDIRECT("Table!A"&amp;$AM84):INDIRECT("Table!" &amp; $AP$108 &amp; $AM84),0)),"",INDIRECT(CONCATENATE("Table!",ADDRESS($AI84,MATCH(D$1,INDIRECT("Table!A" &amp; $AM84):INDIRECT("Table!" &amp; $AP$108 &amp; $AM84),0)))))</f>
        <v>0.59989799077571926</v>
      </c>
      <c r="E84" s="273">
        <f ca="1">IF(ISERROR(MATCH(E$1,INDIRECT("Table!A"&amp;$AM84):INDIRECT("Table!" &amp; $AP$108 &amp; $AM84),0)),"",INDIRECT(CONCATENATE("Table!",ADDRESS($AI84,MATCH(E$1,INDIRECT("Table!A" &amp; $AM84):INDIRECT("Table!" &amp; $AP$108 &amp; $AM84),0)))))</f>
        <v>1.5276579277331923</v>
      </c>
      <c r="F84" s="273">
        <f ca="1">IF(ISERROR(MATCH(F$1,INDIRECT("Table!A"&amp;$AM84):INDIRECT("Table!" &amp; $AP$108 &amp; $AM84),0)),"",INDIRECT(CONCATENATE("Table!",ADDRESS($AI84,MATCH(F$1,INDIRECT("Table!A" &amp; $AM84):INDIRECT("Table!" &amp; $AP$108 &amp; $AM84),0)))))</f>
        <v>1.5267690968707031</v>
      </c>
      <c r="G84" s="273">
        <f ca="1">IF(ISERROR(MATCH(G$1,INDIRECT("Table!A"&amp;$AM84):INDIRECT("Table!" &amp; $AP$108 &amp; $AM84),0)),"",INDIRECT(CONCATENATE("Table!",ADDRESS($AI84,MATCH(G$1,INDIRECT("Table!A" &amp; $AM84):INDIRECT("Table!" &amp; $AP$108 &amp; $AM84),0)))))</f>
        <v>3.4229394696212876</v>
      </c>
      <c r="H84" s="273">
        <f ca="1">IF(ISERROR(MATCH(H$1,INDIRECT("Table!A"&amp;$AM84):INDIRECT("Table!" &amp; $AP$108 &amp; $AM84),0)),"",INDIRECT(CONCATENATE("Table!",ADDRESS($AI84,MATCH(H$1,INDIRECT("Table!A" &amp; $AM84):INDIRECT("Table!" &amp; $AP$108 &amp; $AM84),0)))))</f>
        <v>1.0973910631837653</v>
      </c>
      <c r="I84" s="273">
        <f ca="1">IF(ISERROR(MATCH(I$1,INDIRECT("Table!A"&amp;$AM84):INDIRECT("Table!" &amp; $AP$86 &amp; $AM84),0)),"",INDIRECT(CONCATENATE("Table!",ADDRESS($AI84,MATCH(I$1,INDIRECT("Table!A" &amp; $AM84):INDIRECT("Table!" &amp; $AP$86 &amp; $AM84),0)))))</f>
        <v>5.8063487074439167E-2</v>
      </c>
      <c r="J84" s="273" t="str">
        <f ca="1">IF(ISERROR(MATCH(J$1,INDIRECT("Table!A"&amp;$AM84):INDIRECT("Table!" &amp; $AP$86 &amp; $AM84),0)),"",INDIRECT(CONCATENATE("Table!",ADDRESS($AI84,MATCH(J$1,INDIRECT("Table!A" &amp; $AM84):INDIRECT("Table!" &amp; $AP$86 &amp; $AM84),0)))))</f>
        <v/>
      </c>
      <c r="K84" s="273" t="str">
        <f ca="1">IF(ISERROR(MATCH(K$1,INDIRECT("Table!A"&amp;$AM84):INDIRECT("Table!" &amp; $AP$86 &amp; $AM84),0)),"",INDIRECT(CONCATENATE("Table!",ADDRESS($AI84,MATCH(K$1,INDIRECT("Table!A" &amp; $AM84):INDIRECT("Table!" &amp; $AP$86 &amp; $AM84),0)))))</f>
        <v/>
      </c>
      <c r="L84" s="273">
        <f ca="1">IF(ISERROR(MATCH(L$1,INDIRECT("Table!A"&amp;$AM84):INDIRECT("Table!" &amp; $AP$108 &amp; $AM84),0)),"",INDIRECT(CONCATENATE("Table!",ADDRESS($AI84,MATCH(L$1,INDIRECT("Table!A" &amp; $AM84):INDIRECT("Table!" &amp; $AP$108 &amp; $AM84),0)))))</f>
        <v>1.4676197319545969</v>
      </c>
      <c r="M84" s="273">
        <f ca="1">IF(ISERROR(MATCH(M$1,INDIRECT("Table!A"&amp;$AM84):INDIRECT("Table!" &amp; $AP$108 &amp; $AM84),0)),"",INDIRECT(CONCATENATE("Table!",ADDRESS($AI84,MATCH(M$1,INDIRECT("Table!A" &amp; $AM84):INDIRECT("Table!" &amp; $AP$108 &amp; $AM84),0)))))</f>
        <v>2.8125526858706653</v>
      </c>
      <c r="N84" s="273">
        <f ca="1">IF(ISERROR(MATCH(N$1,INDIRECT("Table!A"&amp;$AM84):INDIRECT("Table!" &amp; $AP$108 &amp; $AM84),0)),"",INDIRECT(CONCATENATE("Table!",ADDRESS($AI84,MATCH(N$1,INDIRECT("Table!A" &amp; $AM84):INDIRECT("Table!" &amp; $AP$108 &amp; $AM84),0)))))</f>
        <v>1.5972782899754971</v>
      </c>
      <c r="O84" s="273">
        <f ca="1">IF(ISERROR(MATCH(O$1,INDIRECT("Table!A"&amp;$AM84):INDIRECT("Table!" &amp; $AP$86 &amp; $AM84),0)),"",INDIRECT(CONCATENATE("Table!",ADDRESS($AI84,MATCH(O$1,INDIRECT("Table!A" &amp; $AM84):INDIRECT("Table!" &amp; $AP$86 &amp; $AM84),0)))))</f>
        <v>1.3673440456203354</v>
      </c>
      <c r="P84" s="273">
        <f ca="1">IF(ISERROR(MATCH(P$1,INDIRECT("Table!A"&amp;$AM84):INDIRECT("Table!" &amp; $AP$86 &amp; $AM84),0)),"",INDIRECT(CONCATENATE("Table!",ADDRESS($AI84,MATCH(P$1,INDIRECT("Table!A" &amp; $AM84):INDIRECT("Table!" &amp; $AP$86 &amp; $AM84),0)))))</f>
        <v>0.32807880634400705</v>
      </c>
      <c r="Q84" s="273" t="str">
        <f ca="1">IF(ISERROR(MATCH(Q$1,INDIRECT("Table!A"&amp;$AM84):INDIRECT("Table!" &amp; $AP$86 &amp; $AM84),0)),"",INDIRECT(CONCATENATE("Table!",ADDRESS($AI84,MATCH(Q$1,INDIRECT("Table!A" &amp; $AM84):INDIRECT("Table!" &amp; $AP$86 &amp; $AM84),0)))))</f>
        <v/>
      </c>
      <c r="R84" s="273" t="str">
        <f ca="1">IF(ISERROR(MATCH(R$1,INDIRECT("Table!A"&amp;$AM84):INDIRECT("Table!" &amp; $AP$86 &amp; $AM84),0)),"",INDIRECT(CONCATENATE("Table!",ADDRESS($AI84,MATCH(R$1,INDIRECT("Table!A" &amp; $AM84):INDIRECT("Table!" &amp; $AP$86 &amp; $AM84),0)))))</f>
        <v/>
      </c>
      <c r="S84" s="596" t="str">
        <f ca="1">IF(ISERROR(MATCH(S$1,INDIRECT("Table!A"&amp;$AM84):INDIRECT("Table!" &amp; $AP$65 &amp; $AM84),0)),"",INDIRECT(CONCATENATE("Table!",ADDRESS($AI84,MATCH(S$1,INDIRECT("Table!A" &amp; $AM84):INDIRECT("Table!" &amp; $AP$65 &amp; $AM84),0)))))</f>
        <v/>
      </c>
      <c r="T84" s="273">
        <f ca="1">IF(ISERROR(MATCH(T$1,INDIRECT("Table!A"&amp;$AM84):INDIRECT("Table!" &amp; $AP$86 &amp; $AM84),0)),"",INDIRECT(CONCATENATE("Table!",ADDRESS($AI84,MATCH(T$1,INDIRECT("Table!A" &amp; $AM84):INDIRECT("Table!" &amp; $AP$86 &amp; $AM84),0)))))</f>
        <v>0.38821344494643478</v>
      </c>
      <c r="U84" s="596" t="str">
        <f ca="1">IF(ISERROR(MATCH(U$1,INDIRECT("Table!A"&amp;$AM84):INDIRECT("Table!" &amp; $AP$86 &amp; $AM84),0)),"",INDIRECT(CONCATENATE("Table!",ADDRESS($AI84,MATCH(U$1,INDIRECT("Table!A" &amp; $AM84):INDIRECT("Table!" &amp; $AP$86 &amp; $AM84),0)))))</f>
        <v/>
      </c>
      <c r="V84" s="596"/>
      <c r="W84" s="596"/>
      <c r="X84" s="596"/>
      <c r="Y84" s="596"/>
      <c r="Z84" s="596"/>
      <c r="AA84" s="596"/>
      <c r="AB84" s="596"/>
      <c r="AC84" s="596"/>
      <c r="AD84" s="596"/>
      <c r="AE84" s="596"/>
      <c r="AF84" s="596"/>
      <c r="AG84" s="596"/>
      <c r="AH84" s="596"/>
      <c r="AI84" s="272">
        <f>MATCH($A84,Table!$A:$A,0)+$AK$2-1</f>
        <v>1116</v>
      </c>
      <c r="AJ84" s="359"/>
      <c r="AK84" s="359"/>
      <c r="AL84" s="359"/>
      <c r="AM84" s="272">
        <f>MATCH($A84,Table!$A:$A,0)+$AO$2-1</f>
        <v>1107</v>
      </c>
      <c r="AN84" s="359"/>
      <c r="AO84" s="359"/>
      <c r="AP84" s="973" t="s">
        <v>302</v>
      </c>
    </row>
    <row r="85" spans="1:42" s="267" customFormat="1" ht="19.5" customHeight="1" x14ac:dyDescent="0.25">
      <c r="A85" s="268">
        <v>41361</v>
      </c>
      <c r="B85" s="596">
        <f ca="1">IF(ISERROR(MATCH(B$1,INDIRECT("Table!A"&amp;$AM85):INDIRECT("Table!" &amp; $AP$108 &amp; $AM85),0)),"",INDIRECT(CONCATENATE("Table!",ADDRESS($AI85,MATCH(B$1,INDIRECT("Table!A" &amp; $AM85):INDIRECT("Table!" &amp; $AP$108 &amp; $AM85),0)))))</f>
        <v>1.3407586605129149</v>
      </c>
      <c r="C85" s="273">
        <f ca="1">IF(ISERROR(MATCH(C$1,INDIRECT("Table!A"&amp;$AM85):INDIRECT("Table!" &amp; $AP$108 &amp; $AM85),0)),"",INDIRECT(CONCATENATE("Table!",ADDRESS($AI85,MATCH(C$1,INDIRECT("Table!A" &amp; $AM85):INDIRECT("Table!" &amp; $AP$108 &amp; $AM85),0)))))</f>
        <v>0.59295368991162389</v>
      </c>
      <c r="D85" s="273">
        <f ca="1">IF(ISERROR(MATCH(D$1,INDIRECT("Table!A"&amp;$AM85):INDIRECT("Table!" &amp; $AP$108 &amp; $AM85),0)),"",INDIRECT(CONCATENATE("Table!",ADDRESS($AI85,MATCH(D$1,INDIRECT("Table!A" &amp; $AM85):INDIRECT("Table!" &amp; $AP$108 &amp; $AM85),0)))))</f>
        <v>0.59989799077571926</v>
      </c>
      <c r="E85" s="273">
        <f ca="1">IF(ISERROR(MATCH(E$1,INDIRECT("Table!A"&amp;$AM85):INDIRECT("Table!" &amp; $AP$108 &amp; $AM85),0)),"",INDIRECT(CONCATENATE("Table!",ADDRESS($AI85,MATCH(E$1,INDIRECT("Table!A" &amp; $AM85):INDIRECT("Table!" &amp; $AP$108 &amp; $AM85),0)))))</f>
        <v>1.5276579277331923</v>
      </c>
      <c r="F85" s="273">
        <f ca="1">IF(ISERROR(MATCH(F$1,INDIRECT("Table!A"&amp;$AM85):INDIRECT("Table!" &amp; $AP$108 &amp; $AM85),0)),"",INDIRECT(CONCATENATE("Table!",ADDRESS($AI85,MATCH(F$1,INDIRECT("Table!A" &amp; $AM85):INDIRECT("Table!" &amp; $AP$108 &amp; $AM85),0)))))</f>
        <v>1.5145419017542798</v>
      </c>
      <c r="G85" s="273">
        <f ca="1">IF(ISERROR(MATCH(G$1,INDIRECT("Table!A"&amp;$AM85):INDIRECT("Table!" &amp; $AP$108 &amp; $AM85),0)),"",INDIRECT(CONCATENATE("Table!",ADDRESS($AI85,MATCH(G$1,INDIRECT("Table!A" &amp; $AM85):INDIRECT("Table!" &amp; $AP$108 &amp; $AM85),0)))))</f>
        <v>3.4229394696212876</v>
      </c>
      <c r="H85" s="273">
        <f ca="1">IF(ISERROR(MATCH(H$1,INDIRECT("Table!A"&amp;$AM85):INDIRECT("Table!" &amp; $AP$108 &amp; $AM85),0)),"",INDIRECT(CONCATENATE("Table!",ADDRESS($AI85,MATCH(H$1,INDIRECT("Table!A" &amp; $AM85):INDIRECT("Table!" &amp; $AP$108 &amp; $AM85),0)))))</f>
        <v>1.0582084498870039</v>
      </c>
      <c r="I85" s="273">
        <f ca="1">IF(ISERROR(MATCH(I$1,INDIRECT("Table!A"&amp;$AM85):INDIRECT("Table!" &amp; $AP$86 &amp; $AM85),0)),"",INDIRECT(CONCATENATE("Table!",ADDRESS($AI85,MATCH(I$1,INDIRECT("Table!A" &amp; $AM85):INDIRECT("Table!" &amp; $AP$86 &amp; $AM85),0)))))</f>
        <v>5.8063487074439167E-2</v>
      </c>
      <c r="J85" s="273" t="str">
        <f ca="1">IF(ISERROR(MATCH(J$1,INDIRECT("Table!A"&amp;$AM85):INDIRECT("Table!" &amp; $AP$86 &amp; $AM85),0)),"",INDIRECT(CONCATENATE("Table!",ADDRESS($AI85,MATCH(J$1,INDIRECT("Table!A" &amp; $AM85):INDIRECT("Table!" &amp; $AP$86 &amp; $AM85),0)))))</f>
        <v/>
      </c>
      <c r="K85" s="273" t="str">
        <f ca="1">IF(ISERROR(MATCH(K$1,INDIRECT("Table!A"&amp;$AM85):INDIRECT("Table!" &amp; $AP$86 &amp; $AM85),0)),"",INDIRECT(CONCATENATE("Table!",ADDRESS($AI85,MATCH(K$1,INDIRECT("Table!A" &amp; $AM85):INDIRECT("Table!" &amp; $AP$86 &amp; $AM85),0)))))</f>
        <v/>
      </c>
      <c r="L85" s="273">
        <f ca="1">IF(ISERROR(MATCH(L$1,INDIRECT("Table!A"&amp;$AM85):INDIRECT("Table!" &amp; $AP$108 &amp; $AM85),0)),"",INDIRECT(CONCATENATE("Table!",ADDRESS($AI85,MATCH(L$1,INDIRECT("Table!A" &amp; $AM85):INDIRECT("Table!" &amp; $AP$108 &amp; $AM85),0)))))</f>
        <v>1.4676197319545969</v>
      </c>
      <c r="M85" s="273">
        <f ca="1">IF(ISERROR(MATCH(M$1,INDIRECT("Table!A"&amp;$AM85):INDIRECT("Table!" &amp; $AP$108 &amp; $AM85),0)),"",INDIRECT(CONCATENATE("Table!",ADDRESS($AI85,MATCH(M$1,INDIRECT("Table!A" &amp; $AM85):INDIRECT("Table!" &amp; $AP$108 &amp; $AM85),0)))))</f>
        <v>2.8125526858706653</v>
      </c>
      <c r="N85" s="273">
        <f ca="1">IF(ISERROR(MATCH(N$1,INDIRECT("Table!A"&amp;$AM85):INDIRECT("Table!" &amp; $AP$108 &amp; $AM85),0)),"",INDIRECT(CONCATENATE("Table!",ADDRESS($AI85,MATCH(N$1,INDIRECT("Table!A" &amp; $AM85):INDIRECT("Table!" &amp; $AP$108 &amp; $AM85),0)))))</f>
        <v>1.5838283834765967</v>
      </c>
      <c r="O85" s="273">
        <f ca="1">IF(ISERROR(MATCH(O$1,INDIRECT("Table!A"&amp;$AM85):INDIRECT("Table!" &amp; $AP$86 &amp; $AM85),0)),"",INDIRECT(CONCATENATE("Table!",ADDRESS($AI85,MATCH(O$1,INDIRECT("Table!A" &amp; $AM85):INDIRECT("Table!" &amp; $AP$86 &amp; $AM85),0)))))</f>
        <v>1.357600501352257</v>
      </c>
      <c r="P85" s="273">
        <f ca="1">IF(ISERROR(MATCH(P$1,INDIRECT("Table!A"&amp;$AM85):INDIRECT("Table!" &amp; $AP$86 &amp; $AM85),0)),"",INDIRECT(CONCATENATE("Table!",ADDRESS($AI85,MATCH(P$1,INDIRECT("Table!A" &amp; $AM85):INDIRECT("Table!" &amp; $AP$86 &amp; $AM85),0)))))</f>
        <v>0.29437764183094689</v>
      </c>
      <c r="Q85" s="273" t="str">
        <f ca="1">IF(ISERROR(MATCH(Q$1,INDIRECT("Table!A"&amp;$AM85):INDIRECT("Table!" &amp; $AP$86 &amp; $AM85),0)),"",INDIRECT(CONCATENATE("Table!",ADDRESS($AI85,MATCH(Q$1,INDIRECT("Table!A" &amp; $AM85):INDIRECT("Table!" &amp; $AP$86 &amp; $AM85),0)))))</f>
        <v/>
      </c>
      <c r="R85" s="273" t="str">
        <f ca="1">IF(ISERROR(MATCH(R$1,INDIRECT("Table!A"&amp;$AM85):INDIRECT("Table!" &amp; $AP$86 &amp; $AM85),0)),"",INDIRECT(CONCATENATE("Table!",ADDRESS($AI85,MATCH(R$1,INDIRECT("Table!A" &amp; $AM85):INDIRECT("Table!" &amp; $AP$86 &amp; $AM85),0)))))</f>
        <v/>
      </c>
      <c r="S85" s="596" t="str">
        <f ca="1">IF(ISERROR(MATCH(S$1,INDIRECT("Table!A"&amp;$AM85):INDIRECT("Table!" &amp; $AP$65 &amp; $AM85),0)),"",INDIRECT(CONCATENATE("Table!",ADDRESS($AI85,MATCH(S$1,INDIRECT("Table!A" &amp; $AM85):INDIRECT("Table!" &amp; $AP$65 &amp; $AM85),0)))))</f>
        <v/>
      </c>
      <c r="T85" s="273">
        <f ca="1">IF(ISERROR(MATCH(T$1,INDIRECT("Table!A"&amp;$AM85):INDIRECT("Table!" &amp; $AP$86 &amp; $AM85),0)),"",INDIRECT(CONCATENATE("Table!",ADDRESS($AI85,MATCH(T$1,INDIRECT("Table!A" &amp; $AM85):INDIRECT("Table!" &amp; $AP$86 &amp; $AM85),0)))))</f>
        <v>0.38821344494643478</v>
      </c>
      <c r="U85" s="596" t="str">
        <f ca="1">IF(ISERROR(MATCH(U$1,INDIRECT("Table!A"&amp;$AM85):INDIRECT("Table!" &amp; $AP$86 &amp; $AM85),0)),"",INDIRECT(CONCATENATE("Table!",ADDRESS($AI85,MATCH(U$1,INDIRECT("Table!A" &amp; $AM85):INDIRECT("Table!" &amp; $AP$86 &amp; $AM85),0)))))</f>
        <v/>
      </c>
      <c r="V85" s="596"/>
      <c r="W85" s="596"/>
      <c r="X85" s="596"/>
      <c r="Y85" s="596"/>
      <c r="Z85" s="596"/>
      <c r="AA85" s="596"/>
      <c r="AB85" s="596"/>
      <c r="AC85" s="596"/>
      <c r="AD85" s="596"/>
      <c r="AE85" s="596"/>
      <c r="AF85" s="596"/>
      <c r="AG85" s="596"/>
      <c r="AH85" s="596"/>
      <c r="AI85" s="272">
        <f>MATCH($A85,Table!$A:$A,0)+$AK$2-1</f>
        <v>1128</v>
      </c>
      <c r="AJ85" s="356"/>
      <c r="AK85" s="356"/>
      <c r="AL85" s="356"/>
      <c r="AM85" s="272">
        <f>MATCH($A85,Table!$A:$A,0)+$AO$2-1</f>
        <v>1119</v>
      </c>
      <c r="AN85" s="356"/>
      <c r="AO85" s="356"/>
      <c r="AP85" s="973" t="s">
        <v>302</v>
      </c>
    </row>
    <row r="86" spans="1:42" ht="19.5" customHeight="1" x14ac:dyDescent="0.25">
      <c r="A86" s="4">
        <v>41359</v>
      </c>
      <c r="B86" s="596">
        <f ca="1">IF(ISERROR(MATCH(B$1,INDIRECT("Table!A"&amp;$AM86):INDIRECT("Table!" &amp; $AP$108 &amp; $AM86),0)),"",INDIRECT(CONCATENATE("Table!",ADDRESS($AI86,MATCH(B$1,INDIRECT("Table!A" &amp; $AM86):INDIRECT("Table!" &amp; $AP$108 &amp; $AM86),0)))))</f>
        <v>1.3407586605129149</v>
      </c>
      <c r="C86" s="24">
        <f ca="1">IF(ISERROR(MATCH(C$1,INDIRECT("Table!A"&amp;$AM86):INDIRECT("Table!" &amp; $AP$108 &amp; $AM86),0)),"",INDIRECT(CONCATENATE("Table!",ADDRESS($AI86,MATCH(C$1,INDIRECT("Table!A" &amp; $AM86):INDIRECT("Table!" &amp; $AP$108 &amp; $AM86),0)))))</f>
        <v>0.59295368991162389</v>
      </c>
      <c r="D86" s="24">
        <f ca="1">IF(ISERROR(MATCH(D$1,INDIRECT("Table!A"&amp;$AM86):INDIRECT("Table!" &amp; $AP$108 &amp; $AM86),0)),"",INDIRECT(CONCATENATE("Table!",ADDRESS($AI86,MATCH(D$1,INDIRECT("Table!A" &amp; $AM86):INDIRECT("Table!" &amp; $AP$108 &amp; $AM86),0)))))</f>
        <v>0.59989799077571926</v>
      </c>
      <c r="E86" s="24">
        <f ca="1">IF(ISERROR(MATCH(E$1,INDIRECT("Table!A"&amp;$AM86):INDIRECT("Table!" &amp; $AP$108 &amp; $AM86),0)),"",INDIRECT(CONCATENATE("Table!",ADDRESS($AI86,MATCH(E$1,INDIRECT("Table!A" &amp; $AM86):INDIRECT("Table!" &amp; $AP$108 &amp; $AM86),0)))))</f>
        <v>1.5276579277331923</v>
      </c>
      <c r="F86" s="24">
        <f ca="1">IF(ISERROR(MATCH(F$1,INDIRECT("Table!A"&amp;$AM86):INDIRECT("Table!" &amp; $AP$108 &amp; $AM86),0)),"",INDIRECT(CONCATENATE("Table!",ADDRESS($AI86,MATCH(F$1,INDIRECT("Table!A" &amp; $AM86):INDIRECT("Table!" &amp; $AP$108 &amp; $AM86),0)))))</f>
        <v>1.4888647920097913</v>
      </c>
      <c r="G86" s="24">
        <f ca="1">IF(ISERROR(MATCH(G$1,INDIRECT("Table!A"&amp;$AM86):INDIRECT("Table!" &amp; $AP$108 &amp; $AM86),0)),"",INDIRECT(CONCATENATE("Table!",ADDRESS($AI86,MATCH(G$1,INDIRECT("Table!A" &amp; $AM86):INDIRECT("Table!" &amp; $AP$108 &amp; $AM86),0)))))</f>
        <v>3.4229394696212876</v>
      </c>
      <c r="H86" s="24">
        <f ca="1">IF(ISERROR(MATCH(H$1,INDIRECT("Table!A"&amp;$AM86):INDIRECT("Table!" &amp; $AP$108 &amp; $AM86),0)),"",INDIRECT(CONCATENATE("Table!",ADDRESS($AI86,MATCH(H$1,INDIRECT("Table!A" &amp; $AM86):INDIRECT("Table!" &amp; $AP$108 &amp; $AM86),0)))))</f>
        <v>1.0582084498870039</v>
      </c>
      <c r="I86" s="273">
        <f ca="1">IF(ISERROR(MATCH(I$1,INDIRECT("Table!A"&amp;$AM86):INDIRECT("Table!" &amp; $AP$86 &amp; $AM86),0)),"",INDIRECT(CONCATENATE("Table!",ADDRESS($AI86,MATCH(I$1,INDIRECT("Table!A" &amp; $AM86):INDIRECT("Table!" &amp; $AP$86 &amp; $AM86),0)))))</f>
        <v>5.8063487074439167E-2</v>
      </c>
      <c r="J86" s="273" t="str">
        <f ca="1">IF(ISERROR(MATCH(J$1,INDIRECT("Table!A"&amp;$AM86):INDIRECT("Table!" &amp; $AP$86 &amp; $AM86),0)),"",INDIRECT(CONCATENATE("Table!",ADDRESS($AI86,MATCH(J$1,INDIRECT("Table!A" &amp; $AM86):INDIRECT("Table!" &amp; $AP$86 &amp; $AM86),0)))))</f>
        <v/>
      </c>
      <c r="K86" s="273" t="str">
        <f ca="1">IF(ISERROR(MATCH(K$1,INDIRECT("Table!A"&amp;$AM86):INDIRECT("Table!" &amp; $AP$86 &amp; $AM86),0)),"",INDIRECT(CONCATENATE("Table!",ADDRESS($AI86,MATCH(K$1,INDIRECT("Table!A" &amp; $AM86):INDIRECT("Table!" &amp; $AP$86 &amp; $AM86),0)))))</f>
        <v/>
      </c>
      <c r="L86" s="24">
        <f ca="1">IF(ISERROR(MATCH(L$1,INDIRECT("Table!A"&amp;$AM86):INDIRECT("Table!" &amp; $AP$108 &amp; $AM86),0)),"",INDIRECT(CONCATENATE("Table!",ADDRESS($AI86,MATCH(L$1,INDIRECT("Table!A" &amp; $AM86):INDIRECT("Table!" &amp; $AP$108 &amp; $AM86),0)))))</f>
        <v>1.4676197319545969</v>
      </c>
      <c r="M86" s="24">
        <f ca="1">IF(ISERROR(MATCH(M$1,INDIRECT("Table!A"&amp;$AM86):INDIRECT("Table!" &amp; $AP$108 &amp; $AM86),0)),"",INDIRECT(CONCATENATE("Table!",ADDRESS($AI86,MATCH(M$1,INDIRECT("Table!A" &amp; $AM86):INDIRECT("Table!" &amp; $AP$108 &amp; $AM86),0)))))</f>
        <v>2.6900680833286659</v>
      </c>
      <c r="N86" s="24">
        <f ca="1">IF(ISERROR(MATCH(N$1,INDIRECT("Table!A"&amp;$AM86):INDIRECT("Table!" &amp; $AP$108 &amp; $AM86),0)),"",INDIRECT(CONCATENATE("Table!",ADDRESS($AI86,MATCH(N$1,INDIRECT("Table!A" &amp; $AM86):INDIRECT("Table!" &amp; $AP$108 &amp; $AM86),0)))))</f>
        <v>1.5536679870851229</v>
      </c>
      <c r="O86" s="24">
        <f ca="1">IF(ISERROR(MATCH(O$1,INDIRECT("Table!A"&amp;$AM86):INDIRECT("Table!" &amp; $AP$86 &amp; $AM86),0)),"",INDIRECT(CONCATENATE("Table!",ADDRESS($AI86,MATCH(O$1,INDIRECT("Table!A" &amp; $AM86):INDIRECT("Table!" &amp; $AP$86 &amp; $AM86),0)))))</f>
        <v>1.357600501352257</v>
      </c>
      <c r="P86" s="273">
        <f ca="1">IF(ISERROR(MATCH(P$1,INDIRECT("Table!A"&amp;$AM86):INDIRECT("Table!" &amp; $AP$86 &amp; $AM86),0)),"",INDIRECT(CONCATENATE("Table!",ADDRESS($AI86,MATCH(P$1,INDIRECT("Table!A" &amp; $AM86):INDIRECT("Table!" &amp; $AP$86 &amp; $AM86),0)))))</f>
        <v>0.29437764183094689</v>
      </c>
      <c r="Q86" s="273" t="str">
        <f ca="1">IF(ISERROR(MATCH(Q$1,INDIRECT("Table!A"&amp;$AM86):INDIRECT("Table!" &amp; $AP$86 &amp; $AM86),0)),"",INDIRECT(CONCATENATE("Table!",ADDRESS($AI86,MATCH(Q$1,INDIRECT("Table!A" &amp; $AM86):INDIRECT("Table!" &amp; $AP$86 &amp; $AM86),0)))))</f>
        <v/>
      </c>
      <c r="R86" s="273" t="str">
        <f ca="1">IF(ISERROR(MATCH(R$1,INDIRECT("Table!A"&amp;$AM86):INDIRECT("Table!" &amp; $AP$86 &amp; $AM86),0)),"",INDIRECT(CONCATENATE("Table!",ADDRESS($AI86,MATCH(R$1,INDIRECT("Table!A" &amp; $AM86):INDIRECT("Table!" &amp; $AP$86 &amp; $AM86),0)))))</f>
        <v/>
      </c>
      <c r="S86" s="273" t="str">
        <f ca="1">IF(ISERROR(MATCH(S$1,INDIRECT("Table!A"&amp;$AM86):INDIRECT("Table!" &amp; $AP$86 &amp; $AM86),0)),"",INDIRECT(CONCATENATE("Table!",ADDRESS($AI86,MATCH(S$1,INDIRECT("Table!A" &amp; $AM86):INDIRECT("Table!" &amp; $AP$86 &amp; $AM86),0)))))</f>
        <v/>
      </c>
      <c r="T86" s="273">
        <f ca="1">IF(ISERROR(MATCH(T$1,INDIRECT("Table!A"&amp;$AM86):INDIRECT("Table!" &amp; $AP$86 &amp; $AM86),0)),"",INDIRECT(CONCATENATE("Table!",ADDRESS($AI86,MATCH(T$1,INDIRECT("Table!A" &amp; $AM86):INDIRECT("Table!" &amp; $AP$86 &amp; $AM86),0)))))</f>
        <v>0.38821344494643478</v>
      </c>
      <c r="U86" s="596" t="str">
        <f ca="1">IF(ISERROR(MATCH(U$1,INDIRECT("Table!A"&amp;$AM86):INDIRECT("Table!" &amp; $AP$86 &amp; $AM86),0)),"",INDIRECT(CONCATENATE("Table!",ADDRESS($AI86,MATCH(U$1,INDIRECT("Table!A" &amp; $AM86):INDIRECT("Table!" &amp; $AP$86 &amp; $AM86),0)))))</f>
        <v/>
      </c>
      <c r="V86" s="596"/>
      <c r="W86" s="596"/>
      <c r="X86" s="596"/>
      <c r="Y86" s="596"/>
      <c r="Z86" s="596"/>
      <c r="AA86" s="596"/>
      <c r="AB86" s="596"/>
      <c r="AC86" s="596"/>
      <c r="AD86" s="596"/>
      <c r="AE86" s="596"/>
      <c r="AF86" s="596"/>
      <c r="AG86" s="596"/>
      <c r="AH86" s="596"/>
      <c r="AI86" s="22">
        <f>MATCH($A86,Table!$A:$A,0)+$AK$2-1</f>
        <v>1140</v>
      </c>
      <c r="AJ86" s="253"/>
      <c r="AK86" s="253"/>
      <c r="AL86" s="253"/>
      <c r="AM86" s="22">
        <f>MATCH($A86,Table!$A:$A,0)+$AO$2-1</f>
        <v>1131</v>
      </c>
      <c r="AN86" s="253"/>
      <c r="AO86" s="253"/>
      <c r="AP86" s="973" t="s">
        <v>302</v>
      </c>
    </row>
    <row r="87" spans="1:42" s="267" customFormat="1" ht="19.5" customHeight="1" x14ac:dyDescent="0.25">
      <c r="A87" s="268">
        <v>41355</v>
      </c>
      <c r="B87" s="596">
        <f ca="1">IF(ISERROR(MATCH(B$1,INDIRECT("Table!A"&amp;$AM87):INDIRECT("Table!" &amp; $AP$108 &amp; $AM87),0)),"",INDIRECT(CONCATENATE("Table!",ADDRESS($AI87,MATCH(B$1,INDIRECT("Table!A" &amp; $AM87):INDIRECT("Table!" &amp; $AP$108 &amp; $AM87),0)))))</f>
        <v>1.3407586605129149</v>
      </c>
      <c r="C87" s="273">
        <f ca="1">IF(ISERROR(MATCH(C$1,INDIRECT("Table!A"&amp;$AM87):INDIRECT("Table!" &amp; $AP$108 &amp; $AM87),0)),"",INDIRECT(CONCATENATE("Table!",ADDRESS($AI87,MATCH(C$1,INDIRECT("Table!A" &amp; $AM87):INDIRECT("Table!" &amp; $AP$108 &amp; $AM87),0)))))</f>
        <v>0.59295368991162389</v>
      </c>
      <c r="D87" s="273">
        <f ca="1">IF(ISERROR(MATCH(D$1,INDIRECT("Table!A"&amp;$AM87):INDIRECT("Table!" &amp; $AP$108 &amp; $AM87),0)),"",INDIRECT(CONCATENATE("Table!",ADDRESS($AI87,MATCH(D$1,INDIRECT("Table!A" &amp; $AM87):INDIRECT("Table!" &amp; $AP$108 &amp; $AM87),0)))))</f>
        <v>0.59989799077571926</v>
      </c>
      <c r="E87" s="273">
        <f ca="1">IF(ISERROR(MATCH(E$1,INDIRECT("Table!A"&amp;$AM87):INDIRECT("Table!" &amp; $AP$108 &amp; $AM87),0)),"",INDIRECT(CONCATENATE("Table!",ADDRESS($AI87,MATCH(E$1,INDIRECT("Table!A" &amp; $AM87):INDIRECT("Table!" &amp; $AP$108 &amp; $AM87),0)))))</f>
        <v>1.5276579277331923</v>
      </c>
      <c r="F87" s="273">
        <f ca="1">IF(ISERROR(MATCH(F$1,INDIRECT("Table!A"&amp;$AM87):INDIRECT("Table!" &amp; $AP$108 &amp; $AM87),0)),"",INDIRECT(CONCATENATE("Table!",ADDRESS($AI87,MATCH(F$1,INDIRECT("Table!A" &amp; $AM87):INDIRECT("Table!" &amp; $AP$108 &amp; $AM87),0)))))</f>
        <v>1.4888647920097913</v>
      </c>
      <c r="G87" s="273">
        <f ca="1">IF(ISERROR(MATCH(G$1,INDIRECT("Table!A"&amp;$AM87):INDIRECT("Table!" &amp; $AP$108 &amp; $AM87),0)),"",INDIRECT(CONCATENATE("Table!",ADDRESS($AI87,MATCH(G$1,INDIRECT("Table!A" &amp; $AM87):INDIRECT("Table!" &amp; $AP$108 &amp; $AM87),0)))))</f>
        <v>3.4229394696212876</v>
      </c>
      <c r="H87" s="273">
        <f ca="1">IF(ISERROR(MATCH(H$1,INDIRECT("Table!A"&amp;$AM87):INDIRECT("Table!" &amp; $AP$108 &amp; $AM87),0)),"",INDIRECT(CONCATENATE("Table!",ADDRESS($AI87,MATCH(H$1,INDIRECT("Table!A" &amp; $AM87):INDIRECT("Table!" &amp; $AP$108 &amp; $AM87),0)))))</f>
        <v>1.0582084498870039</v>
      </c>
      <c r="I87" s="273">
        <f ca="1">IF(ISERROR(MATCH(I$1,INDIRECT("Table!A"&amp;$AM87):INDIRECT("Table!" &amp; $AP$86 &amp; $AM87),0)),"",INDIRECT(CONCATENATE("Table!",ADDRESS($AI87,MATCH(I$1,INDIRECT("Table!A" &amp; $AM87):INDIRECT("Table!" &amp; $AP$86 &amp; $AM87),0)))))</f>
        <v>5.8063487074439167E-2</v>
      </c>
      <c r="J87" s="273" t="str">
        <f ca="1">IF(ISERROR(MATCH(J$1,INDIRECT("Table!A"&amp;$AM87):INDIRECT("Table!" &amp; $AP$86 &amp; $AM87),0)),"",INDIRECT(CONCATENATE("Table!",ADDRESS($AI87,MATCH(J$1,INDIRECT("Table!A" &amp; $AM87):INDIRECT("Table!" &amp; $AP$86 &amp; $AM87),0)))))</f>
        <v/>
      </c>
      <c r="K87" s="273" t="str">
        <f ca="1">IF(ISERROR(MATCH(K$1,INDIRECT("Table!A"&amp;$AM87):INDIRECT("Table!" &amp; $AP$86 &amp; $AM87),0)),"",INDIRECT(CONCATENATE("Table!",ADDRESS($AI87,MATCH(K$1,INDIRECT("Table!A" &amp; $AM87):INDIRECT("Table!" &amp; $AP$86 &amp; $AM87),0)))))</f>
        <v/>
      </c>
      <c r="L87" s="273">
        <f ca="1">IF(ISERROR(MATCH(L$1,INDIRECT("Table!A"&amp;$AM87):INDIRECT("Table!" &amp; $AP$108 &amp; $AM87),0)),"",INDIRECT(CONCATENATE("Table!",ADDRESS($AI87,MATCH(L$1,INDIRECT("Table!A" &amp; $AM87):INDIRECT("Table!" &amp; $AP$108 &amp; $AM87),0)))))</f>
        <v>1.4676197319545969</v>
      </c>
      <c r="M87" s="273">
        <f ca="1">IF(ISERROR(MATCH(M$1,INDIRECT("Table!A"&amp;$AM87):INDIRECT("Table!" &amp; $AP$108 &amp; $AM87),0)),"",INDIRECT(CONCATENATE("Table!",ADDRESS($AI87,MATCH(M$1,INDIRECT("Table!A" &amp; $AM87):INDIRECT("Table!" &amp; $AP$108 &amp; $AM87),0)))))</f>
        <v>2.6900680833286659</v>
      </c>
      <c r="N87" s="273">
        <f ca="1">IF(ISERROR(MATCH(N$1,INDIRECT("Table!A"&amp;$AM87):INDIRECT("Table!" &amp; $AP$108 &amp; $AM87),0)),"",INDIRECT(CONCATENATE("Table!",ADDRESS($AI87,MATCH(N$1,INDIRECT("Table!A" &amp; $AM87):INDIRECT("Table!" &amp; $AP$108 &amp; $AM87),0)))))</f>
        <v>1.5536679870851229</v>
      </c>
      <c r="O87" s="273">
        <f ca="1">IF(ISERROR(MATCH(O$1,INDIRECT("Table!A"&amp;$AM87):INDIRECT("Table!" &amp; $AP$86 &amp; $AM87),0)),"",INDIRECT(CONCATENATE("Table!",ADDRESS($AI87,MATCH(O$1,INDIRECT("Table!A" &amp; $AM87):INDIRECT("Table!" &amp; $AP$86 &amp; $AM87),0)))))</f>
        <v>1.357600501352257</v>
      </c>
      <c r="P87" s="273">
        <f ca="1">IF(ISERROR(MATCH(P$1,INDIRECT("Table!A"&amp;$AM87):INDIRECT("Table!" &amp; $AP$86 &amp; $AM87),0)),"",INDIRECT(CONCATENATE("Table!",ADDRESS($AI87,MATCH(P$1,INDIRECT("Table!A" &amp; $AM87):INDIRECT("Table!" &amp; $AP$86 &amp; $AM87),0)))))</f>
        <v>0.29437764183094689</v>
      </c>
      <c r="Q87" s="273" t="str">
        <f ca="1">IF(ISERROR(MATCH(Q$1,INDIRECT("Table!A"&amp;$AM87):INDIRECT("Table!" &amp; $AP$86 &amp; $AM87),0)),"",INDIRECT(CONCATENATE("Table!",ADDRESS($AI87,MATCH(Q$1,INDIRECT("Table!A" &amp; $AM87):INDIRECT("Table!" &amp; $AP$86 &amp; $AM87),0)))))</f>
        <v/>
      </c>
      <c r="R87" s="273" t="str">
        <f ca="1">IF(ISERROR(MATCH(R$1,INDIRECT("Table!A"&amp;$AM87):INDIRECT("Table!" &amp; $AP$86 &amp; $AM87),0)),"",INDIRECT(CONCATENATE("Table!",ADDRESS($AI87,MATCH(R$1,INDIRECT("Table!A" &amp; $AM87):INDIRECT("Table!" &amp; $AP$86 &amp; $AM87),0)))))</f>
        <v/>
      </c>
      <c r="S87" s="273" t="str">
        <f ca="1">IF(ISERROR(MATCH(S$1,INDIRECT("Table!A"&amp;$AM87):INDIRECT("Table!" &amp; $AP$86 &amp; $AM87),0)),"",INDIRECT(CONCATENATE("Table!",ADDRESS($AI87,MATCH(S$1,INDIRECT("Table!A" &amp; $AM87):INDIRECT("Table!" &amp; $AP$86 &amp; $AM87),0)))))</f>
        <v/>
      </c>
      <c r="T87" s="273">
        <f ca="1">IF(ISERROR(MATCH(T$1,INDIRECT("Table!A"&amp;$AM87):INDIRECT("Table!" &amp; $AP$86 &amp; $AM87),0)),"",INDIRECT(CONCATENATE("Table!",ADDRESS($AI87,MATCH(T$1,INDIRECT("Table!A" &amp; $AM87):INDIRECT("Table!" &amp; $AP$86 &amp; $AM87),0)))))</f>
        <v>0.38821344494643478</v>
      </c>
      <c r="U87" s="596" t="str">
        <f ca="1">IF(ISERROR(MATCH(U$1,INDIRECT("Table!A"&amp;$AM87):INDIRECT("Table!" &amp; $AP$86 &amp; $AM87),0)),"",INDIRECT(CONCATENATE("Table!",ADDRESS($AI87,MATCH(U$1,INDIRECT("Table!A" &amp; $AM87):INDIRECT("Table!" &amp; $AP$86 &amp; $AM87),0)))))</f>
        <v/>
      </c>
      <c r="V87" s="596"/>
      <c r="W87" s="596"/>
      <c r="X87" s="596"/>
      <c r="Y87" s="596"/>
      <c r="Z87" s="596"/>
      <c r="AA87" s="596"/>
      <c r="AB87" s="596"/>
      <c r="AC87" s="596"/>
      <c r="AD87" s="596"/>
      <c r="AE87" s="596"/>
      <c r="AF87" s="596"/>
      <c r="AG87" s="596"/>
      <c r="AH87" s="596"/>
      <c r="AI87" s="272">
        <f>MATCH($A87,Table!$A:$A,0)+$AK$2-1</f>
        <v>1152</v>
      </c>
      <c r="AJ87" s="353"/>
      <c r="AK87" s="353"/>
      <c r="AL87" s="353"/>
      <c r="AM87" s="272">
        <f>MATCH($A87,Table!$A:$A,0)+$AO$2-1</f>
        <v>1143</v>
      </c>
      <c r="AN87" s="353"/>
      <c r="AO87" s="353"/>
      <c r="AP87" s="973" t="s">
        <v>302</v>
      </c>
    </row>
    <row r="88" spans="1:42" s="267" customFormat="1" ht="19.5" customHeight="1" x14ac:dyDescent="0.25">
      <c r="A88" s="268">
        <v>41353</v>
      </c>
      <c r="B88" s="596">
        <f ca="1">IF(ISERROR(MATCH(B$1,INDIRECT("Table!A"&amp;$AM88):INDIRECT("Table!" &amp; $AP$108 &amp; $AM88),0)),"",INDIRECT(CONCATENATE("Table!",ADDRESS($AI88,MATCH(B$1,INDIRECT("Table!A" &amp; $AM88):INDIRECT("Table!" &amp; $AP$108 &amp; $AM88),0)))))</f>
        <v>1.3407586605129149</v>
      </c>
      <c r="C88" s="273">
        <f ca="1">IF(ISERROR(MATCH(C$1,INDIRECT("Table!A"&amp;$AM88):INDIRECT("Table!" &amp; $AP$108 &amp; $AM88),0)),"",INDIRECT(CONCATENATE("Table!",ADDRESS($AI88,MATCH(C$1,INDIRECT("Table!A" &amp; $AM88):INDIRECT("Table!" &amp; $AP$108 &amp; $AM88),0)))))</f>
        <v>0.59295368991162389</v>
      </c>
      <c r="D88" s="273">
        <f ca="1">IF(ISERROR(MATCH(D$1,INDIRECT("Table!A"&amp;$AM88):INDIRECT("Table!" &amp; $AP$108 &amp; $AM88),0)),"",INDIRECT(CONCATENATE("Table!",ADDRESS($AI88,MATCH(D$1,INDIRECT("Table!A" &amp; $AM88):INDIRECT("Table!" &amp; $AP$108 &amp; $AM88),0)))))</f>
        <v>0.59989799077571926</v>
      </c>
      <c r="E88" s="273">
        <f ca="1">IF(ISERROR(MATCH(E$1,INDIRECT("Table!A"&amp;$AM88):INDIRECT("Table!" &amp; $AP$108 &amp; $AM88),0)),"",INDIRECT(CONCATENATE("Table!",ADDRESS($AI88,MATCH(E$1,INDIRECT("Table!A" &amp; $AM88):INDIRECT("Table!" &amp; $AP$108 &amp; $AM88),0)))))</f>
        <v>1.5276579277331923</v>
      </c>
      <c r="F88" s="273">
        <f ca="1">IF(ISERROR(MATCH(F$1,INDIRECT("Table!A"&amp;$AM88):INDIRECT("Table!" &amp; $AP$108 &amp; $AM88),0)),"",INDIRECT(CONCATENATE("Table!",ADDRESS($AI88,MATCH(F$1,INDIRECT("Table!A" &amp; $AM88):INDIRECT("Table!" &amp; $AP$108 &amp; $AM88),0)))))</f>
        <v>1.4680785603118718</v>
      </c>
      <c r="G88" s="273">
        <f ca="1">IF(ISERROR(MATCH(G$1,INDIRECT("Table!A"&amp;$AM88):INDIRECT("Table!" &amp; $AP$108 &amp; $AM88),0)),"",INDIRECT(CONCATENATE("Table!",ADDRESS($AI88,MATCH(G$1,INDIRECT("Table!A" &amp; $AM88):INDIRECT("Table!" &amp; $AP$108 &amp; $AM88),0)))))</f>
        <v>3.4229394696212876</v>
      </c>
      <c r="H88" s="273">
        <f ca="1">IF(ISERROR(MATCH(H$1,INDIRECT("Table!A"&amp;$AM88):INDIRECT("Table!" &amp; $AP$108 &amp; $AM88),0)),"",INDIRECT(CONCATENATE("Table!",ADDRESS($AI88,MATCH(H$1,INDIRECT("Table!A" &amp; $AM88):INDIRECT("Table!" &amp; $AP$108 &amp; $AM88),0)))))</f>
        <v>0.98901362215016986</v>
      </c>
      <c r="I88" s="273">
        <f ca="1">IF(ISERROR(MATCH(I$1,INDIRECT("Table!A"&amp;$AM88):INDIRECT("Table!" &amp; $AP$86 &amp; $AM88),0)),"",INDIRECT(CONCATENATE("Table!",ADDRESS($AI88,MATCH(I$1,INDIRECT("Table!A" &amp; $AM88):INDIRECT("Table!" &amp; $AP$86 &amp; $AM88),0)))))</f>
        <v>5.8063487074439167E-2</v>
      </c>
      <c r="J88" s="273" t="str">
        <f ca="1">IF(ISERROR(MATCH(J$1,INDIRECT("Table!A"&amp;$AM88):INDIRECT("Table!" &amp; $AP$86 &amp; $AM88),0)),"",INDIRECT(CONCATENATE("Table!",ADDRESS($AI88,MATCH(J$1,INDIRECT("Table!A" &amp; $AM88):INDIRECT("Table!" &amp; $AP$86 &amp; $AM88),0)))))</f>
        <v/>
      </c>
      <c r="K88" s="273" t="str">
        <f ca="1">IF(ISERROR(MATCH(K$1,INDIRECT("Table!A"&amp;$AM88):INDIRECT("Table!" &amp; $AP$86 &amp; $AM88),0)),"",INDIRECT(CONCATENATE("Table!",ADDRESS($AI88,MATCH(K$1,INDIRECT("Table!A" &amp; $AM88):INDIRECT("Table!" &amp; $AP$86 &amp; $AM88),0)))))</f>
        <v/>
      </c>
      <c r="L88" s="273">
        <f ca="1">IF(ISERROR(MATCH(L$1,INDIRECT("Table!A"&amp;$AM88):INDIRECT("Table!" &amp; $AP$108 &amp; $AM88),0)),"",INDIRECT(CONCATENATE("Table!",ADDRESS($AI88,MATCH(L$1,INDIRECT("Table!A" &amp; $AM88):INDIRECT("Table!" &amp; $AP$108 &amp; $AM88),0)))))</f>
        <v>1.4545191035450997</v>
      </c>
      <c r="M88" s="273">
        <f ca="1">IF(ISERROR(MATCH(M$1,INDIRECT("Table!A"&amp;$AM88):INDIRECT("Table!" &amp; $AP$108 &amp; $AM88),0)),"",INDIRECT(CONCATENATE("Table!",ADDRESS($AI88,MATCH(M$1,INDIRECT("Table!A" &amp; $AM88):INDIRECT("Table!" &amp; $AP$108 &amp; $AM88),0)))))</f>
        <v>2.6900680833286659</v>
      </c>
      <c r="N88" s="273">
        <f ca="1">IF(ISERROR(MATCH(N$1,INDIRECT("Table!A"&amp;$AM88):INDIRECT("Table!" &amp; $AP$108 &amp; $AM88),0)),"",INDIRECT(CONCATENATE("Table!",ADDRESS($AI88,MATCH(N$1,INDIRECT("Table!A" &amp; $AM88):INDIRECT("Table!" &amp; $AP$108 &amp; $AM88),0)))))</f>
        <v>1.5438862369041042</v>
      </c>
      <c r="O88" s="273">
        <f ca="1">IF(ISERROR(MATCH(O$1,INDIRECT("Table!A"&amp;$AM88):INDIRECT("Table!" &amp; $AP$86 &amp; $AM88),0)),"",INDIRECT(CONCATENATE("Table!",ADDRESS($AI88,MATCH(O$1,INDIRECT("Table!A" &amp; $AM88):INDIRECT("Table!" &amp; $AP$86 &amp; $AM88),0)))))</f>
        <v>1.3488122065222254</v>
      </c>
      <c r="P88" s="273">
        <f ca="1">IF(ISERROR(MATCH(P$1,INDIRECT("Table!A"&amp;$AM88):INDIRECT("Table!" &amp; $AP$86 &amp; $AM88),0)),"",INDIRECT(CONCATENATE("Table!",ADDRESS($AI88,MATCH(P$1,INDIRECT("Table!A" &amp; $AM88):INDIRECT("Table!" &amp; $AP$86 &amp; $AM88),0)))))</f>
        <v>0.29437764183094689</v>
      </c>
      <c r="Q88" s="273" t="str">
        <f ca="1">IF(ISERROR(MATCH(Q$1,INDIRECT("Table!A"&amp;$AM88):INDIRECT("Table!" &amp; $AP$86 &amp; $AM88),0)),"",INDIRECT(CONCATENATE("Table!",ADDRESS($AI88,MATCH(Q$1,INDIRECT("Table!A" &amp; $AM88):INDIRECT("Table!" &amp; $AP$86 &amp; $AM88),0)))))</f>
        <v/>
      </c>
      <c r="R88" s="273" t="str">
        <f ca="1">IF(ISERROR(MATCH(R$1,INDIRECT("Table!A"&amp;$AM88):INDIRECT("Table!" &amp; $AP$86 &amp; $AM88),0)),"",INDIRECT(CONCATENATE("Table!",ADDRESS($AI88,MATCH(R$1,INDIRECT("Table!A" &amp; $AM88):INDIRECT("Table!" &amp; $AP$86 &amp; $AM88),0)))))</f>
        <v/>
      </c>
      <c r="S88" s="273" t="str">
        <f ca="1">IF(ISERROR(MATCH(S$1,INDIRECT("Table!A"&amp;$AM88):INDIRECT("Table!" &amp; $AP$86 &amp; $AM88),0)),"",INDIRECT(CONCATENATE("Table!",ADDRESS($AI88,MATCH(S$1,INDIRECT("Table!A" &amp; $AM88):INDIRECT("Table!" &amp; $AP$86 &amp; $AM88),0)))))</f>
        <v/>
      </c>
      <c r="T88" s="273">
        <f ca="1">IF(ISERROR(MATCH(T$1,INDIRECT("Table!A"&amp;$AM88):INDIRECT("Table!" &amp; $AP$86 &amp; $AM88),0)),"",INDIRECT(CONCATENATE("Table!",ADDRESS($AI88,MATCH(T$1,INDIRECT("Table!A" &amp; $AM88):INDIRECT("Table!" &amp; $AP$86 &amp; $AM88),0)))))</f>
        <v>0.35153185959716532</v>
      </c>
      <c r="U88" s="596" t="str">
        <f ca="1">IF(ISERROR(MATCH(U$1,INDIRECT("Table!A"&amp;$AM88):INDIRECT("Table!" &amp; $AP$86 &amp; $AM88),0)),"",INDIRECT(CONCATENATE("Table!",ADDRESS($AI88,MATCH(U$1,INDIRECT("Table!A" &amp; $AM88):INDIRECT("Table!" &amp; $AP$86 &amp; $AM88),0)))))</f>
        <v/>
      </c>
      <c r="V88" s="596"/>
      <c r="W88" s="596"/>
      <c r="X88" s="596"/>
      <c r="Y88" s="596"/>
      <c r="Z88" s="596"/>
      <c r="AA88" s="596"/>
      <c r="AB88" s="596"/>
      <c r="AC88" s="596"/>
      <c r="AD88" s="596"/>
      <c r="AE88" s="596"/>
      <c r="AF88" s="596"/>
      <c r="AG88" s="596"/>
      <c r="AH88" s="596"/>
      <c r="AI88" s="272">
        <f>MATCH($A88,Table!$A:$A,0)+$AK$2-1</f>
        <v>1164</v>
      </c>
      <c r="AJ88" s="352"/>
      <c r="AK88" s="352"/>
      <c r="AL88" s="352"/>
      <c r="AM88" s="272">
        <f>MATCH($A88,Table!$A:$A,0)+$AO$2-1</f>
        <v>1155</v>
      </c>
      <c r="AN88" s="352"/>
      <c r="AO88" s="352"/>
      <c r="AP88" s="973" t="s">
        <v>302</v>
      </c>
    </row>
    <row r="89" spans="1:42" s="267" customFormat="1" ht="19.5" customHeight="1" x14ac:dyDescent="0.25">
      <c r="A89" s="268">
        <v>41351</v>
      </c>
      <c r="B89" s="596">
        <f ca="1">IF(ISERROR(MATCH(B$1,INDIRECT("Table!A"&amp;$AM89):INDIRECT("Table!" &amp; $AP$108 &amp; $AM89),0)),"",INDIRECT(CONCATENATE("Table!",ADDRESS($AI89,MATCH(B$1,INDIRECT("Table!A" &amp; $AM89):INDIRECT("Table!" &amp; $AP$108 &amp; $AM89),0)))))</f>
        <v>1.3407586605129149</v>
      </c>
      <c r="C89" s="273">
        <f ca="1">IF(ISERROR(MATCH(C$1,INDIRECT("Table!A"&amp;$AM89):INDIRECT("Table!" &amp; $AP$108 &amp; $AM89),0)),"",INDIRECT(CONCATENATE("Table!",ADDRESS($AI89,MATCH(C$1,INDIRECT("Table!A" &amp; $AM89):INDIRECT("Table!" &amp; $AP$108 &amp; $AM89),0)))))</f>
        <v>0.59295368991162389</v>
      </c>
      <c r="D89" s="273">
        <f ca="1">IF(ISERROR(MATCH(D$1,INDIRECT("Table!A"&amp;$AM89):INDIRECT("Table!" &amp; $AP$108 &amp; $AM89),0)),"",INDIRECT(CONCATENATE("Table!",ADDRESS($AI89,MATCH(D$1,INDIRECT("Table!A" &amp; $AM89):INDIRECT("Table!" &amp; $AP$108 &amp; $AM89),0)))))</f>
        <v>0.59989799077571926</v>
      </c>
      <c r="E89" s="273">
        <f ca="1">IF(ISERROR(MATCH(E$1,INDIRECT("Table!A"&amp;$AM89):INDIRECT("Table!" &amp; $AP$108 &amp; $AM89),0)),"",INDIRECT(CONCATENATE("Table!",ADDRESS($AI89,MATCH(E$1,INDIRECT("Table!A" &amp; $AM89):INDIRECT("Table!" &amp; $AP$108 &amp; $AM89),0)))))</f>
        <v>1.5276579277331923</v>
      </c>
      <c r="F89" s="273">
        <f ca="1">IF(ISERROR(MATCH(F$1,INDIRECT("Table!A"&amp;$AM89):INDIRECT("Table!" &amp; $AP$108 &amp; $AM89),0)),"",INDIRECT(CONCATENATE("Table!",ADDRESS($AI89,MATCH(F$1,INDIRECT("Table!A" &amp; $AM89):INDIRECT("Table!" &amp; $AP$108 &amp; $AM89),0)))))</f>
        <v>1.4424014505673832</v>
      </c>
      <c r="G89" s="273">
        <f ca="1">IF(ISERROR(MATCH(G$1,INDIRECT("Table!A"&amp;$AM89):INDIRECT("Table!" &amp; $AP$108 &amp; $AM89),0)),"",INDIRECT(CONCATENATE("Table!",ADDRESS($AI89,MATCH(G$1,INDIRECT("Table!A" &amp; $AM89):INDIRECT("Table!" &amp; $AP$108 &amp; $AM89),0)))))</f>
        <v>3.4229394696212876</v>
      </c>
      <c r="H89" s="273">
        <f ca="1">IF(ISERROR(MATCH(H$1,INDIRECT("Table!A"&amp;$AM89):INDIRECT("Table!" &amp; $AP$108 &amp; $AM89),0)),"",INDIRECT(CONCATENATE("Table!",ADDRESS($AI89,MATCH(H$1,INDIRECT("Table!A" &amp; $AM89):INDIRECT("Table!" &amp; $AP$108 &amp; $AM89),0)))))</f>
        <v>0.97345173318124334</v>
      </c>
      <c r="I89" s="273">
        <f ca="1">IF(ISERROR(MATCH(I$1,INDIRECT("Table!A"&amp;$AM89):INDIRECT("Table!" &amp; $AP$86 &amp; $AM89),0)),"",INDIRECT(CONCATENATE("Table!",ADDRESS($AI89,MATCH(I$1,INDIRECT("Table!A" &amp; $AM89):INDIRECT("Table!" &amp; $AP$86 &amp; $AM89),0)))))</f>
        <v>5.8063487074439167E-2</v>
      </c>
      <c r="J89" s="273" t="str">
        <f ca="1">IF(ISERROR(MATCH(J$1,INDIRECT("Table!A"&amp;$AM89):INDIRECT("Table!" &amp; $AP$86 &amp; $AM89),0)),"",INDIRECT(CONCATENATE("Table!",ADDRESS($AI89,MATCH(J$1,INDIRECT("Table!A" &amp; $AM89):INDIRECT("Table!" &amp; $AP$86 &amp; $AM89),0)))))</f>
        <v/>
      </c>
      <c r="K89" s="273" t="str">
        <f ca="1">IF(ISERROR(MATCH(K$1,INDIRECT("Table!A"&amp;$AM89):INDIRECT("Table!" &amp; $AP$86 &amp; $AM89),0)),"",INDIRECT(CONCATENATE("Table!",ADDRESS($AI89,MATCH(K$1,INDIRECT("Table!A" &amp; $AM89):INDIRECT("Table!" &amp; $AP$86 &amp; $AM89),0)))))</f>
        <v/>
      </c>
      <c r="L89" s="273">
        <f ca="1">IF(ISERROR(MATCH(L$1,INDIRECT("Table!A"&amp;$AM89):INDIRECT("Table!" &amp; $AP$108 &amp; $AM89),0)),"",INDIRECT(CONCATENATE("Table!",ADDRESS($AI89,MATCH(L$1,INDIRECT("Table!A" &amp; $AM89):INDIRECT("Table!" &amp; $AP$108 &amp; $AM89),0)))))</f>
        <v>1.4545191035450997</v>
      </c>
      <c r="M89" s="273">
        <f ca="1">IF(ISERROR(MATCH(M$1,INDIRECT("Table!A"&amp;$AM89):INDIRECT("Table!" &amp; $AP$108 &amp; $AM89),0)),"",INDIRECT(CONCATENATE("Table!",ADDRESS($AI89,MATCH(M$1,INDIRECT("Table!A" &amp; $AM89):INDIRECT("Table!" &amp; $AP$108 &amp; $AM89),0)))))</f>
        <v>2.6734816267344366</v>
      </c>
      <c r="N89" s="273">
        <f ca="1">IF(ISERROR(MATCH(N$1,INDIRECT("Table!A"&amp;$AM89):INDIRECT("Table!" &amp; $AP$108 &amp; $AM89),0)),"",INDIRECT(CONCATENATE("Table!",ADDRESS($AI89,MATCH(N$1,INDIRECT("Table!A" &amp; $AM89):INDIRECT("Table!" &amp; $AP$108 &amp; $AM89),0)))))</f>
        <v>1.5182091426789304</v>
      </c>
      <c r="O89" s="273">
        <f ca="1">IF(ISERROR(MATCH(O$1,INDIRECT("Table!A"&amp;$AM89):INDIRECT("Table!" &amp; $AP$86 &amp; $AM89),0)),"",INDIRECT(CONCATENATE("Table!",ADDRESS($AI89,MATCH(O$1,INDIRECT("Table!A" &amp; $AM89):INDIRECT("Table!" &amp; $AP$86 &amp; $AM89),0)))))</f>
        <v>1.2632218568732232</v>
      </c>
      <c r="P89" s="273">
        <f ca="1">IF(ISERROR(MATCH(P$1,INDIRECT("Table!A"&amp;$AM89):INDIRECT("Table!" &amp; $AP$86 &amp; $AM89),0)),"",INDIRECT(CONCATENATE("Table!",ADDRESS($AI89,MATCH(P$1,INDIRECT("Table!A" &amp; $AM89):INDIRECT("Table!" &amp; $AP$86 &amp; $AM89),0)))))</f>
        <v>0.29437764183094689</v>
      </c>
      <c r="Q89" s="273" t="str">
        <f ca="1">IF(ISERROR(MATCH(Q$1,INDIRECT("Table!A"&amp;$AM89):INDIRECT("Table!" &amp; $AP$86 &amp; $AM89),0)),"",INDIRECT(CONCATENATE("Table!",ADDRESS($AI89,MATCH(Q$1,INDIRECT("Table!A" &amp; $AM89):INDIRECT("Table!" &amp; $AP$86 &amp; $AM89),0)))))</f>
        <v/>
      </c>
      <c r="R89" s="273" t="str">
        <f ca="1">IF(ISERROR(MATCH(R$1,INDIRECT("Table!A"&amp;$AM89):INDIRECT("Table!" &amp; $AP$86 &amp; $AM89),0)),"",INDIRECT(CONCATENATE("Table!",ADDRESS($AI89,MATCH(R$1,INDIRECT("Table!A" &amp; $AM89):INDIRECT("Table!" &amp; $AP$86 &amp; $AM89),0)))))</f>
        <v/>
      </c>
      <c r="S89" s="273" t="str">
        <f ca="1">IF(ISERROR(MATCH(S$1,INDIRECT("Table!A"&amp;$AM89):INDIRECT("Table!" &amp; $AP$86 &amp; $AM89),0)),"",INDIRECT(CONCATENATE("Table!",ADDRESS($AI89,MATCH(S$1,INDIRECT("Table!A" &amp; $AM89):INDIRECT("Table!" &amp; $AP$86 &amp; $AM89),0)))))</f>
        <v/>
      </c>
      <c r="T89" s="273">
        <f ca="1">IF(ISERROR(MATCH(T$1,INDIRECT("Table!A"&amp;$AM89):INDIRECT("Table!" &amp; $AP$86 &amp; $AM89),0)),"",INDIRECT(CONCATENATE("Table!",ADDRESS($AI89,MATCH(T$1,INDIRECT("Table!A" &amp; $AM89):INDIRECT("Table!" &amp; $AP$86 &amp; $AM89),0)))))</f>
        <v>0.35153185959716532</v>
      </c>
      <c r="U89" s="596" t="str">
        <f ca="1">IF(ISERROR(MATCH(U$1,INDIRECT("Table!A"&amp;$AM89):INDIRECT("Table!" &amp; $AP$86 &amp; $AM89),0)),"",INDIRECT(CONCATENATE("Table!",ADDRESS($AI89,MATCH(U$1,INDIRECT("Table!A" &amp; $AM89):INDIRECT("Table!" &amp; $AP$86 &amp; $AM89),0)))))</f>
        <v/>
      </c>
      <c r="V89" s="596"/>
      <c r="W89" s="596"/>
      <c r="X89" s="596"/>
      <c r="Y89" s="596"/>
      <c r="Z89" s="596"/>
      <c r="AA89" s="596"/>
      <c r="AB89" s="596"/>
      <c r="AC89" s="596"/>
      <c r="AD89" s="596"/>
      <c r="AE89" s="596"/>
      <c r="AF89" s="596"/>
      <c r="AG89" s="596"/>
      <c r="AH89" s="596"/>
      <c r="AI89" s="272">
        <f>MATCH($A89,Table!$A:$A,0)+$AK$2-1</f>
        <v>1176</v>
      </c>
      <c r="AJ89" s="351"/>
      <c r="AK89" s="351"/>
      <c r="AL89" s="351"/>
      <c r="AM89" s="272">
        <f>MATCH($A89,Table!$A:$A,0)+$AO$2-1</f>
        <v>1167</v>
      </c>
      <c r="AN89" s="351"/>
      <c r="AO89" s="351"/>
      <c r="AP89" s="973" t="s">
        <v>302</v>
      </c>
    </row>
    <row r="90" spans="1:42" s="267" customFormat="1" ht="19.5" customHeight="1" x14ac:dyDescent="0.25">
      <c r="A90" s="268">
        <v>41347</v>
      </c>
      <c r="B90" s="596">
        <f ca="1">IF(ISERROR(MATCH(B$1,INDIRECT("Table!A"&amp;$AM90):INDIRECT("Table!" &amp; $AP$108 &amp; $AM90),0)),"",INDIRECT(CONCATENATE("Table!",ADDRESS($AI90,MATCH(B$1,INDIRECT("Table!A" &amp; $AM90):INDIRECT("Table!" &amp; $AP$108 &amp; $AM90),0)))))</f>
        <v>1.3407586605129149</v>
      </c>
      <c r="C90" s="273">
        <f ca="1">IF(ISERROR(MATCH(C$1,INDIRECT("Table!A"&amp;$AM90):INDIRECT("Table!" &amp; $AP$108 &amp; $AM90),0)),"",INDIRECT(CONCATENATE("Table!",ADDRESS($AI90,MATCH(C$1,INDIRECT("Table!A" &amp; $AM90):INDIRECT("Table!" &amp; $AP$108 &amp; $AM90),0)))))</f>
        <v>0.59295368991162389</v>
      </c>
      <c r="D90" s="273">
        <f ca="1">IF(ISERROR(MATCH(D$1,INDIRECT("Table!A"&amp;$AM90):INDIRECT("Table!" &amp; $AP$108 &amp; $AM90),0)),"",INDIRECT(CONCATENATE("Table!",ADDRESS($AI90,MATCH(D$1,INDIRECT("Table!A" &amp; $AM90):INDIRECT("Table!" &amp; $AP$108 &amp; $AM90),0)))))</f>
        <v>0.59989799077571926</v>
      </c>
      <c r="E90" s="273">
        <f ca="1">IF(ISERROR(MATCH(E$1,INDIRECT("Table!A"&amp;$AM90):INDIRECT("Table!" &amp; $AP$108 &amp; $AM90),0)),"",INDIRECT(CONCATENATE("Table!",ADDRESS($AI90,MATCH(E$1,INDIRECT("Table!A" &amp; $AM90):INDIRECT("Table!" &amp; $AP$108 &amp; $AM90),0)))))</f>
        <v>1.5276579277331923</v>
      </c>
      <c r="F90" s="273">
        <f ca="1">IF(ISERROR(MATCH(F$1,INDIRECT("Table!A"&amp;$AM90):INDIRECT("Table!" &amp; $AP$108 &amp; $AM90),0)),"",INDIRECT(CONCATENATE("Table!",ADDRESS($AI90,MATCH(F$1,INDIRECT("Table!A" &amp; $AM90):INDIRECT("Table!" &amp; $AP$108 &amp; $AM90),0)))))</f>
        <v>1.4424014505673832</v>
      </c>
      <c r="G90" s="273">
        <f ca="1">IF(ISERROR(MATCH(G$1,INDIRECT("Table!A"&amp;$AM90):INDIRECT("Table!" &amp; $AP$108 &amp; $AM90),0)),"",INDIRECT(CONCATENATE("Table!",ADDRESS($AI90,MATCH(G$1,INDIRECT("Table!A" &amp; $AM90):INDIRECT("Table!" &amp; $AP$108 &amp; $AM90),0)))))</f>
        <v>3.4229394696212876</v>
      </c>
      <c r="H90" s="273">
        <f ca="1">IF(ISERROR(MATCH(H$1,INDIRECT("Table!A"&amp;$AM90):INDIRECT("Table!" &amp; $AP$108 &amp; $AM90),0)),"",INDIRECT(CONCATENATE("Table!",ADDRESS($AI90,MATCH(H$1,INDIRECT("Table!A" &amp; $AM90):INDIRECT("Table!" &amp; $AP$108 &amp; $AM90),0)))))</f>
        <v>0.97345173318124334</v>
      </c>
      <c r="I90" s="273">
        <f ca="1">IF(ISERROR(MATCH(I$1,INDIRECT("Table!A"&amp;$AM90):INDIRECT("Table!" &amp; $AP$86 &amp; $AM90),0)),"",INDIRECT(CONCATENATE("Table!",ADDRESS($AI90,MATCH(I$1,INDIRECT("Table!A" &amp; $AM90):INDIRECT("Table!" &amp; $AP$86 &amp; $AM90),0)))))</f>
        <v>5.8063487074439167E-2</v>
      </c>
      <c r="J90" s="273" t="str">
        <f ca="1">IF(ISERROR(MATCH(J$1,INDIRECT("Table!A"&amp;$AM90):INDIRECT("Table!" &amp; $AP$86 &amp; $AM90),0)),"",INDIRECT(CONCATENATE("Table!",ADDRESS($AI90,MATCH(J$1,INDIRECT("Table!A" &amp; $AM90):INDIRECT("Table!" &amp; $AP$86 &amp; $AM90),0)))))</f>
        <v/>
      </c>
      <c r="K90" s="273" t="str">
        <f ca="1">IF(ISERROR(MATCH(K$1,INDIRECT("Table!A"&amp;$AM90):INDIRECT("Table!" &amp; $AP$86 &amp; $AM90),0)),"",INDIRECT(CONCATENATE("Table!",ADDRESS($AI90,MATCH(K$1,INDIRECT("Table!A" &amp; $AM90):INDIRECT("Table!" &amp; $AP$86 &amp; $AM90),0)))))</f>
        <v/>
      </c>
      <c r="L90" s="273">
        <f ca="1">IF(ISERROR(MATCH(L$1,INDIRECT("Table!A"&amp;$AM90):INDIRECT("Table!" &amp; $AP$108 &amp; $AM90),0)),"",INDIRECT(CONCATENATE("Table!",ADDRESS($AI90,MATCH(L$1,INDIRECT("Table!A" &amp; $AM90):INDIRECT("Table!" &amp; $AP$108 &amp; $AM90),0)))))</f>
        <v>1.4545191035450997</v>
      </c>
      <c r="M90" s="273">
        <f ca="1">IF(ISERROR(MATCH(M$1,INDIRECT("Table!A"&amp;$AM90):INDIRECT("Table!" &amp; $AP$108 &amp; $AM90),0)),"",INDIRECT(CONCATENATE("Table!",ADDRESS($AI90,MATCH(M$1,INDIRECT("Table!A" &amp; $AM90):INDIRECT("Table!" &amp; $AP$108 &amp; $AM90),0)))))</f>
        <v>2.6734816267344366</v>
      </c>
      <c r="N90" s="273">
        <f ca="1">IF(ISERROR(MATCH(N$1,INDIRECT("Table!A"&amp;$AM90):INDIRECT("Table!" &amp; $AP$108 &amp; $AM90),0)),"",INDIRECT(CONCATENATE("Table!",ADDRESS($AI90,MATCH(N$1,INDIRECT("Table!A" &amp; $AM90):INDIRECT("Table!" &amp; $AP$108 &amp; $AM90),0)))))</f>
        <v>1.5182091426789304</v>
      </c>
      <c r="O90" s="273">
        <f ca="1">IF(ISERROR(MATCH(O$1,INDIRECT("Table!A"&amp;$AM90):INDIRECT("Table!" &amp; $AP$86 &amp; $AM90),0)),"",INDIRECT(CONCATENATE("Table!",ADDRESS($AI90,MATCH(O$1,INDIRECT("Table!A" &amp; $AM90):INDIRECT("Table!" &amp; $AP$86 &amp; $AM90),0)))))</f>
        <v>1.2605471584466919</v>
      </c>
      <c r="P90" s="273">
        <f ca="1">IF(ISERROR(MATCH(P$1,INDIRECT("Table!A"&amp;$AM90):INDIRECT("Table!" &amp; $AP$86 &amp; $AM90),0)),"",INDIRECT(CONCATENATE("Table!",ADDRESS($AI90,MATCH(P$1,INDIRECT("Table!A" &amp; $AM90):INDIRECT("Table!" &amp; $AP$86 &amp; $AM90),0)))))</f>
        <v>0.29437764183094689</v>
      </c>
      <c r="Q90" s="273" t="str">
        <f ca="1">IF(ISERROR(MATCH(Q$1,INDIRECT("Table!A"&amp;$AM90):INDIRECT("Table!" &amp; $AP$86 &amp; $AM90),0)),"",INDIRECT(CONCATENATE("Table!",ADDRESS($AI90,MATCH(Q$1,INDIRECT("Table!A" &amp; $AM90):INDIRECT("Table!" &amp; $AP$86 &amp; $AM90),0)))))</f>
        <v/>
      </c>
      <c r="R90" s="273" t="str">
        <f ca="1">IF(ISERROR(MATCH(R$1,INDIRECT("Table!A"&amp;$AM90):INDIRECT("Table!" &amp; $AP$86 &amp; $AM90),0)),"",INDIRECT(CONCATENATE("Table!",ADDRESS($AI90,MATCH(R$1,INDIRECT("Table!A" &amp; $AM90):INDIRECT("Table!" &amp; $AP$86 &amp; $AM90),0)))))</f>
        <v/>
      </c>
      <c r="S90" s="273" t="str">
        <f ca="1">IF(ISERROR(MATCH(S$1,INDIRECT("Table!A"&amp;$AM90):INDIRECT("Table!" &amp; $AP$86 &amp; $AM90),0)),"",INDIRECT(CONCATENATE("Table!",ADDRESS($AI90,MATCH(S$1,INDIRECT("Table!A" &amp; $AM90):INDIRECT("Table!" &amp; $AP$86 &amp; $AM90),0)))))</f>
        <v/>
      </c>
      <c r="T90" s="273">
        <f ca="1">IF(ISERROR(MATCH(T$1,INDIRECT("Table!A"&amp;$AM90):INDIRECT("Table!" &amp; $AP$86 &amp; $AM90),0)),"",INDIRECT(CONCATENATE("Table!",ADDRESS($AI90,MATCH(T$1,INDIRECT("Table!A" &amp; $AM90):INDIRECT("Table!" &amp; $AP$86 &amp; $AM90),0)))))</f>
        <v>0.35153185959716532</v>
      </c>
      <c r="U90" s="596" t="str">
        <f ca="1">IF(ISERROR(MATCH(U$1,INDIRECT("Table!A"&amp;$AM90):INDIRECT("Table!" &amp; $AP$86 &amp; $AM90),0)),"",INDIRECT(CONCATENATE("Table!",ADDRESS($AI90,MATCH(U$1,INDIRECT("Table!A" &amp; $AM90):INDIRECT("Table!" &amp; $AP$86 &amp; $AM90),0)))))</f>
        <v/>
      </c>
      <c r="V90" s="596"/>
      <c r="W90" s="596"/>
      <c r="X90" s="596"/>
      <c r="Y90" s="596"/>
      <c r="Z90" s="596"/>
      <c r="AA90" s="596"/>
      <c r="AB90" s="596"/>
      <c r="AC90" s="596"/>
      <c r="AD90" s="596"/>
      <c r="AE90" s="596"/>
      <c r="AF90" s="596"/>
      <c r="AG90" s="596"/>
      <c r="AH90" s="596"/>
      <c r="AI90" s="272">
        <f>MATCH($A90,Table!$A:$A,0)+$AK$2-1</f>
        <v>1188</v>
      </c>
      <c r="AJ90" s="341"/>
      <c r="AK90" s="341"/>
      <c r="AL90" s="341"/>
      <c r="AM90" s="272">
        <f>MATCH($A90,Table!$A:$A,0)+$AO$2-1</f>
        <v>1179</v>
      </c>
      <c r="AN90" s="341"/>
      <c r="AO90" s="341"/>
      <c r="AP90" s="973" t="s">
        <v>302</v>
      </c>
    </row>
    <row r="91" spans="1:42" s="267" customFormat="1" ht="19.5" customHeight="1" x14ac:dyDescent="0.25">
      <c r="A91" s="268">
        <v>41345</v>
      </c>
      <c r="B91" s="596">
        <f ca="1">IF(ISERROR(MATCH(B$1,INDIRECT("Table!A"&amp;$AM91):INDIRECT("Table!" &amp; $AP$108 &amp; $AM91),0)),"",INDIRECT(CONCATENATE("Table!",ADDRESS($AI91,MATCH(B$1,INDIRECT("Table!A" &amp; $AM91):INDIRECT("Table!" &amp; $AP$108 &amp; $AM91),0)))))</f>
        <v>1.3407586605129149</v>
      </c>
      <c r="C91" s="273">
        <f ca="1">IF(ISERROR(MATCH(C$1,INDIRECT("Table!A"&amp;$AM91):INDIRECT("Table!" &amp; $AP$108 &amp; $AM91),0)),"",INDIRECT(CONCATENATE("Table!",ADDRESS($AI91,MATCH(C$1,INDIRECT("Table!A" &amp; $AM91):INDIRECT("Table!" &amp; $AP$108 &amp; $AM91),0)))))</f>
        <v>0.59295368991162389</v>
      </c>
      <c r="D91" s="273">
        <f ca="1">IF(ISERROR(MATCH(D$1,INDIRECT("Table!A"&amp;$AM91):INDIRECT("Table!" &amp; $AP$108 &amp; $AM91),0)),"",INDIRECT(CONCATENATE("Table!",ADDRESS($AI91,MATCH(D$1,INDIRECT("Table!A" &amp; $AM91):INDIRECT("Table!" &amp; $AP$108 &amp; $AM91),0)))))</f>
        <v>0.59989799077571926</v>
      </c>
      <c r="E91" s="273">
        <f ca="1">IF(ISERROR(MATCH(E$1,INDIRECT("Table!A"&amp;$AM91):INDIRECT("Table!" &amp; $AP$108 &amp; $AM91),0)),"",INDIRECT(CONCATENATE("Table!",ADDRESS($AI91,MATCH(E$1,INDIRECT("Table!A" &amp; $AM91):INDIRECT("Table!" &amp; $AP$108 &amp; $AM91),0)))))</f>
        <v>1.5276579277331923</v>
      </c>
      <c r="F91" s="273">
        <f ca="1">IF(ISERROR(MATCH(F$1,INDIRECT("Table!A"&amp;$AM91):INDIRECT("Table!" &amp; $AP$108 &amp; $AM91),0)),"",INDIRECT(CONCATENATE("Table!",ADDRESS($AI91,MATCH(F$1,INDIRECT("Table!A" &amp; $AM91):INDIRECT("Table!" &amp; $AP$108 &amp; $AM91),0)))))</f>
        <v>1.4424014505673832</v>
      </c>
      <c r="G91" s="273">
        <f ca="1">IF(ISERROR(MATCH(G$1,INDIRECT("Table!A"&amp;$AM91):INDIRECT("Table!" &amp; $AP$108 &amp; $AM91),0)),"",INDIRECT(CONCATENATE("Table!",ADDRESS($AI91,MATCH(G$1,INDIRECT("Table!A" &amp; $AM91):INDIRECT("Table!" &amp; $AP$108 &amp; $AM91),0)))))</f>
        <v>3.4170704068658613</v>
      </c>
      <c r="H91" s="273">
        <f ca="1">IF(ISERROR(MATCH(H$1,INDIRECT("Table!A"&amp;$AM91):INDIRECT("Table!" &amp; $AP$108 &amp; $AM91),0)),"",INDIRECT(CONCATENATE("Table!",ADDRESS($AI91,MATCH(H$1,INDIRECT("Table!A" &amp; $AM91):INDIRECT("Table!" &amp; $AP$108 &amp; $AM91),0)))))</f>
        <v>0.94288373699228056</v>
      </c>
      <c r="I91" s="273">
        <f ca="1">IF(ISERROR(MATCH(I$1,INDIRECT("Table!A"&amp;$AM91):INDIRECT("Table!" &amp; $AP$86 &amp; $AM91),0)),"",INDIRECT(CONCATENATE("Table!",ADDRESS($AI91,MATCH(I$1,INDIRECT("Table!A" &amp; $AM91):INDIRECT("Table!" &amp; $AP$86 &amp; $AM91),0)))))</f>
        <v>5.8063487074439167E-2</v>
      </c>
      <c r="J91" s="273" t="str">
        <f ca="1">IF(ISERROR(MATCH(J$1,INDIRECT("Table!A"&amp;$AM91):INDIRECT("Table!" &amp; $AP$86 &amp; $AM91),0)),"",INDIRECT(CONCATENATE("Table!",ADDRESS($AI91,MATCH(J$1,INDIRECT("Table!A" &amp; $AM91):INDIRECT("Table!" &amp; $AP$86 &amp; $AM91),0)))))</f>
        <v/>
      </c>
      <c r="K91" s="273" t="str">
        <f ca="1">IF(ISERROR(MATCH(K$1,INDIRECT("Table!A"&amp;$AM91):INDIRECT("Table!" &amp; $AP$86 &amp; $AM91),0)),"",INDIRECT(CONCATENATE("Table!",ADDRESS($AI91,MATCH(K$1,INDIRECT("Table!A" &amp; $AM91):INDIRECT("Table!" &amp; $AP$86 &amp; $AM91),0)))))</f>
        <v/>
      </c>
      <c r="L91" s="273">
        <f ca="1">IF(ISERROR(MATCH(L$1,INDIRECT("Table!A"&amp;$AM91):INDIRECT("Table!" &amp; $AP$108 &amp; $AM91),0)),"",INDIRECT(CONCATENATE("Table!",ADDRESS($AI91,MATCH(L$1,INDIRECT("Table!A" &amp; $AM91):INDIRECT("Table!" &amp; $AP$108 &amp; $AM91),0)))))</f>
        <v>1.4545191035450997</v>
      </c>
      <c r="M91" s="273">
        <f ca="1">IF(ISERROR(MATCH(M$1,INDIRECT("Table!A"&amp;$AM91):INDIRECT("Table!" &amp; $AP$108 &amp; $AM91),0)),"",INDIRECT(CONCATENATE("Table!",ADDRESS($AI91,MATCH(M$1,INDIRECT("Table!A" &amp; $AM91):INDIRECT("Table!" &amp; $AP$108 &amp; $AM91),0)))))</f>
        <v>2.6035633327833785</v>
      </c>
      <c r="N91" s="273">
        <f ca="1">IF(ISERROR(MATCH(N$1,INDIRECT("Table!A"&amp;$AM91):INDIRECT("Table!" &amp; $AP$108 &amp; $AM91),0)),"",INDIRECT(CONCATENATE("Table!",ADDRESS($AI91,MATCH(N$1,INDIRECT("Table!A" &amp; $AM91):INDIRECT("Table!" &amp; $AP$108 &amp; $AM91),0)))))</f>
        <v>1.5182091426789304</v>
      </c>
      <c r="O91" s="273">
        <f ca="1">IF(ISERROR(MATCH(O$1,INDIRECT("Table!A"&amp;$AM91):INDIRECT("Table!" &amp; $AP$86 &amp; $AM91),0)),"",INDIRECT(CONCATENATE("Table!",ADDRESS($AI91,MATCH(O$1,INDIRECT("Table!A" &amp; $AM91):INDIRECT("Table!" &amp; $AP$86 &amp; $AM91),0)))))</f>
        <v>1.2366659224955194</v>
      </c>
      <c r="P91" s="273">
        <f ca="1">IF(ISERROR(MATCH(P$1,INDIRECT("Table!A"&amp;$AM91):INDIRECT("Table!" &amp; $AP$86 &amp; $AM91),0)),"",INDIRECT(CONCATENATE("Table!",ADDRESS($AI91,MATCH(P$1,INDIRECT("Table!A" &amp; $AM91):INDIRECT("Table!" &amp; $AP$86 &amp; $AM91),0)))))</f>
        <v>0.29437764183094689</v>
      </c>
      <c r="Q91" s="273" t="str">
        <f ca="1">IF(ISERROR(MATCH(Q$1,INDIRECT("Table!A"&amp;$AM91):INDIRECT("Table!" &amp; $AP$86 &amp; $AM91),0)),"",INDIRECT(CONCATENATE("Table!",ADDRESS($AI91,MATCH(Q$1,INDIRECT("Table!A" &amp; $AM91):INDIRECT("Table!" &amp; $AP$86 &amp; $AM91),0)))))</f>
        <v/>
      </c>
      <c r="R91" s="273" t="str">
        <f ca="1">IF(ISERROR(MATCH(R$1,INDIRECT("Table!A"&amp;$AM91):INDIRECT("Table!" &amp; $AP$86 &amp; $AM91),0)),"",INDIRECT(CONCATENATE("Table!",ADDRESS($AI91,MATCH(R$1,INDIRECT("Table!A" &amp; $AM91):INDIRECT("Table!" &amp; $AP$86 &amp; $AM91),0)))))</f>
        <v/>
      </c>
      <c r="S91" s="273" t="str">
        <f ca="1">IF(ISERROR(MATCH(S$1,INDIRECT("Table!A"&amp;$AM91):INDIRECT("Table!" &amp; $AP$86 &amp; $AM91),0)),"",INDIRECT(CONCATENATE("Table!",ADDRESS($AI91,MATCH(S$1,INDIRECT("Table!A" &amp; $AM91):INDIRECT("Table!" &amp; $AP$86 &amp; $AM91),0)))))</f>
        <v/>
      </c>
      <c r="T91" s="273">
        <f ca="1">IF(ISERROR(MATCH(T$1,INDIRECT("Table!A"&amp;$AM91):INDIRECT("Table!" &amp; $AP$86 &amp; $AM91),0)),"",INDIRECT(CONCATENATE("Table!",ADDRESS($AI91,MATCH(T$1,INDIRECT("Table!A" &amp; $AM91):INDIRECT("Table!" &amp; $AP$86 &amp; $AM91),0)))))</f>
        <v>0.35153185959716532</v>
      </c>
      <c r="U91" s="596" t="str">
        <f ca="1">IF(ISERROR(MATCH(U$1,INDIRECT("Table!A"&amp;$AM91):INDIRECT("Table!" &amp; $AP$86 &amp; $AM91),0)),"",INDIRECT(CONCATENATE("Table!",ADDRESS($AI91,MATCH(U$1,INDIRECT("Table!A" &amp; $AM91):INDIRECT("Table!" &amp; $AP$86 &amp; $AM91),0)))))</f>
        <v/>
      </c>
      <c r="V91" s="596"/>
      <c r="W91" s="596"/>
      <c r="X91" s="596"/>
      <c r="Y91" s="596"/>
      <c r="Z91" s="596"/>
      <c r="AA91" s="596"/>
      <c r="AB91" s="596"/>
      <c r="AC91" s="596"/>
      <c r="AD91" s="596"/>
      <c r="AE91" s="596"/>
      <c r="AF91" s="596"/>
      <c r="AG91" s="596"/>
      <c r="AH91" s="596"/>
      <c r="AI91" s="272">
        <f>MATCH($A91,Table!$A:$A,0)+$AK$2-1</f>
        <v>1200</v>
      </c>
      <c r="AJ91" s="340"/>
      <c r="AK91" s="340"/>
      <c r="AL91" s="340"/>
      <c r="AM91" s="272">
        <f>MATCH($A91,Table!$A:$A,0)+$AO$2-1</f>
        <v>1191</v>
      </c>
      <c r="AN91" s="340"/>
      <c r="AO91" s="340"/>
      <c r="AP91" s="973" t="s">
        <v>302</v>
      </c>
    </row>
    <row r="92" spans="1:42" s="267" customFormat="1" ht="19.5" customHeight="1" x14ac:dyDescent="0.25">
      <c r="A92" s="268">
        <v>41344</v>
      </c>
      <c r="B92" s="596">
        <f ca="1">IF(ISERROR(MATCH(B$1,INDIRECT("Table!A"&amp;$AM92):INDIRECT("Table!" &amp; $AP$108 &amp; $AM92),0)),"",INDIRECT(CONCATENATE("Table!",ADDRESS($AI92,MATCH(B$1,INDIRECT("Table!A" &amp; $AM92):INDIRECT("Table!" &amp; $AP$108 &amp; $AM92),0)))))</f>
        <v>1.3407586605129149</v>
      </c>
      <c r="C92" s="273">
        <f ca="1">IF(ISERROR(MATCH(C$1,INDIRECT("Table!A"&amp;$AM92):INDIRECT("Table!" &amp; $AP$108 &amp; $AM92),0)),"",INDIRECT(CONCATENATE("Table!",ADDRESS($AI92,MATCH(C$1,INDIRECT("Table!A" &amp; $AM92):INDIRECT("Table!" &amp; $AP$108 &amp; $AM92),0)))))</f>
        <v>0.59295368991162389</v>
      </c>
      <c r="D92" s="273">
        <f ca="1">IF(ISERROR(MATCH(D$1,INDIRECT("Table!A"&amp;$AM92):INDIRECT("Table!" &amp; $AP$108 &amp; $AM92),0)),"",INDIRECT(CONCATENATE("Table!",ADDRESS($AI92,MATCH(D$1,INDIRECT("Table!A" &amp; $AM92):INDIRECT("Table!" &amp; $AP$108 &amp; $AM92),0)))))</f>
        <v>0.59989799077571926</v>
      </c>
      <c r="E92" s="273">
        <f ca="1">IF(ISERROR(MATCH(E$1,INDIRECT("Table!A"&amp;$AM92):INDIRECT("Table!" &amp; $AP$108 &amp; $AM92),0)),"",INDIRECT(CONCATENATE("Table!",ADDRESS($AI92,MATCH(E$1,INDIRECT("Table!A" &amp; $AM92):INDIRECT("Table!" &amp; $AP$108 &amp; $AM92),0)))))</f>
        <v>1.5276579277331923</v>
      </c>
      <c r="F92" s="273">
        <f ca="1">IF(ISERROR(MATCH(F$1,INDIRECT("Table!A"&amp;$AM92):INDIRECT("Table!" &amp; $AP$108 &amp; $AM92),0)),"",INDIRECT(CONCATENATE("Table!",ADDRESS($AI92,MATCH(F$1,INDIRECT("Table!A" &amp; $AM92):INDIRECT("Table!" &amp; $AP$108 &amp; $AM92),0)))))</f>
        <v>1.4424014505673832</v>
      </c>
      <c r="G92" s="273">
        <f ca="1">IF(ISERROR(MATCH(G$1,INDIRECT("Table!A"&amp;$AM92):INDIRECT("Table!" &amp; $AP$108 &amp; $AM92),0)),"",INDIRECT(CONCATENATE("Table!",ADDRESS($AI92,MATCH(G$1,INDIRECT("Table!A" &amp; $AM92):INDIRECT("Table!" &amp; $AP$108 &amp; $AM92),0)))))</f>
        <v>3.4170704068658613</v>
      </c>
      <c r="H92" s="273">
        <f ca="1">IF(ISERROR(MATCH(H$1,INDIRECT("Table!A"&amp;$AM92):INDIRECT("Table!" &amp; $AP$108 &amp; $AM92),0)),"",INDIRECT(CONCATENATE("Table!",ADDRESS($AI92,MATCH(H$1,INDIRECT("Table!A" &amp; $AM92):INDIRECT("Table!" &amp; $AP$108 &amp; $AM92),0)))))</f>
        <v>0.94288373699228056</v>
      </c>
      <c r="I92" s="273">
        <f ca="1">IF(ISERROR(MATCH(I$1,INDIRECT("Table!A"&amp;$AM92):INDIRECT("Table!" &amp; $AP$86 &amp; $AM92),0)),"",INDIRECT(CONCATENATE("Table!",ADDRESS($AI92,MATCH(I$1,INDIRECT("Table!A" &amp; $AM92):INDIRECT("Table!" &amp; $AP$86 &amp; $AM92),0)))))</f>
        <v>5.8063487074439167E-2</v>
      </c>
      <c r="J92" s="273" t="str">
        <f ca="1">IF(ISERROR(MATCH(J$1,INDIRECT("Table!A"&amp;$AM92):INDIRECT("Table!" &amp; $AP$86 &amp; $AM92),0)),"",INDIRECT(CONCATENATE("Table!",ADDRESS($AI92,MATCH(J$1,INDIRECT("Table!A" &amp; $AM92):INDIRECT("Table!" &amp; $AP$86 &amp; $AM92),0)))))</f>
        <v/>
      </c>
      <c r="K92" s="273" t="str">
        <f ca="1">IF(ISERROR(MATCH(K$1,INDIRECT("Table!A"&amp;$AM92):INDIRECT("Table!" &amp; $AP$86 &amp; $AM92),0)),"",INDIRECT(CONCATENATE("Table!",ADDRESS($AI92,MATCH(K$1,INDIRECT("Table!A" &amp; $AM92):INDIRECT("Table!" &amp; $AP$86 &amp; $AM92),0)))))</f>
        <v/>
      </c>
      <c r="L92" s="273">
        <f ca="1">IF(ISERROR(MATCH(L$1,INDIRECT("Table!A"&amp;$AM92):INDIRECT("Table!" &amp; $AP$108 &amp; $AM92),0)),"",INDIRECT(CONCATENATE("Table!",ADDRESS($AI92,MATCH(L$1,INDIRECT("Table!A" &amp; $AM92):INDIRECT("Table!" &amp; $AP$108 &amp; $AM92),0)))))</f>
        <v>1.4545191035450997</v>
      </c>
      <c r="M92" s="273">
        <f ca="1">IF(ISERROR(MATCH(M$1,INDIRECT("Table!A"&amp;$AM92):INDIRECT("Table!" &amp; $AP$108 &amp; $AM92),0)),"",INDIRECT(CONCATENATE("Table!",ADDRESS($AI92,MATCH(M$1,INDIRECT("Table!A" &amp; $AM92):INDIRECT("Table!" &amp; $AP$108 &amp; $AM92),0)))))</f>
        <v>2.6030529802727869</v>
      </c>
      <c r="N92" s="273">
        <f ca="1">IF(ISERROR(MATCH(N$1,INDIRECT("Table!A"&amp;$AM92):INDIRECT("Table!" &amp; $AP$108 &amp; $AM92),0)),"",INDIRECT(CONCATENATE("Table!",ADDRESS($AI92,MATCH(N$1,INDIRECT("Table!A" &amp; $AM92):INDIRECT("Table!" &amp; $AP$108 &amp; $AM92),0)))))</f>
        <v>1.5182091426789304</v>
      </c>
      <c r="O92" s="273">
        <f ca="1">IF(ISERROR(MATCH(O$1,INDIRECT("Table!A"&amp;$AM92):INDIRECT("Table!" &amp; $AP$86 &amp; $AM92),0)),"",INDIRECT(CONCATENATE("Table!",ADDRESS($AI92,MATCH(O$1,INDIRECT("Table!A" &amp; $AM92):INDIRECT("Table!" &amp; $AP$86 &amp; $AM92),0)))))</f>
        <v>1.2366659224955194</v>
      </c>
      <c r="P92" s="273">
        <f ca="1">IF(ISERROR(MATCH(P$1,INDIRECT("Table!A"&amp;$AM92):INDIRECT("Table!" &amp; $AP$86 &amp; $AM92),0)),"",INDIRECT(CONCATENATE("Table!",ADDRESS($AI92,MATCH(P$1,INDIRECT("Table!A" &amp; $AM92):INDIRECT("Table!" &amp; $AP$86 &amp; $AM92),0)))))</f>
        <v>0.29437764183094689</v>
      </c>
      <c r="Q92" s="273" t="str">
        <f ca="1">IF(ISERROR(MATCH(Q$1,INDIRECT("Table!A"&amp;$AM92):INDIRECT("Table!" &amp; $AP$86 &amp; $AM92),0)),"",INDIRECT(CONCATENATE("Table!",ADDRESS($AI92,MATCH(Q$1,INDIRECT("Table!A" &amp; $AM92):INDIRECT("Table!" &amp; $AP$86 &amp; $AM92),0)))))</f>
        <v/>
      </c>
      <c r="R92" s="273" t="str">
        <f ca="1">IF(ISERROR(MATCH(R$1,INDIRECT("Table!A"&amp;$AM92):INDIRECT("Table!" &amp; $AP$86 &amp; $AM92),0)),"",INDIRECT(CONCATENATE("Table!",ADDRESS($AI92,MATCH(R$1,INDIRECT("Table!A" &amp; $AM92):INDIRECT("Table!" &amp; $AP$86 &amp; $AM92),0)))))</f>
        <v/>
      </c>
      <c r="S92" s="273" t="str">
        <f ca="1">IF(ISERROR(MATCH(S$1,INDIRECT("Table!A"&amp;$AM92):INDIRECT("Table!" &amp; $AP$86 &amp; $AM92),0)),"",INDIRECT(CONCATENATE("Table!",ADDRESS($AI92,MATCH(S$1,INDIRECT("Table!A" &amp; $AM92):INDIRECT("Table!" &amp; $AP$86 &amp; $AM92),0)))))</f>
        <v/>
      </c>
      <c r="T92" s="273">
        <f ca="1">IF(ISERROR(MATCH(T$1,INDIRECT("Table!A"&amp;$AM92):INDIRECT("Table!" &amp; $AP$86 &amp; $AM92),0)),"",INDIRECT(CONCATENATE("Table!",ADDRESS($AI92,MATCH(T$1,INDIRECT("Table!A" &amp; $AM92):INDIRECT("Table!" &amp; $AP$86 &amp; $AM92),0)))))</f>
        <v>0.35153185959716532</v>
      </c>
      <c r="U92" s="596" t="str">
        <f ca="1">IF(ISERROR(MATCH(U$1,INDIRECT("Table!A"&amp;$AM92):INDIRECT("Table!" &amp; $AP$86 &amp; $AM92),0)),"",INDIRECT(CONCATENATE("Table!",ADDRESS($AI92,MATCH(U$1,INDIRECT("Table!A" &amp; $AM92):INDIRECT("Table!" &amp; $AP$86 &amp; $AM92),0)))))</f>
        <v/>
      </c>
      <c r="V92" s="596"/>
      <c r="W92" s="596"/>
      <c r="X92" s="596"/>
      <c r="Y92" s="596"/>
      <c r="Z92" s="596"/>
      <c r="AA92" s="596"/>
      <c r="AB92" s="596"/>
      <c r="AC92" s="596"/>
      <c r="AD92" s="596"/>
      <c r="AE92" s="596"/>
      <c r="AF92" s="596"/>
      <c r="AG92" s="596"/>
      <c r="AH92" s="596"/>
      <c r="AI92" s="272">
        <f>MATCH($A92,Table!$A:$A,0)+$AK$2-1</f>
        <v>1212</v>
      </c>
      <c r="AJ92" s="339"/>
      <c r="AK92" s="339"/>
      <c r="AL92" s="339"/>
      <c r="AM92" s="272">
        <f>MATCH($A92,Table!$A:$A,0)+$AO$2-1</f>
        <v>1203</v>
      </c>
      <c r="AN92" s="339"/>
      <c r="AO92" s="339"/>
      <c r="AP92" s="973" t="s">
        <v>302</v>
      </c>
    </row>
    <row r="93" spans="1:42" s="267" customFormat="1" ht="19.5" customHeight="1" x14ac:dyDescent="0.25">
      <c r="A93" s="268">
        <v>41341</v>
      </c>
      <c r="B93" s="596">
        <f ca="1">IF(ISERROR(MATCH(B$1,INDIRECT("Table!A"&amp;$AM93):INDIRECT("Table!" &amp; $AP$108 &amp; $AM93),0)),"",INDIRECT(CONCATENATE("Table!",ADDRESS($AI93,MATCH(B$1,INDIRECT("Table!A" &amp; $AM93):INDIRECT("Table!" &amp; $AP$108 &amp; $AM93),0)))))</f>
        <v>1.3345286563704302</v>
      </c>
      <c r="C93" s="273">
        <f ca="1">IF(ISERROR(MATCH(C$1,INDIRECT("Table!A"&amp;$AM93):INDIRECT("Table!" &amp; $AP$108 &amp; $AM93),0)),"",INDIRECT(CONCATENATE("Table!",ADDRESS($AI93,MATCH(C$1,INDIRECT("Table!A" &amp; $AM93):INDIRECT("Table!" &amp; $AP$108 &amp; $AM93),0)))))</f>
        <v>0.59233435958218339</v>
      </c>
      <c r="D93" s="273">
        <f ca="1">IF(ISERROR(MATCH(D$1,INDIRECT("Table!A"&amp;$AM93):INDIRECT("Table!" &amp; $AP$108 &amp; $AM93),0)),"",INDIRECT(CONCATENATE("Table!",ADDRESS($AI93,MATCH(D$1,INDIRECT("Table!A" &amp; $AM93):INDIRECT("Table!" &amp; $AP$108 &amp; $AM93),0)))))</f>
        <v>0.59927927832161143</v>
      </c>
      <c r="E93" s="273">
        <f ca="1">IF(ISERROR(MATCH(E$1,INDIRECT("Table!A"&amp;$AM93):INDIRECT("Table!" &amp; $AP$108 &amp; $AM93),0)),"",INDIRECT(CONCATENATE("Table!",ADDRESS($AI93,MATCH(E$1,INDIRECT("Table!A" &amp; $AM93):INDIRECT("Table!" &amp; $AP$108 &amp; $AM93),0)))))</f>
        <v>1.5277938524531616</v>
      </c>
      <c r="F93" s="273">
        <f ca="1">IF(ISERROR(MATCH(F$1,INDIRECT("Table!A"&amp;$AM93):INDIRECT("Table!" &amp; $AP$108 &amp; $AM93),0)),"",INDIRECT(CONCATENATE("Table!",ADDRESS($AI93,MATCH(F$1,INDIRECT("Table!A" &amp; $AM93):INDIRECT("Table!" &amp; $AP$108 &amp; $AM93),0)))))</f>
        <v>1.4425297895166287</v>
      </c>
      <c r="G93" s="273">
        <f ca="1">IF(ISERROR(MATCH(G$1,INDIRECT("Table!A"&amp;$AM93):INDIRECT("Table!" &amp; $AP$108 &amp; $AM93),0)),"",INDIRECT(CONCATENATE("Table!",ADDRESS($AI93,MATCH(G$1,INDIRECT("Table!A" &amp; $AM93):INDIRECT("Table!" &amp; $AP$108 &amp; $AM93),0)))))</f>
        <v>3.4173744437380797</v>
      </c>
      <c r="H93" s="273">
        <f ca="1">IF(ISERROR(MATCH(H$1,INDIRECT("Table!A"&amp;$AM93):INDIRECT("Table!" &amp; $AP$108 &amp; $AM93),0)),"",INDIRECT(CONCATENATE("Table!",ADDRESS($AI93,MATCH(H$1,INDIRECT("Table!A" &amp; $AM93):INDIRECT("Table!" &amp; $AP$108 &amp; $AM93),0)))))</f>
        <v>0.94296763090962132</v>
      </c>
      <c r="I93" s="273">
        <f ca="1">IF(ISERROR(MATCH(I$1,INDIRECT("Table!A"&amp;$AM93):INDIRECT("Table!" &amp; $AP$86 &amp; $AM93),0)),"",INDIRECT(CONCATENATE("Table!",ADDRESS($AI93,MATCH(I$1,INDIRECT("Table!A" &amp; $AM93):INDIRECT("Table!" &amp; $AP$86 &amp; $AM93),0)))))</f>
        <v>5.8068653324734959E-2</v>
      </c>
      <c r="J93" s="273" t="str">
        <f ca="1">IF(ISERROR(MATCH(J$1,INDIRECT("Table!A"&amp;$AM93):INDIRECT("Table!" &amp; $AP$86 &amp; $AM93),0)),"",INDIRECT(CONCATENATE("Table!",ADDRESS($AI93,MATCH(J$1,INDIRECT("Table!A" &amp; $AM93):INDIRECT("Table!" &amp; $AP$86 &amp; $AM93),0)))))</f>
        <v/>
      </c>
      <c r="K93" s="273" t="str">
        <f ca="1">IF(ISERROR(MATCH(K$1,INDIRECT("Table!A"&amp;$AM93):INDIRECT("Table!" &amp; $AP$86 &amp; $AM93),0)),"",INDIRECT(CONCATENATE("Table!",ADDRESS($AI93,MATCH(K$1,INDIRECT("Table!A" &amp; $AM93):INDIRECT("Table!" &amp; $AP$86 &amp; $AM93),0)))))</f>
        <v/>
      </c>
      <c r="L93" s="273">
        <f ca="1">IF(ISERROR(MATCH(L$1,INDIRECT("Table!A"&amp;$AM93):INDIRECT("Table!" &amp; $AP$108 &amp; $AM93),0)),"",INDIRECT(CONCATENATE("Table!",ADDRESS($AI93,MATCH(L$1,INDIRECT("Table!A" &amp; $AM93):INDIRECT("Table!" &amp; $AP$108 &amp; $AM93),0)))))</f>
        <v>1.4546485206732738</v>
      </c>
      <c r="M93" s="273">
        <f ca="1">IF(ISERROR(MATCH(M$1,INDIRECT("Table!A"&amp;$AM93):INDIRECT("Table!" &amp; $AP$108 &amp; $AM93),0)),"",INDIRECT(CONCATENATE("Table!",ADDRESS($AI93,MATCH(M$1,INDIRECT("Table!A" &amp; $AM93):INDIRECT("Table!" &amp; $AP$108 &amp; $AM93),0)))))</f>
        <v>2.6032845892220058</v>
      </c>
      <c r="N93" s="273">
        <f ca="1">IF(ISERROR(MATCH(N$1,INDIRECT("Table!A"&amp;$AM93):INDIRECT("Table!" &amp; $AP$108 &amp; $AM93),0)),"",INDIRECT(CONCATENATE("Table!",ADDRESS($AI93,MATCH(N$1,INDIRECT("Table!A" &amp; $AM93):INDIRECT("Table!" &amp; $AP$108 &amp; $AM93),0)))))</f>
        <v>0.90570761656208476</v>
      </c>
      <c r="O93" s="273">
        <f ca="1">IF(ISERROR(MATCH(O$1,INDIRECT("Table!A"&amp;$AM93):INDIRECT("Table!" &amp; $AP$86 &amp; $AM93),0)),"",INDIRECT(CONCATENATE("Table!",ADDRESS($AI93,MATCH(O$1,INDIRECT("Table!A" &amp; $AM93):INDIRECT("Table!" &amp; $AP$86 &amp; $AM93),0)))))</f>
        <v>1.2367759559435569</v>
      </c>
      <c r="P93" s="273">
        <f ca="1">IF(ISERROR(MATCH(P$1,INDIRECT("Table!A"&amp;$AM93):INDIRECT("Table!" &amp; $AP$86 &amp; $AM93),0)),"",INDIRECT(CONCATENATE("Table!",ADDRESS($AI93,MATCH(P$1,INDIRECT("Table!A" &amp; $AM93):INDIRECT("Table!" &amp; $AP$86 &amp; $AM93),0)))))</f>
        <v>0.29440383434289913</v>
      </c>
      <c r="Q93" s="273" t="str">
        <f ca="1">IF(ISERROR(MATCH(Q$1,INDIRECT("Table!A"&amp;$AM93):INDIRECT("Table!" &amp; $AP$86 &amp; $AM93),0)),"",INDIRECT(CONCATENATE("Table!",ADDRESS($AI93,MATCH(Q$1,INDIRECT("Table!A" &amp; $AM93):INDIRECT("Table!" &amp; $AP$86 &amp; $AM93),0)))))</f>
        <v/>
      </c>
      <c r="R93" s="273" t="str">
        <f ca="1">IF(ISERROR(MATCH(R$1,INDIRECT("Table!A"&amp;$AM93):INDIRECT("Table!" &amp; $AP$86 &amp; $AM93),0)),"",INDIRECT(CONCATENATE("Table!",ADDRESS($AI93,MATCH(R$1,INDIRECT("Table!A" &amp; $AM93):INDIRECT("Table!" &amp; $AP$86 &amp; $AM93),0)))))</f>
        <v/>
      </c>
      <c r="S93" s="273" t="str">
        <f ca="1">IF(ISERROR(MATCH(S$1,INDIRECT("Table!A"&amp;$AM93):INDIRECT("Table!" &amp; $AP$86 &amp; $AM93),0)),"",INDIRECT(CONCATENATE("Table!",ADDRESS($AI93,MATCH(S$1,INDIRECT("Table!A" &amp; $AM93):INDIRECT("Table!" &amp; $AP$86 &amp; $AM93),0)))))</f>
        <v/>
      </c>
      <c r="T93" s="273">
        <f ca="1">IF(ISERROR(MATCH(T$1,INDIRECT("Table!A"&amp;$AM93):INDIRECT("Table!" &amp; $AP$86 &amp; $AM93),0)),"",INDIRECT(CONCATENATE("Table!",ADDRESS($AI93,MATCH(T$1,INDIRECT("Table!A" &amp; $AM93):INDIRECT("Table!" &amp; $AP$86 &amp; $AM93),0)))))</f>
        <v>0.35156313745636963</v>
      </c>
      <c r="U93" s="596" t="str">
        <f ca="1">IF(ISERROR(MATCH(U$1,INDIRECT("Table!A"&amp;$AM93):INDIRECT("Table!" &amp; $AP$86 &amp; $AM93),0)),"",INDIRECT(CONCATENATE("Table!",ADDRESS($AI93,MATCH(U$1,INDIRECT("Table!A" &amp; $AM93):INDIRECT("Table!" &amp; $AP$86 &amp; $AM93),0)))))</f>
        <v/>
      </c>
      <c r="V93" s="596"/>
      <c r="W93" s="596"/>
      <c r="X93" s="596"/>
      <c r="Y93" s="596"/>
      <c r="Z93" s="596"/>
      <c r="AA93" s="596"/>
      <c r="AB93" s="596"/>
      <c r="AC93" s="596"/>
      <c r="AD93" s="596"/>
      <c r="AE93" s="596"/>
      <c r="AF93" s="596"/>
      <c r="AG93" s="596"/>
      <c r="AH93" s="596"/>
      <c r="AI93" s="272">
        <f>MATCH($A93,Table!$A:$A,0)+$AK$2-1</f>
        <v>1224</v>
      </c>
      <c r="AJ93" s="337"/>
      <c r="AK93" s="337"/>
      <c r="AL93" s="337"/>
      <c r="AM93" s="272">
        <f>MATCH($A93,Table!$A:$A,0)+$AO$2-1</f>
        <v>1215</v>
      </c>
      <c r="AN93" s="337"/>
      <c r="AO93" s="337"/>
      <c r="AP93" s="973" t="s">
        <v>302</v>
      </c>
    </row>
    <row r="94" spans="1:42" s="267" customFormat="1" ht="19.5" customHeight="1" x14ac:dyDescent="0.25">
      <c r="A94" s="268">
        <v>41340</v>
      </c>
      <c r="B94" s="596">
        <f ca="1">IF(ISERROR(MATCH(B$1,INDIRECT("Table!A"&amp;$AM94):INDIRECT("Table!" &amp; $AP$108 &amp; $AM94),0)),"",INDIRECT(CONCATENATE("Table!",ADDRESS($AI94,MATCH(B$1,INDIRECT("Table!A" &amp; $AM94):INDIRECT("Table!" &amp; $AP$108 &amp; $AM94),0)))))</f>
        <v>1.3258277646901293</v>
      </c>
      <c r="C94" s="273">
        <f ca="1">IF(ISERROR(MATCH(C$1,INDIRECT("Table!A"&amp;$AM94):INDIRECT("Table!" &amp; $AP$108 &amp; $AM94),0)),"",INDIRECT(CONCATENATE("Table!",ADDRESS($AI94,MATCH(C$1,INDIRECT("Table!A" &amp; $AM94):INDIRECT("Table!" &amp; $AP$108 &amp; $AM94),0)))))</f>
        <v>0.59166227067191624</v>
      </c>
      <c r="D94" s="273">
        <f ca="1">IF(ISERROR(MATCH(D$1,INDIRECT("Table!A"&amp;$AM94):INDIRECT("Table!" &amp; $AP$108 &amp; $AM94),0)),"",INDIRECT(CONCATENATE("Table!",ADDRESS($AI94,MATCH(D$1,INDIRECT("Table!A" &amp; $AM94):INDIRECT("Table!" &amp; $AP$108 &amp; $AM94),0)))))</f>
        <v>0.59860718941134416</v>
      </c>
      <c r="E94" s="273">
        <f ca="1">IF(ISERROR(MATCH(E$1,INDIRECT("Table!A"&amp;$AM94):INDIRECT("Table!" &amp; $AP$108 &amp; $AM94),0)),"",INDIRECT(CONCATENATE("Table!",ADDRESS($AI94,MATCH(E$1,INDIRECT("Table!A" &amp; $AM94):INDIRECT("Table!" &amp; $AP$108 &amp; $AM94),0)))))</f>
        <v>1.5277938524531616</v>
      </c>
      <c r="F94" s="273">
        <f ca="1">IF(ISERROR(MATCH(F$1,INDIRECT("Table!A"&amp;$AM94):INDIRECT("Table!" &amp; $AP$108 &amp; $AM94),0)),"",INDIRECT(CONCATENATE("Table!",ADDRESS($AI94,MATCH(F$1,INDIRECT("Table!A" &amp; $AM94):INDIRECT("Table!" &amp; $AP$108 &amp; $AM94),0)))))</f>
        <v>1.4425297895166287</v>
      </c>
      <c r="G94" s="273">
        <f ca="1">IF(ISERROR(MATCH(G$1,INDIRECT("Table!A"&amp;$AM94):INDIRECT("Table!" &amp; $AP$108 &amp; $AM94),0)),"",INDIRECT(CONCATENATE("Table!",ADDRESS($AI94,MATCH(G$1,INDIRECT("Table!A" &amp; $AM94):INDIRECT("Table!" &amp; $AP$108 &amp; $AM94),0)))))</f>
        <v>3.4173744437380797</v>
      </c>
      <c r="H94" s="273">
        <f ca="1">IF(ISERROR(MATCH(H$1,INDIRECT("Table!A"&amp;$AM94):INDIRECT("Table!" &amp; $AP$108 &amp; $AM94),0)),"",INDIRECT(CONCATENATE("Table!",ADDRESS($AI94,MATCH(H$1,INDIRECT("Table!A" &amp; $AM94):INDIRECT("Table!" &amp; $AP$108 &amp; $AM94),0)))))</f>
        <v>0.9379651501090398</v>
      </c>
      <c r="I94" s="273">
        <f ca="1">IF(ISERROR(MATCH(I$1,INDIRECT("Table!A"&amp;$AM94):INDIRECT("Table!" &amp; $AP$86 &amp; $AM94),0)),"",INDIRECT(CONCATENATE("Table!",ADDRESS($AI94,MATCH(I$1,INDIRECT("Table!A" &amp; $AM94):INDIRECT("Table!" &amp; $AP$86 &amp; $AM94),0)))))</f>
        <v>5.8068653324734959E-2</v>
      </c>
      <c r="J94" s="273" t="str">
        <f ca="1">IF(ISERROR(MATCH(J$1,INDIRECT("Table!A"&amp;$AM94):INDIRECT("Table!" &amp; $AP$86 &amp; $AM94),0)),"",INDIRECT(CONCATENATE("Table!",ADDRESS($AI94,MATCH(J$1,INDIRECT("Table!A" &amp; $AM94):INDIRECT("Table!" &amp; $AP$86 &amp; $AM94),0)))))</f>
        <v/>
      </c>
      <c r="K94" s="273" t="str">
        <f ca="1">IF(ISERROR(MATCH(K$1,INDIRECT("Table!A"&amp;$AM94):INDIRECT("Table!" &amp; $AP$86 &amp; $AM94),0)),"",INDIRECT(CONCATENATE("Table!",ADDRESS($AI94,MATCH(K$1,INDIRECT("Table!A" &amp; $AM94):INDIRECT("Table!" &amp; $AP$86 &amp; $AM94),0)))))</f>
        <v/>
      </c>
      <c r="L94" s="273">
        <f ca="1">IF(ISERROR(MATCH(L$1,INDIRECT("Table!A"&amp;$AM94):INDIRECT("Table!" &amp; $AP$108 &amp; $AM94),0)),"",INDIRECT(CONCATENATE("Table!",ADDRESS($AI94,MATCH(L$1,INDIRECT("Table!A" &amp; $AM94):INDIRECT("Table!" &amp; $AP$108 &amp; $AM94),0)))))</f>
        <v>1.4546485206732738</v>
      </c>
      <c r="M94" s="273">
        <f ca="1">IF(ISERROR(MATCH(M$1,INDIRECT("Table!A"&amp;$AM94):INDIRECT("Table!" &amp; $AP$108 &amp; $AM94),0)),"",INDIRECT(CONCATENATE("Table!",ADDRESS($AI94,MATCH(M$1,INDIRECT("Table!A" &amp; $AM94):INDIRECT("Table!" &amp; $AP$108 &amp; $AM94),0)))))</f>
        <v>2.6032845892220058</v>
      </c>
      <c r="N94" s="273">
        <f ca="1">IF(ISERROR(MATCH(N$1,INDIRECT("Table!A"&amp;$AM94):INDIRECT("Table!" &amp; $AP$108 &amp; $AM94),0)),"",INDIRECT(CONCATENATE("Table!",ADDRESS($AI94,MATCH(N$1,INDIRECT("Table!A" &amp; $AM94):INDIRECT("Table!" &amp; $AP$108 &amp; $AM94),0)))))</f>
        <v>0.90570761656208476</v>
      </c>
      <c r="O94" s="273">
        <f ca="1">IF(ISERROR(MATCH(O$1,INDIRECT("Table!A"&amp;$AM94):INDIRECT("Table!" &amp; $AP$86 &amp; $AM94),0)),"",INDIRECT(CONCATENATE("Table!",ADDRESS($AI94,MATCH(O$1,INDIRECT("Table!A" &amp; $AM94):INDIRECT("Table!" &amp; $AP$86 &amp; $AM94),0)))))</f>
        <v>1.2333367519875886</v>
      </c>
      <c r="P94" s="273">
        <f ca="1">IF(ISERROR(MATCH(P$1,INDIRECT("Table!A"&amp;$AM94):INDIRECT("Table!" &amp; $AP$86 &amp; $AM94),0)),"",INDIRECT(CONCATENATE("Table!",ADDRESS($AI94,MATCH(P$1,INDIRECT("Table!A" &amp; $AM94):INDIRECT("Table!" &amp; $AP$86 &amp; $AM94),0)))))</f>
        <v>0.29440383434289913</v>
      </c>
      <c r="Q94" s="273" t="str">
        <f ca="1">IF(ISERROR(MATCH(Q$1,INDIRECT("Table!A"&amp;$AM94):INDIRECT("Table!" &amp; $AP$86 &amp; $AM94),0)),"",INDIRECT(CONCATENATE("Table!",ADDRESS($AI94,MATCH(Q$1,INDIRECT("Table!A" &amp; $AM94):INDIRECT("Table!" &amp; $AP$86 &amp; $AM94),0)))))</f>
        <v/>
      </c>
      <c r="R94" s="273" t="str">
        <f ca="1">IF(ISERROR(MATCH(R$1,INDIRECT("Table!A"&amp;$AM94):INDIRECT("Table!" &amp; $AP$86 &amp; $AM94),0)),"",INDIRECT(CONCATENATE("Table!",ADDRESS($AI94,MATCH(R$1,INDIRECT("Table!A" &amp; $AM94):INDIRECT("Table!" &amp; $AP$86 &amp; $AM94),0)))))</f>
        <v/>
      </c>
      <c r="S94" s="273" t="str">
        <f ca="1">IF(ISERROR(MATCH(S$1,INDIRECT("Table!A"&amp;$AM94):INDIRECT("Table!" &amp; $AP$86 &amp; $AM94),0)),"",INDIRECT(CONCATENATE("Table!",ADDRESS($AI94,MATCH(S$1,INDIRECT("Table!A" &amp; $AM94):INDIRECT("Table!" &amp; $AP$86 &amp; $AM94),0)))))</f>
        <v/>
      </c>
      <c r="T94" s="273">
        <f ca="1">IF(ISERROR(MATCH(T$1,INDIRECT("Table!A"&amp;$AM94):INDIRECT("Table!" &amp; $AP$86 &amp; $AM94),0)),"",INDIRECT(CONCATENATE("Table!",ADDRESS($AI94,MATCH(T$1,INDIRECT("Table!A" &amp; $AM94):INDIRECT("Table!" &amp; $AP$86 &amp; $AM94),0)))))</f>
        <v>0.32099242985146792</v>
      </c>
      <c r="U94" s="596" t="str">
        <f ca="1">IF(ISERROR(MATCH(U$1,INDIRECT("Table!A"&amp;$AM94):INDIRECT("Table!" &amp; $AP$86 &amp; $AM94),0)),"",INDIRECT(CONCATENATE("Table!",ADDRESS($AI94,MATCH(U$1,INDIRECT("Table!A" &amp; $AM94):INDIRECT("Table!" &amp; $AP$86 &amp; $AM94),0)))))</f>
        <v/>
      </c>
      <c r="V94" s="596"/>
      <c r="W94" s="596"/>
      <c r="X94" s="596"/>
      <c r="Y94" s="596"/>
      <c r="Z94" s="596"/>
      <c r="AA94" s="596"/>
      <c r="AB94" s="596"/>
      <c r="AC94" s="596"/>
      <c r="AD94" s="596"/>
      <c r="AE94" s="596"/>
      <c r="AF94" s="596"/>
      <c r="AG94" s="596"/>
      <c r="AH94" s="596"/>
      <c r="AI94" s="272">
        <f>MATCH($A94,Table!$A:$A,0)+$AK$2-1</f>
        <v>1236</v>
      </c>
      <c r="AJ94" s="290"/>
      <c r="AK94" s="290"/>
      <c r="AL94" s="290"/>
      <c r="AM94" s="272">
        <f>MATCH($A94,Table!$A:$A,0)+$AO$2-1</f>
        <v>1227</v>
      </c>
      <c r="AN94" s="290"/>
      <c r="AO94" s="290"/>
      <c r="AP94" s="973" t="s">
        <v>302</v>
      </c>
    </row>
    <row r="95" spans="1:42" s="267" customFormat="1" ht="19.5" customHeight="1" x14ac:dyDescent="0.25">
      <c r="A95" s="268">
        <v>41337</v>
      </c>
      <c r="B95" s="596">
        <f ca="1">IF(ISERROR(MATCH(B$1,INDIRECT("Table!A"&amp;$AM95):INDIRECT("Table!" &amp; $AP$108 &amp; $AM95),0)),"",INDIRECT(CONCATENATE("Table!",ADDRESS($AI95,MATCH(B$1,INDIRECT("Table!A" &amp; $AM95):INDIRECT("Table!" &amp; $AP$108 &amp; $AM95),0)))))</f>
        <v>1.3258277646901293</v>
      </c>
      <c r="C95" s="273">
        <f ca="1">IF(ISERROR(MATCH(C$1,INDIRECT("Table!A"&amp;$AM95):INDIRECT("Table!" &amp; $AP$108 &amp; $AM95),0)),"",INDIRECT(CONCATENATE("Table!",ADDRESS($AI95,MATCH(C$1,INDIRECT("Table!A" &amp; $AM95):INDIRECT("Table!" &amp; $AP$108 &amp; $AM95),0)))))</f>
        <v>0.59166227067191624</v>
      </c>
      <c r="D95" s="273">
        <f ca="1">IF(ISERROR(MATCH(D$1,INDIRECT("Table!A"&amp;$AM95):INDIRECT("Table!" &amp; $AP$108 &amp; $AM95),0)),"",INDIRECT(CONCATENATE("Table!",ADDRESS($AI95,MATCH(D$1,INDIRECT("Table!A" &amp; $AM95):INDIRECT("Table!" &amp; $AP$108 &amp; $AM95),0)))))</f>
        <v>0.59860718941134416</v>
      </c>
      <c r="E95" s="273">
        <f ca="1">IF(ISERROR(MATCH(E$1,INDIRECT("Table!A"&amp;$AM95):INDIRECT("Table!" &amp; $AP$108 &amp; $AM95),0)),"",INDIRECT(CONCATENATE("Table!",ADDRESS($AI95,MATCH(E$1,INDIRECT("Table!A" &amp; $AM95):INDIRECT("Table!" &amp; $AP$108 &amp; $AM95),0)))))</f>
        <v>1.5277938524531616</v>
      </c>
      <c r="F95" s="273">
        <f ca="1">IF(ISERROR(MATCH(F$1,INDIRECT("Table!A"&amp;$AM95):INDIRECT("Table!" &amp; $AP$108 &amp; $AM95),0)),"",INDIRECT(CONCATENATE("Table!",ADDRESS($AI95,MATCH(F$1,INDIRECT("Table!A" &amp; $AM95):INDIRECT("Table!" &amp; $AP$108 &amp; $AM95),0)))))</f>
        <v>1.4388613046040404</v>
      </c>
      <c r="G95" s="273">
        <f ca="1">IF(ISERROR(MATCH(G$1,INDIRECT("Table!A"&amp;$AM95):INDIRECT("Table!" &amp; $AP$108 &amp; $AM95),0)),"",INDIRECT(CONCATENATE("Table!",ADDRESS($AI95,MATCH(G$1,INDIRECT("Table!A" &amp; $AM95):INDIRECT("Table!" &amp; $AP$108 &amp; $AM95),0)))))</f>
        <v>3.4173744437380797</v>
      </c>
      <c r="H95" s="273">
        <f ca="1">IF(ISERROR(MATCH(H$1,INDIRECT("Table!A"&amp;$AM95):INDIRECT("Table!" &amp; $AP$108 &amp; $AM95),0)),"",INDIRECT(CONCATENATE("Table!",ADDRESS($AI95,MATCH(H$1,INDIRECT("Table!A" &amp; $AM95):INDIRECT("Table!" &amp; $AP$108 &amp; $AM95),0)))))</f>
        <v>0.9379651501090398</v>
      </c>
      <c r="I95" s="273">
        <f ca="1">IF(ISERROR(MATCH(I$1,INDIRECT("Table!A"&amp;$AM95):INDIRECT("Table!" &amp; $AP$86 &amp; $AM95),0)),"",INDIRECT(CONCATENATE("Table!",ADDRESS($AI95,MATCH(I$1,INDIRECT("Table!A" &amp; $AM95):INDIRECT("Table!" &amp; $AP$86 &amp; $AM95),0)))))</f>
        <v>5.8068653324734959E-2</v>
      </c>
      <c r="J95" s="273" t="str">
        <f ca="1">IF(ISERROR(MATCH(J$1,INDIRECT("Table!A"&amp;$AM95):INDIRECT("Table!" &amp; $AP$86 &amp; $AM95),0)),"",INDIRECT(CONCATENATE("Table!",ADDRESS($AI95,MATCH(J$1,INDIRECT("Table!A" &amp; $AM95):INDIRECT("Table!" &amp; $AP$86 &amp; $AM95),0)))))</f>
        <v/>
      </c>
      <c r="K95" s="273" t="str">
        <f ca="1">IF(ISERROR(MATCH(K$1,INDIRECT("Table!A"&amp;$AM95):INDIRECT("Table!" &amp; $AP$86 &amp; $AM95),0)),"",INDIRECT(CONCATENATE("Table!",ADDRESS($AI95,MATCH(K$1,INDIRECT("Table!A" &amp; $AM95):INDIRECT("Table!" &amp; $AP$86 &amp; $AM95),0)))))</f>
        <v/>
      </c>
      <c r="L95" s="273">
        <f ca="1">IF(ISERROR(MATCH(L$1,INDIRECT("Table!A"&amp;$AM95):INDIRECT("Table!" &amp; $AP$108 &amp; $AM95),0)),"",INDIRECT(CONCATENATE("Table!",ADDRESS($AI95,MATCH(L$1,INDIRECT("Table!A" &amp; $AM95):INDIRECT("Table!" &amp; $AP$108 &amp; $AM95),0)))))</f>
        <v>1.4567448077211997</v>
      </c>
      <c r="M95" s="273">
        <f ca="1">IF(ISERROR(MATCH(M$1,INDIRECT("Table!A"&amp;$AM95):INDIRECT("Table!" &amp; $AP$108 &amp; $AM95),0)),"",INDIRECT(CONCATENATE("Table!",ADDRESS($AI95,MATCH(M$1,INDIRECT("Table!A" &amp; $AM95):INDIRECT("Table!" &amp; $AP$108 &amp; $AM95),0)))))</f>
        <v>2.5055433876072595</v>
      </c>
      <c r="N95" s="273">
        <f ca="1">IF(ISERROR(MATCH(N$1,INDIRECT("Table!A"&amp;$AM95):INDIRECT("Table!" &amp; $AP$108 &amp; $AM95),0)),"",INDIRECT(CONCATENATE("Table!",ADDRESS($AI95,MATCH(N$1,INDIRECT("Table!A" &amp; $AM95):INDIRECT("Table!" &amp; $AP$108 &amp; $AM95),0)))))</f>
        <v>0.89837065117139259</v>
      </c>
      <c r="O95" s="273">
        <f ca="1">IF(ISERROR(MATCH(O$1,INDIRECT("Table!A"&amp;$AM95):INDIRECT("Table!" &amp; $AP$86 &amp; $AM95),0)),"",INDIRECT(CONCATENATE("Table!",ADDRESS($AI95,MATCH(O$1,INDIRECT("Table!A" &amp; $AM95):INDIRECT("Table!" &amp; $AP$86 &amp; $AM95),0)))))</f>
        <v>1.2333367519875886</v>
      </c>
      <c r="P95" s="273">
        <f ca="1">IF(ISERROR(MATCH(P$1,INDIRECT("Table!A"&amp;$AM95):INDIRECT("Table!" &amp; $AP$86 &amp; $AM95),0)),"",INDIRECT(CONCATENATE("Table!",ADDRESS($AI95,MATCH(P$1,INDIRECT("Table!A" &amp; $AM95):INDIRECT("Table!" &amp; $AP$86 &amp; $AM95),0)))))</f>
        <v>0.29440383434289913</v>
      </c>
      <c r="Q95" s="273" t="str">
        <f ca="1">IF(ISERROR(MATCH(Q$1,INDIRECT("Table!A"&amp;$AM95):INDIRECT("Table!" &amp; $AP$86 &amp; $AM95),0)),"",INDIRECT(CONCATENATE("Table!",ADDRESS($AI95,MATCH(Q$1,INDIRECT("Table!A" &amp; $AM95):INDIRECT("Table!" &amp; $AP$86 &amp; $AM95),0)))))</f>
        <v/>
      </c>
      <c r="R95" s="273" t="str">
        <f ca="1">IF(ISERROR(MATCH(R$1,INDIRECT("Table!A"&amp;$AM95):INDIRECT("Table!" &amp; $AP$86 &amp; $AM95),0)),"",INDIRECT(CONCATENATE("Table!",ADDRESS($AI95,MATCH(R$1,INDIRECT("Table!A" &amp; $AM95):INDIRECT("Table!" &amp; $AP$86 &amp; $AM95),0)))))</f>
        <v/>
      </c>
      <c r="S95" s="273" t="str">
        <f ca="1">IF(ISERROR(MATCH(S$1,INDIRECT("Table!A"&amp;$AM95):INDIRECT("Table!" &amp; $AP$86 &amp; $AM95),0)),"",INDIRECT(CONCATENATE("Table!",ADDRESS($AI95,MATCH(S$1,INDIRECT("Table!A" &amp; $AM95):INDIRECT("Table!" &amp; $AP$86 &amp; $AM95),0)))))</f>
        <v/>
      </c>
      <c r="T95" s="273" t="str">
        <f ca="1">IF(ISERROR(MATCH(T$1,INDIRECT("Table!A"&amp;$AM95):INDIRECT("Table!" &amp; $AP$86 &amp; $AM95),0)),"",INDIRECT(CONCATENATE("Table!",ADDRESS($AI95,MATCH(T$1,INDIRECT("Table!A" &amp; $AM95):INDIRECT("Table!" &amp; $AP$86 &amp; $AM95),0)))))</f>
        <v/>
      </c>
      <c r="U95" s="596" t="str">
        <f ca="1">IF(ISERROR(MATCH(U$1,INDIRECT("Table!A"&amp;$AM95):INDIRECT("Table!" &amp; $AP$86 &amp; $AM95),0)),"",INDIRECT(CONCATENATE("Table!",ADDRESS($AI95,MATCH(U$1,INDIRECT("Table!A" &amp; $AM95):INDIRECT("Table!" &amp; $AP$86 &amp; $AM95),0)))))</f>
        <v/>
      </c>
      <c r="V95" s="596"/>
      <c r="W95" s="596"/>
      <c r="X95" s="596"/>
      <c r="Y95" s="596"/>
      <c r="Z95" s="596"/>
      <c r="AA95" s="596"/>
      <c r="AB95" s="596"/>
      <c r="AC95" s="596"/>
      <c r="AD95" s="596"/>
      <c r="AE95" s="596"/>
      <c r="AF95" s="596"/>
      <c r="AG95" s="596"/>
      <c r="AH95" s="596"/>
      <c r="AI95" s="272">
        <f>MATCH($A95,Table!$A:$A,0)+$AK$2-1</f>
        <v>1248</v>
      </c>
      <c r="AJ95" s="269"/>
      <c r="AK95" s="269"/>
      <c r="AL95" s="269"/>
      <c r="AM95" s="272">
        <f>MATCH($A95,Table!$A:$A,0)+$AO$2-1</f>
        <v>1239</v>
      </c>
      <c r="AN95" s="269"/>
      <c r="AO95" s="269"/>
      <c r="AP95" s="973" t="s">
        <v>302</v>
      </c>
    </row>
    <row r="96" spans="1:42" s="267" customFormat="1" ht="19.5" customHeight="1" x14ac:dyDescent="0.25">
      <c r="A96" s="268">
        <v>41334</v>
      </c>
      <c r="B96" s="596">
        <f ca="1">IF(ISERROR(MATCH(B$1,INDIRECT("Table!A"&amp;$AM96):INDIRECT("Table!" &amp; $AP$108 &amp; $AM96),0)),"",INDIRECT(CONCATENATE("Table!",ADDRESS($AI96,MATCH(B$1,INDIRECT("Table!A" &amp; $AM96):INDIRECT("Table!" &amp; $AP$108 &amp; $AM96),0)))))</f>
        <v>1.3258277646901293</v>
      </c>
      <c r="C96" s="273">
        <f ca="1">IF(ISERROR(MATCH(C$1,INDIRECT("Table!A"&amp;$AM96):INDIRECT("Table!" &amp; $AP$108 &amp; $AM96),0)),"",INDIRECT(CONCATENATE("Table!",ADDRESS($AI96,MATCH(C$1,INDIRECT("Table!A" &amp; $AM96):INDIRECT("Table!" &amp; $AP$108 &amp; $AM96),0)))))</f>
        <v>0.59524674486000806</v>
      </c>
      <c r="D96" s="273">
        <f ca="1">IF(ISERROR(MATCH(D$1,INDIRECT("Table!A"&amp;$AM96):INDIRECT("Table!" &amp; $AP$108 &amp; $AM96),0)),"",INDIRECT(CONCATENATE("Table!",ADDRESS($AI96,MATCH(D$1,INDIRECT("Table!A" &amp; $AM96):INDIRECT("Table!" &amp; $AP$108 &amp; $AM96),0)))))</f>
        <v>0.59950330795836726</v>
      </c>
      <c r="E96" s="273">
        <f ca="1">IF(ISERROR(MATCH(E$1,INDIRECT("Table!A"&amp;$AM96):INDIRECT("Table!" &amp; $AP$108 &amp; $AM96),0)),"",INDIRECT(CONCATENATE("Table!",ADDRESS($AI96,MATCH(E$1,INDIRECT("Table!A" &amp; $AM96):INDIRECT("Table!" &amp; $AP$108 &amp; $AM96),0)))))</f>
        <v>1.5277938524531616</v>
      </c>
      <c r="F96" s="273">
        <f ca="1">IF(ISERROR(MATCH(F$1,INDIRECT("Table!A"&amp;$AM96):INDIRECT("Table!" &amp; $AP$108 &amp; $AM96),0)),"",INDIRECT(CONCATENATE("Table!",ADDRESS($AI96,MATCH(F$1,INDIRECT("Table!A" &amp; $AM96):INDIRECT("Table!" &amp; $AP$108 &amp; $AM96),0)))))</f>
        <v>1.4388613046040404</v>
      </c>
      <c r="G96" s="273">
        <f ca="1">IF(ISERROR(MATCH(G$1,INDIRECT("Table!A"&amp;$AM96):INDIRECT("Table!" &amp; $AP$108 &amp; $AM96),0)),"",INDIRECT(CONCATENATE("Table!",ADDRESS($AI96,MATCH(G$1,INDIRECT("Table!A" &amp; $AM96):INDIRECT("Table!" &amp; $AP$108 &amp; $AM96),0)))))</f>
        <v>3.4173744437380797</v>
      </c>
      <c r="H96" s="273">
        <f ca="1">IF(ISERROR(MATCH(H$1,INDIRECT("Table!A"&amp;$AM96):INDIRECT("Table!" &amp; $AP$108 &amp; $AM96),0)),"",INDIRECT(CONCATENATE("Table!",ADDRESS($AI96,MATCH(H$1,INDIRECT("Table!A" &amp; $AM96):INDIRECT("Table!" &amp; $AP$108 &amp; $AM96),0)))))</f>
        <v>0.93379641610855502</v>
      </c>
      <c r="I96" s="273" t="str">
        <f ca="1">IF(ISERROR(MATCH(I$1,INDIRECT("Table!A"&amp;$AM96):INDIRECT("Table!" &amp; $AP$86 &amp; $AM96),0)),"",INDIRECT(CONCATENATE("Table!",ADDRESS($AI96,MATCH(I$1,INDIRECT("Table!A" &amp; $AM96):INDIRECT("Table!" &amp; $AP$86 &amp; $AM96),0)))))</f>
        <v/>
      </c>
      <c r="J96" s="273" t="str">
        <f ca="1">IF(ISERROR(MATCH(J$1,INDIRECT("Table!A"&amp;$AM96):INDIRECT("Table!" &amp; $AP$86 &amp; $AM96),0)),"",INDIRECT(CONCATENATE("Table!",ADDRESS($AI96,MATCH(J$1,INDIRECT("Table!A" &amp; $AM96):INDIRECT("Table!" &amp; $AP$86 &amp; $AM96),0)))))</f>
        <v/>
      </c>
      <c r="K96" s="273" t="str">
        <f ca="1">IF(ISERROR(MATCH(K$1,INDIRECT("Table!A"&amp;$AM96):INDIRECT("Table!" &amp; $AP$86 &amp; $AM96),0)),"",INDIRECT(CONCATENATE("Table!",ADDRESS($AI96,MATCH(K$1,INDIRECT("Table!A" &amp; $AM96):INDIRECT("Table!" &amp; $AP$86 &amp; $AM96),0)))))</f>
        <v/>
      </c>
      <c r="L96" s="273">
        <f ca="1">IF(ISERROR(MATCH(L$1,INDIRECT("Table!A"&amp;$AM96):INDIRECT("Table!" &amp; $AP$108 &amp; $AM96),0)),"",INDIRECT(CONCATENATE("Table!",ADDRESS($AI96,MATCH(L$1,INDIRECT("Table!A" &amp; $AM96):INDIRECT("Table!" &amp; $AP$108 &amp; $AM96),0)))))</f>
        <v>1.4567448077211997</v>
      </c>
      <c r="M96" s="273">
        <f ca="1">IF(ISERROR(MATCH(M$1,INDIRECT("Table!A"&amp;$AM96):INDIRECT("Table!" &amp; $AP$108 &amp; $AM96),0)),"",INDIRECT(CONCATENATE("Table!",ADDRESS($AI96,MATCH(M$1,INDIRECT("Table!A" &amp; $AM96):INDIRECT("Table!" &amp; $AP$108 &amp; $AM96),0)))))</f>
        <v>2.5055433876072595</v>
      </c>
      <c r="N96" s="273">
        <f ca="1">IF(ISERROR(MATCH(N$1,INDIRECT("Table!A"&amp;$AM96):INDIRECT("Table!" &amp; $AP$108 &amp; $AM96),0)),"",INDIRECT(CONCATENATE("Table!",ADDRESS($AI96,MATCH(N$1,INDIRECT("Table!A" &amp; $AM96):INDIRECT("Table!" &amp; $AP$108 &amp; $AM96),0)))))</f>
        <v>1.5146757439895171</v>
      </c>
      <c r="O96" s="273">
        <f ca="1">IF(ISERROR(MATCH(O$1,INDIRECT("Table!A"&amp;$AM96):INDIRECT("Table!" &amp; $AP$86 &amp; $AM96),0)),"",INDIRECT(CONCATENATE("Table!",ADDRESS($AI96,MATCH(O$1,INDIRECT("Table!A" &amp; $AM96):INDIRECT("Table!" &amp; $AP$86 &amp; $AM96),0)))))</f>
        <v>1.4677758216527739</v>
      </c>
      <c r="P96" s="273" t="str">
        <f ca="1">IF(ISERROR(MATCH(P$1,INDIRECT("Table!A"&amp;$AM96):INDIRECT("Table!" &amp; $AP$86 &amp; $AM96),0)),"",INDIRECT(CONCATENATE("Table!",ADDRESS($AI96,MATCH(P$1,INDIRECT("Table!A" &amp; $AM96):INDIRECT("Table!" &amp; $AP$86 &amp; $AM96),0)))))</f>
        <v/>
      </c>
      <c r="Q96" s="273" t="str">
        <f ca="1">IF(ISERROR(MATCH(Q$1,INDIRECT("Table!A"&amp;$AM96):INDIRECT("Table!" &amp; $AP$86 &amp; $AM96),0)),"",INDIRECT(CONCATENATE("Table!",ADDRESS($AI96,MATCH(Q$1,INDIRECT("Table!A" &amp; $AM96):INDIRECT("Table!" &amp; $AP$86 &amp; $AM96),0)))))</f>
        <v/>
      </c>
      <c r="R96" s="273" t="str">
        <f ca="1">IF(ISERROR(MATCH(R$1,INDIRECT("Table!A"&amp;$AM96):INDIRECT("Table!" &amp; $AP$86 &amp; $AM96),0)),"",INDIRECT(CONCATENATE("Table!",ADDRESS($AI96,MATCH(R$1,INDIRECT("Table!A" &amp; $AM96):INDIRECT("Table!" &amp; $AP$86 &amp; $AM96),0)))))</f>
        <v/>
      </c>
      <c r="S96" s="269"/>
      <c r="T96" s="269"/>
      <c r="U96" s="697"/>
      <c r="V96" s="902"/>
      <c r="W96" s="902"/>
      <c r="X96" s="902"/>
      <c r="Y96" s="902"/>
      <c r="Z96" s="902"/>
      <c r="AA96" s="902"/>
      <c r="AB96" s="902"/>
      <c r="AC96" s="973"/>
      <c r="AD96" s="973"/>
      <c r="AE96" s="973"/>
      <c r="AF96" s="973"/>
      <c r="AG96" s="973"/>
      <c r="AH96" s="973"/>
      <c r="AI96" s="272">
        <f>MATCH($A96,Table!$A:$A,0)+$AK$2-1</f>
        <v>1260</v>
      </c>
      <c r="AJ96" s="269"/>
      <c r="AK96" s="269"/>
      <c r="AL96" s="269"/>
      <c r="AM96" s="272">
        <f>MATCH($A96,Table!$A:$A,0)+$AO$2-1</f>
        <v>1251</v>
      </c>
      <c r="AN96" s="269"/>
      <c r="AO96" s="269"/>
      <c r="AP96" s="973" t="s">
        <v>302</v>
      </c>
    </row>
    <row r="97" spans="1:42" ht="19.5" customHeight="1" x14ac:dyDescent="0.25">
      <c r="A97" s="4">
        <v>41330</v>
      </c>
      <c r="B97" s="596">
        <f ca="1">IF(ISERROR(MATCH(B$1,INDIRECT("Table!A"&amp;$AM97):INDIRECT("Table!" &amp; $AP$108 &amp; $AM97),0)),"",INDIRECT(CONCATENATE("Table!",ADDRESS($AI97,MATCH(B$1,INDIRECT("Table!A" &amp; $AM97):INDIRECT("Table!" &amp; $AP$108 &amp; $AM97),0)))))</f>
        <v>1.3258277646901293</v>
      </c>
      <c r="C97" s="24">
        <f ca="1">IF(ISERROR(MATCH(C$1,INDIRECT("Table!A"&amp;$AM97):INDIRECT("Table!" &amp; $AP$108 &amp; $AM97),0)),"",INDIRECT(CONCATENATE("Table!",ADDRESS($AI97,MATCH(C$1,INDIRECT("Table!A" &amp; $AM97):INDIRECT("Table!" &amp; $AP$108 &amp; $AM97),0)))))</f>
        <v>0.59524674486000806</v>
      </c>
      <c r="D97" s="24">
        <f ca="1">IF(ISERROR(MATCH(D$1,INDIRECT("Table!A"&amp;$AM97):INDIRECT("Table!" &amp; $AP$108 &amp; $AM97),0)),"",INDIRECT(CONCATENATE("Table!",ADDRESS($AI97,MATCH(D$1,INDIRECT("Table!A" &amp; $AM97):INDIRECT("Table!" &amp; $AP$108 &amp; $AM97),0)))))</f>
        <v>0.59950330795836726</v>
      </c>
      <c r="E97" s="24">
        <f ca="1">IF(ISERROR(MATCH(E$1,INDIRECT("Table!A"&amp;$AM97):INDIRECT("Table!" &amp; $AP$108 &amp; $AM97),0)),"",INDIRECT(CONCATENATE("Table!",ADDRESS($AI97,MATCH(E$1,INDIRECT("Table!A" &amp; $AM97):INDIRECT("Table!" &amp; $AP$108 &amp; $AM97),0)))))</f>
        <v>1.5277938524531616</v>
      </c>
      <c r="F97" s="24">
        <f ca="1">IF(ISERROR(MATCH(F$1,INDIRECT("Table!A"&amp;$AM97):INDIRECT("Table!" &amp; $AP$108 &amp; $AM97),0)),"",INDIRECT(CONCATENATE("Table!",ADDRESS($AI97,MATCH(F$1,INDIRECT("Table!A" &amp; $AM97):INDIRECT("Table!" &amp; $AP$108 &amp; $AM97),0)))))</f>
        <v>1.4327471630830602</v>
      </c>
      <c r="G97" s="24">
        <f ca="1">IF(ISERROR(MATCH(G$1,INDIRECT("Table!A"&amp;$AM97):INDIRECT("Table!" &amp; $AP$108 &amp; $AM97),0)),"",INDIRECT(CONCATENATE("Table!",ADDRESS($AI97,MATCH(G$1,INDIRECT("Table!A" &amp; $AM97):INDIRECT("Table!" &amp; $AP$108 &amp; $AM97),0)))))</f>
        <v>3.412780855508128</v>
      </c>
      <c r="H97" s="24">
        <f ca="1">IF(ISERROR(MATCH(H$1,INDIRECT("Table!A"&amp;$AM97):INDIRECT("Table!" &amp; $AP$108 &amp; $AM97),0)),"",INDIRECT(CONCATENATE("Table!",ADDRESS($AI97,MATCH(H$1,INDIRECT("Table!A" &amp; $AM97):INDIRECT("Table!" &amp; $AP$108 &amp; $AM97),0)))))</f>
        <v>0.92212396090719817</v>
      </c>
      <c r="I97" s="273" t="str">
        <f ca="1">IF(ISERROR(MATCH(I$1,INDIRECT("Table!A"&amp;$AM97):INDIRECT("Table!" &amp; $AP$108 &amp; $AM97),0)),"",INDIRECT(CONCATENATE("Table!",ADDRESS($AI97,MATCH(I$1,INDIRECT("Table!A" &amp; $AM97):INDIRECT("Table!" &amp; $AP$108 &amp; $AM97),0)))))</f>
        <v/>
      </c>
      <c r="J97" s="273" t="str">
        <f ca="1">IF(ISERROR(MATCH(J$1,INDIRECT("Table!A"&amp;$AM97):INDIRECT("Table!" &amp; $AP$108 &amp; $AM97),0)),"",INDIRECT(CONCATENATE("Table!",ADDRESS($AI97,MATCH(J$1,INDIRECT("Table!A" &amp; $AM97):INDIRECT("Table!" &amp; $AP$108 &amp; $AM97),0)))))</f>
        <v/>
      </c>
      <c r="K97" s="273" t="str">
        <f ca="1">IF(ISERROR(MATCH(K$1,INDIRECT("Table!A"&amp;$AM97):INDIRECT("Table!" &amp; $AP$108 &amp; $AM97),0)),"",INDIRECT(CONCATENATE("Table!",ADDRESS($AI97,MATCH(K$1,INDIRECT("Table!A" &amp; $AM97):INDIRECT("Table!" &amp; $AP$108 &amp; $AM97),0)))))</f>
        <v/>
      </c>
      <c r="L97" s="24">
        <f ca="1">IF(ISERROR(MATCH(L$1,INDIRECT("Table!A"&amp;$AM97):INDIRECT("Table!" &amp; $AP$108 &amp; $AM97),0)),"",INDIRECT(CONCATENATE("Table!",ADDRESS($AI97,MATCH(L$1,INDIRECT("Table!A" &amp; $AM97):INDIRECT("Table!" &amp; $AP$108 &amp; $AM97),0)))))</f>
        <v>1.403114797411761</v>
      </c>
      <c r="M97" s="24">
        <f ca="1">IF(ISERROR(MATCH(M$1,INDIRECT("Table!A"&amp;$AM97):INDIRECT("Table!" &amp; $AP$108 &amp; $AM97),0)),"",INDIRECT(CONCATENATE("Table!",ADDRESS($AI97,MATCH(M$1,INDIRECT("Table!A" &amp; $AM97):INDIRECT("Table!" &amp; $AP$108 &amp; $AM97),0)))))</f>
        <v>2.5055433876072595</v>
      </c>
      <c r="N97" s="24">
        <f ca="1">IF(ISERROR(MATCH(N$1,INDIRECT("Table!A"&amp;$AM97):INDIRECT("Table!" &amp; $AP$108 &amp; $AM97),0)),"",INDIRECT(CONCATENATE("Table!",ADDRESS($AI97,MATCH(N$1,INDIRECT("Table!A" &amp; $AM97):INDIRECT("Table!" &amp; $AP$108 &amp; $AM97),0)))))</f>
        <v>1.502447468338364</v>
      </c>
      <c r="O97" s="24">
        <f ca="1">IF(ISERROR(MATCH(O$1,INDIRECT("Table!A"&amp;$AM97):INDIRECT("Table!" &amp; $AP$108 &amp; $AM97),0)),"",INDIRECT(CONCATENATE("Table!",ADDRESS($AI97,MATCH(O$1,INDIRECT("Table!A" &amp; $AM97):INDIRECT("Table!" &amp; $AP$108 &amp; $AM97),0)))))</f>
        <v>1.4677758216527739</v>
      </c>
      <c r="P97" s="24" t="str">
        <f ca="1">IF(ISERROR(MATCH(P$1,INDIRECT("Table!A"&amp;$AM97):INDIRECT("Table!" &amp; $AP$108 &amp; $AM97),0)),"",INDIRECT(CONCATENATE("Table!",ADDRESS($AI97,MATCH(P$1,INDIRECT("Table!A" &amp; $AM97):INDIRECT("Table!" &amp; $AP$108 &amp; $AM97),0)))))</f>
        <v/>
      </c>
      <c r="Q97" s="273" t="str">
        <f ca="1">IF(ISERROR(MATCH(Q$1,INDIRECT("Table!A"&amp;$AM97):INDIRECT("Table!" &amp; $AP$108 &amp; $AM97),0)),"",INDIRECT(CONCATENATE("Table!",ADDRESS($AI97,MATCH(Q$1,INDIRECT("Table!A" &amp; $AM97):INDIRECT("Table!" &amp; $AP$108 &amp; $AM97),0)))))</f>
        <v/>
      </c>
      <c r="R97" s="273" t="str">
        <f ca="1">IF(ISERROR(MATCH(R$1,INDIRECT("Table!A"&amp;$AM97):INDIRECT("Table!" &amp; $AP$108 &amp; $AM97),0)),"",INDIRECT(CONCATENATE("Table!",ADDRESS($AI97,MATCH(R$1,INDIRECT("Table!A" &amp; $AM97):INDIRECT("Table!" &amp; $AP$108 &amp; $AM97),0)))))</f>
        <v/>
      </c>
      <c r="S97" s="258"/>
      <c r="T97" s="258"/>
      <c r="AI97" s="22">
        <f>MATCH($A97,Table!$A:$A,0)+$AK$2-1</f>
        <v>1272</v>
      </c>
      <c r="AJ97" s="258"/>
      <c r="AK97" s="258"/>
      <c r="AL97" s="258"/>
      <c r="AM97" s="22">
        <f>MATCH($A97,Table!$A:$A,0)+$AO$2-1</f>
        <v>1263</v>
      </c>
      <c r="AN97" s="258"/>
      <c r="AO97" s="258"/>
      <c r="AP97" s="973" t="s">
        <v>302</v>
      </c>
    </row>
    <row r="98" spans="1:42" ht="19.5" customHeight="1" x14ac:dyDescent="0.25">
      <c r="A98" s="4">
        <v>41327</v>
      </c>
      <c r="B98" s="596">
        <f ca="1">IF(ISERROR(MATCH(B$1,INDIRECT("Table!A"&amp;$AM98):INDIRECT("Table!" &amp; $AP$108 &amp; $AM98),0)),"",INDIRECT(CONCATENATE("Table!",ADDRESS($AI98,MATCH(B$1,INDIRECT("Table!A" &amp; $AM98):INDIRECT("Table!" &amp; $AP$108 &amp; $AM98),0)))))</f>
        <v>1.3258277646901293</v>
      </c>
      <c r="C98" s="24">
        <f ca="1">IF(ISERROR(MATCH(C$1,INDIRECT("Table!A"&amp;$AM98):INDIRECT("Table!" &amp; $AP$108 &amp; $AM98),0)),"",INDIRECT(CONCATENATE("Table!",ADDRESS($AI98,MATCH(C$1,INDIRECT("Table!A" &amp; $AM98):INDIRECT("Table!" &amp; $AP$108 &amp; $AM98),0)))))</f>
        <v>0.59524674486000806</v>
      </c>
      <c r="D98" s="24">
        <f ca="1">IF(ISERROR(MATCH(D$1,INDIRECT("Table!A"&amp;$AM98):INDIRECT("Table!" &amp; $AP$108 &amp; $AM98),0)),"",INDIRECT(CONCATENATE("Table!",ADDRESS($AI98,MATCH(D$1,INDIRECT("Table!A" &amp; $AM98):INDIRECT("Table!" &amp; $AP$108 &amp; $AM98),0)))))</f>
        <v>0.59950330795836726</v>
      </c>
      <c r="E98" s="24">
        <f ca="1">IF(ISERROR(MATCH(E$1,INDIRECT("Table!A"&amp;$AM98):INDIRECT("Table!" &amp; $AP$108 &amp; $AM98),0)),"",INDIRECT(CONCATENATE("Table!",ADDRESS($AI98,MATCH(E$1,INDIRECT("Table!A" &amp; $AM98):INDIRECT("Table!" &amp; $AP$108 &amp; $AM98),0)))))</f>
        <v>1.5277938524531616</v>
      </c>
      <c r="F98" s="24">
        <f ca="1">IF(ISERROR(MATCH(F$1,INDIRECT("Table!A"&amp;$AM98):INDIRECT("Table!" &amp; $AP$108 &amp; $AM98),0)),"",INDIRECT(CONCATENATE("Table!",ADDRESS($AI98,MATCH(F$1,INDIRECT("Table!A" &amp; $AM98):INDIRECT("Table!" &amp; $AP$108 &amp; $AM98),0)))))</f>
        <v>1.4327471630830602</v>
      </c>
      <c r="G98" s="24">
        <f ca="1">IF(ISERROR(MATCH(G$1,INDIRECT("Table!A"&amp;$AM98):INDIRECT("Table!" &amp; $AP$108 &amp; $AM98),0)),"",INDIRECT(CONCATENATE("Table!",ADDRESS($AI98,MATCH(G$1,INDIRECT("Table!A" &amp; $AM98):INDIRECT("Table!" &amp; $AP$108 &amp; $AM98),0)))))</f>
        <v>3.412780855508128</v>
      </c>
      <c r="H98" s="24">
        <f ca="1">IF(ISERROR(MATCH(H$1,INDIRECT("Table!A"&amp;$AM98):INDIRECT("Table!" &amp; $AP$108 &amp; $AM98),0)),"",INDIRECT(CONCATENATE("Table!",ADDRESS($AI98,MATCH(H$1,INDIRECT("Table!A" &amp; $AM98):INDIRECT("Table!" &amp; $AP$108 &amp; $AM98),0)))))</f>
        <v>0.92212396090719817</v>
      </c>
      <c r="I98" s="273" t="str">
        <f ca="1">IF(ISERROR(MATCH(I$1,INDIRECT("Table!A"&amp;$AM98):INDIRECT("Table!" &amp; $AP$108 &amp; $AM98),0)),"",INDIRECT(CONCATENATE("Table!",ADDRESS($AI98,MATCH(I$1,INDIRECT("Table!A" &amp; $AM98):INDIRECT("Table!" &amp; $AP$108 &amp; $AM98),0)))))</f>
        <v/>
      </c>
      <c r="J98" s="273" t="str">
        <f ca="1">IF(ISERROR(MATCH(J$1,INDIRECT("Table!A"&amp;$AM98):INDIRECT("Table!" &amp; $AP$108 &amp; $AM98),0)),"",INDIRECT(CONCATENATE("Table!",ADDRESS($AI98,MATCH(J$1,INDIRECT("Table!A" &amp; $AM98):INDIRECT("Table!" &amp; $AP$108 &amp; $AM98),0)))))</f>
        <v/>
      </c>
      <c r="K98" s="273" t="str">
        <f ca="1">IF(ISERROR(MATCH(K$1,INDIRECT("Table!A"&amp;$AM98):INDIRECT("Table!" &amp; $AP$108 &amp; $AM98),0)),"",INDIRECT(CONCATENATE("Table!",ADDRESS($AI98,MATCH(K$1,INDIRECT("Table!A" &amp; $AM98):INDIRECT("Table!" &amp; $AP$108 &amp; $AM98),0)))))</f>
        <v/>
      </c>
      <c r="L98" s="24">
        <f ca="1">IF(ISERROR(MATCH(L$1,INDIRECT("Table!A"&amp;$AM98):INDIRECT("Table!" &amp; $AP$108 &amp; $AM98),0)),"",INDIRECT(CONCATENATE("Table!",ADDRESS($AI98,MATCH(L$1,INDIRECT("Table!A" &amp; $AM98):INDIRECT("Table!" &amp; $AP$108 &amp; $AM98),0)))))</f>
        <v>1.403114797411761</v>
      </c>
      <c r="M98" s="24">
        <f ca="1">IF(ISERROR(MATCH(M$1,INDIRECT("Table!A"&amp;$AM98):INDIRECT("Table!" &amp; $AP$108 &amp; $AM98),0)),"",INDIRECT(CONCATENATE("Table!",ADDRESS($AI98,MATCH(M$1,INDIRECT("Table!A" &amp; $AM98):INDIRECT("Table!" &amp; $AP$108 &amp; $AM98),0)))))</f>
        <v>2.5055433876072595</v>
      </c>
      <c r="N98" s="24">
        <f ca="1">IF(ISERROR(MATCH(N$1,INDIRECT("Table!A"&amp;$AM98):INDIRECT("Table!" &amp; $AP$108 &amp; $AM98),0)),"",INDIRECT(CONCATENATE("Table!",ADDRESS($AI98,MATCH(N$1,INDIRECT("Table!A" &amp; $AM98):INDIRECT("Table!" &amp; $AP$108 &amp; $AM98),0)))))</f>
        <v>1.502447468338364</v>
      </c>
      <c r="O98" s="24">
        <f ca="1">IF(ISERROR(MATCH(O$1,INDIRECT("Table!A"&amp;$AM98):INDIRECT("Table!" &amp; $AP$108 &amp; $AM98),0)),"",INDIRECT(CONCATENATE("Table!",ADDRESS($AI98,MATCH(O$1,INDIRECT("Table!A" &amp; $AM98):INDIRECT("Table!" &amp; $AP$108 &amp; $AM98),0)))))</f>
        <v>1.4677758216527739</v>
      </c>
      <c r="P98" s="24" t="str">
        <f ca="1">IF(ISERROR(MATCH(P$1,INDIRECT("Table!A"&amp;$AM98):INDIRECT("Table!" &amp; $AP$108 &amp; $AM98),0)),"",INDIRECT(CONCATENATE("Table!",ADDRESS($AI98,MATCH(P$1,INDIRECT("Table!A" &amp; $AM98):INDIRECT("Table!" &amp; $AP$108 &amp; $AM98),0)))))</f>
        <v/>
      </c>
      <c r="Q98" s="273" t="str">
        <f ca="1">IF(ISERROR(MATCH(Q$1,INDIRECT("Table!A"&amp;$AM98):INDIRECT("Table!" &amp; $AP$108 &amp; $AM98),0)),"",INDIRECT(CONCATENATE("Table!",ADDRESS($AI98,MATCH(Q$1,INDIRECT("Table!A" &amp; $AM98):INDIRECT("Table!" &amp; $AP$108 &amp; $AM98),0)))))</f>
        <v/>
      </c>
      <c r="R98" s="273" t="str">
        <f ca="1">IF(ISERROR(MATCH(R$1,INDIRECT("Table!A"&amp;$AM98):INDIRECT("Table!" &amp; $AP$108 &amp; $AM98),0)),"",INDIRECT(CONCATENATE("Table!",ADDRESS($AI98,MATCH(R$1,INDIRECT("Table!A" &amp; $AM98):INDIRECT("Table!" &amp; $AP$108 &amp; $AM98),0)))))</f>
        <v/>
      </c>
      <c r="S98" s="257"/>
      <c r="T98" s="257"/>
      <c r="AI98" s="22">
        <f>MATCH($A98,Table!$A:$A,0)+$AK$2-1</f>
        <v>1284</v>
      </c>
      <c r="AJ98" s="257"/>
      <c r="AK98" s="257"/>
      <c r="AL98" s="257"/>
      <c r="AM98" s="22">
        <f>MATCH($A98,Table!$A:$A,0)+$AO$2-1</f>
        <v>1275</v>
      </c>
      <c r="AN98" s="257"/>
      <c r="AO98" s="257"/>
      <c r="AP98" s="973" t="s">
        <v>302</v>
      </c>
    </row>
    <row r="99" spans="1:42" ht="19.5" customHeight="1" x14ac:dyDescent="0.25">
      <c r="A99" s="4">
        <v>41326</v>
      </c>
      <c r="B99" s="596">
        <f ca="1">IF(ISERROR(MATCH(B$1,INDIRECT("Table!A"&amp;$AM99):INDIRECT("Table!" &amp; $AP$108 &amp; $AM99),0)),"",INDIRECT(CONCATENATE("Table!",ADDRESS($AI99,MATCH(B$1,INDIRECT("Table!A" &amp; $AM99):INDIRECT("Table!" &amp; $AP$108 &amp; $AM99),0)))))</f>
        <v>1.3258277646901293</v>
      </c>
      <c r="C99" s="24">
        <f ca="1">IF(ISERROR(MATCH(C$1,INDIRECT("Table!A"&amp;$AM99):INDIRECT("Table!" &amp; $AP$108 &amp; $AM99),0)),"",INDIRECT(CONCATENATE("Table!",ADDRESS($AI99,MATCH(C$1,INDIRECT("Table!A" &amp; $AM99):INDIRECT("Table!" &amp; $AP$108 &amp; $AM99),0)))))</f>
        <v>0.59524674486000806</v>
      </c>
      <c r="D99" s="24">
        <f ca="1">IF(ISERROR(MATCH(D$1,INDIRECT("Table!A"&amp;$AM99):INDIRECT("Table!" &amp; $AP$108 &amp; $AM99),0)),"",INDIRECT(CONCATENATE("Table!",ADDRESS($AI99,MATCH(D$1,INDIRECT("Table!A" &amp; $AM99):INDIRECT("Table!" &amp; $AP$108 &amp; $AM99),0)))))</f>
        <v>0.59950330795836726</v>
      </c>
      <c r="E99" s="24">
        <f ca="1">IF(ISERROR(MATCH(E$1,INDIRECT("Table!A"&amp;$AM99):INDIRECT("Table!" &amp; $AP$108 &amp; $AM99),0)),"",INDIRECT(CONCATENATE("Table!",ADDRESS($AI99,MATCH(E$1,INDIRECT("Table!A" &amp; $AM99):INDIRECT("Table!" &amp; $AP$108 &amp; $AM99),0)))))</f>
        <v>1.5198269429630467</v>
      </c>
      <c r="F99" s="24">
        <f ca="1">IF(ISERROR(MATCH(F$1,INDIRECT("Table!A"&amp;$AM99):INDIRECT("Table!" &amp; $AP$108 &amp; $AM99),0)),"",INDIRECT(CONCATENATE("Table!",ADDRESS($AI99,MATCH(F$1,INDIRECT("Table!A" &amp; $AM99):INDIRECT("Table!" &amp; $AP$108 &amp; $AM99),0)))))</f>
        <v>1.4327471630830602</v>
      </c>
      <c r="G99" s="24">
        <f ca="1">IF(ISERROR(MATCH(G$1,INDIRECT("Table!A"&amp;$AM99):INDIRECT("Table!" &amp; $AP$108 &amp; $AM99),0)),"",INDIRECT(CONCATENATE("Table!",ADDRESS($AI99,MATCH(G$1,INDIRECT("Table!A" &amp; $AM99):INDIRECT("Table!" &amp; $AP$108 &amp; $AM99),0)))))</f>
        <v>3.4018072836254651</v>
      </c>
      <c r="H99" s="24">
        <f ca="1">IF(ISERROR(MATCH(H$1,INDIRECT("Table!A"&amp;$AM99):INDIRECT("Table!" &amp; $AP$108 &amp; $AM99),0)),"",INDIRECT(CONCATENATE("Table!",ADDRESS($AI99,MATCH(H$1,INDIRECT("Table!A" &amp; $AM99):INDIRECT("Table!" &amp; $AP$108 &amp; $AM99),0)))))</f>
        <v>0.91489815530635821</v>
      </c>
      <c r="I99" s="273" t="str">
        <f ca="1">IF(ISERROR(MATCH(I$1,INDIRECT("Table!A"&amp;$AM99):INDIRECT("Table!" &amp; $AP$108 &amp; $AM99),0)),"",INDIRECT(CONCATENATE("Table!",ADDRESS($AI99,MATCH(I$1,INDIRECT("Table!A" &amp; $AM99):INDIRECT("Table!" &amp; $AP$108 &amp; $AM99),0)))))</f>
        <v/>
      </c>
      <c r="J99" s="273" t="str">
        <f ca="1">IF(ISERROR(MATCH(J$1,INDIRECT("Table!A"&amp;$AM99):INDIRECT("Table!" &amp; $AP$108 &amp; $AM99),0)),"",INDIRECT(CONCATENATE("Table!",ADDRESS($AI99,MATCH(J$1,INDIRECT("Table!A" &amp; $AM99):INDIRECT("Table!" &amp; $AP$108 &amp; $AM99),0)))))</f>
        <v/>
      </c>
      <c r="K99" s="273" t="str">
        <f ca="1">IF(ISERROR(MATCH(K$1,INDIRECT("Table!A"&amp;$AM99):INDIRECT("Table!" &amp; $AP$108 &amp; $AM99),0)),"",INDIRECT(CONCATENATE("Table!",ADDRESS($AI99,MATCH(K$1,INDIRECT("Table!A" &amp; $AM99):INDIRECT("Table!" &amp; $AP$108 &amp; $AM99),0)))))</f>
        <v/>
      </c>
      <c r="L99" s="24">
        <f ca="1">IF(ISERROR(MATCH(L$1,INDIRECT("Table!A"&amp;$AM99):INDIRECT("Table!" &amp; $AP$108 &amp; $AM99),0)),"",INDIRECT(CONCATENATE("Table!",ADDRESS($AI99,MATCH(L$1,INDIRECT("Table!A" &amp; $AM99):INDIRECT("Table!" &amp; $AP$108 &amp; $AM99),0)))))</f>
        <v>1.403114797411761</v>
      </c>
      <c r="M99" s="24">
        <f ca="1">IF(ISERROR(MATCH(M$1,INDIRECT("Table!A"&amp;$AM99):INDIRECT("Table!" &amp; $AP$108 &amp; $AM99),0)),"",INDIRECT(CONCATENATE("Table!",ADDRESS($AI99,MATCH(M$1,INDIRECT("Table!A" &amp; $AM99):INDIRECT("Table!" &amp; $AP$108 &amp; $AM99),0)))))</f>
        <v>2.5055433876072595</v>
      </c>
      <c r="N99" s="24">
        <f ca="1">IF(ISERROR(MATCH(N$1,INDIRECT("Table!A"&amp;$AM99):INDIRECT("Table!" &amp; $AP$108 &amp; $AM99),0)),"",INDIRECT(CONCATENATE("Table!",ADDRESS($AI99,MATCH(N$1,INDIRECT("Table!A" &amp; $AM99):INDIRECT("Table!" &amp; $AP$108 &amp; $AM99),0)))))</f>
        <v>1.502447468338364</v>
      </c>
      <c r="O99" s="24">
        <f ca="1">IF(ISERROR(MATCH(O$1,INDIRECT("Table!A"&amp;$AM99):INDIRECT("Table!" &amp; $AP$108 &amp; $AM99),0)),"",INDIRECT(CONCATENATE("Table!",ADDRESS($AI99,MATCH(O$1,INDIRECT("Table!A" &amp; $AM99):INDIRECT("Table!" &amp; $AP$108 &amp; $AM99),0)))))</f>
        <v>1.4677758216527739</v>
      </c>
      <c r="P99" s="24" t="str">
        <f ca="1">IF(ISERROR(MATCH(P$1,INDIRECT("Table!A"&amp;$AM99):INDIRECT("Table!" &amp; $AP$108 &amp; $AM99),0)),"",INDIRECT(CONCATENATE("Table!",ADDRESS($AI99,MATCH(P$1,INDIRECT("Table!A" &amp; $AM99):INDIRECT("Table!" &amp; $AP$108 &amp; $AM99),0)))))</f>
        <v/>
      </c>
      <c r="Q99" s="273" t="str">
        <f ca="1">IF(ISERROR(MATCH(Q$1,INDIRECT("Table!A"&amp;$AM99):INDIRECT("Table!" &amp; $AP$108 &amp; $AM99),0)),"",INDIRECT(CONCATENATE("Table!",ADDRESS($AI99,MATCH(Q$1,INDIRECT("Table!A" &amp; $AM99):INDIRECT("Table!" &amp; $AP$108 &amp; $AM99),0)))))</f>
        <v/>
      </c>
      <c r="R99" s="273" t="str">
        <f ca="1">IF(ISERROR(MATCH(R$1,INDIRECT("Table!A"&amp;$AM99):INDIRECT("Table!" &amp; $AP$108 &amp; $AM99),0)),"",INDIRECT(CONCATENATE("Table!",ADDRESS($AI99,MATCH(R$1,INDIRECT("Table!A" &amp; $AM99):INDIRECT("Table!" &amp; $AP$108 &amp; $AM99),0)))))</f>
        <v/>
      </c>
      <c r="S99" s="256"/>
      <c r="T99" s="256"/>
      <c r="AI99" s="22">
        <f>MATCH($A99,Table!$A:$A,0)+$AK$2-1</f>
        <v>1296</v>
      </c>
      <c r="AJ99" s="256"/>
      <c r="AK99" s="256"/>
      <c r="AL99" s="256"/>
      <c r="AM99" s="22">
        <f>MATCH($A99,Table!$A:$A,0)+$AO$2-1</f>
        <v>1287</v>
      </c>
      <c r="AN99" s="256"/>
      <c r="AO99" s="256"/>
      <c r="AP99" s="973" t="s">
        <v>302</v>
      </c>
    </row>
    <row r="100" spans="1:42" ht="19.5" customHeight="1" x14ac:dyDescent="0.25">
      <c r="A100" s="4">
        <v>41323</v>
      </c>
      <c r="B100" s="596">
        <f ca="1">IF(ISERROR(MATCH(B$1,INDIRECT("Table!A"&amp;$AM100):INDIRECT("Table!" &amp; $AP$108 &amp; $AM100),0)),"",INDIRECT(CONCATENATE("Table!",ADDRESS($AI100,MATCH(B$1,INDIRECT("Table!A" &amp; $AM100):INDIRECT("Table!" &amp; $AP$108 &amp; $AM100),0)))))</f>
        <v>1.3258277646901293</v>
      </c>
      <c r="C100" s="24">
        <f ca="1">IF(ISERROR(MATCH(C$1,INDIRECT("Table!A"&amp;$AM100):INDIRECT("Table!" &amp; $AP$108 &amp; $AM100),0)),"",INDIRECT(CONCATENATE("Table!",ADDRESS($AI100,MATCH(C$1,INDIRECT("Table!A" &amp; $AM100):INDIRECT("Table!" &amp; $AP$108 &amp; $AM100),0)))))</f>
        <v>0.59524674486000806</v>
      </c>
      <c r="D100" s="24">
        <f ca="1">IF(ISERROR(MATCH(D$1,INDIRECT("Table!A"&amp;$AM100):INDIRECT("Table!" &amp; $AP$108 &amp; $AM100),0)),"",INDIRECT(CONCATENATE("Table!",ADDRESS($AI100,MATCH(D$1,INDIRECT("Table!A" &amp; $AM100):INDIRECT("Table!" &amp; $AP$108 &amp; $AM100),0)))))</f>
        <v>0.59950330795836726</v>
      </c>
      <c r="E100" s="24">
        <f ca="1">IF(ISERROR(MATCH(E$1,INDIRECT("Table!A"&amp;$AM100):INDIRECT("Table!" &amp; $AP$108 &amp; $AM100),0)),"",INDIRECT(CONCATENATE("Table!",ADDRESS($AI100,MATCH(E$1,INDIRECT("Table!A" &amp; $AM100):INDIRECT("Table!" &amp; $AP$108 &amp; $AM100),0)))))</f>
        <v>1.5198269429630467</v>
      </c>
      <c r="F100" s="24">
        <f ca="1">IF(ISERROR(MATCH(F$1,INDIRECT("Table!A"&amp;$AM100):INDIRECT("Table!" &amp; $AP$108 &amp; $AM100),0)),"",INDIRECT(CONCATENATE("Table!",ADDRESS($AI100,MATCH(F$1,INDIRECT("Table!A" &amp; $AM100):INDIRECT("Table!" &amp; $AP$108 &amp; $AM100),0)))))</f>
        <v>1.4327471630830602</v>
      </c>
      <c r="G100" s="24">
        <f ca="1">IF(ISERROR(MATCH(G$1,INDIRECT("Table!A"&amp;$AM100):INDIRECT("Table!" &amp; $AP$108 &amp; $AM100),0)),"",INDIRECT(CONCATENATE("Table!",ADDRESS($AI100,MATCH(G$1,INDIRECT("Table!A" &amp; $AM100):INDIRECT("Table!" &amp; $AP$108 &amp; $AM100),0)))))</f>
        <v>3.4018072836254651</v>
      </c>
      <c r="H100" s="24">
        <f ca="1">IF(ISERROR(MATCH(H$1,INDIRECT("Table!A"&amp;$AM100):INDIRECT("Table!" &amp; $AP$108 &amp; $AM100),0)),"",INDIRECT(CONCATENATE("Table!",ADDRESS($AI100,MATCH(H$1,INDIRECT("Table!A" &amp; $AM100):INDIRECT("Table!" &amp; $AP$108 &amp; $AM100),0)))))</f>
        <v>0.91489815530635821</v>
      </c>
      <c r="I100" s="273" t="str">
        <f ca="1">IF(ISERROR(MATCH(I$1,INDIRECT("Table!A"&amp;$AM100):INDIRECT("Table!" &amp; $AP$108 &amp; $AM100),0)),"",INDIRECT(CONCATENATE("Table!",ADDRESS($AI100,MATCH(I$1,INDIRECT("Table!A" &amp; $AM100):INDIRECT("Table!" &amp; $AP$108 &amp; $AM100),0)))))</f>
        <v/>
      </c>
      <c r="J100" s="273" t="str">
        <f ca="1">IF(ISERROR(MATCH(J$1,INDIRECT("Table!A"&amp;$AM100):INDIRECT("Table!" &amp; $AP$108 &amp; $AM100),0)),"",INDIRECT(CONCATENATE("Table!",ADDRESS($AI100,MATCH(J$1,INDIRECT("Table!A" &amp; $AM100):INDIRECT("Table!" &amp; $AP$108 &amp; $AM100),0)))))</f>
        <v/>
      </c>
      <c r="K100" s="273" t="str">
        <f ca="1">IF(ISERROR(MATCH(K$1,INDIRECT("Table!A"&amp;$AM100):INDIRECT("Table!" &amp; $AP$108 &amp; $AM100),0)),"",INDIRECT(CONCATENATE("Table!",ADDRESS($AI100,MATCH(K$1,INDIRECT("Table!A" &amp; $AM100):INDIRECT("Table!" &amp; $AP$108 &amp; $AM100),0)))))</f>
        <v/>
      </c>
      <c r="L100" s="24">
        <f ca="1">IF(ISERROR(MATCH(L$1,INDIRECT("Table!A"&amp;$AM100):INDIRECT("Table!" &amp; $AP$108 &amp; $AM100),0)),"",INDIRECT(CONCATENATE("Table!",ADDRESS($AI100,MATCH(L$1,INDIRECT("Table!A" &amp; $AM100):INDIRECT("Table!" &amp; $AP$108 &amp; $AM100),0)))))</f>
        <v>1.403114797411761</v>
      </c>
      <c r="M100" s="24">
        <f ca="1">IF(ISERROR(MATCH(M$1,INDIRECT("Table!A"&amp;$AM100):INDIRECT("Table!" &amp; $AP$108 &amp; $AM100),0)),"",INDIRECT(CONCATENATE("Table!",ADDRESS($AI100,MATCH(M$1,INDIRECT("Table!A" &amp; $AM100):INDIRECT("Table!" &amp; $AP$108 &amp; $AM100),0)))))</f>
        <v>2.5055433876072595</v>
      </c>
      <c r="N100" s="24">
        <f ca="1">IF(ISERROR(MATCH(N$1,INDIRECT("Table!A"&amp;$AM100):INDIRECT("Table!" &amp; $AP$108 &amp; $AM100),0)),"",INDIRECT(CONCATENATE("Table!",ADDRESS($AI100,MATCH(N$1,INDIRECT("Table!A" &amp; $AM100):INDIRECT("Table!" &amp; $AP$108 &amp; $AM100),0)))))</f>
        <v>1.502447468338364</v>
      </c>
      <c r="O100" s="24">
        <f ca="1">IF(ISERROR(MATCH(O$1,INDIRECT("Table!A"&amp;$AM100):INDIRECT("Table!" &amp; $AP$108 &amp; $AM100),0)),"",INDIRECT(CONCATENATE("Table!",ADDRESS($AI100,MATCH(O$1,INDIRECT("Table!A" &amp; $AM100):INDIRECT("Table!" &amp; $AP$108 &amp; $AM100),0)))))</f>
        <v>1.4677758216527739</v>
      </c>
      <c r="P100" s="24" t="str">
        <f ca="1">IF(ISERROR(MATCH(P$1,INDIRECT("Table!A"&amp;$AM100):INDIRECT("Table!" &amp; $AP$108 &amp; $AM100),0)),"",INDIRECT(CONCATENATE("Table!",ADDRESS($AI100,MATCH(P$1,INDIRECT("Table!A" &amp; $AM100):INDIRECT("Table!" &amp; $AP$108 &amp; $AM100),0)))))</f>
        <v/>
      </c>
      <c r="Q100" s="273" t="str">
        <f ca="1">IF(ISERROR(MATCH(Q$1,INDIRECT("Table!A"&amp;$AM100):INDIRECT("Table!" &amp; $AP$108 &amp; $AM100),0)),"",INDIRECT(CONCATENATE("Table!",ADDRESS($AI100,MATCH(Q$1,INDIRECT("Table!A" &amp; $AM100):INDIRECT("Table!" &amp; $AP$108 &amp; $AM100),0)))))</f>
        <v/>
      </c>
      <c r="R100" s="273" t="str">
        <f ca="1">IF(ISERROR(MATCH(R$1,INDIRECT("Table!A"&amp;$AM100):INDIRECT("Table!" &amp; $AP$108 &amp; $AM100),0)),"",INDIRECT(CONCATENATE("Table!",ADDRESS($AI100,MATCH(R$1,INDIRECT("Table!A" &amp; $AM100):INDIRECT("Table!" &amp; $AP$108 &amp; $AM100),0)))))</f>
        <v/>
      </c>
      <c r="S100" s="255"/>
      <c r="T100" s="255"/>
      <c r="AI100" s="22">
        <f>MATCH($A100,Table!$A:$A,0)+$AK$2-1</f>
        <v>1308</v>
      </c>
      <c r="AJ100" s="255"/>
      <c r="AK100" s="255"/>
      <c r="AL100" s="255"/>
      <c r="AM100" s="22">
        <f>MATCH($A100,Table!$A:$A,0)+$AO$2-1</f>
        <v>1299</v>
      </c>
      <c r="AN100" s="255"/>
      <c r="AO100" s="255"/>
      <c r="AP100" s="973" t="s">
        <v>302</v>
      </c>
    </row>
    <row r="101" spans="1:42" ht="19.5" customHeight="1" x14ac:dyDescent="0.25">
      <c r="A101" s="4">
        <v>41310</v>
      </c>
      <c r="B101" s="596">
        <f ca="1">IF(ISERROR(MATCH(B$1,INDIRECT("Table!A"&amp;$AM101):INDIRECT("Table!" &amp; $AP$108 &amp; $AM101),0)),"",INDIRECT(CONCATENATE("Table!",ADDRESS($AI101,MATCH(B$1,INDIRECT("Table!A" &amp; $AM101):INDIRECT("Table!" &amp; $AP$108 &amp; $AM101),0)))))</f>
        <v>1.3213597392326777</v>
      </c>
      <c r="C101" s="24">
        <f ca="1">IF(ISERROR(MATCH(C$1,INDIRECT("Table!A"&amp;$AM101):INDIRECT("Table!" &amp; $AP$108 &amp; $AM101),0)),"",INDIRECT(CONCATENATE("Table!",ADDRESS($AI101,MATCH(C$1,INDIRECT("Table!A" &amp; $AM101):INDIRECT("Table!" &amp; $AP$108 &amp; $AM101),0)))))</f>
        <v>0.59883121904809999</v>
      </c>
      <c r="D101" s="24">
        <f ca="1">IF(ISERROR(MATCH(D$1,INDIRECT("Table!A"&amp;$AM101):INDIRECT("Table!" &amp; $AP$108 &amp; $AM101),0)),"",INDIRECT(CONCATENATE("Table!",ADDRESS($AI101,MATCH(D$1,INDIRECT("Table!A" &amp; $AM101):INDIRECT("Table!" &amp; $AP$108 &amp; $AM101),0)))))</f>
        <v>0.60308778214645897</v>
      </c>
      <c r="E101" s="24">
        <f ca="1">IF(ISERROR(MATCH(E$1,INDIRECT("Table!A"&amp;$AM101):INDIRECT("Table!" &amp; $AP$108 &amp; $AM101),0)),"",INDIRECT(CONCATENATE("Table!",ADDRESS($AI101,MATCH(E$1,INDIRECT("Table!A" &amp; $AM101):INDIRECT("Table!" &amp; $AP$108 &amp; $AM101),0)))))</f>
        <v>1.5190858351035013</v>
      </c>
      <c r="F101" s="24">
        <f ca="1">IF(ISERROR(MATCH(F$1,INDIRECT("Table!A"&amp;$AM101):INDIRECT("Table!" &amp; $AP$108 &amp; $AM101),0)),"",INDIRECT(CONCATENATE("Table!",ADDRESS($AI101,MATCH(F$1,INDIRECT("Table!A" &amp; $AM101):INDIRECT("Table!" &amp; $AP$108 &amp; $AM101),0)))))</f>
        <v>1.4327471630830602</v>
      </c>
      <c r="G101" s="24">
        <f ca="1">IF(ISERROR(MATCH(G$1,INDIRECT("Table!A"&amp;$AM101):INDIRECT("Table!" &amp; $AP$108 &amp; $AM101),0)),"",INDIRECT(CONCATENATE("Table!",ADDRESS($AI101,MATCH(G$1,INDIRECT("Table!A" &amp; $AM101):INDIRECT("Table!" &amp; $AP$108 &amp; $AM101),0)))))</f>
        <v>3.3915993097811277</v>
      </c>
      <c r="H101" s="24">
        <f ca="1">IF(ISERROR(MATCH(H$1,INDIRECT("Table!A"&amp;$AM101):INDIRECT("Table!" &amp; $AP$108 &amp; $AM101),0)),"",INDIRECT(CONCATENATE("Table!",ADDRESS($AI101,MATCH(H$1,INDIRECT("Table!A" &amp; $AM101):INDIRECT("Table!" &amp; $AP$108 &amp; $AM101),0)))))</f>
        <v>0.91267483050609965</v>
      </c>
      <c r="I101" s="273" t="str">
        <f ca="1">IF(ISERROR(MATCH(I$1,INDIRECT("Table!A"&amp;$AM101):INDIRECT("Table!" &amp; $AP$108 &amp; $AM101),0)),"",INDIRECT(CONCATENATE("Table!",ADDRESS($AI101,MATCH(I$1,INDIRECT("Table!A" &amp; $AM101):INDIRECT("Table!" &amp; $AP$108 &amp; $AM101),0)))))</f>
        <v/>
      </c>
      <c r="J101" s="273" t="str">
        <f ca="1">IF(ISERROR(MATCH(J$1,INDIRECT("Table!A"&amp;$AM101):INDIRECT("Table!" &amp; $AP$108 &amp; $AM101),0)),"",INDIRECT(CONCATENATE("Table!",ADDRESS($AI101,MATCH(J$1,INDIRECT("Table!A" &amp; $AM101):INDIRECT("Table!" &amp; $AP$108 &amp; $AM101),0)))))</f>
        <v/>
      </c>
      <c r="K101" s="273" t="str">
        <f ca="1">IF(ISERROR(MATCH(K$1,INDIRECT("Table!A"&amp;$AM101):INDIRECT("Table!" &amp; $AP$108 &amp; $AM101),0)),"",INDIRECT(CONCATENATE("Table!",ADDRESS($AI101,MATCH(K$1,INDIRECT("Table!A" &amp; $AM101):INDIRECT("Table!" &amp; $AP$108 &amp; $AM101),0)))))</f>
        <v/>
      </c>
      <c r="L101" s="24">
        <f ca="1">IF(ISERROR(MATCH(L$1,INDIRECT("Table!A"&amp;$AM101):INDIRECT("Table!" &amp; $AP$108 &amp; $AM101),0)),"",INDIRECT(CONCATENATE("Table!",ADDRESS($AI101,MATCH(L$1,INDIRECT("Table!A" &amp; $AM101):INDIRECT("Table!" &amp; $AP$108 &amp; $AM101),0)))))</f>
        <v>1.403114797411761</v>
      </c>
      <c r="M101" s="24">
        <f ca="1">IF(ISERROR(MATCH(M$1,INDIRECT("Table!A"&amp;$AM101):INDIRECT("Table!" &amp; $AP$108 &amp; $AM101),0)),"",INDIRECT(CONCATENATE("Table!",ADDRESS($AI101,MATCH(M$1,INDIRECT("Table!A" &amp; $AM101):INDIRECT("Table!" &amp; $AP$108 &amp; $AM101),0)))))</f>
        <v>2.4927834396157782</v>
      </c>
      <c r="N101" s="24">
        <f ca="1">IF(ISERROR(MATCH(N$1,INDIRECT("Table!A"&amp;$AM101):INDIRECT("Table!" &amp; $AP$108 &amp; $AM101),0)),"",INDIRECT(CONCATENATE("Table!",ADDRESS($AI101,MATCH(N$1,INDIRECT("Table!A" &amp; $AM101):INDIRECT("Table!" &amp; $AP$108 &amp; $AM101),0)))))</f>
        <v>1.502447468338364</v>
      </c>
      <c r="O101" s="24">
        <f ca="1">IF(ISERROR(MATCH(O$1,INDIRECT("Table!A"&amp;$AM101):INDIRECT("Table!" &amp; $AP$108 &amp; $AM101),0)),"",INDIRECT(CONCATENATE("Table!",ADDRESS($AI101,MATCH(O$1,INDIRECT("Table!A" &amp; $AM101):INDIRECT("Table!" &amp; $AP$108 &amp; $AM101),0)))))</f>
        <v>1.4616616812866075</v>
      </c>
      <c r="P101" s="24" t="str">
        <f ca="1">IF(ISERROR(MATCH(P$1,INDIRECT("Table!A"&amp;$AM101):INDIRECT("Table!" &amp; $AP$108 &amp; $AM101),0)),"",INDIRECT(CONCATENATE("Table!",ADDRESS($AI101,MATCH(P$1,INDIRECT("Table!A" &amp; $AM101):INDIRECT("Table!" &amp; $AP$108 &amp; $AM101),0)))))</f>
        <v/>
      </c>
      <c r="Q101" s="273" t="str">
        <f ca="1">IF(ISERROR(MATCH(Q$1,INDIRECT("Table!A"&amp;$AM101):INDIRECT("Table!" &amp; $AP$108 &amp; $AM101),0)),"",INDIRECT(CONCATENATE("Table!",ADDRESS($AI101,MATCH(Q$1,INDIRECT("Table!A" &amp; $AM101):INDIRECT("Table!" &amp; $AP$108 &amp; $AM101),0)))))</f>
        <v/>
      </c>
      <c r="R101" s="273" t="str">
        <f ca="1">IF(ISERROR(MATCH(R$1,INDIRECT("Table!A"&amp;$AM101):INDIRECT("Table!" &amp; $AP$108 &amp; $AM101),0)),"",INDIRECT(CONCATENATE("Table!",ADDRESS($AI101,MATCH(R$1,INDIRECT("Table!A" &amp; $AM101):INDIRECT("Table!" &amp; $AP$108 &amp; $AM101),0)))))</f>
        <v/>
      </c>
      <c r="S101" s="254"/>
      <c r="T101" s="254"/>
      <c r="AI101" s="22">
        <f>MATCH($A101,Table!$A:$A,0)+$AK$2-1</f>
        <v>1320</v>
      </c>
      <c r="AJ101" s="254"/>
      <c r="AK101" s="254"/>
      <c r="AL101" s="254"/>
      <c r="AM101" s="22">
        <f>MATCH($A101,Table!$A:$A,0)+$AO$2-1</f>
        <v>1311</v>
      </c>
      <c r="AN101" s="254"/>
      <c r="AO101" s="254"/>
      <c r="AP101" s="973" t="s">
        <v>302</v>
      </c>
    </row>
    <row r="102" spans="1:42" ht="19.5" customHeight="1" x14ac:dyDescent="0.25">
      <c r="A102" s="4">
        <v>41304</v>
      </c>
      <c r="B102" s="596">
        <f ca="1">IF(ISERROR(MATCH(B$1,INDIRECT("Table!A"&amp;$AM102):INDIRECT("Table!" &amp; $AP$108 &amp; $AM102),0)),"",INDIRECT(CONCATENATE("Table!",ADDRESS($AI102,MATCH(B$1,INDIRECT("Table!A" &amp; $AM102):INDIRECT("Table!" &amp; $AP$108 &amp; $AM102),0)))))</f>
        <v>1.3213597392326777</v>
      </c>
      <c r="C102" s="24">
        <f ca="1">IF(ISERROR(MATCH(C$1,INDIRECT("Table!A"&amp;$AM102):INDIRECT("Table!" &amp; $AP$108 &amp; $AM102),0)),"",INDIRECT(CONCATENATE("Table!",ADDRESS($AI102,MATCH(C$1,INDIRECT("Table!A" &amp; $AM102):INDIRECT("Table!" &amp; $AP$108 &amp; $AM102),0)))))</f>
        <v>0.59815913013783273</v>
      </c>
      <c r="D102" s="24">
        <f ca="1">IF(ISERROR(MATCH(D$1,INDIRECT("Table!A"&amp;$AM102):INDIRECT("Table!" &amp; $AP$108 &amp; $AM102),0)),"",INDIRECT(CONCATENATE("Table!",ADDRESS($AI102,MATCH(D$1,INDIRECT("Table!A" &amp; $AM102):INDIRECT("Table!" &amp; $AP$108 &amp; $AM102),0)))))</f>
        <v>0.60241569323619182</v>
      </c>
      <c r="E102" s="24">
        <f ca="1">IF(ISERROR(MATCH(E$1,INDIRECT("Table!A"&amp;$AM102):INDIRECT("Table!" &amp; $AP$108 &amp; $AM102),0)),"",INDIRECT(CONCATENATE("Table!",ADDRESS($AI102,MATCH(E$1,INDIRECT("Table!A" &amp; $AM102):INDIRECT("Table!" &amp; $AP$108 &amp; $AM102),0)))))</f>
        <v>1.5190858351035013</v>
      </c>
      <c r="F102" s="24">
        <f ca="1">IF(ISERROR(MATCH(F$1,INDIRECT("Table!A"&amp;$AM102):INDIRECT("Table!" &amp; $AP$108 &amp; $AM102),0)),"",INDIRECT(CONCATENATE("Table!",ADDRESS($AI102,MATCH(F$1,INDIRECT("Table!A" &amp; $AM102):INDIRECT("Table!" &amp; $AP$108 &amp; $AM102),0)))))</f>
        <v>1.4294862876052039</v>
      </c>
      <c r="G102" s="24">
        <f ca="1">IF(ISERROR(MATCH(G$1,INDIRECT("Table!A"&amp;$AM102):INDIRECT("Table!" &amp; $AP$108 &amp; $AM102),0)),"",INDIRECT(CONCATENATE("Table!",ADDRESS($AI102,MATCH(G$1,INDIRECT("Table!A" &amp; $AM102):INDIRECT("Table!" &amp; $AP$108 &amp; $AM102),0)))))</f>
        <v>3.3900681137044772</v>
      </c>
      <c r="H102" s="24">
        <f ca="1">IF(ISERROR(MATCH(H$1,INDIRECT("Table!A"&amp;$AM102):INDIRECT("Table!" &amp; $AP$108 &amp; $AM102),0)),"",INDIRECT(CONCATENATE("Table!",ADDRESS($AI102,MATCH(H$1,INDIRECT("Table!A" &amp; $AM102):INDIRECT("Table!" &amp; $AP$108 &amp; $AM102),0)))))</f>
        <v>0.89822321930441984</v>
      </c>
      <c r="I102" s="273" t="str">
        <f ca="1">IF(ISERROR(MATCH(I$1,INDIRECT("Table!A"&amp;$AM102):INDIRECT("Table!" &amp; $AP$108 &amp; $AM102),0)),"",INDIRECT(CONCATENATE("Table!",ADDRESS($AI102,MATCH(I$1,INDIRECT("Table!A" &amp; $AM102):INDIRECT("Table!" &amp; $AP$108 &amp; $AM102),0)))))</f>
        <v/>
      </c>
      <c r="J102" s="273" t="str">
        <f ca="1">IF(ISERROR(MATCH(J$1,INDIRECT("Table!A"&amp;$AM102):INDIRECT("Table!" &amp; $AP$108 &amp; $AM102),0)),"",INDIRECT(CONCATENATE("Table!",ADDRESS($AI102,MATCH(J$1,INDIRECT("Table!A" &amp; $AM102):INDIRECT("Table!" &amp; $AP$108 &amp; $AM102),0)))))</f>
        <v/>
      </c>
      <c r="K102" s="273" t="str">
        <f ca="1">IF(ISERROR(MATCH(K$1,INDIRECT("Table!A"&amp;$AM102):INDIRECT("Table!" &amp; $AP$108 &amp; $AM102),0)),"",INDIRECT(CONCATENATE("Table!",ADDRESS($AI102,MATCH(K$1,INDIRECT("Table!A" &amp; $AM102):INDIRECT("Table!" &amp; $AP$108 &amp; $AM102),0)))))</f>
        <v/>
      </c>
      <c r="L102" s="24">
        <f ca="1">IF(ISERROR(MATCH(L$1,INDIRECT("Table!A"&amp;$AM102):INDIRECT("Table!" &amp; $AP$108 &amp; $AM102),0)),"",INDIRECT(CONCATENATE("Table!",ADDRESS($AI102,MATCH(L$1,INDIRECT("Table!A" &amp; $AM102):INDIRECT("Table!" &amp; $AP$108 &amp; $AM102),0)))))</f>
        <v>1.403114797411761</v>
      </c>
      <c r="M102" s="24">
        <f ca="1">IF(ISERROR(MATCH(M$1,INDIRECT("Table!A"&amp;$AM102):INDIRECT("Table!" &amp; $AP$108 &amp; $AM102),0)),"",INDIRECT(CONCATENATE("Table!",ADDRESS($AI102,MATCH(M$1,INDIRECT("Table!A" &amp; $AM102):INDIRECT("Table!" &amp; $AP$108 &amp; $AM102),0)))))</f>
        <v>2.492273041696119</v>
      </c>
      <c r="N102" s="24">
        <f ca="1">IF(ISERROR(MATCH(N$1,INDIRECT("Table!A"&amp;$AM102):INDIRECT("Table!" &amp; $AP$108 &amp; $AM102),0)),"",INDIRECT(CONCATENATE("Table!",ADDRESS($AI102,MATCH(N$1,INDIRECT("Table!A" &amp; $AM102):INDIRECT("Table!" &amp; $AP$108 &amp; $AM102),0)))))</f>
        <v>1.502447468338364</v>
      </c>
      <c r="O102" s="24">
        <f ca="1">IF(ISERROR(MATCH(O$1,INDIRECT("Table!A"&amp;$AM102):INDIRECT("Table!" &amp; $AP$108 &amp; $AM102),0)),"",INDIRECT(CONCATENATE("Table!",ADDRESS($AI102,MATCH(O$1,INDIRECT("Table!A" &amp; $AM102):INDIRECT("Table!" &amp; $AP$108 &amp; $AM102),0)))))</f>
        <v>1.4299445781371205</v>
      </c>
      <c r="P102" s="24" t="str">
        <f ca="1">IF(ISERROR(MATCH(P$1,INDIRECT("Table!A"&amp;$AM102):INDIRECT("Table!" &amp; $AP$108 &amp; $AM102),0)),"",INDIRECT(CONCATENATE("Table!",ADDRESS($AI102,MATCH(P$1,INDIRECT("Table!A" &amp; $AM102):INDIRECT("Table!" &amp; $AP$108 &amp; $AM102),0)))))</f>
        <v/>
      </c>
      <c r="Q102" s="273" t="str">
        <f ca="1">IF(ISERROR(MATCH(Q$1,INDIRECT("Table!A"&amp;$AM102):INDIRECT("Table!" &amp; $AP$108 &amp; $AM102),0)),"",INDIRECT(CONCATENATE("Table!",ADDRESS($AI102,MATCH(Q$1,INDIRECT("Table!A" &amp; $AM102):INDIRECT("Table!" &amp; $AP$108 &amp; $AM102),0)))))</f>
        <v/>
      </c>
      <c r="R102" s="273" t="str">
        <f ca="1">IF(ISERROR(MATCH(R$1,INDIRECT("Table!A"&amp;$AM102):INDIRECT("Table!" &amp; $AP$108 &amp; $AM102),0)),"",INDIRECT(CONCATENATE("Table!",ADDRESS($AI102,MATCH(R$1,INDIRECT("Table!A" &amp; $AM102):INDIRECT("Table!" &amp; $AP$108 &amp; $AM102),0)))))</f>
        <v/>
      </c>
      <c r="S102" s="248"/>
      <c r="T102" s="248"/>
      <c r="AI102" s="22">
        <f>MATCH($A102,Table!$A:$A,0)+$AK$2-1</f>
        <v>1332</v>
      </c>
      <c r="AJ102" s="248"/>
      <c r="AK102" s="248"/>
      <c r="AL102" s="248"/>
      <c r="AM102" s="22">
        <f>MATCH($A102,Table!$A:$A,0)+$AO$2-1</f>
        <v>1323</v>
      </c>
      <c r="AN102" s="248"/>
      <c r="AO102" s="248"/>
      <c r="AP102" s="973" t="s">
        <v>302</v>
      </c>
    </row>
    <row r="103" spans="1:42" ht="19.5" customHeight="1" x14ac:dyDescent="0.25">
      <c r="A103" s="4">
        <v>41297</v>
      </c>
      <c r="B103" s="596">
        <f ca="1">IF(ISERROR(MATCH(B$1,INDIRECT("Table!A"&amp;$AM103):INDIRECT("Table!" &amp; $AP$108 &amp; $AM103),0)),"",INDIRECT(CONCATENATE("Table!",ADDRESS($AI103,MATCH(B$1,INDIRECT("Table!A" &amp; $AM103):INDIRECT("Table!" &amp; $AP$108 &amp; $AM103),0)))))</f>
        <v>1.3204191022942668</v>
      </c>
      <c r="C103" s="24">
        <f ca="1">IF(ISERROR(MATCH(C$1,INDIRECT("Table!A"&amp;$AM103):INDIRECT("Table!" &amp; $AP$108 &amp; $AM103),0)),"",INDIRECT(CONCATENATE("Table!",ADDRESS($AI103,MATCH(C$1,INDIRECT("Table!A" &amp; $AM103):INDIRECT("Table!" &amp; $AP$108 &amp; $AM103),0)))))</f>
        <v>0.59547077449676378</v>
      </c>
      <c r="D103" s="24">
        <f ca="1">IF(ISERROR(MATCH(D$1,INDIRECT("Table!A"&amp;$AM103):INDIRECT("Table!" &amp; $AP$108 &amp; $AM103),0)),"",INDIRECT(CONCATENATE("Table!",ADDRESS($AI103,MATCH(D$1,INDIRECT("Table!A" &amp; $AM103):INDIRECT("Table!" &amp; $AP$108 &amp; $AM103),0)))))</f>
        <v>0.59972733759512298</v>
      </c>
      <c r="E103" s="24">
        <f ca="1">IF(ISERROR(MATCH(E$1,INDIRECT("Table!A"&amp;$AM103):INDIRECT("Table!" &amp; $AP$108 &amp; $AM103),0)),"",INDIRECT(CONCATENATE("Table!",ADDRESS($AI103,MATCH(E$1,INDIRECT("Table!A" &amp; $AM103):INDIRECT("Table!" &amp; $AP$108 &amp; $AM103),0)))))</f>
        <v>1.5190858351035013</v>
      </c>
      <c r="F103" s="24">
        <f ca="1">IF(ISERROR(MATCH(F$1,INDIRECT("Table!A"&amp;$AM103):INDIRECT("Table!" &amp; $AP$108 &amp; $AM103),0)),"",INDIRECT(CONCATENATE("Table!",ADDRESS($AI103,MATCH(F$1,INDIRECT("Table!A" &amp; $AM103):INDIRECT("Table!" &amp; $AP$108 &amp; $AM103),0)))))</f>
        <v>1.4294862876052039</v>
      </c>
      <c r="G103" s="24">
        <f ca="1">IF(ISERROR(MATCH(G$1,INDIRECT("Table!A"&amp;$AM103):INDIRECT("Table!" &amp; $AP$108 &amp; $AM103),0)),"",INDIRECT(CONCATENATE("Table!",ADDRESS($AI103,MATCH(G$1,INDIRECT("Table!A" &amp; $AM103):INDIRECT("Table!" &amp; $AP$108 &amp; $AM103),0)))))</f>
        <v>3.3849641267823083</v>
      </c>
      <c r="H103" s="24">
        <f ca="1">IF(ISERROR(MATCH(H$1,INDIRECT("Table!A"&amp;$AM103):INDIRECT("Table!" &amp; $AP$108 &amp; $AM103),0)),"",INDIRECT(CONCATENATE("Table!",ADDRESS($AI103,MATCH(H$1,INDIRECT("Table!A" &amp; $AM103):INDIRECT("Table!" &amp; $AP$108 &amp; $AM103),0)))))</f>
        <v>0.84486342409821646</v>
      </c>
      <c r="I103" s="273" t="str">
        <f ca="1">IF(ISERROR(MATCH(I$1,INDIRECT("Table!A"&amp;$AM103):INDIRECT("Table!" &amp; $AP$108 &amp; $AM103),0)),"",INDIRECT(CONCATENATE("Table!",ADDRESS($AI103,MATCH(I$1,INDIRECT("Table!A" &amp; $AM103):INDIRECT("Table!" &amp; $AP$108 &amp; $AM103),0)))))</f>
        <v/>
      </c>
      <c r="J103" s="273" t="str">
        <f ca="1">IF(ISERROR(MATCH(J$1,INDIRECT("Table!A"&amp;$AM103):INDIRECT("Table!" &amp; $AP$108 &amp; $AM103),0)),"",INDIRECT(CONCATENATE("Table!",ADDRESS($AI103,MATCH(J$1,INDIRECT("Table!A" &amp; $AM103):INDIRECT("Table!" &amp; $AP$108 &amp; $AM103),0)))))</f>
        <v/>
      </c>
      <c r="K103" s="273" t="str">
        <f ca="1">IF(ISERROR(MATCH(K$1,INDIRECT("Table!A"&amp;$AM103):INDIRECT("Table!" &amp; $AP$108 &amp; $AM103),0)),"",INDIRECT(CONCATENATE("Table!",ADDRESS($AI103,MATCH(K$1,INDIRECT("Table!A" &amp; $AM103):INDIRECT("Table!" &amp; $AP$108 &amp; $AM103),0)))))</f>
        <v/>
      </c>
      <c r="L103" s="24">
        <f ca="1">IF(ISERROR(MATCH(L$1,INDIRECT("Table!A"&amp;$AM103):INDIRECT("Table!" &amp; $AP$108 &amp; $AM103),0)),"",INDIRECT(CONCATENATE("Table!",ADDRESS($AI103,MATCH(L$1,INDIRECT("Table!A" &amp; $AM103):INDIRECT("Table!" &amp; $AP$108 &amp; $AM103),0)))))</f>
        <v>1.3863445010283535</v>
      </c>
      <c r="M103" s="24">
        <f ca="1">IF(ISERROR(MATCH(M$1,INDIRECT("Table!A"&amp;$AM103):INDIRECT("Table!" &amp; $AP$108 &amp; $AM103),0)),"",INDIRECT(CONCATENATE("Table!",ADDRESS($AI103,MATCH(M$1,INDIRECT("Table!A" &amp; $AM103):INDIRECT("Table!" &amp; $AP$108 &amp; $AM103),0)))))</f>
        <v>2.4792578947448085</v>
      </c>
      <c r="N103" s="24">
        <f ca="1">IF(ISERROR(MATCH(N$1,INDIRECT("Table!A"&amp;$AM103):INDIRECT("Table!" &amp; $AP$108 &amp; $AM103),0)),"",INDIRECT(CONCATENATE("Table!",ADDRESS($AI103,MATCH(N$1,INDIRECT("Table!A" &amp; $AM103):INDIRECT("Table!" &amp; $AP$108 &amp; $AM103),0)))))</f>
        <v>1.502447468338364</v>
      </c>
      <c r="O103" s="24">
        <f ca="1">IF(ISERROR(MATCH(O$1,INDIRECT("Table!A"&amp;$AM103):INDIRECT("Table!" &amp; $AP$108 &amp; $AM103),0)),"",INDIRECT(CONCATENATE("Table!",ADDRESS($AI103,MATCH(O$1,INDIRECT("Table!A" &amp; $AM103):INDIRECT("Table!" &amp; $AP$108 &amp; $AM103),0)))))</f>
        <v>1.2835873431220168</v>
      </c>
      <c r="P103" s="24" t="str">
        <f ca="1">IF(ISERROR(MATCH(P$1,INDIRECT("Table!A"&amp;$AM103):INDIRECT("Table!" &amp; $AP$108 &amp; $AM103),0)),"",INDIRECT(CONCATENATE("Table!",ADDRESS($AI103,MATCH(P$1,INDIRECT("Table!A" &amp; $AM103):INDIRECT("Table!" &amp; $AP$108 &amp; $AM103),0)))))</f>
        <v/>
      </c>
      <c r="Q103" s="273" t="str">
        <f ca="1">IF(ISERROR(MATCH(Q$1,INDIRECT("Table!A"&amp;$AM103):INDIRECT("Table!" &amp; $AP$108 &amp; $AM103),0)),"",INDIRECT(CONCATENATE("Table!",ADDRESS($AI103,MATCH(Q$1,INDIRECT("Table!A" &amp; $AM103):INDIRECT("Table!" &amp; $AP$108 &amp; $AM103),0)))))</f>
        <v/>
      </c>
      <c r="R103" s="273" t="str">
        <f ca="1">IF(ISERROR(MATCH(R$1,INDIRECT("Table!A"&amp;$AM103):INDIRECT("Table!" &amp; $AP$108 &amp; $AM103),0)),"",INDIRECT(CONCATENATE("Table!",ADDRESS($AI103,MATCH(R$1,INDIRECT("Table!A" &amp; $AM103):INDIRECT("Table!" &amp; $AP$108 &amp; $AM103),0)))))</f>
        <v/>
      </c>
      <c r="S103" s="252"/>
      <c r="T103" s="252"/>
      <c r="AI103" s="22">
        <f>MATCH($A103,Table!$A:$A,0)+$AK$2-1</f>
        <v>1344</v>
      </c>
      <c r="AJ103" s="252"/>
      <c r="AK103" s="252"/>
      <c r="AL103" s="252"/>
      <c r="AM103" s="22">
        <f>MATCH($A103,Table!$A:$A,0)+$AO$2-1</f>
        <v>1335</v>
      </c>
      <c r="AN103" s="252"/>
      <c r="AO103" s="252"/>
      <c r="AP103" s="973" t="s">
        <v>302</v>
      </c>
    </row>
    <row r="104" spans="1:42" ht="19.5" customHeight="1" x14ac:dyDescent="0.25">
      <c r="A104" s="4">
        <v>41296</v>
      </c>
      <c r="B104" s="596">
        <f ca="1">IF(ISERROR(MATCH(B$1,INDIRECT("Table!A"&amp;$AM104):INDIRECT("Table!" &amp; $AP$108 &amp; $AM104),0)),"",INDIRECT(CONCATENATE("Table!",ADDRESS($AI104,MATCH(B$1,INDIRECT("Table!A" &amp; $AM104):INDIRECT("Table!" &amp; $AP$108 &amp; $AM104),0)))))</f>
        <v>1.3204191022942668</v>
      </c>
      <c r="C104" s="24">
        <f ca="1">IF(ISERROR(MATCH(C$1,INDIRECT("Table!A"&amp;$AM104):INDIRECT("Table!" &amp; $AP$108 &amp; $AM104),0)),"",INDIRECT(CONCATENATE("Table!",ADDRESS($AI104,MATCH(C$1,INDIRECT("Table!A" &amp; $AM104):INDIRECT("Table!" &amp; $AP$108 &amp; $AM104),0)))))</f>
        <v>0.59547077449676378</v>
      </c>
      <c r="D104" s="24">
        <f ca="1">IF(ISERROR(MATCH(D$1,INDIRECT("Table!A"&amp;$AM104):INDIRECT("Table!" &amp; $AP$108 &amp; $AM104),0)),"",INDIRECT(CONCATENATE("Table!",ADDRESS($AI104,MATCH(D$1,INDIRECT("Table!A" &amp; $AM104):INDIRECT("Table!" &amp; $AP$108 &amp; $AM104),0)))))</f>
        <v>0.59972733759512298</v>
      </c>
      <c r="E104" s="24">
        <f ca="1">IF(ISERROR(MATCH(E$1,INDIRECT("Table!A"&amp;$AM104):INDIRECT("Table!" &amp; $AP$108 &amp; $AM104),0)),"",INDIRECT(CONCATENATE("Table!",ADDRESS($AI104,MATCH(E$1,INDIRECT("Table!A" &amp; $AM104):INDIRECT("Table!" &amp; $AP$108 &amp; $AM104),0)))))</f>
        <v>1.5190858351035013</v>
      </c>
      <c r="F104" s="24">
        <f ca="1">IF(ISERROR(MATCH(F$1,INDIRECT("Table!A"&amp;$AM104):INDIRECT("Table!" &amp; $AP$108 &amp; $AM104),0)),"",INDIRECT(CONCATENATE("Table!",ADDRESS($AI104,MATCH(F$1,INDIRECT("Table!A" &amp; $AM104):INDIRECT("Table!" &amp; $AP$108 &amp; $AM104),0)))))</f>
        <v>1.4294862876052039</v>
      </c>
      <c r="G104" s="24">
        <f ca="1">IF(ISERROR(MATCH(G$1,INDIRECT("Table!A"&amp;$AM104):INDIRECT("Table!" &amp; $AP$108 &amp; $AM104),0)),"",INDIRECT(CONCATENATE("Table!",ADDRESS($AI104,MATCH(G$1,INDIRECT("Table!A" &amp; $AM104):INDIRECT("Table!" &amp; $AP$108 &amp; $AM104),0)))))</f>
        <v>3.3849641267823083</v>
      </c>
      <c r="H104" s="24">
        <f ca="1">IF(ISERROR(MATCH(H$1,INDIRECT("Table!A"&amp;$AM104):INDIRECT("Table!" &amp; $AP$108 &amp; $AM104),0)),"",INDIRECT(CONCATENATE("Table!",ADDRESS($AI104,MATCH(H$1,INDIRECT("Table!A" &amp; $AM104):INDIRECT("Table!" &amp; $AP$108 &amp; $AM104),0)))))</f>
        <v>0.84486342409821646</v>
      </c>
      <c r="I104" s="273" t="str">
        <f ca="1">IF(ISERROR(MATCH(I$1,INDIRECT("Table!A"&amp;$AM104):INDIRECT("Table!" &amp; $AP$108 &amp; $AM104),0)),"",INDIRECT(CONCATENATE("Table!",ADDRESS($AI104,MATCH(I$1,INDIRECT("Table!A" &amp; $AM104):INDIRECT("Table!" &amp; $AP$108 &amp; $AM104),0)))))</f>
        <v/>
      </c>
      <c r="J104" s="273" t="str">
        <f ca="1">IF(ISERROR(MATCH(J$1,INDIRECT("Table!A"&amp;$AM104):INDIRECT("Table!" &amp; $AP$108 &amp; $AM104),0)),"",INDIRECT(CONCATENATE("Table!",ADDRESS($AI104,MATCH(J$1,INDIRECT("Table!A" &amp; $AM104):INDIRECT("Table!" &amp; $AP$108 &amp; $AM104),0)))))</f>
        <v/>
      </c>
      <c r="K104" s="273" t="str">
        <f ca="1">IF(ISERROR(MATCH(K$1,INDIRECT("Table!A"&amp;$AM104):INDIRECT("Table!" &amp; $AP$108 &amp; $AM104),0)),"",INDIRECT(CONCATENATE("Table!",ADDRESS($AI104,MATCH(K$1,INDIRECT("Table!A" &amp; $AM104):INDIRECT("Table!" &amp; $AP$108 &amp; $AM104),0)))))</f>
        <v/>
      </c>
      <c r="L104" s="24">
        <f ca="1">IF(ISERROR(MATCH(L$1,INDIRECT("Table!A"&amp;$AM104):INDIRECT("Table!" &amp; $AP$108 &amp; $AM104),0)),"",INDIRECT(CONCATENATE("Table!",ADDRESS($AI104,MATCH(L$1,INDIRECT("Table!A" &amp; $AM104):INDIRECT("Table!" &amp; $AP$108 &amp; $AM104),0)))))</f>
        <v>1.3863445010283535</v>
      </c>
      <c r="M104" s="24">
        <f ca="1">IF(ISERROR(MATCH(M$1,INDIRECT("Table!A"&amp;$AM104):INDIRECT("Table!" &amp; $AP$108 &amp; $AM104),0)),"",INDIRECT(CONCATENATE("Table!",ADDRESS($AI104,MATCH(M$1,INDIRECT("Table!A" &amp; $AM104):INDIRECT("Table!" &amp; $AP$108 &amp; $AM104),0)))))</f>
        <v>2.4386812601318981</v>
      </c>
      <c r="N104" s="24">
        <f ca="1">IF(ISERROR(MATCH(N$1,INDIRECT("Table!A"&amp;$AM104):INDIRECT("Table!" &amp; $AP$108 &amp; $AM104),0)),"",INDIRECT(CONCATENATE("Table!",ADDRESS($AI104,MATCH(N$1,INDIRECT("Table!A" &amp; $AM104):INDIRECT("Table!" &amp; $AP$108 &amp; $AM104),0)))))</f>
        <v>1.502447468338364</v>
      </c>
      <c r="O104" s="24">
        <f ca="1">IF(ISERROR(MATCH(O$1,INDIRECT("Table!A"&amp;$AM104):INDIRECT("Table!" &amp; $AP$108 &amp; $AM104),0)),"",INDIRECT(CONCATENATE("Table!",ADDRESS($AI104,MATCH(O$1,INDIRECT("Table!A" &amp; $AM104):INDIRECT("Table!" &amp; $AP$108 &amp; $AM104),0)))))</f>
        <v>1.2835873431220168</v>
      </c>
      <c r="P104" s="24" t="str">
        <f ca="1">IF(ISERROR(MATCH(P$1,INDIRECT("Table!A"&amp;$AM104):INDIRECT("Table!" &amp; $AP$108 &amp; $AM104),0)),"",INDIRECT(CONCATENATE("Table!",ADDRESS($AI104,MATCH(P$1,INDIRECT("Table!A" &amp; $AM104):INDIRECT("Table!" &amp; $AP$108 &amp; $AM104),0)))))</f>
        <v/>
      </c>
      <c r="Q104" s="273" t="str">
        <f ca="1">IF(ISERROR(MATCH(Q$1,INDIRECT("Table!A"&amp;$AM104):INDIRECT("Table!" &amp; $AP$108 &amp; $AM104),0)),"",INDIRECT(CONCATENATE("Table!",ADDRESS($AI104,MATCH(Q$1,INDIRECT("Table!A" &amp; $AM104):INDIRECT("Table!" &amp; $AP$108 &amp; $AM104),0)))))</f>
        <v/>
      </c>
      <c r="R104" s="273" t="str">
        <f ca="1">IF(ISERROR(MATCH(R$1,INDIRECT("Table!A"&amp;$AM104):INDIRECT("Table!" &amp; $AP$108 &amp; $AM104),0)),"",INDIRECT(CONCATENATE("Table!",ADDRESS($AI104,MATCH(R$1,INDIRECT("Table!A" &amp; $AM104):INDIRECT("Table!" &amp; $AP$108 &amp; $AM104),0)))))</f>
        <v/>
      </c>
      <c r="S104" s="247"/>
      <c r="T104" s="247"/>
      <c r="AI104" s="22">
        <f>MATCH($A104,Table!$A:$A,0)+$AK$2-1</f>
        <v>1356</v>
      </c>
      <c r="AJ104" s="247"/>
      <c r="AK104" s="247"/>
      <c r="AL104" s="247"/>
      <c r="AM104" s="22">
        <f>MATCH($A104,Table!$A:$A,0)+$AO$2-1</f>
        <v>1347</v>
      </c>
      <c r="AN104" s="247"/>
      <c r="AO104" s="247"/>
      <c r="AP104" s="973" t="s">
        <v>302</v>
      </c>
    </row>
    <row r="105" spans="1:42" ht="19.5" customHeight="1" x14ac:dyDescent="0.25">
      <c r="A105" s="4">
        <v>41292</v>
      </c>
      <c r="B105" s="596">
        <f ca="1">IF(ISERROR(MATCH(B$1,INDIRECT("Table!A"&amp;$AM105):INDIRECT("Table!" &amp; $AP$108 &amp; $AM105),0)),"",INDIRECT(CONCATENATE("Table!",ADDRESS($AI105,MATCH(B$1,INDIRECT("Table!A" &amp; $AM105):INDIRECT("Table!" &amp; $AP$108 &amp; $AM105),0)))))</f>
        <v>1.3215948984672805</v>
      </c>
      <c r="C105" s="24">
        <f ca="1">IF(ISERROR(MATCH(C$1,INDIRECT("Table!A"&amp;$AM105):INDIRECT("Table!" &amp; $AP$108 &amp; $AM105),0)),"",INDIRECT(CONCATENATE("Table!",ADDRESS($AI105,MATCH(C$1,INDIRECT("Table!A" &amp; $AM105):INDIRECT("Table!" &amp; $AP$108 &amp; $AM105),0)))))</f>
        <v>0.60062345614214585</v>
      </c>
      <c r="D105" s="24">
        <f ca="1">IF(ISERROR(MATCH(D$1,INDIRECT("Table!A"&amp;$AM105):INDIRECT("Table!" &amp; $AP$108 &amp; $AM105),0)),"",INDIRECT(CONCATENATE("Table!",ADDRESS($AI105,MATCH(D$1,INDIRECT("Table!A" &amp; $AM105):INDIRECT("Table!" &amp; $AP$108 &amp; $AM105),0)))))</f>
        <v>0.60488001924050505</v>
      </c>
      <c r="E105" s="24">
        <f ca="1">IF(ISERROR(MATCH(E$1,INDIRECT("Table!A"&amp;$AM105):INDIRECT("Table!" &amp; $AP$108 &amp; $AM105),0)),"",INDIRECT(CONCATENATE("Table!",ADDRESS($AI105,MATCH(E$1,INDIRECT("Table!A" &amp; $AM105):INDIRECT("Table!" &amp; $AP$108 &amp; $AM105),0)))))</f>
        <v>1.5190858351035013</v>
      </c>
      <c r="F105" s="24">
        <f ca="1">IF(ISERROR(MATCH(F$1,INDIRECT("Table!A"&amp;$AM105):INDIRECT("Table!" &amp; $AP$108 &amp; $AM105),0)),"",INDIRECT(CONCATENATE("Table!",ADDRESS($AI105,MATCH(F$1,INDIRECT("Table!A" &amp; $AM105):INDIRECT("Table!" &amp; $AP$108 &amp; $AM105),0)))))</f>
        <v>1.4294862876052039</v>
      </c>
      <c r="G105" s="24">
        <f ca="1">IF(ISERROR(MATCH(G$1,INDIRECT("Table!A"&amp;$AM105):INDIRECT("Table!" &amp; $AP$108 &amp; $AM105),0)),"",INDIRECT(CONCATENATE("Table!",ADDRESS($AI105,MATCH(G$1,INDIRECT("Table!A" &amp; $AM105):INDIRECT("Table!" &amp; $AP$108 &amp; $AM105),0)))))</f>
        <v>3.3849641267823083</v>
      </c>
      <c r="H105" s="24">
        <f ca="1">IF(ISERROR(MATCH(H$1,INDIRECT("Table!A"&amp;$AM105):INDIRECT("Table!" &amp; $AP$108 &amp; $AM105),0)),"",INDIRECT(CONCATENATE("Table!",ADDRESS($AI105,MATCH(H$1,INDIRECT("Table!A" &amp; $AM105):INDIRECT("Table!" &amp; $AP$108 &amp; $AM105),0)))))</f>
        <v>0.84486342409821646</v>
      </c>
      <c r="I105" s="273" t="str">
        <f ca="1">IF(ISERROR(MATCH(I$1,INDIRECT("Table!A"&amp;$AM105):INDIRECT("Table!" &amp; $AP$108 &amp; $AM105),0)),"",INDIRECT(CONCATENATE("Table!",ADDRESS($AI105,MATCH(I$1,INDIRECT("Table!A" &amp; $AM105):INDIRECT("Table!" &amp; $AP$108 &amp; $AM105),0)))))</f>
        <v/>
      </c>
      <c r="J105" s="273" t="str">
        <f ca="1">IF(ISERROR(MATCH(J$1,INDIRECT("Table!A"&amp;$AM105):INDIRECT("Table!" &amp; $AP$108 &amp; $AM105),0)),"",INDIRECT(CONCATENATE("Table!",ADDRESS($AI105,MATCH(J$1,INDIRECT("Table!A" &amp; $AM105):INDIRECT("Table!" &amp; $AP$108 &amp; $AM105),0)))))</f>
        <v/>
      </c>
      <c r="K105" s="273" t="str">
        <f ca="1">IF(ISERROR(MATCH(K$1,INDIRECT("Table!A"&amp;$AM105):INDIRECT("Table!" &amp; $AP$108 &amp; $AM105),0)),"",INDIRECT(CONCATENATE("Table!",ADDRESS($AI105,MATCH(K$1,INDIRECT("Table!A" &amp; $AM105):INDIRECT("Table!" &amp; $AP$108 &amp; $AM105),0)))))</f>
        <v/>
      </c>
      <c r="L105" s="24">
        <f ca="1">IF(ISERROR(MATCH(L$1,INDIRECT("Table!A"&amp;$AM105):INDIRECT("Table!" &amp; $AP$108 &amp; $AM105),0)),"",INDIRECT(CONCATENATE("Table!",ADDRESS($AI105,MATCH(L$1,INDIRECT("Table!A" &amp; $AM105):INDIRECT("Table!" &amp; $AP$108 &amp; $AM105),0)))))</f>
        <v>1.3863445010283535</v>
      </c>
      <c r="M105" s="24">
        <f ca="1">IF(ISERROR(MATCH(M$1,INDIRECT("Table!A"&amp;$AM105):INDIRECT("Table!" &amp; $AP$108 &amp; $AM105),0)),"",INDIRECT(CONCATENATE("Table!",ADDRESS($AI105,MATCH(M$1,INDIRECT("Table!A" &amp; $AM105):INDIRECT("Table!" &amp; $AP$108 &amp; $AM105),0)))))</f>
        <v>2.4386812601318981</v>
      </c>
      <c r="N105" s="24">
        <f ca="1">IF(ISERROR(MATCH(N$1,INDIRECT("Table!A"&amp;$AM105):INDIRECT("Table!" &amp; $AP$108 &amp; $AM105),0)),"",INDIRECT(CONCATENATE("Table!",ADDRESS($AI105,MATCH(N$1,INDIRECT("Table!A" &amp; $AM105):INDIRECT("Table!" &amp; $AP$108 &amp; $AM105),0)))))</f>
        <v>1.502447468338364</v>
      </c>
      <c r="O105" s="24">
        <f ca="1">IF(ISERROR(MATCH(O$1,INDIRECT("Table!A"&amp;$AM105):INDIRECT("Table!" &amp; $AP$108 &amp; $AM105),0)),"",INDIRECT(CONCATENATE("Table!",ADDRESS($AI105,MATCH(O$1,INDIRECT("Table!A" &amp; $AM105):INDIRECT("Table!" &amp; $AP$108 &amp; $AM105),0)))))</f>
        <v>1.2835873431220168</v>
      </c>
      <c r="P105" s="24" t="str">
        <f ca="1">IF(ISERROR(MATCH(P$1,INDIRECT("Table!A"&amp;$AM105):INDIRECT("Table!" &amp; $AP$108 &amp; $AM105),0)),"",INDIRECT(CONCATENATE("Table!",ADDRESS($AI105,MATCH(P$1,INDIRECT("Table!A" &amp; $AM105):INDIRECT("Table!" &amp; $AP$108 &amp; $AM105),0)))))</f>
        <v/>
      </c>
      <c r="Q105" s="273" t="str">
        <f ca="1">IF(ISERROR(MATCH(Q$1,INDIRECT("Table!A"&amp;$AM105):INDIRECT("Table!" &amp; $AP$108 &amp; $AM105),0)),"",INDIRECT(CONCATENATE("Table!",ADDRESS($AI105,MATCH(Q$1,INDIRECT("Table!A" &amp; $AM105):INDIRECT("Table!" &amp; $AP$108 &amp; $AM105),0)))))</f>
        <v/>
      </c>
      <c r="R105" s="273" t="str">
        <f ca="1">IF(ISERROR(MATCH(R$1,INDIRECT("Table!A"&amp;$AM105):INDIRECT("Table!" &amp; $AP$108 &amp; $AM105),0)),"",INDIRECT(CONCATENATE("Table!",ADDRESS($AI105,MATCH(R$1,INDIRECT("Table!A" &amp; $AM105):INDIRECT("Table!" &amp; $AP$108 &amp; $AM105),0)))))</f>
        <v/>
      </c>
      <c r="S105" s="246"/>
      <c r="T105" s="246"/>
      <c r="AI105" s="22">
        <f>MATCH($A105,Table!$A:$A,0)+$AK$2-1</f>
        <v>1368</v>
      </c>
      <c r="AJ105" s="246"/>
      <c r="AK105" s="246"/>
      <c r="AL105" s="246"/>
      <c r="AM105" s="22">
        <f>MATCH($A105,Table!$A:$A,0)+$AO$2-1</f>
        <v>1359</v>
      </c>
      <c r="AN105" s="246"/>
      <c r="AO105" s="246"/>
      <c r="AP105" s="973" t="s">
        <v>302</v>
      </c>
    </row>
    <row r="106" spans="1:42" ht="19.5" customHeight="1" x14ac:dyDescent="0.25">
      <c r="A106" s="4">
        <v>41289</v>
      </c>
      <c r="B106" s="596">
        <f ca="1">IF(ISERROR(MATCH(B$1,INDIRECT("Table!A"&amp;$AM106):INDIRECT("Table!" &amp; $AP$108 &amp; $AM106),0)),"",INDIRECT(CONCATENATE("Table!",ADDRESS($AI106,MATCH(B$1,INDIRECT("Table!A" &amp; $AM106):INDIRECT("Table!" &amp; $AP$108 &amp; $AM106),0)))))</f>
        <v>1.3215948984672805</v>
      </c>
      <c r="C106" s="24">
        <f ca="1">IF(ISERROR(MATCH(C$1,INDIRECT("Table!A"&amp;$AM106):INDIRECT("Table!" &amp; $AP$108 &amp; $AM106),0)),"",INDIRECT(CONCATENATE("Table!",ADDRESS($AI106,MATCH(C$1,INDIRECT("Table!A" &amp; $AM106):INDIRECT("Table!" &amp; $AP$108 &amp; $AM106),0)))))</f>
        <v>0.60062345614214585</v>
      </c>
      <c r="D106" s="24">
        <f ca="1">IF(ISERROR(MATCH(D$1,INDIRECT("Table!A"&amp;$AM106):INDIRECT("Table!" &amp; $AP$108 &amp; $AM106),0)),"",INDIRECT(CONCATENATE("Table!",ADDRESS($AI106,MATCH(D$1,INDIRECT("Table!A" &amp; $AM106):INDIRECT("Table!" &amp; $AP$108 &amp; $AM106),0)))))</f>
        <v>0.60488001924050505</v>
      </c>
      <c r="E106" s="24">
        <f ca="1">IF(ISERROR(MATCH(E$1,INDIRECT("Table!A"&amp;$AM106):INDIRECT("Table!" &amp; $AP$108 &amp; $AM106),0)),"",INDIRECT(CONCATENATE("Table!",ADDRESS($AI106,MATCH(E$1,INDIRECT("Table!A" &amp; $AM106):INDIRECT("Table!" &amp; $AP$108 &amp; $AM106),0)))))</f>
        <v>1.5190858351035013</v>
      </c>
      <c r="F106" s="24">
        <f ca="1">IF(ISERROR(MATCH(F$1,INDIRECT("Table!A"&amp;$AM106):INDIRECT("Table!" &amp; $AP$108 &amp; $AM106),0)),"",INDIRECT(CONCATENATE("Table!",ADDRESS($AI106,MATCH(F$1,INDIRECT("Table!A" &amp; $AM106):INDIRECT("Table!" &amp; $AP$108 &amp; $AM106),0)))))</f>
        <v>1.4294862876052039</v>
      </c>
      <c r="G106" s="24">
        <f ca="1">IF(ISERROR(MATCH(G$1,INDIRECT("Table!A"&amp;$AM106):INDIRECT("Table!" &amp; $AP$108 &amp; $AM106),0)),"",INDIRECT(CONCATENATE("Table!",ADDRESS($AI106,MATCH(G$1,INDIRECT("Table!A" &amp; $AM106):INDIRECT("Table!" &amp; $AP$108 &amp; $AM106),0)))))</f>
        <v>3.3849641267823083</v>
      </c>
      <c r="H106" s="24">
        <f ca="1">IF(ISERROR(MATCH(H$1,INDIRECT("Table!A"&amp;$AM106):INDIRECT("Table!" &amp; $AP$108 &amp; $AM106),0)),"",INDIRECT(CONCATENATE("Table!",ADDRESS($AI106,MATCH(H$1,INDIRECT("Table!A" &amp; $AM106):INDIRECT("Table!" &amp; $AP$108 &amp; $AM106),0)))))</f>
        <v>0.84486342409821646</v>
      </c>
      <c r="I106" s="273" t="str">
        <f ca="1">IF(ISERROR(MATCH(I$1,INDIRECT("Table!A"&amp;$AM106):INDIRECT("Table!" &amp; $AP$108 &amp; $AM106),0)),"",INDIRECT(CONCATENATE("Table!",ADDRESS($AI106,MATCH(I$1,INDIRECT("Table!A" &amp; $AM106):INDIRECT("Table!" &amp; $AP$108 &amp; $AM106),0)))))</f>
        <v/>
      </c>
      <c r="J106" s="273" t="str">
        <f ca="1">IF(ISERROR(MATCH(J$1,INDIRECT("Table!A"&amp;$AM106):INDIRECT("Table!" &amp; $AP$108 &amp; $AM106),0)),"",INDIRECT(CONCATENATE("Table!",ADDRESS($AI106,MATCH(J$1,INDIRECT("Table!A" &amp; $AM106):INDIRECT("Table!" &amp; $AP$108 &amp; $AM106),0)))))</f>
        <v/>
      </c>
      <c r="K106" s="273" t="str">
        <f ca="1">IF(ISERROR(MATCH(K$1,INDIRECT("Table!A"&amp;$AM106):INDIRECT("Table!" &amp; $AP$108 &amp; $AM106),0)),"",INDIRECT(CONCATENATE("Table!",ADDRESS($AI106,MATCH(K$1,INDIRECT("Table!A" &amp; $AM106):INDIRECT("Table!" &amp; $AP$108 &amp; $AM106),0)))))</f>
        <v/>
      </c>
      <c r="L106" s="24">
        <f ca="1">IF(ISERROR(MATCH(L$1,INDIRECT("Table!A"&amp;$AM106):INDIRECT("Table!" &amp; $AP$108 &amp; $AM106),0)),"",INDIRECT(CONCATENATE("Table!",ADDRESS($AI106,MATCH(L$1,INDIRECT("Table!A" &amp; $AM106):INDIRECT("Table!" &amp; $AP$108 &amp; $AM106),0)))))</f>
        <v>1.3863445010283535</v>
      </c>
      <c r="M106" s="24">
        <f ca="1">IF(ISERROR(MATCH(M$1,INDIRECT("Table!A"&amp;$AM106):INDIRECT("Table!" &amp; $AP$108 &amp; $AM106),0)),"",INDIRECT(CONCATENATE("Table!",ADDRESS($AI106,MATCH(M$1,INDIRECT("Table!A" &amp; $AM106):INDIRECT("Table!" &amp; $AP$108 &amp; $AM106),0)))))</f>
        <v>2.4386812601318981</v>
      </c>
      <c r="N106" s="24">
        <f ca="1">IF(ISERROR(MATCH(N$1,INDIRECT("Table!A"&amp;$AM106):INDIRECT("Table!" &amp; $AP$108 &amp; $AM106),0)),"",INDIRECT(CONCATENATE("Table!",ADDRESS($AI106,MATCH(N$1,INDIRECT("Table!A" &amp; $AM106):INDIRECT("Table!" &amp; $AP$108 &amp; $AM106),0)))))</f>
        <v>1.502447468338364</v>
      </c>
      <c r="O106" s="24">
        <f ca="1">IF(ISERROR(MATCH(O$1,INDIRECT("Table!A"&amp;$AM106):INDIRECT("Table!" &amp; $AP$108 &amp; $AM106),0)),"",INDIRECT(CONCATENATE("Table!",ADDRESS($AI106,MATCH(O$1,INDIRECT("Table!A" &amp; $AM106):INDIRECT("Table!" &amp; $AP$108 &amp; $AM106),0)))))</f>
        <v>1.2835873431220168</v>
      </c>
      <c r="P106" s="24" t="str">
        <f ca="1">IF(ISERROR(MATCH(P$1,INDIRECT("Table!A"&amp;$AM106):INDIRECT("Table!" &amp; $AP$108 &amp; $AM106),0)),"",INDIRECT(CONCATENATE("Table!",ADDRESS($AI106,MATCH(P$1,INDIRECT("Table!A" &amp; $AM106):INDIRECT("Table!" &amp; $AP$108 &amp; $AM106),0)))))</f>
        <v/>
      </c>
      <c r="Q106" s="273" t="str">
        <f ca="1">IF(ISERROR(MATCH(Q$1,INDIRECT("Table!A"&amp;$AM106):INDIRECT("Table!" &amp; $AP$108 &amp; $AM106),0)),"",INDIRECT(CONCATENATE("Table!",ADDRESS($AI106,MATCH(Q$1,INDIRECT("Table!A" &amp; $AM106):INDIRECT("Table!" &amp; $AP$108 &amp; $AM106),0)))))</f>
        <v/>
      </c>
      <c r="R106" s="273" t="str">
        <f ca="1">IF(ISERROR(MATCH(R$1,INDIRECT("Table!A"&amp;$AM106):INDIRECT("Table!" &amp; $AP$108 &amp; $AM106),0)),"",INDIRECT(CONCATENATE("Table!",ADDRESS($AI106,MATCH(R$1,INDIRECT("Table!A" &amp; $AM106):INDIRECT("Table!" &amp; $AP$108 &amp; $AM106),0)))))</f>
        <v/>
      </c>
      <c r="S106" s="246"/>
      <c r="T106" s="246"/>
      <c r="AI106" s="22">
        <f>MATCH($A106,Table!$A:$A,0)+$AK$2-1</f>
        <v>1380</v>
      </c>
      <c r="AJ106" s="246"/>
      <c r="AK106" s="246"/>
      <c r="AL106" s="246"/>
      <c r="AM106" s="22">
        <f>MATCH($A106,Table!$A:$A,0)+$AO$2-1</f>
        <v>1371</v>
      </c>
      <c r="AN106" s="246"/>
      <c r="AO106" s="246"/>
      <c r="AP106" s="973" t="s">
        <v>302</v>
      </c>
    </row>
    <row r="107" spans="1:42" ht="19.5" customHeight="1" x14ac:dyDescent="0.25">
      <c r="A107" s="4">
        <v>41285</v>
      </c>
      <c r="B107" s="596">
        <f ca="1">IF(ISERROR(MATCH(B$1,INDIRECT("Table!A"&amp;$AM107):INDIRECT("Table!" &amp; $AP$108 &amp; $AM107),0)),"",INDIRECT(CONCATENATE("Table!",ADDRESS($AI107,MATCH(B$1,INDIRECT("Table!A" &amp; $AM107):INDIRECT("Table!" &amp; $AP$108 &amp; $AM107),0)))))</f>
        <v>1.2938461087841597</v>
      </c>
      <c r="C107" s="24">
        <f ca="1">IF(ISERROR(MATCH(C$1,INDIRECT("Table!A"&amp;$AM107):INDIRECT("Table!" &amp; $AP$108 &amp; $AM107),0)),"",INDIRECT(CONCATENATE("Table!",ADDRESS($AI107,MATCH(C$1,INDIRECT("Table!A" &amp; $AM107):INDIRECT("Table!" &amp; $AP$108 &amp; $AM107),0)))))</f>
        <v>0.60532807851401649</v>
      </c>
      <c r="D107" s="24">
        <f ca="1">IF(ISERROR(MATCH(D$1,INDIRECT("Table!A"&amp;$AM107):INDIRECT("Table!" &amp; $AP$108 &amp; $AM107),0)),"",INDIRECT(CONCATENATE("Table!",ADDRESS($AI107,MATCH(D$1,INDIRECT("Table!A" &amp; $AM107):INDIRECT("Table!" &amp; $AP$108 &amp; $AM107),0)))))</f>
        <v>0.60868852306535259</v>
      </c>
      <c r="E107" s="24">
        <f ca="1">IF(ISERROR(MATCH(E$1,INDIRECT("Table!A"&amp;$AM107):INDIRECT("Table!" &amp; $AP$108 &amp; $AM107),0)),"",INDIRECT(CONCATENATE("Table!",ADDRESS($AI107,MATCH(E$1,INDIRECT("Table!A" &amp; $AM107):INDIRECT("Table!" &amp; $AP$108 &amp; $AM107),0)))))</f>
        <v>1.5213091586821379</v>
      </c>
      <c r="F107" s="24">
        <f ca="1">IF(ISERROR(MATCH(F$1,INDIRECT("Table!A"&amp;$AM107):INDIRECT("Table!" &amp; $AP$108 &amp; $AM107),0)),"",INDIRECT(CONCATENATE("Table!",ADDRESS($AI107,MATCH(F$1,INDIRECT("Table!A" &amp; $AM107):INDIRECT("Table!" &amp; $AP$108 &amp; $AM107),0)))))</f>
        <v>1.4294862876052039</v>
      </c>
      <c r="G107" s="24">
        <f ca="1">IF(ISERROR(MATCH(G$1,INDIRECT("Table!A"&amp;$AM107):INDIRECT("Table!" &amp; $AP$108 &amp; $AM107),0)),"",INDIRECT(CONCATENATE("Table!",ADDRESS($AI107,MATCH(G$1,INDIRECT("Table!A" &amp; $AM107):INDIRECT("Table!" &amp; $AP$108 &amp; $AM107),0)))))</f>
        <v>3.3852193261284169</v>
      </c>
      <c r="H107" s="24">
        <f ca="1">IF(ISERROR(MATCH(H$1,INDIRECT("Table!A"&amp;$AM107):INDIRECT("Table!" &amp; $AP$108 &amp; $AM107),0)),"",INDIRECT(CONCATENATE("Table!",ADDRESS($AI107,MATCH(H$1,INDIRECT("Table!A" &amp; $AM107):INDIRECT("Table!" &amp; $AP$108 &amp; $AM107),0)))))</f>
        <v>0.84486342409821646</v>
      </c>
      <c r="I107" s="273" t="str">
        <f ca="1">IF(ISERROR(MATCH(I$1,INDIRECT("Table!A"&amp;$AM107):INDIRECT("Table!" &amp; $AP$108 &amp; $AM107),0)),"",INDIRECT(CONCATENATE("Table!",ADDRESS($AI107,MATCH(I$1,INDIRECT("Table!A" &amp; $AM107):INDIRECT("Table!" &amp; $AP$108 &amp; $AM107),0)))))</f>
        <v/>
      </c>
      <c r="J107" s="273" t="str">
        <f ca="1">IF(ISERROR(MATCH(J$1,INDIRECT("Table!A"&amp;$AM107):INDIRECT("Table!" &amp; $AP$108 &amp; $AM107),0)),"",INDIRECT(CONCATENATE("Table!",ADDRESS($AI107,MATCH(J$1,INDIRECT("Table!A" &amp; $AM107):INDIRECT("Table!" &amp; $AP$108 &amp; $AM107),0)))))</f>
        <v/>
      </c>
      <c r="K107" s="273" t="str">
        <f ca="1">IF(ISERROR(MATCH(K$1,INDIRECT("Table!A"&amp;$AM107):INDIRECT("Table!" &amp; $AP$108 &amp; $AM107),0)),"",INDIRECT(CONCATENATE("Table!",ADDRESS($AI107,MATCH(K$1,INDIRECT("Table!A" &amp; $AM107):INDIRECT("Table!" &amp; $AP$108 &amp; $AM107),0)))))</f>
        <v/>
      </c>
      <c r="L107" s="24">
        <f ca="1">IF(ISERROR(MATCH(L$1,INDIRECT("Table!A"&amp;$AM107):INDIRECT("Table!" &amp; $AP$108 &amp; $AM107),0)),"",INDIRECT(CONCATENATE("Table!",ADDRESS($AI107,MATCH(L$1,INDIRECT("Table!A" &amp; $AM107):INDIRECT("Table!" &amp; $AP$108 &amp; $AM107),0)))))</f>
        <v>1.3873926445523164</v>
      </c>
      <c r="M107" s="24">
        <f ca="1">IF(ISERROR(MATCH(M$1,INDIRECT("Table!A"&amp;$AM107):INDIRECT("Table!" &amp; $AP$108 &amp; $AM107),0)),"",INDIRECT(CONCATENATE("Table!",ADDRESS($AI107,MATCH(M$1,INDIRECT("Table!A" &amp; $AM107):INDIRECT("Table!" &amp; $AP$108 &amp; $AM107),0)))))</f>
        <v>2.4389364590917273</v>
      </c>
      <c r="N107" s="24">
        <f ca="1">IF(ISERROR(MATCH(N$1,INDIRECT("Table!A"&amp;$AM107):INDIRECT("Table!" &amp; $AP$108 &amp; $AM107),0)),"",INDIRECT(CONCATENATE("Table!",ADDRESS($AI107,MATCH(N$1,INDIRECT("Table!A" &amp; $AM107):INDIRECT("Table!" &amp; $AP$108 &amp; $AM107),0)))))</f>
        <v>1.502447468338364</v>
      </c>
      <c r="O107" s="24">
        <f ca="1">IF(ISERROR(MATCH(O$1,INDIRECT("Table!A"&amp;$AM107):INDIRECT("Table!" &amp; $AP$108 &amp; $AM107),0)),"",INDIRECT(CONCATENATE("Table!",ADDRESS($AI107,MATCH(O$1,INDIRECT("Table!A" &amp; $AM107):INDIRECT("Table!" &amp; $AP$108 &amp; $AM107),0)))))</f>
        <v>1.2835873431220168</v>
      </c>
      <c r="P107" s="24" t="str">
        <f ca="1">IF(ISERROR(MATCH(P$1,INDIRECT("Table!A"&amp;$AM107):INDIRECT("Table!" &amp; $AP$108 &amp; $AM107),0)),"",INDIRECT(CONCATENATE("Table!",ADDRESS($AI107,MATCH(P$1,INDIRECT("Table!A" &amp; $AM107):INDIRECT("Table!" &amp; $AP$108 &amp; $AM107),0)))))</f>
        <v/>
      </c>
      <c r="Q107" s="273" t="str">
        <f ca="1">IF(ISERROR(MATCH(Q$1,INDIRECT("Table!A"&amp;$AM107):INDIRECT("Table!" &amp; $AP$108 &amp; $AM107),0)),"",INDIRECT(CONCATENATE("Table!",ADDRESS($AI107,MATCH(Q$1,INDIRECT("Table!A" &amp; $AM107):INDIRECT("Table!" &amp; $AP$108 &amp; $AM107),0)))))</f>
        <v/>
      </c>
      <c r="R107" s="273" t="str">
        <f ca="1">IF(ISERROR(MATCH(R$1,INDIRECT("Table!A"&amp;$AM107):INDIRECT("Table!" &amp; $AP$108 &amp; $AM107),0)),"",INDIRECT(CONCATENATE("Table!",ADDRESS($AI107,MATCH(R$1,INDIRECT("Table!A" &amp; $AM107):INDIRECT("Table!" &amp; $AP$108 &amp; $AM107),0)))))</f>
        <v/>
      </c>
      <c r="S107" s="245"/>
      <c r="T107" s="245"/>
      <c r="AI107" s="22">
        <f>MATCH($A107,Table!$A:$A,0)+$AK$2-1</f>
        <v>1392</v>
      </c>
      <c r="AJ107" s="245"/>
      <c r="AK107" s="245"/>
      <c r="AL107" s="245"/>
      <c r="AM107" s="22">
        <f>MATCH($A107,Table!$A:$A,0)+$AO$2-1</f>
        <v>1383</v>
      </c>
      <c r="AN107" s="245"/>
      <c r="AO107" s="245"/>
      <c r="AP107" s="973" t="s">
        <v>302</v>
      </c>
    </row>
    <row r="108" spans="1:42" ht="19.5" customHeight="1" x14ac:dyDescent="0.25">
      <c r="A108" s="4">
        <v>41283</v>
      </c>
      <c r="B108" s="596">
        <f ca="1">IF(ISERROR(MATCH(B$1,INDIRECT("Table!A"&amp;$AM108):INDIRECT("Table!" &amp; $AP$108 &amp; $AM108),0)),"",INDIRECT(CONCATENATE("Table!",ADDRESS($AI108,MATCH(B$1,INDIRECT("Table!A" &amp; $AM108):INDIRECT("Table!" &amp; $AP$108 &amp; $AM108),0)))))</f>
        <v>1.2938461087841597</v>
      </c>
      <c r="C108" s="24">
        <f ca="1">IF(ISERROR(MATCH(C$1,INDIRECT("Table!A"&amp;$AM108):INDIRECT("Table!" &amp; $AP$108 &amp; $AM108),0)),"",INDIRECT(CONCATENATE("Table!",ADDRESS($AI108,MATCH(C$1,INDIRECT("Table!A" &amp; $AM108):INDIRECT("Table!" &amp; $AP$108 &amp; $AM108),0)))))</f>
        <v>0.60532807851401649</v>
      </c>
      <c r="D108" s="24">
        <f ca="1">IF(ISERROR(MATCH(D$1,INDIRECT("Table!A"&amp;$AM108):INDIRECT("Table!" &amp; $AP$108 &amp; $AM108),0)),"",INDIRECT(CONCATENATE("Table!",ADDRESS($AI108,MATCH(D$1,INDIRECT("Table!A" &amp; $AM108):INDIRECT("Table!" &amp; $AP$108 &amp; $AM108),0)))))</f>
        <v>0.60868852306535259</v>
      </c>
      <c r="E108" s="24">
        <f ca="1">IF(ISERROR(MATCH(E$1,INDIRECT("Table!A"&amp;$AM108):INDIRECT("Table!" &amp; $AP$108 &amp; $AM108),0)),"",INDIRECT(CONCATENATE("Table!",ADDRESS($AI108,MATCH(E$1,INDIRECT("Table!A" &amp; $AM108):INDIRECT("Table!" &amp; $AP$108 &amp; $AM108),0)))))</f>
        <v>1.5213091586821379</v>
      </c>
      <c r="F108" s="24">
        <f ca="1">IF(ISERROR(MATCH(F$1,INDIRECT("Table!A"&amp;$AM108):INDIRECT("Table!" &amp; $AP$108 &amp; $AM108),0)),"",INDIRECT(CONCATENATE("Table!",ADDRESS($AI108,MATCH(F$1,INDIRECT("Table!A" &amp; $AM108):INDIRECT("Table!" &amp; $AP$108 &amp; $AM108),0)))))</f>
        <v>1.4294862876052039</v>
      </c>
      <c r="G108" s="24">
        <f ca="1">IF(ISERROR(MATCH(G$1,INDIRECT("Table!A"&amp;$AM108):INDIRECT("Table!" &amp; $AP$108 &amp; $AM108),0)),"",INDIRECT(CONCATENATE("Table!",ADDRESS($AI108,MATCH(G$1,INDIRECT("Table!A" &amp; $AM108):INDIRECT("Table!" &amp; $AP$108 &amp; $AM108),0)))))</f>
        <v>3.2941131595677051</v>
      </c>
      <c r="H108" s="24">
        <f ca="1">IF(ISERROR(MATCH(H$1,INDIRECT("Table!A"&amp;$AM108):INDIRECT("Table!" &amp; $AP$108 &amp; $AM108),0)),"",INDIRECT(CONCATENATE("Table!",ADDRESS($AI108,MATCH(H$1,INDIRECT("Table!A" &amp; $AM108):INDIRECT("Table!" &amp; $AP$108 &amp; $AM108),0)))))</f>
        <v>0.84486342409821646</v>
      </c>
      <c r="I108" s="273" t="str">
        <f ca="1">IF(ISERROR(MATCH(I$1,INDIRECT("Table!A"&amp;$AM108):INDIRECT("Table!" &amp; $AP$108 &amp; $AM108),0)),"",INDIRECT(CONCATENATE("Table!",ADDRESS($AI108,MATCH(I$1,INDIRECT("Table!A" &amp; $AM108):INDIRECT("Table!" &amp; $AP$108 &amp; $AM108),0)))))</f>
        <v/>
      </c>
      <c r="J108" s="273" t="str">
        <f ca="1">IF(ISERROR(MATCH(J$1,INDIRECT("Table!A"&amp;$AM108):INDIRECT("Table!" &amp; $AP$108 &amp; $AM108),0)),"",INDIRECT(CONCATENATE("Table!",ADDRESS($AI108,MATCH(J$1,INDIRECT("Table!A" &amp; $AM108):INDIRECT("Table!" &amp; $AP$108 &amp; $AM108),0)))))</f>
        <v/>
      </c>
      <c r="K108" s="273" t="str">
        <f ca="1">IF(ISERROR(MATCH(K$1,INDIRECT("Table!A"&amp;$AM108):INDIRECT("Table!" &amp; $AP$108 &amp; $AM108),0)),"",INDIRECT(CONCATENATE("Table!",ADDRESS($AI108,MATCH(K$1,INDIRECT("Table!A" &amp; $AM108):INDIRECT("Table!" &amp; $AP$108 &amp; $AM108),0)))))</f>
        <v/>
      </c>
      <c r="L108" s="24">
        <f ca="1">IF(ISERROR(MATCH(L$1,INDIRECT("Table!A"&amp;$AM108):INDIRECT("Table!" &amp; $AP$108 &amp; $AM108),0)),"",INDIRECT(CONCATENATE("Table!",ADDRESS($AI108,MATCH(L$1,INDIRECT("Table!A" &amp; $AM108):INDIRECT("Table!" &amp; $AP$108 &amp; $AM108),0)))))</f>
        <v>1.3873926445523164</v>
      </c>
      <c r="M108" s="24">
        <f ca="1">IF(ISERROR(MATCH(M$1,INDIRECT("Table!A"&amp;$AM108):INDIRECT("Table!" &amp; $AP$108 &amp; $AM108),0)),"",INDIRECT(CONCATENATE("Table!",ADDRESS($AI108,MATCH(M$1,INDIRECT("Table!A" &amp; $AM108):INDIRECT("Table!" &amp; $AP$108 &amp; $AM108),0)))))</f>
        <v>2.4389364590917273</v>
      </c>
      <c r="N108" s="24">
        <f ca="1">IF(ISERROR(MATCH(N$1,INDIRECT("Table!A"&amp;$AM108):INDIRECT("Table!" &amp; $AP$108 &amp; $AM108),0)),"",INDIRECT(CONCATENATE("Table!",ADDRESS($AI108,MATCH(N$1,INDIRECT("Table!A" &amp; $AM108):INDIRECT("Table!" &amp; $AP$108 &amp; $AM108),0)))))</f>
        <v>1.502447468338364</v>
      </c>
      <c r="O108" s="24">
        <f ca="1">IF(ISERROR(MATCH(O$1,INDIRECT("Table!A"&amp;$AM108):INDIRECT("Table!" &amp; $AP$108 &amp; $AM108),0)),"",INDIRECT(CONCATENATE("Table!",ADDRESS($AI108,MATCH(O$1,INDIRECT("Table!A" &amp; $AM108):INDIRECT("Table!" &amp; $AP$108 &amp; $AM108),0)))))</f>
        <v>1.2835873431220168</v>
      </c>
      <c r="P108" s="24" t="str">
        <f ca="1">IF(ISERROR(MATCH(P$1,INDIRECT("Table!A"&amp;$AM108):INDIRECT("Table!" &amp; $AP$108 &amp; $AM108),0)),"",INDIRECT(CONCATENATE("Table!",ADDRESS($AI108,MATCH(P$1,INDIRECT("Table!A" &amp; $AM108):INDIRECT("Table!" &amp; $AP$108 &amp; $AM108),0)))))</f>
        <v/>
      </c>
      <c r="Q108" s="273" t="str">
        <f ca="1">IF(ISERROR(MATCH(Q$1,INDIRECT("Table!A"&amp;$AM108):INDIRECT("Table!" &amp; $AP$108 &amp; $AM108),0)),"",INDIRECT(CONCATENATE("Table!",ADDRESS($AI108,MATCH(Q$1,INDIRECT("Table!A" &amp; $AM108):INDIRECT("Table!" &amp; $AP$108 &amp; $AM108),0)))))</f>
        <v/>
      </c>
      <c r="R108" s="273" t="str">
        <f ca="1">IF(ISERROR(MATCH(R$1,INDIRECT("Table!A"&amp;$AM108):INDIRECT("Table!" &amp; $AP$108 &amp; $AM108),0)),"",INDIRECT(CONCATENATE("Table!",ADDRESS($AI108,MATCH(R$1,INDIRECT("Table!A" &amp; $AM108):INDIRECT("Table!" &amp; $AP$108 &amp; $AM108),0)))))</f>
        <v/>
      </c>
      <c r="S108" s="244"/>
      <c r="T108" s="244"/>
      <c r="AI108" s="22">
        <f>MATCH($A108,Table!$A:$A,0)+$AK$2-1</f>
        <v>1404</v>
      </c>
      <c r="AJ108" s="244"/>
      <c r="AK108" s="244"/>
      <c r="AL108" s="244"/>
      <c r="AM108" s="22">
        <f>MATCH($A108,Table!$A:$A,0)+$AO$2-1</f>
        <v>1395</v>
      </c>
      <c r="AN108" s="244"/>
      <c r="AO108" s="244"/>
      <c r="AP108" s="973" t="s">
        <v>302</v>
      </c>
    </row>
    <row r="109" spans="1:42" ht="19.5" customHeight="1" x14ac:dyDescent="0.25">
      <c r="A109" s="4">
        <v>41281</v>
      </c>
      <c r="B109" s="596">
        <f ca="1">IF(ISERROR(MATCH(B$1,INDIRECT("Table!A"&amp;$AM109):INDIRECT("Table!" &amp; $AP$108 &amp; $AM109),0)),"",INDIRECT(CONCATENATE("Table!",ADDRESS($AI109,MATCH(B$1,INDIRECT("Table!A" &amp; $AM109):INDIRECT("Table!" &amp; $AP$108 &amp; $AM109),0)))))</f>
        <v>1.2938461087841597</v>
      </c>
      <c r="C109" s="24">
        <f ca="1">IF(ISERROR(MATCH(C$1,INDIRECT("Table!A"&amp;$AM109):INDIRECT("Table!" &amp; $AP$108 &amp; $AM109),0)),"",INDIRECT(CONCATENATE("Table!",ADDRESS($AI109,MATCH(C$1,INDIRECT("Table!A" &amp; $AM109):INDIRECT("Table!" &amp; $AP$108 &amp; $AM109),0)))))</f>
        <v>0.60532807851401649</v>
      </c>
      <c r="D109" s="24">
        <f ca="1">IF(ISERROR(MATCH(D$1,INDIRECT("Table!A"&amp;$AM109):INDIRECT("Table!" &amp; $AP$108 &amp; $AM109),0)),"",INDIRECT(CONCATENATE("Table!",ADDRESS($AI109,MATCH(D$1,INDIRECT("Table!A" &amp; $AM109):INDIRECT("Table!" &amp; $AP$108 &amp; $AM109),0)))))</f>
        <v>0.60868852306535259</v>
      </c>
      <c r="E109" s="24">
        <f ca="1">IF(ISERROR(MATCH(E$1,INDIRECT("Table!A"&amp;$AM109):INDIRECT("Table!" &amp; $AP$108 &amp; $AM109),0)),"",INDIRECT(CONCATENATE("Table!",ADDRESS($AI109,MATCH(E$1,INDIRECT("Table!A" &amp; $AM109):INDIRECT("Table!" &amp; $AP$108 &amp; $AM109),0)))))</f>
        <v>1.5213091586821379</v>
      </c>
      <c r="F109" s="24">
        <f ca="1">IF(ISERROR(MATCH(F$1,INDIRECT("Table!A"&amp;$AM109):INDIRECT("Table!" &amp; $AP$108 &amp; $AM109),0)),"",INDIRECT(CONCATENATE("Table!",ADDRESS($AI109,MATCH(F$1,INDIRECT("Table!A" &amp; $AM109):INDIRECT("Table!" &amp; $AP$108 &amp; $AM109),0)))))</f>
        <v>1.4294862876052039</v>
      </c>
      <c r="G109" s="24">
        <f ca="1">IF(ISERROR(MATCH(G$1,INDIRECT("Table!A"&amp;$AM109):INDIRECT("Table!" &amp; $AP$108 &amp; $AM109),0)),"",INDIRECT(CONCATENATE("Table!",ADDRESS($AI109,MATCH(G$1,INDIRECT("Table!A" &amp; $AM109):INDIRECT("Table!" &amp; $AP$108 &amp; $AM109),0)))))</f>
        <v>3.2920715647988374</v>
      </c>
      <c r="H109" s="24">
        <f ca="1">IF(ISERROR(MATCH(H$1,INDIRECT("Table!A"&amp;$AM109):INDIRECT("Table!" &amp; $AP$108 &amp; $AM109),0)),"",INDIRECT(CONCATENATE("Table!",ADDRESS($AI109,MATCH(H$1,INDIRECT("Table!A" &amp; $AM109):INDIRECT("Table!" &amp; $AP$108 &amp; $AM109),0)))))</f>
        <v>0.82763265689621357</v>
      </c>
      <c r="I109" s="273" t="str">
        <f ca="1">IF(ISERROR(MATCH(I$1,INDIRECT("Table!A"&amp;$AM109):INDIRECT("Table!" &amp; $AP$108 &amp; $AM109),0)),"",INDIRECT(CONCATENATE("Table!",ADDRESS($AI109,MATCH(I$1,INDIRECT("Table!A" &amp; $AM109):INDIRECT("Table!" &amp; $AP$108 &amp; $AM109),0)))))</f>
        <v/>
      </c>
      <c r="J109" s="273" t="str">
        <f ca="1">IF(ISERROR(MATCH(J$1,INDIRECT("Table!A"&amp;$AM109):INDIRECT("Table!" &amp; $AP$108 &amp; $AM109),0)),"",INDIRECT(CONCATENATE("Table!",ADDRESS($AI109,MATCH(J$1,INDIRECT("Table!A" &amp; $AM109):INDIRECT("Table!" &amp; $AP$108 &amp; $AM109),0)))))</f>
        <v/>
      </c>
      <c r="K109" s="273" t="str">
        <f ca="1">IF(ISERROR(MATCH(K$1,INDIRECT("Table!A"&amp;$AM109):INDIRECT("Table!" &amp; $AP$108 &amp; $AM109),0)),"",INDIRECT(CONCATENATE("Table!",ADDRESS($AI109,MATCH(K$1,INDIRECT("Table!A" &amp; $AM109):INDIRECT("Table!" &amp; $AP$108 &amp; $AM109),0)))))</f>
        <v/>
      </c>
      <c r="L109" s="24">
        <f ca="1">IF(ISERROR(MATCH(L$1,INDIRECT("Table!A"&amp;$AM109):INDIRECT("Table!" &amp; $AP$108 &amp; $AM109),0)),"",INDIRECT(CONCATENATE("Table!",ADDRESS($AI109,MATCH(L$1,INDIRECT("Table!A" &amp; $AM109):INDIRECT("Table!" &amp; $AP$108 &amp; $AM109),0)))))</f>
        <v>1.3873926445523164</v>
      </c>
      <c r="M109" s="24">
        <f ca="1">IF(ISERROR(MATCH(M$1,INDIRECT("Table!A"&amp;$AM109):INDIRECT("Table!" &amp; $AP$108 &amp; $AM109),0)),"",INDIRECT(CONCATENATE("Table!",ADDRESS($AI109,MATCH(M$1,INDIRECT("Table!A" &amp; $AM109):INDIRECT("Table!" &amp; $AP$108 &amp; $AM109),0)))))</f>
        <v>2.4389364590917273</v>
      </c>
      <c r="N109" s="24">
        <f ca="1">IF(ISERROR(MATCH(N$1,INDIRECT("Table!A"&amp;$AM109):INDIRECT("Table!" &amp; $AP$108 &amp; $AM109),0)),"",INDIRECT(CONCATENATE("Table!",ADDRESS($AI109,MATCH(N$1,INDIRECT("Table!A" &amp; $AM109):INDIRECT("Table!" &amp; $AP$108 &amp; $AM109),0)))))</f>
        <v>1.502447468338364</v>
      </c>
      <c r="O109" s="24">
        <f ca="1">IF(ISERROR(MATCH(O$1,INDIRECT("Table!A"&amp;$AM109):INDIRECT("Table!" &amp; $AP$108 &amp; $AM109),0)),"",INDIRECT(CONCATENATE("Table!",ADDRESS($AI109,MATCH(O$1,INDIRECT("Table!A" &amp; $AM109):INDIRECT("Table!" &amp; $AP$108 &amp; $AM109),0)))))</f>
        <v>1.2598950492031227</v>
      </c>
      <c r="P109" s="24" t="str">
        <f ca="1">IF(ISERROR(MATCH(P$1,INDIRECT("Table!A"&amp;$AM109):INDIRECT("Table!" &amp; $AP$108 &amp; $AM109),0)),"",INDIRECT(CONCATENATE("Table!",ADDRESS($AI109,MATCH(P$1,INDIRECT("Table!A" &amp; $AM109):INDIRECT("Table!" &amp; $AP$108 &amp; $AM109),0)))))</f>
        <v/>
      </c>
      <c r="Q109" s="273" t="str">
        <f ca="1">IF(ISERROR(MATCH(Q$1,INDIRECT("Table!A"&amp;$AM109):INDIRECT("Table!" &amp; $AP$108 &amp; $AM109),0)),"",INDIRECT(CONCATENATE("Table!",ADDRESS($AI109,MATCH(Q$1,INDIRECT("Table!A" &amp; $AM109):INDIRECT("Table!" &amp; $AP$108 &amp; $AM109),0)))))</f>
        <v/>
      </c>
      <c r="R109" s="273" t="str">
        <f ca="1">IF(ISERROR(MATCH(R$1,INDIRECT("Table!A"&amp;$AM109):INDIRECT("Table!" &amp; $AP$108 &amp; $AM109),0)),"",INDIRECT(CONCATENATE("Table!",ADDRESS($AI109,MATCH(R$1,INDIRECT("Table!A" &amp; $AM109):INDIRECT("Table!" &amp; $AP$108 &amp; $AM109),0)))))</f>
        <v/>
      </c>
      <c r="S109" s="243"/>
      <c r="T109" s="243"/>
      <c r="AI109" s="22">
        <f>MATCH($A109,Table!$A:$A,0)+$AK$2-1</f>
        <v>1416</v>
      </c>
      <c r="AJ109" s="243"/>
      <c r="AK109" s="243"/>
      <c r="AL109" s="243"/>
      <c r="AM109" s="22">
        <f>MATCH($A109,Table!$A:$A,0)+$AO$2-1</f>
        <v>1407</v>
      </c>
      <c r="AN109" s="243"/>
      <c r="AO109" s="243"/>
      <c r="AP109" s="973" t="s">
        <v>302</v>
      </c>
    </row>
    <row r="110" spans="1:42" ht="19.5" customHeight="1" x14ac:dyDescent="0.25">
      <c r="B110" s="24"/>
      <c r="C110" s="24"/>
      <c r="D110" s="24"/>
      <c r="E110" s="24"/>
      <c r="F110" s="24"/>
      <c r="G110" s="24"/>
      <c r="H110" s="24"/>
      <c r="I110" s="273"/>
      <c r="J110" s="273"/>
      <c r="K110" s="592"/>
      <c r="L110" s="24"/>
      <c r="M110" s="24"/>
      <c r="N110" s="24"/>
      <c r="O110" s="24"/>
      <c r="P110" s="273"/>
      <c r="Q110" s="242"/>
      <c r="R110" s="242"/>
      <c r="S110" s="242"/>
      <c r="T110" s="22"/>
      <c r="AI110" s="242"/>
      <c r="AJ110" s="242"/>
      <c r="AK110" s="22"/>
      <c r="AL110" s="242"/>
      <c r="AM110" s="242"/>
      <c r="AN110" s="242"/>
    </row>
    <row r="111" spans="1:42" ht="19.5" customHeight="1" x14ac:dyDescent="0.25">
      <c r="B111" s="24"/>
      <c r="C111" s="24"/>
      <c r="D111" s="24"/>
      <c r="E111" s="24"/>
      <c r="F111" s="24"/>
      <c r="G111" s="24"/>
      <c r="H111" s="24"/>
      <c r="I111" s="273"/>
      <c r="J111" s="273"/>
      <c r="K111" s="592"/>
      <c r="L111" s="24"/>
      <c r="M111" s="24"/>
      <c r="N111" s="24"/>
      <c r="O111" s="24"/>
      <c r="P111" s="273"/>
      <c r="Q111" s="241"/>
      <c r="R111" s="241"/>
      <c r="S111" s="241"/>
      <c r="T111" s="22"/>
      <c r="AI111" s="241"/>
      <c r="AJ111" s="241"/>
      <c r="AK111" s="22"/>
      <c r="AL111" s="241"/>
      <c r="AM111" s="241"/>
      <c r="AN111" s="241"/>
    </row>
    <row r="112" spans="1:42" ht="19.5" customHeight="1" x14ac:dyDescent="0.25">
      <c r="B112" s="24"/>
      <c r="C112" s="24"/>
      <c r="D112" s="24"/>
      <c r="E112" s="24"/>
      <c r="F112" s="24"/>
      <c r="G112" s="24"/>
      <c r="H112" s="24"/>
      <c r="I112" s="273"/>
      <c r="J112" s="273"/>
      <c r="K112" s="592"/>
      <c r="L112" s="24"/>
      <c r="M112" s="24"/>
      <c r="N112" s="24"/>
      <c r="O112" s="24"/>
      <c r="P112" s="273"/>
      <c r="Q112" s="240"/>
      <c r="R112" s="240"/>
      <c r="S112" s="240"/>
      <c r="T112" s="22"/>
      <c r="AI112" s="240"/>
      <c r="AJ112" s="240"/>
      <c r="AK112" s="22"/>
      <c r="AL112" s="240"/>
      <c r="AM112" s="240"/>
      <c r="AN112" s="240"/>
    </row>
    <row r="113" spans="2:58" ht="19.5" customHeight="1" x14ac:dyDescent="0.25">
      <c r="B113" s="24"/>
      <c r="C113" s="24"/>
      <c r="D113" s="24"/>
      <c r="E113" s="24"/>
      <c r="F113" s="24"/>
      <c r="G113" s="24"/>
      <c r="H113" s="24"/>
      <c r="I113" s="273"/>
      <c r="J113" s="273"/>
      <c r="K113" s="592"/>
      <c r="L113" s="24"/>
      <c r="M113" s="24"/>
      <c r="N113" s="24"/>
      <c r="O113" s="24"/>
      <c r="P113" s="273"/>
      <c r="Q113" s="239"/>
      <c r="R113" s="239"/>
      <c r="S113" s="239"/>
      <c r="T113" s="22"/>
      <c r="AI113" s="239"/>
      <c r="AJ113" s="239"/>
      <c r="AK113" s="22"/>
      <c r="AL113" s="239"/>
      <c r="AM113" s="239"/>
      <c r="AN113" s="239"/>
      <c r="BA113" s="45"/>
      <c r="BB113" s="45"/>
      <c r="BC113" s="22"/>
      <c r="BD113" s="45"/>
      <c r="BE113" s="45"/>
      <c r="BF113" s="45"/>
    </row>
    <row r="114" spans="2:58" ht="19.5" customHeight="1" x14ac:dyDescent="0.25">
      <c r="B114" s="24"/>
      <c r="C114" s="24" t="str">
        <f ca="1">IF(ISERROR(MATCH(C$1,INDIRECT("Table!A"&amp;$AK114):INDIRECT("Table!" &amp; $AN$275 &amp; $AK114),0)),"",INDIRECT(CONCATENATE("Table!",ADDRESS($T114,MATCH(C$1,INDIRECT("Table!A" &amp; $AK114):INDIRECT("Table!" &amp; $AN$275 &amp; $AK114),0)))))</f>
        <v/>
      </c>
      <c r="D114" s="24" t="str">
        <f ca="1">IF(ISERROR(MATCH(D$1,INDIRECT("Table!A"&amp;$AK114):INDIRECT("Table!" &amp; $AN$275 &amp; $AK114),0)),"",INDIRECT(CONCATENATE("Table!",ADDRESS($T114,MATCH(D$1,INDIRECT("Table!A" &amp; $AK114):INDIRECT("Table!" &amp; $AN$275 &amp; $AK114),0)))))</f>
        <v/>
      </c>
      <c r="E114" s="24" t="str">
        <f ca="1">IF(ISERROR(MATCH(E$1,INDIRECT("Table!A"&amp;$AK114):INDIRECT("Table!" &amp; $AN$275 &amp; $AK114),0)),"",INDIRECT(CONCATENATE("Table!",ADDRESS($T114,MATCH(E$1,INDIRECT("Table!A" &amp; $AK114):INDIRECT("Table!" &amp; $AN$275 &amp; $AK114),0)))))</f>
        <v/>
      </c>
      <c r="F114" s="24" t="str">
        <f ca="1">IF(ISERROR(MATCH(F$1,INDIRECT("Table!A"&amp;$AK114):INDIRECT("Table!" &amp; $AN$275 &amp; $AK114),0)),"",INDIRECT(CONCATENATE("Table!",ADDRESS($T114,MATCH(F$1,INDIRECT("Table!A" &amp; $AK114):INDIRECT("Table!" &amp; $AN$275 &amp; $AK114),0)))))</f>
        <v/>
      </c>
      <c r="G114" s="24" t="str">
        <f ca="1">IF(ISERROR(MATCH(G$1,INDIRECT("Table!A"&amp;$AK114):INDIRECT("Table!" &amp; $AN$275 &amp; $AK114),0)),"",INDIRECT(CONCATENATE("Table!",ADDRESS($T114,MATCH(G$1,INDIRECT("Table!A" &amp; $AK114):INDIRECT("Table!" &amp; $AN$275 &amp; $AK114),0)))))</f>
        <v/>
      </c>
      <c r="H114" s="24" t="str">
        <f ca="1">IF(ISERROR(MATCH(H$1,INDIRECT("Table!A"&amp;$AK114):INDIRECT("Table!" &amp; $AN$275 &amp; $AK114),0)),"",INDIRECT(CONCATENATE("Table!",ADDRESS($T114,MATCH(H$1,INDIRECT("Table!A" &amp; $AK114):INDIRECT("Table!" &amp; $AN$275 &amp; $AK114),0)))))</f>
        <v/>
      </c>
      <c r="I114" s="273"/>
      <c r="J114" s="273"/>
      <c r="K114" s="24" t="str">
        <f ca="1">IF(ISERROR(MATCH(L$1,INDIRECT("Table!A"&amp;$AK114):INDIRECT("Table!" &amp; $AN$275 &amp; $AK114),0)),"",INDIRECT(CONCATENATE("Table!",ADDRESS($T114,MATCH(L$1,INDIRECT("Table!A" &amp; $AK114):INDIRECT("Table!" &amp; $AN$275 &amp; $AK114),0)))))</f>
        <v/>
      </c>
      <c r="L114" s="24" t="str">
        <f ca="1">IF(ISERROR(MATCH(M$1,INDIRECT("Table!A"&amp;$AK114):INDIRECT("Table!" &amp; $AN$275 &amp; $AK114),0)),"",INDIRECT(CONCATENATE("Table!",ADDRESS($T114,MATCH(M$1,INDIRECT("Table!A" &amp; $AK114):INDIRECT("Table!" &amp; $AN$275 &amp; $AK114),0)))))</f>
        <v/>
      </c>
      <c r="M114" s="24" t="str">
        <f ca="1">IF(ISERROR(MATCH(N$1,INDIRECT("Table!A"&amp;$AK114):INDIRECT("Table!" &amp; $AN$275 &amp; $AK114),0)),"",INDIRECT(CONCATENATE("Table!",ADDRESS($T114,MATCH(N$1,INDIRECT("Table!A" &amp; $AK114):INDIRECT("Table!" &amp; $AN$275 &amp; $AK114),0)))))</f>
        <v/>
      </c>
      <c r="N114" s="24" t="str">
        <f ca="1">IF(ISERROR(MATCH(O$1,INDIRECT("Table!A"&amp;$AK114):INDIRECT("Table!" &amp; $AN$275 &amp; $AK114),0)),"",INDIRECT(CONCATENATE("Table!",ADDRESS($T114,MATCH(O$1,INDIRECT("Table!A" &amp; $AK114):INDIRECT("Table!" &amp; $AN$275 &amp; $AK114),0)))))</f>
        <v/>
      </c>
      <c r="O114" s="24" t="str">
        <f ca="1">IF(ISERROR(MATCH(P$1,INDIRECT("Table!A"&amp;$AK114):INDIRECT("Table!" &amp; $AN$275 &amp; $AK114),0)),"",INDIRECT(CONCATENATE("Table!",ADDRESS($T114,MATCH(P$1,INDIRECT("Table!A" &amp; $AK114):INDIRECT("Table!" &amp; $AN$275 &amp; $AK114),0)))))</f>
        <v/>
      </c>
      <c r="P114" s="273" t="str">
        <f ca="1">IF(ISERROR(MATCH(Q$1,INDIRECT("Table!A"&amp;$AK114):INDIRECT("Table!" &amp; $AN$275 &amp; $AK114),0)),"",INDIRECT(CONCATENATE("Table!",ADDRESS($T114,MATCH(Q$1,INDIRECT("Table!A" &amp; $AK114):INDIRECT("Table!" &amp; $AN$275 &amp; $AK114),0)))))</f>
        <v/>
      </c>
      <c r="Q114" s="238"/>
      <c r="R114" s="238"/>
      <c r="S114" s="238"/>
      <c r="T114" s="22"/>
      <c r="AI114" s="238"/>
      <c r="AJ114" s="238"/>
      <c r="AK114" s="22"/>
      <c r="AL114" s="238"/>
      <c r="AM114" s="238"/>
      <c r="AN114" s="238"/>
      <c r="BA114" s="45"/>
      <c r="BB114" s="45"/>
      <c r="BC114" s="22"/>
      <c r="BD114" s="45"/>
      <c r="BE114" s="45"/>
      <c r="BF114" s="45"/>
    </row>
    <row r="115" spans="2:58" ht="19.5" customHeight="1" x14ac:dyDescent="0.25">
      <c r="B115" s="24"/>
      <c r="C115" s="24" t="str">
        <f ca="1">IF(ISERROR(MATCH(C$1,INDIRECT("Table!A"&amp;$AK115):INDIRECT("Table!" &amp; $AN$275 &amp; $AK115),0)),"",INDIRECT(CONCATENATE("Table!",ADDRESS($T115,MATCH(C$1,INDIRECT("Table!A" &amp; $AK115):INDIRECT("Table!" &amp; $AN$275 &amp; $AK115),0)))))</f>
        <v/>
      </c>
      <c r="D115" s="24" t="str">
        <f ca="1">IF(ISERROR(MATCH(D$1,INDIRECT("Table!A"&amp;$AK115):INDIRECT("Table!" &amp; $AN$275 &amp; $AK115),0)),"",INDIRECT(CONCATENATE("Table!",ADDRESS($T115,MATCH(D$1,INDIRECT("Table!A" &amp; $AK115):INDIRECT("Table!" &amp; $AN$275 &amp; $AK115),0)))))</f>
        <v/>
      </c>
      <c r="E115" s="24" t="str">
        <f ca="1">IF(ISERROR(MATCH(E$1,INDIRECT("Table!A"&amp;$AK115):INDIRECT("Table!" &amp; $AN$275 &amp; $AK115),0)),"",INDIRECT(CONCATENATE("Table!",ADDRESS($T115,MATCH(E$1,INDIRECT("Table!A" &amp; $AK115):INDIRECT("Table!" &amp; $AN$275 &amp; $AK115),0)))))</f>
        <v/>
      </c>
      <c r="F115" s="24" t="str">
        <f ca="1">IF(ISERROR(MATCH(F$1,INDIRECT("Table!A"&amp;$AK115):INDIRECT("Table!" &amp; $AN$275 &amp; $AK115),0)),"",INDIRECT(CONCATENATE("Table!",ADDRESS($T115,MATCH(F$1,INDIRECT("Table!A" &amp; $AK115):INDIRECT("Table!" &amp; $AN$275 &amp; $AK115),0)))))</f>
        <v/>
      </c>
      <c r="G115" s="24" t="str">
        <f ca="1">IF(ISERROR(MATCH(G$1,INDIRECT("Table!A"&amp;$AK115):INDIRECT("Table!" &amp; $AN$275 &amp; $AK115),0)),"",INDIRECT(CONCATENATE("Table!",ADDRESS($T115,MATCH(G$1,INDIRECT("Table!A" &amp; $AK115):INDIRECT("Table!" &amp; $AN$275 &amp; $AK115),0)))))</f>
        <v/>
      </c>
      <c r="H115" s="24" t="str">
        <f ca="1">IF(ISERROR(MATCH(H$1,INDIRECT("Table!A"&amp;$AK115):INDIRECT("Table!" &amp; $AN$275 &amp; $AK115),0)),"",INDIRECT(CONCATENATE("Table!",ADDRESS($T115,MATCH(H$1,INDIRECT("Table!A" &amp; $AK115):INDIRECT("Table!" &amp; $AN$275 &amp; $AK115),0)))))</f>
        <v/>
      </c>
      <c r="I115" s="273"/>
      <c r="J115" s="273"/>
      <c r="K115" s="24" t="str">
        <f ca="1">IF(ISERROR(MATCH(L$1,INDIRECT("Table!A"&amp;$AK115):INDIRECT("Table!" &amp; $AN$275 &amp; $AK115),0)),"",INDIRECT(CONCATENATE("Table!",ADDRESS($T115,MATCH(L$1,INDIRECT("Table!A" &amp; $AK115):INDIRECT("Table!" &amp; $AN$275 &amp; $AK115),0)))))</f>
        <v/>
      </c>
      <c r="L115" s="24" t="str">
        <f ca="1">IF(ISERROR(MATCH(M$1,INDIRECT("Table!A"&amp;$AK115):INDIRECT("Table!" &amp; $AN$275 &amp; $AK115),0)),"",INDIRECT(CONCATENATE("Table!",ADDRESS($T115,MATCH(M$1,INDIRECT("Table!A" &amp; $AK115):INDIRECT("Table!" &amp; $AN$275 &amp; $AK115),0)))))</f>
        <v/>
      </c>
      <c r="M115" s="24" t="str">
        <f ca="1">IF(ISERROR(MATCH(N$1,INDIRECT("Table!A"&amp;$AK115):INDIRECT("Table!" &amp; $AN$275 &amp; $AK115),0)),"",INDIRECT(CONCATENATE("Table!",ADDRESS($T115,MATCH(N$1,INDIRECT("Table!A" &amp; $AK115):INDIRECT("Table!" &amp; $AN$275 &amp; $AK115),0)))))</f>
        <v/>
      </c>
      <c r="N115" s="24" t="str">
        <f ca="1">IF(ISERROR(MATCH(O$1,INDIRECT("Table!A"&amp;$AK115):INDIRECT("Table!" &amp; $AN$275 &amp; $AK115),0)),"",INDIRECT(CONCATENATE("Table!",ADDRESS($T115,MATCH(O$1,INDIRECT("Table!A" &amp; $AK115):INDIRECT("Table!" &amp; $AN$275 &amp; $AK115),0)))))</f>
        <v/>
      </c>
      <c r="O115" s="24" t="str">
        <f ca="1">IF(ISERROR(MATCH(P$1,INDIRECT("Table!A"&amp;$AK115):INDIRECT("Table!" &amp; $AN$275 &amp; $AK115),0)),"",INDIRECT(CONCATENATE("Table!",ADDRESS($T115,MATCH(P$1,INDIRECT("Table!A" &amp; $AK115):INDIRECT("Table!" &amp; $AN$275 &amp; $AK115),0)))))</f>
        <v/>
      </c>
      <c r="P115" s="273" t="str">
        <f ca="1">IF(ISERROR(MATCH(Q$1,INDIRECT("Table!A"&amp;$AK115):INDIRECT("Table!" &amp; $AN$275 &amp; $AK115),0)),"",INDIRECT(CONCATENATE("Table!",ADDRESS($T115,MATCH(Q$1,INDIRECT("Table!A" &amp; $AK115):INDIRECT("Table!" &amp; $AN$275 &amp; $AK115),0)))))</f>
        <v/>
      </c>
      <c r="Q115" s="220"/>
      <c r="R115" s="220"/>
      <c r="S115" s="220"/>
      <c r="T115" s="22"/>
      <c r="AI115" s="220"/>
      <c r="AJ115" s="220"/>
      <c r="AK115" s="22"/>
      <c r="AL115" s="220"/>
      <c r="AM115" s="220"/>
      <c r="AN115" s="22"/>
      <c r="AO115" s="27"/>
      <c r="AP115" s="27"/>
      <c r="AQ115" s="27"/>
    </row>
    <row r="116" spans="2:58" ht="19.5" customHeight="1" x14ac:dyDescent="0.25">
      <c r="B116" s="24"/>
      <c r="C116" s="24" t="str">
        <f ca="1">IF(ISERROR(MATCH(C$1,INDIRECT("Table!A"&amp;$AK116):INDIRECT("Table!" &amp; $AN$275 &amp; $AK116),0)),"",INDIRECT(CONCATENATE("Table!",ADDRESS($T116,MATCH(C$1,INDIRECT("Table!A" &amp; $AK116):INDIRECT("Table!" &amp; $AN$275 &amp; $AK116),0)))))</f>
        <v/>
      </c>
      <c r="D116" s="24" t="str">
        <f ca="1">IF(ISERROR(MATCH(D$1,INDIRECT("Table!A"&amp;$AK116):INDIRECT("Table!" &amp; $AN$275 &amp; $AK116),0)),"",INDIRECT(CONCATENATE("Table!",ADDRESS($T116,MATCH(D$1,INDIRECT("Table!A" &amp; $AK116):INDIRECT("Table!" &amp; $AN$275 &amp; $AK116),0)))))</f>
        <v/>
      </c>
      <c r="E116" s="24" t="str">
        <f ca="1">IF(ISERROR(MATCH(E$1,INDIRECT("Table!A"&amp;$AK116):INDIRECT("Table!" &amp; $AN$275 &amp; $AK116),0)),"",INDIRECT(CONCATENATE("Table!",ADDRESS($T116,MATCH(E$1,INDIRECT("Table!A" &amp; $AK116):INDIRECT("Table!" &amp; $AN$275 &amp; $AK116),0)))))</f>
        <v/>
      </c>
      <c r="F116" s="24" t="str">
        <f ca="1">IF(ISERROR(MATCH(F$1,INDIRECT("Table!A"&amp;$AK116):INDIRECT("Table!" &amp; $AN$275 &amp; $AK116),0)),"",INDIRECT(CONCATENATE("Table!",ADDRESS($T116,MATCH(F$1,INDIRECT("Table!A" &amp; $AK116):INDIRECT("Table!" &amp; $AN$275 &amp; $AK116),0)))))</f>
        <v/>
      </c>
      <c r="G116" s="24" t="str">
        <f ca="1">IF(ISERROR(MATCH(G$1,INDIRECT("Table!A"&amp;$AK116):INDIRECT("Table!" &amp; $AN$275 &amp; $AK116),0)),"",INDIRECT(CONCATENATE("Table!",ADDRESS($T116,MATCH(G$1,INDIRECT("Table!A" &amp; $AK116):INDIRECT("Table!" &amp; $AN$275 &amp; $AK116),0)))))</f>
        <v/>
      </c>
      <c r="H116" s="24" t="str">
        <f ca="1">IF(ISERROR(MATCH(H$1,INDIRECT("Table!A"&amp;$AK116):INDIRECT("Table!" &amp; $AN$275 &amp; $AK116),0)),"",INDIRECT(CONCATENATE("Table!",ADDRESS($T116,MATCH(H$1,INDIRECT("Table!A" &amp; $AK116):INDIRECT("Table!" &amp; $AN$275 &amp; $AK116),0)))))</f>
        <v/>
      </c>
      <c r="I116" s="273"/>
      <c r="J116" s="273"/>
      <c r="K116" s="24" t="str">
        <f ca="1">IF(ISERROR(MATCH(L$1,INDIRECT("Table!A"&amp;$AK116):INDIRECT("Table!" &amp; $AN$275 &amp; $AK116),0)),"",INDIRECT(CONCATENATE("Table!",ADDRESS($T116,MATCH(L$1,INDIRECT("Table!A" &amp; $AK116):INDIRECT("Table!" &amp; $AN$275 &amp; $AK116),0)))))</f>
        <v/>
      </c>
      <c r="L116" s="24" t="str">
        <f ca="1">IF(ISERROR(MATCH(M$1,INDIRECT("Table!A"&amp;$AK116):INDIRECT("Table!" &amp; $AN$275 &amp; $AK116),0)),"",INDIRECT(CONCATENATE("Table!",ADDRESS($T116,MATCH(M$1,INDIRECT("Table!A" &amp; $AK116):INDIRECT("Table!" &amp; $AN$275 &amp; $AK116),0)))))</f>
        <v/>
      </c>
      <c r="M116" s="24" t="str">
        <f ca="1">IF(ISERROR(MATCH(N$1,INDIRECT("Table!A"&amp;$AK116):INDIRECT("Table!" &amp; $AN$275 &amp; $AK116),0)),"",INDIRECT(CONCATENATE("Table!",ADDRESS($T116,MATCH(N$1,INDIRECT("Table!A" &amp; $AK116):INDIRECT("Table!" &amp; $AN$275 &amp; $AK116),0)))))</f>
        <v/>
      </c>
      <c r="N116" s="24" t="str">
        <f ca="1">IF(ISERROR(MATCH(O$1,INDIRECT("Table!A"&amp;$AK116):INDIRECT("Table!" &amp; $AN$275 &amp; $AK116),0)),"",INDIRECT(CONCATENATE("Table!",ADDRESS($T116,MATCH(O$1,INDIRECT("Table!A" &amp; $AK116):INDIRECT("Table!" &amp; $AN$275 &amp; $AK116),0)))))</f>
        <v/>
      </c>
      <c r="O116" s="24" t="str">
        <f ca="1">IF(ISERROR(MATCH(P$1,INDIRECT("Table!A"&amp;$AK116):INDIRECT("Table!" &amp; $AN$275 &amp; $AK116),0)),"",INDIRECT(CONCATENATE("Table!",ADDRESS($T116,MATCH(P$1,INDIRECT("Table!A" &amp; $AK116):INDIRECT("Table!" &amp; $AN$275 &amp; $AK116),0)))))</f>
        <v/>
      </c>
      <c r="P116" s="273" t="str">
        <f ca="1">IF(ISERROR(MATCH(Q$1,INDIRECT("Table!A"&amp;$AK116):INDIRECT("Table!" &amp; $AN$275 &amp; $AK116),0)),"",INDIRECT(CONCATENATE("Table!",ADDRESS($T116,MATCH(Q$1,INDIRECT("Table!A" &amp; $AK116):INDIRECT("Table!" &amp; $AN$275 &amp; $AK116),0)))))</f>
        <v/>
      </c>
      <c r="Q116" s="219"/>
      <c r="R116" s="219"/>
      <c r="S116" s="219"/>
      <c r="T116" s="22"/>
      <c r="AI116" s="219"/>
      <c r="AJ116" s="219"/>
      <c r="AK116" s="22"/>
      <c r="AL116" s="219"/>
      <c r="AM116" s="219"/>
      <c r="AN116" s="22"/>
      <c r="AO116" s="25"/>
      <c r="AP116" s="25"/>
      <c r="AQ116" s="25"/>
    </row>
    <row r="117" spans="2:58" ht="19.5" customHeight="1" x14ac:dyDescent="0.25">
      <c r="B117" s="24"/>
      <c r="C117" s="24" t="str">
        <f ca="1">IF(ISERROR(MATCH(C$1,INDIRECT("Table!A"&amp;$AK117):INDIRECT("Table!" &amp; $AN$275 &amp; $AK117),0)),"",INDIRECT(CONCATENATE("Table!",ADDRESS($T117,MATCH(C$1,INDIRECT("Table!A" &amp; $AK117):INDIRECT("Table!" &amp; $AN$275 &amp; $AK117),0)))))</f>
        <v/>
      </c>
      <c r="D117" s="24" t="str">
        <f ca="1">IF(ISERROR(MATCH(D$1,INDIRECT("Table!A"&amp;$AK117):INDIRECT("Table!" &amp; $AN$275 &amp; $AK117),0)),"",INDIRECT(CONCATENATE("Table!",ADDRESS($T117,MATCH(D$1,INDIRECT("Table!A" &amp; $AK117):INDIRECT("Table!" &amp; $AN$275 &amp; $AK117),0)))))</f>
        <v/>
      </c>
      <c r="E117" s="24" t="str">
        <f ca="1">IF(ISERROR(MATCH(E$1,INDIRECT("Table!A"&amp;$AK117):INDIRECT("Table!" &amp; $AN$275 &amp; $AK117),0)),"",INDIRECT(CONCATENATE("Table!",ADDRESS($T117,MATCH(E$1,INDIRECT("Table!A" &amp; $AK117):INDIRECT("Table!" &amp; $AN$275 &amp; $AK117),0)))))</f>
        <v/>
      </c>
      <c r="F117" s="24" t="str">
        <f ca="1">IF(ISERROR(MATCH(F$1,INDIRECT("Table!A"&amp;$AK117):INDIRECT("Table!" &amp; $AN$275 &amp; $AK117),0)),"",INDIRECT(CONCATENATE("Table!",ADDRESS($T117,MATCH(F$1,INDIRECT("Table!A" &amp; $AK117):INDIRECT("Table!" &amp; $AN$275 &amp; $AK117),0)))))</f>
        <v/>
      </c>
      <c r="G117" s="24" t="str">
        <f ca="1">IF(ISERROR(MATCH(G$1,INDIRECT("Table!A"&amp;$AK117):INDIRECT("Table!" &amp; $AN$275 &amp; $AK117),0)),"",INDIRECT(CONCATENATE("Table!",ADDRESS($T117,MATCH(G$1,INDIRECT("Table!A" &amp; $AK117):INDIRECT("Table!" &amp; $AN$275 &amp; $AK117),0)))))</f>
        <v/>
      </c>
      <c r="H117" s="24" t="str">
        <f ca="1">IF(ISERROR(MATCH(H$1,INDIRECT("Table!A"&amp;$AK117):INDIRECT("Table!" &amp; $AN$275 &amp; $AK117),0)),"",INDIRECT(CONCATENATE("Table!",ADDRESS($T117,MATCH(H$1,INDIRECT("Table!A" &amp; $AK117):INDIRECT("Table!" &amp; $AN$275 &amp; $AK117),0)))))</f>
        <v/>
      </c>
      <c r="I117" s="273"/>
      <c r="J117" s="273"/>
      <c r="K117" s="24" t="str">
        <f ca="1">IF(ISERROR(MATCH(L$1,INDIRECT("Table!A"&amp;$AK117):INDIRECT("Table!" &amp; $AN$275 &amp; $AK117),0)),"",INDIRECT(CONCATENATE("Table!",ADDRESS($T117,MATCH(L$1,INDIRECT("Table!A" &amp; $AK117):INDIRECT("Table!" &amp; $AN$275 &amp; $AK117),0)))))</f>
        <v/>
      </c>
      <c r="L117" s="24" t="str">
        <f ca="1">IF(ISERROR(MATCH(M$1,INDIRECT("Table!A"&amp;$AK117):INDIRECT("Table!" &amp; $AN$275 &amp; $AK117),0)),"",INDIRECT(CONCATENATE("Table!",ADDRESS($T117,MATCH(M$1,INDIRECT("Table!A" &amp; $AK117):INDIRECT("Table!" &amp; $AN$275 &amp; $AK117),0)))))</f>
        <v/>
      </c>
      <c r="M117" s="24" t="str">
        <f ca="1">IF(ISERROR(MATCH(N$1,INDIRECT("Table!A"&amp;$AK117):INDIRECT("Table!" &amp; $AN$275 &amp; $AK117),0)),"",INDIRECT(CONCATENATE("Table!",ADDRESS($T117,MATCH(N$1,INDIRECT("Table!A" &amp; $AK117):INDIRECT("Table!" &amp; $AN$275 &amp; $AK117),0)))))</f>
        <v/>
      </c>
      <c r="N117" s="24" t="str">
        <f ca="1">IF(ISERROR(MATCH(O$1,INDIRECT("Table!A"&amp;$AK117):INDIRECT("Table!" &amp; $AN$275 &amp; $AK117),0)),"",INDIRECT(CONCATENATE("Table!",ADDRESS($T117,MATCH(O$1,INDIRECT("Table!A" &amp; $AK117):INDIRECT("Table!" &amp; $AN$275 &amp; $AK117),0)))))</f>
        <v/>
      </c>
      <c r="O117" s="24" t="str">
        <f ca="1">IF(ISERROR(MATCH(P$1,INDIRECT("Table!A"&amp;$AK117):INDIRECT("Table!" &amp; $AN$275 &amp; $AK117),0)),"",INDIRECT(CONCATENATE("Table!",ADDRESS($T117,MATCH(P$1,INDIRECT("Table!A" &amp; $AK117):INDIRECT("Table!" &amp; $AN$275 &amp; $AK117),0)))))</f>
        <v/>
      </c>
      <c r="P117" s="273" t="str">
        <f ca="1">IF(ISERROR(MATCH(Q$1,INDIRECT("Table!A"&amp;$AK117):INDIRECT("Table!" &amp; $AN$275 &amp; $AK117),0)),"",INDIRECT(CONCATENATE("Table!",ADDRESS($T117,MATCH(Q$1,INDIRECT("Table!A" &amp; $AK117):INDIRECT("Table!" &amp; $AN$275 &amp; $AK117),0)))))</f>
        <v/>
      </c>
      <c r="Q117" s="218"/>
      <c r="R117" s="218"/>
      <c r="S117" s="218"/>
      <c r="T117" s="22"/>
      <c r="AI117" s="218"/>
      <c r="AJ117" s="218"/>
      <c r="AK117" s="22"/>
      <c r="AL117" s="218"/>
      <c r="AM117" s="218"/>
      <c r="AN117" s="22"/>
      <c r="AO117" s="25"/>
      <c r="AP117" s="25"/>
      <c r="AQ117" s="25"/>
    </row>
    <row r="118" spans="2:58" ht="19.5" customHeight="1" x14ac:dyDescent="0.25">
      <c r="B118" s="24"/>
      <c r="C118" s="24" t="str">
        <f ca="1">IF(ISERROR(MATCH(C$1,INDIRECT("Table!A"&amp;$AK118):INDIRECT("Table!" &amp; $AN$275 &amp; $AK118),0)),"",INDIRECT(CONCATENATE("Table!",ADDRESS($T118,MATCH(C$1,INDIRECT("Table!A" &amp; $AK118):INDIRECT("Table!" &amp; $AN$275 &amp; $AK118),0)))))</f>
        <v/>
      </c>
      <c r="D118" s="24" t="str">
        <f ca="1">IF(ISERROR(MATCH(D$1,INDIRECT("Table!A"&amp;$AK118):INDIRECT("Table!" &amp; $AN$275 &amp; $AK118),0)),"",INDIRECT(CONCATENATE("Table!",ADDRESS($T118,MATCH(D$1,INDIRECT("Table!A" &amp; $AK118):INDIRECT("Table!" &amp; $AN$275 &amp; $AK118),0)))))</f>
        <v/>
      </c>
      <c r="E118" s="24" t="str">
        <f ca="1">IF(ISERROR(MATCH(E$1,INDIRECT("Table!A"&amp;$AK118):INDIRECT("Table!" &amp; $AN$275 &amp; $AK118),0)),"",INDIRECT(CONCATENATE("Table!",ADDRESS($T118,MATCH(E$1,INDIRECT("Table!A" &amp; $AK118):INDIRECT("Table!" &amp; $AN$275 &amp; $AK118),0)))))</f>
        <v/>
      </c>
      <c r="F118" s="24" t="str">
        <f ca="1">IF(ISERROR(MATCH(F$1,INDIRECT("Table!A"&amp;$AK118):INDIRECT("Table!" &amp; $AN$275 &amp; $AK118),0)),"",INDIRECT(CONCATENATE("Table!",ADDRESS($T118,MATCH(F$1,INDIRECT("Table!A" &amp; $AK118):INDIRECT("Table!" &amp; $AN$275 &amp; $AK118),0)))))</f>
        <v/>
      </c>
      <c r="G118" s="24" t="str">
        <f ca="1">IF(ISERROR(MATCH(G$1,INDIRECT("Table!A"&amp;$AK118):INDIRECT("Table!" &amp; $AN$275 &amp; $AK118),0)),"",INDIRECT(CONCATENATE("Table!",ADDRESS($T118,MATCH(G$1,INDIRECT("Table!A" &amp; $AK118):INDIRECT("Table!" &amp; $AN$275 &amp; $AK118),0)))))</f>
        <v/>
      </c>
      <c r="H118" s="24" t="str">
        <f ca="1">IF(ISERROR(MATCH(H$1,INDIRECT("Table!A"&amp;$AK118):INDIRECT("Table!" &amp; $AN$275 &amp; $AK118),0)),"",INDIRECT(CONCATENATE("Table!",ADDRESS($T118,MATCH(H$1,INDIRECT("Table!A" &amp; $AK118):INDIRECT("Table!" &amp; $AN$275 &amp; $AK118),0)))))</f>
        <v/>
      </c>
      <c r="I118" s="273"/>
      <c r="J118" s="273"/>
      <c r="K118" s="24" t="str">
        <f ca="1">IF(ISERROR(MATCH(L$1,INDIRECT("Table!A"&amp;$AK118):INDIRECT("Table!" &amp; $AN$275 &amp; $AK118),0)),"",INDIRECT(CONCATENATE("Table!",ADDRESS($T118,MATCH(L$1,INDIRECT("Table!A" &amp; $AK118):INDIRECT("Table!" &amp; $AN$275 &amp; $AK118),0)))))</f>
        <v/>
      </c>
      <c r="L118" s="24" t="str">
        <f ca="1">IF(ISERROR(MATCH(M$1,INDIRECT("Table!A"&amp;$AK118):INDIRECT("Table!" &amp; $AN$275 &amp; $AK118),0)),"",INDIRECT(CONCATENATE("Table!",ADDRESS($T118,MATCH(M$1,INDIRECT("Table!A" &amp; $AK118):INDIRECT("Table!" &amp; $AN$275 &amp; $AK118),0)))))</f>
        <v/>
      </c>
      <c r="M118" s="24" t="str">
        <f ca="1">IF(ISERROR(MATCH(N$1,INDIRECT("Table!A"&amp;$AK118):INDIRECT("Table!" &amp; $AN$275 &amp; $AK118),0)),"",INDIRECT(CONCATENATE("Table!",ADDRESS($T118,MATCH(N$1,INDIRECT("Table!A" &amp; $AK118):INDIRECT("Table!" &amp; $AN$275 &amp; $AK118),0)))))</f>
        <v/>
      </c>
      <c r="N118" s="24" t="str">
        <f ca="1">IF(ISERROR(MATCH(O$1,INDIRECT("Table!A"&amp;$AK118):INDIRECT("Table!" &amp; $AN$275 &amp; $AK118),0)),"",INDIRECT(CONCATENATE("Table!",ADDRESS($T118,MATCH(O$1,INDIRECT("Table!A" &amp; $AK118):INDIRECT("Table!" &amp; $AN$275 &amp; $AK118),0)))))</f>
        <v/>
      </c>
      <c r="O118" s="24" t="str">
        <f ca="1">IF(ISERROR(MATCH(P$1,INDIRECT("Table!A"&amp;$AK118):INDIRECT("Table!" &amp; $AN$275 &amp; $AK118),0)),"",INDIRECT(CONCATENATE("Table!",ADDRESS($T118,MATCH(P$1,INDIRECT("Table!A" &amp; $AK118):INDIRECT("Table!" &amp; $AN$275 &amp; $AK118),0)))))</f>
        <v/>
      </c>
      <c r="P118" s="273" t="str">
        <f ca="1">IF(ISERROR(MATCH(Q$1,INDIRECT("Table!A"&amp;$AK118):INDIRECT("Table!" &amp; $AN$275 &amp; $AK118),0)),"",INDIRECT(CONCATENATE("Table!",ADDRESS($T118,MATCH(Q$1,INDIRECT("Table!A" &amp; $AK118):INDIRECT("Table!" &amp; $AN$275 &amp; $AK118),0)))))</f>
        <v/>
      </c>
      <c r="Q118" s="217"/>
      <c r="R118" s="217"/>
      <c r="S118" s="217"/>
      <c r="T118" s="22"/>
      <c r="AI118" s="217"/>
      <c r="AJ118" s="217"/>
      <c r="AK118" s="22"/>
      <c r="AL118" s="217"/>
      <c r="AM118" s="217"/>
      <c r="AN118" s="22"/>
      <c r="AO118" s="25"/>
      <c r="AP118" s="25"/>
      <c r="AQ118" s="25"/>
    </row>
    <row r="119" spans="2:58" ht="19.5" customHeight="1" x14ac:dyDescent="0.25">
      <c r="B119" s="24"/>
      <c r="C119" s="24" t="str">
        <f ca="1">IF(ISERROR(MATCH(C$1,INDIRECT("Table!A"&amp;$AK119):INDIRECT("Table!" &amp; $AN$275 &amp; $AK119),0)),"",INDIRECT(CONCATENATE("Table!",ADDRESS($T119,MATCH(C$1,INDIRECT("Table!A" &amp; $AK119):INDIRECT("Table!" &amp; $AN$275 &amp; $AK119),0)))))</f>
        <v/>
      </c>
      <c r="D119" s="24" t="str">
        <f ca="1">IF(ISERROR(MATCH(D$1,INDIRECT("Table!A"&amp;$AK119):INDIRECT("Table!" &amp; $AN$275 &amp; $AK119),0)),"",INDIRECT(CONCATENATE("Table!",ADDRESS($T119,MATCH(D$1,INDIRECT("Table!A" &amp; $AK119):INDIRECT("Table!" &amp; $AN$275 &amp; $AK119),0)))))</f>
        <v/>
      </c>
      <c r="E119" s="24" t="str">
        <f ca="1">IF(ISERROR(MATCH(E$1,INDIRECT("Table!A"&amp;$AK119):INDIRECT("Table!" &amp; $AN$275 &amp; $AK119),0)),"",INDIRECT(CONCATENATE("Table!",ADDRESS($T119,MATCH(E$1,INDIRECT("Table!A" &amp; $AK119):INDIRECT("Table!" &amp; $AN$275 &amp; $AK119),0)))))</f>
        <v/>
      </c>
      <c r="F119" s="24" t="str">
        <f ca="1">IF(ISERROR(MATCH(F$1,INDIRECT("Table!A"&amp;$AK119):INDIRECT("Table!" &amp; $AN$275 &amp; $AK119),0)),"",INDIRECT(CONCATENATE("Table!",ADDRESS($T119,MATCH(F$1,INDIRECT("Table!A" &amp; $AK119):INDIRECT("Table!" &amp; $AN$275 &amp; $AK119),0)))))</f>
        <v/>
      </c>
      <c r="G119" s="24" t="str">
        <f ca="1">IF(ISERROR(MATCH(G$1,INDIRECT("Table!A"&amp;$AK119):INDIRECT("Table!" &amp; $AN$275 &amp; $AK119),0)),"",INDIRECT(CONCATENATE("Table!",ADDRESS($T119,MATCH(G$1,INDIRECT("Table!A" &amp; $AK119):INDIRECT("Table!" &amp; $AN$275 &amp; $AK119),0)))))</f>
        <v/>
      </c>
      <c r="H119" s="24" t="str">
        <f ca="1">IF(ISERROR(MATCH(H$1,INDIRECT("Table!A"&amp;$AK119):INDIRECT("Table!" &amp; $AN$275 &amp; $AK119),0)),"",INDIRECT(CONCATENATE("Table!",ADDRESS($T119,MATCH(H$1,INDIRECT("Table!A" &amp; $AK119):INDIRECT("Table!" &amp; $AN$275 &amp; $AK119),0)))))</f>
        <v/>
      </c>
      <c r="I119" s="273"/>
      <c r="J119" s="273"/>
      <c r="K119" s="24" t="str">
        <f ca="1">IF(ISERROR(MATCH(L$1,INDIRECT("Table!A"&amp;$AK119):INDIRECT("Table!" &amp; $AN$275 &amp; $AK119),0)),"",INDIRECT(CONCATENATE("Table!",ADDRESS($T119,MATCH(L$1,INDIRECT("Table!A" &amp; $AK119):INDIRECT("Table!" &amp; $AN$275 &amp; $AK119),0)))))</f>
        <v/>
      </c>
      <c r="L119" s="24" t="str">
        <f ca="1">IF(ISERROR(MATCH(M$1,INDIRECT("Table!A"&amp;$AK119):INDIRECT("Table!" &amp; $AN$275 &amp; $AK119),0)),"",INDIRECT(CONCATENATE("Table!",ADDRESS($T119,MATCH(M$1,INDIRECT("Table!A" &amp; $AK119):INDIRECT("Table!" &amp; $AN$275 &amp; $AK119),0)))))</f>
        <v/>
      </c>
      <c r="M119" s="24" t="str">
        <f ca="1">IF(ISERROR(MATCH(N$1,INDIRECT("Table!A"&amp;$AK119):INDIRECT("Table!" &amp; $AN$275 &amp; $AK119),0)),"",INDIRECT(CONCATENATE("Table!",ADDRESS($T119,MATCH(N$1,INDIRECT("Table!A" &amp; $AK119):INDIRECT("Table!" &amp; $AN$275 &amp; $AK119),0)))))</f>
        <v/>
      </c>
      <c r="N119" s="24" t="str">
        <f ca="1">IF(ISERROR(MATCH(O$1,INDIRECT("Table!A"&amp;$AK119):INDIRECT("Table!" &amp; $AN$275 &amp; $AK119),0)),"",INDIRECT(CONCATENATE("Table!",ADDRESS($T119,MATCH(O$1,INDIRECT("Table!A" &amp; $AK119):INDIRECT("Table!" &amp; $AN$275 &amp; $AK119),0)))))</f>
        <v/>
      </c>
      <c r="O119" s="24" t="str">
        <f ca="1">IF(ISERROR(MATCH(P$1,INDIRECT("Table!A"&amp;$AK119):INDIRECT("Table!" &amp; $AN$275 &amp; $AK119),0)),"",INDIRECT(CONCATENATE("Table!",ADDRESS($T119,MATCH(P$1,INDIRECT("Table!A" &amp; $AK119):INDIRECT("Table!" &amp; $AN$275 &amp; $AK119),0)))))</f>
        <v/>
      </c>
      <c r="P119" s="273" t="str">
        <f ca="1">IF(ISERROR(MATCH(Q$1,INDIRECT("Table!A"&amp;$AK119):INDIRECT("Table!" &amp; $AN$275 &amp; $AK119),0)),"",INDIRECT(CONCATENATE("Table!",ADDRESS($T119,MATCH(Q$1,INDIRECT("Table!A" &amp; $AK119):INDIRECT("Table!" &amp; $AN$275 &amp; $AK119),0)))))</f>
        <v/>
      </c>
      <c r="Q119" s="216"/>
      <c r="R119" s="216"/>
      <c r="S119" s="216"/>
      <c r="T119" s="22"/>
      <c r="AI119" s="216"/>
      <c r="AJ119" s="216"/>
      <c r="AK119" s="22"/>
      <c r="AL119" s="216"/>
      <c r="AM119" s="216"/>
      <c r="AN119" s="22"/>
      <c r="AO119" s="25"/>
      <c r="AP119" s="25"/>
      <c r="AQ119" s="25"/>
    </row>
    <row r="120" spans="2:58" ht="19.5" customHeight="1" x14ac:dyDescent="0.25">
      <c r="B120" s="24"/>
      <c r="C120" s="24" t="str">
        <f ca="1">IF(ISERROR(MATCH(C$1,INDIRECT("Table!A"&amp;$AK120):INDIRECT("Table!" &amp; $AN$275 &amp; $AK120),0)),"",INDIRECT(CONCATENATE("Table!",ADDRESS($T120,MATCH(C$1,INDIRECT("Table!A" &amp; $AK120):INDIRECT("Table!" &amp; $AN$275 &amp; $AK120),0)))))</f>
        <v/>
      </c>
      <c r="D120" s="24" t="str">
        <f ca="1">IF(ISERROR(MATCH(D$1,INDIRECT("Table!A"&amp;$AK120):INDIRECT("Table!" &amp; $AN$275 &amp; $AK120),0)),"",INDIRECT(CONCATENATE("Table!",ADDRESS($T120,MATCH(D$1,INDIRECT("Table!A" &amp; $AK120):INDIRECT("Table!" &amp; $AN$275 &amp; $AK120),0)))))</f>
        <v/>
      </c>
      <c r="E120" s="24" t="str">
        <f ca="1">IF(ISERROR(MATCH(E$1,INDIRECT("Table!A"&amp;$AK120):INDIRECT("Table!" &amp; $AN$275 &amp; $AK120),0)),"",INDIRECT(CONCATENATE("Table!",ADDRESS($T120,MATCH(E$1,INDIRECT("Table!A" &amp; $AK120):INDIRECT("Table!" &amp; $AN$275 &amp; $AK120),0)))))</f>
        <v/>
      </c>
      <c r="F120" s="24" t="str">
        <f ca="1">IF(ISERROR(MATCH(F$1,INDIRECT("Table!A"&amp;$AK120):INDIRECT("Table!" &amp; $AN$275 &amp; $AK120),0)),"",INDIRECT(CONCATENATE("Table!",ADDRESS($T120,MATCH(F$1,INDIRECT("Table!A" &amp; $AK120):INDIRECT("Table!" &amp; $AN$275 &amp; $AK120),0)))))</f>
        <v/>
      </c>
      <c r="G120" s="24" t="str">
        <f ca="1">IF(ISERROR(MATCH(G$1,INDIRECT("Table!A"&amp;$AK120):INDIRECT("Table!" &amp; $AN$275 &amp; $AK120),0)),"",INDIRECT(CONCATENATE("Table!",ADDRESS($T120,MATCH(G$1,INDIRECT("Table!A" &amp; $AK120):INDIRECT("Table!" &amp; $AN$275 &amp; $AK120),0)))))</f>
        <v/>
      </c>
      <c r="H120" s="24" t="str">
        <f ca="1">IF(ISERROR(MATCH(H$1,INDIRECT("Table!A"&amp;$AK120):INDIRECT("Table!" &amp; $AN$275 &amp; $AK120),0)),"",INDIRECT(CONCATENATE("Table!",ADDRESS($T120,MATCH(H$1,INDIRECT("Table!A" &amp; $AK120):INDIRECT("Table!" &amp; $AN$275 &amp; $AK120),0)))))</f>
        <v/>
      </c>
      <c r="I120" s="273"/>
      <c r="J120" s="273"/>
      <c r="K120" s="24" t="str">
        <f ca="1">IF(ISERROR(MATCH(L$1,INDIRECT("Table!A"&amp;$AK120):INDIRECT("Table!" &amp; $AN$275 &amp; $AK120),0)),"",INDIRECT(CONCATENATE("Table!",ADDRESS($T120,MATCH(L$1,INDIRECT("Table!A" &amp; $AK120):INDIRECT("Table!" &amp; $AN$275 &amp; $AK120),0)))))</f>
        <v/>
      </c>
      <c r="L120" s="24" t="str">
        <f ca="1">IF(ISERROR(MATCH(M$1,INDIRECT("Table!A"&amp;$AK120):INDIRECT("Table!" &amp; $AN$275 &amp; $AK120),0)),"",INDIRECT(CONCATENATE("Table!",ADDRESS($T120,MATCH(M$1,INDIRECT("Table!A" &amp; $AK120):INDIRECT("Table!" &amp; $AN$275 &amp; $AK120),0)))))</f>
        <v/>
      </c>
      <c r="M120" s="24" t="str">
        <f ca="1">IF(ISERROR(MATCH(N$1,INDIRECT("Table!A"&amp;$AK120):INDIRECT("Table!" &amp; $AN$275 &amp; $AK120),0)),"",INDIRECT(CONCATENATE("Table!",ADDRESS($T120,MATCH(N$1,INDIRECT("Table!A" &amp; $AK120):INDIRECT("Table!" &amp; $AN$275 &amp; $AK120),0)))))</f>
        <v/>
      </c>
      <c r="N120" s="24" t="str">
        <f ca="1">IF(ISERROR(MATCH(O$1,INDIRECT("Table!A"&amp;$AK120):INDIRECT("Table!" &amp; $AN$275 &amp; $AK120),0)),"",INDIRECT(CONCATENATE("Table!",ADDRESS($T120,MATCH(O$1,INDIRECT("Table!A" &amp; $AK120):INDIRECT("Table!" &amp; $AN$275 &amp; $AK120),0)))))</f>
        <v/>
      </c>
      <c r="O120" s="24" t="str">
        <f ca="1">IF(ISERROR(MATCH(P$1,INDIRECT("Table!A"&amp;$AK120):INDIRECT("Table!" &amp; $AN$275 &amp; $AK120),0)),"",INDIRECT(CONCATENATE("Table!",ADDRESS($T120,MATCH(P$1,INDIRECT("Table!A" &amp; $AK120):INDIRECT("Table!" &amp; $AN$275 &amp; $AK120),0)))))</f>
        <v/>
      </c>
      <c r="P120" s="273" t="str">
        <f ca="1">IF(ISERROR(MATCH(Q$1,INDIRECT("Table!A"&amp;$AK120):INDIRECT("Table!" &amp; $AN$275 &amp; $AK120),0)),"",INDIRECT(CONCATENATE("Table!",ADDRESS($T120,MATCH(Q$1,INDIRECT("Table!A" &amp; $AK120):INDIRECT("Table!" &amp; $AN$275 &amp; $AK120),0)))))</f>
        <v/>
      </c>
      <c r="Q120" s="215"/>
      <c r="R120" s="215"/>
      <c r="S120" s="215"/>
      <c r="T120" s="22"/>
      <c r="AI120" s="215"/>
      <c r="AJ120" s="215"/>
      <c r="AK120" s="22"/>
      <c r="AL120" s="215"/>
      <c r="AM120" s="215"/>
      <c r="AN120" s="22"/>
      <c r="AO120" s="25"/>
      <c r="AP120" s="25"/>
      <c r="AQ120" s="25"/>
    </row>
    <row r="121" spans="2:58" ht="19.5" customHeight="1" x14ac:dyDescent="0.25">
      <c r="B121" s="24"/>
      <c r="C121" s="24" t="str">
        <f ca="1">IF(ISERROR(MATCH(C$1,INDIRECT("Table!A"&amp;$AK121):INDIRECT("Table!" &amp; $AN$275 &amp; $AK121),0)),"",INDIRECT(CONCATENATE("Table!",ADDRESS($T121,MATCH(C$1,INDIRECT("Table!A" &amp; $AK121):INDIRECT("Table!" &amp; $AN$275 &amp; $AK121),0)))))</f>
        <v/>
      </c>
      <c r="D121" s="24" t="str">
        <f ca="1">IF(ISERROR(MATCH(D$1,INDIRECT("Table!A"&amp;$AK121):INDIRECT("Table!" &amp; $AN$275 &amp; $AK121),0)),"",INDIRECT(CONCATENATE("Table!",ADDRESS($T121,MATCH(D$1,INDIRECT("Table!A" &amp; $AK121):INDIRECT("Table!" &amp; $AN$275 &amp; $AK121),0)))))</f>
        <v/>
      </c>
      <c r="E121" s="24" t="str">
        <f ca="1">IF(ISERROR(MATCH(E$1,INDIRECT("Table!A"&amp;$AK121):INDIRECT("Table!" &amp; $AN$275 &amp; $AK121),0)),"",INDIRECT(CONCATENATE("Table!",ADDRESS($T121,MATCH(E$1,INDIRECT("Table!A" &amp; $AK121):INDIRECT("Table!" &amp; $AN$275 &amp; $AK121),0)))))</f>
        <v/>
      </c>
      <c r="F121" s="24" t="str">
        <f ca="1">IF(ISERROR(MATCH(F$1,INDIRECT("Table!A"&amp;$AK121):INDIRECT("Table!" &amp; $AN$275 &amp; $AK121),0)),"",INDIRECT(CONCATENATE("Table!",ADDRESS($T121,MATCH(F$1,INDIRECT("Table!A" &amp; $AK121):INDIRECT("Table!" &amp; $AN$275 &amp; $AK121),0)))))</f>
        <v/>
      </c>
      <c r="G121" s="24" t="str">
        <f ca="1">IF(ISERROR(MATCH(G$1,INDIRECT("Table!A"&amp;$AK121):INDIRECT("Table!" &amp; $AN$275 &amp; $AK121),0)),"",INDIRECT(CONCATENATE("Table!",ADDRESS($T121,MATCH(G$1,INDIRECT("Table!A" &amp; $AK121):INDIRECT("Table!" &amp; $AN$275 &amp; $AK121),0)))))</f>
        <v/>
      </c>
      <c r="H121" s="24" t="str">
        <f ca="1">IF(ISERROR(MATCH(H$1,INDIRECT("Table!A"&amp;$AK121):INDIRECT("Table!" &amp; $AN$275 &amp; $AK121),0)),"",INDIRECT(CONCATENATE("Table!",ADDRESS($T121,MATCH(H$1,INDIRECT("Table!A" &amp; $AK121):INDIRECT("Table!" &amp; $AN$275 &amp; $AK121),0)))))</f>
        <v/>
      </c>
      <c r="I121" s="273"/>
      <c r="J121" s="273"/>
      <c r="K121" s="24" t="str">
        <f ca="1">IF(ISERROR(MATCH(L$1,INDIRECT("Table!A"&amp;$AK121):INDIRECT("Table!" &amp; $AN$275 &amp; $AK121),0)),"",INDIRECT(CONCATENATE("Table!",ADDRESS($T121,MATCH(L$1,INDIRECT("Table!A" &amp; $AK121):INDIRECT("Table!" &amp; $AN$275 &amp; $AK121),0)))))</f>
        <v/>
      </c>
      <c r="L121" s="24" t="str">
        <f ca="1">IF(ISERROR(MATCH(M$1,INDIRECT("Table!A"&amp;$AK121):INDIRECT("Table!" &amp; $AN$275 &amp; $AK121),0)),"",INDIRECT(CONCATENATE("Table!",ADDRESS($T121,MATCH(M$1,INDIRECT("Table!A" &amp; $AK121):INDIRECT("Table!" &amp; $AN$275 &amp; $AK121),0)))))</f>
        <v/>
      </c>
      <c r="M121" s="24" t="str">
        <f ca="1">IF(ISERROR(MATCH(N$1,INDIRECT("Table!A"&amp;$AK121):INDIRECT("Table!" &amp; $AN$275 &amp; $AK121),0)),"",INDIRECT(CONCATENATE("Table!",ADDRESS($T121,MATCH(N$1,INDIRECT("Table!A" &amp; $AK121):INDIRECT("Table!" &amp; $AN$275 &amp; $AK121),0)))))</f>
        <v/>
      </c>
      <c r="N121" s="24" t="str">
        <f ca="1">IF(ISERROR(MATCH(O$1,INDIRECT("Table!A"&amp;$AK121):INDIRECT("Table!" &amp; $AN$275 &amp; $AK121),0)),"",INDIRECT(CONCATENATE("Table!",ADDRESS($T121,MATCH(O$1,INDIRECT("Table!A" &amp; $AK121):INDIRECT("Table!" &amp; $AN$275 &amp; $AK121),0)))))</f>
        <v/>
      </c>
      <c r="O121" s="24" t="str">
        <f ca="1">IF(ISERROR(MATCH(P$1,INDIRECT("Table!A"&amp;$AK121):INDIRECT("Table!" &amp; $AN$275 &amp; $AK121),0)),"",INDIRECT(CONCATENATE("Table!",ADDRESS($T121,MATCH(P$1,INDIRECT("Table!A" &amp; $AK121):INDIRECT("Table!" &amp; $AN$275 &amp; $AK121),0)))))</f>
        <v/>
      </c>
      <c r="P121" s="273" t="str">
        <f ca="1">IF(ISERROR(MATCH(Q$1,INDIRECT("Table!A"&amp;$AK121):INDIRECT("Table!" &amp; $AN$275 &amp; $AK121),0)),"",INDIRECT(CONCATENATE("Table!",ADDRESS($T121,MATCH(Q$1,INDIRECT("Table!A" &amp; $AK121):INDIRECT("Table!" &amp; $AN$275 &amp; $AK121),0)))))</f>
        <v/>
      </c>
      <c r="Q121" s="214"/>
      <c r="R121" s="214"/>
      <c r="S121" s="214"/>
      <c r="T121" s="22"/>
      <c r="AI121" s="214"/>
      <c r="AJ121" s="214"/>
      <c r="AK121" s="22"/>
      <c r="AL121" s="214"/>
      <c r="AM121" s="214"/>
      <c r="AN121" s="22"/>
      <c r="AO121" s="25"/>
      <c r="AP121" s="25"/>
      <c r="AQ121" s="25"/>
    </row>
    <row r="122" spans="2:58" ht="19.5" customHeight="1" x14ac:dyDescent="0.25">
      <c r="B122" s="24"/>
      <c r="C122" s="24" t="str">
        <f ca="1">IF(ISERROR(MATCH(C$1,INDIRECT("Table!A"&amp;$AK122):INDIRECT("Table!" &amp; $AN$275 &amp; $AK122),0)),"",INDIRECT(CONCATENATE("Table!",ADDRESS($T122,MATCH(C$1,INDIRECT("Table!A" &amp; $AK122):INDIRECT("Table!" &amp; $AN$275 &amp; $AK122),0)))))</f>
        <v/>
      </c>
      <c r="D122" s="24" t="str">
        <f ca="1">IF(ISERROR(MATCH(D$1,INDIRECT("Table!A"&amp;$AK122):INDIRECT("Table!" &amp; $AN$275 &amp; $AK122),0)),"",INDIRECT(CONCATENATE("Table!",ADDRESS($T122,MATCH(D$1,INDIRECT("Table!A" &amp; $AK122):INDIRECT("Table!" &amp; $AN$275 &amp; $AK122),0)))))</f>
        <v/>
      </c>
      <c r="E122" s="24" t="str">
        <f ca="1">IF(ISERROR(MATCH(E$1,INDIRECT("Table!A"&amp;$AK122):INDIRECT("Table!" &amp; $AN$275 &amp; $AK122),0)),"",INDIRECT(CONCATENATE("Table!",ADDRESS($T122,MATCH(E$1,INDIRECT("Table!A" &amp; $AK122):INDIRECT("Table!" &amp; $AN$275 &amp; $AK122),0)))))</f>
        <v/>
      </c>
      <c r="F122" s="24" t="str">
        <f ca="1">IF(ISERROR(MATCH(F$1,INDIRECT("Table!A"&amp;$AK122):INDIRECT("Table!" &amp; $AN$275 &amp; $AK122),0)),"",INDIRECT(CONCATENATE("Table!",ADDRESS($T122,MATCH(F$1,INDIRECT("Table!A" &amp; $AK122):INDIRECT("Table!" &amp; $AN$275 &amp; $AK122),0)))))</f>
        <v/>
      </c>
      <c r="G122" s="24" t="str">
        <f ca="1">IF(ISERROR(MATCH(G$1,INDIRECT("Table!A"&amp;$AK122):INDIRECT("Table!" &amp; $AN$275 &amp; $AK122),0)),"",INDIRECT(CONCATENATE("Table!",ADDRESS($T122,MATCH(G$1,INDIRECT("Table!A" &amp; $AK122):INDIRECT("Table!" &amp; $AN$275 &amp; $AK122),0)))))</f>
        <v/>
      </c>
      <c r="H122" s="24" t="str">
        <f ca="1">IF(ISERROR(MATCH(H$1,INDIRECT("Table!A"&amp;$AK122):INDIRECT("Table!" &amp; $AN$275 &amp; $AK122),0)),"",INDIRECT(CONCATENATE("Table!",ADDRESS($T122,MATCH(H$1,INDIRECT("Table!A" &amp; $AK122):INDIRECT("Table!" &amp; $AN$275 &amp; $AK122),0)))))</f>
        <v/>
      </c>
      <c r="I122" s="273"/>
      <c r="J122" s="273"/>
      <c r="K122" s="24" t="str">
        <f ca="1">IF(ISERROR(MATCH(L$1,INDIRECT("Table!A"&amp;$AK122):INDIRECT("Table!" &amp; $AN$275 &amp; $AK122),0)),"",INDIRECT(CONCATENATE("Table!",ADDRESS($T122,MATCH(L$1,INDIRECT("Table!A" &amp; $AK122):INDIRECT("Table!" &amp; $AN$275 &amp; $AK122),0)))))</f>
        <v/>
      </c>
      <c r="L122" s="24" t="str">
        <f ca="1">IF(ISERROR(MATCH(M$1,INDIRECT("Table!A"&amp;$AK122):INDIRECT("Table!" &amp; $AN$275 &amp; $AK122),0)),"",INDIRECT(CONCATENATE("Table!",ADDRESS($T122,MATCH(M$1,INDIRECT("Table!A" &amp; $AK122):INDIRECT("Table!" &amp; $AN$275 &amp; $AK122),0)))))</f>
        <v/>
      </c>
      <c r="M122" s="24" t="str">
        <f ca="1">IF(ISERROR(MATCH(N$1,INDIRECT("Table!A"&amp;$AK122):INDIRECT("Table!" &amp; $AN$275 &amp; $AK122),0)),"",INDIRECT(CONCATENATE("Table!",ADDRESS($T122,MATCH(N$1,INDIRECT("Table!A" &amp; $AK122):INDIRECT("Table!" &amp; $AN$275 &amp; $AK122),0)))))</f>
        <v/>
      </c>
      <c r="N122" s="24" t="str">
        <f ca="1">IF(ISERROR(MATCH(O$1,INDIRECT("Table!A"&amp;$AK122):INDIRECT("Table!" &amp; $AN$275 &amp; $AK122),0)),"",INDIRECT(CONCATENATE("Table!",ADDRESS($T122,MATCH(O$1,INDIRECT("Table!A" &amp; $AK122):INDIRECT("Table!" &amp; $AN$275 &amp; $AK122),0)))))</f>
        <v/>
      </c>
      <c r="O122" s="24" t="str">
        <f ca="1">IF(ISERROR(MATCH(P$1,INDIRECT("Table!A"&amp;$AK122):INDIRECT("Table!" &amp; $AN$275 &amp; $AK122),0)),"",INDIRECT(CONCATENATE("Table!",ADDRESS($T122,MATCH(P$1,INDIRECT("Table!A" &amp; $AK122):INDIRECT("Table!" &amp; $AN$275 &amp; $AK122),0)))))</f>
        <v/>
      </c>
      <c r="P122" s="273" t="str">
        <f ca="1">IF(ISERROR(MATCH(Q$1,INDIRECT("Table!A"&amp;$AK122):INDIRECT("Table!" &amp; $AN$275 &amp; $AK122),0)),"",INDIRECT(CONCATENATE("Table!",ADDRESS($T122,MATCH(Q$1,INDIRECT("Table!A" &amp; $AK122):INDIRECT("Table!" &amp; $AN$275 &amp; $AK122),0)))))</f>
        <v/>
      </c>
      <c r="Q122" s="213"/>
      <c r="R122" s="213"/>
      <c r="S122" s="213"/>
      <c r="T122" s="22"/>
      <c r="AI122" s="213"/>
      <c r="AJ122" s="213"/>
      <c r="AK122" s="22"/>
      <c r="AL122" s="213"/>
      <c r="AM122" s="213"/>
      <c r="AN122" s="22"/>
      <c r="AO122" s="25"/>
      <c r="AP122" s="25"/>
      <c r="AQ122" s="25"/>
    </row>
    <row r="123" spans="2:58" ht="19.5" customHeight="1" x14ac:dyDescent="0.25">
      <c r="B123" s="24"/>
      <c r="C123" s="24" t="str">
        <f ca="1">IF(ISERROR(MATCH(C$1,INDIRECT("Table!A"&amp;$AK123):INDIRECT("Table!" &amp; $AN$275 &amp; $AK123),0)),"",INDIRECT(CONCATENATE("Table!",ADDRESS($T123,MATCH(C$1,INDIRECT("Table!A" &amp; $AK123):INDIRECT("Table!" &amp; $AN$275 &amp; $AK123),0)))))</f>
        <v/>
      </c>
      <c r="D123" s="24" t="str">
        <f ca="1">IF(ISERROR(MATCH(D$1,INDIRECT("Table!A"&amp;$AK123):INDIRECT("Table!" &amp; $AN$275 &amp; $AK123),0)),"",INDIRECT(CONCATENATE("Table!",ADDRESS($T123,MATCH(D$1,INDIRECT("Table!A" &amp; $AK123):INDIRECT("Table!" &amp; $AN$275 &amp; $AK123),0)))))</f>
        <v/>
      </c>
      <c r="E123" s="24" t="str">
        <f ca="1">IF(ISERROR(MATCH(E$1,INDIRECT("Table!A"&amp;$AK123):INDIRECT("Table!" &amp; $AN$275 &amp; $AK123),0)),"",INDIRECT(CONCATENATE("Table!",ADDRESS($T123,MATCH(E$1,INDIRECT("Table!A" &amp; $AK123):INDIRECT("Table!" &amp; $AN$275 &amp; $AK123),0)))))</f>
        <v/>
      </c>
      <c r="F123" s="24" t="str">
        <f ca="1">IF(ISERROR(MATCH(F$1,INDIRECT("Table!A"&amp;$AK123):INDIRECT("Table!" &amp; $AN$275 &amp; $AK123),0)),"",INDIRECT(CONCATENATE("Table!",ADDRESS($T123,MATCH(F$1,INDIRECT("Table!A" &amp; $AK123):INDIRECT("Table!" &amp; $AN$275 &amp; $AK123),0)))))</f>
        <v/>
      </c>
      <c r="G123" s="24" t="str">
        <f ca="1">IF(ISERROR(MATCH(G$1,INDIRECT("Table!A"&amp;$AK123):INDIRECT("Table!" &amp; $AN$275 &amp; $AK123),0)),"",INDIRECT(CONCATENATE("Table!",ADDRESS($T123,MATCH(G$1,INDIRECT("Table!A" &amp; $AK123):INDIRECT("Table!" &amp; $AN$275 &amp; $AK123),0)))))</f>
        <v/>
      </c>
      <c r="H123" s="24" t="str">
        <f ca="1">IF(ISERROR(MATCH(H$1,INDIRECT("Table!A"&amp;$AK123):INDIRECT("Table!" &amp; $AN$275 &amp; $AK123),0)),"",INDIRECT(CONCATENATE("Table!",ADDRESS($T123,MATCH(H$1,INDIRECT("Table!A" &amp; $AK123):INDIRECT("Table!" &amp; $AN$275 &amp; $AK123),0)))))</f>
        <v/>
      </c>
      <c r="I123" s="273"/>
      <c r="J123" s="273"/>
      <c r="K123" s="24" t="str">
        <f ca="1">IF(ISERROR(MATCH(L$1,INDIRECT("Table!A"&amp;$AK123):INDIRECT("Table!" &amp; $AN$275 &amp; $AK123),0)),"",INDIRECT(CONCATENATE("Table!",ADDRESS($T123,MATCH(L$1,INDIRECT("Table!A" &amp; $AK123):INDIRECT("Table!" &amp; $AN$275 &amp; $AK123),0)))))</f>
        <v/>
      </c>
      <c r="L123" s="24" t="str">
        <f ca="1">IF(ISERROR(MATCH(M$1,INDIRECT("Table!A"&amp;$AK123):INDIRECT("Table!" &amp; $AN$275 &amp; $AK123),0)),"",INDIRECT(CONCATENATE("Table!",ADDRESS($T123,MATCH(M$1,INDIRECT("Table!A" &amp; $AK123):INDIRECT("Table!" &amp; $AN$275 &amp; $AK123),0)))))</f>
        <v/>
      </c>
      <c r="M123" s="24" t="str">
        <f ca="1">IF(ISERROR(MATCH(N$1,INDIRECT("Table!A"&amp;$AK123):INDIRECT("Table!" &amp; $AN$275 &amp; $AK123),0)),"",INDIRECT(CONCATENATE("Table!",ADDRESS($T123,MATCH(N$1,INDIRECT("Table!A" &amp; $AK123):INDIRECT("Table!" &amp; $AN$275 &amp; $AK123),0)))))</f>
        <v/>
      </c>
      <c r="N123" s="24" t="str">
        <f ca="1">IF(ISERROR(MATCH(O$1,INDIRECT("Table!A"&amp;$AK123):INDIRECT("Table!" &amp; $AN$275 &amp; $AK123),0)),"",INDIRECT(CONCATENATE("Table!",ADDRESS($T123,MATCH(O$1,INDIRECT("Table!A" &amp; $AK123):INDIRECT("Table!" &amp; $AN$275 &amp; $AK123),0)))))</f>
        <v/>
      </c>
      <c r="O123" s="24" t="str">
        <f ca="1">IF(ISERROR(MATCH(P$1,INDIRECT("Table!A"&amp;$AK123):INDIRECT("Table!" &amp; $AN$275 &amp; $AK123),0)),"",INDIRECT(CONCATENATE("Table!",ADDRESS($T123,MATCH(P$1,INDIRECT("Table!A" &amp; $AK123):INDIRECT("Table!" &amp; $AN$275 &amp; $AK123),0)))))</f>
        <v/>
      </c>
      <c r="P123" s="273" t="str">
        <f ca="1">IF(ISERROR(MATCH(Q$1,INDIRECT("Table!A"&amp;$AK123):INDIRECT("Table!" &amp; $AN$275 &amp; $AK123),0)),"",INDIRECT(CONCATENATE("Table!",ADDRESS($T123,MATCH(Q$1,INDIRECT("Table!A" &amp; $AK123):INDIRECT("Table!" &amp; $AN$275 &amp; $AK123),0)))))</f>
        <v/>
      </c>
      <c r="Q123" s="212"/>
      <c r="R123" s="212"/>
      <c r="S123" s="212"/>
      <c r="T123" s="22"/>
      <c r="AI123" s="212"/>
      <c r="AJ123" s="212"/>
      <c r="AK123" s="22"/>
      <c r="AL123" s="212"/>
      <c r="AM123" s="212"/>
      <c r="AN123" s="22"/>
      <c r="AO123" s="25"/>
      <c r="AP123" s="25"/>
      <c r="AQ123" s="25"/>
    </row>
    <row r="124" spans="2:58" ht="19.5" customHeight="1" x14ac:dyDescent="0.25">
      <c r="B124" s="24"/>
      <c r="C124" s="24" t="str">
        <f ca="1">IF(ISERROR(MATCH(C$1,INDIRECT("Table!A"&amp;$AK124):INDIRECT("Table!" &amp; $AN$275 &amp; $AK124),0)),"",INDIRECT(CONCATENATE("Table!",ADDRESS($T124,MATCH(C$1,INDIRECT("Table!A" &amp; $AK124):INDIRECT("Table!" &amp; $AN$275 &amp; $AK124),0)))))</f>
        <v/>
      </c>
      <c r="D124" s="24" t="str">
        <f ca="1">IF(ISERROR(MATCH(D$1,INDIRECT("Table!A"&amp;$AK124):INDIRECT("Table!" &amp; $AN$275 &amp; $AK124),0)),"",INDIRECT(CONCATENATE("Table!",ADDRESS($T124,MATCH(D$1,INDIRECT("Table!A" &amp; $AK124):INDIRECT("Table!" &amp; $AN$275 &amp; $AK124),0)))))</f>
        <v/>
      </c>
      <c r="E124" s="24" t="str">
        <f ca="1">IF(ISERROR(MATCH(E$1,INDIRECT("Table!A"&amp;$AK124):INDIRECT("Table!" &amp; $AN$275 &amp; $AK124),0)),"",INDIRECT(CONCATENATE("Table!",ADDRESS($T124,MATCH(E$1,INDIRECT("Table!A" &amp; $AK124):INDIRECT("Table!" &amp; $AN$275 &amp; $AK124),0)))))</f>
        <v/>
      </c>
      <c r="F124" s="24" t="str">
        <f ca="1">IF(ISERROR(MATCH(F$1,INDIRECT("Table!A"&amp;$AK124):INDIRECT("Table!" &amp; $AN$275 &amp; $AK124),0)),"",INDIRECT(CONCATENATE("Table!",ADDRESS($T124,MATCH(F$1,INDIRECT("Table!A" &amp; $AK124):INDIRECT("Table!" &amp; $AN$275 &amp; $AK124),0)))))</f>
        <v/>
      </c>
      <c r="G124" s="24" t="str">
        <f ca="1">IF(ISERROR(MATCH(G$1,INDIRECT("Table!A"&amp;$AK124):INDIRECT("Table!" &amp; $AN$275 &amp; $AK124),0)),"",INDIRECT(CONCATENATE("Table!",ADDRESS($T124,MATCH(G$1,INDIRECT("Table!A" &amp; $AK124):INDIRECT("Table!" &amp; $AN$275 &amp; $AK124),0)))))</f>
        <v/>
      </c>
      <c r="H124" s="24" t="str">
        <f ca="1">IF(ISERROR(MATCH(H$1,INDIRECT("Table!A"&amp;$AK124):INDIRECT("Table!" &amp; $AN$275 &amp; $AK124),0)),"",INDIRECT(CONCATENATE("Table!",ADDRESS($T124,MATCH(H$1,INDIRECT("Table!A" &amp; $AK124):INDIRECT("Table!" &amp; $AN$275 &amp; $AK124),0)))))</f>
        <v/>
      </c>
      <c r="I124" s="273"/>
      <c r="J124" s="273"/>
      <c r="K124" s="24" t="str">
        <f ca="1">IF(ISERROR(MATCH(L$1,INDIRECT("Table!A"&amp;$AK124):INDIRECT("Table!" &amp; $AN$275 &amp; $AK124),0)),"",INDIRECT(CONCATENATE("Table!",ADDRESS($T124,MATCH(L$1,INDIRECT("Table!A" &amp; $AK124):INDIRECT("Table!" &amp; $AN$275 &amp; $AK124),0)))))</f>
        <v/>
      </c>
      <c r="L124" s="24" t="str">
        <f ca="1">IF(ISERROR(MATCH(M$1,INDIRECT("Table!A"&amp;$AK124):INDIRECT("Table!" &amp; $AN$275 &amp; $AK124),0)),"",INDIRECT(CONCATENATE("Table!",ADDRESS($T124,MATCH(M$1,INDIRECT("Table!A" &amp; $AK124):INDIRECT("Table!" &amp; $AN$275 &amp; $AK124),0)))))</f>
        <v/>
      </c>
      <c r="M124" s="24" t="str">
        <f ca="1">IF(ISERROR(MATCH(N$1,INDIRECT("Table!A"&amp;$AK124):INDIRECT("Table!" &amp; $AN$275 &amp; $AK124),0)),"",INDIRECT(CONCATENATE("Table!",ADDRESS($T124,MATCH(N$1,INDIRECT("Table!A" &amp; $AK124):INDIRECT("Table!" &amp; $AN$275 &amp; $AK124),0)))))</f>
        <v/>
      </c>
      <c r="N124" s="24" t="str">
        <f ca="1">IF(ISERROR(MATCH(O$1,INDIRECT("Table!A"&amp;$AK124):INDIRECT("Table!" &amp; $AN$275 &amp; $AK124),0)),"",INDIRECT(CONCATENATE("Table!",ADDRESS($T124,MATCH(O$1,INDIRECT("Table!A" &amp; $AK124):INDIRECT("Table!" &amp; $AN$275 &amp; $AK124),0)))))</f>
        <v/>
      </c>
      <c r="O124" s="24" t="str">
        <f ca="1">IF(ISERROR(MATCH(P$1,INDIRECT("Table!A"&amp;$AK124):INDIRECT("Table!" &amp; $AN$275 &amp; $AK124),0)),"",INDIRECT(CONCATENATE("Table!",ADDRESS($T124,MATCH(P$1,INDIRECT("Table!A" &amp; $AK124):INDIRECT("Table!" &amp; $AN$275 &amp; $AK124),0)))))</f>
        <v/>
      </c>
      <c r="P124" s="273" t="str">
        <f ca="1">IF(ISERROR(MATCH(Q$1,INDIRECT("Table!A"&amp;$AK124):INDIRECT("Table!" &amp; $AN$275 &amp; $AK124),0)),"",INDIRECT(CONCATENATE("Table!",ADDRESS($T124,MATCH(Q$1,INDIRECT("Table!A" &amp; $AK124):INDIRECT("Table!" &amp; $AN$275 &amp; $AK124),0)))))</f>
        <v/>
      </c>
      <c r="Q124" s="211"/>
      <c r="R124" s="211"/>
      <c r="S124" s="211"/>
      <c r="T124" s="22"/>
      <c r="AI124" s="211"/>
      <c r="AJ124" s="211"/>
      <c r="AK124" s="22"/>
      <c r="AL124" s="211"/>
      <c r="AM124" s="211"/>
      <c r="AN124" s="22"/>
      <c r="AO124" s="25"/>
      <c r="AP124" s="25"/>
      <c r="AQ124" s="25"/>
    </row>
    <row r="125" spans="2:58" ht="19.5" customHeight="1" x14ac:dyDescent="0.25">
      <c r="B125" s="24"/>
      <c r="C125" s="24" t="str">
        <f ca="1">IF(ISERROR(MATCH(C$1,INDIRECT("Table!A"&amp;$AK125):INDIRECT("Table!" &amp; $AN$275 &amp; $AK125),0)),"",INDIRECT(CONCATENATE("Table!",ADDRESS($T125,MATCH(C$1,INDIRECT("Table!A" &amp; $AK125):INDIRECT("Table!" &amp; $AN$275 &amp; $AK125),0)))))</f>
        <v/>
      </c>
      <c r="D125" s="24" t="str">
        <f ca="1">IF(ISERROR(MATCH(D$1,INDIRECT("Table!A"&amp;$AK125):INDIRECT("Table!" &amp; $AN$275 &amp; $AK125),0)),"",INDIRECT(CONCATENATE("Table!",ADDRESS($T125,MATCH(D$1,INDIRECT("Table!A" &amp; $AK125):INDIRECT("Table!" &amp; $AN$275 &amp; $AK125),0)))))</f>
        <v/>
      </c>
      <c r="E125" s="24" t="str">
        <f ca="1">IF(ISERROR(MATCH(E$1,INDIRECT("Table!A"&amp;$AK125):INDIRECT("Table!" &amp; $AN$275 &amp; $AK125),0)),"",INDIRECT(CONCATENATE("Table!",ADDRESS($T125,MATCH(E$1,INDIRECT("Table!A" &amp; $AK125):INDIRECT("Table!" &amp; $AN$275 &amp; $AK125),0)))))</f>
        <v/>
      </c>
      <c r="F125" s="24" t="str">
        <f ca="1">IF(ISERROR(MATCH(F$1,INDIRECT("Table!A"&amp;$AK125):INDIRECT("Table!" &amp; $AN$275 &amp; $AK125),0)),"",INDIRECT(CONCATENATE("Table!",ADDRESS($T125,MATCH(F$1,INDIRECT("Table!A" &amp; $AK125):INDIRECT("Table!" &amp; $AN$275 &amp; $AK125),0)))))</f>
        <v/>
      </c>
      <c r="G125" s="24" t="str">
        <f ca="1">IF(ISERROR(MATCH(G$1,INDIRECT("Table!A"&amp;$AK125):INDIRECT("Table!" &amp; $AN$275 &amp; $AK125),0)),"",INDIRECT(CONCATENATE("Table!",ADDRESS($T125,MATCH(G$1,INDIRECT("Table!A" &amp; $AK125):INDIRECT("Table!" &amp; $AN$275 &amp; $AK125),0)))))</f>
        <v/>
      </c>
      <c r="H125" s="24" t="str">
        <f ca="1">IF(ISERROR(MATCH(H$1,INDIRECT("Table!A"&amp;$AK125):INDIRECT("Table!" &amp; $AN$275 &amp; $AK125),0)),"",INDIRECT(CONCATENATE("Table!",ADDRESS($T125,MATCH(H$1,INDIRECT("Table!A" &amp; $AK125):INDIRECT("Table!" &amp; $AN$275 &amp; $AK125),0)))))</f>
        <v/>
      </c>
      <c r="I125" s="273"/>
      <c r="J125" s="273"/>
      <c r="K125" s="24" t="str">
        <f ca="1">IF(ISERROR(MATCH(L$1,INDIRECT("Table!A"&amp;$AK125):INDIRECT("Table!" &amp; $AN$275 &amp; $AK125),0)),"",INDIRECT(CONCATENATE("Table!",ADDRESS($T125,MATCH(L$1,INDIRECT("Table!A" &amp; $AK125):INDIRECT("Table!" &amp; $AN$275 &amp; $AK125),0)))))</f>
        <v/>
      </c>
      <c r="L125" s="24" t="str">
        <f ca="1">IF(ISERROR(MATCH(M$1,INDIRECT("Table!A"&amp;$AK125):INDIRECT("Table!" &amp; $AN$275 &amp; $AK125),0)),"",INDIRECT(CONCATENATE("Table!",ADDRESS($T125,MATCH(M$1,INDIRECT("Table!A" &amp; $AK125):INDIRECT("Table!" &amp; $AN$275 &amp; $AK125),0)))))</f>
        <v/>
      </c>
      <c r="M125" s="24" t="str">
        <f ca="1">IF(ISERROR(MATCH(N$1,INDIRECT("Table!A"&amp;$AK125):INDIRECT("Table!" &amp; $AN$275 &amp; $AK125),0)),"",INDIRECT(CONCATENATE("Table!",ADDRESS($T125,MATCH(N$1,INDIRECT("Table!A" &amp; $AK125):INDIRECT("Table!" &amp; $AN$275 &amp; $AK125),0)))))</f>
        <v/>
      </c>
      <c r="N125" s="24" t="str">
        <f ca="1">IF(ISERROR(MATCH(O$1,INDIRECT("Table!A"&amp;$AK125):INDIRECT("Table!" &amp; $AN$275 &amp; $AK125),0)),"",INDIRECT(CONCATENATE("Table!",ADDRESS($T125,MATCH(O$1,INDIRECT("Table!A" &amp; $AK125):INDIRECT("Table!" &amp; $AN$275 &amp; $AK125),0)))))</f>
        <v/>
      </c>
      <c r="O125" s="24" t="str">
        <f ca="1">IF(ISERROR(MATCH(P$1,INDIRECT("Table!A"&amp;$AK125):INDIRECT("Table!" &amp; $AN$275 &amp; $AK125),0)),"",INDIRECT(CONCATENATE("Table!",ADDRESS($T125,MATCH(P$1,INDIRECT("Table!A" &amp; $AK125):INDIRECT("Table!" &amp; $AN$275 &amp; $AK125),0)))))</f>
        <v/>
      </c>
      <c r="P125" s="273" t="str">
        <f ca="1">IF(ISERROR(MATCH(Q$1,INDIRECT("Table!A"&amp;$AK125):INDIRECT("Table!" &amp; $AN$275 &amp; $AK125),0)),"",INDIRECT(CONCATENATE("Table!",ADDRESS($T125,MATCH(Q$1,INDIRECT("Table!A" &amp; $AK125):INDIRECT("Table!" &amp; $AN$275 &amp; $AK125),0)))))</f>
        <v/>
      </c>
      <c r="Q125" s="210"/>
      <c r="R125" s="210"/>
      <c r="S125" s="210"/>
      <c r="T125" s="22"/>
      <c r="AI125" s="210"/>
      <c r="AJ125" s="210"/>
      <c r="AK125" s="22"/>
      <c r="AL125" s="210"/>
      <c r="AM125" s="210"/>
      <c r="AN125" s="22"/>
      <c r="AO125" s="25"/>
      <c r="AP125" s="25"/>
      <c r="AQ125" s="25"/>
    </row>
    <row r="126" spans="2:58" ht="19.5" customHeight="1" x14ac:dyDescent="0.25">
      <c r="B126" s="24"/>
      <c r="C126" s="24" t="str">
        <f ca="1">IF(ISERROR(MATCH(C$1,INDIRECT("Table!A"&amp;$AK126):INDIRECT("Table!" &amp; $AN$275 &amp; $AK126),0)),"",INDIRECT(CONCATENATE("Table!",ADDRESS($T126,MATCH(C$1,INDIRECT("Table!A" &amp; $AK126):INDIRECT("Table!" &amp; $AN$275 &amp; $AK126),0)))))</f>
        <v/>
      </c>
      <c r="D126" s="24" t="str">
        <f ca="1">IF(ISERROR(MATCH(D$1,INDIRECT("Table!A"&amp;$AK126):INDIRECT("Table!" &amp; $AN$275 &amp; $AK126),0)),"",INDIRECT(CONCATENATE("Table!",ADDRESS($T126,MATCH(D$1,INDIRECT("Table!A" &amp; $AK126):INDIRECT("Table!" &amp; $AN$275 &amp; $AK126),0)))))</f>
        <v/>
      </c>
      <c r="E126" s="24" t="str">
        <f ca="1">IF(ISERROR(MATCH(E$1,INDIRECT("Table!A"&amp;$AK126):INDIRECT("Table!" &amp; $AN$275 &amp; $AK126),0)),"",INDIRECT(CONCATENATE("Table!",ADDRESS($T126,MATCH(E$1,INDIRECT("Table!A" &amp; $AK126):INDIRECT("Table!" &amp; $AN$275 &amp; $AK126),0)))))</f>
        <v/>
      </c>
      <c r="F126" s="24" t="str">
        <f ca="1">IF(ISERROR(MATCH(F$1,INDIRECT("Table!A"&amp;$AK126):INDIRECT("Table!" &amp; $AN$275 &amp; $AK126),0)),"",INDIRECT(CONCATENATE("Table!",ADDRESS($T126,MATCH(F$1,INDIRECT("Table!A" &amp; $AK126):INDIRECT("Table!" &amp; $AN$275 &amp; $AK126),0)))))</f>
        <v/>
      </c>
      <c r="G126" s="24" t="str">
        <f ca="1">IF(ISERROR(MATCH(G$1,INDIRECT("Table!A"&amp;$AK126):INDIRECT("Table!" &amp; $AN$275 &amp; $AK126),0)),"",INDIRECT(CONCATENATE("Table!",ADDRESS($T126,MATCH(G$1,INDIRECT("Table!A" &amp; $AK126):INDIRECT("Table!" &amp; $AN$275 &amp; $AK126),0)))))</f>
        <v/>
      </c>
      <c r="H126" s="24" t="str">
        <f ca="1">IF(ISERROR(MATCH(H$1,INDIRECT("Table!A"&amp;$AK126):INDIRECT("Table!" &amp; $AN$275 &amp; $AK126),0)),"",INDIRECT(CONCATENATE("Table!",ADDRESS($T126,MATCH(H$1,INDIRECT("Table!A" &amp; $AK126):INDIRECT("Table!" &amp; $AN$275 &amp; $AK126),0)))))</f>
        <v/>
      </c>
      <c r="I126" s="273"/>
      <c r="J126" s="273"/>
      <c r="K126" s="24" t="str">
        <f ca="1">IF(ISERROR(MATCH(L$1,INDIRECT("Table!A"&amp;$AK126):INDIRECT("Table!" &amp; $AN$275 &amp; $AK126),0)),"",INDIRECT(CONCATENATE("Table!",ADDRESS($T126,MATCH(L$1,INDIRECT("Table!A" &amp; $AK126):INDIRECT("Table!" &amp; $AN$275 &amp; $AK126),0)))))</f>
        <v/>
      </c>
      <c r="L126" s="24" t="str">
        <f ca="1">IF(ISERROR(MATCH(M$1,INDIRECT("Table!A"&amp;$AK126):INDIRECT("Table!" &amp; $AN$275 &amp; $AK126),0)),"",INDIRECT(CONCATENATE("Table!",ADDRESS($T126,MATCH(M$1,INDIRECT("Table!A" &amp; $AK126):INDIRECT("Table!" &amp; $AN$275 &amp; $AK126),0)))))</f>
        <v/>
      </c>
      <c r="M126" s="24" t="str">
        <f ca="1">IF(ISERROR(MATCH(N$1,INDIRECT("Table!A"&amp;$AK126):INDIRECT("Table!" &amp; $AN$275 &amp; $AK126),0)),"",INDIRECT(CONCATENATE("Table!",ADDRESS($T126,MATCH(N$1,INDIRECT("Table!A" &amp; $AK126):INDIRECT("Table!" &amp; $AN$275 &amp; $AK126),0)))))</f>
        <v/>
      </c>
      <c r="N126" s="24" t="str">
        <f ca="1">IF(ISERROR(MATCH(O$1,INDIRECT("Table!A"&amp;$AK126):INDIRECT("Table!" &amp; $AN$275 &amp; $AK126),0)),"",INDIRECT(CONCATENATE("Table!",ADDRESS($T126,MATCH(O$1,INDIRECT("Table!A" &amp; $AK126):INDIRECT("Table!" &amp; $AN$275 &amp; $AK126),0)))))</f>
        <v/>
      </c>
      <c r="O126" s="24" t="str">
        <f ca="1">IF(ISERROR(MATCH(P$1,INDIRECT("Table!A"&amp;$AK126):INDIRECT("Table!" &amp; $AN$275 &amp; $AK126),0)),"",INDIRECT(CONCATENATE("Table!",ADDRESS($T126,MATCH(P$1,INDIRECT("Table!A" &amp; $AK126):INDIRECT("Table!" &amp; $AN$275 &amp; $AK126),0)))))</f>
        <v/>
      </c>
      <c r="P126" s="273" t="str">
        <f ca="1">IF(ISERROR(MATCH(Q$1,INDIRECT("Table!A"&amp;$AK126):INDIRECT("Table!" &amp; $AN$275 &amp; $AK126),0)),"",INDIRECT(CONCATENATE("Table!",ADDRESS($T126,MATCH(Q$1,INDIRECT("Table!A" &amp; $AK126):INDIRECT("Table!" &amp; $AN$275 &amp; $AK126),0)))))</f>
        <v/>
      </c>
      <c r="Q126" s="209"/>
      <c r="R126" s="209"/>
      <c r="S126" s="209"/>
      <c r="T126" s="22"/>
      <c r="AI126" s="209"/>
      <c r="AJ126" s="209"/>
      <c r="AK126" s="22"/>
      <c r="AL126" s="209"/>
      <c r="AM126" s="209"/>
      <c r="AN126" s="22"/>
      <c r="AO126" s="25"/>
      <c r="AP126" s="25"/>
      <c r="AQ126" s="25"/>
    </row>
    <row r="127" spans="2:58" ht="19.5" customHeight="1" x14ac:dyDescent="0.25">
      <c r="B127" s="24"/>
      <c r="C127" s="24" t="str">
        <f ca="1">IF(ISERROR(MATCH(C$1,INDIRECT("Table!A"&amp;$AK127):INDIRECT("Table!" &amp; $AN$275 &amp; $AK127),0)),"",INDIRECT(CONCATENATE("Table!",ADDRESS($T127,MATCH(C$1,INDIRECT("Table!A" &amp; $AK127):INDIRECT("Table!" &amp; $AN$275 &amp; $AK127),0)))))</f>
        <v/>
      </c>
      <c r="D127" s="24" t="str">
        <f ca="1">IF(ISERROR(MATCH(D$1,INDIRECT("Table!A"&amp;$AK127):INDIRECT("Table!" &amp; $AN$275 &amp; $AK127),0)),"",INDIRECT(CONCATENATE("Table!",ADDRESS($T127,MATCH(D$1,INDIRECT("Table!A" &amp; $AK127):INDIRECT("Table!" &amp; $AN$275 &amp; $AK127),0)))))</f>
        <v/>
      </c>
      <c r="E127" s="24" t="str">
        <f ca="1">IF(ISERROR(MATCH(E$1,INDIRECT("Table!A"&amp;$AK127):INDIRECT("Table!" &amp; $AN$275 &amp; $AK127),0)),"",INDIRECT(CONCATENATE("Table!",ADDRESS($T127,MATCH(E$1,INDIRECT("Table!A" &amp; $AK127):INDIRECT("Table!" &amp; $AN$275 &amp; $AK127),0)))))</f>
        <v/>
      </c>
      <c r="F127" s="24" t="str">
        <f ca="1">IF(ISERROR(MATCH(F$1,INDIRECT("Table!A"&amp;$AK127):INDIRECT("Table!" &amp; $AN$275 &amp; $AK127),0)),"",INDIRECT(CONCATENATE("Table!",ADDRESS($T127,MATCH(F$1,INDIRECT("Table!A" &amp; $AK127):INDIRECT("Table!" &amp; $AN$275 &amp; $AK127),0)))))</f>
        <v/>
      </c>
      <c r="G127" s="24" t="str">
        <f ca="1">IF(ISERROR(MATCH(G$1,INDIRECT("Table!A"&amp;$AK127):INDIRECT("Table!" &amp; $AN$275 &amp; $AK127),0)),"",INDIRECT(CONCATENATE("Table!",ADDRESS($T127,MATCH(G$1,INDIRECT("Table!A" &amp; $AK127):INDIRECT("Table!" &amp; $AN$275 &amp; $AK127),0)))))</f>
        <v/>
      </c>
      <c r="H127" s="24" t="str">
        <f ca="1">IF(ISERROR(MATCH(H$1,INDIRECT("Table!A"&amp;$AK127):INDIRECT("Table!" &amp; $AN$275 &amp; $AK127),0)),"",INDIRECT(CONCATENATE("Table!",ADDRESS($T127,MATCH(H$1,INDIRECT("Table!A" &amp; $AK127):INDIRECT("Table!" &amp; $AN$275 &amp; $AK127),0)))))</f>
        <v/>
      </c>
      <c r="I127" s="273"/>
      <c r="J127" s="273"/>
      <c r="K127" s="24" t="str">
        <f ca="1">IF(ISERROR(MATCH(L$1,INDIRECT("Table!A"&amp;$AK127):INDIRECT("Table!" &amp; $AN$275 &amp; $AK127),0)),"",INDIRECT(CONCATENATE("Table!",ADDRESS($T127,MATCH(L$1,INDIRECT("Table!A" &amp; $AK127):INDIRECT("Table!" &amp; $AN$275 &amp; $AK127),0)))))</f>
        <v/>
      </c>
      <c r="L127" s="24" t="str">
        <f ca="1">IF(ISERROR(MATCH(M$1,INDIRECT("Table!A"&amp;$AK127):INDIRECT("Table!" &amp; $AN$275 &amp; $AK127),0)),"",INDIRECT(CONCATENATE("Table!",ADDRESS($T127,MATCH(M$1,INDIRECT("Table!A" &amp; $AK127):INDIRECT("Table!" &amp; $AN$275 &amp; $AK127),0)))))</f>
        <v/>
      </c>
      <c r="M127" s="24" t="str">
        <f ca="1">IF(ISERROR(MATCH(N$1,INDIRECT("Table!A"&amp;$AK127):INDIRECT("Table!" &amp; $AN$275 &amp; $AK127),0)),"",INDIRECT(CONCATENATE("Table!",ADDRESS($T127,MATCH(N$1,INDIRECT("Table!A" &amp; $AK127):INDIRECT("Table!" &amp; $AN$275 &amp; $AK127),0)))))</f>
        <v/>
      </c>
      <c r="N127" s="24" t="str">
        <f ca="1">IF(ISERROR(MATCH(O$1,INDIRECT("Table!A"&amp;$AK127):INDIRECT("Table!" &amp; $AN$275 &amp; $AK127),0)),"",INDIRECT(CONCATENATE("Table!",ADDRESS($T127,MATCH(O$1,INDIRECT("Table!A" &amp; $AK127):INDIRECT("Table!" &amp; $AN$275 &amp; $AK127),0)))))</f>
        <v/>
      </c>
      <c r="O127" s="24" t="str">
        <f ca="1">IF(ISERROR(MATCH(P$1,INDIRECT("Table!A"&amp;$AK127):INDIRECT("Table!" &amp; $AN$275 &amp; $AK127),0)),"",INDIRECT(CONCATENATE("Table!",ADDRESS($T127,MATCH(P$1,INDIRECT("Table!A" &amp; $AK127):INDIRECT("Table!" &amp; $AN$275 &amp; $AK127),0)))))</f>
        <v/>
      </c>
      <c r="P127" s="273" t="str">
        <f ca="1">IF(ISERROR(MATCH(Q$1,INDIRECT("Table!A"&amp;$AK127):INDIRECT("Table!" &amp; $AN$275 &amp; $AK127),0)),"",INDIRECT(CONCATENATE("Table!",ADDRESS($T127,MATCH(Q$1,INDIRECT("Table!A" &amp; $AK127):INDIRECT("Table!" &amp; $AN$275 &amp; $AK127),0)))))</f>
        <v/>
      </c>
      <c r="Q127" s="208"/>
      <c r="R127" s="208"/>
      <c r="S127" s="208"/>
      <c r="T127" s="22"/>
      <c r="AI127" s="208"/>
      <c r="AJ127" s="208"/>
      <c r="AK127" s="22"/>
      <c r="AL127" s="208"/>
      <c r="AM127" s="208"/>
      <c r="AN127" s="22"/>
      <c r="AO127" s="25"/>
      <c r="AP127" s="25"/>
      <c r="AQ127" s="25"/>
    </row>
    <row r="128" spans="2:58" ht="19.5" customHeight="1" x14ac:dyDescent="0.25">
      <c r="B128" s="24"/>
      <c r="C128" s="24" t="str">
        <f ca="1">IF(ISERROR(MATCH(C$1,INDIRECT("Table!A"&amp;$AK128):INDIRECT("Table!" &amp; $AN$275 &amp; $AK128),0)),"",INDIRECT(CONCATENATE("Table!",ADDRESS($T128,MATCH(C$1,INDIRECT("Table!A" &amp; $AK128):INDIRECT("Table!" &amp; $AN$275 &amp; $AK128),0)))))</f>
        <v/>
      </c>
      <c r="D128" s="24" t="str">
        <f ca="1">IF(ISERROR(MATCH(D$1,INDIRECT("Table!A"&amp;$AK128):INDIRECT("Table!" &amp; $AN$275 &amp; $AK128),0)),"",INDIRECT(CONCATENATE("Table!",ADDRESS($T128,MATCH(D$1,INDIRECT("Table!A" &amp; $AK128):INDIRECT("Table!" &amp; $AN$275 &amp; $AK128),0)))))</f>
        <v/>
      </c>
      <c r="E128" s="24" t="str">
        <f ca="1">IF(ISERROR(MATCH(E$1,INDIRECT("Table!A"&amp;$AK128):INDIRECT("Table!" &amp; $AN$275 &amp; $AK128),0)),"",INDIRECT(CONCATENATE("Table!",ADDRESS($T128,MATCH(E$1,INDIRECT("Table!A" &amp; $AK128):INDIRECT("Table!" &amp; $AN$275 &amp; $AK128),0)))))</f>
        <v/>
      </c>
      <c r="F128" s="24" t="str">
        <f ca="1">IF(ISERROR(MATCH(F$1,INDIRECT("Table!A"&amp;$AK128):INDIRECT("Table!" &amp; $AN$275 &amp; $AK128),0)),"",INDIRECT(CONCATENATE("Table!",ADDRESS($T128,MATCH(F$1,INDIRECT("Table!A" &amp; $AK128):INDIRECT("Table!" &amp; $AN$275 &amp; $AK128),0)))))</f>
        <v/>
      </c>
      <c r="G128" s="24" t="str">
        <f ca="1">IF(ISERROR(MATCH(G$1,INDIRECT("Table!A"&amp;$AK128):INDIRECT("Table!" &amp; $AN$275 &amp; $AK128),0)),"",INDIRECT(CONCATENATE("Table!",ADDRESS($T128,MATCH(G$1,INDIRECT("Table!A" &amp; $AK128):INDIRECT("Table!" &amp; $AN$275 &amp; $AK128),0)))))</f>
        <v/>
      </c>
      <c r="H128" s="24" t="str">
        <f ca="1">IF(ISERROR(MATCH(H$1,INDIRECT("Table!A"&amp;$AK128):INDIRECT("Table!" &amp; $AN$275 &amp; $AK128),0)),"",INDIRECT(CONCATENATE("Table!",ADDRESS($T128,MATCH(H$1,INDIRECT("Table!A" &amp; $AK128):INDIRECT("Table!" &amp; $AN$275 &amp; $AK128),0)))))</f>
        <v/>
      </c>
      <c r="I128" s="273"/>
      <c r="J128" s="273"/>
      <c r="K128" s="24" t="str">
        <f ca="1">IF(ISERROR(MATCH(L$1,INDIRECT("Table!A"&amp;$AK128):INDIRECT("Table!" &amp; $AN$275 &amp; $AK128),0)),"",INDIRECT(CONCATENATE("Table!",ADDRESS($T128,MATCH(L$1,INDIRECT("Table!A" &amp; $AK128):INDIRECT("Table!" &amp; $AN$275 &amp; $AK128),0)))))</f>
        <v/>
      </c>
      <c r="L128" s="24" t="str">
        <f ca="1">IF(ISERROR(MATCH(M$1,INDIRECT("Table!A"&amp;$AK128):INDIRECT("Table!" &amp; $AN$275 &amp; $AK128),0)),"",INDIRECT(CONCATENATE("Table!",ADDRESS($T128,MATCH(M$1,INDIRECT("Table!A" &amp; $AK128):INDIRECT("Table!" &amp; $AN$275 &amp; $AK128),0)))))</f>
        <v/>
      </c>
      <c r="M128" s="24" t="str">
        <f ca="1">IF(ISERROR(MATCH(N$1,INDIRECT("Table!A"&amp;$AK128):INDIRECT("Table!" &amp; $AN$275 &amp; $AK128),0)),"",INDIRECT(CONCATENATE("Table!",ADDRESS($T128,MATCH(N$1,INDIRECT("Table!A" &amp; $AK128):INDIRECT("Table!" &amp; $AN$275 &amp; $AK128),0)))))</f>
        <v/>
      </c>
      <c r="N128" s="24" t="str">
        <f ca="1">IF(ISERROR(MATCH(O$1,INDIRECT("Table!A"&amp;$AK128):INDIRECT("Table!" &amp; $AN$275 &amp; $AK128),0)),"",INDIRECT(CONCATENATE("Table!",ADDRESS($T128,MATCH(O$1,INDIRECT("Table!A" &amp; $AK128):INDIRECT("Table!" &amp; $AN$275 &amp; $AK128),0)))))</f>
        <v/>
      </c>
      <c r="O128" s="24" t="str">
        <f ca="1">IF(ISERROR(MATCH(P$1,INDIRECT("Table!A"&amp;$AK128):INDIRECT("Table!" &amp; $AN$275 &amp; $AK128),0)),"",INDIRECT(CONCATENATE("Table!",ADDRESS($T128,MATCH(P$1,INDIRECT("Table!A" &amp; $AK128):INDIRECT("Table!" &amp; $AN$275 &amp; $AK128),0)))))</f>
        <v/>
      </c>
      <c r="P128" s="273" t="str">
        <f ca="1">IF(ISERROR(MATCH(Q$1,INDIRECT("Table!A"&amp;$AK128):INDIRECT("Table!" &amp; $AN$275 &amp; $AK128),0)),"",INDIRECT(CONCATENATE("Table!",ADDRESS($T128,MATCH(Q$1,INDIRECT("Table!A" &amp; $AK128):INDIRECT("Table!" &amp; $AN$275 &amp; $AK128),0)))))</f>
        <v/>
      </c>
      <c r="Q128" s="208"/>
      <c r="R128" s="208"/>
      <c r="S128" s="208"/>
      <c r="T128" s="22"/>
      <c r="AI128" s="208"/>
      <c r="AJ128" s="208"/>
      <c r="AK128" s="22"/>
      <c r="AL128" s="208"/>
      <c r="AM128" s="208"/>
      <c r="AN128" s="22"/>
      <c r="AO128" s="25"/>
      <c r="AP128" s="25"/>
      <c r="AQ128" s="25"/>
    </row>
    <row r="129" spans="2:43" ht="19.5" customHeight="1" x14ac:dyDescent="0.25">
      <c r="B129" s="24"/>
      <c r="C129" s="24" t="str">
        <f ca="1">IF(ISERROR(MATCH(C$1,INDIRECT("Table!A"&amp;$AK129):INDIRECT("Table!" &amp; $AN$275 &amp; $AK129),0)),"",INDIRECT(CONCATENATE("Table!",ADDRESS($T129,MATCH(C$1,INDIRECT("Table!A" &amp; $AK129):INDIRECT("Table!" &amp; $AN$275 &amp; $AK129),0)))))</f>
        <v/>
      </c>
      <c r="D129" s="24" t="str">
        <f ca="1">IF(ISERROR(MATCH(D$1,INDIRECT("Table!A"&amp;$AK129):INDIRECT("Table!" &amp; $AN$275 &amp; $AK129),0)),"",INDIRECT(CONCATENATE("Table!",ADDRESS($T129,MATCH(D$1,INDIRECT("Table!A" &amp; $AK129):INDIRECT("Table!" &amp; $AN$275 &amp; $AK129),0)))))</f>
        <v/>
      </c>
      <c r="E129" s="24" t="str">
        <f ca="1">IF(ISERROR(MATCH(E$1,INDIRECT("Table!A"&amp;$AK129):INDIRECT("Table!" &amp; $AN$275 &amp; $AK129),0)),"",INDIRECT(CONCATENATE("Table!",ADDRESS($T129,MATCH(E$1,INDIRECT("Table!A" &amp; $AK129):INDIRECT("Table!" &amp; $AN$275 &amp; $AK129),0)))))</f>
        <v/>
      </c>
      <c r="F129" s="24" t="str">
        <f ca="1">IF(ISERROR(MATCH(F$1,INDIRECT("Table!A"&amp;$AK129):INDIRECT("Table!" &amp; $AN$275 &amp; $AK129),0)),"",INDIRECT(CONCATENATE("Table!",ADDRESS($T129,MATCH(F$1,INDIRECT("Table!A" &amp; $AK129):INDIRECT("Table!" &amp; $AN$275 &amp; $AK129),0)))))</f>
        <v/>
      </c>
      <c r="G129" s="24" t="str">
        <f ca="1">IF(ISERROR(MATCH(G$1,INDIRECT("Table!A"&amp;$AK129):INDIRECT("Table!" &amp; $AN$275 &amp; $AK129),0)),"",INDIRECT(CONCATENATE("Table!",ADDRESS($T129,MATCH(G$1,INDIRECT("Table!A" &amp; $AK129):INDIRECT("Table!" &amp; $AN$275 &amp; $AK129),0)))))</f>
        <v/>
      </c>
      <c r="H129" s="24" t="str">
        <f ca="1">IF(ISERROR(MATCH(H$1,INDIRECT("Table!A"&amp;$AK129):INDIRECT("Table!" &amp; $AN$275 &amp; $AK129),0)),"",INDIRECT(CONCATENATE("Table!",ADDRESS($T129,MATCH(H$1,INDIRECT("Table!A" &amp; $AK129):INDIRECT("Table!" &amp; $AN$275 &amp; $AK129),0)))))</f>
        <v/>
      </c>
      <c r="I129" s="273"/>
      <c r="J129" s="273"/>
      <c r="K129" s="24" t="str">
        <f ca="1">IF(ISERROR(MATCH(L$1,INDIRECT("Table!A"&amp;$AK129):INDIRECT("Table!" &amp; $AN$275 &amp; $AK129),0)),"",INDIRECT(CONCATENATE("Table!",ADDRESS($T129,MATCH(L$1,INDIRECT("Table!A" &amp; $AK129):INDIRECT("Table!" &amp; $AN$275 &amp; $AK129),0)))))</f>
        <v/>
      </c>
      <c r="L129" s="24" t="str">
        <f ca="1">IF(ISERROR(MATCH(M$1,INDIRECT("Table!A"&amp;$AK129):INDIRECT("Table!" &amp; $AN$275 &amp; $AK129),0)),"",INDIRECT(CONCATENATE("Table!",ADDRESS($T129,MATCH(M$1,INDIRECT("Table!A" &amp; $AK129):INDIRECT("Table!" &amp; $AN$275 &amp; $AK129),0)))))</f>
        <v/>
      </c>
      <c r="M129" s="24" t="str">
        <f ca="1">IF(ISERROR(MATCH(N$1,INDIRECT("Table!A"&amp;$AK129):INDIRECT("Table!" &amp; $AN$275 &amp; $AK129),0)),"",INDIRECT(CONCATENATE("Table!",ADDRESS($T129,MATCH(N$1,INDIRECT("Table!A" &amp; $AK129):INDIRECT("Table!" &amp; $AN$275 &amp; $AK129),0)))))</f>
        <v/>
      </c>
      <c r="N129" s="24" t="str">
        <f ca="1">IF(ISERROR(MATCH(O$1,INDIRECT("Table!A"&amp;$AK129):INDIRECT("Table!" &amp; $AN$275 &amp; $AK129),0)),"",INDIRECT(CONCATENATE("Table!",ADDRESS($T129,MATCH(O$1,INDIRECT("Table!A" &amp; $AK129):INDIRECT("Table!" &amp; $AN$275 &amp; $AK129),0)))))</f>
        <v/>
      </c>
      <c r="O129" s="24" t="str">
        <f ca="1">IF(ISERROR(MATCH(P$1,INDIRECT("Table!A"&amp;$AK129):INDIRECT("Table!" &amp; $AN$275 &amp; $AK129),0)),"",INDIRECT(CONCATENATE("Table!",ADDRESS($T129,MATCH(P$1,INDIRECT("Table!A" &amp; $AK129):INDIRECT("Table!" &amp; $AN$275 &amp; $AK129),0)))))</f>
        <v/>
      </c>
      <c r="P129" s="273" t="str">
        <f ca="1">IF(ISERROR(MATCH(Q$1,INDIRECT("Table!A"&amp;$AK129):INDIRECT("Table!" &amp; $AN$275 &amp; $AK129),0)),"",INDIRECT(CONCATENATE("Table!",ADDRESS($T129,MATCH(Q$1,INDIRECT("Table!A" &amp; $AK129):INDIRECT("Table!" &amp; $AN$275 &amp; $AK129),0)))))</f>
        <v/>
      </c>
      <c r="Q129" s="207"/>
      <c r="R129" s="207"/>
      <c r="S129" s="207"/>
      <c r="T129" s="22"/>
      <c r="AI129" s="207"/>
      <c r="AJ129" s="207"/>
      <c r="AK129" s="22"/>
      <c r="AL129" s="207"/>
      <c r="AM129" s="207"/>
      <c r="AN129" s="22"/>
      <c r="AO129" s="25"/>
      <c r="AP129" s="25"/>
      <c r="AQ129" s="25"/>
    </row>
    <row r="130" spans="2:43" ht="19.5" customHeight="1" x14ac:dyDescent="0.25">
      <c r="B130" s="24"/>
      <c r="C130" s="24" t="str">
        <f ca="1">IF(ISERROR(MATCH(C$1,INDIRECT("Table!A"&amp;$AK130):INDIRECT("Table!" &amp; $AN$275 &amp; $AK130),0)),"",INDIRECT(CONCATENATE("Table!",ADDRESS($T130,MATCH(C$1,INDIRECT("Table!A" &amp; $AK130):INDIRECT("Table!" &amp; $AN$275 &amp; $AK130),0)))))</f>
        <v/>
      </c>
      <c r="D130" s="24" t="str">
        <f ca="1">IF(ISERROR(MATCH(D$1,INDIRECT("Table!A"&amp;$AK130):INDIRECT("Table!" &amp; $AN$275 &amp; $AK130),0)),"",INDIRECT(CONCATENATE("Table!",ADDRESS($T130,MATCH(D$1,INDIRECT("Table!A" &amp; $AK130):INDIRECT("Table!" &amp; $AN$275 &amp; $AK130),0)))))</f>
        <v/>
      </c>
      <c r="E130" s="24" t="str">
        <f ca="1">IF(ISERROR(MATCH(E$1,INDIRECT("Table!A"&amp;$AK130):INDIRECT("Table!" &amp; $AN$275 &amp; $AK130),0)),"",INDIRECT(CONCATENATE("Table!",ADDRESS($T130,MATCH(E$1,INDIRECT("Table!A" &amp; $AK130):INDIRECT("Table!" &amp; $AN$275 &amp; $AK130),0)))))</f>
        <v/>
      </c>
      <c r="F130" s="24" t="str">
        <f ca="1">IF(ISERROR(MATCH(F$1,INDIRECT("Table!A"&amp;$AK130):INDIRECT("Table!" &amp; $AN$275 &amp; $AK130),0)),"",INDIRECT(CONCATENATE("Table!",ADDRESS($T130,MATCH(F$1,INDIRECT("Table!A" &amp; $AK130):INDIRECT("Table!" &amp; $AN$275 &amp; $AK130),0)))))</f>
        <v/>
      </c>
      <c r="G130" s="24" t="str">
        <f ca="1">IF(ISERROR(MATCH(G$1,INDIRECT("Table!A"&amp;$AK130):INDIRECT("Table!" &amp; $AN$275 &amp; $AK130),0)),"",INDIRECT(CONCATENATE("Table!",ADDRESS($T130,MATCH(G$1,INDIRECT("Table!A" &amp; $AK130):INDIRECT("Table!" &amp; $AN$275 &amp; $AK130),0)))))</f>
        <v/>
      </c>
      <c r="H130" s="24" t="str">
        <f ca="1">IF(ISERROR(MATCH(H$1,INDIRECT("Table!A"&amp;$AK130):INDIRECT("Table!" &amp; $AN$275 &amp; $AK130),0)),"",INDIRECT(CONCATENATE("Table!",ADDRESS($T130,MATCH(H$1,INDIRECT("Table!A" &amp; $AK130):INDIRECT("Table!" &amp; $AN$275 &amp; $AK130),0)))))</f>
        <v/>
      </c>
      <c r="I130" s="273"/>
      <c r="J130" s="273"/>
      <c r="K130" s="24" t="str">
        <f ca="1">IF(ISERROR(MATCH(L$1,INDIRECT("Table!A"&amp;$AK130):INDIRECT("Table!" &amp; $AN$275 &amp; $AK130),0)),"",INDIRECT(CONCATENATE("Table!",ADDRESS($T130,MATCH(L$1,INDIRECT("Table!A" &amp; $AK130):INDIRECT("Table!" &amp; $AN$275 &amp; $AK130),0)))))</f>
        <v/>
      </c>
      <c r="L130" s="24" t="str">
        <f ca="1">IF(ISERROR(MATCH(M$1,INDIRECT("Table!A"&amp;$AK130):INDIRECT("Table!" &amp; $AN$275 &amp; $AK130),0)),"",INDIRECT(CONCATENATE("Table!",ADDRESS($T130,MATCH(M$1,INDIRECT("Table!A" &amp; $AK130):INDIRECT("Table!" &amp; $AN$275 &amp; $AK130),0)))))</f>
        <v/>
      </c>
      <c r="M130" s="24" t="str">
        <f ca="1">IF(ISERROR(MATCH(N$1,INDIRECT("Table!A"&amp;$AK130):INDIRECT("Table!" &amp; $AN$275 &amp; $AK130),0)),"",INDIRECT(CONCATENATE("Table!",ADDRESS($T130,MATCH(N$1,INDIRECT("Table!A" &amp; $AK130):INDIRECT("Table!" &amp; $AN$275 &amp; $AK130),0)))))</f>
        <v/>
      </c>
      <c r="N130" s="24" t="str">
        <f ca="1">IF(ISERROR(MATCH(O$1,INDIRECT("Table!A"&amp;$AK130):INDIRECT("Table!" &amp; $AN$275 &amp; $AK130),0)),"",INDIRECT(CONCATENATE("Table!",ADDRESS($T130,MATCH(O$1,INDIRECT("Table!A" &amp; $AK130):INDIRECT("Table!" &amp; $AN$275 &amp; $AK130),0)))))</f>
        <v/>
      </c>
      <c r="O130" s="24" t="str">
        <f ca="1">IF(ISERROR(MATCH(P$1,INDIRECT("Table!A"&amp;$AK130):INDIRECT("Table!" &amp; $AN$275 &amp; $AK130),0)),"",INDIRECT(CONCATENATE("Table!",ADDRESS($T130,MATCH(P$1,INDIRECT("Table!A" &amp; $AK130):INDIRECT("Table!" &amp; $AN$275 &amp; $AK130),0)))))</f>
        <v/>
      </c>
      <c r="P130" s="273" t="str">
        <f ca="1">IF(ISERROR(MATCH(Q$1,INDIRECT("Table!A"&amp;$AK130):INDIRECT("Table!" &amp; $AN$275 &amp; $AK130),0)),"",INDIRECT(CONCATENATE("Table!",ADDRESS($T130,MATCH(Q$1,INDIRECT("Table!A" &amp; $AK130):INDIRECT("Table!" &amp; $AN$275 &amp; $AK130),0)))))</f>
        <v/>
      </c>
      <c r="Q130" s="206"/>
      <c r="R130" s="206"/>
      <c r="S130" s="206"/>
      <c r="T130" s="22"/>
      <c r="AI130" s="206"/>
      <c r="AJ130" s="206"/>
      <c r="AK130" s="22"/>
      <c r="AL130" s="206"/>
      <c r="AM130" s="206"/>
      <c r="AN130" s="22"/>
      <c r="AO130" s="25"/>
      <c r="AP130" s="25"/>
      <c r="AQ130" s="25"/>
    </row>
    <row r="131" spans="2:43" ht="19.5" customHeight="1" x14ac:dyDescent="0.25">
      <c r="B131" s="24"/>
      <c r="C131" s="24" t="str">
        <f ca="1">IF(ISERROR(MATCH(C$1,INDIRECT("Table!A"&amp;$AK131):INDIRECT("Table!" &amp; $AN$275 &amp; $AK131),0)),"",INDIRECT(CONCATENATE("Table!",ADDRESS($T131,MATCH(C$1,INDIRECT("Table!A" &amp; $AK131):INDIRECT("Table!" &amp; $AN$275 &amp; $AK131),0)))))</f>
        <v/>
      </c>
      <c r="D131" s="24" t="str">
        <f ca="1">IF(ISERROR(MATCH(D$1,INDIRECT("Table!A"&amp;$AK131):INDIRECT("Table!" &amp; $AN$275 &amp; $AK131),0)),"",INDIRECT(CONCATENATE("Table!",ADDRESS($T131,MATCH(D$1,INDIRECT("Table!A" &amp; $AK131):INDIRECT("Table!" &amp; $AN$275 &amp; $AK131),0)))))</f>
        <v/>
      </c>
      <c r="E131" s="24" t="str">
        <f ca="1">IF(ISERROR(MATCH(E$1,INDIRECT("Table!A"&amp;$AK131):INDIRECT("Table!" &amp; $AN$275 &amp; $AK131),0)),"",INDIRECT(CONCATENATE("Table!",ADDRESS($T131,MATCH(E$1,INDIRECT("Table!A" &amp; $AK131):INDIRECT("Table!" &amp; $AN$275 &amp; $AK131),0)))))</f>
        <v/>
      </c>
      <c r="F131" s="24" t="str">
        <f ca="1">IF(ISERROR(MATCH(F$1,INDIRECT("Table!A"&amp;$AK131):INDIRECT("Table!" &amp; $AN$275 &amp; $AK131),0)),"",INDIRECT(CONCATENATE("Table!",ADDRESS($T131,MATCH(F$1,INDIRECT("Table!A" &amp; $AK131):INDIRECT("Table!" &amp; $AN$275 &amp; $AK131),0)))))</f>
        <v/>
      </c>
      <c r="G131" s="24" t="str">
        <f ca="1">IF(ISERROR(MATCH(G$1,INDIRECT("Table!A"&amp;$AK131):INDIRECT("Table!" &amp; $AN$275 &amp; $AK131),0)),"",INDIRECT(CONCATENATE("Table!",ADDRESS($T131,MATCH(G$1,INDIRECT("Table!A" &amp; $AK131):INDIRECT("Table!" &amp; $AN$275 &amp; $AK131),0)))))</f>
        <v/>
      </c>
      <c r="H131" s="24" t="str">
        <f ca="1">IF(ISERROR(MATCH(H$1,INDIRECT("Table!A"&amp;$AK131):INDIRECT("Table!" &amp; $AN$275 &amp; $AK131),0)),"",INDIRECT(CONCATENATE("Table!",ADDRESS($T131,MATCH(H$1,INDIRECT("Table!A" &amp; $AK131):INDIRECT("Table!" &amp; $AN$275 &amp; $AK131),0)))))</f>
        <v/>
      </c>
      <c r="I131" s="273"/>
      <c r="J131" s="273"/>
      <c r="K131" s="24" t="str">
        <f ca="1">IF(ISERROR(MATCH(L$1,INDIRECT("Table!A"&amp;$AK131):INDIRECT("Table!" &amp; $AN$275 &amp; $AK131),0)),"",INDIRECT(CONCATENATE("Table!",ADDRESS($T131,MATCH(L$1,INDIRECT("Table!A" &amp; $AK131):INDIRECT("Table!" &amp; $AN$275 &amp; $AK131),0)))))</f>
        <v/>
      </c>
      <c r="L131" s="24" t="str">
        <f ca="1">IF(ISERROR(MATCH(M$1,INDIRECT("Table!A"&amp;$AK131):INDIRECT("Table!" &amp; $AN$275 &amp; $AK131),0)),"",INDIRECT(CONCATENATE("Table!",ADDRESS($T131,MATCH(M$1,INDIRECT("Table!A" &amp; $AK131):INDIRECT("Table!" &amp; $AN$275 &amp; $AK131),0)))))</f>
        <v/>
      </c>
      <c r="M131" s="24" t="str">
        <f ca="1">IF(ISERROR(MATCH(N$1,INDIRECT("Table!A"&amp;$AK131):INDIRECT("Table!" &amp; $AN$275 &amp; $AK131),0)),"",INDIRECT(CONCATENATE("Table!",ADDRESS($T131,MATCH(N$1,INDIRECT("Table!A" &amp; $AK131):INDIRECT("Table!" &amp; $AN$275 &amp; $AK131),0)))))</f>
        <v/>
      </c>
      <c r="N131" s="24" t="str">
        <f ca="1">IF(ISERROR(MATCH(O$1,INDIRECT("Table!A"&amp;$AK131):INDIRECT("Table!" &amp; $AN$275 &amp; $AK131),0)),"",INDIRECT(CONCATENATE("Table!",ADDRESS($T131,MATCH(O$1,INDIRECT("Table!A" &amp; $AK131):INDIRECT("Table!" &amp; $AN$275 &amp; $AK131),0)))))</f>
        <v/>
      </c>
      <c r="O131" s="24" t="str">
        <f ca="1">IF(ISERROR(MATCH(P$1,INDIRECT("Table!A"&amp;$AK131):INDIRECT("Table!" &amp; $AN$275 &amp; $AK131),0)),"",INDIRECT(CONCATENATE("Table!",ADDRESS($T131,MATCH(P$1,INDIRECT("Table!A" &amp; $AK131):INDIRECT("Table!" &amp; $AN$275 &amp; $AK131),0)))))</f>
        <v/>
      </c>
      <c r="P131" s="273" t="str">
        <f ca="1">IF(ISERROR(MATCH(Q$1,INDIRECT("Table!A"&amp;$AK131):INDIRECT("Table!" &amp; $AN$275 &amp; $AK131),0)),"",INDIRECT(CONCATENATE("Table!",ADDRESS($T131,MATCH(Q$1,INDIRECT("Table!A" &amp; $AK131):INDIRECT("Table!" &amp; $AN$275 &amp; $AK131),0)))))</f>
        <v/>
      </c>
      <c r="Q131" s="205"/>
      <c r="R131" s="205"/>
      <c r="S131" s="205"/>
      <c r="T131" s="22"/>
      <c r="AI131" s="205"/>
      <c r="AJ131" s="205"/>
      <c r="AK131" s="22"/>
      <c r="AL131" s="205"/>
      <c r="AM131" s="205"/>
      <c r="AN131" s="22"/>
      <c r="AO131" s="25"/>
      <c r="AP131" s="25"/>
      <c r="AQ131" s="25"/>
    </row>
    <row r="132" spans="2:43" ht="19.5" customHeight="1" x14ac:dyDescent="0.25">
      <c r="B132" s="24"/>
      <c r="C132" s="24" t="str">
        <f ca="1">IF(ISERROR(MATCH(C$1,INDIRECT("Table!A"&amp;$AK132):INDIRECT("Table!" &amp; $AN$275 &amp; $AK132),0)),"",INDIRECT(CONCATENATE("Table!",ADDRESS($T132,MATCH(C$1,INDIRECT("Table!A" &amp; $AK132):INDIRECT("Table!" &amp; $AN$275 &amp; $AK132),0)))))</f>
        <v/>
      </c>
      <c r="D132" s="24" t="str">
        <f ca="1">IF(ISERROR(MATCH(D$1,INDIRECT("Table!A"&amp;$AK132):INDIRECT("Table!" &amp; $AN$275 &amp; $AK132),0)),"",INDIRECT(CONCATENATE("Table!",ADDRESS($T132,MATCH(D$1,INDIRECT("Table!A" &amp; $AK132):INDIRECT("Table!" &amp; $AN$275 &amp; $AK132),0)))))</f>
        <v/>
      </c>
      <c r="E132" s="24" t="str">
        <f ca="1">IF(ISERROR(MATCH(E$1,INDIRECT("Table!A"&amp;$AK132):INDIRECT("Table!" &amp; $AN$275 &amp; $AK132),0)),"",INDIRECT(CONCATENATE("Table!",ADDRESS($T132,MATCH(E$1,INDIRECT("Table!A" &amp; $AK132):INDIRECT("Table!" &amp; $AN$275 &amp; $AK132),0)))))</f>
        <v/>
      </c>
      <c r="F132" s="24" t="str">
        <f ca="1">IF(ISERROR(MATCH(F$1,INDIRECT("Table!A"&amp;$AK132):INDIRECT("Table!" &amp; $AN$275 &amp; $AK132),0)),"",INDIRECT(CONCATENATE("Table!",ADDRESS($T132,MATCH(F$1,INDIRECT("Table!A" &amp; $AK132):INDIRECT("Table!" &amp; $AN$275 &amp; $AK132),0)))))</f>
        <v/>
      </c>
      <c r="G132" s="24" t="str">
        <f ca="1">IF(ISERROR(MATCH(G$1,INDIRECT("Table!A"&amp;$AK132):INDIRECT("Table!" &amp; $AN$275 &amp; $AK132),0)),"",INDIRECT(CONCATENATE("Table!",ADDRESS($T132,MATCH(G$1,INDIRECT("Table!A" &amp; $AK132):INDIRECT("Table!" &amp; $AN$275 &amp; $AK132),0)))))</f>
        <v/>
      </c>
      <c r="H132" s="24" t="str">
        <f ca="1">IF(ISERROR(MATCH(H$1,INDIRECT("Table!A"&amp;$AK132):INDIRECT("Table!" &amp; $AN$275 &amp; $AK132),0)),"",INDIRECT(CONCATENATE("Table!",ADDRESS($T132,MATCH(H$1,INDIRECT("Table!A" &amp; $AK132):INDIRECT("Table!" &amp; $AN$275 &amp; $AK132),0)))))</f>
        <v/>
      </c>
      <c r="I132" s="273"/>
      <c r="J132" s="273"/>
      <c r="K132" s="24" t="str">
        <f ca="1">IF(ISERROR(MATCH(L$1,INDIRECT("Table!A"&amp;$AK132):INDIRECT("Table!" &amp; $AN$275 &amp; $AK132),0)),"",INDIRECT(CONCATENATE("Table!",ADDRESS($T132,MATCH(L$1,INDIRECT("Table!A" &amp; $AK132):INDIRECT("Table!" &amp; $AN$275 &amp; $AK132),0)))))</f>
        <v/>
      </c>
      <c r="L132" s="24" t="str">
        <f ca="1">IF(ISERROR(MATCH(M$1,INDIRECT("Table!A"&amp;$AK132):INDIRECT("Table!" &amp; $AN$275 &amp; $AK132),0)),"",INDIRECT(CONCATENATE("Table!",ADDRESS($T132,MATCH(M$1,INDIRECT("Table!A" &amp; $AK132):INDIRECT("Table!" &amp; $AN$275 &amp; $AK132),0)))))</f>
        <v/>
      </c>
      <c r="M132" s="24" t="str">
        <f ca="1">IF(ISERROR(MATCH(N$1,INDIRECT("Table!A"&amp;$AK132):INDIRECT("Table!" &amp; $AN$275 &amp; $AK132),0)),"",INDIRECT(CONCATENATE("Table!",ADDRESS($T132,MATCH(N$1,INDIRECT("Table!A" &amp; $AK132):INDIRECT("Table!" &amp; $AN$275 &amp; $AK132),0)))))</f>
        <v/>
      </c>
      <c r="N132" s="24" t="str">
        <f ca="1">IF(ISERROR(MATCH(O$1,INDIRECT("Table!A"&amp;$AK132):INDIRECT("Table!" &amp; $AN$275 &amp; $AK132),0)),"",INDIRECT(CONCATENATE("Table!",ADDRESS($T132,MATCH(O$1,INDIRECT("Table!A" &amp; $AK132):INDIRECT("Table!" &amp; $AN$275 &amp; $AK132),0)))))</f>
        <v/>
      </c>
      <c r="O132" s="24" t="str">
        <f ca="1">IF(ISERROR(MATCH(P$1,INDIRECT("Table!A"&amp;$AK132):INDIRECT("Table!" &amp; $AN$275 &amp; $AK132),0)),"",INDIRECT(CONCATENATE("Table!",ADDRESS($T132,MATCH(P$1,INDIRECT("Table!A" &amp; $AK132):INDIRECT("Table!" &amp; $AN$275 &amp; $AK132),0)))))</f>
        <v/>
      </c>
      <c r="P132" s="273" t="str">
        <f ca="1">IF(ISERROR(MATCH(Q$1,INDIRECT("Table!A"&amp;$AK132):INDIRECT("Table!" &amp; $AN$275 &amp; $AK132),0)),"",INDIRECT(CONCATENATE("Table!",ADDRESS($T132,MATCH(Q$1,INDIRECT("Table!A" &amp; $AK132):INDIRECT("Table!" &amp; $AN$275 &amp; $AK132),0)))))</f>
        <v/>
      </c>
      <c r="Q132" s="204"/>
      <c r="R132" s="204"/>
      <c r="S132" s="204"/>
      <c r="T132" s="22"/>
      <c r="AI132" s="204"/>
      <c r="AJ132" s="204"/>
      <c r="AK132" s="22"/>
      <c r="AL132" s="204"/>
      <c r="AM132" s="204"/>
      <c r="AN132" s="22"/>
      <c r="AO132" s="25"/>
      <c r="AP132" s="25"/>
      <c r="AQ132" s="25"/>
    </row>
    <row r="133" spans="2:43" ht="19.5" customHeight="1" x14ac:dyDescent="0.25">
      <c r="B133" s="24"/>
      <c r="C133" s="24" t="str">
        <f ca="1">IF(ISERROR(MATCH(C$1,INDIRECT("Table!A"&amp;$AK133):INDIRECT("Table!" &amp; $AN$275 &amp; $AK133),0)),"",INDIRECT(CONCATENATE("Table!",ADDRESS($T133,MATCH(C$1,INDIRECT("Table!A" &amp; $AK133):INDIRECT("Table!" &amp; $AN$275 &amp; $AK133),0)))))</f>
        <v/>
      </c>
      <c r="D133" s="24" t="str">
        <f ca="1">IF(ISERROR(MATCH(D$1,INDIRECT("Table!A"&amp;$AK133):INDIRECT("Table!" &amp; $AN$275 &amp; $AK133),0)),"",INDIRECT(CONCATENATE("Table!",ADDRESS($T133,MATCH(D$1,INDIRECT("Table!A" &amp; $AK133):INDIRECT("Table!" &amp; $AN$275 &amp; $AK133),0)))))</f>
        <v/>
      </c>
      <c r="E133" s="24" t="str">
        <f ca="1">IF(ISERROR(MATCH(E$1,INDIRECT("Table!A"&amp;$AK133):INDIRECT("Table!" &amp; $AN$275 &amp; $AK133),0)),"",INDIRECT(CONCATENATE("Table!",ADDRESS($T133,MATCH(E$1,INDIRECT("Table!A" &amp; $AK133):INDIRECT("Table!" &amp; $AN$275 &amp; $AK133),0)))))</f>
        <v/>
      </c>
      <c r="F133" s="24" t="str">
        <f ca="1">IF(ISERROR(MATCH(F$1,INDIRECT("Table!A"&amp;$AK133):INDIRECT("Table!" &amp; $AN$275 &amp; $AK133),0)),"",INDIRECT(CONCATENATE("Table!",ADDRESS($T133,MATCH(F$1,INDIRECT("Table!A" &amp; $AK133):INDIRECT("Table!" &amp; $AN$275 &amp; $AK133),0)))))</f>
        <v/>
      </c>
      <c r="G133" s="24" t="str">
        <f ca="1">IF(ISERROR(MATCH(G$1,INDIRECT("Table!A"&amp;$AK133):INDIRECT("Table!" &amp; $AN$275 &amp; $AK133),0)),"",INDIRECT(CONCATENATE("Table!",ADDRESS($T133,MATCH(G$1,INDIRECT("Table!A" &amp; $AK133):INDIRECT("Table!" &amp; $AN$275 &amp; $AK133),0)))))</f>
        <v/>
      </c>
      <c r="H133" s="24" t="str">
        <f ca="1">IF(ISERROR(MATCH(H$1,INDIRECT("Table!A"&amp;$AK133):INDIRECT("Table!" &amp; $AN$275 &amp; $AK133),0)),"",INDIRECT(CONCATENATE("Table!",ADDRESS($T133,MATCH(H$1,INDIRECT("Table!A" &amp; $AK133):INDIRECT("Table!" &amp; $AN$275 &amp; $AK133),0)))))</f>
        <v/>
      </c>
      <c r="I133" s="273"/>
      <c r="J133" s="273"/>
      <c r="K133" s="24" t="str">
        <f ca="1">IF(ISERROR(MATCH(L$1,INDIRECT("Table!A"&amp;$AK133):INDIRECT("Table!" &amp; $AN$275 &amp; $AK133),0)),"",INDIRECT(CONCATENATE("Table!",ADDRESS($T133,MATCH(L$1,INDIRECT("Table!A" &amp; $AK133):INDIRECT("Table!" &amp; $AN$275 &amp; $AK133),0)))))</f>
        <v/>
      </c>
      <c r="L133" s="24" t="str">
        <f ca="1">IF(ISERROR(MATCH(M$1,INDIRECT("Table!A"&amp;$AK133):INDIRECT("Table!" &amp; $AN$275 &amp; $AK133),0)),"",INDIRECT(CONCATENATE("Table!",ADDRESS($T133,MATCH(M$1,INDIRECT("Table!A" &amp; $AK133):INDIRECT("Table!" &amp; $AN$275 &amp; $AK133),0)))))</f>
        <v/>
      </c>
      <c r="M133" s="24" t="str">
        <f ca="1">IF(ISERROR(MATCH(N$1,INDIRECT("Table!A"&amp;$AK133):INDIRECT("Table!" &amp; $AN$275 &amp; $AK133),0)),"",INDIRECT(CONCATENATE("Table!",ADDRESS($T133,MATCH(N$1,INDIRECT("Table!A" &amp; $AK133):INDIRECT("Table!" &amp; $AN$275 &amp; $AK133),0)))))</f>
        <v/>
      </c>
      <c r="N133" s="24" t="str">
        <f ca="1">IF(ISERROR(MATCH(O$1,INDIRECT("Table!A"&amp;$AK133):INDIRECT("Table!" &amp; $AN$275 &amp; $AK133),0)),"",INDIRECT(CONCATENATE("Table!",ADDRESS($T133,MATCH(O$1,INDIRECT("Table!A" &amp; $AK133):INDIRECT("Table!" &amp; $AN$275 &amp; $AK133),0)))))</f>
        <v/>
      </c>
      <c r="O133" s="24" t="str">
        <f ca="1">IF(ISERROR(MATCH(P$1,INDIRECT("Table!A"&amp;$AK133):INDIRECT("Table!" &amp; $AN$275 &amp; $AK133),0)),"",INDIRECT(CONCATENATE("Table!",ADDRESS($T133,MATCH(P$1,INDIRECT("Table!A" &amp; $AK133):INDIRECT("Table!" &amp; $AN$275 &amp; $AK133),0)))))</f>
        <v/>
      </c>
      <c r="P133" s="273" t="str">
        <f ca="1">IF(ISERROR(MATCH(Q$1,INDIRECT("Table!A"&amp;$AK133):INDIRECT("Table!" &amp; $AN$275 &amp; $AK133),0)),"",INDIRECT(CONCATENATE("Table!",ADDRESS($T133,MATCH(Q$1,INDIRECT("Table!A" &amp; $AK133):INDIRECT("Table!" &amp; $AN$275 &amp; $AK133),0)))))</f>
        <v/>
      </c>
      <c r="Q133" s="203"/>
      <c r="R133" s="203"/>
      <c r="S133" s="203"/>
      <c r="T133" s="22"/>
      <c r="AI133" s="203"/>
      <c r="AJ133" s="203"/>
      <c r="AK133" s="22"/>
      <c r="AL133" s="203"/>
      <c r="AM133" s="203"/>
      <c r="AN133" s="22"/>
      <c r="AO133" s="25"/>
      <c r="AP133" s="25"/>
      <c r="AQ133" s="25"/>
    </row>
    <row r="134" spans="2:43" ht="19.5" customHeight="1" x14ac:dyDescent="0.25">
      <c r="B134" s="24"/>
      <c r="C134" s="24" t="str">
        <f ca="1">IF(ISERROR(MATCH(C$1,INDIRECT("Table!A"&amp;$AK134):INDIRECT("Table!" &amp; $AN$275 &amp; $AK134),0)),"",INDIRECT(CONCATENATE("Table!",ADDRESS($T134,MATCH(C$1,INDIRECT("Table!A" &amp; $AK134):INDIRECT("Table!" &amp; $AN$275 &amp; $AK134),0)))))</f>
        <v/>
      </c>
      <c r="D134" s="24" t="str">
        <f ca="1">IF(ISERROR(MATCH(D$1,INDIRECT("Table!A"&amp;$AK134):INDIRECT("Table!" &amp; $AN$275 &amp; $AK134),0)),"",INDIRECT(CONCATENATE("Table!",ADDRESS($T134,MATCH(D$1,INDIRECT("Table!A" &amp; $AK134):INDIRECT("Table!" &amp; $AN$275 &amp; $AK134),0)))))</f>
        <v/>
      </c>
      <c r="E134" s="24" t="str">
        <f ca="1">IF(ISERROR(MATCH(E$1,INDIRECT("Table!A"&amp;$AK134):INDIRECT("Table!" &amp; $AN$275 &amp; $AK134),0)),"",INDIRECT(CONCATENATE("Table!",ADDRESS($T134,MATCH(E$1,INDIRECT("Table!A" &amp; $AK134):INDIRECT("Table!" &amp; $AN$275 &amp; $AK134),0)))))</f>
        <v/>
      </c>
      <c r="F134" s="24" t="str">
        <f ca="1">IF(ISERROR(MATCH(F$1,INDIRECT("Table!A"&amp;$AK134):INDIRECT("Table!" &amp; $AN$275 &amp; $AK134),0)),"",INDIRECT(CONCATENATE("Table!",ADDRESS($T134,MATCH(F$1,INDIRECT("Table!A" &amp; $AK134):INDIRECT("Table!" &amp; $AN$275 &amp; $AK134),0)))))</f>
        <v/>
      </c>
      <c r="G134" s="24" t="str">
        <f ca="1">IF(ISERROR(MATCH(G$1,INDIRECT("Table!A"&amp;$AK134):INDIRECT("Table!" &amp; $AN$275 &amp; $AK134),0)),"",INDIRECT(CONCATENATE("Table!",ADDRESS($T134,MATCH(G$1,INDIRECT("Table!A" &amp; $AK134):INDIRECT("Table!" &amp; $AN$275 &amp; $AK134),0)))))</f>
        <v/>
      </c>
      <c r="H134" s="24" t="str">
        <f ca="1">IF(ISERROR(MATCH(H$1,INDIRECT("Table!A"&amp;$AK134):INDIRECT("Table!" &amp; $AN$275 &amp; $AK134),0)),"",INDIRECT(CONCATENATE("Table!",ADDRESS($T134,MATCH(H$1,INDIRECT("Table!A" &amp; $AK134):INDIRECT("Table!" &amp; $AN$275 &amp; $AK134),0)))))</f>
        <v/>
      </c>
      <c r="I134" s="273"/>
      <c r="J134" s="273"/>
      <c r="K134" s="24" t="str">
        <f ca="1">IF(ISERROR(MATCH(L$1,INDIRECT("Table!A"&amp;$AK134):INDIRECT("Table!" &amp; $AN$275 &amp; $AK134),0)),"",INDIRECT(CONCATENATE("Table!",ADDRESS($T134,MATCH(L$1,INDIRECT("Table!A" &amp; $AK134):INDIRECT("Table!" &amp; $AN$275 &amp; $AK134),0)))))</f>
        <v/>
      </c>
      <c r="L134" s="24" t="str">
        <f ca="1">IF(ISERROR(MATCH(M$1,INDIRECT("Table!A"&amp;$AK134):INDIRECT("Table!" &amp; $AN$275 &amp; $AK134),0)),"",INDIRECT(CONCATENATE("Table!",ADDRESS($T134,MATCH(M$1,INDIRECT("Table!A" &amp; $AK134):INDIRECT("Table!" &amp; $AN$275 &amp; $AK134),0)))))</f>
        <v/>
      </c>
      <c r="M134" s="24" t="str">
        <f ca="1">IF(ISERROR(MATCH(N$1,INDIRECT("Table!A"&amp;$AK134):INDIRECT("Table!" &amp; $AN$275 &amp; $AK134),0)),"",INDIRECT(CONCATENATE("Table!",ADDRESS($T134,MATCH(N$1,INDIRECT("Table!A" &amp; $AK134):INDIRECT("Table!" &amp; $AN$275 &amp; $AK134),0)))))</f>
        <v/>
      </c>
      <c r="N134" s="24" t="str">
        <f ca="1">IF(ISERROR(MATCH(O$1,INDIRECT("Table!A"&amp;$AK134):INDIRECT("Table!" &amp; $AN$275 &amp; $AK134),0)),"",INDIRECT(CONCATENATE("Table!",ADDRESS($T134,MATCH(O$1,INDIRECT("Table!A" &amp; $AK134):INDIRECT("Table!" &amp; $AN$275 &amp; $AK134),0)))))</f>
        <v/>
      </c>
      <c r="O134" s="24" t="str">
        <f ca="1">IF(ISERROR(MATCH(P$1,INDIRECT("Table!A"&amp;$AK134):INDIRECT("Table!" &amp; $AN$275 &amp; $AK134),0)),"",INDIRECT(CONCATENATE("Table!",ADDRESS($T134,MATCH(P$1,INDIRECT("Table!A" &amp; $AK134):INDIRECT("Table!" &amp; $AN$275 &amp; $AK134),0)))))</f>
        <v/>
      </c>
      <c r="P134" s="273" t="str">
        <f ca="1">IF(ISERROR(MATCH(Q$1,INDIRECT("Table!A"&amp;$AK134):INDIRECT("Table!" &amp; $AN$275 &amp; $AK134),0)),"",INDIRECT(CONCATENATE("Table!",ADDRESS($T134,MATCH(Q$1,INDIRECT("Table!A" &amp; $AK134):INDIRECT("Table!" &amp; $AN$275 &amp; $AK134),0)))))</f>
        <v/>
      </c>
      <c r="Q134" s="202"/>
      <c r="R134" s="202"/>
      <c r="S134" s="202"/>
      <c r="T134" s="22"/>
      <c r="AI134" s="202"/>
      <c r="AJ134" s="202"/>
      <c r="AK134" s="22"/>
      <c r="AL134" s="202"/>
      <c r="AM134" s="202"/>
      <c r="AN134" s="22"/>
      <c r="AO134" s="25"/>
      <c r="AP134" s="25"/>
      <c r="AQ134" s="25"/>
    </row>
    <row r="135" spans="2:43" ht="19.5" customHeight="1" x14ac:dyDescent="0.25">
      <c r="B135" s="24"/>
      <c r="C135" s="24" t="str">
        <f ca="1">IF(ISERROR(MATCH(C$1,INDIRECT("Table!A"&amp;$AK135):INDIRECT("Table!" &amp; $AN$275 &amp; $AK135),0)),"",INDIRECT(CONCATENATE("Table!",ADDRESS($T135,MATCH(C$1,INDIRECT("Table!A" &amp; $AK135):INDIRECT("Table!" &amp; $AN$275 &amp; $AK135),0)))))</f>
        <v/>
      </c>
      <c r="D135" s="24" t="str">
        <f ca="1">IF(ISERROR(MATCH(D$1,INDIRECT("Table!A"&amp;$AK135):INDIRECT("Table!" &amp; $AN$275 &amp; $AK135),0)),"",INDIRECT(CONCATENATE("Table!",ADDRESS($T135,MATCH(D$1,INDIRECT("Table!A" &amp; $AK135):INDIRECT("Table!" &amp; $AN$275 &amp; $AK135),0)))))</f>
        <v/>
      </c>
      <c r="E135" s="24" t="str">
        <f ca="1">IF(ISERROR(MATCH(E$1,INDIRECT("Table!A"&amp;$AK135):INDIRECT("Table!" &amp; $AN$275 &amp; $AK135),0)),"",INDIRECT(CONCATENATE("Table!",ADDRESS($T135,MATCH(E$1,INDIRECT("Table!A" &amp; $AK135):INDIRECT("Table!" &amp; $AN$275 &amp; $AK135),0)))))</f>
        <v/>
      </c>
      <c r="F135" s="24" t="str">
        <f ca="1">IF(ISERROR(MATCH(F$1,INDIRECT("Table!A"&amp;$AK135):INDIRECT("Table!" &amp; $AN$275 &amp; $AK135),0)),"",INDIRECT(CONCATENATE("Table!",ADDRESS($T135,MATCH(F$1,INDIRECT("Table!A" &amp; $AK135):INDIRECT("Table!" &amp; $AN$275 &amp; $AK135),0)))))</f>
        <v/>
      </c>
      <c r="G135" s="24" t="str">
        <f ca="1">IF(ISERROR(MATCH(G$1,INDIRECT("Table!A"&amp;$AK135):INDIRECT("Table!" &amp; $AN$275 &amp; $AK135),0)),"",INDIRECT(CONCATENATE("Table!",ADDRESS($T135,MATCH(G$1,INDIRECT("Table!A" &amp; $AK135):INDIRECT("Table!" &amp; $AN$275 &amp; $AK135),0)))))</f>
        <v/>
      </c>
      <c r="H135" s="24" t="str">
        <f ca="1">IF(ISERROR(MATCH(H$1,INDIRECT("Table!A"&amp;$AK135):INDIRECT("Table!" &amp; $AN$275 &amp; $AK135),0)),"",INDIRECT(CONCATENATE("Table!",ADDRESS($T135,MATCH(H$1,INDIRECT("Table!A" &amp; $AK135):INDIRECT("Table!" &amp; $AN$275 &amp; $AK135),0)))))</f>
        <v/>
      </c>
      <c r="I135" s="273"/>
      <c r="J135" s="273"/>
      <c r="K135" s="24" t="str">
        <f ca="1">IF(ISERROR(MATCH(L$1,INDIRECT("Table!A"&amp;$AK135):INDIRECT("Table!" &amp; $AN$275 &amp; $AK135),0)),"",INDIRECT(CONCATENATE("Table!",ADDRESS($T135,MATCH(L$1,INDIRECT("Table!A" &amp; $AK135):INDIRECT("Table!" &amp; $AN$275 &amp; $AK135),0)))))</f>
        <v/>
      </c>
      <c r="L135" s="24" t="str">
        <f ca="1">IF(ISERROR(MATCH(M$1,INDIRECT("Table!A"&amp;$AK135):INDIRECT("Table!" &amp; $AN$275 &amp; $AK135),0)),"",INDIRECT(CONCATENATE("Table!",ADDRESS($T135,MATCH(M$1,INDIRECT("Table!A" &amp; $AK135):INDIRECT("Table!" &amp; $AN$275 &amp; $AK135),0)))))</f>
        <v/>
      </c>
      <c r="M135" s="24" t="str">
        <f ca="1">IF(ISERROR(MATCH(N$1,INDIRECT("Table!A"&amp;$AK135):INDIRECT("Table!" &amp; $AN$275 &amp; $AK135),0)),"",INDIRECT(CONCATENATE("Table!",ADDRESS($T135,MATCH(N$1,INDIRECT("Table!A" &amp; $AK135):INDIRECT("Table!" &amp; $AN$275 &amp; $AK135),0)))))</f>
        <v/>
      </c>
      <c r="N135" s="24" t="str">
        <f ca="1">IF(ISERROR(MATCH(O$1,INDIRECT("Table!A"&amp;$AK135):INDIRECT("Table!" &amp; $AN$275 &amp; $AK135),0)),"",INDIRECT(CONCATENATE("Table!",ADDRESS($T135,MATCH(O$1,INDIRECT("Table!A" &amp; $AK135):INDIRECT("Table!" &amp; $AN$275 &amp; $AK135),0)))))</f>
        <v/>
      </c>
      <c r="O135" s="24" t="str">
        <f ca="1">IF(ISERROR(MATCH(P$1,INDIRECT("Table!A"&amp;$AK135):INDIRECT("Table!" &amp; $AN$275 &amp; $AK135),0)),"",INDIRECT(CONCATENATE("Table!",ADDRESS($T135,MATCH(P$1,INDIRECT("Table!A" &amp; $AK135):INDIRECT("Table!" &amp; $AN$275 &amp; $AK135),0)))))</f>
        <v/>
      </c>
      <c r="P135" s="273" t="str">
        <f ca="1">IF(ISERROR(MATCH(Q$1,INDIRECT("Table!A"&amp;$AK135):INDIRECT("Table!" &amp; $AN$275 &amp; $AK135),0)),"",INDIRECT(CONCATENATE("Table!",ADDRESS($T135,MATCH(Q$1,INDIRECT("Table!A" &amp; $AK135):INDIRECT("Table!" &amp; $AN$275 &amp; $AK135),0)))))</f>
        <v/>
      </c>
      <c r="Q135" s="202"/>
      <c r="R135" s="202"/>
      <c r="S135" s="202"/>
      <c r="T135" s="22"/>
      <c r="AI135" s="202"/>
      <c r="AJ135" s="202"/>
      <c r="AK135" s="22"/>
      <c r="AL135" s="202"/>
      <c r="AM135" s="202"/>
      <c r="AN135" s="22"/>
      <c r="AO135" s="25"/>
      <c r="AP135" s="25"/>
      <c r="AQ135" s="25"/>
    </row>
    <row r="136" spans="2:43" ht="19.5" customHeight="1" x14ac:dyDescent="0.25">
      <c r="B136" s="24"/>
      <c r="C136" s="24" t="str">
        <f ca="1">IF(ISERROR(MATCH(C$1,INDIRECT("Table!A"&amp;$AK136):INDIRECT("Table!" &amp; $AN$275 &amp; $AK136),0)),"",INDIRECT(CONCATENATE("Table!",ADDRESS($T136,MATCH(C$1,INDIRECT("Table!A" &amp; $AK136):INDIRECT("Table!" &amp; $AN$275 &amp; $AK136),0)))))</f>
        <v/>
      </c>
      <c r="D136" s="24" t="str">
        <f ca="1">IF(ISERROR(MATCH(D$1,INDIRECT("Table!A"&amp;$AK136):INDIRECT("Table!" &amp; $AN$275 &amp; $AK136),0)),"",INDIRECT(CONCATENATE("Table!",ADDRESS($T136,MATCH(D$1,INDIRECT("Table!A" &amp; $AK136):INDIRECT("Table!" &amp; $AN$275 &amp; $AK136),0)))))</f>
        <v/>
      </c>
      <c r="E136" s="24" t="str">
        <f ca="1">IF(ISERROR(MATCH(E$1,INDIRECT("Table!A"&amp;$AK136):INDIRECT("Table!" &amp; $AN$275 &amp; $AK136),0)),"",INDIRECT(CONCATENATE("Table!",ADDRESS($T136,MATCH(E$1,INDIRECT("Table!A" &amp; $AK136):INDIRECT("Table!" &amp; $AN$275 &amp; $AK136),0)))))</f>
        <v/>
      </c>
      <c r="F136" s="24" t="str">
        <f ca="1">IF(ISERROR(MATCH(F$1,INDIRECT("Table!A"&amp;$AK136):INDIRECT("Table!" &amp; $AN$275 &amp; $AK136),0)),"",INDIRECT(CONCATENATE("Table!",ADDRESS($T136,MATCH(F$1,INDIRECT("Table!A" &amp; $AK136):INDIRECT("Table!" &amp; $AN$275 &amp; $AK136),0)))))</f>
        <v/>
      </c>
      <c r="G136" s="24" t="str">
        <f ca="1">IF(ISERROR(MATCH(G$1,INDIRECT("Table!A"&amp;$AK136):INDIRECT("Table!" &amp; $AN$275 &amp; $AK136),0)),"",INDIRECT(CONCATENATE("Table!",ADDRESS($T136,MATCH(G$1,INDIRECT("Table!A" &amp; $AK136):INDIRECT("Table!" &amp; $AN$275 &amp; $AK136),0)))))</f>
        <v/>
      </c>
      <c r="H136" s="24" t="str">
        <f ca="1">IF(ISERROR(MATCH(H$1,INDIRECT("Table!A"&amp;$AK136):INDIRECT("Table!" &amp; $AN$275 &amp; $AK136),0)),"",INDIRECT(CONCATENATE("Table!",ADDRESS($T136,MATCH(H$1,INDIRECT("Table!A" &amp; $AK136):INDIRECT("Table!" &amp; $AN$275 &amp; $AK136),0)))))</f>
        <v/>
      </c>
      <c r="I136" s="273"/>
      <c r="J136" s="273"/>
      <c r="K136" s="24" t="str">
        <f ca="1">IF(ISERROR(MATCH(L$1,INDIRECT("Table!A"&amp;$AK136):INDIRECT("Table!" &amp; $AN$275 &amp; $AK136),0)),"",INDIRECT(CONCATENATE("Table!",ADDRESS($T136,MATCH(L$1,INDIRECT("Table!A" &amp; $AK136):INDIRECT("Table!" &amp; $AN$275 &amp; $AK136),0)))))</f>
        <v/>
      </c>
      <c r="L136" s="24" t="str">
        <f ca="1">IF(ISERROR(MATCH(M$1,INDIRECT("Table!A"&amp;$AK136):INDIRECT("Table!" &amp; $AN$275 &amp; $AK136),0)),"",INDIRECT(CONCATENATE("Table!",ADDRESS($T136,MATCH(M$1,INDIRECT("Table!A" &amp; $AK136):INDIRECT("Table!" &amp; $AN$275 &amp; $AK136),0)))))</f>
        <v/>
      </c>
      <c r="M136" s="24" t="str">
        <f ca="1">IF(ISERROR(MATCH(N$1,INDIRECT("Table!A"&amp;$AK136):INDIRECT("Table!" &amp; $AN$275 &amp; $AK136),0)),"",INDIRECT(CONCATENATE("Table!",ADDRESS($T136,MATCH(N$1,INDIRECT("Table!A" &amp; $AK136):INDIRECT("Table!" &amp; $AN$275 &amp; $AK136),0)))))</f>
        <v/>
      </c>
      <c r="N136" s="24" t="str">
        <f ca="1">IF(ISERROR(MATCH(O$1,INDIRECT("Table!A"&amp;$AK136):INDIRECT("Table!" &amp; $AN$275 &amp; $AK136),0)),"",INDIRECT(CONCATENATE("Table!",ADDRESS($T136,MATCH(O$1,INDIRECT("Table!A" &amp; $AK136):INDIRECT("Table!" &amp; $AN$275 &amp; $AK136),0)))))</f>
        <v/>
      </c>
      <c r="O136" s="24" t="str">
        <f ca="1">IF(ISERROR(MATCH(P$1,INDIRECT("Table!A"&amp;$AK136):INDIRECT("Table!" &amp; $AN$275 &amp; $AK136),0)),"",INDIRECT(CONCATENATE("Table!",ADDRESS($T136,MATCH(P$1,INDIRECT("Table!A" &amp; $AK136):INDIRECT("Table!" &amp; $AN$275 &amp; $AK136),0)))))</f>
        <v/>
      </c>
      <c r="P136" s="273" t="str">
        <f ca="1">IF(ISERROR(MATCH(Q$1,INDIRECT("Table!A"&amp;$AK136):INDIRECT("Table!" &amp; $AN$275 &amp; $AK136),0)),"",INDIRECT(CONCATENATE("Table!",ADDRESS($T136,MATCH(Q$1,INDIRECT("Table!A" &amp; $AK136):INDIRECT("Table!" &amp; $AN$275 &amp; $AK136),0)))))</f>
        <v/>
      </c>
      <c r="Q136" s="200"/>
      <c r="R136" s="200"/>
      <c r="S136" s="200"/>
      <c r="T136" s="22"/>
      <c r="AI136" s="200"/>
      <c r="AJ136" s="200"/>
      <c r="AK136" s="22"/>
      <c r="AL136" s="200"/>
      <c r="AM136" s="200"/>
      <c r="AN136" s="22"/>
      <c r="AO136" s="25"/>
      <c r="AP136" s="25"/>
      <c r="AQ136" s="25"/>
    </row>
    <row r="137" spans="2:43" ht="19.5" customHeight="1" x14ac:dyDescent="0.25">
      <c r="B137" s="24"/>
      <c r="C137" s="24" t="str">
        <f ca="1">IF(ISERROR(MATCH(C$1,INDIRECT("Table!A"&amp;$AK137):INDIRECT("Table!" &amp; $AN$275 &amp; $AK137),0)),"",INDIRECT(CONCATENATE("Table!",ADDRESS($T137,MATCH(C$1,INDIRECT("Table!A" &amp; $AK137):INDIRECT("Table!" &amp; $AN$275 &amp; $AK137),0)))))</f>
        <v/>
      </c>
      <c r="D137" s="24" t="str">
        <f ca="1">IF(ISERROR(MATCH(D$1,INDIRECT("Table!A"&amp;$AK137):INDIRECT("Table!" &amp; $AN$275 &amp; $AK137),0)),"",INDIRECT(CONCATENATE("Table!",ADDRESS($T137,MATCH(D$1,INDIRECT("Table!A" &amp; $AK137):INDIRECT("Table!" &amp; $AN$275 &amp; $AK137),0)))))</f>
        <v/>
      </c>
      <c r="E137" s="24" t="str">
        <f ca="1">IF(ISERROR(MATCH(E$1,INDIRECT("Table!A"&amp;$AK137):INDIRECT("Table!" &amp; $AN$275 &amp; $AK137),0)),"",INDIRECT(CONCATENATE("Table!",ADDRESS($T137,MATCH(E$1,INDIRECT("Table!A" &amp; $AK137):INDIRECT("Table!" &amp; $AN$275 &amp; $AK137),0)))))</f>
        <v/>
      </c>
      <c r="F137" s="24" t="str">
        <f ca="1">IF(ISERROR(MATCH(F$1,INDIRECT("Table!A"&amp;$AK137):INDIRECT("Table!" &amp; $AN$275 &amp; $AK137),0)),"",INDIRECT(CONCATENATE("Table!",ADDRESS($T137,MATCH(F$1,INDIRECT("Table!A" &amp; $AK137):INDIRECT("Table!" &amp; $AN$275 &amp; $AK137),0)))))</f>
        <v/>
      </c>
      <c r="G137" s="24" t="str">
        <f ca="1">IF(ISERROR(MATCH(G$1,INDIRECT("Table!A"&amp;$AK137):INDIRECT("Table!" &amp; $AN$275 &amp; $AK137),0)),"",INDIRECT(CONCATENATE("Table!",ADDRESS($T137,MATCH(G$1,INDIRECT("Table!A" &amp; $AK137):INDIRECT("Table!" &amp; $AN$275 &amp; $AK137),0)))))</f>
        <v/>
      </c>
      <c r="H137" s="24" t="str">
        <f ca="1">IF(ISERROR(MATCH(H$1,INDIRECT("Table!A"&amp;$AK137):INDIRECT("Table!" &amp; $AN$275 &amp; $AK137),0)),"",INDIRECT(CONCATENATE("Table!",ADDRESS($T137,MATCH(H$1,INDIRECT("Table!A" &amp; $AK137):INDIRECT("Table!" &amp; $AN$275 &amp; $AK137),0)))))</f>
        <v/>
      </c>
      <c r="I137" s="273"/>
      <c r="J137" s="273"/>
      <c r="K137" s="24" t="str">
        <f ca="1">IF(ISERROR(MATCH(L$1,INDIRECT("Table!A"&amp;$AK137):INDIRECT("Table!" &amp; $AN$275 &amp; $AK137),0)),"",INDIRECT(CONCATENATE("Table!",ADDRESS($T137,MATCH(L$1,INDIRECT("Table!A" &amp; $AK137):INDIRECT("Table!" &amp; $AN$275 &amp; $AK137),0)))))</f>
        <v/>
      </c>
      <c r="L137" s="24" t="str">
        <f ca="1">IF(ISERROR(MATCH(M$1,INDIRECT("Table!A"&amp;$AK137):INDIRECT("Table!" &amp; $AN$275 &amp; $AK137),0)),"",INDIRECT(CONCATENATE("Table!",ADDRESS($T137,MATCH(M$1,INDIRECT("Table!A" &amp; $AK137):INDIRECT("Table!" &amp; $AN$275 &amp; $AK137),0)))))</f>
        <v/>
      </c>
      <c r="M137" s="24" t="str">
        <f ca="1">IF(ISERROR(MATCH(N$1,INDIRECT("Table!A"&amp;$AK137):INDIRECT("Table!" &amp; $AN$275 &amp; $AK137),0)),"",INDIRECT(CONCATENATE("Table!",ADDRESS($T137,MATCH(N$1,INDIRECT("Table!A" &amp; $AK137):INDIRECT("Table!" &amp; $AN$275 &amp; $AK137),0)))))</f>
        <v/>
      </c>
      <c r="N137" s="24" t="str">
        <f ca="1">IF(ISERROR(MATCH(O$1,INDIRECT("Table!A"&amp;$AK137):INDIRECT("Table!" &amp; $AN$275 &amp; $AK137),0)),"",INDIRECT(CONCATENATE("Table!",ADDRESS($T137,MATCH(O$1,INDIRECT("Table!A" &amp; $AK137):INDIRECT("Table!" &amp; $AN$275 &amp; $AK137),0)))))</f>
        <v/>
      </c>
      <c r="O137" s="24" t="str">
        <f ca="1">IF(ISERROR(MATCH(P$1,INDIRECT("Table!A"&amp;$AK137):INDIRECT("Table!" &amp; $AN$275 &amp; $AK137),0)),"",INDIRECT(CONCATENATE("Table!",ADDRESS($T137,MATCH(P$1,INDIRECT("Table!A" &amp; $AK137):INDIRECT("Table!" &amp; $AN$275 &amp; $AK137),0)))))</f>
        <v/>
      </c>
      <c r="P137" s="273" t="str">
        <f ca="1">IF(ISERROR(MATCH(Q$1,INDIRECT("Table!A"&amp;$AK137):INDIRECT("Table!" &amp; $AN$275 &amp; $AK137),0)),"",INDIRECT(CONCATENATE("Table!",ADDRESS($T137,MATCH(Q$1,INDIRECT("Table!A" &amp; $AK137):INDIRECT("Table!" &amp; $AN$275 &amp; $AK137),0)))))</f>
        <v/>
      </c>
      <c r="Q137" s="200"/>
      <c r="R137" s="200"/>
      <c r="S137" s="200"/>
      <c r="T137" s="22"/>
      <c r="AI137" s="200"/>
      <c r="AJ137" s="200"/>
      <c r="AK137" s="22"/>
      <c r="AL137" s="200"/>
      <c r="AM137" s="200"/>
      <c r="AN137" s="22"/>
      <c r="AO137" s="25"/>
      <c r="AP137" s="25"/>
      <c r="AQ137" s="25"/>
    </row>
    <row r="138" spans="2:43" ht="19.5" customHeight="1" x14ac:dyDescent="0.25">
      <c r="B138" s="24"/>
      <c r="C138" s="24" t="str">
        <f ca="1">IF(ISERROR(MATCH(C$1,INDIRECT("Table!A"&amp;$AK138):INDIRECT("Table!" &amp; $AN$275 &amp; $AK138),0)),"",INDIRECT(CONCATENATE("Table!",ADDRESS($T138,MATCH(C$1,INDIRECT("Table!A" &amp; $AK138):INDIRECT("Table!" &amp; $AN$275 &amp; $AK138),0)))))</f>
        <v/>
      </c>
      <c r="D138" s="24" t="str">
        <f ca="1">IF(ISERROR(MATCH(D$1,INDIRECT("Table!A"&amp;$AK138):INDIRECT("Table!" &amp; $AN$275 &amp; $AK138),0)),"",INDIRECT(CONCATENATE("Table!",ADDRESS($T138,MATCH(D$1,INDIRECT("Table!A" &amp; $AK138):INDIRECT("Table!" &amp; $AN$275 &amp; $AK138),0)))))</f>
        <v/>
      </c>
      <c r="E138" s="24" t="str">
        <f ca="1">IF(ISERROR(MATCH(E$1,INDIRECT("Table!A"&amp;$AK138):INDIRECT("Table!" &amp; $AN$275 &amp; $AK138),0)),"",INDIRECT(CONCATENATE("Table!",ADDRESS($T138,MATCH(E$1,INDIRECT("Table!A" &amp; $AK138):INDIRECT("Table!" &amp; $AN$275 &amp; $AK138),0)))))</f>
        <v/>
      </c>
      <c r="F138" s="24" t="str">
        <f ca="1">IF(ISERROR(MATCH(F$1,INDIRECT("Table!A"&amp;$AK138):INDIRECT("Table!" &amp; $AN$275 &amp; $AK138),0)),"",INDIRECT(CONCATENATE("Table!",ADDRESS($T138,MATCH(F$1,INDIRECT("Table!A" &amp; $AK138):INDIRECT("Table!" &amp; $AN$275 &amp; $AK138),0)))))</f>
        <v/>
      </c>
      <c r="G138" s="24" t="str">
        <f ca="1">IF(ISERROR(MATCH(G$1,INDIRECT("Table!A"&amp;$AK138):INDIRECT("Table!" &amp; $AN$275 &amp; $AK138),0)),"",INDIRECT(CONCATENATE("Table!",ADDRESS($T138,MATCH(G$1,INDIRECT("Table!A" &amp; $AK138):INDIRECT("Table!" &amp; $AN$275 &amp; $AK138),0)))))</f>
        <v/>
      </c>
      <c r="H138" s="24" t="str">
        <f ca="1">IF(ISERROR(MATCH(H$1,INDIRECT("Table!A"&amp;$AK138):INDIRECT("Table!" &amp; $AN$275 &amp; $AK138),0)),"",INDIRECT(CONCATENATE("Table!",ADDRESS($T138,MATCH(H$1,INDIRECT("Table!A" &amp; $AK138):INDIRECT("Table!" &amp; $AN$275 &amp; $AK138),0)))))</f>
        <v/>
      </c>
      <c r="I138" s="273"/>
      <c r="J138" s="273"/>
      <c r="K138" s="24" t="str">
        <f ca="1">IF(ISERROR(MATCH(L$1,INDIRECT("Table!A"&amp;$AK138):INDIRECT("Table!" &amp; $AN$275 &amp; $AK138),0)),"",INDIRECT(CONCATENATE("Table!",ADDRESS($T138,MATCH(L$1,INDIRECT("Table!A" &amp; $AK138):INDIRECT("Table!" &amp; $AN$275 &amp; $AK138),0)))))</f>
        <v/>
      </c>
      <c r="L138" s="24" t="str">
        <f ca="1">IF(ISERROR(MATCH(M$1,INDIRECT("Table!A"&amp;$AK138):INDIRECT("Table!" &amp; $AN$275 &amp; $AK138),0)),"",INDIRECT(CONCATENATE("Table!",ADDRESS($T138,MATCH(M$1,INDIRECT("Table!A" &amp; $AK138):INDIRECT("Table!" &amp; $AN$275 &amp; $AK138),0)))))</f>
        <v/>
      </c>
      <c r="M138" s="24" t="str">
        <f ca="1">IF(ISERROR(MATCH(N$1,INDIRECT("Table!A"&amp;$AK138):INDIRECT("Table!" &amp; $AN$275 &amp; $AK138),0)),"",INDIRECT(CONCATENATE("Table!",ADDRESS($T138,MATCH(N$1,INDIRECT("Table!A" &amp; $AK138):INDIRECT("Table!" &amp; $AN$275 &amp; $AK138),0)))))</f>
        <v/>
      </c>
      <c r="N138" s="24" t="str">
        <f ca="1">IF(ISERROR(MATCH(O$1,INDIRECT("Table!A"&amp;$AK138):INDIRECT("Table!" &amp; $AN$275 &amp; $AK138),0)),"",INDIRECT(CONCATENATE("Table!",ADDRESS($T138,MATCH(O$1,INDIRECT("Table!A" &amp; $AK138):INDIRECT("Table!" &amp; $AN$275 &amp; $AK138),0)))))</f>
        <v/>
      </c>
      <c r="O138" s="24" t="str">
        <f ca="1">IF(ISERROR(MATCH(P$1,INDIRECT("Table!A"&amp;$AK138):INDIRECT("Table!" &amp; $AN$275 &amp; $AK138),0)),"",INDIRECT(CONCATENATE("Table!",ADDRESS($T138,MATCH(P$1,INDIRECT("Table!A" &amp; $AK138):INDIRECT("Table!" &amp; $AN$275 &amp; $AK138),0)))))</f>
        <v/>
      </c>
      <c r="P138" s="273" t="str">
        <f ca="1">IF(ISERROR(MATCH(Q$1,INDIRECT("Table!A"&amp;$AK138):INDIRECT("Table!" &amp; $AN$275 &amp; $AK138),0)),"",INDIRECT(CONCATENATE("Table!",ADDRESS($T138,MATCH(Q$1,INDIRECT("Table!A" &amp; $AK138):INDIRECT("Table!" &amp; $AN$275 &amp; $AK138),0)))))</f>
        <v/>
      </c>
      <c r="Q138" s="200"/>
      <c r="R138" s="200"/>
      <c r="S138" s="200"/>
      <c r="T138" s="22"/>
      <c r="AI138" s="200"/>
      <c r="AJ138" s="200"/>
      <c r="AK138" s="22"/>
      <c r="AL138" s="200"/>
      <c r="AM138" s="200"/>
      <c r="AN138" s="22"/>
      <c r="AO138" s="25"/>
      <c r="AP138" s="25"/>
      <c r="AQ138" s="25"/>
    </row>
    <row r="139" spans="2:43" ht="19.5" customHeight="1" x14ac:dyDescent="0.25">
      <c r="B139" s="24"/>
      <c r="C139" s="24" t="str">
        <f ca="1">IF(ISERROR(MATCH(C$1,INDIRECT("Table!A"&amp;$AK139):INDIRECT("Table!" &amp; $AN$275 &amp; $AK139),0)),"",INDIRECT(CONCATENATE("Table!",ADDRESS($T139,MATCH(C$1,INDIRECT("Table!A" &amp; $AK139):INDIRECT("Table!" &amp; $AN$275 &amp; $AK139),0)))))</f>
        <v/>
      </c>
      <c r="D139" s="24" t="str">
        <f ca="1">IF(ISERROR(MATCH(D$1,INDIRECT("Table!A"&amp;$AK139):INDIRECT("Table!" &amp; $AN$275 &amp; $AK139),0)),"",INDIRECT(CONCATENATE("Table!",ADDRESS($T139,MATCH(D$1,INDIRECT("Table!A" &amp; $AK139):INDIRECT("Table!" &amp; $AN$275 &amp; $AK139),0)))))</f>
        <v/>
      </c>
      <c r="E139" s="24" t="str">
        <f ca="1">IF(ISERROR(MATCH(E$1,INDIRECT("Table!A"&amp;$AK139):INDIRECT("Table!" &amp; $AN$275 &amp; $AK139),0)),"",INDIRECT(CONCATENATE("Table!",ADDRESS($T139,MATCH(E$1,INDIRECT("Table!A" &amp; $AK139):INDIRECT("Table!" &amp; $AN$275 &amp; $AK139),0)))))</f>
        <v/>
      </c>
      <c r="F139" s="24" t="str">
        <f ca="1">IF(ISERROR(MATCH(F$1,INDIRECT("Table!A"&amp;$AK139):INDIRECT("Table!" &amp; $AN$275 &amp; $AK139),0)),"",INDIRECT(CONCATENATE("Table!",ADDRESS($T139,MATCH(F$1,INDIRECT("Table!A" &amp; $AK139):INDIRECT("Table!" &amp; $AN$275 &amp; $AK139),0)))))</f>
        <v/>
      </c>
      <c r="G139" s="24" t="str">
        <f ca="1">IF(ISERROR(MATCH(G$1,INDIRECT("Table!A"&amp;$AK139):INDIRECT("Table!" &amp; $AN$275 &amp; $AK139),0)),"",INDIRECT(CONCATENATE("Table!",ADDRESS($T139,MATCH(G$1,INDIRECT("Table!A" &amp; $AK139):INDIRECT("Table!" &amp; $AN$275 &amp; $AK139),0)))))</f>
        <v/>
      </c>
      <c r="H139" s="24" t="str">
        <f ca="1">IF(ISERROR(MATCH(H$1,INDIRECT("Table!A"&amp;$AK139):INDIRECT("Table!" &amp; $AN$275 &amp; $AK139),0)),"",INDIRECT(CONCATENATE("Table!",ADDRESS($T139,MATCH(H$1,INDIRECT("Table!A" &amp; $AK139):INDIRECT("Table!" &amp; $AN$275 &amp; $AK139),0)))))</f>
        <v/>
      </c>
      <c r="I139" s="273"/>
      <c r="J139" s="273"/>
      <c r="K139" s="24" t="str">
        <f ca="1">IF(ISERROR(MATCH(L$1,INDIRECT("Table!A"&amp;$AK139):INDIRECT("Table!" &amp; $AN$275 &amp; $AK139),0)),"",INDIRECT(CONCATENATE("Table!",ADDRESS($T139,MATCH(L$1,INDIRECT("Table!A" &amp; $AK139):INDIRECT("Table!" &amp; $AN$275 &amp; $AK139),0)))))</f>
        <v/>
      </c>
      <c r="L139" s="24" t="str">
        <f ca="1">IF(ISERROR(MATCH(M$1,INDIRECT("Table!A"&amp;$AK139):INDIRECT("Table!" &amp; $AN$275 &amp; $AK139),0)),"",INDIRECT(CONCATENATE("Table!",ADDRESS($T139,MATCH(M$1,INDIRECT("Table!A" &amp; $AK139):INDIRECT("Table!" &amp; $AN$275 &amp; $AK139),0)))))</f>
        <v/>
      </c>
      <c r="M139" s="24" t="str">
        <f ca="1">IF(ISERROR(MATCH(N$1,INDIRECT("Table!A"&amp;$AK139):INDIRECT("Table!" &amp; $AN$275 &amp; $AK139),0)),"",INDIRECT(CONCATENATE("Table!",ADDRESS($T139,MATCH(N$1,INDIRECT("Table!A" &amp; $AK139):INDIRECT("Table!" &amp; $AN$275 &amp; $AK139),0)))))</f>
        <v/>
      </c>
      <c r="N139" s="24" t="str">
        <f ca="1">IF(ISERROR(MATCH(O$1,INDIRECT("Table!A"&amp;$AK139):INDIRECT("Table!" &amp; $AN$275 &amp; $AK139),0)),"",INDIRECT(CONCATENATE("Table!",ADDRESS($T139,MATCH(O$1,INDIRECT("Table!A" &amp; $AK139):INDIRECT("Table!" &amp; $AN$275 &amp; $AK139),0)))))</f>
        <v/>
      </c>
      <c r="O139" s="24" t="str">
        <f ca="1">IF(ISERROR(MATCH(P$1,INDIRECT("Table!A"&amp;$AK139):INDIRECT("Table!" &amp; $AN$275 &amp; $AK139),0)),"",INDIRECT(CONCATENATE("Table!",ADDRESS($T139,MATCH(P$1,INDIRECT("Table!A" &amp; $AK139):INDIRECT("Table!" &amp; $AN$275 &amp; $AK139),0)))))</f>
        <v/>
      </c>
      <c r="P139" s="273" t="str">
        <f ca="1">IF(ISERROR(MATCH(Q$1,INDIRECT("Table!A"&amp;$AK139):INDIRECT("Table!" &amp; $AN$275 &amp; $AK139),0)),"",INDIRECT(CONCATENATE("Table!",ADDRESS($T139,MATCH(Q$1,INDIRECT("Table!A" &amp; $AK139):INDIRECT("Table!" &amp; $AN$275 &amp; $AK139),0)))))</f>
        <v/>
      </c>
      <c r="Q139" s="199"/>
      <c r="R139" s="199"/>
      <c r="S139" s="199"/>
      <c r="T139" s="22"/>
      <c r="AI139" s="199"/>
      <c r="AJ139" s="199"/>
      <c r="AK139" s="22"/>
      <c r="AL139" s="199"/>
      <c r="AM139" s="199"/>
      <c r="AN139" s="22"/>
      <c r="AO139" s="25"/>
      <c r="AP139" s="25"/>
      <c r="AQ139" s="25"/>
    </row>
    <row r="140" spans="2:43" ht="19.5" customHeight="1" x14ac:dyDescent="0.25">
      <c r="B140" s="24"/>
      <c r="C140" s="24" t="str">
        <f ca="1">IF(ISERROR(MATCH(C$1,INDIRECT("Table!A"&amp;$AK140):INDIRECT("Table!" &amp; $AN$275 &amp; $AK140),0)),"",INDIRECT(CONCATENATE("Table!",ADDRESS($T140,MATCH(C$1,INDIRECT("Table!A" &amp; $AK140):INDIRECT("Table!" &amp; $AN$275 &amp; $AK140),0)))))</f>
        <v/>
      </c>
      <c r="D140" s="24" t="str">
        <f ca="1">IF(ISERROR(MATCH(D$1,INDIRECT("Table!A"&amp;$AK140):INDIRECT("Table!" &amp; $AN$275 &amp; $AK140),0)),"",INDIRECT(CONCATENATE("Table!",ADDRESS($T140,MATCH(D$1,INDIRECT("Table!A" &amp; $AK140):INDIRECT("Table!" &amp; $AN$275 &amp; $AK140),0)))))</f>
        <v/>
      </c>
      <c r="E140" s="24" t="str">
        <f ca="1">IF(ISERROR(MATCH(E$1,INDIRECT("Table!A"&amp;$AK140):INDIRECT("Table!" &amp; $AN$275 &amp; $AK140),0)),"",INDIRECT(CONCATENATE("Table!",ADDRESS($T140,MATCH(E$1,INDIRECT("Table!A" &amp; $AK140):INDIRECT("Table!" &amp; $AN$275 &amp; $AK140),0)))))</f>
        <v/>
      </c>
      <c r="F140" s="24" t="str">
        <f ca="1">IF(ISERROR(MATCH(F$1,INDIRECT("Table!A"&amp;$AK140):INDIRECT("Table!" &amp; $AN$275 &amp; $AK140),0)),"",INDIRECT(CONCATENATE("Table!",ADDRESS($T140,MATCH(F$1,INDIRECT("Table!A" &amp; $AK140):INDIRECT("Table!" &amp; $AN$275 &amp; $AK140),0)))))</f>
        <v/>
      </c>
      <c r="G140" s="24" t="str">
        <f ca="1">IF(ISERROR(MATCH(G$1,INDIRECT("Table!A"&amp;$AK140):INDIRECT("Table!" &amp; $AN$275 &amp; $AK140),0)),"",INDIRECT(CONCATENATE("Table!",ADDRESS($T140,MATCH(G$1,INDIRECT("Table!A" &amp; $AK140):INDIRECT("Table!" &amp; $AN$275 &amp; $AK140),0)))))</f>
        <v/>
      </c>
      <c r="H140" s="24" t="str">
        <f ca="1">IF(ISERROR(MATCH(H$1,INDIRECT("Table!A"&amp;$AK140):INDIRECT("Table!" &amp; $AN$275 &amp; $AK140),0)),"",INDIRECT(CONCATENATE("Table!",ADDRESS($T140,MATCH(H$1,INDIRECT("Table!A" &amp; $AK140):INDIRECT("Table!" &amp; $AN$275 &amp; $AK140),0)))))</f>
        <v/>
      </c>
      <c r="I140" s="273"/>
      <c r="J140" s="273"/>
      <c r="K140" s="24" t="str">
        <f ca="1">IF(ISERROR(MATCH(L$1,INDIRECT("Table!A"&amp;$AK140):INDIRECT("Table!" &amp; $AN$275 &amp; $AK140),0)),"",INDIRECT(CONCATENATE("Table!",ADDRESS($T140,MATCH(L$1,INDIRECT("Table!A" &amp; $AK140):INDIRECT("Table!" &amp; $AN$275 &amp; $AK140),0)))))</f>
        <v/>
      </c>
      <c r="L140" s="24" t="str">
        <f ca="1">IF(ISERROR(MATCH(M$1,INDIRECT("Table!A"&amp;$AK140):INDIRECT("Table!" &amp; $AN$275 &amp; $AK140),0)),"",INDIRECT(CONCATENATE("Table!",ADDRESS($T140,MATCH(M$1,INDIRECT("Table!A" &amp; $AK140):INDIRECT("Table!" &amp; $AN$275 &amp; $AK140),0)))))</f>
        <v/>
      </c>
      <c r="M140" s="24" t="str">
        <f ca="1">IF(ISERROR(MATCH(N$1,INDIRECT("Table!A"&amp;$AK140):INDIRECT("Table!" &amp; $AN$275 &amp; $AK140),0)),"",INDIRECT(CONCATENATE("Table!",ADDRESS($T140,MATCH(N$1,INDIRECT("Table!A" &amp; $AK140):INDIRECT("Table!" &amp; $AN$275 &amp; $AK140),0)))))</f>
        <v/>
      </c>
      <c r="N140" s="24" t="str">
        <f ca="1">IF(ISERROR(MATCH(O$1,INDIRECT("Table!A"&amp;$AK140):INDIRECT("Table!" &amp; $AN$275 &amp; $AK140),0)),"",INDIRECT(CONCATENATE("Table!",ADDRESS($T140,MATCH(O$1,INDIRECT("Table!A" &amp; $AK140):INDIRECT("Table!" &amp; $AN$275 &amp; $AK140),0)))))</f>
        <v/>
      </c>
      <c r="O140" s="24" t="str">
        <f ca="1">IF(ISERROR(MATCH(P$1,INDIRECT("Table!A"&amp;$AK140):INDIRECT("Table!" &amp; $AN$275 &amp; $AK140),0)),"",INDIRECT(CONCATENATE("Table!",ADDRESS($T140,MATCH(P$1,INDIRECT("Table!A" &amp; $AK140):INDIRECT("Table!" &amp; $AN$275 &amp; $AK140),0)))))</f>
        <v/>
      </c>
      <c r="P140" s="273" t="str">
        <f ca="1">IF(ISERROR(MATCH(Q$1,INDIRECT("Table!A"&amp;$AK140):INDIRECT("Table!" &amp; $AN$275 &amp; $AK140),0)),"",INDIRECT(CONCATENATE("Table!",ADDRESS($T140,MATCH(Q$1,INDIRECT("Table!A" &amp; $AK140):INDIRECT("Table!" &amp; $AN$275 &amp; $AK140),0)))))</f>
        <v/>
      </c>
      <c r="Q140" s="198"/>
      <c r="R140" s="198"/>
      <c r="S140" s="198"/>
      <c r="T140" s="22"/>
      <c r="AI140" s="198"/>
      <c r="AJ140" s="198"/>
      <c r="AK140" s="22"/>
      <c r="AL140" s="198"/>
      <c r="AM140" s="198"/>
      <c r="AN140" s="22"/>
      <c r="AO140" s="25"/>
      <c r="AP140" s="25"/>
      <c r="AQ140" s="25"/>
    </row>
    <row r="141" spans="2:43" ht="19.5" customHeight="1" x14ac:dyDescent="0.25">
      <c r="B141" s="24"/>
      <c r="C141" s="24" t="str">
        <f ca="1">IF(ISERROR(MATCH(C$1,INDIRECT("Table!A"&amp;$AK141):INDIRECT("Table!" &amp; $AN$275 &amp; $AK141),0)),"",INDIRECT(CONCATENATE("Table!",ADDRESS($T141,MATCH(C$1,INDIRECT("Table!A" &amp; $AK141):INDIRECT("Table!" &amp; $AN$275 &amp; $AK141),0)))))</f>
        <v/>
      </c>
      <c r="D141" s="24" t="str">
        <f ca="1">IF(ISERROR(MATCH(D$1,INDIRECT("Table!A"&amp;$AK141):INDIRECT("Table!" &amp; $AN$275 &amp; $AK141),0)),"",INDIRECT(CONCATENATE("Table!",ADDRESS($T141,MATCH(D$1,INDIRECT("Table!A" &amp; $AK141):INDIRECT("Table!" &amp; $AN$275 &amp; $AK141),0)))))</f>
        <v/>
      </c>
      <c r="E141" s="24" t="str">
        <f ca="1">IF(ISERROR(MATCH(E$1,INDIRECT("Table!A"&amp;$AK141):INDIRECT("Table!" &amp; $AN$275 &amp; $AK141),0)),"",INDIRECT(CONCATENATE("Table!",ADDRESS($T141,MATCH(E$1,INDIRECT("Table!A" &amp; $AK141):INDIRECT("Table!" &amp; $AN$275 &amp; $AK141),0)))))</f>
        <v/>
      </c>
      <c r="F141" s="24" t="str">
        <f ca="1">IF(ISERROR(MATCH(F$1,INDIRECT("Table!A"&amp;$AK141):INDIRECT("Table!" &amp; $AN$275 &amp; $AK141),0)),"",INDIRECT(CONCATENATE("Table!",ADDRESS($T141,MATCH(F$1,INDIRECT("Table!A" &amp; $AK141):INDIRECT("Table!" &amp; $AN$275 &amp; $AK141),0)))))</f>
        <v/>
      </c>
      <c r="G141" s="24" t="str">
        <f ca="1">IF(ISERROR(MATCH(G$1,INDIRECT("Table!A"&amp;$AK141):INDIRECT("Table!" &amp; $AN$275 &amp; $AK141),0)),"",INDIRECT(CONCATENATE("Table!",ADDRESS($T141,MATCH(G$1,INDIRECT("Table!A" &amp; $AK141):INDIRECT("Table!" &amp; $AN$275 &amp; $AK141),0)))))</f>
        <v/>
      </c>
      <c r="H141" s="24" t="str">
        <f ca="1">IF(ISERROR(MATCH(H$1,INDIRECT("Table!A"&amp;$AK141):INDIRECT("Table!" &amp; $AN$275 &amp; $AK141),0)),"",INDIRECT(CONCATENATE("Table!",ADDRESS($T141,MATCH(H$1,INDIRECT("Table!A" &amp; $AK141):INDIRECT("Table!" &amp; $AN$275 &amp; $AK141),0)))))</f>
        <v/>
      </c>
      <c r="I141" s="273"/>
      <c r="J141" s="273"/>
      <c r="K141" s="24" t="str">
        <f ca="1">IF(ISERROR(MATCH(L$1,INDIRECT("Table!A"&amp;$AK141):INDIRECT("Table!" &amp; $AN$275 &amp; $AK141),0)),"",INDIRECT(CONCATENATE("Table!",ADDRESS($T141,MATCH(L$1,INDIRECT("Table!A" &amp; $AK141):INDIRECT("Table!" &amp; $AN$275 &amp; $AK141),0)))))</f>
        <v/>
      </c>
      <c r="L141" s="24" t="str">
        <f ca="1">IF(ISERROR(MATCH(M$1,INDIRECT("Table!A"&amp;$AK141):INDIRECT("Table!" &amp; $AN$275 &amp; $AK141),0)),"",INDIRECT(CONCATENATE("Table!",ADDRESS($T141,MATCH(M$1,INDIRECT("Table!A" &amp; $AK141):INDIRECT("Table!" &amp; $AN$275 &amp; $AK141),0)))))</f>
        <v/>
      </c>
      <c r="M141" s="24" t="str">
        <f ca="1">IF(ISERROR(MATCH(N$1,INDIRECT("Table!A"&amp;$AK141):INDIRECT("Table!" &amp; $AN$275 &amp; $AK141),0)),"",INDIRECT(CONCATENATE("Table!",ADDRESS($T141,MATCH(N$1,INDIRECT("Table!A" &amp; $AK141):INDIRECT("Table!" &amp; $AN$275 &amp; $AK141),0)))))</f>
        <v/>
      </c>
      <c r="N141" s="24" t="str">
        <f ca="1">IF(ISERROR(MATCH(O$1,INDIRECT("Table!A"&amp;$AK141):INDIRECT("Table!" &amp; $AN$275 &amp; $AK141),0)),"",INDIRECT(CONCATENATE("Table!",ADDRESS($T141,MATCH(O$1,INDIRECT("Table!A" &amp; $AK141):INDIRECT("Table!" &amp; $AN$275 &amp; $AK141),0)))))</f>
        <v/>
      </c>
      <c r="O141" s="24" t="str">
        <f ca="1">IF(ISERROR(MATCH(P$1,INDIRECT("Table!A"&amp;$AK141):INDIRECT("Table!" &amp; $AN$275 &amp; $AK141),0)),"",INDIRECT(CONCATENATE("Table!",ADDRESS($T141,MATCH(P$1,INDIRECT("Table!A" &amp; $AK141):INDIRECT("Table!" &amp; $AN$275 &amp; $AK141),0)))))</f>
        <v/>
      </c>
      <c r="P141" s="273" t="str">
        <f ca="1">IF(ISERROR(MATCH(Q$1,INDIRECT("Table!A"&amp;$AK141):INDIRECT("Table!" &amp; $AN$275 &amp; $AK141),0)),"",INDIRECT(CONCATENATE("Table!",ADDRESS($T141,MATCH(Q$1,INDIRECT("Table!A" &amp; $AK141):INDIRECT("Table!" &amp; $AN$275 &amp; $AK141),0)))))</f>
        <v/>
      </c>
      <c r="Q141" s="197"/>
      <c r="R141" s="197"/>
      <c r="S141" s="197"/>
      <c r="T141" s="22"/>
      <c r="AI141" s="197"/>
      <c r="AJ141" s="197"/>
      <c r="AK141" s="22"/>
      <c r="AL141" s="197"/>
      <c r="AM141" s="197"/>
      <c r="AN141" s="22"/>
      <c r="AO141" s="25"/>
      <c r="AP141" s="25"/>
      <c r="AQ141" s="25"/>
    </row>
    <row r="142" spans="2:43" ht="19.5" customHeight="1" x14ac:dyDescent="0.25">
      <c r="B142" s="24"/>
      <c r="C142" s="24" t="str">
        <f ca="1">IF(ISERROR(MATCH(C$1,INDIRECT("Table!A"&amp;$AK142):INDIRECT("Table!" &amp; $AN$275 &amp; $AK142),0)),"",INDIRECT(CONCATENATE("Table!",ADDRESS($T142,MATCH(C$1,INDIRECT("Table!A" &amp; $AK142):INDIRECT("Table!" &amp; $AN$275 &amp; $AK142),0)))))</f>
        <v/>
      </c>
      <c r="D142" s="24" t="str">
        <f ca="1">IF(ISERROR(MATCH(D$1,INDIRECT("Table!A"&amp;$AK142):INDIRECT("Table!" &amp; $AN$275 &amp; $AK142),0)),"",INDIRECT(CONCATENATE("Table!",ADDRESS($T142,MATCH(D$1,INDIRECT("Table!A" &amp; $AK142):INDIRECT("Table!" &amp; $AN$275 &amp; $AK142),0)))))</f>
        <v/>
      </c>
      <c r="E142" s="24" t="str">
        <f ca="1">IF(ISERROR(MATCH(E$1,INDIRECT("Table!A"&amp;$AK142):INDIRECT("Table!" &amp; $AN$275 &amp; $AK142),0)),"",INDIRECT(CONCATENATE("Table!",ADDRESS($T142,MATCH(E$1,INDIRECT("Table!A" &amp; $AK142):INDIRECT("Table!" &amp; $AN$275 &amp; $AK142),0)))))</f>
        <v/>
      </c>
      <c r="F142" s="24" t="str">
        <f ca="1">IF(ISERROR(MATCH(F$1,INDIRECT("Table!A"&amp;$AK142):INDIRECT("Table!" &amp; $AN$275 &amp; $AK142),0)),"",INDIRECT(CONCATENATE("Table!",ADDRESS($T142,MATCH(F$1,INDIRECT("Table!A" &amp; $AK142):INDIRECT("Table!" &amp; $AN$275 &amp; $AK142),0)))))</f>
        <v/>
      </c>
      <c r="G142" s="24" t="str">
        <f ca="1">IF(ISERROR(MATCH(G$1,INDIRECT("Table!A"&amp;$AK142):INDIRECT("Table!" &amp; $AN$275 &amp; $AK142),0)),"",INDIRECT(CONCATENATE("Table!",ADDRESS($T142,MATCH(G$1,INDIRECT("Table!A" &amp; $AK142):INDIRECT("Table!" &amp; $AN$275 &amp; $AK142),0)))))</f>
        <v/>
      </c>
      <c r="H142" s="24" t="str">
        <f ca="1">IF(ISERROR(MATCH(H$1,INDIRECT("Table!A"&amp;$AK142):INDIRECT("Table!" &amp; $AN$275 &amp; $AK142),0)),"",INDIRECT(CONCATENATE("Table!",ADDRESS($T142,MATCH(H$1,INDIRECT("Table!A" &amp; $AK142):INDIRECT("Table!" &amp; $AN$275 &amp; $AK142),0)))))</f>
        <v/>
      </c>
      <c r="I142" s="273"/>
      <c r="J142" s="273"/>
      <c r="K142" s="24" t="str">
        <f ca="1">IF(ISERROR(MATCH(L$1,INDIRECT("Table!A"&amp;$AK142):INDIRECT("Table!" &amp; $AN$275 &amp; $AK142),0)),"",INDIRECT(CONCATENATE("Table!",ADDRESS($T142,MATCH(L$1,INDIRECT("Table!A" &amp; $AK142):INDIRECT("Table!" &amp; $AN$275 &amp; $AK142),0)))))</f>
        <v/>
      </c>
      <c r="L142" s="24" t="str">
        <f ca="1">IF(ISERROR(MATCH(M$1,INDIRECT("Table!A"&amp;$AK142):INDIRECT("Table!" &amp; $AN$275 &amp; $AK142),0)),"",INDIRECT(CONCATENATE("Table!",ADDRESS($T142,MATCH(M$1,INDIRECT("Table!A" &amp; $AK142):INDIRECT("Table!" &amp; $AN$275 &amp; $AK142),0)))))</f>
        <v/>
      </c>
      <c r="M142" s="24" t="str">
        <f ca="1">IF(ISERROR(MATCH(N$1,INDIRECT("Table!A"&amp;$AK142):INDIRECT("Table!" &amp; $AN$275 &amp; $AK142),0)),"",INDIRECT(CONCATENATE("Table!",ADDRESS($T142,MATCH(N$1,INDIRECT("Table!A" &amp; $AK142):INDIRECT("Table!" &amp; $AN$275 &amp; $AK142),0)))))</f>
        <v/>
      </c>
      <c r="N142" s="24" t="str">
        <f ca="1">IF(ISERROR(MATCH(O$1,INDIRECT("Table!A"&amp;$AK142):INDIRECT("Table!" &amp; $AN$275 &amp; $AK142),0)),"",INDIRECT(CONCATENATE("Table!",ADDRESS($T142,MATCH(O$1,INDIRECT("Table!A" &amp; $AK142):INDIRECT("Table!" &amp; $AN$275 &amp; $AK142),0)))))</f>
        <v/>
      </c>
      <c r="O142" s="24" t="str">
        <f ca="1">IF(ISERROR(MATCH(P$1,INDIRECT("Table!A"&amp;$AK142):INDIRECT("Table!" &amp; $AN$275 &amp; $AK142),0)),"",INDIRECT(CONCATENATE("Table!",ADDRESS($T142,MATCH(P$1,INDIRECT("Table!A" &amp; $AK142):INDIRECT("Table!" &amp; $AN$275 &amp; $AK142),0)))))</f>
        <v/>
      </c>
      <c r="P142" s="273" t="str">
        <f ca="1">IF(ISERROR(MATCH(Q$1,INDIRECT("Table!A"&amp;$AK142):INDIRECT("Table!" &amp; $AN$275 &amp; $AK142),0)),"",INDIRECT(CONCATENATE("Table!",ADDRESS($T142,MATCH(Q$1,INDIRECT("Table!A" &amp; $AK142):INDIRECT("Table!" &amp; $AN$275 &amp; $AK142),0)))))</f>
        <v/>
      </c>
      <c r="Q142" s="196"/>
      <c r="R142" s="196"/>
      <c r="S142" s="196"/>
      <c r="T142" s="22"/>
      <c r="AI142" s="196"/>
      <c r="AJ142" s="196"/>
      <c r="AK142" s="22"/>
      <c r="AL142" s="196"/>
      <c r="AM142" s="196"/>
      <c r="AN142" s="22"/>
      <c r="AO142" s="25"/>
      <c r="AP142" s="25"/>
      <c r="AQ142" s="25"/>
    </row>
    <row r="143" spans="2:43" ht="19.5" customHeight="1" x14ac:dyDescent="0.25">
      <c r="B143" s="24"/>
      <c r="C143" s="24" t="str">
        <f ca="1">IF(ISERROR(MATCH(C$1,INDIRECT("Table!A"&amp;$AK143):INDIRECT("Table!" &amp; $AN$275 &amp; $AK143),0)),"",INDIRECT(CONCATENATE("Table!",ADDRESS($T143,MATCH(C$1,INDIRECT("Table!A" &amp; $AK143):INDIRECT("Table!" &amp; $AN$275 &amp; $AK143),0)))))</f>
        <v/>
      </c>
      <c r="D143" s="24" t="str">
        <f ca="1">IF(ISERROR(MATCH(D$1,INDIRECT("Table!A"&amp;$AK143):INDIRECT("Table!" &amp; $AN$275 &amp; $AK143),0)),"",INDIRECT(CONCATENATE("Table!",ADDRESS($T143,MATCH(D$1,INDIRECT("Table!A" &amp; $AK143):INDIRECT("Table!" &amp; $AN$275 &amp; $AK143),0)))))</f>
        <v/>
      </c>
      <c r="E143" s="24" t="str">
        <f ca="1">IF(ISERROR(MATCH(E$1,INDIRECT("Table!A"&amp;$AK143):INDIRECT("Table!" &amp; $AN$275 &amp; $AK143),0)),"",INDIRECT(CONCATENATE("Table!",ADDRESS($T143,MATCH(E$1,INDIRECT("Table!A" &amp; $AK143):INDIRECT("Table!" &amp; $AN$275 &amp; $AK143),0)))))</f>
        <v/>
      </c>
      <c r="F143" s="24" t="str">
        <f ca="1">IF(ISERROR(MATCH(F$1,INDIRECT("Table!A"&amp;$AK143):INDIRECT("Table!" &amp; $AN$275 &amp; $AK143),0)),"",INDIRECT(CONCATENATE("Table!",ADDRESS($T143,MATCH(F$1,INDIRECT("Table!A" &amp; $AK143):INDIRECT("Table!" &amp; $AN$275 &amp; $AK143),0)))))</f>
        <v/>
      </c>
      <c r="G143" s="24" t="str">
        <f ca="1">IF(ISERROR(MATCH(G$1,INDIRECT("Table!A"&amp;$AK143):INDIRECT("Table!" &amp; $AN$275 &amp; $AK143),0)),"",INDIRECT(CONCATENATE("Table!",ADDRESS($T143,MATCH(G$1,INDIRECT("Table!A" &amp; $AK143):INDIRECT("Table!" &amp; $AN$275 &amp; $AK143),0)))))</f>
        <v/>
      </c>
      <c r="H143" s="24" t="str">
        <f ca="1">IF(ISERROR(MATCH(H$1,INDIRECT("Table!A"&amp;$AK143):INDIRECT("Table!" &amp; $AN$275 &amp; $AK143),0)),"",INDIRECT(CONCATENATE("Table!",ADDRESS($T143,MATCH(H$1,INDIRECT("Table!A" &amp; $AK143):INDIRECT("Table!" &amp; $AN$275 &amp; $AK143),0)))))</f>
        <v/>
      </c>
      <c r="I143" s="273"/>
      <c r="J143" s="273"/>
      <c r="K143" s="24" t="str">
        <f ca="1">IF(ISERROR(MATCH(L$1,INDIRECT("Table!A"&amp;$AK143):INDIRECT("Table!" &amp; $AN$275 &amp; $AK143),0)),"",INDIRECT(CONCATENATE("Table!",ADDRESS($T143,MATCH(L$1,INDIRECT("Table!A" &amp; $AK143):INDIRECT("Table!" &amp; $AN$275 &amp; $AK143),0)))))</f>
        <v/>
      </c>
      <c r="L143" s="24" t="str">
        <f ca="1">IF(ISERROR(MATCH(M$1,INDIRECT("Table!A"&amp;$AK143):INDIRECT("Table!" &amp; $AN$275 &amp; $AK143),0)),"",INDIRECT(CONCATENATE("Table!",ADDRESS($T143,MATCH(M$1,INDIRECT("Table!A" &amp; $AK143):INDIRECT("Table!" &amp; $AN$275 &amp; $AK143),0)))))</f>
        <v/>
      </c>
      <c r="M143" s="24" t="str">
        <f ca="1">IF(ISERROR(MATCH(N$1,INDIRECT("Table!A"&amp;$AK143):INDIRECT("Table!" &amp; $AN$275 &amp; $AK143),0)),"",INDIRECT(CONCATENATE("Table!",ADDRESS($T143,MATCH(N$1,INDIRECT("Table!A" &amp; $AK143):INDIRECT("Table!" &amp; $AN$275 &amp; $AK143),0)))))</f>
        <v/>
      </c>
      <c r="N143" s="24" t="str">
        <f ca="1">IF(ISERROR(MATCH(O$1,INDIRECT("Table!A"&amp;$AK143):INDIRECT("Table!" &amp; $AN$275 &amp; $AK143),0)),"",INDIRECT(CONCATENATE("Table!",ADDRESS($T143,MATCH(O$1,INDIRECT("Table!A" &amp; $AK143):INDIRECT("Table!" &amp; $AN$275 &amp; $AK143),0)))))</f>
        <v/>
      </c>
      <c r="O143" s="24" t="str">
        <f ca="1">IF(ISERROR(MATCH(P$1,INDIRECT("Table!A"&amp;$AK143):INDIRECT("Table!" &amp; $AN$275 &amp; $AK143),0)),"",INDIRECT(CONCATENATE("Table!",ADDRESS($T143,MATCH(P$1,INDIRECT("Table!A" &amp; $AK143):INDIRECT("Table!" &amp; $AN$275 &amp; $AK143),0)))))</f>
        <v/>
      </c>
      <c r="P143" s="273" t="str">
        <f ca="1">IF(ISERROR(MATCH(Q$1,INDIRECT("Table!A"&amp;$AK143):INDIRECT("Table!" &amp; $AN$275 &amp; $AK143),0)),"",INDIRECT(CONCATENATE("Table!",ADDRESS($T143,MATCH(Q$1,INDIRECT("Table!A" &amp; $AK143):INDIRECT("Table!" &amp; $AN$275 &amp; $AK143),0)))))</f>
        <v/>
      </c>
      <c r="Q143" s="195"/>
      <c r="R143" s="195"/>
      <c r="S143" s="195"/>
      <c r="T143" s="22"/>
      <c r="AI143" s="195"/>
      <c r="AJ143" s="195"/>
      <c r="AK143" s="22"/>
      <c r="AL143" s="195"/>
      <c r="AM143" s="195"/>
      <c r="AN143" s="22"/>
      <c r="AO143" s="25"/>
      <c r="AP143" s="25"/>
      <c r="AQ143" s="25"/>
    </row>
    <row r="144" spans="2:43" ht="19.5" customHeight="1" x14ac:dyDescent="0.25">
      <c r="B144" s="24"/>
      <c r="C144" s="24" t="str">
        <f ca="1">IF(ISERROR(MATCH(C$1,INDIRECT("Table!A"&amp;$AK144):INDIRECT("Table!" &amp; $AN$275 &amp; $AK144),0)),"",INDIRECT(CONCATENATE("Table!",ADDRESS($T144,MATCH(C$1,INDIRECT("Table!A" &amp; $AK144):INDIRECT("Table!" &amp; $AN$275 &amp; $AK144),0)))))</f>
        <v/>
      </c>
      <c r="D144" s="24" t="str">
        <f ca="1">IF(ISERROR(MATCH(D$1,INDIRECT("Table!A"&amp;$AK144):INDIRECT("Table!" &amp; $AN$275 &amp; $AK144),0)),"",INDIRECT(CONCATENATE("Table!",ADDRESS($T144,MATCH(D$1,INDIRECT("Table!A" &amp; $AK144):INDIRECT("Table!" &amp; $AN$275 &amp; $AK144),0)))))</f>
        <v/>
      </c>
      <c r="E144" s="24" t="str">
        <f ca="1">IF(ISERROR(MATCH(E$1,INDIRECT("Table!A"&amp;$AK144):INDIRECT("Table!" &amp; $AN$275 &amp; $AK144),0)),"",INDIRECT(CONCATENATE("Table!",ADDRESS($T144,MATCH(E$1,INDIRECT("Table!A" &amp; $AK144):INDIRECT("Table!" &amp; $AN$275 &amp; $AK144),0)))))</f>
        <v/>
      </c>
      <c r="F144" s="24" t="str">
        <f ca="1">IF(ISERROR(MATCH(F$1,INDIRECT("Table!A"&amp;$AK144):INDIRECT("Table!" &amp; $AN$275 &amp; $AK144),0)),"",INDIRECT(CONCATENATE("Table!",ADDRESS($T144,MATCH(F$1,INDIRECT("Table!A" &amp; $AK144):INDIRECT("Table!" &amp; $AN$275 &amp; $AK144),0)))))</f>
        <v/>
      </c>
      <c r="G144" s="24" t="str">
        <f ca="1">IF(ISERROR(MATCH(G$1,INDIRECT("Table!A"&amp;$AK144):INDIRECT("Table!" &amp; $AN$275 &amp; $AK144),0)),"",INDIRECT(CONCATENATE("Table!",ADDRESS($T144,MATCH(G$1,INDIRECT("Table!A" &amp; $AK144):INDIRECT("Table!" &amp; $AN$275 &amp; $AK144),0)))))</f>
        <v/>
      </c>
      <c r="H144" s="24" t="str">
        <f ca="1">IF(ISERROR(MATCH(H$1,INDIRECT("Table!A"&amp;$AK144):INDIRECT("Table!" &amp; $AN$275 &amp; $AK144),0)),"",INDIRECT(CONCATENATE("Table!",ADDRESS($T144,MATCH(H$1,INDIRECT("Table!A" &amp; $AK144):INDIRECT("Table!" &amp; $AN$275 &amp; $AK144),0)))))</f>
        <v/>
      </c>
      <c r="I144" s="273"/>
      <c r="J144" s="273"/>
      <c r="K144" s="24" t="str">
        <f ca="1">IF(ISERROR(MATCH(L$1,INDIRECT("Table!A"&amp;$AK144):INDIRECT("Table!" &amp; $AN$275 &amp; $AK144),0)),"",INDIRECT(CONCATENATE("Table!",ADDRESS($T144,MATCH(L$1,INDIRECT("Table!A" &amp; $AK144):INDIRECT("Table!" &amp; $AN$275 &amp; $AK144),0)))))</f>
        <v/>
      </c>
      <c r="L144" s="24" t="str">
        <f ca="1">IF(ISERROR(MATCH(M$1,INDIRECT("Table!A"&amp;$AK144):INDIRECT("Table!" &amp; $AN$275 &amp; $AK144),0)),"",INDIRECT(CONCATENATE("Table!",ADDRESS($T144,MATCH(M$1,INDIRECT("Table!A" &amp; $AK144):INDIRECT("Table!" &amp; $AN$275 &amp; $AK144),0)))))</f>
        <v/>
      </c>
      <c r="M144" s="24" t="str">
        <f ca="1">IF(ISERROR(MATCH(N$1,INDIRECT("Table!A"&amp;$AK144):INDIRECT("Table!" &amp; $AN$275 &amp; $AK144),0)),"",INDIRECT(CONCATENATE("Table!",ADDRESS($T144,MATCH(N$1,INDIRECT("Table!A" &amp; $AK144):INDIRECT("Table!" &amp; $AN$275 &amp; $AK144),0)))))</f>
        <v/>
      </c>
      <c r="N144" s="24" t="str">
        <f ca="1">IF(ISERROR(MATCH(O$1,INDIRECT("Table!A"&amp;$AK144):INDIRECT("Table!" &amp; $AN$275 &amp; $AK144),0)),"",INDIRECT(CONCATENATE("Table!",ADDRESS($T144,MATCH(O$1,INDIRECT("Table!A" &amp; $AK144):INDIRECT("Table!" &amp; $AN$275 &amp; $AK144),0)))))</f>
        <v/>
      </c>
      <c r="O144" s="24" t="str">
        <f ca="1">IF(ISERROR(MATCH(P$1,INDIRECT("Table!A"&amp;$AK144):INDIRECT("Table!" &amp; $AN$275 &amp; $AK144),0)),"",INDIRECT(CONCATENATE("Table!",ADDRESS($T144,MATCH(P$1,INDIRECT("Table!A" &amp; $AK144):INDIRECT("Table!" &amp; $AN$275 &amp; $AK144),0)))))</f>
        <v/>
      </c>
      <c r="P144" s="273" t="str">
        <f ca="1">IF(ISERROR(MATCH(Q$1,INDIRECT("Table!A"&amp;$AK144):INDIRECT("Table!" &amp; $AN$275 &amp; $AK144),0)),"",INDIRECT(CONCATENATE("Table!",ADDRESS($T144,MATCH(Q$1,INDIRECT("Table!A" &amp; $AK144):INDIRECT("Table!" &amp; $AN$275 &amp; $AK144),0)))))</f>
        <v/>
      </c>
      <c r="Q144" s="195"/>
      <c r="R144" s="195"/>
      <c r="S144" s="195"/>
      <c r="T144" s="22"/>
      <c r="AI144" s="195"/>
      <c r="AJ144" s="195"/>
      <c r="AK144" s="22"/>
      <c r="AL144" s="195"/>
      <c r="AM144" s="195"/>
      <c r="AN144" s="22"/>
      <c r="AO144" s="25"/>
      <c r="AP144" s="25"/>
      <c r="AQ144" s="25"/>
    </row>
    <row r="145" spans="2:43" ht="19.5" customHeight="1" x14ac:dyDescent="0.25">
      <c r="B145" s="24"/>
      <c r="C145" s="24" t="str">
        <f ca="1">IF(ISERROR(MATCH(C$1,INDIRECT("Table!A"&amp;$AK145):INDIRECT("Table!" &amp; $AN$275 &amp; $AK145),0)),"",INDIRECT(CONCATENATE("Table!",ADDRESS($T145,MATCH(C$1,INDIRECT("Table!A" &amp; $AK145):INDIRECT("Table!" &amp; $AN$275 &amp; $AK145),0)))))</f>
        <v/>
      </c>
      <c r="D145" s="24" t="str">
        <f ca="1">IF(ISERROR(MATCH(D$1,INDIRECT("Table!A"&amp;$AK145):INDIRECT("Table!" &amp; $AN$275 &amp; $AK145),0)),"",INDIRECT(CONCATENATE("Table!",ADDRESS($T145,MATCH(D$1,INDIRECT("Table!A" &amp; $AK145):INDIRECT("Table!" &amp; $AN$275 &amp; $AK145),0)))))</f>
        <v/>
      </c>
      <c r="E145" s="24" t="str">
        <f ca="1">IF(ISERROR(MATCH(E$1,INDIRECT("Table!A"&amp;$AK145):INDIRECT("Table!" &amp; $AN$275 &amp; $AK145),0)),"",INDIRECT(CONCATENATE("Table!",ADDRESS($T145,MATCH(E$1,INDIRECT("Table!A" &amp; $AK145):INDIRECT("Table!" &amp; $AN$275 &amp; $AK145),0)))))</f>
        <v/>
      </c>
      <c r="F145" s="24" t="str">
        <f ca="1">IF(ISERROR(MATCH(F$1,INDIRECT("Table!A"&amp;$AK145):INDIRECT("Table!" &amp; $AN$275 &amp; $AK145),0)),"",INDIRECT(CONCATENATE("Table!",ADDRESS($T145,MATCH(F$1,INDIRECT("Table!A" &amp; $AK145):INDIRECT("Table!" &amp; $AN$275 &amp; $AK145),0)))))</f>
        <v/>
      </c>
      <c r="G145" s="24" t="str">
        <f ca="1">IF(ISERROR(MATCH(G$1,INDIRECT("Table!A"&amp;$AK145):INDIRECT("Table!" &amp; $AN$275 &amp; $AK145),0)),"",INDIRECT(CONCATENATE("Table!",ADDRESS($T145,MATCH(G$1,INDIRECT("Table!A" &amp; $AK145):INDIRECT("Table!" &amp; $AN$275 &amp; $AK145),0)))))</f>
        <v/>
      </c>
      <c r="H145" s="24" t="str">
        <f ca="1">IF(ISERROR(MATCH(H$1,INDIRECT("Table!A"&amp;$AK145):INDIRECT("Table!" &amp; $AN$275 &amp; $AK145),0)),"",INDIRECT(CONCATENATE("Table!",ADDRESS($T145,MATCH(H$1,INDIRECT("Table!A" &amp; $AK145):INDIRECT("Table!" &amp; $AN$275 &amp; $AK145),0)))))</f>
        <v/>
      </c>
      <c r="I145" s="273"/>
      <c r="J145" s="273"/>
      <c r="K145" s="24" t="str">
        <f ca="1">IF(ISERROR(MATCH(L$1,INDIRECT("Table!A"&amp;$AK145):INDIRECT("Table!" &amp; $AN$275 &amp; $AK145),0)),"",INDIRECT(CONCATENATE("Table!",ADDRESS($T145,MATCH(L$1,INDIRECT("Table!A" &amp; $AK145):INDIRECT("Table!" &amp; $AN$275 &amp; $AK145),0)))))</f>
        <v/>
      </c>
      <c r="L145" s="24" t="str">
        <f ca="1">IF(ISERROR(MATCH(M$1,INDIRECT("Table!A"&amp;$AK145):INDIRECT("Table!" &amp; $AN$275 &amp; $AK145),0)),"",INDIRECT(CONCATENATE("Table!",ADDRESS($T145,MATCH(M$1,INDIRECT("Table!A" &amp; $AK145):INDIRECT("Table!" &amp; $AN$275 &amp; $AK145),0)))))</f>
        <v/>
      </c>
      <c r="M145" s="24" t="str">
        <f ca="1">IF(ISERROR(MATCH(N$1,INDIRECT("Table!A"&amp;$AK145):INDIRECT("Table!" &amp; $AN$275 &amp; $AK145),0)),"",INDIRECT(CONCATENATE("Table!",ADDRESS($T145,MATCH(N$1,INDIRECT("Table!A" &amp; $AK145):INDIRECT("Table!" &amp; $AN$275 &amp; $AK145),0)))))</f>
        <v/>
      </c>
      <c r="N145" s="24" t="str">
        <f ca="1">IF(ISERROR(MATCH(O$1,INDIRECT("Table!A"&amp;$AK145):INDIRECT("Table!" &amp; $AN$275 &amp; $AK145),0)),"",INDIRECT(CONCATENATE("Table!",ADDRESS($T145,MATCH(O$1,INDIRECT("Table!A" &amp; $AK145):INDIRECT("Table!" &amp; $AN$275 &amp; $AK145),0)))))</f>
        <v/>
      </c>
      <c r="O145" s="24" t="str">
        <f ca="1">IF(ISERROR(MATCH(P$1,INDIRECT("Table!A"&amp;$AK145):INDIRECT("Table!" &amp; $AN$275 &amp; $AK145),0)),"",INDIRECT(CONCATENATE("Table!",ADDRESS($T145,MATCH(P$1,INDIRECT("Table!A" &amp; $AK145):INDIRECT("Table!" &amp; $AN$275 &amp; $AK145),0)))))</f>
        <v/>
      </c>
      <c r="P145" s="273" t="str">
        <f ca="1">IF(ISERROR(MATCH(Q$1,INDIRECT("Table!A"&amp;$AK145):INDIRECT("Table!" &amp; $AN$275 &amp; $AK145),0)),"",INDIRECT(CONCATENATE("Table!",ADDRESS($T145,MATCH(Q$1,INDIRECT("Table!A" &amp; $AK145):INDIRECT("Table!" &amp; $AN$275 &amp; $AK145),0)))))</f>
        <v/>
      </c>
      <c r="Q145" s="194"/>
      <c r="R145" s="194"/>
      <c r="S145" s="194"/>
      <c r="T145" s="22"/>
      <c r="AI145" s="194"/>
      <c r="AJ145" s="194"/>
      <c r="AK145" s="22"/>
      <c r="AL145" s="194"/>
      <c r="AM145" s="194"/>
      <c r="AN145" s="22"/>
      <c r="AO145" s="25"/>
      <c r="AP145" s="25"/>
      <c r="AQ145" s="25"/>
    </row>
    <row r="146" spans="2:43" ht="19.5" customHeight="1" x14ac:dyDescent="0.25">
      <c r="B146" s="24"/>
      <c r="C146" s="24" t="str">
        <f ca="1">IF(ISERROR(MATCH(C$1,INDIRECT("Table!A"&amp;$AK146):INDIRECT("Table!" &amp; $AN$275 &amp; $AK146),0)),"",INDIRECT(CONCATENATE("Table!",ADDRESS($T146,MATCH(C$1,INDIRECT("Table!A" &amp; $AK146):INDIRECT("Table!" &amp; $AN$275 &amp; $AK146),0)))))</f>
        <v/>
      </c>
      <c r="D146" s="24" t="str">
        <f ca="1">IF(ISERROR(MATCH(D$1,INDIRECT("Table!A"&amp;$AK146):INDIRECT("Table!" &amp; $AN$275 &amp; $AK146),0)),"",INDIRECT(CONCATENATE("Table!",ADDRESS($T146,MATCH(D$1,INDIRECT("Table!A" &amp; $AK146):INDIRECT("Table!" &amp; $AN$275 &amp; $AK146),0)))))</f>
        <v/>
      </c>
      <c r="E146" s="24" t="str">
        <f ca="1">IF(ISERROR(MATCH(E$1,INDIRECT("Table!A"&amp;$AK146):INDIRECT("Table!" &amp; $AN$275 &amp; $AK146),0)),"",INDIRECT(CONCATENATE("Table!",ADDRESS($T146,MATCH(E$1,INDIRECT("Table!A" &amp; $AK146):INDIRECT("Table!" &amp; $AN$275 &amp; $AK146),0)))))</f>
        <v/>
      </c>
      <c r="F146" s="24" t="str">
        <f ca="1">IF(ISERROR(MATCH(F$1,INDIRECT("Table!A"&amp;$AK146):INDIRECT("Table!" &amp; $AN$275 &amp; $AK146),0)),"",INDIRECT(CONCATENATE("Table!",ADDRESS($T146,MATCH(F$1,INDIRECT("Table!A" &amp; $AK146):INDIRECT("Table!" &amp; $AN$275 &amp; $AK146),0)))))</f>
        <v/>
      </c>
      <c r="G146" s="24" t="str">
        <f ca="1">IF(ISERROR(MATCH(G$1,INDIRECT("Table!A"&amp;$AK146):INDIRECT("Table!" &amp; $AN$275 &amp; $AK146),0)),"",INDIRECT(CONCATENATE("Table!",ADDRESS($T146,MATCH(G$1,INDIRECT("Table!A" &amp; $AK146):INDIRECT("Table!" &amp; $AN$275 &amp; $AK146),0)))))</f>
        <v/>
      </c>
      <c r="H146" s="24" t="str">
        <f ca="1">IF(ISERROR(MATCH(H$1,INDIRECT("Table!A"&amp;$AK146):INDIRECT("Table!" &amp; $AN$275 &amp; $AK146),0)),"",INDIRECT(CONCATENATE("Table!",ADDRESS($T146,MATCH(H$1,INDIRECT("Table!A" &amp; $AK146):INDIRECT("Table!" &amp; $AN$275 &amp; $AK146),0)))))</f>
        <v/>
      </c>
      <c r="I146" s="273"/>
      <c r="J146" s="273"/>
      <c r="K146" s="24" t="str">
        <f ca="1">IF(ISERROR(MATCH(L$1,INDIRECT("Table!A"&amp;$AK146):INDIRECT("Table!" &amp; $AN$275 &amp; $AK146),0)),"",INDIRECT(CONCATENATE("Table!",ADDRESS($T146,MATCH(L$1,INDIRECT("Table!A" &amp; $AK146):INDIRECT("Table!" &amp; $AN$275 &amp; $AK146),0)))))</f>
        <v/>
      </c>
      <c r="L146" s="24" t="str">
        <f ca="1">IF(ISERROR(MATCH(M$1,INDIRECT("Table!A"&amp;$AK146):INDIRECT("Table!" &amp; $AN$275 &amp; $AK146),0)),"",INDIRECT(CONCATENATE("Table!",ADDRESS($T146,MATCH(M$1,INDIRECT("Table!A" &amp; $AK146):INDIRECT("Table!" &amp; $AN$275 &amp; $AK146),0)))))</f>
        <v/>
      </c>
      <c r="M146" s="24" t="str">
        <f ca="1">IF(ISERROR(MATCH(N$1,INDIRECT("Table!A"&amp;$AK146):INDIRECT("Table!" &amp; $AN$275 &amp; $AK146),0)),"",INDIRECT(CONCATENATE("Table!",ADDRESS($T146,MATCH(N$1,INDIRECT("Table!A" &amp; $AK146):INDIRECT("Table!" &amp; $AN$275 &amp; $AK146),0)))))</f>
        <v/>
      </c>
      <c r="N146" s="24" t="str">
        <f ca="1">IF(ISERROR(MATCH(O$1,INDIRECT("Table!A"&amp;$AK146):INDIRECT("Table!" &amp; $AN$275 &amp; $AK146),0)),"",INDIRECT(CONCATENATE("Table!",ADDRESS($T146,MATCH(O$1,INDIRECT("Table!A" &amp; $AK146):INDIRECT("Table!" &amp; $AN$275 &amp; $AK146),0)))))</f>
        <v/>
      </c>
      <c r="O146" s="24" t="str">
        <f ca="1">IF(ISERROR(MATCH(P$1,INDIRECT("Table!A"&amp;$AK146):INDIRECT("Table!" &amp; $AN$275 &amp; $AK146),0)),"",INDIRECT(CONCATENATE("Table!",ADDRESS($T146,MATCH(P$1,INDIRECT("Table!A" &amp; $AK146):INDIRECT("Table!" &amp; $AN$275 &amp; $AK146),0)))))</f>
        <v/>
      </c>
      <c r="P146" s="273" t="str">
        <f ca="1">IF(ISERROR(MATCH(Q$1,INDIRECT("Table!A"&amp;$AK146):INDIRECT("Table!" &amp; $AN$275 &amp; $AK146),0)),"",INDIRECT(CONCATENATE("Table!",ADDRESS($T146,MATCH(Q$1,INDIRECT("Table!A" &amp; $AK146):INDIRECT("Table!" &amp; $AN$275 &amp; $AK146),0)))))</f>
        <v/>
      </c>
      <c r="Q146" s="193"/>
      <c r="R146" s="193"/>
      <c r="S146" s="193"/>
      <c r="T146" s="22"/>
      <c r="AI146" s="193"/>
      <c r="AJ146" s="193"/>
      <c r="AK146" s="22"/>
      <c r="AL146" s="193"/>
      <c r="AM146" s="193"/>
      <c r="AN146" s="22"/>
      <c r="AO146" s="25"/>
      <c r="AP146" s="25"/>
      <c r="AQ146" s="25"/>
    </row>
    <row r="147" spans="2:43" ht="19.5" customHeight="1" x14ac:dyDescent="0.25">
      <c r="B147" s="24"/>
      <c r="C147" s="24" t="str">
        <f ca="1">IF(ISERROR(MATCH(C$1,INDIRECT("Table!A"&amp;$AK147):INDIRECT("Table!" &amp; $AN$275 &amp; $AK147),0)),"",INDIRECT(CONCATENATE("Table!",ADDRESS($T147,MATCH(C$1,INDIRECT("Table!A" &amp; $AK147):INDIRECT("Table!" &amp; $AN$275 &amp; $AK147),0)))))</f>
        <v/>
      </c>
      <c r="D147" s="24" t="str">
        <f ca="1">IF(ISERROR(MATCH(D$1,INDIRECT("Table!A"&amp;$AK147):INDIRECT("Table!" &amp; $AN$275 &amp; $AK147),0)),"",INDIRECT(CONCATENATE("Table!",ADDRESS($T147,MATCH(D$1,INDIRECT("Table!A" &amp; $AK147):INDIRECT("Table!" &amp; $AN$275 &amp; $AK147),0)))))</f>
        <v/>
      </c>
      <c r="E147" s="24" t="str">
        <f ca="1">IF(ISERROR(MATCH(E$1,INDIRECT("Table!A"&amp;$AK147):INDIRECT("Table!" &amp; $AN$275 &amp; $AK147),0)),"",INDIRECT(CONCATENATE("Table!",ADDRESS($T147,MATCH(E$1,INDIRECT("Table!A" &amp; $AK147):INDIRECT("Table!" &amp; $AN$275 &amp; $AK147),0)))))</f>
        <v/>
      </c>
      <c r="F147" s="24" t="str">
        <f ca="1">IF(ISERROR(MATCH(F$1,INDIRECT("Table!A"&amp;$AK147):INDIRECT("Table!" &amp; $AN$275 &amp; $AK147),0)),"",INDIRECT(CONCATENATE("Table!",ADDRESS($T147,MATCH(F$1,INDIRECT("Table!A" &amp; $AK147):INDIRECT("Table!" &amp; $AN$275 &amp; $AK147),0)))))</f>
        <v/>
      </c>
      <c r="G147" s="24" t="str">
        <f ca="1">IF(ISERROR(MATCH(G$1,INDIRECT("Table!A"&amp;$AK147):INDIRECT("Table!" &amp; $AN$275 &amp; $AK147),0)),"",INDIRECT(CONCATENATE("Table!",ADDRESS($T147,MATCH(G$1,INDIRECT("Table!A" &amp; $AK147):INDIRECT("Table!" &amp; $AN$275 &amp; $AK147),0)))))</f>
        <v/>
      </c>
      <c r="H147" s="24" t="str">
        <f ca="1">IF(ISERROR(MATCH(H$1,INDIRECT("Table!A"&amp;$AK147):INDIRECT("Table!" &amp; $AN$275 &amp; $AK147),0)),"",INDIRECT(CONCATENATE("Table!",ADDRESS($T147,MATCH(H$1,INDIRECT("Table!A" &amp; $AK147):INDIRECT("Table!" &amp; $AN$275 &amp; $AK147),0)))))</f>
        <v/>
      </c>
      <c r="I147" s="273"/>
      <c r="J147" s="273"/>
      <c r="K147" s="24" t="str">
        <f ca="1">IF(ISERROR(MATCH(L$1,INDIRECT("Table!A"&amp;$AK147):INDIRECT("Table!" &amp; $AN$275 &amp; $AK147),0)),"",INDIRECT(CONCATENATE("Table!",ADDRESS($T147,MATCH(L$1,INDIRECT("Table!A" &amp; $AK147):INDIRECT("Table!" &amp; $AN$275 &amp; $AK147),0)))))</f>
        <v/>
      </c>
      <c r="L147" s="24" t="str">
        <f ca="1">IF(ISERROR(MATCH(M$1,INDIRECT("Table!A"&amp;$AK147):INDIRECT("Table!" &amp; $AN$275 &amp; $AK147),0)),"",INDIRECT(CONCATENATE("Table!",ADDRESS($T147,MATCH(M$1,INDIRECT("Table!A" &amp; $AK147):INDIRECT("Table!" &amp; $AN$275 &amp; $AK147),0)))))</f>
        <v/>
      </c>
      <c r="M147" s="24" t="str">
        <f ca="1">IF(ISERROR(MATCH(N$1,INDIRECT("Table!A"&amp;$AK147):INDIRECT("Table!" &amp; $AN$275 &amp; $AK147),0)),"",INDIRECT(CONCATENATE("Table!",ADDRESS($T147,MATCH(N$1,INDIRECT("Table!A" &amp; $AK147):INDIRECT("Table!" &amp; $AN$275 &amp; $AK147),0)))))</f>
        <v/>
      </c>
      <c r="N147" s="24" t="str">
        <f ca="1">IF(ISERROR(MATCH(O$1,INDIRECT("Table!A"&amp;$AK147):INDIRECT("Table!" &amp; $AN$275 &amp; $AK147),0)),"",INDIRECT(CONCATENATE("Table!",ADDRESS($T147,MATCH(O$1,INDIRECT("Table!A" &amp; $AK147):INDIRECT("Table!" &amp; $AN$275 &amp; $AK147),0)))))</f>
        <v/>
      </c>
      <c r="O147" s="24" t="str">
        <f ca="1">IF(ISERROR(MATCH(P$1,INDIRECT("Table!A"&amp;$AK147):INDIRECT("Table!" &amp; $AN$275 &amp; $AK147),0)),"",INDIRECT(CONCATENATE("Table!",ADDRESS($T147,MATCH(P$1,INDIRECT("Table!A" &amp; $AK147):INDIRECT("Table!" &amp; $AN$275 &amp; $AK147),0)))))</f>
        <v/>
      </c>
      <c r="P147" s="273" t="str">
        <f ca="1">IF(ISERROR(MATCH(Q$1,INDIRECT("Table!A"&amp;$AK147):INDIRECT("Table!" &amp; $AN$275 &amp; $AK147),0)),"",INDIRECT(CONCATENATE("Table!",ADDRESS($T147,MATCH(Q$1,INDIRECT("Table!A" &amp; $AK147):INDIRECT("Table!" &amp; $AN$275 &amp; $AK147),0)))))</f>
        <v/>
      </c>
      <c r="Q147" s="192"/>
      <c r="R147" s="192"/>
      <c r="S147" s="192"/>
      <c r="T147" s="22"/>
      <c r="AI147" s="192"/>
      <c r="AJ147" s="192"/>
      <c r="AK147" s="22"/>
      <c r="AL147" s="192"/>
      <c r="AM147" s="192"/>
      <c r="AN147" s="22"/>
      <c r="AO147" s="25"/>
      <c r="AP147" s="25"/>
      <c r="AQ147" s="25"/>
    </row>
    <row r="148" spans="2:43" ht="19.5" customHeight="1" x14ac:dyDescent="0.25">
      <c r="B148" s="24"/>
      <c r="C148" s="24" t="str">
        <f ca="1">IF(ISERROR(MATCH(C$1,INDIRECT("Table!A"&amp;$AK148):INDIRECT("Table!" &amp; $AN$275 &amp; $AK148),0)),"",INDIRECT(CONCATENATE("Table!",ADDRESS($T148,MATCH(C$1,INDIRECT("Table!A" &amp; $AK148):INDIRECT("Table!" &amp; $AN$275 &amp; $AK148),0)))))</f>
        <v/>
      </c>
      <c r="D148" s="24" t="str">
        <f ca="1">IF(ISERROR(MATCH(D$1,INDIRECT("Table!A"&amp;$AK148):INDIRECT("Table!" &amp; $AN$275 &amp; $AK148),0)),"",INDIRECT(CONCATENATE("Table!",ADDRESS($T148,MATCH(D$1,INDIRECT("Table!A" &amp; $AK148):INDIRECT("Table!" &amp; $AN$275 &amp; $AK148),0)))))</f>
        <v/>
      </c>
      <c r="E148" s="24" t="str">
        <f ca="1">IF(ISERROR(MATCH(E$1,INDIRECT("Table!A"&amp;$AK148):INDIRECT("Table!" &amp; $AN$275 &amp; $AK148),0)),"",INDIRECT(CONCATENATE("Table!",ADDRESS($T148,MATCH(E$1,INDIRECT("Table!A" &amp; $AK148):INDIRECT("Table!" &amp; $AN$275 &amp; $AK148),0)))))</f>
        <v/>
      </c>
      <c r="F148" s="24" t="str">
        <f ca="1">IF(ISERROR(MATCH(F$1,INDIRECT("Table!A"&amp;$AK148):INDIRECT("Table!" &amp; $AN$275 &amp; $AK148),0)),"",INDIRECT(CONCATENATE("Table!",ADDRESS($T148,MATCH(F$1,INDIRECT("Table!A" &amp; $AK148):INDIRECT("Table!" &amp; $AN$275 &amp; $AK148),0)))))</f>
        <v/>
      </c>
      <c r="G148" s="24" t="str">
        <f ca="1">IF(ISERROR(MATCH(G$1,INDIRECT("Table!A"&amp;$AK148):INDIRECT("Table!" &amp; $AN$275 &amp; $AK148),0)),"",INDIRECT(CONCATENATE("Table!",ADDRESS($T148,MATCH(G$1,INDIRECT("Table!A" &amp; $AK148):INDIRECT("Table!" &amp; $AN$275 &amp; $AK148),0)))))</f>
        <v/>
      </c>
      <c r="H148" s="24" t="str">
        <f ca="1">IF(ISERROR(MATCH(H$1,INDIRECT("Table!A"&amp;$AK148):INDIRECT("Table!" &amp; $AN$275 &amp; $AK148),0)),"",INDIRECT(CONCATENATE("Table!",ADDRESS($T148,MATCH(H$1,INDIRECT("Table!A" &amp; $AK148):INDIRECT("Table!" &amp; $AN$275 &amp; $AK148),0)))))</f>
        <v/>
      </c>
      <c r="I148" s="273"/>
      <c r="J148" s="273"/>
      <c r="K148" s="24" t="str">
        <f ca="1">IF(ISERROR(MATCH(L$1,INDIRECT("Table!A"&amp;$AK148):INDIRECT("Table!" &amp; $AN$275 &amp; $AK148),0)),"",INDIRECT(CONCATENATE("Table!",ADDRESS($T148,MATCH(L$1,INDIRECT("Table!A" &amp; $AK148):INDIRECT("Table!" &amp; $AN$275 &amp; $AK148),0)))))</f>
        <v/>
      </c>
      <c r="L148" s="24" t="str">
        <f ca="1">IF(ISERROR(MATCH(M$1,INDIRECT("Table!A"&amp;$AK148):INDIRECT("Table!" &amp; $AN$275 &amp; $AK148),0)),"",INDIRECT(CONCATENATE("Table!",ADDRESS($T148,MATCH(M$1,INDIRECT("Table!A" &amp; $AK148):INDIRECT("Table!" &amp; $AN$275 &amp; $AK148),0)))))</f>
        <v/>
      </c>
      <c r="M148" s="24" t="str">
        <f ca="1">IF(ISERROR(MATCH(N$1,INDIRECT("Table!A"&amp;$AK148):INDIRECT("Table!" &amp; $AN$275 &amp; $AK148),0)),"",INDIRECT(CONCATENATE("Table!",ADDRESS($T148,MATCH(N$1,INDIRECT("Table!A" &amp; $AK148):INDIRECT("Table!" &amp; $AN$275 &amp; $AK148),0)))))</f>
        <v/>
      </c>
      <c r="N148" s="24" t="str">
        <f ca="1">IF(ISERROR(MATCH(O$1,INDIRECT("Table!A"&amp;$AK148):INDIRECT("Table!" &amp; $AN$275 &amp; $AK148),0)),"",INDIRECT(CONCATENATE("Table!",ADDRESS($T148,MATCH(O$1,INDIRECT("Table!A" &amp; $AK148):INDIRECT("Table!" &amp; $AN$275 &amp; $AK148),0)))))</f>
        <v/>
      </c>
      <c r="O148" s="24" t="str">
        <f ca="1">IF(ISERROR(MATCH(P$1,INDIRECT("Table!A"&amp;$AK148):INDIRECT("Table!" &amp; $AN$275 &amp; $AK148),0)),"",INDIRECT(CONCATENATE("Table!",ADDRESS($T148,MATCH(P$1,INDIRECT("Table!A" &amp; $AK148):INDIRECT("Table!" &amp; $AN$275 &amp; $AK148),0)))))</f>
        <v/>
      </c>
      <c r="P148" s="273" t="str">
        <f ca="1">IF(ISERROR(MATCH(Q$1,INDIRECT("Table!A"&amp;$AK148):INDIRECT("Table!" &amp; $AN$275 &amp; $AK148),0)),"",INDIRECT(CONCATENATE("Table!",ADDRESS($T148,MATCH(Q$1,INDIRECT("Table!A" &amp; $AK148):INDIRECT("Table!" &amp; $AN$275 &amp; $AK148),0)))))</f>
        <v/>
      </c>
      <c r="Q148" s="191"/>
      <c r="R148" s="191"/>
      <c r="S148" s="191"/>
      <c r="T148" s="22"/>
      <c r="AI148" s="191"/>
      <c r="AJ148" s="191"/>
      <c r="AK148" s="22"/>
      <c r="AL148" s="191"/>
      <c r="AM148" s="191"/>
      <c r="AN148" s="22"/>
      <c r="AO148" s="25"/>
      <c r="AP148" s="25"/>
      <c r="AQ148" s="25"/>
    </row>
    <row r="149" spans="2:43" ht="19.5" customHeight="1" x14ac:dyDescent="0.25">
      <c r="B149" s="24"/>
      <c r="C149" s="24" t="str">
        <f ca="1">IF(ISERROR(MATCH(C$1,INDIRECT("Table!A"&amp;$AK149):INDIRECT("Table!" &amp; $AN$275 &amp; $AK149),0)),"",INDIRECT(CONCATENATE("Table!",ADDRESS($T149,MATCH(C$1,INDIRECT("Table!A" &amp; $AK149):INDIRECT("Table!" &amp; $AN$275 &amp; $AK149),0)))))</f>
        <v/>
      </c>
      <c r="D149" s="24" t="str">
        <f ca="1">IF(ISERROR(MATCH(D$1,INDIRECT("Table!A"&amp;$AK149):INDIRECT("Table!" &amp; $AN$275 &amp; $AK149),0)),"",INDIRECT(CONCATENATE("Table!",ADDRESS($T149,MATCH(D$1,INDIRECT("Table!A" &amp; $AK149):INDIRECT("Table!" &amp; $AN$275 &amp; $AK149),0)))))</f>
        <v/>
      </c>
      <c r="E149" s="24" t="str">
        <f ca="1">IF(ISERROR(MATCH(E$1,INDIRECT("Table!A"&amp;$AK149):INDIRECT("Table!" &amp; $AN$275 &amp; $AK149),0)),"",INDIRECT(CONCATENATE("Table!",ADDRESS($T149,MATCH(E$1,INDIRECT("Table!A" &amp; $AK149):INDIRECT("Table!" &amp; $AN$275 &amp; $AK149),0)))))</f>
        <v/>
      </c>
      <c r="F149" s="24" t="str">
        <f ca="1">IF(ISERROR(MATCH(F$1,INDIRECT("Table!A"&amp;$AK149):INDIRECT("Table!" &amp; $AN$275 &amp; $AK149),0)),"",INDIRECT(CONCATENATE("Table!",ADDRESS($T149,MATCH(F$1,INDIRECT("Table!A" &amp; $AK149):INDIRECT("Table!" &amp; $AN$275 &amp; $AK149),0)))))</f>
        <v/>
      </c>
      <c r="G149" s="24" t="str">
        <f ca="1">IF(ISERROR(MATCH(G$1,INDIRECT("Table!A"&amp;$AK149):INDIRECT("Table!" &amp; $AN$275 &amp; $AK149),0)),"",INDIRECT(CONCATENATE("Table!",ADDRESS($T149,MATCH(G$1,INDIRECT("Table!A" &amp; $AK149):INDIRECT("Table!" &amp; $AN$275 &amp; $AK149),0)))))</f>
        <v/>
      </c>
      <c r="H149" s="24" t="str">
        <f ca="1">IF(ISERROR(MATCH(H$1,INDIRECT("Table!A"&amp;$AK149):INDIRECT("Table!" &amp; $AN$275 &amp; $AK149),0)),"",INDIRECT(CONCATENATE("Table!",ADDRESS($T149,MATCH(H$1,INDIRECT("Table!A" &amp; $AK149):INDIRECT("Table!" &amp; $AN$275 &amp; $AK149),0)))))</f>
        <v/>
      </c>
      <c r="I149" s="273"/>
      <c r="J149" s="273"/>
      <c r="K149" s="24" t="str">
        <f ca="1">IF(ISERROR(MATCH(L$1,INDIRECT("Table!A"&amp;$AK149):INDIRECT("Table!" &amp; $AN$275 &amp; $AK149),0)),"",INDIRECT(CONCATENATE("Table!",ADDRESS($T149,MATCH(L$1,INDIRECT("Table!A" &amp; $AK149):INDIRECT("Table!" &amp; $AN$275 &amp; $AK149),0)))))</f>
        <v/>
      </c>
      <c r="L149" s="24" t="str">
        <f ca="1">IF(ISERROR(MATCH(M$1,INDIRECT("Table!A"&amp;$AK149):INDIRECT("Table!" &amp; $AN$275 &amp; $AK149),0)),"",INDIRECT(CONCATENATE("Table!",ADDRESS($T149,MATCH(M$1,INDIRECT("Table!A" &amp; $AK149):INDIRECT("Table!" &amp; $AN$275 &amp; $AK149),0)))))</f>
        <v/>
      </c>
      <c r="M149" s="24" t="str">
        <f ca="1">IF(ISERROR(MATCH(N$1,INDIRECT("Table!A"&amp;$AK149):INDIRECT("Table!" &amp; $AN$275 &amp; $AK149),0)),"",INDIRECT(CONCATENATE("Table!",ADDRESS($T149,MATCH(N$1,INDIRECT("Table!A" &amp; $AK149):INDIRECT("Table!" &amp; $AN$275 &amp; $AK149),0)))))</f>
        <v/>
      </c>
      <c r="N149" s="24" t="str">
        <f ca="1">IF(ISERROR(MATCH(O$1,INDIRECT("Table!A"&amp;$AK149):INDIRECT("Table!" &amp; $AN$275 &amp; $AK149),0)),"",INDIRECT(CONCATENATE("Table!",ADDRESS($T149,MATCH(O$1,INDIRECT("Table!A" &amp; $AK149):INDIRECT("Table!" &amp; $AN$275 &amp; $AK149),0)))))</f>
        <v/>
      </c>
      <c r="O149" s="24" t="str">
        <f ca="1">IF(ISERROR(MATCH(P$1,INDIRECT("Table!A"&amp;$AK149):INDIRECT("Table!" &amp; $AN$275 &amp; $AK149),0)),"",INDIRECT(CONCATENATE("Table!",ADDRESS($T149,MATCH(P$1,INDIRECT("Table!A" &amp; $AK149):INDIRECT("Table!" &amp; $AN$275 &amp; $AK149),0)))))</f>
        <v/>
      </c>
      <c r="P149" s="273" t="str">
        <f ca="1">IF(ISERROR(MATCH(Q$1,INDIRECT("Table!A"&amp;$AK149):INDIRECT("Table!" &amp; $AN$275 &amp; $AK149),0)),"",INDIRECT(CONCATENATE("Table!",ADDRESS($T149,MATCH(Q$1,INDIRECT("Table!A" &amp; $AK149):INDIRECT("Table!" &amp; $AN$275 &amp; $AK149),0)))))</f>
        <v/>
      </c>
      <c r="Q149" s="190"/>
      <c r="R149" s="190"/>
      <c r="S149" s="190"/>
      <c r="T149" s="22"/>
      <c r="AI149" s="190"/>
      <c r="AJ149" s="190"/>
      <c r="AK149" s="22"/>
      <c r="AL149" s="190"/>
      <c r="AM149" s="190"/>
      <c r="AN149" s="22"/>
      <c r="AO149" s="25"/>
      <c r="AP149" s="25"/>
      <c r="AQ149" s="25"/>
    </row>
    <row r="150" spans="2:43" ht="19.5" customHeight="1" x14ac:dyDescent="0.25">
      <c r="B150" s="24"/>
      <c r="C150" s="24" t="str">
        <f ca="1">IF(ISERROR(MATCH(C$1,INDIRECT("Table!A"&amp;$AK150):INDIRECT("Table!" &amp; $AN$275 &amp; $AK150),0)),"",INDIRECT(CONCATENATE("Table!",ADDRESS($T150,MATCH(C$1,INDIRECT("Table!A" &amp; $AK150):INDIRECT("Table!" &amp; $AN$275 &amp; $AK150),0)))))</f>
        <v/>
      </c>
      <c r="D150" s="24" t="str">
        <f ca="1">IF(ISERROR(MATCH(D$1,INDIRECT("Table!A"&amp;$AK150):INDIRECT("Table!" &amp; $AN$275 &amp; $AK150),0)),"",INDIRECT(CONCATENATE("Table!",ADDRESS($T150,MATCH(D$1,INDIRECT("Table!A" &amp; $AK150):INDIRECT("Table!" &amp; $AN$275 &amp; $AK150),0)))))</f>
        <v/>
      </c>
      <c r="E150" s="24" t="str">
        <f ca="1">IF(ISERROR(MATCH(E$1,INDIRECT("Table!A"&amp;$AK150):INDIRECT("Table!" &amp; $AN$275 &amp; $AK150),0)),"",INDIRECT(CONCATENATE("Table!",ADDRESS($T150,MATCH(E$1,INDIRECT("Table!A" &amp; $AK150):INDIRECT("Table!" &amp; $AN$275 &amp; $AK150),0)))))</f>
        <v/>
      </c>
      <c r="F150" s="24" t="str">
        <f ca="1">IF(ISERROR(MATCH(F$1,INDIRECT("Table!A"&amp;$AK150):INDIRECT("Table!" &amp; $AN$275 &amp; $AK150),0)),"",INDIRECT(CONCATENATE("Table!",ADDRESS($T150,MATCH(F$1,INDIRECT("Table!A" &amp; $AK150):INDIRECT("Table!" &amp; $AN$275 &amp; $AK150),0)))))</f>
        <v/>
      </c>
      <c r="G150" s="24" t="str">
        <f ca="1">IF(ISERROR(MATCH(G$1,INDIRECT("Table!A"&amp;$AK150):INDIRECT("Table!" &amp; $AN$275 &amp; $AK150),0)),"",INDIRECT(CONCATENATE("Table!",ADDRESS($T150,MATCH(G$1,INDIRECT("Table!A" &amp; $AK150):INDIRECT("Table!" &amp; $AN$275 &amp; $AK150),0)))))</f>
        <v/>
      </c>
      <c r="H150" s="24" t="str">
        <f ca="1">IF(ISERROR(MATCH(H$1,INDIRECT("Table!A"&amp;$AK150):INDIRECT("Table!" &amp; $AN$275 &amp; $AK150),0)),"",INDIRECT(CONCATENATE("Table!",ADDRESS($T150,MATCH(H$1,INDIRECT("Table!A" &amp; $AK150):INDIRECT("Table!" &amp; $AN$275 &amp; $AK150),0)))))</f>
        <v/>
      </c>
      <c r="I150" s="273"/>
      <c r="J150" s="273"/>
      <c r="K150" s="24" t="str">
        <f ca="1">IF(ISERROR(MATCH(L$1,INDIRECT("Table!A"&amp;$AK150):INDIRECT("Table!" &amp; $AN$275 &amp; $AK150),0)),"",INDIRECT(CONCATENATE("Table!",ADDRESS($T150,MATCH(L$1,INDIRECT("Table!A" &amp; $AK150):INDIRECT("Table!" &amp; $AN$275 &amp; $AK150),0)))))</f>
        <v/>
      </c>
      <c r="L150" s="24" t="str">
        <f ca="1">IF(ISERROR(MATCH(M$1,INDIRECT("Table!A"&amp;$AK150):INDIRECT("Table!" &amp; $AN$275 &amp; $AK150),0)),"",INDIRECT(CONCATENATE("Table!",ADDRESS($T150,MATCH(M$1,INDIRECT("Table!A" &amp; $AK150):INDIRECT("Table!" &amp; $AN$275 &amp; $AK150),0)))))</f>
        <v/>
      </c>
      <c r="M150" s="24" t="str">
        <f ca="1">IF(ISERROR(MATCH(N$1,INDIRECT("Table!A"&amp;$AK150):INDIRECT("Table!" &amp; $AN$275 &amp; $AK150),0)),"",INDIRECT(CONCATENATE("Table!",ADDRESS($T150,MATCH(N$1,INDIRECT("Table!A" &amp; $AK150):INDIRECT("Table!" &amp; $AN$275 &amp; $AK150),0)))))</f>
        <v/>
      </c>
      <c r="N150" s="24" t="str">
        <f ca="1">IF(ISERROR(MATCH(O$1,INDIRECT("Table!A"&amp;$AK150):INDIRECT("Table!" &amp; $AN$275 &amp; $AK150),0)),"",INDIRECT(CONCATENATE("Table!",ADDRESS($T150,MATCH(O$1,INDIRECT("Table!A" &amp; $AK150):INDIRECT("Table!" &amp; $AN$275 &amp; $AK150),0)))))</f>
        <v/>
      </c>
      <c r="O150" s="24" t="str">
        <f ca="1">IF(ISERROR(MATCH(P$1,INDIRECT("Table!A"&amp;$AK150):INDIRECT("Table!" &amp; $AN$275 &amp; $AK150),0)),"",INDIRECT(CONCATENATE("Table!",ADDRESS($T150,MATCH(P$1,INDIRECT("Table!A" &amp; $AK150):INDIRECT("Table!" &amp; $AN$275 &amp; $AK150),0)))))</f>
        <v/>
      </c>
      <c r="P150" s="273" t="str">
        <f ca="1">IF(ISERROR(MATCH(Q$1,INDIRECT("Table!A"&amp;$AK150):INDIRECT("Table!" &amp; $AN$275 &amp; $AK150),0)),"",INDIRECT(CONCATENATE("Table!",ADDRESS($T150,MATCH(Q$1,INDIRECT("Table!A" &amp; $AK150):INDIRECT("Table!" &amp; $AN$275 &amp; $AK150),0)))))</f>
        <v/>
      </c>
      <c r="Q150" s="189"/>
      <c r="R150" s="189"/>
      <c r="S150" s="189"/>
      <c r="T150" s="22"/>
      <c r="AI150" s="189"/>
      <c r="AJ150" s="189"/>
      <c r="AK150" s="22"/>
      <c r="AL150" s="189"/>
      <c r="AM150" s="189"/>
      <c r="AN150" s="22"/>
      <c r="AO150" s="25"/>
      <c r="AP150" s="25"/>
      <c r="AQ150" s="25"/>
    </row>
    <row r="151" spans="2:43" ht="19.5" customHeight="1" x14ac:dyDescent="0.25">
      <c r="B151" s="24"/>
      <c r="C151" s="24" t="str">
        <f ca="1">IF(ISERROR(MATCH(C$1,INDIRECT("Table!A"&amp;$AK151):INDIRECT("Table!" &amp; $AN$275 &amp; $AK151),0)),"",INDIRECT(CONCATENATE("Table!",ADDRESS($T151,MATCH(C$1,INDIRECT("Table!A" &amp; $AK151):INDIRECT("Table!" &amp; $AN$275 &amp; $AK151),0)))))</f>
        <v/>
      </c>
      <c r="D151" s="24" t="str">
        <f ca="1">IF(ISERROR(MATCH(D$1,INDIRECT("Table!A"&amp;$AK151):INDIRECT("Table!" &amp; $AN$275 &amp; $AK151),0)),"",INDIRECT(CONCATENATE("Table!",ADDRESS($T151,MATCH(D$1,INDIRECT("Table!A" &amp; $AK151):INDIRECT("Table!" &amp; $AN$275 &amp; $AK151),0)))))</f>
        <v/>
      </c>
      <c r="E151" s="24" t="str">
        <f ca="1">IF(ISERROR(MATCH(E$1,INDIRECT("Table!A"&amp;$AK151):INDIRECT("Table!" &amp; $AN$275 &amp; $AK151),0)),"",INDIRECT(CONCATENATE("Table!",ADDRESS($T151,MATCH(E$1,INDIRECT("Table!A" &amp; $AK151):INDIRECT("Table!" &amp; $AN$275 &amp; $AK151),0)))))</f>
        <v/>
      </c>
      <c r="F151" s="24" t="str">
        <f ca="1">IF(ISERROR(MATCH(F$1,INDIRECT("Table!A"&amp;$AK151):INDIRECT("Table!" &amp; $AN$275 &amp; $AK151),0)),"",INDIRECT(CONCATENATE("Table!",ADDRESS($T151,MATCH(F$1,INDIRECT("Table!A" &amp; $AK151):INDIRECT("Table!" &amp; $AN$275 &amp; $AK151),0)))))</f>
        <v/>
      </c>
      <c r="G151" s="24" t="str">
        <f ca="1">IF(ISERROR(MATCH(G$1,INDIRECT("Table!A"&amp;$AK151):INDIRECT("Table!" &amp; $AN$275 &amp; $AK151),0)),"",INDIRECT(CONCATENATE("Table!",ADDRESS($T151,MATCH(G$1,INDIRECT("Table!A" &amp; $AK151):INDIRECT("Table!" &amp; $AN$275 &amp; $AK151),0)))))</f>
        <v/>
      </c>
      <c r="H151" s="24" t="str">
        <f ca="1">IF(ISERROR(MATCH(H$1,INDIRECT("Table!A"&amp;$AK151):INDIRECT("Table!" &amp; $AN$275 &amp; $AK151),0)),"",INDIRECT(CONCATENATE("Table!",ADDRESS($T151,MATCH(H$1,INDIRECT("Table!A" &amp; $AK151):INDIRECT("Table!" &amp; $AN$275 &amp; $AK151),0)))))</f>
        <v/>
      </c>
      <c r="I151" s="273"/>
      <c r="J151" s="273"/>
      <c r="K151" s="24" t="str">
        <f ca="1">IF(ISERROR(MATCH(L$1,INDIRECT("Table!A"&amp;$AK151):INDIRECT("Table!" &amp; $AN$275 &amp; $AK151),0)),"",INDIRECT(CONCATENATE("Table!",ADDRESS($T151,MATCH(L$1,INDIRECT("Table!A" &amp; $AK151):INDIRECT("Table!" &amp; $AN$275 &amp; $AK151),0)))))</f>
        <v/>
      </c>
      <c r="L151" s="24" t="str">
        <f ca="1">IF(ISERROR(MATCH(M$1,INDIRECT("Table!A"&amp;$AK151):INDIRECT("Table!" &amp; $AN$275 &amp; $AK151),0)),"",INDIRECT(CONCATENATE("Table!",ADDRESS($T151,MATCH(M$1,INDIRECT("Table!A" &amp; $AK151):INDIRECT("Table!" &amp; $AN$275 &amp; $AK151),0)))))</f>
        <v/>
      </c>
      <c r="M151" s="24" t="str">
        <f ca="1">IF(ISERROR(MATCH(N$1,INDIRECT("Table!A"&amp;$AK151):INDIRECT("Table!" &amp; $AN$275 &amp; $AK151),0)),"",INDIRECT(CONCATENATE("Table!",ADDRESS($T151,MATCH(N$1,INDIRECT("Table!A" &amp; $AK151):INDIRECT("Table!" &amp; $AN$275 &amp; $AK151),0)))))</f>
        <v/>
      </c>
      <c r="N151" s="24" t="str">
        <f ca="1">IF(ISERROR(MATCH(O$1,INDIRECT("Table!A"&amp;$AK151):INDIRECT("Table!" &amp; $AN$275 &amp; $AK151),0)),"",INDIRECT(CONCATENATE("Table!",ADDRESS($T151,MATCH(O$1,INDIRECT("Table!A" &amp; $AK151):INDIRECT("Table!" &amp; $AN$275 &amp; $AK151),0)))))</f>
        <v/>
      </c>
      <c r="O151" s="24" t="str">
        <f ca="1">IF(ISERROR(MATCH(P$1,INDIRECT("Table!A"&amp;$AK151):INDIRECT("Table!" &amp; $AN$275 &amp; $AK151),0)),"",INDIRECT(CONCATENATE("Table!",ADDRESS($T151,MATCH(P$1,INDIRECT("Table!A" &amp; $AK151):INDIRECT("Table!" &amp; $AN$275 &amp; $AK151),0)))))</f>
        <v/>
      </c>
      <c r="P151" s="273" t="str">
        <f ca="1">IF(ISERROR(MATCH(Q$1,INDIRECT("Table!A"&amp;$AK151):INDIRECT("Table!" &amp; $AN$275 &amp; $AK151),0)),"",INDIRECT(CONCATENATE("Table!",ADDRESS($T151,MATCH(Q$1,INDIRECT("Table!A" &amp; $AK151):INDIRECT("Table!" &amp; $AN$275 &amp; $AK151),0)))))</f>
        <v/>
      </c>
      <c r="Q151" s="188"/>
      <c r="R151" s="188"/>
      <c r="S151" s="188"/>
      <c r="T151" s="22"/>
      <c r="AI151" s="188"/>
      <c r="AJ151" s="188"/>
      <c r="AK151" s="22"/>
      <c r="AL151" s="188"/>
      <c r="AM151" s="188"/>
      <c r="AN151" s="22"/>
      <c r="AO151" s="25"/>
      <c r="AP151" s="25"/>
      <c r="AQ151" s="25"/>
    </row>
    <row r="152" spans="2:43" ht="19.5" customHeight="1" x14ac:dyDescent="0.25">
      <c r="B152" s="24"/>
      <c r="C152" s="24" t="str">
        <f ca="1">IF(ISERROR(MATCH(C$1,INDIRECT("Table!A"&amp;$AK152):INDIRECT("Table!" &amp; $AN$275 &amp; $AK152),0)),"",INDIRECT(CONCATENATE("Table!",ADDRESS($T152,MATCH(C$1,INDIRECT("Table!A" &amp; $AK152):INDIRECT("Table!" &amp; $AN$275 &amp; $AK152),0)))))</f>
        <v/>
      </c>
      <c r="D152" s="24" t="str">
        <f ca="1">IF(ISERROR(MATCH(D$1,INDIRECT("Table!A"&amp;$AK152):INDIRECT("Table!" &amp; $AN$275 &amp; $AK152),0)),"",INDIRECT(CONCATENATE("Table!",ADDRESS($T152,MATCH(D$1,INDIRECT("Table!A" &amp; $AK152):INDIRECT("Table!" &amp; $AN$275 &amp; $AK152),0)))))</f>
        <v/>
      </c>
      <c r="E152" s="24" t="str">
        <f ca="1">IF(ISERROR(MATCH(E$1,INDIRECT("Table!A"&amp;$AK152):INDIRECT("Table!" &amp; $AN$275 &amp; $AK152),0)),"",INDIRECT(CONCATENATE("Table!",ADDRESS($T152,MATCH(E$1,INDIRECT("Table!A" &amp; $AK152):INDIRECT("Table!" &amp; $AN$275 &amp; $AK152),0)))))</f>
        <v/>
      </c>
      <c r="F152" s="24" t="str">
        <f ca="1">IF(ISERROR(MATCH(F$1,INDIRECT("Table!A"&amp;$AK152):INDIRECT("Table!" &amp; $AN$275 &amp; $AK152),0)),"",INDIRECT(CONCATENATE("Table!",ADDRESS($T152,MATCH(F$1,INDIRECT("Table!A" &amp; $AK152):INDIRECT("Table!" &amp; $AN$275 &amp; $AK152),0)))))</f>
        <v/>
      </c>
      <c r="G152" s="24" t="str">
        <f ca="1">IF(ISERROR(MATCH(G$1,INDIRECT("Table!A"&amp;$AK152):INDIRECT("Table!" &amp; $AN$275 &amp; $AK152),0)),"",INDIRECT(CONCATENATE("Table!",ADDRESS($T152,MATCH(G$1,INDIRECT("Table!A" &amp; $AK152):INDIRECT("Table!" &amp; $AN$275 &amp; $AK152),0)))))</f>
        <v/>
      </c>
      <c r="H152" s="24" t="str">
        <f ca="1">IF(ISERROR(MATCH(H$1,INDIRECT("Table!A"&amp;$AK152):INDIRECT("Table!" &amp; $AN$275 &amp; $AK152),0)),"",INDIRECT(CONCATENATE("Table!",ADDRESS($T152,MATCH(H$1,INDIRECT("Table!A" &amp; $AK152):INDIRECT("Table!" &amp; $AN$275 &amp; $AK152),0)))))</f>
        <v/>
      </c>
      <c r="I152" s="273"/>
      <c r="J152" s="273"/>
      <c r="K152" s="24" t="str">
        <f ca="1">IF(ISERROR(MATCH(L$1,INDIRECT("Table!A"&amp;$AK152):INDIRECT("Table!" &amp; $AN$275 &amp; $AK152),0)),"",INDIRECT(CONCATENATE("Table!",ADDRESS($T152,MATCH(L$1,INDIRECT("Table!A" &amp; $AK152):INDIRECT("Table!" &amp; $AN$275 &amp; $AK152),0)))))</f>
        <v/>
      </c>
      <c r="L152" s="24" t="str">
        <f ca="1">IF(ISERROR(MATCH(M$1,INDIRECT("Table!A"&amp;$AK152):INDIRECT("Table!" &amp; $AN$275 &amp; $AK152),0)),"",INDIRECT(CONCATENATE("Table!",ADDRESS($T152,MATCH(M$1,INDIRECT("Table!A" &amp; $AK152):INDIRECT("Table!" &amp; $AN$275 &amp; $AK152),0)))))</f>
        <v/>
      </c>
      <c r="M152" s="24" t="str">
        <f ca="1">IF(ISERROR(MATCH(N$1,INDIRECT("Table!A"&amp;$AK152):INDIRECT("Table!" &amp; $AN$275 &amp; $AK152),0)),"",INDIRECT(CONCATENATE("Table!",ADDRESS($T152,MATCH(N$1,INDIRECT("Table!A" &amp; $AK152):INDIRECT("Table!" &amp; $AN$275 &amp; $AK152),0)))))</f>
        <v/>
      </c>
      <c r="N152" s="24" t="str">
        <f ca="1">IF(ISERROR(MATCH(O$1,INDIRECT("Table!A"&amp;$AK152):INDIRECT("Table!" &amp; $AN$275 &amp; $AK152),0)),"",INDIRECT(CONCATENATE("Table!",ADDRESS($T152,MATCH(O$1,INDIRECT("Table!A" &amp; $AK152):INDIRECT("Table!" &amp; $AN$275 &amp; $AK152),0)))))</f>
        <v/>
      </c>
      <c r="O152" s="24" t="str">
        <f ca="1">IF(ISERROR(MATCH(P$1,INDIRECT("Table!A"&amp;$AK152):INDIRECT("Table!" &amp; $AN$275 &amp; $AK152),0)),"",INDIRECT(CONCATENATE("Table!",ADDRESS($T152,MATCH(P$1,INDIRECT("Table!A" &amp; $AK152):INDIRECT("Table!" &amp; $AN$275 &amp; $AK152),0)))))</f>
        <v/>
      </c>
      <c r="P152" s="273" t="str">
        <f ca="1">IF(ISERROR(MATCH(Q$1,INDIRECT("Table!A"&amp;$AK152):INDIRECT("Table!" &amp; $AN$275 &amp; $AK152),0)),"",INDIRECT(CONCATENATE("Table!",ADDRESS($T152,MATCH(Q$1,INDIRECT("Table!A" &amp; $AK152):INDIRECT("Table!" &amp; $AN$275 &amp; $AK152),0)))))</f>
        <v/>
      </c>
      <c r="Q152" s="187"/>
      <c r="R152" s="187"/>
      <c r="S152" s="187"/>
      <c r="T152" s="22"/>
      <c r="AI152" s="187"/>
      <c r="AJ152" s="187"/>
      <c r="AK152" s="22"/>
      <c r="AL152" s="187"/>
      <c r="AM152" s="187"/>
      <c r="AN152" s="22"/>
      <c r="AO152" s="25"/>
      <c r="AP152" s="25"/>
      <c r="AQ152" s="25"/>
    </row>
    <row r="153" spans="2:43" ht="19.5" customHeight="1" x14ac:dyDescent="0.25">
      <c r="B153" s="24"/>
      <c r="C153" s="24" t="str">
        <f ca="1">IF(ISERROR(MATCH(C$1,INDIRECT("Table!A"&amp;$AK153):INDIRECT("Table!" &amp; $AN$275 &amp; $AK153),0)),"",INDIRECT(CONCATENATE("Table!",ADDRESS($T153,MATCH(C$1,INDIRECT("Table!A" &amp; $AK153):INDIRECT("Table!" &amp; $AN$275 &amp; $AK153),0)))))</f>
        <v/>
      </c>
      <c r="D153" s="24" t="str">
        <f ca="1">IF(ISERROR(MATCH(D$1,INDIRECT("Table!A"&amp;$AK153):INDIRECT("Table!" &amp; $AN$275 &amp; $AK153),0)),"",INDIRECT(CONCATENATE("Table!",ADDRESS($T153,MATCH(D$1,INDIRECT("Table!A" &amp; $AK153):INDIRECT("Table!" &amp; $AN$275 &amp; $AK153),0)))))</f>
        <v/>
      </c>
      <c r="E153" s="24" t="str">
        <f ca="1">IF(ISERROR(MATCH(E$1,INDIRECT("Table!A"&amp;$AK153):INDIRECT("Table!" &amp; $AN$275 &amp; $AK153),0)),"",INDIRECT(CONCATENATE("Table!",ADDRESS($T153,MATCH(E$1,INDIRECT("Table!A" &amp; $AK153):INDIRECT("Table!" &amp; $AN$275 &amp; $AK153),0)))))</f>
        <v/>
      </c>
      <c r="F153" s="24" t="str">
        <f ca="1">IF(ISERROR(MATCH(F$1,INDIRECT("Table!A"&amp;$AK153):INDIRECT("Table!" &amp; $AN$275 &amp; $AK153),0)),"",INDIRECT(CONCATENATE("Table!",ADDRESS($T153,MATCH(F$1,INDIRECT("Table!A" &amp; $AK153):INDIRECT("Table!" &amp; $AN$275 &amp; $AK153),0)))))</f>
        <v/>
      </c>
      <c r="G153" s="24" t="str">
        <f ca="1">IF(ISERROR(MATCH(G$1,INDIRECT("Table!A"&amp;$AK153):INDIRECT("Table!" &amp; $AN$275 &amp; $AK153),0)),"",INDIRECT(CONCATENATE("Table!",ADDRESS($T153,MATCH(G$1,INDIRECT("Table!A" &amp; $AK153):INDIRECT("Table!" &amp; $AN$275 &amp; $AK153),0)))))</f>
        <v/>
      </c>
      <c r="H153" s="24" t="str">
        <f ca="1">IF(ISERROR(MATCH(H$1,INDIRECT("Table!A"&amp;$AK153):INDIRECT("Table!" &amp; $AN$275 &amp; $AK153),0)),"",INDIRECT(CONCATENATE("Table!",ADDRESS($T153,MATCH(H$1,INDIRECT("Table!A" &amp; $AK153):INDIRECT("Table!" &amp; $AN$275 &amp; $AK153),0)))))</f>
        <v/>
      </c>
      <c r="I153" s="273"/>
      <c r="J153" s="273"/>
      <c r="K153" s="24" t="str">
        <f ca="1">IF(ISERROR(MATCH(L$1,INDIRECT("Table!A"&amp;$AK153):INDIRECT("Table!" &amp; $AN$275 &amp; $AK153),0)),"",INDIRECT(CONCATENATE("Table!",ADDRESS($T153,MATCH(L$1,INDIRECT("Table!A" &amp; $AK153):INDIRECT("Table!" &amp; $AN$275 &amp; $AK153),0)))))</f>
        <v/>
      </c>
      <c r="L153" s="24" t="str">
        <f ca="1">IF(ISERROR(MATCH(M$1,INDIRECT("Table!A"&amp;$AK153):INDIRECT("Table!" &amp; $AN$275 &amp; $AK153),0)),"",INDIRECT(CONCATENATE("Table!",ADDRESS($T153,MATCH(M$1,INDIRECT("Table!A" &amp; $AK153):INDIRECT("Table!" &amp; $AN$275 &amp; $AK153),0)))))</f>
        <v/>
      </c>
      <c r="M153" s="24" t="str">
        <f ca="1">IF(ISERROR(MATCH(N$1,INDIRECT("Table!A"&amp;$AK153):INDIRECT("Table!" &amp; $AN$275 &amp; $AK153),0)),"",INDIRECT(CONCATENATE("Table!",ADDRESS($T153,MATCH(N$1,INDIRECT("Table!A" &amp; $AK153):INDIRECT("Table!" &amp; $AN$275 &amp; $AK153),0)))))</f>
        <v/>
      </c>
      <c r="N153" s="24" t="str">
        <f ca="1">IF(ISERROR(MATCH(O$1,INDIRECT("Table!A"&amp;$AK153):INDIRECT("Table!" &amp; $AN$275 &amp; $AK153),0)),"",INDIRECT(CONCATENATE("Table!",ADDRESS($T153,MATCH(O$1,INDIRECT("Table!A" &amp; $AK153):INDIRECT("Table!" &amp; $AN$275 &amp; $AK153),0)))))</f>
        <v/>
      </c>
      <c r="O153" s="24" t="str">
        <f ca="1">IF(ISERROR(MATCH(P$1,INDIRECT("Table!A"&amp;$AK153):INDIRECT("Table!" &amp; $AN$275 &amp; $AK153),0)),"",INDIRECT(CONCATENATE("Table!",ADDRESS($T153,MATCH(P$1,INDIRECT("Table!A" &amp; $AK153):INDIRECT("Table!" &amp; $AN$275 &amp; $AK153),0)))))</f>
        <v/>
      </c>
      <c r="P153" s="273" t="str">
        <f ca="1">IF(ISERROR(MATCH(Q$1,INDIRECT("Table!A"&amp;$AK153):INDIRECT("Table!" &amp; $AN$275 &amp; $AK153),0)),"",INDIRECT(CONCATENATE("Table!",ADDRESS($T153,MATCH(Q$1,INDIRECT("Table!A" &amp; $AK153):INDIRECT("Table!" &amp; $AN$275 &amp; $AK153),0)))))</f>
        <v/>
      </c>
      <c r="Q153" s="187"/>
      <c r="R153" s="187"/>
      <c r="S153" s="187"/>
      <c r="T153" s="22"/>
      <c r="AI153" s="187"/>
      <c r="AJ153" s="187"/>
      <c r="AK153" s="22"/>
      <c r="AL153" s="187"/>
      <c r="AM153" s="187"/>
      <c r="AN153" s="22"/>
      <c r="AO153" s="25"/>
      <c r="AP153" s="25"/>
      <c r="AQ153" s="25"/>
    </row>
    <row r="154" spans="2:43" ht="19.5" customHeight="1" x14ac:dyDescent="0.25">
      <c r="B154" s="24"/>
      <c r="C154" s="24" t="str">
        <f ca="1">IF(ISERROR(MATCH(C$1,INDIRECT("Table!A"&amp;$AK154):INDIRECT("Table!" &amp; $AN$275 &amp; $AK154),0)),"",INDIRECT(CONCATENATE("Table!",ADDRESS($T154,MATCH(C$1,INDIRECT("Table!A" &amp; $AK154):INDIRECT("Table!" &amp; $AN$275 &amp; $AK154),0)))))</f>
        <v/>
      </c>
      <c r="D154" s="24" t="str">
        <f ca="1">IF(ISERROR(MATCH(D$1,INDIRECT("Table!A"&amp;$AK154):INDIRECT("Table!" &amp; $AN$275 &amp; $AK154),0)),"",INDIRECT(CONCATENATE("Table!",ADDRESS($T154,MATCH(D$1,INDIRECT("Table!A" &amp; $AK154):INDIRECT("Table!" &amp; $AN$275 &amp; $AK154),0)))))</f>
        <v/>
      </c>
      <c r="E154" s="24" t="str">
        <f ca="1">IF(ISERROR(MATCH(E$1,INDIRECT("Table!A"&amp;$AK154):INDIRECT("Table!" &amp; $AN$275 &amp; $AK154),0)),"",INDIRECT(CONCATENATE("Table!",ADDRESS($T154,MATCH(E$1,INDIRECT("Table!A" &amp; $AK154):INDIRECT("Table!" &amp; $AN$275 &amp; $AK154),0)))))</f>
        <v/>
      </c>
      <c r="F154" s="24" t="str">
        <f ca="1">IF(ISERROR(MATCH(F$1,INDIRECT("Table!A"&amp;$AK154):INDIRECT("Table!" &amp; $AN$275 &amp; $AK154),0)),"",INDIRECT(CONCATENATE("Table!",ADDRESS($T154,MATCH(F$1,INDIRECT("Table!A" &amp; $AK154):INDIRECT("Table!" &amp; $AN$275 &amp; $AK154),0)))))</f>
        <v/>
      </c>
      <c r="G154" s="24" t="str">
        <f ca="1">IF(ISERROR(MATCH(G$1,INDIRECT("Table!A"&amp;$AK154):INDIRECT("Table!" &amp; $AN$275 &amp; $AK154),0)),"",INDIRECT(CONCATENATE("Table!",ADDRESS($T154,MATCH(G$1,INDIRECT("Table!A" &amp; $AK154):INDIRECT("Table!" &amp; $AN$275 &amp; $AK154),0)))))</f>
        <v/>
      </c>
      <c r="H154" s="24" t="str">
        <f ca="1">IF(ISERROR(MATCH(H$1,INDIRECT("Table!A"&amp;$AK154):INDIRECT("Table!" &amp; $AN$275 &amp; $AK154),0)),"",INDIRECT(CONCATENATE("Table!",ADDRESS($T154,MATCH(H$1,INDIRECT("Table!A" &amp; $AK154):INDIRECT("Table!" &amp; $AN$275 &amp; $AK154),0)))))</f>
        <v/>
      </c>
      <c r="I154" s="273"/>
      <c r="J154" s="273"/>
      <c r="K154" s="24" t="str">
        <f ca="1">IF(ISERROR(MATCH(L$1,INDIRECT("Table!A"&amp;$AK154):INDIRECT("Table!" &amp; $AN$275 &amp; $AK154),0)),"",INDIRECT(CONCATENATE("Table!",ADDRESS($T154,MATCH(L$1,INDIRECT("Table!A" &amp; $AK154):INDIRECT("Table!" &amp; $AN$275 &amp; $AK154),0)))))</f>
        <v/>
      </c>
      <c r="L154" s="24" t="str">
        <f ca="1">IF(ISERROR(MATCH(M$1,INDIRECT("Table!A"&amp;$AK154):INDIRECT("Table!" &amp; $AN$275 &amp; $AK154),0)),"",INDIRECT(CONCATENATE("Table!",ADDRESS($T154,MATCH(M$1,INDIRECT("Table!A" &amp; $AK154):INDIRECT("Table!" &amp; $AN$275 &amp; $AK154),0)))))</f>
        <v/>
      </c>
      <c r="M154" s="24" t="str">
        <f ca="1">IF(ISERROR(MATCH(N$1,INDIRECT("Table!A"&amp;$AK154):INDIRECT("Table!" &amp; $AN$275 &amp; $AK154),0)),"",INDIRECT(CONCATENATE("Table!",ADDRESS($T154,MATCH(N$1,INDIRECT("Table!A" &amp; $AK154):INDIRECT("Table!" &amp; $AN$275 &amp; $AK154),0)))))</f>
        <v/>
      </c>
      <c r="N154" s="24" t="str">
        <f ca="1">IF(ISERROR(MATCH(O$1,INDIRECT("Table!A"&amp;$AK154):INDIRECT("Table!" &amp; $AN$275 &amp; $AK154),0)),"",INDIRECT(CONCATENATE("Table!",ADDRESS($T154,MATCH(O$1,INDIRECT("Table!A" &amp; $AK154):INDIRECT("Table!" &amp; $AN$275 &amp; $AK154),0)))))</f>
        <v/>
      </c>
      <c r="O154" s="24" t="str">
        <f ca="1">IF(ISERROR(MATCH(P$1,INDIRECT("Table!A"&amp;$AK154):INDIRECT("Table!" &amp; $AN$275 &amp; $AK154),0)),"",INDIRECT(CONCATENATE("Table!",ADDRESS($T154,MATCH(P$1,INDIRECT("Table!A" &amp; $AK154):INDIRECT("Table!" &amp; $AN$275 &amp; $AK154),0)))))</f>
        <v/>
      </c>
      <c r="P154" s="273" t="str">
        <f ca="1">IF(ISERROR(MATCH(Q$1,INDIRECT("Table!A"&amp;$AK154):INDIRECT("Table!" &amp; $AN$275 &amp; $AK154),0)),"",INDIRECT(CONCATENATE("Table!",ADDRESS($T154,MATCH(Q$1,INDIRECT("Table!A" &amp; $AK154):INDIRECT("Table!" &amp; $AN$275 &amp; $AK154),0)))))</f>
        <v/>
      </c>
      <c r="Q154" s="186"/>
      <c r="R154" s="186"/>
      <c r="S154" s="186"/>
      <c r="T154" s="22"/>
      <c r="AI154" s="186"/>
      <c r="AJ154" s="186"/>
      <c r="AK154" s="22"/>
      <c r="AL154" s="186"/>
      <c r="AM154" s="186"/>
      <c r="AN154" s="22"/>
      <c r="AO154" s="25"/>
      <c r="AP154" s="25"/>
      <c r="AQ154" s="25"/>
    </row>
    <row r="155" spans="2:43" ht="19.5" customHeight="1" x14ac:dyDescent="0.25">
      <c r="B155" s="24"/>
      <c r="C155" s="24" t="str">
        <f ca="1">IF(ISERROR(MATCH(C$1,INDIRECT("Table!A"&amp;$AK155):INDIRECT("Table!" &amp; $AN$275 &amp; $AK155),0)),"",INDIRECT(CONCATENATE("Table!",ADDRESS($T155,MATCH(C$1,INDIRECT("Table!A" &amp; $AK155):INDIRECT("Table!" &amp; $AN$275 &amp; $AK155),0)))))</f>
        <v/>
      </c>
      <c r="D155" s="24" t="str">
        <f ca="1">IF(ISERROR(MATCH(D$1,INDIRECT("Table!A"&amp;$AK155):INDIRECT("Table!" &amp; $AN$275 &amp; $AK155),0)),"",INDIRECT(CONCATENATE("Table!",ADDRESS($T155,MATCH(D$1,INDIRECT("Table!A" &amp; $AK155):INDIRECT("Table!" &amp; $AN$275 &amp; $AK155),0)))))</f>
        <v/>
      </c>
      <c r="E155" s="24" t="str">
        <f ca="1">IF(ISERROR(MATCH(E$1,INDIRECT("Table!A"&amp;$AK155):INDIRECT("Table!" &amp; $AN$275 &amp; $AK155),0)),"",INDIRECT(CONCATENATE("Table!",ADDRESS($T155,MATCH(E$1,INDIRECT("Table!A" &amp; $AK155):INDIRECT("Table!" &amp; $AN$275 &amp; $AK155),0)))))</f>
        <v/>
      </c>
      <c r="F155" s="24" t="str">
        <f ca="1">IF(ISERROR(MATCH(F$1,INDIRECT("Table!A"&amp;$AK155):INDIRECT("Table!" &amp; $AN$275 &amp; $AK155),0)),"",INDIRECT(CONCATENATE("Table!",ADDRESS($T155,MATCH(F$1,INDIRECT("Table!A" &amp; $AK155):INDIRECT("Table!" &amp; $AN$275 &amp; $AK155),0)))))</f>
        <v/>
      </c>
      <c r="G155" s="24" t="str">
        <f ca="1">IF(ISERROR(MATCH(G$1,INDIRECT("Table!A"&amp;$AK155):INDIRECT("Table!" &amp; $AN$275 &amp; $AK155),0)),"",INDIRECT(CONCATENATE("Table!",ADDRESS($T155,MATCH(G$1,INDIRECT("Table!A" &amp; $AK155):INDIRECT("Table!" &amp; $AN$275 &amp; $AK155),0)))))</f>
        <v/>
      </c>
      <c r="H155" s="24" t="str">
        <f ca="1">IF(ISERROR(MATCH(H$1,INDIRECT("Table!A"&amp;$AK155):INDIRECT("Table!" &amp; $AN$275 &amp; $AK155),0)),"",INDIRECT(CONCATENATE("Table!",ADDRESS($T155,MATCH(H$1,INDIRECT("Table!A" &amp; $AK155):INDIRECT("Table!" &amp; $AN$275 &amp; $AK155),0)))))</f>
        <v/>
      </c>
      <c r="I155" s="273"/>
      <c r="J155" s="273"/>
      <c r="K155" s="24" t="str">
        <f ca="1">IF(ISERROR(MATCH(L$1,INDIRECT("Table!A"&amp;$AK155):INDIRECT("Table!" &amp; $AN$275 &amp; $AK155),0)),"",INDIRECT(CONCATENATE("Table!",ADDRESS($T155,MATCH(L$1,INDIRECT("Table!A" &amp; $AK155):INDIRECT("Table!" &amp; $AN$275 &amp; $AK155),0)))))</f>
        <v/>
      </c>
      <c r="L155" s="24" t="str">
        <f ca="1">IF(ISERROR(MATCH(M$1,INDIRECT("Table!A"&amp;$AK155):INDIRECT("Table!" &amp; $AN$275 &amp; $AK155),0)),"",INDIRECT(CONCATENATE("Table!",ADDRESS($T155,MATCH(M$1,INDIRECT("Table!A" &amp; $AK155):INDIRECT("Table!" &amp; $AN$275 &amp; $AK155),0)))))</f>
        <v/>
      </c>
      <c r="M155" s="24" t="str">
        <f ca="1">IF(ISERROR(MATCH(N$1,INDIRECT("Table!A"&amp;$AK155):INDIRECT("Table!" &amp; $AN$275 &amp; $AK155),0)),"",INDIRECT(CONCATENATE("Table!",ADDRESS($T155,MATCH(N$1,INDIRECT("Table!A" &amp; $AK155):INDIRECT("Table!" &amp; $AN$275 &amp; $AK155),0)))))</f>
        <v/>
      </c>
      <c r="N155" s="24" t="str">
        <f ca="1">IF(ISERROR(MATCH(O$1,INDIRECT("Table!A"&amp;$AK155):INDIRECT("Table!" &amp; $AN$275 &amp; $AK155),0)),"",INDIRECT(CONCATENATE("Table!",ADDRESS($T155,MATCH(O$1,INDIRECT("Table!A" &amp; $AK155):INDIRECT("Table!" &amp; $AN$275 &amp; $AK155),0)))))</f>
        <v/>
      </c>
      <c r="O155" s="24" t="str">
        <f ca="1">IF(ISERROR(MATCH(P$1,INDIRECT("Table!A"&amp;$AK155):INDIRECT("Table!" &amp; $AN$275 &amp; $AK155),0)),"",INDIRECT(CONCATENATE("Table!",ADDRESS($T155,MATCH(P$1,INDIRECT("Table!A" &amp; $AK155):INDIRECT("Table!" &amp; $AN$275 &amp; $AK155),0)))))</f>
        <v/>
      </c>
      <c r="P155" s="273" t="str">
        <f ca="1">IF(ISERROR(MATCH(Q$1,INDIRECT("Table!A"&amp;$AK155):INDIRECT("Table!" &amp; $AN$275 &amp; $AK155),0)),"",INDIRECT(CONCATENATE("Table!",ADDRESS($T155,MATCH(Q$1,INDIRECT("Table!A" &amp; $AK155):INDIRECT("Table!" &amp; $AN$275 &amp; $AK155),0)))))</f>
        <v/>
      </c>
      <c r="Q155" s="185"/>
      <c r="R155" s="185"/>
      <c r="S155" s="185"/>
      <c r="T155" s="22"/>
      <c r="AI155" s="185"/>
      <c r="AJ155" s="185"/>
      <c r="AK155" s="22"/>
      <c r="AL155" s="185"/>
      <c r="AM155" s="185"/>
      <c r="AN155" s="22"/>
      <c r="AO155" s="25"/>
      <c r="AP155" s="25"/>
      <c r="AQ155" s="25"/>
    </row>
    <row r="156" spans="2:43" ht="19.5" customHeight="1" x14ac:dyDescent="0.25">
      <c r="B156" s="24"/>
      <c r="C156" s="24" t="str">
        <f ca="1">IF(ISERROR(MATCH(C$1,INDIRECT("Table!A"&amp;$AK156):INDIRECT("Table!" &amp; $AN$275 &amp; $AK156),0)),"",INDIRECT(CONCATENATE("Table!",ADDRESS($T156,MATCH(C$1,INDIRECT("Table!A" &amp; $AK156):INDIRECT("Table!" &amp; $AN$275 &amp; $AK156),0)))))</f>
        <v/>
      </c>
      <c r="D156" s="24" t="str">
        <f ca="1">IF(ISERROR(MATCH(D$1,INDIRECT("Table!A"&amp;$AK156):INDIRECT("Table!" &amp; $AN$275 &amp; $AK156),0)),"",INDIRECT(CONCATENATE("Table!",ADDRESS($T156,MATCH(D$1,INDIRECT("Table!A" &amp; $AK156):INDIRECT("Table!" &amp; $AN$275 &amp; $AK156),0)))))</f>
        <v/>
      </c>
      <c r="E156" s="24" t="str">
        <f ca="1">IF(ISERROR(MATCH(E$1,INDIRECT("Table!A"&amp;$AK156):INDIRECT("Table!" &amp; $AN$275 &amp; $AK156),0)),"",INDIRECT(CONCATENATE("Table!",ADDRESS($T156,MATCH(E$1,INDIRECT("Table!A" &amp; $AK156):INDIRECT("Table!" &amp; $AN$275 &amp; $AK156),0)))))</f>
        <v/>
      </c>
      <c r="F156" s="24" t="str">
        <f ca="1">IF(ISERROR(MATCH(F$1,INDIRECT("Table!A"&amp;$AK156):INDIRECT("Table!" &amp; $AN$275 &amp; $AK156),0)),"",INDIRECT(CONCATENATE("Table!",ADDRESS($T156,MATCH(F$1,INDIRECT("Table!A" &amp; $AK156):INDIRECT("Table!" &amp; $AN$275 &amp; $AK156),0)))))</f>
        <v/>
      </c>
      <c r="G156" s="24" t="str">
        <f ca="1">IF(ISERROR(MATCH(G$1,INDIRECT("Table!A"&amp;$AK156):INDIRECT("Table!" &amp; $AN$275 &amp; $AK156),0)),"",INDIRECT(CONCATENATE("Table!",ADDRESS($T156,MATCH(G$1,INDIRECT("Table!A" &amp; $AK156):INDIRECT("Table!" &amp; $AN$275 &amp; $AK156),0)))))</f>
        <v/>
      </c>
      <c r="H156" s="24" t="str">
        <f ca="1">IF(ISERROR(MATCH(H$1,INDIRECT("Table!A"&amp;$AK156):INDIRECT("Table!" &amp; $AN$275 &amp; $AK156),0)),"",INDIRECT(CONCATENATE("Table!",ADDRESS($T156,MATCH(H$1,INDIRECT("Table!A" &amp; $AK156):INDIRECT("Table!" &amp; $AN$275 &amp; $AK156),0)))))</f>
        <v/>
      </c>
      <c r="I156" s="273"/>
      <c r="J156" s="273"/>
      <c r="K156" s="24" t="str">
        <f ca="1">IF(ISERROR(MATCH(L$1,INDIRECT("Table!A"&amp;$AK156):INDIRECT("Table!" &amp; $AN$275 &amp; $AK156),0)),"",INDIRECT(CONCATENATE("Table!",ADDRESS($T156,MATCH(L$1,INDIRECT("Table!A" &amp; $AK156):INDIRECT("Table!" &amp; $AN$275 &amp; $AK156),0)))))</f>
        <v/>
      </c>
      <c r="L156" s="24" t="str">
        <f ca="1">IF(ISERROR(MATCH(M$1,INDIRECT("Table!A"&amp;$AK156):INDIRECT("Table!" &amp; $AN$275 &amp; $AK156),0)),"",INDIRECT(CONCATENATE("Table!",ADDRESS($T156,MATCH(M$1,INDIRECT("Table!A" &amp; $AK156):INDIRECT("Table!" &amp; $AN$275 &amp; $AK156),0)))))</f>
        <v/>
      </c>
      <c r="M156" s="24" t="str">
        <f ca="1">IF(ISERROR(MATCH(N$1,INDIRECT("Table!A"&amp;$AK156):INDIRECT("Table!" &amp; $AN$275 &amp; $AK156),0)),"",INDIRECT(CONCATENATE("Table!",ADDRESS($T156,MATCH(N$1,INDIRECT("Table!A" &amp; $AK156):INDIRECT("Table!" &amp; $AN$275 &amp; $AK156),0)))))</f>
        <v/>
      </c>
      <c r="N156" s="24" t="str">
        <f ca="1">IF(ISERROR(MATCH(O$1,INDIRECT("Table!A"&amp;$AK156):INDIRECT("Table!" &amp; $AN$275 &amp; $AK156),0)),"",INDIRECT(CONCATENATE("Table!",ADDRESS($T156,MATCH(O$1,INDIRECT("Table!A" &amp; $AK156):INDIRECT("Table!" &amp; $AN$275 &amp; $AK156),0)))))</f>
        <v/>
      </c>
      <c r="O156" s="24" t="str">
        <f ca="1">IF(ISERROR(MATCH(P$1,INDIRECT("Table!A"&amp;$AK156):INDIRECT("Table!" &amp; $AN$275 &amp; $AK156),0)),"",INDIRECT(CONCATENATE("Table!",ADDRESS($T156,MATCH(P$1,INDIRECT("Table!A" &amp; $AK156):INDIRECT("Table!" &amp; $AN$275 &amp; $AK156),0)))))</f>
        <v/>
      </c>
      <c r="P156" s="273" t="str">
        <f ca="1">IF(ISERROR(MATCH(Q$1,INDIRECT("Table!A"&amp;$AK156):INDIRECT("Table!" &amp; $AN$275 &amp; $AK156),0)),"",INDIRECT(CONCATENATE("Table!",ADDRESS($T156,MATCH(Q$1,INDIRECT("Table!A" &amp; $AK156):INDIRECT("Table!" &amp; $AN$275 &amp; $AK156),0)))))</f>
        <v/>
      </c>
      <c r="Q156" s="185"/>
      <c r="R156" s="185"/>
      <c r="S156" s="185"/>
      <c r="T156" s="22"/>
      <c r="AI156" s="185"/>
      <c r="AJ156" s="185"/>
      <c r="AK156" s="22"/>
      <c r="AL156" s="185"/>
      <c r="AM156" s="185"/>
      <c r="AN156" s="22"/>
      <c r="AO156" s="25"/>
      <c r="AP156" s="25"/>
      <c r="AQ156" s="25"/>
    </row>
    <row r="157" spans="2:43" ht="19.5" customHeight="1" x14ac:dyDescent="0.25">
      <c r="B157" s="24"/>
      <c r="C157" s="24" t="str">
        <f ca="1">IF(ISERROR(MATCH(C$1,INDIRECT("Table!A"&amp;$AK157):INDIRECT("Table!" &amp; $AN$275 &amp; $AK157),0)),"",INDIRECT(CONCATENATE("Table!",ADDRESS($T157,MATCH(C$1,INDIRECT("Table!A" &amp; $AK157):INDIRECT("Table!" &amp; $AN$275 &amp; $AK157),0)))))</f>
        <v/>
      </c>
      <c r="D157" s="24" t="str">
        <f ca="1">IF(ISERROR(MATCH(D$1,INDIRECT("Table!A"&amp;$AK157):INDIRECT("Table!" &amp; $AN$275 &amp; $AK157),0)),"",INDIRECT(CONCATENATE("Table!",ADDRESS($T157,MATCH(D$1,INDIRECT("Table!A" &amp; $AK157):INDIRECT("Table!" &amp; $AN$275 &amp; $AK157),0)))))</f>
        <v/>
      </c>
      <c r="E157" s="24" t="str">
        <f ca="1">IF(ISERROR(MATCH(E$1,INDIRECT("Table!A"&amp;$AK157):INDIRECT("Table!" &amp; $AN$275 &amp; $AK157),0)),"",INDIRECT(CONCATENATE("Table!",ADDRESS($T157,MATCH(E$1,INDIRECT("Table!A" &amp; $AK157):INDIRECT("Table!" &amp; $AN$275 &amp; $AK157),0)))))</f>
        <v/>
      </c>
      <c r="F157" s="24" t="str">
        <f ca="1">IF(ISERROR(MATCH(F$1,INDIRECT("Table!A"&amp;$AK157):INDIRECT("Table!" &amp; $AN$275 &amp; $AK157),0)),"",INDIRECT(CONCATENATE("Table!",ADDRESS($T157,MATCH(F$1,INDIRECT("Table!A" &amp; $AK157):INDIRECT("Table!" &amp; $AN$275 &amp; $AK157),0)))))</f>
        <v/>
      </c>
      <c r="G157" s="24" t="str">
        <f ca="1">IF(ISERROR(MATCH(G$1,INDIRECT("Table!A"&amp;$AK157):INDIRECT("Table!" &amp; $AN$275 &amp; $AK157),0)),"",INDIRECT(CONCATENATE("Table!",ADDRESS($T157,MATCH(G$1,INDIRECT("Table!A" &amp; $AK157):INDIRECT("Table!" &amp; $AN$275 &amp; $AK157),0)))))</f>
        <v/>
      </c>
      <c r="H157" s="24" t="str">
        <f ca="1">IF(ISERROR(MATCH(H$1,INDIRECT("Table!A"&amp;$AK157):INDIRECT("Table!" &amp; $AN$275 &amp; $AK157),0)),"",INDIRECT(CONCATENATE("Table!",ADDRESS($T157,MATCH(H$1,INDIRECT("Table!A" &amp; $AK157):INDIRECT("Table!" &amp; $AN$275 &amp; $AK157),0)))))</f>
        <v/>
      </c>
      <c r="I157" s="273"/>
      <c r="J157" s="273"/>
      <c r="K157" s="24" t="str">
        <f ca="1">IF(ISERROR(MATCH(L$1,INDIRECT("Table!A"&amp;$AK157):INDIRECT("Table!" &amp; $AN$275 &amp; $AK157),0)),"",INDIRECT(CONCATENATE("Table!",ADDRESS($T157,MATCH(L$1,INDIRECT("Table!A" &amp; $AK157):INDIRECT("Table!" &amp; $AN$275 &amp; $AK157),0)))))</f>
        <v/>
      </c>
      <c r="L157" s="24" t="str">
        <f ca="1">IF(ISERROR(MATCH(M$1,INDIRECT("Table!A"&amp;$AK157):INDIRECT("Table!" &amp; $AN$275 &amp; $AK157),0)),"",INDIRECT(CONCATENATE("Table!",ADDRESS($T157,MATCH(M$1,INDIRECT("Table!A" &amp; $AK157):INDIRECT("Table!" &amp; $AN$275 &amp; $AK157),0)))))</f>
        <v/>
      </c>
      <c r="M157" s="24" t="str">
        <f ca="1">IF(ISERROR(MATCH(N$1,INDIRECT("Table!A"&amp;$AK157):INDIRECT("Table!" &amp; $AN$275 &amp; $AK157),0)),"",INDIRECT(CONCATENATE("Table!",ADDRESS($T157,MATCH(N$1,INDIRECT("Table!A" &amp; $AK157):INDIRECT("Table!" &amp; $AN$275 &amp; $AK157),0)))))</f>
        <v/>
      </c>
      <c r="N157" s="24" t="str">
        <f ca="1">IF(ISERROR(MATCH(O$1,INDIRECT("Table!A"&amp;$AK157):INDIRECT("Table!" &amp; $AN$275 &amp; $AK157),0)),"",INDIRECT(CONCATENATE("Table!",ADDRESS($T157,MATCH(O$1,INDIRECT("Table!A" &amp; $AK157):INDIRECT("Table!" &amp; $AN$275 &amp; $AK157),0)))))</f>
        <v/>
      </c>
      <c r="O157" s="24" t="str">
        <f ca="1">IF(ISERROR(MATCH(P$1,INDIRECT("Table!A"&amp;$AK157):INDIRECT("Table!" &amp; $AN$275 &amp; $AK157),0)),"",INDIRECT(CONCATENATE("Table!",ADDRESS($T157,MATCH(P$1,INDIRECT("Table!A" &amp; $AK157):INDIRECT("Table!" &amp; $AN$275 &amp; $AK157),0)))))</f>
        <v/>
      </c>
      <c r="P157" s="273" t="str">
        <f ca="1">IF(ISERROR(MATCH(Q$1,INDIRECT("Table!A"&amp;$AK157):INDIRECT("Table!" &amp; $AN$275 &amp; $AK157),0)),"",INDIRECT(CONCATENATE("Table!",ADDRESS($T157,MATCH(Q$1,INDIRECT("Table!A" &amp; $AK157):INDIRECT("Table!" &amp; $AN$275 &amp; $AK157),0)))))</f>
        <v/>
      </c>
      <c r="Q157" s="184"/>
      <c r="R157" s="184"/>
      <c r="S157" s="184"/>
      <c r="T157" s="22"/>
      <c r="AI157" s="184"/>
      <c r="AJ157" s="184"/>
      <c r="AK157" s="22"/>
      <c r="AL157" s="184"/>
      <c r="AM157" s="184"/>
      <c r="AN157" s="22"/>
      <c r="AO157" s="25"/>
      <c r="AP157" s="25"/>
      <c r="AQ157" s="25"/>
    </row>
    <row r="158" spans="2:43" ht="19.5" customHeight="1" x14ac:dyDescent="0.25">
      <c r="B158" s="24"/>
      <c r="C158" s="24" t="str">
        <f ca="1">IF(ISERROR(MATCH(C$1,INDIRECT("Table!A"&amp;$AK158):INDIRECT("Table!" &amp; $AN$275 &amp; $AK158),0)),"",INDIRECT(CONCATENATE("Table!",ADDRESS($T158,MATCH(C$1,INDIRECT("Table!A" &amp; $AK158):INDIRECT("Table!" &amp; $AN$275 &amp; $AK158),0)))))</f>
        <v/>
      </c>
      <c r="D158" s="24" t="str">
        <f ca="1">IF(ISERROR(MATCH(D$1,INDIRECT("Table!A"&amp;$AK158):INDIRECT("Table!" &amp; $AN$275 &amp; $AK158),0)),"",INDIRECT(CONCATENATE("Table!",ADDRESS($T158,MATCH(D$1,INDIRECT("Table!A" &amp; $AK158):INDIRECT("Table!" &amp; $AN$275 &amp; $AK158),0)))))</f>
        <v/>
      </c>
      <c r="E158" s="24" t="str">
        <f ca="1">IF(ISERROR(MATCH(E$1,INDIRECT("Table!A"&amp;$AK158):INDIRECT("Table!" &amp; $AN$275 &amp; $AK158),0)),"",INDIRECT(CONCATENATE("Table!",ADDRESS($T158,MATCH(E$1,INDIRECT("Table!A" &amp; $AK158):INDIRECT("Table!" &amp; $AN$275 &amp; $AK158),0)))))</f>
        <v/>
      </c>
      <c r="F158" s="24" t="str">
        <f ca="1">IF(ISERROR(MATCH(F$1,INDIRECT("Table!A"&amp;$AK158):INDIRECT("Table!" &amp; $AN$275 &amp; $AK158),0)),"",INDIRECT(CONCATENATE("Table!",ADDRESS($T158,MATCH(F$1,INDIRECT("Table!A" &amp; $AK158):INDIRECT("Table!" &amp; $AN$275 &amp; $AK158),0)))))</f>
        <v/>
      </c>
      <c r="G158" s="24" t="str">
        <f ca="1">IF(ISERROR(MATCH(G$1,INDIRECT("Table!A"&amp;$AK158):INDIRECT("Table!" &amp; $AN$275 &amp; $AK158),0)),"",INDIRECT(CONCATENATE("Table!",ADDRESS($T158,MATCH(G$1,INDIRECT("Table!A" &amp; $AK158):INDIRECT("Table!" &amp; $AN$275 &amp; $AK158),0)))))</f>
        <v/>
      </c>
      <c r="H158" s="24" t="str">
        <f ca="1">IF(ISERROR(MATCH(H$1,INDIRECT("Table!A"&amp;$AK158):INDIRECT("Table!" &amp; $AN$275 &amp; $AK158),0)),"",INDIRECT(CONCATENATE("Table!",ADDRESS($T158,MATCH(H$1,INDIRECT("Table!A" &amp; $AK158):INDIRECT("Table!" &amp; $AN$275 &amp; $AK158),0)))))</f>
        <v/>
      </c>
      <c r="I158" s="273"/>
      <c r="J158" s="273"/>
      <c r="K158" s="24" t="str">
        <f ca="1">IF(ISERROR(MATCH(L$1,INDIRECT("Table!A"&amp;$AK158):INDIRECT("Table!" &amp; $AN$275 &amp; $AK158),0)),"",INDIRECT(CONCATENATE("Table!",ADDRESS($T158,MATCH(L$1,INDIRECT("Table!A" &amp; $AK158):INDIRECT("Table!" &amp; $AN$275 &amp; $AK158),0)))))</f>
        <v/>
      </c>
      <c r="L158" s="24" t="str">
        <f ca="1">IF(ISERROR(MATCH(M$1,INDIRECT("Table!A"&amp;$AK158):INDIRECT("Table!" &amp; $AN$275 &amp; $AK158),0)),"",INDIRECT(CONCATENATE("Table!",ADDRESS($T158,MATCH(M$1,INDIRECT("Table!A" &amp; $AK158):INDIRECT("Table!" &amp; $AN$275 &amp; $AK158),0)))))</f>
        <v/>
      </c>
      <c r="M158" s="24" t="str">
        <f ca="1">IF(ISERROR(MATCH(N$1,INDIRECT("Table!A"&amp;$AK158):INDIRECT("Table!" &amp; $AN$275 &amp; $AK158),0)),"",INDIRECT(CONCATENATE("Table!",ADDRESS($T158,MATCH(N$1,INDIRECT("Table!A" &amp; $AK158):INDIRECT("Table!" &amp; $AN$275 &amp; $AK158),0)))))</f>
        <v/>
      </c>
      <c r="N158" s="24" t="str">
        <f ca="1">IF(ISERROR(MATCH(O$1,INDIRECT("Table!A"&amp;$AK158):INDIRECT("Table!" &amp; $AN$275 &amp; $AK158),0)),"",INDIRECT(CONCATENATE("Table!",ADDRESS($T158,MATCH(O$1,INDIRECT("Table!A" &amp; $AK158):INDIRECT("Table!" &amp; $AN$275 &amp; $AK158),0)))))</f>
        <v/>
      </c>
      <c r="O158" s="24" t="str">
        <f ca="1">IF(ISERROR(MATCH(P$1,INDIRECT("Table!A"&amp;$AK158):INDIRECT("Table!" &amp; $AN$275 &amp; $AK158),0)),"",INDIRECT(CONCATENATE("Table!",ADDRESS($T158,MATCH(P$1,INDIRECT("Table!A" &amp; $AK158):INDIRECT("Table!" &amp; $AN$275 &amp; $AK158),0)))))</f>
        <v/>
      </c>
      <c r="P158" s="273" t="str">
        <f ca="1">IF(ISERROR(MATCH(Q$1,INDIRECT("Table!A"&amp;$AK158):INDIRECT("Table!" &amp; $AN$275 &amp; $AK158),0)),"",INDIRECT(CONCATENATE("Table!",ADDRESS($T158,MATCH(Q$1,INDIRECT("Table!A" &amp; $AK158):INDIRECT("Table!" &amp; $AN$275 &amp; $AK158),0)))))</f>
        <v/>
      </c>
      <c r="Q158" s="183"/>
      <c r="R158" s="183"/>
      <c r="S158" s="183"/>
      <c r="T158" s="22"/>
      <c r="AI158" s="183"/>
      <c r="AJ158" s="183"/>
      <c r="AK158" s="22"/>
      <c r="AL158" s="183"/>
      <c r="AM158" s="183"/>
      <c r="AN158" s="22"/>
      <c r="AO158" s="25"/>
      <c r="AP158" s="25"/>
      <c r="AQ158" s="25"/>
    </row>
    <row r="159" spans="2:43" ht="19.5" customHeight="1" x14ac:dyDescent="0.25">
      <c r="B159" s="24"/>
      <c r="C159" s="24" t="str">
        <f ca="1">IF(ISERROR(MATCH(C$1,INDIRECT("Table!A"&amp;$AK159):INDIRECT("Table!" &amp; $AN$275 &amp; $AK159),0)),"",INDIRECT(CONCATENATE("Table!",ADDRESS($T159,MATCH(C$1,INDIRECT("Table!A" &amp; $AK159):INDIRECT("Table!" &amp; $AN$275 &amp; $AK159),0)))))</f>
        <v/>
      </c>
      <c r="D159" s="24" t="str">
        <f ca="1">IF(ISERROR(MATCH(D$1,INDIRECT("Table!A"&amp;$AK159):INDIRECT("Table!" &amp; $AN$275 &amp; $AK159),0)),"",INDIRECT(CONCATENATE("Table!",ADDRESS($T159,MATCH(D$1,INDIRECT("Table!A" &amp; $AK159):INDIRECT("Table!" &amp; $AN$275 &amp; $AK159),0)))))</f>
        <v/>
      </c>
      <c r="E159" s="24" t="str">
        <f ca="1">IF(ISERROR(MATCH(E$1,INDIRECT("Table!A"&amp;$AK159):INDIRECT("Table!" &amp; $AN$275 &amp; $AK159),0)),"",INDIRECT(CONCATENATE("Table!",ADDRESS($T159,MATCH(E$1,INDIRECT("Table!A" &amp; $AK159):INDIRECT("Table!" &amp; $AN$275 &amp; $AK159),0)))))</f>
        <v/>
      </c>
      <c r="F159" s="24" t="str">
        <f ca="1">IF(ISERROR(MATCH(F$1,INDIRECT("Table!A"&amp;$AK159):INDIRECT("Table!" &amp; $AN$275 &amp; $AK159),0)),"",INDIRECT(CONCATENATE("Table!",ADDRESS($T159,MATCH(F$1,INDIRECT("Table!A" &amp; $AK159):INDIRECT("Table!" &amp; $AN$275 &amp; $AK159),0)))))</f>
        <v/>
      </c>
      <c r="G159" s="24" t="str">
        <f ca="1">IF(ISERROR(MATCH(G$1,INDIRECT("Table!A"&amp;$AK159):INDIRECT("Table!" &amp; $AN$275 &amp; $AK159),0)),"",INDIRECT(CONCATENATE("Table!",ADDRESS($T159,MATCH(G$1,INDIRECT("Table!A" &amp; $AK159):INDIRECT("Table!" &amp; $AN$275 &amp; $AK159),0)))))</f>
        <v/>
      </c>
      <c r="H159" s="24" t="str">
        <f ca="1">IF(ISERROR(MATCH(H$1,INDIRECT("Table!A"&amp;$AK159):INDIRECT("Table!" &amp; $AN$275 &amp; $AK159),0)),"",INDIRECT(CONCATENATE("Table!",ADDRESS($T159,MATCH(H$1,INDIRECT("Table!A" &amp; $AK159):INDIRECT("Table!" &amp; $AN$275 &amp; $AK159),0)))))</f>
        <v/>
      </c>
      <c r="I159" s="273"/>
      <c r="J159" s="273"/>
      <c r="K159" s="24" t="str">
        <f ca="1">IF(ISERROR(MATCH(L$1,INDIRECT("Table!A"&amp;$AK159):INDIRECT("Table!" &amp; $AN$275 &amp; $AK159),0)),"",INDIRECT(CONCATENATE("Table!",ADDRESS($T159,MATCH(L$1,INDIRECT("Table!A" &amp; $AK159):INDIRECT("Table!" &amp; $AN$275 &amp; $AK159),0)))))</f>
        <v/>
      </c>
      <c r="L159" s="24" t="str">
        <f ca="1">IF(ISERROR(MATCH(M$1,INDIRECT("Table!A"&amp;$AK159):INDIRECT("Table!" &amp; $AN$275 &amp; $AK159),0)),"",INDIRECT(CONCATENATE("Table!",ADDRESS($T159,MATCH(M$1,INDIRECT("Table!A" &amp; $AK159):INDIRECT("Table!" &amp; $AN$275 &amp; $AK159),0)))))</f>
        <v/>
      </c>
      <c r="M159" s="24" t="str">
        <f ca="1">IF(ISERROR(MATCH(N$1,INDIRECT("Table!A"&amp;$AK159):INDIRECT("Table!" &amp; $AN$275 &amp; $AK159),0)),"",INDIRECT(CONCATENATE("Table!",ADDRESS($T159,MATCH(N$1,INDIRECT("Table!A" &amp; $AK159):INDIRECT("Table!" &amp; $AN$275 &amp; $AK159),0)))))</f>
        <v/>
      </c>
      <c r="N159" s="24" t="str">
        <f ca="1">IF(ISERROR(MATCH(O$1,INDIRECT("Table!A"&amp;$AK159):INDIRECT("Table!" &amp; $AN$275 &amp; $AK159),0)),"",INDIRECT(CONCATENATE("Table!",ADDRESS($T159,MATCH(O$1,INDIRECT("Table!A" &amp; $AK159):INDIRECT("Table!" &amp; $AN$275 &amp; $AK159),0)))))</f>
        <v/>
      </c>
      <c r="O159" s="24" t="str">
        <f ca="1">IF(ISERROR(MATCH(P$1,INDIRECT("Table!A"&amp;$AK159):INDIRECT("Table!" &amp; $AN$275 &amp; $AK159),0)),"",INDIRECT(CONCATENATE("Table!",ADDRESS($T159,MATCH(P$1,INDIRECT("Table!A" &amp; $AK159):INDIRECT("Table!" &amp; $AN$275 &amp; $AK159),0)))))</f>
        <v/>
      </c>
      <c r="P159" s="273" t="str">
        <f ca="1">IF(ISERROR(MATCH(Q$1,INDIRECT("Table!A"&amp;$AK159):INDIRECT("Table!" &amp; $AN$275 &amp; $AK159),0)),"",INDIRECT(CONCATENATE("Table!",ADDRESS($T159,MATCH(Q$1,INDIRECT("Table!A" &amp; $AK159):INDIRECT("Table!" &amp; $AN$275 &amp; $AK159),0)))))</f>
        <v/>
      </c>
      <c r="Q159" s="182"/>
      <c r="R159" s="182"/>
      <c r="S159" s="182"/>
      <c r="T159" s="22"/>
      <c r="AI159" s="182"/>
      <c r="AJ159" s="182"/>
      <c r="AK159" s="22"/>
      <c r="AL159" s="182"/>
      <c r="AM159" s="182"/>
      <c r="AN159" s="22"/>
      <c r="AO159" s="25"/>
      <c r="AP159" s="25"/>
      <c r="AQ159" s="25"/>
    </row>
    <row r="160" spans="2:43" ht="19.5" customHeight="1" x14ac:dyDescent="0.25">
      <c r="B160" s="24"/>
      <c r="C160" s="24" t="str">
        <f ca="1">IF(ISERROR(MATCH(C$1,INDIRECT("Table!A"&amp;$AK160):INDIRECT("Table!" &amp; $AN$275 &amp; $AK160),0)),"",INDIRECT(CONCATENATE("Table!",ADDRESS($T160,MATCH(C$1,INDIRECT("Table!A" &amp; $AK160):INDIRECT("Table!" &amp; $AN$275 &amp; $AK160),0)))))</f>
        <v/>
      </c>
      <c r="D160" s="24" t="str">
        <f ca="1">IF(ISERROR(MATCH(D$1,INDIRECT("Table!A"&amp;$AK160):INDIRECT("Table!" &amp; $AN$275 &amp; $AK160),0)),"",INDIRECT(CONCATENATE("Table!",ADDRESS($T160,MATCH(D$1,INDIRECT("Table!A" &amp; $AK160):INDIRECT("Table!" &amp; $AN$275 &amp; $AK160),0)))))</f>
        <v/>
      </c>
      <c r="E160" s="24" t="str">
        <f ca="1">IF(ISERROR(MATCH(E$1,INDIRECT("Table!A"&amp;$AK160):INDIRECT("Table!" &amp; $AN$275 &amp; $AK160),0)),"",INDIRECT(CONCATENATE("Table!",ADDRESS($T160,MATCH(E$1,INDIRECT("Table!A" &amp; $AK160):INDIRECT("Table!" &amp; $AN$275 &amp; $AK160),0)))))</f>
        <v/>
      </c>
      <c r="F160" s="24" t="str">
        <f ca="1">IF(ISERROR(MATCH(F$1,INDIRECT("Table!A"&amp;$AK160):INDIRECT("Table!" &amp; $AN$275 &amp; $AK160),0)),"",INDIRECT(CONCATENATE("Table!",ADDRESS($T160,MATCH(F$1,INDIRECT("Table!A" &amp; $AK160):INDIRECT("Table!" &amp; $AN$275 &amp; $AK160),0)))))</f>
        <v/>
      </c>
      <c r="G160" s="24" t="str">
        <f ca="1">IF(ISERROR(MATCH(G$1,INDIRECT("Table!A"&amp;$AK160):INDIRECT("Table!" &amp; $AN$275 &amp; $AK160),0)),"",INDIRECT(CONCATENATE("Table!",ADDRESS($T160,MATCH(G$1,INDIRECT("Table!A" &amp; $AK160):INDIRECT("Table!" &amp; $AN$275 &amp; $AK160),0)))))</f>
        <v/>
      </c>
      <c r="H160" s="24" t="str">
        <f ca="1">IF(ISERROR(MATCH(H$1,INDIRECT("Table!A"&amp;$AK160):INDIRECT("Table!" &amp; $AN$275 &amp; $AK160),0)),"",INDIRECT(CONCATENATE("Table!",ADDRESS($T160,MATCH(H$1,INDIRECT("Table!A" &amp; $AK160):INDIRECT("Table!" &amp; $AN$275 &amp; $AK160),0)))))</f>
        <v/>
      </c>
      <c r="I160" s="273"/>
      <c r="J160" s="273"/>
      <c r="K160" s="24" t="str">
        <f ca="1">IF(ISERROR(MATCH(L$1,INDIRECT("Table!A"&amp;$AK160):INDIRECT("Table!" &amp; $AN$275 &amp; $AK160),0)),"",INDIRECT(CONCATENATE("Table!",ADDRESS($T160,MATCH(L$1,INDIRECT("Table!A" &amp; $AK160):INDIRECT("Table!" &amp; $AN$275 &amp; $AK160),0)))))</f>
        <v/>
      </c>
      <c r="L160" s="24" t="str">
        <f ca="1">IF(ISERROR(MATCH(M$1,INDIRECT("Table!A"&amp;$AK160):INDIRECT("Table!" &amp; $AN$275 &amp; $AK160),0)),"",INDIRECT(CONCATENATE("Table!",ADDRESS($T160,MATCH(M$1,INDIRECT("Table!A" &amp; $AK160):INDIRECT("Table!" &amp; $AN$275 &amp; $AK160),0)))))</f>
        <v/>
      </c>
      <c r="M160" s="24" t="str">
        <f ca="1">IF(ISERROR(MATCH(N$1,INDIRECT("Table!A"&amp;$AK160):INDIRECT("Table!" &amp; $AN$275 &amp; $AK160),0)),"",INDIRECT(CONCATENATE("Table!",ADDRESS($T160,MATCH(N$1,INDIRECT("Table!A" &amp; $AK160):INDIRECT("Table!" &amp; $AN$275 &amp; $AK160),0)))))</f>
        <v/>
      </c>
      <c r="N160" s="24" t="str">
        <f ca="1">IF(ISERROR(MATCH(O$1,INDIRECT("Table!A"&amp;$AK160):INDIRECT("Table!" &amp; $AN$275 &amp; $AK160),0)),"",INDIRECT(CONCATENATE("Table!",ADDRESS($T160,MATCH(O$1,INDIRECT("Table!A" &amp; $AK160):INDIRECT("Table!" &amp; $AN$275 &amp; $AK160),0)))))</f>
        <v/>
      </c>
      <c r="O160" s="24" t="str">
        <f ca="1">IF(ISERROR(MATCH(P$1,INDIRECT("Table!A"&amp;$AK160):INDIRECT("Table!" &amp; $AN$275 &amp; $AK160),0)),"",INDIRECT(CONCATENATE("Table!",ADDRESS($T160,MATCH(P$1,INDIRECT("Table!A" &amp; $AK160):INDIRECT("Table!" &amp; $AN$275 &amp; $AK160),0)))))</f>
        <v/>
      </c>
      <c r="P160" s="273" t="str">
        <f ca="1">IF(ISERROR(MATCH(Q$1,INDIRECT("Table!A"&amp;$AK160):INDIRECT("Table!" &amp; $AN$275 &amp; $AK160),0)),"",INDIRECT(CONCATENATE("Table!",ADDRESS($T160,MATCH(Q$1,INDIRECT("Table!A" &amp; $AK160):INDIRECT("Table!" &amp; $AN$275 &amp; $AK160),0)))))</f>
        <v/>
      </c>
      <c r="Q160" s="181"/>
      <c r="R160" s="181"/>
      <c r="S160" s="181"/>
      <c r="T160" s="22"/>
      <c r="AI160" s="181"/>
      <c r="AJ160" s="181"/>
      <c r="AK160" s="22"/>
      <c r="AL160" s="181"/>
      <c r="AM160" s="181"/>
      <c r="AN160" s="22"/>
      <c r="AO160" s="25"/>
      <c r="AP160" s="25"/>
      <c r="AQ160" s="25"/>
    </row>
    <row r="161" spans="2:43" ht="19.5" customHeight="1" x14ac:dyDescent="0.25">
      <c r="B161" s="24"/>
      <c r="C161" s="24" t="str">
        <f ca="1">IF(ISERROR(MATCH(C$1,INDIRECT("Table!A"&amp;$AK161):INDIRECT("Table!" &amp; $AN$275 &amp; $AK161),0)),"",INDIRECT(CONCATENATE("Table!",ADDRESS($T161,MATCH(C$1,INDIRECT("Table!A" &amp; $AK161):INDIRECT("Table!" &amp; $AN$275 &amp; $AK161),0)))))</f>
        <v/>
      </c>
      <c r="D161" s="24" t="str">
        <f ca="1">IF(ISERROR(MATCH(D$1,INDIRECT("Table!A"&amp;$AK161):INDIRECT("Table!" &amp; $AN$275 &amp; $AK161),0)),"",INDIRECT(CONCATENATE("Table!",ADDRESS($T161,MATCH(D$1,INDIRECT("Table!A" &amp; $AK161):INDIRECT("Table!" &amp; $AN$275 &amp; $AK161),0)))))</f>
        <v/>
      </c>
      <c r="E161" s="24" t="str">
        <f ca="1">IF(ISERROR(MATCH(E$1,INDIRECT("Table!A"&amp;$AK161):INDIRECT("Table!" &amp; $AN$275 &amp; $AK161),0)),"",INDIRECT(CONCATENATE("Table!",ADDRESS($T161,MATCH(E$1,INDIRECT("Table!A" &amp; $AK161):INDIRECT("Table!" &amp; $AN$275 &amp; $AK161),0)))))</f>
        <v/>
      </c>
      <c r="F161" s="24" t="str">
        <f ca="1">IF(ISERROR(MATCH(F$1,INDIRECT("Table!A"&amp;$AK161):INDIRECT("Table!" &amp; $AN$275 &amp; $AK161),0)),"",INDIRECT(CONCATENATE("Table!",ADDRESS($T161,MATCH(F$1,INDIRECT("Table!A" &amp; $AK161):INDIRECT("Table!" &amp; $AN$275 &amp; $AK161),0)))))</f>
        <v/>
      </c>
      <c r="G161" s="24" t="str">
        <f ca="1">IF(ISERROR(MATCH(G$1,INDIRECT("Table!A"&amp;$AK161):INDIRECT("Table!" &amp; $AN$275 &amp; $AK161),0)),"",INDIRECT(CONCATENATE("Table!",ADDRESS($T161,MATCH(G$1,INDIRECT("Table!A" &amp; $AK161):INDIRECT("Table!" &amp; $AN$275 &amp; $AK161),0)))))</f>
        <v/>
      </c>
      <c r="H161" s="24" t="str">
        <f ca="1">IF(ISERROR(MATCH(H$1,INDIRECT("Table!A"&amp;$AK161):INDIRECT("Table!" &amp; $AN$275 &amp; $AK161),0)),"",INDIRECT(CONCATENATE("Table!",ADDRESS($T161,MATCH(H$1,INDIRECT("Table!A" &amp; $AK161):INDIRECT("Table!" &amp; $AN$275 &amp; $AK161),0)))))</f>
        <v/>
      </c>
      <c r="I161" s="273"/>
      <c r="J161" s="273"/>
      <c r="K161" s="24" t="str">
        <f ca="1">IF(ISERROR(MATCH(L$1,INDIRECT("Table!A"&amp;$AK161):INDIRECT("Table!" &amp; $AN$275 &amp; $AK161),0)),"",INDIRECT(CONCATENATE("Table!",ADDRESS($T161,MATCH(L$1,INDIRECT("Table!A" &amp; $AK161):INDIRECT("Table!" &amp; $AN$275 &amp; $AK161),0)))))</f>
        <v/>
      </c>
      <c r="L161" s="24" t="str">
        <f ca="1">IF(ISERROR(MATCH(M$1,INDIRECT("Table!A"&amp;$AK161):INDIRECT("Table!" &amp; $AN$275 &amp; $AK161),0)),"",INDIRECT(CONCATENATE("Table!",ADDRESS($T161,MATCH(M$1,INDIRECT("Table!A" &amp; $AK161):INDIRECT("Table!" &amp; $AN$275 &amp; $AK161),0)))))</f>
        <v/>
      </c>
      <c r="M161" s="24" t="str">
        <f ca="1">IF(ISERROR(MATCH(N$1,INDIRECT("Table!A"&amp;$AK161):INDIRECT("Table!" &amp; $AN$275 &amp; $AK161),0)),"",INDIRECT(CONCATENATE("Table!",ADDRESS($T161,MATCH(N$1,INDIRECT("Table!A" &amp; $AK161):INDIRECT("Table!" &amp; $AN$275 &amp; $AK161),0)))))</f>
        <v/>
      </c>
      <c r="N161" s="24" t="str">
        <f ca="1">IF(ISERROR(MATCH(O$1,INDIRECT("Table!A"&amp;$AK161):INDIRECT("Table!" &amp; $AN$275 &amp; $AK161),0)),"",INDIRECT(CONCATENATE("Table!",ADDRESS($T161,MATCH(O$1,INDIRECT("Table!A" &amp; $AK161):INDIRECT("Table!" &amp; $AN$275 &amp; $AK161),0)))))</f>
        <v/>
      </c>
      <c r="O161" s="24" t="str">
        <f ca="1">IF(ISERROR(MATCH(P$1,INDIRECT("Table!A"&amp;$AK161):INDIRECT("Table!" &amp; $AN$275 &amp; $AK161),0)),"",INDIRECT(CONCATENATE("Table!",ADDRESS($T161,MATCH(P$1,INDIRECT("Table!A" &amp; $AK161):INDIRECT("Table!" &amp; $AN$275 &amp; $AK161),0)))))</f>
        <v/>
      </c>
      <c r="P161" s="273" t="str">
        <f ca="1">IF(ISERROR(MATCH(Q$1,INDIRECT("Table!A"&amp;$AK161):INDIRECT("Table!" &amp; $AN$275 &amp; $AK161),0)),"",INDIRECT(CONCATENATE("Table!",ADDRESS($T161,MATCH(Q$1,INDIRECT("Table!A" &amp; $AK161):INDIRECT("Table!" &amp; $AN$275 &amp; $AK161),0)))))</f>
        <v/>
      </c>
      <c r="Q161" s="180"/>
      <c r="R161" s="180"/>
      <c r="S161" s="180"/>
      <c r="T161" s="22"/>
      <c r="AI161" s="180"/>
      <c r="AJ161" s="180"/>
      <c r="AK161" s="22"/>
      <c r="AL161" s="180"/>
      <c r="AM161" s="180"/>
      <c r="AN161" s="22"/>
      <c r="AO161" s="25"/>
      <c r="AP161" s="25"/>
      <c r="AQ161" s="25"/>
    </row>
    <row r="162" spans="2:43" ht="19.5" customHeight="1" x14ac:dyDescent="0.25">
      <c r="B162" s="24"/>
      <c r="C162" s="24" t="str">
        <f ca="1">IF(ISERROR(MATCH(C$1,INDIRECT("Table!A"&amp;$AK162):INDIRECT("Table!" &amp; $AN$275 &amp; $AK162),0)),"",INDIRECT(CONCATENATE("Table!",ADDRESS($T162,MATCH(C$1,INDIRECT("Table!A" &amp; $AK162):INDIRECT("Table!" &amp; $AN$275 &amp; $AK162),0)))))</f>
        <v/>
      </c>
      <c r="D162" s="24" t="str">
        <f ca="1">IF(ISERROR(MATCH(D$1,INDIRECT("Table!A"&amp;$AK162):INDIRECT("Table!" &amp; $AN$275 &amp; $AK162),0)),"",INDIRECT(CONCATENATE("Table!",ADDRESS($T162,MATCH(D$1,INDIRECT("Table!A" &amp; $AK162):INDIRECT("Table!" &amp; $AN$275 &amp; $AK162),0)))))</f>
        <v/>
      </c>
      <c r="E162" s="24" t="str">
        <f ca="1">IF(ISERROR(MATCH(E$1,INDIRECT("Table!A"&amp;$AK162):INDIRECT("Table!" &amp; $AN$275 &amp; $AK162),0)),"",INDIRECT(CONCATENATE("Table!",ADDRESS($T162,MATCH(E$1,INDIRECT("Table!A" &amp; $AK162):INDIRECT("Table!" &amp; $AN$275 &amp; $AK162),0)))))</f>
        <v/>
      </c>
      <c r="F162" s="24" t="str">
        <f ca="1">IF(ISERROR(MATCH(F$1,INDIRECT("Table!A"&amp;$AK162):INDIRECT("Table!" &amp; $AN$275 &amp; $AK162),0)),"",INDIRECT(CONCATENATE("Table!",ADDRESS($T162,MATCH(F$1,INDIRECT("Table!A" &amp; $AK162):INDIRECT("Table!" &amp; $AN$275 &amp; $AK162),0)))))</f>
        <v/>
      </c>
      <c r="G162" s="24" t="str">
        <f ca="1">IF(ISERROR(MATCH(G$1,INDIRECT("Table!A"&amp;$AK162):INDIRECT("Table!" &amp; $AN$275 &amp; $AK162),0)),"",INDIRECT(CONCATENATE("Table!",ADDRESS($T162,MATCH(G$1,INDIRECT("Table!A" &amp; $AK162):INDIRECT("Table!" &amp; $AN$275 &amp; $AK162),0)))))</f>
        <v/>
      </c>
      <c r="H162" s="24" t="str">
        <f ca="1">IF(ISERROR(MATCH(H$1,INDIRECT("Table!A"&amp;$AK162):INDIRECT("Table!" &amp; $AN$275 &amp; $AK162),0)),"",INDIRECT(CONCATENATE("Table!",ADDRESS($T162,MATCH(H$1,INDIRECT("Table!A" &amp; $AK162):INDIRECT("Table!" &amp; $AN$275 &amp; $AK162),0)))))</f>
        <v/>
      </c>
      <c r="I162" s="273"/>
      <c r="J162" s="273"/>
      <c r="K162" s="24" t="str">
        <f ca="1">IF(ISERROR(MATCH(L$1,INDIRECT("Table!A"&amp;$AK162):INDIRECT("Table!" &amp; $AN$275 &amp; $AK162),0)),"",INDIRECT(CONCATENATE("Table!",ADDRESS($T162,MATCH(L$1,INDIRECT("Table!A" &amp; $AK162):INDIRECT("Table!" &amp; $AN$275 &amp; $AK162),0)))))</f>
        <v/>
      </c>
      <c r="L162" s="24" t="str">
        <f ca="1">IF(ISERROR(MATCH(M$1,INDIRECT("Table!A"&amp;$AK162):INDIRECT("Table!" &amp; $AN$275 &amp; $AK162),0)),"",INDIRECT(CONCATENATE("Table!",ADDRESS($T162,MATCH(M$1,INDIRECT("Table!A" &amp; $AK162):INDIRECT("Table!" &amp; $AN$275 &amp; $AK162),0)))))</f>
        <v/>
      </c>
      <c r="M162" s="24" t="str">
        <f ca="1">IF(ISERROR(MATCH(N$1,INDIRECT("Table!A"&amp;$AK162):INDIRECT("Table!" &amp; $AN$275 &amp; $AK162),0)),"",INDIRECT(CONCATENATE("Table!",ADDRESS($T162,MATCH(N$1,INDIRECT("Table!A" &amp; $AK162):INDIRECT("Table!" &amp; $AN$275 &amp; $AK162),0)))))</f>
        <v/>
      </c>
      <c r="N162" s="24" t="str">
        <f ca="1">IF(ISERROR(MATCH(O$1,INDIRECT("Table!A"&amp;$AK162):INDIRECT("Table!" &amp; $AN$275 &amp; $AK162),0)),"",INDIRECT(CONCATENATE("Table!",ADDRESS($T162,MATCH(O$1,INDIRECT("Table!A" &amp; $AK162):INDIRECT("Table!" &amp; $AN$275 &amp; $AK162),0)))))</f>
        <v/>
      </c>
      <c r="O162" s="24" t="str">
        <f ca="1">IF(ISERROR(MATCH(P$1,INDIRECT("Table!A"&amp;$AK162):INDIRECT("Table!" &amp; $AN$275 &amp; $AK162),0)),"",INDIRECT(CONCATENATE("Table!",ADDRESS($T162,MATCH(P$1,INDIRECT("Table!A" &amp; $AK162):INDIRECT("Table!" &amp; $AN$275 &amp; $AK162),0)))))</f>
        <v/>
      </c>
      <c r="P162" s="273" t="str">
        <f ca="1">IF(ISERROR(MATCH(Q$1,INDIRECT("Table!A"&amp;$AK162):INDIRECT("Table!" &amp; $AN$275 &amp; $AK162),0)),"",INDIRECT(CONCATENATE("Table!",ADDRESS($T162,MATCH(Q$1,INDIRECT("Table!A" &amp; $AK162):INDIRECT("Table!" &amp; $AN$275 &amp; $AK162),0)))))</f>
        <v/>
      </c>
      <c r="Q162" s="166"/>
      <c r="R162" s="166"/>
      <c r="S162" s="166"/>
      <c r="T162" s="22"/>
      <c r="AI162" s="166"/>
      <c r="AJ162" s="166"/>
      <c r="AK162" s="22"/>
      <c r="AL162" s="166"/>
      <c r="AM162" s="166"/>
      <c r="AN162" s="22"/>
      <c r="AO162" s="25"/>
      <c r="AP162" s="25"/>
      <c r="AQ162" s="25"/>
    </row>
    <row r="163" spans="2:43" ht="19.5" customHeight="1" x14ac:dyDescent="0.25">
      <c r="B163" s="24"/>
      <c r="C163" s="24" t="str">
        <f ca="1">IF(ISERROR(MATCH(C$1,INDIRECT("Table!A"&amp;$AK163):INDIRECT("Table!" &amp; $AN$275 &amp; $AK163),0)),"",INDIRECT(CONCATENATE("Table!",ADDRESS($T163,MATCH(C$1,INDIRECT("Table!A" &amp; $AK163):INDIRECT("Table!" &amp; $AN$275 &amp; $AK163),0)))))</f>
        <v/>
      </c>
      <c r="D163" s="24" t="str">
        <f ca="1">IF(ISERROR(MATCH(D$1,INDIRECT("Table!A"&amp;$AK163):INDIRECT("Table!" &amp; $AN$275 &amp; $AK163),0)),"",INDIRECT(CONCATENATE("Table!",ADDRESS($T163,MATCH(D$1,INDIRECT("Table!A" &amp; $AK163):INDIRECT("Table!" &amp; $AN$275 &amp; $AK163),0)))))</f>
        <v/>
      </c>
      <c r="E163" s="24" t="str">
        <f ca="1">IF(ISERROR(MATCH(E$1,INDIRECT("Table!A"&amp;$AK163):INDIRECT("Table!" &amp; $AN$275 &amp; $AK163),0)),"",INDIRECT(CONCATENATE("Table!",ADDRESS($T163,MATCH(E$1,INDIRECT("Table!A" &amp; $AK163):INDIRECT("Table!" &amp; $AN$275 &amp; $AK163),0)))))</f>
        <v/>
      </c>
      <c r="F163" s="24" t="str">
        <f ca="1">IF(ISERROR(MATCH(F$1,INDIRECT("Table!A"&amp;$AK163):INDIRECT("Table!" &amp; $AN$275 &amp; $AK163),0)),"",INDIRECT(CONCATENATE("Table!",ADDRESS($T163,MATCH(F$1,INDIRECT("Table!A" &amp; $AK163):INDIRECT("Table!" &amp; $AN$275 &amp; $AK163),0)))))</f>
        <v/>
      </c>
      <c r="G163" s="24" t="str">
        <f ca="1">IF(ISERROR(MATCH(G$1,INDIRECT("Table!A"&amp;$AK163):INDIRECT("Table!" &amp; $AN$275 &amp; $AK163),0)),"",INDIRECT(CONCATENATE("Table!",ADDRESS($T163,MATCH(G$1,INDIRECT("Table!A" &amp; $AK163):INDIRECT("Table!" &amp; $AN$275 &amp; $AK163),0)))))</f>
        <v/>
      </c>
      <c r="H163" s="24" t="str">
        <f ca="1">IF(ISERROR(MATCH(H$1,INDIRECT("Table!A"&amp;$AK163):INDIRECT("Table!" &amp; $AN$275 &amp; $AK163),0)),"",INDIRECT(CONCATENATE("Table!",ADDRESS($T163,MATCH(H$1,INDIRECT("Table!A" &amp; $AK163):INDIRECT("Table!" &amp; $AN$275 &amp; $AK163),0)))))</f>
        <v/>
      </c>
      <c r="I163" s="273"/>
      <c r="J163" s="273"/>
      <c r="K163" s="24" t="str">
        <f ca="1">IF(ISERROR(MATCH(L$1,INDIRECT("Table!A"&amp;$AK163):INDIRECT("Table!" &amp; $AN$275 &amp; $AK163),0)),"",INDIRECT(CONCATENATE("Table!",ADDRESS($T163,MATCH(L$1,INDIRECT("Table!A" &amp; $AK163):INDIRECT("Table!" &amp; $AN$275 &amp; $AK163),0)))))</f>
        <v/>
      </c>
      <c r="L163" s="24" t="str">
        <f ca="1">IF(ISERROR(MATCH(M$1,INDIRECT("Table!A"&amp;$AK163):INDIRECT("Table!" &amp; $AN$275 &amp; $AK163),0)),"",INDIRECT(CONCATENATE("Table!",ADDRESS($T163,MATCH(M$1,INDIRECT("Table!A" &amp; $AK163):INDIRECT("Table!" &amp; $AN$275 &amp; $AK163),0)))))</f>
        <v/>
      </c>
      <c r="M163" s="24" t="str">
        <f ca="1">IF(ISERROR(MATCH(N$1,INDIRECT("Table!A"&amp;$AK163):INDIRECT("Table!" &amp; $AN$275 &amp; $AK163),0)),"",INDIRECT(CONCATENATE("Table!",ADDRESS($T163,MATCH(N$1,INDIRECT("Table!A" &amp; $AK163):INDIRECT("Table!" &amp; $AN$275 &amp; $AK163),0)))))</f>
        <v/>
      </c>
      <c r="N163" s="24" t="str">
        <f ca="1">IF(ISERROR(MATCH(O$1,INDIRECT("Table!A"&amp;$AK163):INDIRECT("Table!" &amp; $AN$275 &amp; $AK163),0)),"",INDIRECT(CONCATENATE("Table!",ADDRESS($T163,MATCH(O$1,INDIRECT("Table!A" &amp; $AK163):INDIRECT("Table!" &amp; $AN$275 &amp; $AK163),0)))))</f>
        <v/>
      </c>
      <c r="O163" s="24" t="str">
        <f ca="1">IF(ISERROR(MATCH(P$1,INDIRECT("Table!A"&amp;$AK163):INDIRECT("Table!" &amp; $AN$275 &amp; $AK163),0)),"",INDIRECT(CONCATENATE("Table!",ADDRESS($T163,MATCH(P$1,INDIRECT("Table!A" &amp; $AK163):INDIRECT("Table!" &amp; $AN$275 &amp; $AK163),0)))))</f>
        <v/>
      </c>
      <c r="P163" s="273" t="str">
        <f ca="1">IF(ISERROR(MATCH(Q$1,INDIRECT("Table!A"&amp;$AK163):INDIRECT("Table!" &amp; $AN$275 &amp; $AK163),0)),"",INDIRECT(CONCATENATE("Table!",ADDRESS($T163,MATCH(Q$1,INDIRECT("Table!A" &amp; $AK163):INDIRECT("Table!" &amp; $AN$275 &amp; $AK163),0)))))</f>
        <v/>
      </c>
      <c r="Q163" s="179"/>
      <c r="R163" s="179"/>
      <c r="S163" s="179"/>
      <c r="T163" s="22"/>
      <c r="AI163" s="179"/>
      <c r="AJ163" s="179"/>
      <c r="AK163" s="22"/>
      <c r="AL163" s="179"/>
      <c r="AM163" s="179"/>
      <c r="AN163" s="22"/>
      <c r="AO163" s="25"/>
      <c r="AP163" s="25"/>
      <c r="AQ163" s="25"/>
    </row>
    <row r="164" spans="2:43" ht="19.5" customHeight="1" x14ac:dyDescent="0.25">
      <c r="B164" s="24"/>
      <c r="C164" s="24" t="str">
        <f ca="1">IF(ISERROR(MATCH(C$1,INDIRECT("Table!A"&amp;$AK164):INDIRECT("Table!" &amp; $AN$275 &amp; $AK164),0)),"",INDIRECT(CONCATENATE("Table!",ADDRESS($T164,MATCH(C$1,INDIRECT("Table!A" &amp; $AK164):INDIRECT("Table!" &amp; $AN$275 &amp; $AK164),0)))))</f>
        <v/>
      </c>
      <c r="D164" s="24" t="str">
        <f ca="1">IF(ISERROR(MATCH(D$1,INDIRECT("Table!A"&amp;$AK164):INDIRECT("Table!" &amp; $AN$275 &amp; $AK164),0)),"",INDIRECT(CONCATENATE("Table!",ADDRESS($T164,MATCH(D$1,INDIRECT("Table!A" &amp; $AK164):INDIRECT("Table!" &amp; $AN$275 &amp; $AK164),0)))))</f>
        <v/>
      </c>
      <c r="E164" s="24" t="str">
        <f ca="1">IF(ISERROR(MATCH(E$1,INDIRECT("Table!A"&amp;$AK164):INDIRECT("Table!" &amp; $AN$275 &amp; $AK164),0)),"",INDIRECT(CONCATENATE("Table!",ADDRESS($T164,MATCH(E$1,INDIRECT("Table!A" &amp; $AK164):INDIRECT("Table!" &amp; $AN$275 &amp; $AK164),0)))))</f>
        <v/>
      </c>
      <c r="F164" s="24" t="str">
        <f ca="1">IF(ISERROR(MATCH(F$1,INDIRECT("Table!A"&amp;$AK164):INDIRECT("Table!" &amp; $AN$275 &amp; $AK164),0)),"",INDIRECT(CONCATENATE("Table!",ADDRESS($T164,MATCH(F$1,INDIRECT("Table!A" &amp; $AK164):INDIRECT("Table!" &amp; $AN$275 &amp; $AK164),0)))))</f>
        <v/>
      </c>
      <c r="G164" s="24" t="str">
        <f ca="1">IF(ISERROR(MATCH(G$1,INDIRECT("Table!A"&amp;$AK164):INDIRECT("Table!" &amp; $AN$275 &amp; $AK164),0)),"",INDIRECT(CONCATENATE("Table!",ADDRESS($T164,MATCH(G$1,INDIRECT("Table!A" &amp; $AK164):INDIRECT("Table!" &amp; $AN$275 &amp; $AK164),0)))))</f>
        <v/>
      </c>
      <c r="H164" s="24" t="str">
        <f ca="1">IF(ISERROR(MATCH(H$1,INDIRECT("Table!A"&amp;$AK164):INDIRECT("Table!" &amp; $AN$275 &amp; $AK164),0)),"",INDIRECT(CONCATENATE("Table!",ADDRESS($T164,MATCH(H$1,INDIRECT("Table!A" &amp; $AK164):INDIRECT("Table!" &amp; $AN$275 &amp; $AK164),0)))))</f>
        <v/>
      </c>
      <c r="I164" s="273"/>
      <c r="J164" s="273"/>
      <c r="K164" s="24" t="str">
        <f ca="1">IF(ISERROR(MATCH(L$1,INDIRECT("Table!A"&amp;$AK164):INDIRECT("Table!" &amp; $AN$275 &amp; $AK164),0)),"",INDIRECT(CONCATENATE("Table!",ADDRESS($T164,MATCH(L$1,INDIRECT("Table!A" &amp; $AK164):INDIRECT("Table!" &amp; $AN$275 &amp; $AK164),0)))))</f>
        <v/>
      </c>
      <c r="L164" s="24" t="str">
        <f ca="1">IF(ISERROR(MATCH(M$1,INDIRECT("Table!A"&amp;$AK164):INDIRECT("Table!" &amp; $AN$275 &amp; $AK164),0)),"",INDIRECT(CONCATENATE("Table!",ADDRESS($T164,MATCH(M$1,INDIRECT("Table!A" &amp; $AK164):INDIRECT("Table!" &amp; $AN$275 &amp; $AK164),0)))))</f>
        <v/>
      </c>
      <c r="M164" s="24" t="str">
        <f ca="1">IF(ISERROR(MATCH(N$1,INDIRECT("Table!A"&amp;$AK164):INDIRECT("Table!" &amp; $AN$275 &amp; $AK164),0)),"",INDIRECT(CONCATENATE("Table!",ADDRESS($T164,MATCH(N$1,INDIRECT("Table!A" &amp; $AK164):INDIRECT("Table!" &amp; $AN$275 &amp; $AK164),0)))))</f>
        <v/>
      </c>
      <c r="N164" s="24" t="str">
        <f ca="1">IF(ISERROR(MATCH(O$1,INDIRECT("Table!A"&amp;$AK164):INDIRECT("Table!" &amp; $AN$275 &amp; $AK164),0)),"",INDIRECT(CONCATENATE("Table!",ADDRESS($T164,MATCH(O$1,INDIRECT("Table!A" &amp; $AK164):INDIRECT("Table!" &amp; $AN$275 &amp; $AK164),0)))))</f>
        <v/>
      </c>
      <c r="O164" s="24" t="str">
        <f ca="1">IF(ISERROR(MATCH(P$1,INDIRECT("Table!A"&amp;$AK164):INDIRECT("Table!" &amp; $AN$275 &amp; $AK164),0)),"",INDIRECT(CONCATENATE("Table!",ADDRESS($T164,MATCH(P$1,INDIRECT("Table!A" &amp; $AK164):INDIRECT("Table!" &amp; $AN$275 &amp; $AK164),0)))))</f>
        <v/>
      </c>
      <c r="P164" s="273" t="str">
        <f ca="1">IF(ISERROR(MATCH(Q$1,INDIRECT("Table!A"&amp;$AK164):INDIRECT("Table!" &amp; $AN$275 &amp; $AK164),0)),"",INDIRECT(CONCATENATE("Table!",ADDRESS($T164,MATCH(Q$1,INDIRECT("Table!A" &amp; $AK164):INDIRECT("Table!" &amp; $AN$275 &amp; $AK164),0)))))</f>
        <v/>
      </c>
      <c r="Q164" s="179"/>
      <c r="R164" s="179"/>
      <c r="S164" s="179"/>
      <c r="T164" s="22"/>
      <c r="AI164" s="179"/>
      <c r="AJ164" s="179"/>
      <c r="AK164" s="22"/>
      <c r="AL164" s="179"/>
      <c r="AM164" s="179"/>
      <c r="AN164" s="22"/>
      <c r="AO164" s="25"/>
      <c r="AP164" s="25"/>
      <c r="AQ164" s="25"/>
    </row>
    <row r="165" spans="2:43" ht="19.5" customHeight="1" x14ac:dyDescent="0.25">
      <c r="B165" s="24"/>
      <c r="C165" s="24" t="str">
        <f ca="1">IF(ISERROR(MATCH(C$1,INDIRECT("Table!A"&amp;$AK165):INDIRECT("Table!" &amp; $AN$275 &amp; $AK165),0)),"",INDIRECT(CONCATENATE("Table!",ADDRESS($T165,MATCH(C$1,INDIRECT("Table!A" &amp; $AK165):INDIRECT("Table!" &amp; $AN$275 &amp; $AK165),0)))))</f>
        <v/>
      </c>
      <c r="D165" s="24" t="str">
        <f ca="1">IF(ISERROR(MATCH(D$1,INDIRECT("Table!A"&amp;$AK165):INDIRECT("Table!" &amp; $AN$275 &amp; $AK165),0)),"",INDIRECT(CONCATENATE("Table!",ADDRESS($T165,MATCH(D$1,INDIRECT("Table!A" &amp; $AK165):INDIRECT("Table!" &amp; $AN$275 &amp; $AK165),0)))))</f>
        <v/>
      </c>
      <c r="E165" s="24" t="str">
        <f ca="1">IF(ISERROR(MATCH(E$1,INDIRECT("Table!A"&amp;$AK165):INDIRECT("Table!" &amp; $AN$275 &amp; $AK165),0)),"",INDIRECT(CONCATENATE("Table!",ADDRESS($T165,MATCH(E$1,INDIRECT("Table!A" &amp; $AK165):INDIRECT("Table!" &amp; $AN$275 &amp; $AK165),0)))))</f>
        <v/>
      </c>
      <c r="F165" s="24" t="str">
        <f ca="1">IF(ISERROR(MATCH(F$1,INDIRECT("Table!A"&amp;$AK165):INDIRECT("Table!" &amp; $AN$275 &amp; $AK165),0)),"",INDIRECT(CONCATENATE("Table!",ADDRESS($T165,MATCH(F$1,INDIRECT("Table!A" &amp; $AK165):INDIRECT("Table!" &amp; $AN$275 &amp; $AK165),0)))))</f>
        <v/>
      </c>
      <c r="G165" s="24" t="str">
        <f ca="1">IF(ISERROR(MATCH(G$1,INDIRECT("Table!A"&amp;$AK165):INDIRECT("Table!" &amp; $AN$275 &amp; $AK165),0)),"",INDIRECT(CONCATENATE("Table!",ADDRESS($T165,MATCH(G$1,INDIRECT("Table!A" &amp; $AK165):INDIRECT("Table!" &amp; $AN$275 &amp; $AK165),0)))))</f>
        <v/>
      </c>
      <c r="H165" s="24" t="str">
        <f ca="1">IF(ISERROR(MATCH(H$1,INDIRECT("Table!A"&amp;$AK165):INDIRECT("Table!" &amp; $AN$275 &amp; $AK165),0)),"",INDIRECT(CONCATENATE("Table!",ADDRESS($T165,MATCH(H$1,INDIRECT("Table!A" &amp; $AK165):INDIRECT("Table!" &amp; $AN$275 &amp; $AK165),0)))))</f>
        <v/>
      </c>
      <c r="I165" s="273"/>
      <c r="J165" s="273"/>
      <c r="K165" s="24" t="str">
        <f ca="1">IF(ISERROR(MATCH(L$1,INDIRECT("Table!A"&amp;$AK165):INDIRECT("Table!" &amp; $AN$275 &amp; $AK165),0)),"",INDIRECT(CONCATENATE("Table!",ADDRESS($T165,MATCH(L$1,INDIRECT("Table!A" &amp; $AK165):INDIRECT("Table!" &amp; $AN$275 &amp; $AK165),0)))))</f>
        <v/>
      </c>
      <c r="L165" s="24" t="str">
        <f ca="1">IF(ISERROR(MATCH(M$1,INDIRECT("Table!A"&amp;$AK165):INDIRECT("Table!" &amp; $AN$275 &amp; $AK165),0)),"",INDIRECT(CONCATENATE("Table!",ADDRESS($T165,MATCH(M$1,INDIRECT("Table!A" &amp; $AK165):INDIRECT("Table!" &amp; $AN$275 &amp; $AK165),0)))))</f>
        <v/>
      </c>
      <c r="M165" s="24" t="str">
        <f ca="1">IF(ISERROR(MATCH(N$1,INDIRECT("Table!A"&amp;$AK165):INDIRECT("Table!" &amp; $AN$275 &amp; $AK165),0)),"",INDIRECT(CONCATENATE("Table!",ADDRESS($T165,MATCH(N$1,INDIRECT("Table!A" &amp; $AK165):INDIRECT("Table!" &amp; $AN$275 &amp; $AK165),0)))))</f>
        <v/>
      </c>
      <c r="N165" s="24" t="str">
        <f ca="1">IF(ISERROR(MATCH(O$1,INDIRECT("Table!A"&amp;$AK165):INDIRECT("Table!" &amp; $AN$275 &amp; $AK165),0)),"",INDIRECT(CONCATENATE("Table!",ADDRESS($T165,MATCH(O$1,INDIRECT("Table!A" &amp; $AK165):INDIRECT("Table!" &amp; $AN$275 &amp; $AK165),0)))))</f>
        <v/>
      </c>
      <c r="O165" s="24" t="str">
        <f ca="1">IF(ISERROR(MATCH(P$1,INDIRECT("Table!A"&amp;$AK165):INDIRECT("Table!" &amp; $AN$275 &amp; $AK165),0)),"",INDIRECT(CONCATENATE("Table!",ADDRESS($T165,MATCH(P$1,INDIRECT("Table!A" &amp; $AK165):INDIRECT("Table!" &amp; $AN$275 &amp; $AK165),0)))))</f>
        <v/>
      </c>
      <c r="P165" s="273" t="str">
        <f ca="1">IF(ISERROR(MATCH(Q$1,INDIRECT("Table!A"&amp;$AK165):INDIRECT("Table!" &amp; $AN$275 &amp; $AK165),0)),"",INDIRECT(CONCATENATE("Table!",ADDRESS($T165,MATCH(Q$1,INDIRECT("Table!A" &amp; $AK165):INDIRECT("Table!" &amp; $AN$275 &amp; $AK165),0)))))</f>
        <v/>
      </c>
      <c r="Q165" s="178"/>
      <c r="R165" s="178"/>
      <c r="S165" s="178"/>
      <c r="T165" s="22"/>
      <c r="AI165" s="178"/>
      <c r="AJ165" s="178"/>
      <c r="AK165" s="22"/>
      <c r="AL165" s="178"/>
      <c r="AM165" s="178"/>
      <c r="AN165" s="22"/>
      <c r="AO165" s="25"/>
      <c r="AP165" s="25"/>
      <c r="AQ165" s="25"/>
    </row>
    <row r="166" spans="2:43" ht="19.5" customHeight="1" x14ac:dyDescent="0.25">
      <c r="B166" s="24"/>
      <c r="C166" s="24" t="str">
        <f ca="1">IF(ISERROR(MATCH(C$1,INDIRECT("Table!A"&amp;$AK166):INDIRECT("Table!" &amp; $AN$275 &amp; $AK166),0)),"",INDIRECT(CONCATENATE("Table!",ADDRESS($T166,MATCH(C$1,INDIRECT("Table!A" &amp; $AK166):INDIRECT("Table!" &amp; $AN$275 &amp; $AK166),0)))))</f>
        <v/>
      </c>
      <c r="D166" s="24" t="str">
        <f ca="1">IF(ISERROR(MATCH(D$1,INDIRECT("Table!A"&amp;$AK166):INDIRECT("Table!" &amp; $AN$275 &amp; $AK166),0)),"",INDIRECT(CONCATENATE("Table!",ADDRESS($T166,MATCH(D$1,INDIRECT("Table!A" &amp; $AK166):INDIRECT("Table!" &amp; $AN$275 &amp; $AK166),0)))))</f>
        <v/>
      </c>
      <c r="E166" s="24" t="str">
        <f ca="1">IF(ISERROR(MATCH(E$1,INDIRECT("Table!A"&amp;$AK166):INDIRECT("Table!" &amp; $AN$275 &amp; $AK166),0)),"",INDIRECT(CONCATENATE("Table!",ADDRESS($T166,MATCH(E$1,INDIRECT("Table!A" &amp; $AK166):INDIRECT("Table!" &amp; $AN$275 &amp; $AK166),0)))))</f>
        <v/>
      </c>
      <c r="F166" s="24" t="str">
        <f ca="1">IF(ISERROR(MATCH(F$1,INDIRECT("Table!A"&amp;$AK166):INDIRECT("Table!" &amp; $AN$275 &amp; $AK166),0)),"",INDIRECT(CONCATENATE("Table!",ADDRESS($T166,MATCH(F$1,INDIRECT("Table!A" &amp; $AK166):INDIRECT("Table!" &amp; $AN$275 &amp; $AK166),0)))))</f>
        <v/>
      </c>
      <c r="G166" s="24" t="str">
        <f ca="1">IF(ISERROR(MATCH(G$1,INDIRECT("Table!A"&amp;$AK166):INDIRECT("Table!" &amp; $AN$275 &amp; $AK166),0)),"",INDIRECT(CONCATENATE("Table!",ADDRESS($T166,MATCH(G$1,INDIRECT("Table!A" &amp; $AK166):INDIRECT("Table!" &amp; $AN$275 &amp; $AK166),0)))))</f>
        <v/>
      </c>
      <c r="H166" s="24" t="str">
        <f ca="1">IF(ISERROR(MATCH(H$1,INDIRECT("Table!A"&amp;$AK166):INDIRECT("Table!" &amp; $AN$275 &amp; $AK166),0)),"",INDIRECT(CONCATENATE("Table!",ADDRESS($T166,MATCH(H$1,INDIRECT("Table!A" &amp; $AK166):INDIRECT("Table!" &amp; $AN$275 &amp; $AK166),0)))))</f>
        <v/>
      </c>
      <c r="I166" s="273"/>
      <c r="J166" s="273"/>
      <c r="K166" s="24" t="str">
        <f ca="1">IF(ISERROR(MATCH(L$1,INDIRECT("Table!A"&amp;$AK166):INDIRECT("Table!" &amp; $AN$275 &amp; $AK166),0)),"",INDIRECT(CONCATENATE("Table!",ADDRESS($T166,MATCH(L$1,INDIRECT("Table!A" &amp; $AK166):INDIRECT("Table!" &amp; $AN$275 &amp; $AK166),0)))))</f>
        <v/>
      </c>
      <c r="L166" s="24" t="str">
        <f ca="1">IF(ISERROR(MATCH(M$1,INDIRECT("Table!A"&amp;$AK166):INDIRECT("Table!" &amp; $AN$275 &amp; $AK166),0)),"",INDIRECT(CONCATENATE("Table!",ADDRESS($T166,MATCH(M$1,INDIRECT("Table!A" &amp; $AK166):INDIRECT("Table!" &amp; $AN$275 &amp; $AK166),0)))))</f>
        <v/>
      </c>
      <c r="M166" s="24" t="str">
        <f ca="1">IF(ISERROR(MATCH(N$1,INDIRECT("Table!A"&amp;$AK166):INDIRECT("Table!" &amp; $AN$275 &amp; $AK166),0)),"",INDIRECT(CONCATENATE("Table!",ADDRESS($T166,MATCH(N$1,INDIRECT("Table!A" &amp; $AK166):INDIRECT("Table!" &amp; $AN$275 &amp; $AK166),0)))))</f>
        <v/>
      </c>
      <c r="N166" s="24" t="str">
        <f ca="1">IF(ISERROR(MATCH(O$1,INDIRECT("Table!A"&amp;$AK166):INDIRECT("Table!" &amp; $AN$275 &amp; $AK166),0)),"",INDIRECT(CONCATENATE("Table!",ADDRESS($T166,MATCH(O$1,INDIRECT("Table!A" &amp; $AK166):INDIRECT("Table!" &amp; $AN$275 &amp; $AK166),0)))))</f>
        <v/>
      </c>
      <c r="O166" s="24" t="str">
        <f ca="1">IF(ISERROR(MATCH(P$1,INDIRECT("Table!A"&amp;$AK166):INDIRECT("Table!" &amp; $AN$275 &amp; $AK166),0)),"",INDIRECT(CONCATENATE("Table!",ADDRESS($T166,MATCH(P$1,INDIRECT("Table!A" &amp; $AK166):INDIRECT("Table!" &amp; $AN$275 &amp; $AK166),0)))))</f>
        <v/>
      </c>
      <c r="P166" s="273" t="str">
        <f ca="1">IF(ISERROR(MATCH(Q$1,INDIRECT("Table!A"&amp;$AK166):INDIRECT("Table!" &amp; $AN$275 &amp; $AK166),0)),"",INDIRECT(CONCATENATE("Table!",ADDRESS($T166,MATCH(Q$1,INDIRECT("Table!A" &amp; $AK166):INDIRECT("Table!" &amp; $AN$275 &amp; $AK166),0)))))</f>
        <v/>
      </c>
      <c r="Q166" s="177"/>
      <c r="R166" s="177"/>
      <c r="S166" s="177"/>
      <c r="T166" s="22"/>
      <c r="AI166" s="177"/>
      <c r="AJ166" s="177"/>
      <c r="AK166" s="22"/>
      <c r="AL166" s="177"/>
      <c r="AM166" s="177"/>
      <c r="AN166" s="22"/>
      <c r="AO166" s="25"/>
      <c r="AP166" s="25"/>
      <c r="AQ166" s="25"/>
    </row>
    <row r="167" spans="2:43" ht="19.5" customHeight="1" x14ac:dyDescent="0.25">
      <c r="B167" s="24"/>
      <c r="C167" s="24" t="str">
        <f ca="1">IF(ISERROR(MATCH(C$1,INDIRECT("Table!A"&amp;$AK167):INDIRECT("Table!" &amp; $AN$275 &amp; $AK167),0)),"",INDIRECT(CONCATENATE("Table!",ADDRESS($T167,MATCH(C$1,INDIRECT("Table!A" &amp; $AK167):INDIRECT("Table!" &amp; $AN$275 &amp; $AK167),0)))))</f>
        <v/>
      </c>
      <c r="D167" s="24" t="str">
        <f ca="1">IF(ISERROR(MATCH(D$1,INDIRECT("Table!A"&amp;$AK167):INDIRECT("Table!" &amp; $AN$275 &amp; $AK167),0)),"",INDIRECT(CONCATENATE("Table!",ADDRESS($T167,MATCH(D$1,INDIRECT("Table!A" &amp; $AK167):INDIRECT("Table!" &amp; $AN$275 &amp; $AK167),0)))))</f>
        <v/>
      </c>
      <c r="E167" s="24" t="str">
        <f ca="1">IF(ISERROR(MATCH(E$1,INDIRECT("Table!A"&amp;$AK167):INDIRECT("Table!" &amp; $AN$275 &amp; $AK167),0)),"",INDIRECT(CONCATENATE("Table!",ADDRESS($T167,MATCH(E$1,INDIRECT("Table!A" &amp; $AK167):INDIRECT("Table!" &amp; $AN$275 &amp; $AK167),0)))))</f>
        <v/>
      </c>
      <c r="F167" s="24" t="str">
        <f ca="1">IF(ISERROR(MATCH(F$1,INDIRECT("Table!A"&amp;$AK167):INDIRECT("Table!" &amp; $AN$275 &amp; $AK167),0)),"",INDIRECT(CONCATENATE("Table!",ADDRESS($T167,MATCH(F$1,INDIRECT("Table!A" &amp; $AK167):INDIRECT("Table!" &amp; $AN$275 &amp; $AK167),0)))))</f>
        <v/>
      </c>
      <c r="G167" s="24" t="str">
        <f ca="1">IF(ISERROR(MATCH(G$1,INDIRECT("Table!A"&amp;$AK167):INDIRECT("Table!" &amp; $AN$275 &amp; $AK167),0)),"",INDIRECT(CONCATENATE("Table!",ADDRESS($T167,MATCH(G$1,INDIRECT("Table!A" &amp; $AK167):INDIRECT("Table!" &amp; $AN$275 &amp; $AK167),0)))))</f>
        <v/>
      </c>
      <c r="H167" s="24" t="str">
        <f ca="1">IF(ISERROR(MATCH(H$1,INDIRECT("Table!A"&amp;$AK167):INDIRECT("Table!" &amp; $AN$275 &amp; $AK167),0)),"",INDIRECT(CONCATENATE("Table!",ADDRESS($T167,MATCH(H$1,INDIRECT("Table!A" &amp; $AK167):INDIRECT("Table!" &amp; $AN$275 &amp; $AK167),0)))))</f>
        <v/>
      </c>
      <c r="I167" s="273"/>
      <c r="J167" s="273"/>
      <c r="K167" s="24" t="str">
        <f ca="1">IF(ISERROR(MATCH(L$1,INDIRECT("Table!A"&amp;$AK167):INDIRECT("Table!" &amp; $AN$275 &amp; $AK167),0)),"",INDIRECT(CONCATENATE("Table!",ADDRESS($T167,MATCH(L$1,INDIRECT("Table!A" &amp; $AK167):INDIRECT("Table!" &amp; $AN$275 &amp; $AK167),0)))))</f>
        <v/>
      </c>
      <c r="L167" s="24" t="str">
        <f ca="1">IF(ISERROR(MATCH(M$1,INDIRECT("Table!A"&amp;$AK167):INDIRECT("Table!" &amp; $AN$275 &amp; $AK167),0)),"",INDIRECT(CONCATENATE("Table!",ADDRESS($T167,MATCH(M$1,INDIRECT("Table!A" &amp; $AK167):INDIRECT("Table!" &amp; $AN$275 &amp; $AK167),0)))))</f>
        <v/>
      </c>
      <c r="M167" s="24" t="str">
        <f ca="1">IF(ISERROR(MATCH(N$1,INDIRECT("Table!A"&amp;$AK167):INDIRECT("Table!" &amp; $AN$275 &amp; $AK167),0)),"",INDIRECT(CONCATENATE("Table!",ADDRESS($T167,MATCH(N$1,INDIRECT("Table!A" &amp; $AK167):INDIRECT("Table!" &amp; $AN$275 &amp; $AK167),0)))))</f>
        <v/>
      </c>
      <c r="N167" s="24" t="str">
        <f ca="1">IF(ISERROR(MATCH(O$1,INDIRECT("Table!A"&amp;$AK167):INDIRECT("Table!" &amp; $AN$275 &amp; $AK167),0)),"",INDIRECT(CONCATENATE("Table!",ADDRESS($T167,MATCH(O$1,INDIRECT("Table!A" &amp; $AK167):INDIRECT("Table!" &amp; $AN$275 &amp; $AK167),0)))))</f>
        <v/>
      </c>
      <c r="O167" s="24" t="str">
        <f ca="1">IF(ISERROR(MATCH(P$1,INDIRECT("Table!A"&amp;$AK167):INDIRECT("Table!" &amp; $AN$275 &amp; $AK167),0)),"",INDIRECT(CONCATENATE("Table!",ADDRESS($T167,MATCH(P$1,INDIRECT("Table!A" &amp; $AK167):INDIRECT("Table!" &amp; $AN$275 &amp; $AK167),0)))))</f>
        <v/>
      </c>
      <c r="P167" s="273" t="str">
        <f ca="1">IF(ISERROR(MATCH(Q$1,INDIRECT("Table!A"&amp;$AK167):INDIRECT("Table!" &amp; $AN$275 &amp; $AK167),0)),"",INDIRECT(CONCATENATE("Table!",ADDRESS($T167,MATCH(Q$1,INDIRECT("Table!A" &amp; $AK167):INDIRECT("Table!" &amp; $AN$275 &amp; $AK167),0)))))</f>
        <v/>
      </c>
      <c r="Q167" s="176"/>
      <c r="R167" s="176"/>
      <c r="S167" s="176"/>
      <c r="T167" s="22"/>
      <c r="AI167" s="176"/>
      <c r="AJ167" s="176"/>
      <c r="AK167" s="22"/>
      <c r="AL167" s="176"/>
      <c r="AM167" s="176"/>
      <c r="AN167" s="22"/>
      <c r="AO167" s="25"/>
      <c r="AP167" s="25"/>
      <c r="AQ167" s="25"/>
    </row>
    <row r="168" spans="2:43" ht="19.5" customHeight="1" x14ac:dyDescent="0.25">
      <c r="B168" s="24"/>
      <c r="C168" s="24" t="str">
        <f ca="1">IF(ISERROR(MATCH(C$1,INDIRECT("Table!A"&amp;$AK168):INDIRECT("Table!" &amp; $AN$275 &amp; $AK168),0)),"",INDIRECT(CONCATENATE("Table!",ADDRESS($T168,MATCH(C$1,INDIRECT("Table!A" &amp; $AK168):INDIRECT("Table!" &amp; $AN$275 &amp; $AK168),0)))))</f>
        <v/>
      </c>
      <c r="D168" s="24" t="str">
        <f ca="1">IF(ISERROR(MATCH(D$1,INDIRECT("Table!A"&amp;$AK168):INDIRECT("Table!" &amp; $AN$275 &amp; $AK168),0)),"",INDIRECT(CONCATENATE("Table!",ADDRESS($T168,MATCH(D$1,INDIRECT("Table!A" &amp; $AK168):INDIRECT("Table!" &amp; $AN$275 &amp; $AK168),0)))))</f>
        <v/>
      </c>
      <c r="E168" s="24" t="str">
        <f ca="1">IF(ISERROR(MATCH(E$1,INDIRECT("Table!A"&amp;$AK168):INDIRECT("Table!" &amp; $AN$275 &amp; $AK168),0)),"",INDIRECT(CONCATENATE("Table!",ADDRESS($T168,MATCH(E$1,INDIRECT("Table!A" &amp; $AK168):INDIRECT("Table!" &amp; $AN$275 &amp; $AK168),0)))))</f>
        <v/>
      </c>
      <c r="F168" s="24" t="str">
        <f ca="1">IF(ISERROR(MATCH(F$1,INDIRECT("Table!A"&amp;$AK168):INDIRECT("Table!" &amp; $AN$275 &amp; $AK168),0)),"",INDIRECT(CONCATENATE("Table!",ADDRESS($T168,MATCH(F$1,INDIRECT("Table!A" &amp; $AK168):INDIRECT("Table!" &amp; $AN$275 &amp; $AK168),0)))))</f>
        <v/>
      </c>
      <c r="G168" s="24" t="str">
        <f ca="1">IF(ISERROR(MATCH(G$1,INDIRECT("Table!A"&amp;$AK168):INDIRECT("Table!" &amp; $AN$275 &amp; $AK168),0)),"",INDIRECT(CONCATENATE("Table!",ADDRESS($T168,MATCH(G$1,INDIRECT("Table!A" &amp; $AK168):INDIRECT("Table!" &amp; $AN$275 &amp; $AK168),0)))))</f>
        <v/>
      </c>
      <c r="H168" s="24" t="str">
        <f ca="1">IF(ISERROR(MATCH(H$1,INDIRECT("Table!A"&amp;$AK168):INDIRECT("Table!" &amp; $AN$275 &amp; $AK168),0)),"",INDIRECT(CONCATENATE("Table!",ADDRESS($T168,MATCH(H$1,INDIRECT("Table!A" &amp; $AK168):INDIRECT("Table!" &amp; $AN$275 &amp; $AK168),0)))))</f>
        <v/>
      </c>
      <c r="I168" s="273"/>
      <c r="J168" s="273"/>
      <c r="K168" s="24" t="str">
        <f ca="1">IF(ISERROR(MATCH(L$1,INDIRECT("Table!A"&amp;$AK168):INDIRECT("Table!" &amp; $AN$275 &amp; $AK168),0)),"",INDIRECT(CONCATENATE("Table!",ADDRESS($T168,MATCH(L$1,INDIRECT("Table!A" &amp; $AK168):INDIRECT("Table!" &amp; $AN$275 &amp; $AK168),0)))))</f>
        <v/>
      </c>
      <c r="L168" s="24" t="str">
        <f ca="1">IF(ISERROR(MATCH(M$1,INDIRECT("Table!A"&amp;$AK168):INDIRECT("Table!" &amp; $AN$275 &amp; $AK168),0)),"",INDIRECT(CONCATENATE("Table!",ADDRESS($T168,MATCH(M$1,INDIRECT("Table!A" &amp; $AK168):INDIRECT("Table!" &amp; $AN$275 &amp; $AK168),0)))))</f>
        <v/>
      </c>
      <c r="M168" s="24" t="str">
        <f ca="1">IF(ISERROR(MATCH(N$1,INDIRECT("Table!A"&amp;$AK168):INDIRECT("Table!" &amp; $AN$275 &amp; $AK168),0)),"",INDIRECT(CONCATENATE("Table!",ADDRESS($T168,MATCH(N$1,INDIRECT("Table!A" &amp; $AK168):INDIRECT("Table!" &amp; $AN$275 &amp; $AK168),0)))))</f>
        <v/>
      </c>
      <c r="N168" s="24" t="str">
        <f ca="1">IF(ISERROR(MATCH(O$1,INDIRECT("Table!A"&amp;$AK168):INDIRECT("Table!" &amp; $AN$275 &amp; $AK168),0)),"",INDIRECT(CONCATENATE("Table!",ADDRESS($T168,MATCH(O$1,INDIRECT("Table!A" &amp; $AK168):INDIRECT("Table!" &amp; $AN$275 &amp; $AK168),0)))))</f>
        <v/>
      </c>
      <c r="O168" s="24" t="str">
        <f ca="1">IF(ISERROR(MATCH(P$1,INDIRECT("Table!A"&amp;$AK168):INDIRECT("Table!" &amp; $AN$275 &amp; $AK168),0)),"",INDIRECT(CONCATENATE("Table!",ADDRESS($T168,MATCH(P$1,INDIRECT("Table!A" &amp; $AK168):INDIRECT("Table!" &amp; $AN$275 &amp; $AK168),0)))))</f>
        <v/>
      </c>
      <c r="P168" s="273" t="str">
        <f ca="1">IF(ISERROR(MATCH(Q$1,INDIRECT("Table!A"&amp;$AK168):INDIRECT("Table!" &amp; $AN$275 &amp; $AK168),0)),"",INDIRECT(CONCATENATE("Table!",ADDRESS($T168,MATCH(Q$1,INDIRECT("Table!A" &amp; $AK168):INDIRECT("Table!" &amp; $AN$275 &amp; $AK168),0)))))</f>
        <v/>
      </c>
      <c r="Q168" s="175"/>
      <c r="R168" s="175"/>
      <c r="S168" s="175"/>
      <c r="T168" s="22"/>
      <c r="AI168" s="175"/>
      <c r="AJ168" s="175"/>
      <c r="AK168" s="22"/>
      <c r="AL168" s="175"/>
      <c r="AM168" s="175"/>
      <c r="AN168" s="22"/>
      <c r="AO168" s="25"/>
      <c r="AP168" s="25"/>
      <c r="AQ168" s="25"/>
    </row>
    <row r="169" spans="2:43" ht="19.5" customHeight="1" x14ac:dyDescent="0.25">
      <c r="B169" s="24"/>
      <c r="C169" s="24" t="str">
        <f ca="1">IF(ISERROR(MATCH(C$1,INDIRECT("Table!A"&amp;$AK169):INDIRECT("Table!" &amp; $AN$275 &amp; $AK169),0)),"",INDIRECT(CONCATENATE("Table!",ADDRESS($T169,MATCH(C$1,INDIRECT("Table!A" &amp; $AK169):INDIRECT("Table!" &amp; $AN$275 &amp; $AK169),0)))))</f>
        <v/>
      </c>
      <c r="D169" s="24" t="str">
        <f ca="1">IF(ISERROR(MATCH(D$1,INDIRECT("Table!A"&amp;$AK169):INDIRECT("Table!" &amp; $AN$275 &amp; $AK169),0)),"",INDIRECT(CONCATENATE("Table!",ADDRESS($T169,MATCH(D$1,INDIRECT("Table!A" &amp; $AK169):INDIRECT("Table!" &amp; $AN$275 &amp; $AK169),0)))))</f>
        <v/>
      </c>
      <c r="E169" s="24" t="str">
        <f ca="1">IF(ISERROR(MATCH(E$1,INDIRECT("Table!A"&amp;$AK169):INDIRECT("Table!" &amp; $AN$275 &amp; $AK169),0)),"",INDIRECT(CONCATENATE("Table!",ADDRESS($T169,MATCH(E$1,INDIRECT("Table!A" &amp; $AK169):INDIRECT("Table!" &amp; $AN$275 &amp; $AK169),0)))))</f>
        <v/>
      </c>
      <c r="F169" s="24" t="str">
        <f ca="1">IF(ISERROR(MATCH(F$1,INDIRECT("Table!A"&amp;$AK169):INDIRECT("Table!" &amp; $AN$275 &amp; $AK169),0)),"",INDIRECT(CONCATENATE("Table!",ADDRESS($T169,MATCH(F$1,INDIRECT("Table!A" &amp; $AK169):INDIRECT("Table!" &amp; $AN$275 &amp; $AK169),0)))))</f>
        <v/>
      </c>
      <c r="G169" s="24" t="str">
        <f ca="1">IF(ISERROR(MATCH(G$1,INDIRECT("Table!A"&amp;$AK169):INDIRECT("Table!" &amp; $AN$275 &amp; $AK169),0)),"",INDIRECT(CONCATENATE("Table!",ADDRESS($T169,MATCH(G$1,INDIRECT("Table!A" &amp; $AK169):INDIRECT("Table!" &amp; $AN$275 &amp; $AK169),0)))))</f>
        <v/>
      </c>
      <c r="H169" s="24" t="str">
        <f ca="1">IF(ISERROR(MATCH(H$1,INDIRECT("Table!A"&amp;$AK169):INDIRECT("Table!" &amp; $AN$275 &amp; $AK169),0)),"",INDIRECT(CONCATENATE("Table!",ADDRESS($T169,MATCH(H$1,INDIRECT("Table!A" &amp; $AK169):INDIRECT("Table!" &amp; $AN$275 &amp; $AK169),0)))))</f>
        <v/>
      </c>
      <c r="I169" s="273"/>
      <c r="J169" s="273"/>
      <c r="K169" s="24" t="str">
        <f ca="1">IF(ISERROR(MATCH(L$1,INDIRECT("Table!A"&amp;$AK169):INDIRECT("Table!" &amp; $AN$275 &amp; $AK169),0)),"",INDIRECT(CONCATENATE("Table!",ADDRESS($T169,MATCH(L$1,INDIRECT("Table!A" &amp; $AK169):INDIRECT("Table!" &amp; $AN$275 &amp; $AK169),0)))))</f>
        <v/>
      </c>
      <c r="L169" s="24" t="str">
        <f ca="1">IF(ISERROR(MATCH(M$1,INDIRECT("Table!A"&amp;$AK169):INDIRECT("Table!" &amp; $AN$275 &amp; $AK169),0)),"",INDIRECT(CONCATENATE("Table!",ADDRESS($T169,MATCH(M$1,INDIRECT("Table!A" &amp; $AK169):INDIRECT("Table!" &amp; $AN$275 &amp; $AK169),0)))))</f>
        <v/>
      </c>
      <c r="M169" s="24" t="str">
        <f ca="1">IF(ISERROR(MATCH(N$1,INDIRECT("Table!A"&amp;$AK169):INDIRECT("Table!" &amp; $AN$275 &amp; $AK169),0)),"",INDIRECT(CONCATENATE("Table!",ADDRESS($T169,MATCH(N$1,INDIRECT("Table!A" &amp; $AK169):INDIRECT("Table!" &amp; $AN$275 &amp; $AK169),0)))))</f>
        <v/>
      </c>
      <c r="N169" s="24" t="str">
        <f ca="1">IF(ISERROR(MATCH(O$1,INDIRECT("Table!A"&amp;$AK169):INDIRECT("Table!" &amp; $AN$275 &amp; $AK169),0)),"",INDIRECT(CONCATENATE("Table!",ADDRESS($T169,MATCH(O$1,INDIRECT("Table!A" &amp; $AK169):INDIRECT("Table!" &amp; $AN$275 &amp; $AK169),0)))))</f>
        <v/>
      </c>
      <c r="O169" s="24" t="str">
        <f ca="1">IF(ISERROR(MATCH(P$1,INDIRECT("Table!A"&amp;$AK169):INDIRECT("Table!" &amp; $AN$275 &amp; $AK169),0)),"",INDIRECT(CONCATENATE("Table!",ADDRESS($T169,MATCH(P$1,INDIRECT("Table!A" &amp; $AK169):INDIRECT("Table!" &amp; $AN$275 &amp; $AK169),0)))))</f>
        <v/>
      </c>
      <c r="P169" s="273" t="str">
        <f ca="1">IF(ISERROR(MATCH(Q$1,INDIRECT("Table!A"&amp;$AK169):INDIRECT("Table!" &amp; $AN$275 &amp; $AK169),0)),"",INDIRECT(CONCATENATE("Table!",ADDRESS($T169,MATCH(Q$1,INDIRECT("Table!A" &amp; $AK169):INDIRECT("Table!" &amp; $AN$275 &amp; $AK169),0)))))</f>
        <v/>
      </c>
      <c r="Q169" s="174"/>
      <c r="R169" s="174"/>
      <c r="S169" s="174"/>
      <c r="T169" s="22"/>
      <c r="AI169" s="174"/>
      <c r="AJ169" s="174"/>
      <c r="AK169" s="22"/>
      <c r="AL169" s="174"/>
      <c r="AM169" s="174"/>
      <c r="AN169" s="22"/>
      <c r="AO169" s="25"/>
      <c r="AP169" s="25"/>
      <c r="AQ169" s="25"/>
    </row>
    <row r="170" spans="2:43" ht="19.5" customHeight="1" x14ac:dyDescent="0.25">
      <c r="B170" s="24"/>
      <c r="C170" s="24" t="str">
        <f ca="1">IF(ISERROR(MATCH(C$1,INDIRECT("Table!A"&amp;$AK170):INDIRECT("Table!" &amp; $AN$275 &amp; $AK170),0)),"",INDIRECT(CONCATENATE("Table!",ADDRESS($T170,MATCH(C$1,INDIRECT("Table!A" &amp; $AK170):INDIRECT("Table!" &amp; $AN$275 &amp; $AK170),0)))))</f>
        <v/>
      </c>
      <c r="D170" s="24" t="str">
        <f ca="1">IF(ISERROR(MATCH(D$1,INDIRECT("Table!A"&amp;$AK170):INDIRECT("Table!" &amp; $AN$275 &amp; $AK170),0)),"",INDIRECT(CONCATENATE("Table!",ADDRESS($T170,MATCH(D$1,INDIRECT("Table!A" &amp; $AK170):INDIRECT("Table!" &amp; $AN$275 &amp; $AK170),0)))))</f>
        <v/>
      </c>
      <c r="E170" s="24" t="str">
        <f ca="1">IF(ISERROR(MATCH(E$1,INDIRECT("Table!A"&amp;$AK170):INDIRECT("Table!" &amp; $AN$275 &amp; $AK170),0)),"",INDIRECT(CONCATENATE("Table!",ADDRESS($T170,MATCH(E$1,INDIRECT("Table!A" &amp; $AK170):INDIRECT("Table!" &amp; $AN$275 &amp; $AK170),0)))))</f>
        <v/>
      </c>
      <c r="F170" s="24" t="str">
        <f ca="1">IF(ISERROR(MATCH(F$1,INDIRECT("Table!A"&amp;$AK170):INDIRECT("Table!" &amp; $AN$275 &amp; $AK170),0)),"",INDIRECT(CONCATENATE("Table!",ADDRESS($T170,MATCH(F$1,INDIRECT("Table!A" &amp; $AK170):INDIRECT("Table!" &amp; $AN$275 &amp; $AK170),0)))))</f>
        <v/>
      </c>
      <c r="G170" s="24" t="str">
        <f ca="1">IF(ISERROR(MATCH(G$1,INDIRECT("Table!A"&amp;$AK170):INDIRECT("Table!" &amp; $AN$275 &amp; $AK170),0)),"",INDIRECT(CONCATENATE("Table!",ADDRESS($T170,MATCH(G$1,INDIRECT("Table!A" &amp; $AK170):INDIRECT("Table!" &amp; $AN$275 &amp; $AK170),0)))))</f>
        <v/>
      </c>
      <c r="H170" s="24" t="str">
        <f ca="1">IF(ISERROR(MATCH(H$1,INDIRECT("Table!A"&amp;$AK170):INDIRECT("Table!" &amp; $AN$275 &amp; $AK170),0)),"",INDIRECT(CONCATENATE("Table!",ADDRESS($T170,MATCH(H$1,INDIRECT("Table!A" &amp; $AK170):INDIRECT("Table!" &amp; $AN$275 &amp; $AK170),0)))))</f>
        <v/>
      </c>
      <c r="I170" s="273"/>
      <c r="J170" s="273"/>
      <c r="K170" s="24" t="str">
        <f ca="1">IF(ISERROR(MATCH(L$1,INDIRECT("Table!A"&amp;$AK170):INDIRECT("Table!" &amp; $AN$275 &amp; $AK170),0)),"",INDIRECT(CONCATENATE("Table!",ADDRESS($T170,MATCH(L$1,INDIRECT("Table!A" &amp; $AK170):INDIRECT("Table!" &amp; $AN$275 &amp; $AK170),0)))))</f>
        <v/>
      </c>
      <c r="L170" s="24" t="str">
        <f ca="1">IF(ISERROR(MATCH(M$1,INDIRECT("Table!A"&amp;$AK170):INDIRECT("Table!" &amp; $AN$275 &amp; $AK170),0)),"",INDIRECT(CONCATENATE("Table!",ADDRESS($T170,MATCH(M$1,INDIRECT("Table!A" &amp; $AK170):INDIRECT("Table!" &amp; $AN$275 &amp; $AK170),0)))))</f>
        <v/>
      </c>
      <c r="M170" s="24" t="str">
        <f ca="1">IF(ISERROR(MATCH(N$1,INDIRECT("Table!A"&amp;$AK170):INDIRECT("Table!" &amp; $AN$275 &amp; $AK170),0)),"",INDIRECT(CONCATENATE("Table!",ADDRESS($T170,MATCH(N$1,INDIRECT("Table!A" &amp; $AK170):INDIRECT("Table!" &amp; $AN$275 &amp; $AK170),0)))))</f>
        <v/>
      </c>
      <c r="N170" s="24" t="str">
        <f ca="1">IF(ISERROR(MATCH(O$1,INDIRECT("Table!A"&amp;$AK170):INDIRECT("Table!" &amp; $AN$275 &amp; $AK170),0)),"",INDIRECT(CONCATENATE("Table!",ADDRESS($T170,MATCH(O$1,INDIRECT("Table!A" &amp; $AK170):INDIRECT("Table!" &amp; $AN$275 &amp; $AK170),0)))))</f>
        <v/>
      </c>
      <c r="O170" s="24" t="str">
        <f ca="1">IF(ISERROR(MATCH(P$1,INDIRECT("Table!A"&amp;$AK170):INDIRECT("Table!" &amp; $AN$275 &amp; $AK170),0)),"",INDIRECT(CONCATENATE("Table!",ADDRESS($T170,MATCH(P$1,INDIRECT("Table!A" &amp; $AK170):INDIRECT("Table!" &amp; $AN$275 &amp; $AK170),0)))))</f>
        <v/>
      </c>
      <c r="P170" s="273" t="str">
        <f ca="1">IF(ISERROR(MATCH(Q$1,INDIRECT("Table!A"&amp;$AK170):INDIRECT("Table!" &amp; $AN$275 &amp; $AK170),0)),"",INDIRECT(CONCATENATE("Table!",ADDRESS($T170,MATCH(Q$1,INDIRECT("Table!A" &amp; $AK170):INDIRECT("Table!" &amp; $AN$275 &amp; $AK170),0)))))</f>
        <v/>
      </c>
      <c r="Q170" s="174"/>
      <c r="R170" s="174"/>
      <c r="S170" s="174"/>
      <c r="T170" s="22"/>
      <c r="AI170" s="174"/>
      <c r="AJ170" s="174"/>
      <c r="AK170" s="22"/>
      <c r="AL170" s="174"/>
      <c r="AM170" s="174"/>
      <c r="AN170" s="22"/>
      <c r="AO170" s="25"/>
      <c r="AP170" s="25"/>
      <c r="AQ170" s="25"/>
    </row>
    <row r="171" spans="2:43" ht="19.5" customHeight="1" x14ac:dyDescent="0.25">
      <c r="B171" s="24"/>
      <c r="C171" s="24" t="str">
        <f ca="1">IF(ISERROR(MATCH(C$1,INDIRECT("Table!A"&amp;$AK171):INDIRECT("Table!" &amp; $AN$275 &amp; $AK171),0)),"",INDIRECT(CONCATENATE("Table!",ADDRESS($T171,MATCH(C$1,INDIRECT("Table!A" &amp; $AK171):INDIRECT("Table!" &amp; $AN$275 &amp; $AK171),0)))))</f>
        <v/>
      </c>
      <c r="D171" s="24" t="str">
        <f ca="1">IF(ISERROR(MATCH(D$1,INDIRECT("Table!A"&amp;$AK171):INDIRECT("Table!" &amp; $AN$275 &amp; $AK171),0)),"",INDIRECT(CONCATENATE("Table!",ADDRESS($T171,MATCH(D$1,INDIRECT("Table!A" &amp; $AK171):INDIRECT("Table!" &amp; $AN$275 &amp; $AK171),0)))))</f>
        <v/>
      </c>
      <c r="E171" s="24" t="str">
        <f ca="1">IF(ISERROR(MATCH(E$1,INDIRECT("Table!A"&amp;$AK171):INDIRECT("Table!" &amp; $AN$275 &amp; $AK171),0)),"",INDIRECT(CONCATENATE("Table!",ADDRESS($T171,MATCH(E$1,INDIRECT("Table!A" &amp; $AK171):INDIRECT("Table!" &amp; $AN$275 &amp; $AK171),0)))))</f>
        <v/>
      </c>
      <c r="F171" s="24" t="str">
        <f ca="1">IF(ISERROR(MATCH(F$1,INDIRECT("Table!A"&amp;$AK171):INDIRECT("Table!" &amp; $AN$275 &amp; $AK171),0)),"",INDIRECT(CONCATENATE("Table!",ADDRESS($T171,MATCH(F$1,INDIRECT("Table!A" &amp; $AK171):INDIRECT("Table!" &amp; $AN$275 &amp; $AK171),0)))))</f>
        <v/>
      </c>
      <c r="G171" s="24" t="str">
        <f ca="1">IF(ISERROR(MATCH(G$1,INDIRECT("Table!A"&amp;$AK171):INDIRECT("Table!" &amp; $AN$275 &amp; $AK171),0)),"",INDIRECT(CONCATENATE("Table!",ADDRESS($T171,MATCH(G$1,INDIRECT("Table!A" &amp; $AK171):INDIRECT("Table!" &amp; $AN$275 &amp; $AK171),0)))))</f>
        <v/>
      </c>
      <c r="H171" s="24" t="str">
        <f ca="1">IF(ISERROR(MATCH(H$1,INDIRECT("Table!A"&amp;$AK171):INDIRECT("Table!" &amp; $AN$275 &amp; $AK171),0)),"",INDIRECT(CONCATENATE("Table!",ADDRESS($T171,MATCH(H$1,INDIRECT("Table!A" &amp; $AK171):INDIRECT("Table!" &amp; $AN$275 &amp; $AK171),0)))))</f>
        <v/>
      </c>
      <c r="I171" s="273"/>
      <c r="J171" s="273"/>
      <c r="K171" s="24" t="str">
        <f ca="1">IF(ISERROR(MATCH(L$1,INDIRECT("Table!A"&amp;$AK171):INDIRECT("Table!" &amp; $AN$275 &amp; $AK171),0)),"",INDIRECT(CONCATENATE("Table!",ADDRESS($T171,MATCH(L$1,INDIRECT("Table!A" &amp; $AK171):INDIRECT("Table!" &amp; $AN$275 &amp; $AK171),0)))))</f>
        <v/>
      </c>
      <c r="L171" s="24" t="str">
        <f ca="1">IF(ISERROR(MATCH(M$1,INDIRECT("Table!A"&amp;$AK171):INDIRECT("Table!" &amp; $AN$275 &amp; $AK171),0)),"",INDIRECT(CONCATENATE("Table!",ADDRESS($T171,MATCH(M$1,INDIRECT("Table!A" &amp; $AK171):INDIRECT("Table!" &amp; $AN$275 &amp; $AK171),0)))))</f>
        <v/>
      </c>
      <c r="M171" s="24" t="str">
        <f ca="1">IF(ISERROR(MATCH(N$1,INDIRECT("Table!A"&amp;$AK171):INDIRECT("Table!" &amp; $AN$275 &amp; $AK171),0)),"",INDIRECT(CONCATENATE("Table!",ADDRESS($T171,MATCH(N$1,INDIRECT("Table!A" &amp; $AK171):INDIRECT("Table!" &amp; $AN$275 &amp; $AK171),0)))))</f>
        <v/>
      </c>
      <c r="N171" s="24" t="str">
        <f ca="1">IF(ISERROR(MATCH(O$1,INDIRECT("Table!A"&amp;$AK171):INDIRECT("Table!" &amp; $AN$275 &amp; $AK171),0)),"",INDIRECT(CONCATENATE("Table!",ADDRESS($T171,MATCH(O$1,INDIRECT("Table!A" &amp; $AK171):INDIRECT("Table!" &amp; $AN$275 &amp; $AK171),0)))))</f>
        <v/>
      </c>
      <c r="O171" s="24" t="str">
        <f ca="1">IF(ISERROR(MATCH(P$1,INDIRECT("Table!A"&amp;$AK171):INDIRECT("Table!" &amp; $AN$275 &amp; $AK171),0)),"",INDIRECT(CONCATENATE("Table!",ADDRESS($T171,MATCH(P$1,INDIRECT("Table!A" &amp; $AK171):INDIRECT("Table!" &amp; $AN$275 &amp; $AK171),0)))))</f>
        <v/>
      </c>
      <c r="P171" s="273" t="str">
        <f ca="1">IF(ISERROR(MATCH(Q$1,INDIRECT("Table!A"&amp;$AK171):INDIRECT("Table!" &amp; $AN$275 &amp; $AK171),0)),"",INDIRECT(CONCATENATE("Table!",ADDRESS($T171,MATCH(Q$1,INDIRECT("Table!A" &amp; $AK171):INDIRECT("Table!" &amp; $AN$275 &amp; $AK171),0)))))</f>
        <v/>
      </c>
      <c r="Q171" s="173"/>
      <c r="R171" s="173"/>
      <c r="S171" s="173"/>
      <c r="T171" s="22"/>
      <c r="AI171" s="173"/>
      <c r="AJ171" s="173"/>
      <c r="AK171" s="22"/>
      <c r="AL171" s="173"/>
      <c r="AM171" s="173"/>
      <c r="AN171" s="22"/>
      <c r="AO171" s="25"/>
      <c r="AP171" s="25"/>
      <c r="AQ171" s="25"/>
    </row>
    <row r="172" spans="2:43" ht="19.5" customHeight="1" x14ac:dyDescent="0.25">
      <c r="B172" s="24"/>
      <c r="C172" s="24" t="str">
        <f ca="1">IF(ISERROR(MATCH(C$1,INDIRECT("Table!A"&amp;$AK172):INDIRECT("Table!" &amp; $AN$275 &amp; $AK172),0)),"",INDIRECT(CONCATENATE("Table!",ADDRESS($T172,MATCH(C$1,INDIRECT("Table!A" &amp; $AK172):INDIRECT("Table!" &amp; $AN$275 &amp; $AK172),0)))))</f>
        <v/>
      </c>
      <c r="D172" s="24" t="str">
        <f ca="1">IF(ISERROR(MATCH(D$1,INDIRECT("Table!A"&amp;$AK172):INDIRECT("Table!" &amp; $AN$275 &amp; $AK172),0)),"",INDIRECT(CONCATENATE("Table!",ADDRESS($T172,MATCH(D$1,INDIRECT("Table!A" &amp; $AK172):INDIRECT("Table!" &amp; $AN$275 &amp; $AK172),0)))))</f>
        <v/>
      </c>
      <c r="E172" s="24" t="str">
        <f ca="1">IF(ISERROR(MATCH(E$1,INDIRECT("Table!A"&amp;$AK172):INDIRECT("Table!" &amp; $AN$275 &amp; $AK172),0)),"",INDIRECT(CONCATENATE("Table!",ADDRESS($T172,MATCH(E$1,INDIRECT("Table!A" &amp; $AK172):INDIRECT("Table!" &amp; $AN$275 &amp; $AK172),0)))))</f>
        <v/>
      </c>
      <c r="F172" s="24" t="str">
        <f ca="1">IF(ISERROR(MATCH(F$1,INDIRECT("Table!A"&amp;$AK172):INDIRECT("Table!" &amp; $AN$275 &amp; $AK172),0)),"",INDIRECT(CONCATENATE("Table!",ADDRESS($T172,MATCH(F$1,INDIRECT("Table!A" &amp; $AK172):INDIRECT("Table!" &amp; $AN$275 &amp; $AK172),0)))))</f>
        <v/>
      </c>
      <c r="G172" s="24" t="str">
        <f ca="1">IF(ISERROR(MATCH(G$1,INDIRECT("Table!A"&amp;$AK172):INDIRECT("Table!" &amp; $AN$275 &amp; $AK172),0)),"",INDIRECT(CONCATENATE("Table!",ADDRESS($T172,MATCH(G$1,INDIRECT("Table!A" &amp; $AK172):INDIRECT("Table!" &amp; $AN$275 &amp; $AK172),0)))))</f>
        <v/>
      </c>
      <c r="H172" s="24" t="str">
        <f ca="1">IF(ISERROR(MATCH(H$1,INDIRECT("Table!A"&amp;$AK172):INDIRECT("Table!" &amp; $AN$275 &amp; $AK172),0)),"",INDIRECT(CONCATENATE("Table!",ADDRESS($T172,MATCH(H$1,INDIRECT("Table!A" &amp; $AK172):INDIRECT("Table!" &amp; $AN$275 &amp; $AK172),0)))))</f>
        <v/>
      </c>
      <c r="I172" s="273"/>
      <c r="J172" s="273"/>
      <c r="K172" s="24" t="str">
        <f ca="1">IF(ISERROR(MATCH(L$1,INDIRECT("Table!A"&amp;$AK172):INDIRECT("Table!" &amp; $AN$275 &amp; $AK172),0)),"",INDIRECT(CONCATENATE("Table!",ADDRESS($T172,MATCH(L$1,INDIRECT("Table!A" &amp; $AK172):INDIRECT("Table!" &amp; $AN$275 &amp; $AK172),0)))))</f>
        <v/>
      </c>
      <c r="L172" s="24" t="str">
        <f ca="1">IF(ISERROR(MATCH(M$1,INDIRECT("Table!A"&amp;$AK172):INDIRECT("Table!" &amp; $AN$275 &amp; $AK172),0)),"",INDIRECT(CONCATENATE("Table!",ADDRESS($T172,MATCH(M$1,INDIRECT("Table!A" &amp; $AK172):INDIRECT("Table!" &amp; $AN$275 &amp; $AK172),0)))))</f>
        <v/>
      </c>
      <c r="M172" s="24" t="str">
        <f ca="1">IF(ISERROR(MATCH(N$1,INDIRECT("Table!A"&amp;$AK172):INDIRECT("Table!" &amp; $AN$275 &amp; $AK172),0)),"",INDIRECT(CONCATENATE("Table!",ADDRESS($T172,MATCH(N$1,INDIRECT("Table!A" &amp; $AK172):INDIRECT("Table!" &amp; $AN$275 &amp; $AK172),0)))))</f>
        <v/>
      </c>
      <c r="N172" s="24" t="str">
        <f ca="1">IF(ISERROR(MATCH(O$1,INDIRECT("Table!A"&amp;$AK172):INDIRECT("Table!" &amp; $AN$275 &amp; $AK172),0)),"",INDIRECT(CONCATENATE("Table!",ADDRESS($T172,MATCH(O$1,INDIRECT("Table!A" &amp; $AK172):INDIRECT("Table!" &amp; $AN$275 &amp; $AK172),0)))))</f>
        <v/>
      </c>
      <c r="O172" s="24" t="str">
        <f ca="1">IF(ISERROR(MATCH(P$1,INDIRECT("Table!A"&amp;$AK172):INDIRECT("Table!" &amp; $AN$275 &amp; $AK172),0)),"",INDIRECT(CONCATENATE("Table!",ADDRESS($T172,MATCH(P$1,INDIRECT("Table!A" &amp; $AK172):INDIRECT("Table!" &amp; $AN$275 &amp; $AK172),0)))))</f>
        <v/>
      </c>
      <c r="P172" s="273" t="str">
        <f ca="1">IF(ISERROR(MATCH(Q$1,INDIRECT("Table!A"&amp;$AK172):INDIRECT("Table!" &amp; $AN$275 &amp; $AK172),0)),"",INDIRECT(CONCATENATE("Table!",ADDRESS($T172,MATCH(Q$1,INDIRECT("Table!A" &amp; $AK172):INDIRECT("Table!" &amp; $AN$275 &amp; $AK172),0)))))</f>
        <v/>
      </c>
      <c r="Q172" s="172"/>
      <c r="R172" s="172"/>
      <c r="S172" s="172"/>
      <c r="T172" s="22"/>
      <c r="AI172" s="172"/>
      <c r="AJ172" s="172"/>
      <c r="AK172" s="22"/>
      <c r="AL172" s="172"/>
      <c r="AM172" s="172"/>
      <c r="AN172" s="22"/>
      <c r="AO172" s="25"/>
      <c r="AP172" s="25"/>
      <c r="AQ172" s="25"/>
    </row>
    <row r="173" spans="2:43" ht="19.5" customHeight="1" x14ac:dyDescent="0.25">
      <c r="B173" s="24"/>
      <c r="C173" s="24" t="str">
        <f ca="1">IF(ISERROR(MATCH(C$1,INDIRECT("Table!A"&amp;$AK173):INDIRECT("Table!" &amp; $AN$275 &amp; $AK173),0)),"",INDIRECT(CONCATENATE("Table!",ADDRESS($T173,MATCH(C$1,INDIRECT("Table!A" &amp; $AK173):INDIRECT("Table!" &amp; $AN$275 &amp; $AK173),0)))))</f>
        <v/>
      </c>
      <c r="D173" s="24" t="str">
        <f ca="1">IF(ISERROR(MATCH(D$1,INDIRECT("Table!A"&amp;$AK173):INDIRECT("Table!" &amp; $AN$275 &amp; $AK173),0)),"",INDIRECT(CONCATENATE("Table!",ADDRESS($T173,MATCH(D$1,INDIRECT("Table!A" &amp; $AK173):INDIRECT("Table!" &amp; $AN$275 &amp; $AK173),0)))))</f>
        <v/>
      </c>
      <c r="E173" s="24" t="str">
        <f ca="1">IF(ISERROR(MATCH(E$1,INDIRECT("Table!A"&amp;$AK173):INDIRECT("Table!" &amp; $AN$275 &amp; $AK173),0)),"",INDIRECT(CONCATENATE("Table!",ADDRESS($T173,MATCH(E$1,INDIRECT("Table!A" &amp; $AK173):INDIRECT("Table!" &amp; $AN$275 &amp; $AK173),0)))))</f>
        <v/>
      </c>
      <c r="F173" s="24" t="str">
        <f ca="1">IF(ISERROR(MATCH(F$1,INDIRECT("Table!A"&amp;$AK173):INDIRECT("Table!" &amp; $AN$275 &amp; $AK173),0)),"",INDIRECT(CONCATENATE("Table!",ADDRESS($T173,MATCH(F$1,INDIRECT("Table!A" &amp; $AK173):INDIRECT("Table!" &amp; $AN$275 &amp; $AK173),0)))))</f>
        <v/>
      </c>
      <c r="G173" s="24" t="str">
        <f ca="1">IF(ISERROR(MATCH(G$1,INDIRECT("Table!A"&amp;$AK173):INDIRECT("Table!" &amp; $AN$275 &amp; $AK173),0)),"",INDIRECT(CONCATENATE("Table!",ADDRESS($T173,MATCH(G$1,INDIRECT("Table!A" &amp; $AK173):INDIRECT("Table!" &amp; $AN$275 &amp; $AK173),0)))))</f>
        <v/>
      </c>
      <c r="H173" s="24" t="str">
        <f ca="1">IF(ISERROR(MATCH(H$1,INDIRECT("Table!A"&amp;$AK173):INDIRECT("Table!" &amp; $AN$275 &amp; $AK173),0)),"",INDIRECT(CONCATENATE("Table!",ADDRESS($T173,MATCH(H$1,INDIRECT("Table!A" &amp; $AK173):INDIRECT("Table!" &amp; $AN$275 &amp; $AK173),0)))))</f>
        <v/>
      </c>
      <c r="I173" s="273"/>
      <c r="J173" s="273"/>
      <c r="K173" s="24" t="str">
        <f ca="1">IF(ISERROR(MATCH(L$1,INDIRECT("Table!A"&amp;$AK173):INDIRECT("Table!" &amp; $AN$275 &amp; $AK173),0)),"",INDIRECT(CONCATENATE("Table!",ADDRESS($T173,MATCH(L$1,INDIRECT("Table!A" &amp; $AK173):INDIRECT("Table!" &amp; $AN$275 &amp; $AK173),0)))))</f>
        <v/>
      </c>
      <c r="L173" s="24" t="str">
        <f ca="1">IF(ISERROR(MATCH(M$1,INDIRECT("Table!A"&amp;$AK173):INDIRECT("Table!" &amp; $AN$275 &amp; $AK173),0)),"",INDIRECT(CONCATENATE("Table!",ADDRESS($T173,MATCH(M$1,INDIRECT("Table!A" &amp; $AK173):INDIRECT("Table!" &amp; $AN$275 &amp; $AK173),0)))))</f>
        <v/>
      </c>
      <c r="M173" s="24" t="str">
        <f ca="1">IF(ISERROR(MATCH(N$1,INDIRECT("Table!A"&amp;$AK173):INDIRECT("Table!" &amp; $AN$275 &amp; $AK173),0)),"",INDIRECT(CONCATENATE("Table!",ADDRESS($T173,MATCH(N$1,INDIRECT("Table!A" &amp; $AK173):INDIRECT("Table!" &amp; $AN$275 &amp; $AK173),0)))))</f>
        <v/>
      </c>
      <c r="N173" s="24" t="str">
        <f ca="1">IF(ISERROR(MATCH(O$1,INDIRECT("Table!A"&amp;$AK173):INDIRECT("Table!" &amp; $AN$275 &amp; $AK173),0)),"",INDIRECT(CONCATENATE("Table!",ADDRESS($T173,MATCH(O$1,INDIRECT("Table!A" &amp; $AK173):INDIRECT("Table!" &amp; $AN$275 &amp; $AK173),0)))))</f>
        <v/>
      </c>
      <c r="O173" s="24" t="str">
        <f ca="1">IF(ISERROR(MATCH(P$1,INDIRECT("Table!A"&amp;$AK173):INDIRECT("Table!" &amp; $AN$275 &amp; $AK173),0)),"",INDIRECT(CONCATENATE("Table!",ADDRESS($T173,MATCH(P$1,INDIRECT("Table!A" &amp; $AK173):INDIRECT("Table!" &amp; $AN$275 &amp; $AK173),0)))))</f>
        <v/>
      </c>
      <c r="P173" s="273" t="str">
        <f ca="1">IF(ISERROR(MATCH(Q$1,INDIRECT("Table!A"&amp;$AK173):INDIRECT("Table!" &amp; $AN$275 &amp; $AK173),0)),"",INDIRECT(CONCATENATE("Table!",ADDRESS($T173,MATCH(Q$1,INDIRECT("Table!A" &amp; $AK173):INDIRECT("Table!" &amp; $AN$275 &amp; $AK173),0)))))</f>
        <v/>
      </c>
      <c r="Q173" s="172"/>
      <c r="R173" s="172"/>
      <c r="S173" s="172"/>
      <c r="T173" s="22"/>
      <c r="AI173" s="172"/>
      <c r="AJ173" s="172"/>
      <c r="AK173" s="22"/>
      <c r="AL173" s="172"/>
      <c r="AM173" s="172"/>
      <c r="AN173" s="22"/>
      <c r="AO173" s="25"/>
      <c r="AP173" s="25"/>
      <c r="AQ173" s="25"/>
    </row>
    <row r="174" spans="2:43" ht="18" customHeight="1" x14ac:dyDescent="0.25">
      <c r="B174" s="24"/>
      <c r="C174" s="24" t="str">
        <f ca="1">IF(ISERROR(MATCH(C$1,INDIRECT("Table!A"&amp;$AK174):INDIRECT("Table!" &amp; $AN$275 &amp; $AK174),0)),"",INDIRECT(CONCATENATE("Table!",ADDRESS($T174,MATCH(C$1,INDIRECT("Table!A" &amp; $AK174):INDIRECT("Table!" &amp; $AN$275 &amp; $AK174),0)))))</f>
        <v/>
      </c>
      <c r="D174" s="24" t="str">
        <f ca="1">IF(ISERROR(MATCH(D$1,INDIRECT("Table!A"&amp;$AK174):INDIRECT("Table!" &amp; $AN$275 &amp; $AK174),0)),"",INDIRECT(CONCATENATE("Table!",ADDRESS($T174,MATCH(D$1,INDIRECT("Table!A" &amp; $AK174):INDIRECT("Table!" &amp; $AN$275 &amp; $AK174),0)))))</f>
        <v/>
      </c>
      <c r="E174" s="24" t="str">
        <f ca="1">IF(ISERROR(MATCH(E$1,INDIRECT("Table!A"&amp;$AK174):INDIRECT("Table!" &amp; $AN$275 &amp; $AK174),0)),"",INDIRECT(CONCATENATE("Table!",ADDRESS($T174,MATCH(E$1,INDIRECT("Table!A" &amp; $AK174):INDIRECT("Table!" &amp; $AN$275 &amp; $AK174),0)))))</f>
        <v/>
      </c>
      <c r="F174" s="24" t="str">
        <f ca="1">IF(ISERROR(MATCH(F$1,INDIRECT("Table!A"&amp;$AK174):INDIRECT("Table!" &amp; $AN$275 &amp; $AK174),0)),"",INDIRECT(CONCATENATE("Table!",ADDRESS($T174,MATCH(F$1,INDIRECT("Table!A" &amp; $AK174):INDIRECT("Table!" &amp; $AN$275 &amp; $AK174),0)))))</f>
        <v/>
      </c>
      <c r="G174" s="24" t="str">
        <f ca="1">IF(ISERROR(MATCH(G$1,INDIRECT("Table!A"&amp;$AK174):INDIRECT("Table!" &amp; $AN$275 &amp; $AK174),0)),"",INDIRECT(CONCATENATE("Table!",ADDRESS($T174,MATCH(G$1,INDIRECT("Table!A" &amp; $AK174):INDIRECT("Table!" &amp; $AN$275 &amp; $AK174),0)))))</f>
        <v/>
      </c>
      <c r="H174" s="24" t="str">
        <f ca="1">IF(ISERROR(MATCH(H$1,INDIRECT("Table!A"&amp;$AK174):INDIRECT("Table!" &amp; $AN$275 &amp; $AK174),0)),"",INDIRECT(CONCATENATE("Table!",ADDRESS($T174,MATCH(H$1,INDIRECT("Table!A" &amp; $AK174):INDIRECT("Table!" &amp; $AN$275 &amp; $AK174),0)))))</f>
        <v/>
      </c>
      <c r="I174" s="273"/>
      <c r="J174" s="273"/>
      <c r="K174" s="24" t="str">
        <f ca="1">IF(ISERROR(MATCH(L$1,INDIRECT("Table!A"&amp;$AK174):INDIRECT("Table!" &amp; $AN$275 &amp; $AK174),0)),"",INDIRECT(CONCATENATE("Table!",ADDRESS($T174,MATCH(L$1,INDIRECT("Table!A" &amp; $AK174):INDIRECT("Table!" &amp; $AN$275 &amp; $AK174),0)))))</f>
        <v/>
      </c>
      <c r="L174" s="24" t="str">
        <f ca="1">IF(ISERROR(MATCH(M$1,INDIRECT("Table!A"&amp;$AK174):INDIRECT("Table!" &amp; $AN$275 &amp; $AK174),0)),"",INDIRECT(CONCATENATE("Table!",ADDRESS($T174,MATCH(M$1,INDIRECT("Table!A" &amp; $AK174):INDIRECT("Table!" &amp; $AN$275 &amp; $AK174),0)))))</f>
        <v/>
      </c>
      <c r="M174" s="24" t="str">
        <f ca="1">IF(ISERROR(MATCH(N$1,INDIRECT("Table!A"&amp;$AK174):INDIRECT("Table!" &amp; $AN$275 &amp; $AK174),0)),"",INDIRECT(CONCATENATE("Table!",ADDRESS($T174,MATCH(N$1,INDIRECT("Table!A" &amp; $AK174):INDIRECT("Table!" &amp; $AN$275 &amp; $AK174),0)))))</f>
        <v/>
      </c>
      <c r="N174" s="24" t="str">
        <f ca="1">IF(ISERROR(MATCH(O$1,INDIRECT("Table!A"&amp;$AK174):INDIRECT("Table!" &amp; $AN$275 &amp; $AK174),0)),"",INDIRECT(CONCATENATE("Table!",ADDRESS($T174,MATCH(O$1,INDIRECT("Table!A" &amp; $AK174):INDIRECT("Table!" &amp; $AN$275 &amp; $AK174),0)))))</f>
        <v/>
      </c>
      <c r="O174" s="24" t="str">
        <f ca="1">IF(ISERROR(MATCH(P$1,INDIRECT("Table!A"&amp;$AK174):INDIRECT("Table!" &amp; $AN$275 &amp; $AK174),0)),"",INDIRECT(CONCATENATE("Table!",ADDRESS($T174,MATCH(P$1,INDIRECT("Table!A" &amp; $AK174):INDIRECT("Table!" &amp; $AN$275 &amp; $AK174),0)))))</f>
        <v/>
      </c>
      <c r="P174" s="273" t="str">
        <f ca="1">IF(ISERROR(MATCH(Q$1,INDIRECT("Table!A"&amp;$AK174):INDIRECT("Table!" &amp; $AN$275 &amp; $AK174),0)),"",INDIRECT(CONCATENATE("Table!",ADDRESS($T174,MATCH(Q$1,INDIRECT("Table!A" &amp; $AK174):INDIRECT("Table!" &amp; $AN$275 &amp; $AK174),0)))))</f>
        <v/>
      </c>
      <c r="Q174" s="171"/>
      <c r="R174" s="171"/>
      <c r="S174" s="171"/>
      <c r="T174" s="22"/>
      <c r="AI174" s="171"/>
      <c r="AJ174" s="171"/>
      <c r="AK174" s="22"/>
      <c r="AL174" s="171"/>
      <c r="AM174" s="171"/>
      <c r="AN174" s="22"/>
      <c r="AO174" s="25"/>
      <c r="AP174" s="25"/>
      <c r="AQ174" s="25"/>
    </row>
    <row r="175" spans="2:43" ht="18" customHeight="1" x14ac:dyDescent="0.25">
      <c r="B175" s="24"/>
      <c r="C175" s="24" t="str">
        <f ca="1">IF(ISERROR(MATCH(C$1,INDIRECT("Table!A"&amp;$AK175):INDIRECT("Table!" &amp; $AN$275 &amp; $AK175),0)),"",INDIRECT(CONCATENATE("Table!",ADDRESS($T175,MATCH(C$1,INDIRECT("Table!A" &amp; $AK175):INDIRECT("Table!" &amp; $AN$275 &amp; $AK175),0)))))</f>
        <v/>
      </c>
      <c r="D175" s="24" t="str">
        <f ca="1">IF(ISERROR(MATCH(D$1,INDIRECT("Table!A"&amp;$AK175):INDIRECT("Table!" &amp; $AN$275 &amp; $AK175),0)),"",INDIRECT(CONCATENATE("Table!",ADDRESS($T175,MATCH(D$1,INDIRECT("Table!A" &amp; $AK175):INDIRECT("Table!" &amp; $AN$275 &amp; $AK175),0)))))</f>
        <v/>
      </c>
      <c r="E175" s="24" t="str">
        <f ca="1">IF(ISERROR(MATCH(E$1,INDIRECT("Table!A"&amp;$AK175):INDIRECT("Table!" &amp; $AN$275 &amp; $AK175),0)),"",INDIRECT(CONCATENATE("Table!",ADDRESS($T175,MATCH(E$1,INDIRECT("Table!A" &amp; $AK175):INDIRECT("Table!" &amp; $AN$275 &amp; $AK175),0)))))</f>
        <v/>
      </c>
      <c r="F175" s="24" t="str">
        <f ca="1">IF(ISERROR(MATCH(F$1,INDIRECT("Table!A"&amp;$AK175):INDIRECT("Table!" &amp; $AN$275 &amp; $AK175),0)),"",INDIRECT(CONCATENATE("Table!",ADDRESS($T175,MATCH(F$1,INDIRECT("Table!A" &amp; $AK175):INDIRECT("Table!" &amp; $AN$275 &amp; $AK175),0)))))</f>
        <v/>
      </c>
      <c r="G175" s="24" t="str">
        <f ca="1">IF(ISERROR(MATCH(G$1,INDIRECT("Table!A"&amp;$AK175):INDIRECT("Table!" &amp; $AN$275 &amp; $AK175),0)),"",INDIRECT(CONCATENATE("Table!",ADDRESS($T175,MATCH(G$1,INDIRECT("Table!A" &amp; $AK175):INDIRECT("Table!" &amp; $AN$275 &amp; $AK175),0)))))</f>
        <v/>
      </c>
      <c r="H175" s="24" t="str">
        <f ca="1">IF(ISERROR(MATCH(H$1,INDIRECT("Table!A"&amp;$AK175):INDIRECT("Table!" &amp; $AN$275 &amp; $AK175),0)),"",INDIRECT(CONCATENATE("Table!",ADDRESS($T175,MATCH(H$1,INDIRECT("Table!A" &amp; $AK175):INDIRECT("Table!" &amp; $AN$275 &amp; $AK175),0)))))</f>
        <v/>
      </c>
      <c r="I175" s="273"/>
      <c r="J175" s="273"/>
      <c r="K175" s="24" t="str">
        <f ca="1">IF(ISERROR(MATCH(L$1,INDIRECT("Table!A"&amp;$AK175):INDIRECT("Table!" &amp; $AN$275 &amp; $AK175),0)),"",INDIRECT(CONCATENATE("Table!",ADDRESS($T175,MATCH(L$1,INDIRECT("Table!A" &amp; $AK175):INDIRECT("Table!" &amp; $AN$275 &amp; $AK175),0)))))</f>
        <v/>
      </c>
      <c r="L175" s="24" t="str">
        <f ca="1">IF(ISERROR(MATCH(M$1,INDIRECT("Table!A"&amp;$AK175):INDIRECT("Table!" &amp; $AN$275 &amp; $AK175),0)),"",INDIRECT(CONCATENATE("Table!",ADDRESS($T175,MATCH(M$1,INDIRECT("Table!A" &amp; $AK175):INDIRECT("Table!" &amp; $AN$275 &amp; $AK175),0)))))</f>
        <v/>
      </c>
      <c r="M175" s="24" t="str">
        <f ca="1">IF(ISERROR(MATCH(N$1,INDIRECT("Table!A"&amp;$AK175):INDIRECT("Table!" &amp; $AN$275 &amp; $AK175),0)),"",INDIRECT(CONCATENATE("Table!",ADDRESS($T175,MATCH(N$1,INDIRECT("Table!A" &amp; $AK175):INDIRECT("Table!" &amp; $AN$275 &amp; $AK175),0)))))</f>
        <v/>
      </c>
      <c r="N175" s="24" t="str">
        <f ca="1">IF(ISERROR(MATCH(O$1,INDIRECT("Table!A"&amp;$AK175):INDIRECT("Table!" &amp; $AN$275 &amp; $AK175),0)),"",INDIRECT(CONCATENATE("Table!",ADDRESS($T175,MATCH(O$1,INDIRECT("Table!A" &amp; $AK175):INDIRECT("Table!" &amp; $AN$275 &amp; $AK175),0)))))</f>
        <v/>
      </c>
      <c r="O175" s="24" t="str">
        <f ca="1">IF(ISERROR(MATCH(P$1,INDIRECT("Table!A"&amp;$AK175):INDIRECT("Table!" &amp; $AN$275 &amp; $AK175),0)),"",INDIRECT(CONCATENATE("Table!",ADDRESS($T175,MATCH(P$1,INDIRECT("Table!A" &amp; $AK175):INDIRECT("Table!" &amp; $AN$275 &amp; $AK175),0)))))</f>
        <v/>
      </c>
      <c r="P175" s="273" t="str">
        <f ca="1">IF(ISERROR(MATCH(Q$1,INDIRECT("Table!A"&amp;$AK175):INDIRECT("Table!" &amp; $AN$275 &amp; $AK175),0)),"",INDIRECT(CONCATENATE("Table!",ADDRESS($T175,MATCH(Q$1,INDIRECT("Table!A" &amp; $AK175):INDIRECT("Table!" &amp; $AN$275 &amp; $AK175),0)))))</f>
        <v/>
      </c>
      <c r="Q175" s="170"/>
      <c r="R175" s="170"/>
      <c r="S175" s="170"/>
      <c r="T175" s="22"/>
      <c r="AI175" s="170"/>
      <c r="AJ175" s="170"/>
      <c r="AK175" s="22"/>
      <c r="AL175" s="170"/>
      <c r="AM175" s="170"/>
      <c r="AN175" s="22"/>
      <c r="AO175" s="25"/>
      <c r="AP175" s="25"/>
      <c r="AQ175" s="25"/>
    </row>
    <row r="176" spans="2:43" ht="18" customHeight="1" x14ac:dyDescent="0.25">
      <c r="B176" s="24"/>
      <c r="C176" s="24" t="str">
        <f ca="1">IF(ISERROR(MATCH(C$1,INDIRECT("Table!A"&amp;$AK176):INDIRECT("Table!" &amp; $AN$275 &amp; $AK176),0)),"",INDIRECT(CONCATENATE("Table!",ADDRESS($T176,MATCH(C$1,INDIRECT("Table!A" &amp; $AK176):INDIRECT("Table!" &amp; $AN$275 &amp; $AK176),0)))))</f>
        <v/>
      </c>
      <c r="D176" s="24" t="str">
        <f ca="1">IF(ISERROR(MATCH(D$1,INDIRECT("Table!A"&amp;$AK176):INDIRECT("Table!" &amp; $AN$275 &amp; $AK176),0)),"",INDIRECT(CONCATENATE("Table!",ADDRESS($T176,MATCH(D$1,INDIRECT("Table!A" &amp; $AK176):INDIRECT("Table!" &amp; $AN$275 &amp; $AK176),0)))))</f>
        <v/>
      </c>
      <c r="E176" s="24" t="str">
        <f ca="1">IF(ISERROR(MATCH(E$1,INDIRECT("Table!A"&amp;$AK176):INDIRECT("Table!" &amp; $AN$275 &amp; $AK176),0)),"",INDIRECT(CONCATENATE("Table!",ADDRESS($T176,MATCH(E$1,INDIRECT("Table!A" &amp; $AK176):INDIRECT("Table!" &amp; $AN$275 &amp; $AK176),0)))))</f>
        <v/>
      </c>
      <c r="F176" s="24" t="str">
        <f ca="1">IF(ISERROR(MATCH(F$1,INDIRECT("Table!A"&amp;$AK176):INDIRECT("Table!" &amp; $AN$275 &amp; $AK176),0)),"",INDIRECT(CONCATENATE("Table!",ADDRESS($T176,MATCH(F$1,INDIRECT("Table!A" &amp; $AK176):INDIRECT("Table!" &amp; $AN$275 &amp; $AK176),0)))))</f>
        <v/>
      </c>
      <c r="G176" s="24" t="str">
        <f ca="1">IF(ISERROR(MATCH(G$1,INDIRECT("Table!A"&amp;$AK176):INDIRECT("Table!" &amp; $AN$275 &amp; $AK176),0)),"",INDIRECT(CONCATENATE("Table!",ADDRESS($T176,MATCH(G$1,INDIRECT("Table!A" &amp; $AK176):INDIRECT("Table!" &amp; $AN$275 &amp; $AK176),0)))))</f>
        <v/>
      </c>
      <c r="H176" s="24" t="str">
        <f ca="1">IF(ISERROR(MATCH(H$1,INDIRECT("Table!A"&amp;$AK176):INDIRECT("Table!" &amp; $AN$275 &amp; $AK176),0)),"",INDIRECT(CONCATENATE("Table!",ADDRESS($T176,MATCH(H$1,INDIRECT("Table!A" &amp; $AK176):INDIRECT("Table!" &amp; $AN$275 &amp; $AK176),0)))))</f>
        <v/>
      </c>
      <c r="I176" s="273"/>
      <c r="J176" s="273"/>
      <c r="K176" s="24" t="str">
        <f ca="1">IF(ISERROR(MATCH(L$1,INDIRECT("Table!A"&amp;$AK176):INDIRECT("Table!" &amp; $AN$275 &amp; $AK176),0)),"",INDIRECT(CONCATENATE("Table!",ADDRESS($T176,MATCH(L$1,INDIRECT("Table!A" &amp; $AK176):INDIRECT("Table!" &amp; $AN$275 &amp; $AK176),0)))))</f>
        <v/>
      </c>
      <c r="L176" s="24" t="str">
        <f ca="1">IF(ISERROR(MATCH(M$1,INDIRECT("Table!A"&amp;$AK176):INDIRECT("Table!" &amp; $AN$275 &amp; $AK176),0)),"",INDIRECT(CONCATENATE("Table!",ADDRESS($T176,MATCH(M$1,INDIRECT("Table!A" &amp; $AK176):INDIRECT("Table!" &amp; $AN$275 &amp; $AK176),0)))))</f>
        <v/>
      </c>
      <c r="M176" s="24" t="str">
        <f ca="1">IF(ISERROR(MATCH(N$1,INDIRECT("Table!A"&amp;$AK176):INDIRECT("Table!" &amp; $AN$275 &amp; $AK176),0)),"",INDIRECT(CONCATENATE("Table!",ADDRESS($T176,MATCH(N$1,INDIRECT("Table!A" &amp; $AK176):INDIRECT("Table!" &amp; $AN$275 &amp; $AK176),0)))))</f>
        <v/>
      </c>
      <c r="N176" s="24" t="str">
        <f ca="1">IF(ISERROR(MATCH(O$1,INDIRECT("Table!A"&amp;$AK176):INDIRECT("Table!" &amp; $AN$275 &amp; $AK176),0)),"",INDIRECT(CONCATENATE("Table!",ADDRESS($T176,MATCH(O$1,INDIRECT("Table!A" &amp; $AK176):INDIRECT("Table!" &amp; $AN$275 &amp; $AK176),0)))))</f>
        <v/>
      </c>
      <c r="O176" s="24" t="str">
        <f ca="1">IF(ISERROR(MATCH(P$1,INDIRECT("Table!A"&amp;$AK176):INDIRECT("Table!" &amp; $AN$275 &amp; $AK176),0)),"",INDIRECT(CONCATENATE("Table!",ADDRESS($T176,MATCH(P$1,INDIRECT("Table!A" &amp; $AK176):INDIRECT("Table!" &amp; $AN$275 &amp; $AK176),0)))))</f>
        <v/>
      </c>
      <c r="P176" s="273" t="str">
        <f ca="1">IF(ISERROR(MATCH(Q$1,INDIRECT("Table!A"&amp;$AK176):INDIRECT("Table!" &amp; $AN$275 &amp; $AK176),0)),"",INDIRECT(CONCATENATE("Table!",ADDRESS($T176,MATCH(Q$1,INDIRECT("Table!A" &amp; $AK176):INDIRECT("Table!" &amp; $AN$275 &amp; $AK176),0)))))</f>
        <v/>
      </c>
      <c r="Q176" s="169"/>
      <c r="R176" s="169"/>
      <c r="S176" s="169"/>
      <c r="T176" s="22"/>
      <c r="AI176" s="169"/>
      <c r="AJ176" s="169"/>
      <c r="AK176" s="22"/>
      <c r="AL176" s="169"/>
      <c r="AM176" s="169"/>
      <c r="AN176" s="22"/>
      <c r="AO176" s="25"/>
      <c r="AP176" s="25"/>
      <c r="AQ176" s="25"/>
    </row>
    <row r="177" spans="2:54" ht="18" customHeight="1" x14ac:dyDescent="0.25">
      <c r="B177" s="24"/>
      <c r="C177" s="24" t="str">
        <f ca="1">IF(ISERROR(MATCH(C$1,INDIRECT("Table!A"&amp;$AK177):INDIRECT("Table!" &amp; $AN$275 &amp; $AK177),0)),"",INDIRECT(CONCATENATE("Table!",ADDRESS($T177,MATCH(C$1,INDIRECT("Table!A" &amp; $AK177):INDIRECT("Table!" &amp; $AN$275 &amp; $AK177),0)))))</f>
        <v/>
      </c>
      <c r="D177" s="24" t="str">
        <f ca="1">IF(ISERROR(MATCH(D$1,INDIRECT("Table!A"&amp;$AK177):INDIRECT("Table!" &amp; $AN$275 &amp; $AK177),0)),"",INDIRECT(CONCATENATE("Table!",ADDRESS($T177,MATCH(D$1,INDIRECT("Table!A" &amp; $AK177):INDIRECT("Table!" &amp; $AN$275 &amp; $AK177),0)))))</f>
        <v/>
      </c>
      <c r="E177" s="24" t="str">
        <f ca="1">IF(ISERROR(MATCH(E$1,INDIRECT("Table!A"&amp;$AK177):INDIRECT("Table!" &amp; $AN$275 &amp; $AK177),0)),"",INDIRECT(CONCATENATE("Table!",ADDRESS($T177,MATCH(E$1,INDIRECT("Table!A" &amp; $AK177):INDIRECT("Table!" &amp; $AN$275 &amp; $AK177),0)))))</f>
        <v/>
      </c>
      <c r="F177" s="24" t="str">
        <f ca="1">IF(ISERROR(MATCH(F$1,INDIRECT("Table!A"&amp;$AK177):INDIRECT("Table!" &amp; $AN$275 &amp; $AK177),0)),"",INDIRECT(CONCATENATE("Table!",ADDRESS($T177,MATCH(F$1,INDIRECT("Table!A" &amp; $AK177):INDIRECT("Table!" &amp; $AN$275 &amp; $AK177),0)))))</f>
        <v/>
      </c>
      <c r="G177" s="24" t="str">
        <f ca="1">IF(ISERROR(MATCH(G$1,INDIRECT("Table!A"&amp;$AK177):INDIRECT("Table!" &amp; $AN$275 &amp; $AK177),0)),"",INDIRECT(CONCATENATE("Table!",ADDRESS($T177,MATCH(G$1,INDIRECT("Table!A" &amp; $AK177):INDIRECT("Table!" &amp; $AN$275 &amp; $AK177),0)))))</f>
        <v/>
      </c>
      <c r="H177" s="24" t="str">
        <f ca="1">IF(ISERROR(MATCH(H$1,INDIRECT("Table!A"&amp;$AK177):INDIRECT("Table!" &amp; $AN$275 &amp; $AK177),0)),"",INDIRECT(CONCATENATE("Table!",ADDRESS($T177,MATCH(H$1,INDIRECT("Table!A" &amp; $AK177):INDIRECT("Table!" &amp; $AN$275 &amp; $AK177),0)))))</f>
        <v/>
      </c>
      <c r="I177" s="273"/>
      <c r="J177" s="273"/>
      <c r="K177" s="24" t="str">
        <f ca="1">IF(ISERROR(MATCH(L$1,INDIRECT("Table!A"&amp;$AK177):INDIRECT("Table!" &amp; $AN$275 &amp; $AK177),0)),"",INDIRECT(CONCATENATE("Table!",ADDRESS($T177,MATCH(L$1,INDIRECT("Table!A" &amp; $AK177):INDIRECT("Table!" &amp; $AN$275 &amp; $AK177),0)))))</f>
        <v/>
      </c>
      <c r="L177" s="24" t="str">
        <f ca="1">IF(ISERROR(MATCH(M$1,INDIRECT("Table!A"&amp;$AK177):INDIRECT("Table!" &amp; $AN$275 &amp; $AK177),0)),"",INDIRECT(CONCATENATE("Table!",ADDRESS($T177,MATCH(M$1,INDIRECT("Table!A" &amp; $AK177):INDIRECT("Table!" &amp; $AN$275 &amp; $AK177),0)))))</f>
        <v/>
      </c>
      <c r="M177" s="24" t="str">
        <f ca="1">IF(ISERROR(MATCH(N$1,INDIRECT("Table!A"&amp;$AK177):INDIRECT("Table!" &amp; $AN$275 &amp; $AK177),0)),"",INDIRECT(CONCATENATE("Table!",ADDRESS($T177,MATCH(N$1,INDIRECT("Table!A" &amp; $AK177):INDIRECT("Table!" &amp; $AN$275 &amp; $AK177),0)))))</f>
        <v/>
      </c>
      <c r="N177" s="24" t="str">
        <f ca="1">IF(ISERROR(MATCH(O$1,INDIRECT("Table!A"&amp;$AK177):INDIRECT("Table!" &amp; $AN$275 &amp; $AK177),0)),"",INDIRECT(CONCATENATE("Table!",ADDRESS($T177,MATCH(O$1,INDIRECT("Table!A" &amp; $AK177):INDIRECT("Table!" &amp; $AN$275 &amp; $AK177),0)))))</f>
        <v/>
      </c>
      <c r="O177" s="24" t="str">
        <f ca="1">IF(ISERROR(MATCH(P$1,INDIRECT("Table!A"&amp;$AK177):INDIRECT("Table!" &amp; $AN$275 &amp; $AK177),0)),"",INDIRECT(CONCATENATE("Table!",ADDRESS($T177,MATCH(P$1,INDIRECT("Table!A" &amp; $AK177):INDIRECT("Table!" &amp; $AN$275 &amp; $AK177),0)))))</f>
        <v/>
      </c>
      <c r="P177" s="273" t="str">
        <f ca="1">IF(ISERROR(MATCH(Q$1,INDIRECT("Table!A"&amp;$AK177):INDIRECT("Table!" &amp; $AN$275 &amp; $AK177),0)),"",INDIRECT(CONCATENATE("Table!",ADDRESS($T177,MATCH(Q$1,INDIRECT("Table!A" &amp; $AK177):INDIRECT("Table!" &amp; $AN$275 &amp; $AK177),0)))))</f>
        <v/>
      </c>
      <c r="Q177" s="168"/>
      <c r="R177" s="168"/>
      <c r="S177" s="168"/>
      <c r="T177" s="22"/>
      <c r="AI177" s="168"/>
      <c r="AJ177" s="168"/>
      <c r="AK177" s="22"/>
      <c r="AL177" s="168"/>
      <c r="AM177" s="168"/>
      <c r="AN177" s="22"/>
      <c r="AO177" s="25"/>
      <c r="AP177" s="25"/>
      <c r="AQ177" s="25"/>
    </row>
    <row r="178" spans="2:54" ht="18" customHeight="1" x14ac:dyDescent="0.25">
      <c r="B178" s="24"/>
      <c r="C178" s="24" t="str">
        <f ca="1">IF(ISERROR(MATCH(C$1,INDIRECT("Table!A"&amp;$AK178):INDIRECT("Table!" &amp; $AN$275 &amp; $AK178),0)),"",INDIRECT(CONCATENATE("Table!",ADDRESS($T178,MATCH(C$1,INDIRECT("Table!A" &amp; $AK178):INDIRECT("Table!" &amp; $AN$275 &amp; $AK178),0)))))</f>
        <v/>
      </c>
      <c r="D178" s="24" t="str">
        <f ca="1">IF(ISERROR(MATCH(D$1,INDIRECT("Table!A"&amp;$AK178):INDIRECT("Table!" &amp; $AN$275 &amp; $AK178),0)),"",INDIRECT(CONCATENATE("Table!",ADDRESS($T178,MATCH(D$1,INDIRECT("Table!A" &amp; $AK178):INDIRECT("Table!" &amp; $AN$275 &amp; $AK178),0)))))</f>
        <v/>
      </c>
      <c r="E178" s="24" t="str">
        <f ca="1">IF(ISERROR(MATCH(E$1,INDIRECT("Table!A"&amp;$AK178):INDIRECT("Table!" &amp; $AN$275 &amp; $AK178),0)),"",INDIRECT(CONCATENATE("Table!",ADDRESS($T178,MATCH(E$1,INDIRECT("Table!A" &amp; $AK178):INDIRECT("Table!" &amp; $AN$275 &amp; $AK178),0)))))</f>
        <v/>
      </c>
      <c r="F178" s="24" t="str">
        <f ca="1">IF(ISERROR(MATCH(F$1,INDIRECT("Table!A"&amp;$AK178):INDIRECT("Table!" &amp; $AN$275 &amp; $AK178),0)),"",INDIRECT(CONCATENATE("Table!",ADDRESS($T178,MATCH(F$1,INDIRECT("Table!A" &amp; $AK178):INDIRECT("Table!" &amp; $AN$275 &amp; $AK178),0)))))</f>
        <v/>
      </c>
      <c r="G178" s="24" t="str">
        <f ca="1">IF(ISERROR(MATCH(G$1,INDIRECT("Table!A"&amp;$AK178):INDIRECT("Table!" &amp; $AN$275 &amp; $AK178),0)),"",INDIRECT(CONCATENATE("Table!",ADDRESS($T178,MATCH(G$1,INDIRECT("Table!A" &amp; $AK178):INDIRECT("Table!" &amp; $AN$275 &amp; $AK178),0)))))</f>
        <v/>
      </c>
      <c r="H178" s="24" t="str">
        <f ca="1">IF(ISERROR(MATCH(H$1,INDIRECT("Table!A"&amp;$AK178):INDIRECT("Table!" &amp; $AN$275 &amp; $AK178),0)),"",INDIRECT(CONCATENATE("Table!",ADDRESS($T178,MATCH(H$1,INDIRECT("Table!A" &amp; $AK178):INDIRECT("Table!" &amp; $AN$275 &amp; $AK178),0)))))</f>
        <v/>
      </c>
      <c r="I178" s="273"/>
      <c r="J178" s="273"/>
      <c r="K178" s="24" t="str">
        <f ca="1">IF(ISERROR(MATCH(L$1,INDIRECT("Table!A"&amp;$AK178):INDIRECT("Table!" &amp; $AN$275 &amp; $AK178),0)),"",INDIRECT(CONCATENATE("Table!",ADDRESS($T178,MATCH(L$1,INDIRECT("Table!A" &amp; $AK178):INDIRECT("Table!" &amp; $AN$275 &amp; $AK178),0)))))</f>
        <v/>
      </c>
      <c r="L178" s="24" t="str">
        <f ca="1">IF(ISERROR(MATCH(M$1,INDIRECT("Table!A"&amp;$AK178):INDIRECT("Table!" &amp; $AN$275 &amp; $AK178),0)),"",INDIRECT(CONCATENATE("Table!",ADDRESS($T178,MATCH(M$1,INDIRECT("Table!A" &amp; $AK178):INDIRECT("Table!" &amp; $AN$275 &amp; $AK178),0)))))</f>
        <v/>
      </c>
      <c r="M178" s="24" t="str">
        <f ca="1">IF(ISERROR(MATCH(N$1,INDIRECT("Table!A"&amp;$AK178):INDIRECT("Table!" &amp; $AN$275 &amp; $AK178),0)),"",INDIRECT(CONCATENATE("Table!",ADDRESS($T178,MATCH(N$1,INDIRECT("Table!A" &amp; $AK178):INDIRECT("Table!" &amp; $AN$275 &amp; $AK178),0)))))</f>
        <v/>
      </c>
      <c r="N178" s="24" t="str">
        <f ca="1">IF(ISERROR(MATCH(O$1,INDIRECT("Table!A"&amp;$AK178):INDIRECT("Table!" &amp; $AN$275 &amp; $AK178),0)),"",INDIRECT(CONCATENATE("Table!",ADDRESS($T178,MATCH(O$1,INDIRECT("Table!A" &amp; $AK178):INDIRECT("Table!" &amp; $AN$275 &amp; $AK178),0)))))</f>
        <v/>
      </c>
      <c r="O178" s="24" t="str">
        <f ca="1">IF(ISERROR(MATCH(P$1,INDIRECT("Table!A"&amp;$AK178):INDIRECT("Table!" &amp; $AN$275 &amp; $AK178),0)),"",INDIRECT(CONCATENATE("Table!",ADDRESS($T178,MATCH(P$1,INDIRECT("Table!A" &amp; $AK178):INDIRECT("Table!" &amp; $AN$275 &amp; $AK178),0)))))</f>
        <v/>
      </c>
      <c r="P178" s="273" t="str">
        <f ca="1">IF(ISERROR(MATCH(Q$1,INDIRECT("Table!A"&amp;$AK178):INDIRECT("Table!" &amp; $AN$275 &amp; $AK178),0)),"",INDIRECT(CONCATENATE("Table!",ADDRESS($T178,MATCH(Q$1,INDIRECT("Table!A" &amp; $AK178):INDIRECT("Table!" &amp; $AN$275 &amp; $AK178),0)))))</f>
        <v/>
      </c>
      <c r="Q178" s="167"/>
      <c r="R178" s="167"/>
      <c r="S178" s="167"/>
      <c r="T178" s="22"/>
      <c r="AI178" s="167"/>
      <c r="AJ178" s="167"/>
      <c r="AK178" s="22"/>
      <c r="AL178" s="167"/>
      <c r="AM178" s="167"/>
      <c r="AN178" s="22"/>
      <c r="AO178" s="25"/>
      <c r="AP178" s="25"/>
      <c r="AQ178" s="25"/>
    </row>
    <row r="179" spans="2:54" ht="18" customHeight="1" x14ac:dyDescent="0.25">
      <c r="B179" s="24"/>
      <c r="C179" s="24" t="str">
        <f ca="1">IF(ISERROR(MATCH(C$1,INDIRECT("Table!A"&amp;$AK179):INDIRECT("Table!" &amp; $AN$275 &amp; $AK179),0)),"",INDIRECT(CONCATENATE("Table!",ADDRESS($T179,MATCH(C$1,INDIRECT("Table!A" &amp; $AK179):INDIRECT("Table!" &amp; $AN$275 &amp; $AK179),0)))))</f>
        <v/>
      </c>
      <c r="D179" s="24" t="str">
        <f ca="1">IF(ISERROR(MATCH(D$1,INDIRECT("Table!A"&amp;$AK179):INDIRECT("Table!" &amp; $AN$275 &amp; $AK179),0)),"",INDIRECT(CONCATENATE("Table!",ADDRESS($T179,MATCH(D$1,INDIRECT("Table!A" &amp; $AK179):INDIRECT("Table!" &amp; $AN$275 &amp; $AK179),0)))))</f>
        <v/>
      </c>
      <c r="E179" s="24" t="str">
        <f ca="1">IF(ISERROR(MATCH(E$1,INDIRECT("Table!A"&amp;$AK179):INDIRECT("Table!" &amp; $AN$275 &amp; $AK179),0)),"",INDIRECT(CONCATENATE("Table!",ADDRESS($T179,MATCH(E$1,INDIRECT("Table!A" &amp; $AK179):INDIRECT("Table!" &amp; $AN$275 &amp; $AK179),0)))))</f>
        <v/>
      </c>
      <c r="F179" s="24" t="str">
        <f ca="1">IF(ISERROR(MATCH(F$1,INDIRECT("Table!A"&amp;$AK179):INDIRECT("Table!" &amp; $AN$275 &amp; $AK179),0)),"",INDIRECT(CONCATENATE("Table!",ADDRESS($T179,MATCH(F$1,INDIRECT("Table!A" &amp; $AK179):INDIRECT("Table!" &amp; $AN$275 &amp; $AK179),0)))))</f>
        <v/>
      </c>
      <c r="G179" s="24" t="str">
        <f ca="1">IF(ISERROR(MATCH(G$1,INDIRECT("Table!A"&amp;$AK179):INDIRECT("Table!" &amp; $AN$275 &amp; $AK179),0)),"",INDIRECT(CONCATENATE("Table!",ADDRESS($T179,MATCH(G$1,INDIRECT("Table!A" &amp; $AK179):INDIRECT("Table!" &amp; $AN$275 &amp; $AK179),0)))))</f>
        <v/>
      </c>
      <c r="H179" s="24" t="str">
        <f ca="1">IF(ISERROR(MATCH(H$1,INDIRECT("Table!A"&amp;$AK179):INDIRECT("Table!" &amp; $AN$275 &amp; $AK179),0)),"",INDIRECT(CONCATENATE("Table!",ADDRESS($T179,MATCH(H$1,INDIRECT("Table!A" &amp; $AK179):INDIRECT("Table!" &amp; $AN$275 &amp; $AK179),0)))))</f>
        <v/>
      </c>
      <c r="I179" s="273"/>
      <c r="J179" s="273"/>
      <c r="K179" s="24" t="str">
        <f ca="1">IF(ISERROR(MATCH(L$1,INDIRECT("Table!A"&amp;$AK179):INDIRECT("Table!" &amp; $AN$275 &amp; $AK179),0)),"",INDIRECT(CONCATENATE("Table!",ADDRESS($T179,MATCH(L$1,INDIRECT("Table!A" &amp; $AK179):INDIRECT("Table!" &amp; $AN$275 &amp; $AK179),0)))))</f>
        <v/>
      </c>
      <c r="L179" s="24" t="str">
        <f ca="1">IF(ISERROR(MATCH(M$1,INDIRECT("Table!A"&amp;$AK179):INDIRECT("Table!" &amp; $AN$275 &amp; $AK179),0)),"",INDIRECT(CONCATENATE("Table!",ADDRESS($T179,MATCH(M$1,INDIRECT("Table!A" &amp; $AK179):INDIRECT("Table!" &amp; $AN$275 &amp; $AK179),0)))))</f>
        <v/>
      </c>
      <c r="M179" s="24" t="str">
        <f ca="1">IF(ISERROR(MATCH(N$1,INDIRECT("Table!A"&amp;$AK179):INDIRECT("Table!" &amp; $AN$275 &amp; $AK179),0)),"",INDIRECT(CONCATENATE("Table!",ADDRESS($T179,MATCH(N$1,INDIRECT("Table!A" &amp; $AK179):INDIRECT("Table!" &amp; $AN$275 &amp; $AK179),0)))))</f>
        <v/>
      </c>
      <c r="N179" s="24" t="str">
        <f ca="1">IF(ISERROR(MATCH(O$1,INDIRECT("Table!A"&amp;$AK179):INDIRECT("Table!" &amp; $AN$275 &amp; $AK179),0)),"",INDIRECT(CONCATENATE("Table!",ADDRESS($T179,MATCH(O$1,INDIRECT("Table!A" &amp; $AK179):INDIRECT("Table!" &amp; $AN$275 &amp; $AK179),0)))))</f>
        <v/>
      </c>
      <c r="O179" s="24" t="str">
        <f ca="1">IF(ISERROR(MATCH(P$1,INDIRECT("Table!A"&amp;$AK179):INDIRECT("Table!" &amp; $AN$275 &amp; $AK179),0)),"",INDIRECT(CONCATENATE("Table!",ADDRESS($T179,MATCH(P$1,INDIRECT("Table!A" &amp; $AK179):INDIRECT("Table!" &amp; $AN$275 &amp; $AK179),0)))))</f>
        <v/>
      </c>
      <c r="P179" s="273" t="str">
        <f ca="1">IF(ISERROR(MATCH(Q$1,INDIRECT("Table!A"&amp;$AK179):INDIRECT("Table!" &amp; $AN$275 &amp; $AK179),0)),"",INDIRECT(CONCATENATE("Table!",ADDRESS($T179,MATCH(Q$1,INDIRECT("Table!A" &amp; $AK179):INDIRECT("Table!" &amp; $AN$275 &amp; $AK179),0)))))</f>
        <v/>
      </c>
      <c r="Q179" s="164"/>
      <c r="R179" s="164"/>
      <c r="S179" s="164"/>
      <c r="T179" s="22"/>
      <c r="AI179" s="164"/>
      <c r="AJ179" s="164"/>
      <c r="AK179" s="22"/>
      <c r="AL179" s="164"/>
      <c r="AM179" s="164"/>
      <c r="AN179" s="22"/>
      <c r="AO179" s="25"/>
      <c r="AP179" s="25"/>
      <c r="AQ179" s="25"/>
    </row>
    <row r="180" spans="2:54" ht="18" customHeight="1" x14ac:dyDescent="0.25">
      <c r="B180" s="24"/>
      <c r="C180" s="24" t="str">
        <f ca="1">IF(ISERROR(MATCH(C$1,INDIRECT("Table!A"&amp;$AK180):INDIRECT("Table!" &amp; $AN$275 &amp; $AK180),0)),"",INDIRECT(CONCATENATE("Table!",ADDRESS($T180,MATCH(C$1,INDIRECT("Table!A" &amp; $AK180):INDIRECT("Table!" &amp; $AN$275 &amp; $AK180),0)))))</f>
        <v/>
      </c>
      <c r="D180" s="24" t="str">
        <f ca="1">IF(ISERROR(MATCH(D$1,INDIRECT("Table!A"&amp;$AK180):INDIRECT("Table!" &amp; $AN$275 &amp; $AK180),0)),"",INDIRECT(CONCATENATE("Table!",ADDRESS($T180,MATCH(D$1,INDIRECT("Table!A" &amp; $AK180):INDIRECT("Table!" &amp; $AN$275 &amp; $AK180),0)))))</f>
        <v/>
      </c>
      <c r="E180" s="24" t="str">
        <f ca="1">IF(ISERROR(MATCH(E$1,INDIRECT("Table!A"&amp;$AK180):INDIRECT("Table!" &amp; $AN$275 &amp; $AK180),0)),"",INDIRECT(CONCATENATE("Table!",ADDRESS($T180,MATCH(E$1,INDIRECT("Table!A" &amp; $AK180):INDIRECT("Table!" &amp; $AN$275 &amp; $AK180),0)))))</f>
        <v/>
      </c>
      <c r="F180" s="24" t="str">
        <f ca="1">IF(ISERROR(MATCH(F$1,INDIRECT("Table!A"&amp;$AK180):INDIRECT("Table!" &amp; $AN$275 &amp; $AK180),0)),"",INDIRECT(CONCATENATE("Table!",ADDRESS($T180,MATCH(F$1,INDIRECT("Table!A" &amp; $AK180):INDIRECT("Table!" &amp; $AN$275 &amp; $AK180),0)))))</f>
        <v/>
      </c>
      <c r="G180" s="24" t="str">
        <f ca="1">IF(ISERROR(MATCH(G$1,INDIRECT("Table!A"&amp;$AK180):INDIRECT("Table!" &amp; $AN$275 &amp; $AK180),0)),"",INDIRECT(CONCATENATE("Table!",ADDRESS($T180,MATCH(G$1,INDIRECT("Table!A" &amp; $AK180):INDIRECT("Table!" &amp; $AN$275 &amp; $AK180),0)))))</f>
        <v/>
      </c>
      <c r="H180" s="24" t="str">
        <f ca="1">IF(ISERROR(MATCH(H$1,INDIRECT("Table!A"&amp;$AK180):INDIRECT("Table!" &amp; $AN$275 &amp; $AK180),0)),"",INDIRECT(CONCATENATE("Table!",ADDRESS($T180,MATCH(H$1,INDIRECT("Table!A" &amp; $AK180):INDIRECT("Table!" &amp; $AN$275 &amp; $AK180),0)))))</f>
        <v/>
      </c>
      <c r="I180" s="273"/>
      <c r="J180" s="273"/>
      <c r="K180" s="24" t="str">
        <f ca="1">IF(ISERROR(MATCH(L$1,INDIRECT("Table!A"&amp;$AK180):INDIRECT("Table!" &amp; $AN$275 &amp; $AK180),0)),"",INDIRECT(CONCATENATE("Table!",ADDRESS($T180,MATCH(L$1,INDIRECT("Table!A" &amp; $AK180):INDIRECT("Table!" &amp; $AN$275 &amp; $AK180),0)))))</f>
        <v/>
      </c>
      <c r="L180" s="24" t="str">
        <f ca="1">IF(ISERROR(MATCH(M$1,INDIRECT("Table!A"&amp;$AK180):INDIRECT("Table!" &amp; $AN$275 &amp; $AK180),0)),"",INDIRECT(CONCATENATE("Table!",ADDRESS($T180,MATCH(M$1,INDIRECT("Table!A" &amp; $AK180):INDIRECT("Table!" &amp; $AN$275 &amp; $AK180),0)))))</f>
        <v/>
      </c>
      <c r="M180" s="24" t="str">
        <f ca="1">IF(ISERROR(MATCH(N$1,INDIRECT("Table!A"&amp;$AK180):INDIRECT("Table!" &amp; $AN$275 &amp; $AK180),0)),"",INDIRECT(CONCATENATE("Table!",ADDRESS($T180,MATCH(N$1,INDIRECT("Table!A" &amp; $AK180):INDIRECT("Table!" &amp; $AN$275 &amp; $AK180),0)))))</f>
        <v/>
      </c>
      <c r="N180" s="24" t="str">
        <f ca="1">IF(ISERROR(MATCH(O$1,INDIRECT("Table!A"&amp;$AK180):INDIRECT("Table!" &amp; $AN$275 &amp; $AK180),0)),"",INDIRECT(CONCATENATE("Table!",ADDRESS($T180,MATCH(O$1,INDIRECT("Table!A" &amp; $AK180):INDIRECT("Table!" &amp; $AN$275 &amp; $AK180),0)))))</f>
        <v/>
      </c>
      <c r="O180" s="24" t="str">
        <f ca="1">IF(ISERROR(MATCH(P$1,INDIRECT("Table!A"&amp;$AK180):INDIRECT("Table!" &amp; $AN$275 &amp; $AK180),0)),"",INDIRECT(CONCATENATE("Table!",ADDRESS($T180,MATCH(P$1,INDIRECT("Table!A" &amp; $AK180):INDIRECT("Table!" &amp; $AN$275 &amp; $AK180),0)))))</f>
        <v/>
      </c>
      <c r="P180" s="273" t="str">
        <f ca="1">IF(ISERROR(MATCH(Q$1,INDIRECT("Table!A"&amp;$AK180):INDIRECT("Table!" &amp; $AN$275 &amp; $AK180),0)),"",INDIRECT(CONCATENATE("Table!",ADDRESS($T180,MATCH(Q$1,INDIRECT("Table!A" &amp; $AK180):INDIRECT("Table!" &amp; $AN$275 &amp; $AK180),0)))))</f>
        <v/>
      </c>
      <c r="Q180" s="165"/>
      <c r="R180" s="165"/>
      <c r="S180" s="165"/>
      <c r="T180" s="22"/>
      <c r="AI180" s="165"/>
      <c r="AJ180" s="165"/>
      <c r="AK180" s="22"/>
      <c r="AL180" s="165"/>
      <c r="AM180" s="165"/>
      <c r="AN180" s="22"/>
      <c r="AO180" s="25"/>
      <c r="AP180" s="25"/>
      <c r="AQ180" s="25"/>
    </row>
    <row r="181" spans="2:54" ht="18" customHeight="1" x14ac:dyDescent="0.25">
      <c r="B181" s="24"/>
      <c r="C181" s="24" t="str">
        <f ca="1">IF(ISERROR(MATCH(C$1,INDIRECT("Table!A"&amp;$AK181):INDIRECT("Table!" &amp; $AN$275 &amp; $AK181),0)),"",INDIRECT(CONCATENATE("Table!",ADDRESS($T181,MATCH(C$1,INDIRECT("Table!A" &amp; $AK181):INDIRECT("Table!" &amp; $AN$275 &amp; $AK181),0)))))</f>
        <v/>
      </c>
      <c r="D181" s="24" t="str">
        <f ca="1">IF(ISERROR(MATCH(D$1,INDIRECT("Table!A"&amp;$AK181):INDIRECT("Table!" &amp; $AN$275 &amp; $AK181),0)),"",INDIRECT(CONCATENATE("Table!",ADDRESS($T181,MATCH(D$1,INDIRECT("Table!A" &amp; $AK181):INDIRECT("Table!" &amp; $AN$275 &amp; $AK181),0)))))</f>
        <v/>
      </c>
      <c r="E181" s="24" t="str">
        <f ca="1">IF(ISERROR(MATCH(E$1,INDIRECT("Table!A"&amp;$AK181):INDIRECT("Table!" &amp; $AN$275 &amp; $AK181),0)),"",INDIRECT(CONCATENATE("Table!",ADDRESS($T181,MATCH(E$1,INDIRECT("Table!A" &amp; $AK181):INDIRECT("Table!" &amp; $AN$275 &amp; $AK181),0)))))</f>
        <v/>
      </c>
      <c r="F181" s="24" t="str">
        <f ca="1">IF(ISERROR(MATCH(F$1,INDIRECT("Table!A"&amp;$AK181):INDIRECT("Table!" &amp; $AN$275 &amp; $AK181),0)),"",INDIRECT(CONCATENATE("Table!",ADDRESS($T181,MATCH(F$1,INDIRECT("Table!A" &amp; $AK181):INDIRECT("Table!" &amp; $AN$275 &amp; $AK181),0)))))</f>
        <v/>
      </c>
      <c r="G181" s="24" t="str">
        <f ca="1">IF(ISERROR(MATCH(G$1,INDIRECT("Table!A"&amp;$AK181):INDIRECT("Table!" &amp; $AN$275 &amp; $AK181),0)),"",INDIRECT(CONCATENATE("Table!",ADDRESS($T181,MATCH(G$1,INDIRECT("Table!A" &amp; $AK181):INDIRECT("Table!" &amp; $AN$275 &amp; $AK181),0)))))</f>
        <v/>
      </c>
      <c r="H181" s="24" t="str">
        <f ca="1">IF(ISERROR(MATCH(H$1,INDIRECT("Table!A"&amp;$AK181):INDIRECT("Table!" &amp; $AN$275 &amp; $AK181),0)),"",INDIRECT(CONCATENATE("Table!",ADDRESS($T181,MATCH(H$1,INDIRECT("Table!A" &amp; $AK181):INDIRECT("Table!" &amp; $AN$275 &amp; $AK181),0)))))</f>
        <v/>
      </c>
      <c r="I181" s="273"/>
      <c r="J181" s="273"/>
      <c r="K181" s="24" t="str">
        <f ca="1">IF(ISERROR(MATCH(L$1,INDIRECT("Table!A"&amp;$AK181):INDIRECT("Table!" &amp; $AN$275 &amp; $AK181),0)),"",INDIRECT(CONCATENATE("Table!",ADDRESS($T181,MATCH(L$1,INDIRECT("Table!A" &amp; $AK181):INDIRECT("Table!" &amp; $AN$275 &amp; $AK181),0)))))</f>
        <v/>
      </c>
      <c r="L181" s="24" t="str">
        <f ca="1">IF(ISERROR(MATCH(M$1,INDIRECT("Table!A"&amp;$AK181):INDIRECT("Table!" &amp; $AN$275 &amp; $AK181),0)),"",INDIRECT(CONCATENATE("Table!",ADDRESS($T181,MATCH(M$1,INDIRECT("Table!A" &amp; $AK181):INDIRECT("Table!" &amp; $AN$275 &amp; $AK181),0)))))</f>
        <v/>
      </c>
      <c r="M181" s="24" t="str">
        <f ca="1">IF(ISERROR(MATCH(N$1,INDIRECT("Table!A"&amp;$AK181):INDIRECT("Table!" &amp; $AN$275 &amp; $AK181),0)),"",INDIRECT(CONCATENATE("Table!",ADDRESS($T181,MATCH(N$1,INDIRECT("Table!A" &amp; $AK181):INDIRECT("Table!" &amp; $AN$275 &amp; $AK181),0)))))</f>
        <v/>
      </c>
      <c r="N181" s="24" t="str">
        <f ca="1">IF(ISERROR(MATCH(O$1,INDIRECT("Table!A"&amp;$AK181):INDIRECT("Table!" &amp; $AN$275 &amp; $AK181),0)),"",INDIRECT(CONCATENATE("Table!",ADDRESS($T181,MATCH(O$1,INDIRECT("Table!A" &amp; $AK181):INDIRECT("Table!" &amp; $AN$275 &amp; $AK181),0)))))</f>
        <v/>
      </c>
      <c r="O181" s="24" t="str">
        <f ca="1">IF(ISERROR(MATCH(P$1,INDIRECT("Table!A"&amp;$AK181):INDIRECT("Table!" &amp; $AN$275 &amp; $AK181),0)),"",INDIRECT(CONCATENATE("Table!",ADDRESS($T181,MATCH(P$1,INDIRECT("Table!A" &amp; $AK181):INDIRECT("Table!" &amp; $AN$275 &amp; $AK181),0)))))</f>
        <v/>
      </c>
      <c r="P181" s="273" t="str">
        <f ca="1">IF(ISERROR(MATCH(Q$1,INDIRECT("Table!A"&amp;$AK181):INDIRECT("Table!" &amp; $AN$275 &amp; $AK181),0)),"",INDIRECT(CONCATENATE("Table!",ADDRESS($T181,MATCH(Q$1,INDIRECT("Table!A" &amp; $AK181):INDIRECT("Table!" &amp; $AN$275 &amp; $AK181),0)))))</f>
        <v/>
      </c>
      <c r="Q181" s="163"/>
      <c r="R181" s="163"/>
      <c r="S181" s="163"/>
      <c r="T181" s="22"/>
      <c r="AI181" s="163"/>
      <c r="AJ181" s="163"/>
      <c r="AK181" s="22"/>
      <c r="AL181" s="163"/>
      <c r="AM181" s="163"/>
      <c r="AN181" s="22"/>
      <c r="AO181" s="25"/>
      <c r="AP181" s="25"/>
      <c r="AQ181" s="25"/>
    </row>
    <row r="182" spans="2:54" ht="18" customHeight="1" x14ac:dyDescent="0.25">
      <c r="B182" s="24"/>
      <c r="C182" s="24" t="str">
        <f ca="1">IF(ISERROR(MATCH(C$1,INDIRECT("Table!A"&amp;$AK182):INDIRECT("Table!" &amp; $AN$275 &amp; $AK182),0)),"",INDIRECT(CONCATENATE("Table!",ADDRESS($T182,MATCH(C$1,INDIRECT("Table!A" &amp; $AK182):INDIRECT("Table!" &amp; $AN$275 &amp; $AK182),0)))))</f>
        <v/>
      </c>
      <c r="D182" s="24" t="str">
        <f ca="1">IF(ISERROR(MATCH(D$1,INDIRECT("Table!A"&amp;$AK182):INDIRECT("Table!" &amp; $AN$275 &amp; $AK182),0)),"",INDIRECT(CONCATENATE("Table!",ADDRESS($T182,MATCH(D$1,INDIRECT("Table!A" &amp; $AK182):INDIRECT("Table!" &amp; $AN$275 &amp; $AK182),0)))))</f>
        <v/>
      </c>
      <c r="E182" s="24" t="str">
        <f ca="1">IF(ISERROR(MATCH(E$1,INDIRECT("Table!A"&amp;$AK182):INDIRECT("Table!" &amp; $AN$275 &amp; $AK182),0)),"",INDIRECT(CONCATENATE("Table!",ADDRESS($T182,MATCH(E$1,INDIRECT("Table!A" &amp; $AK182):INDIRECT("Table!" &amp; $AN$275 &amp; $AK182),0)))))</f>
        <v/>
      </c>
      <c r="F182" s="24" t="str">
        <f ca="1">IF(ISERROR(MATCH(F$1,INDIRECT("Table!A"&amp;$AK182):INDIRECT("Table!" &amp; $AN$275 &amp; $AK182),0)),"",INDIRECT(CONCATENATE("Table!",ADDRESS($T182,MATCH(F$1,INDIRECT("Table!A" &amp; $AK182):INDIRECT("Table!" &amp; $AN$275 &amp; $AK182),0)))))</f>
        <v/>
      </c>
      <c r="G182" s="24" t="str">
        <f ca="1">IF(ISERROR(MATCH(G$1,INDIRECT("Table!A"&amp;$AK182):INDIRECT("Table!" &amp; $AN$275 &amp; $AK182),0)),"",INDIRECT(CONCATENATE("Table!",ADDRESS($T182,MATCH(G$1,INDIRECT("Table!A" &amp; $AK182):INDIRECT("Table!" &amp; $AN$275 &amp; $AK182),0)))))</f>
        <v/>
      </c>
      <c r="H182" s="24" t="str">
        <f ca="1">IF(ISERROR(MATCH(H$1,INDIRECT("Table!A"&amp;$AK182):INDIRECT("Table!" &amp; $AN$275 &amp; $AK182),0)),"",INDIRECT(CONCATENATE("Table!",ADDRESS($T182,MATCH(H$1,INDIRECT("Table!A" &amp; $AK182):INDIRECT("Table!" &amp; $AN$275 &amp; $AK182),0)))))</f>
        <v/>
      </c>
      <c r="I182" s="273"/>
      <c r="J182" s="273"/>
      <c r="K182" s="24" t="str">
        <f ca="1">IF(ISERROR(MATCH(L$1,INDIRECT("Table!A"&amp;$AK182):INDIRECT("Table!" &amp; $AN$275 &amp; $AK182),0)),"",INDIRECT(CONCATENATE("Table!",ADDRESS($T182,MATCH(L$1,INDIRECT("Table!A" &amp; $AK182):INDIRECT("Table!" &amp; $AN$275 &amp; $AK182),0)))))</f>
        <v/>
      </c>
      <c r="L182" s="24" t="str">
        <f ca="1">IF(ISERROR(MATCH(M$1,INDIRECT("Table!A"&amp;$AK182):INDIRECT("Table!" &amp; $AN$275 &amp; $AK182),0)),"",INDIRECT(CONCATENATE("Table!",ADDRESS($T182,MATCH(M$1,INDIRECT("Table!A" &amp; $AK182):INDIRECT("Table!" &amp; $AN$275 &amp; $AK182),0)))))</f>
        <v/>
      </c>
      <c r="M182" s="24" t="str">
        <f ca="1">IF(ISERROR(MATCH(N$1,INDIRECT("Table!A"&amp;$AK182):INDIRECT("Table!" &amp; $AN$275 &amp; $AK182),0)),"",INDIRECT(CONCATENATE("Table!",ADDRESS($T182,MATCH(N$1,INDIRECT("Table!A" &amp; $AK182):INDIRECT("Table!" &amp; $AN$275 &amp; $AK182),0)))))</f>
        <v/>
      </c>
      <c r="N182" s="24" t="str">
        <f ca="1">IF(ISERROR(MATCH(O$1,INDIRECT("Table!A"&amp;$AK182):INDIRECT("Table!" &amp; $AN$275 &amp; $AK182),0)),"",INDIRECT(CONCATENATE("Table!",ADDRESS($T182,MATCH(O$1,INDIRECT("Table!A" &amp; $AK182):INDIRECT("Table!" &amp; $AN$275 &amp; $AK182),0)))))</f>
        <v/>
      </c>
      <c r="O182" s="24" t="str">
        <f ca="1">IF(ISERROR(MATCH(P$1,INDIRECT("Table!A"&amp;$AK182):INDIRECT("Table!" &amp; $AN$275 &amp; $AK182),0)),"",INDIRECT(CONCATENATE("Table!",ADDRESS($T182,MATCH(P$1,INDIRECT("Table!A" &amp; $AK182):INDIRECT("Table!" &amp; $AN$275 &amp; $AK182),0)))))</f>
        <v/>
      </c>
      <c r="P182" s="273" t="str">
        <f ca="1">IF(ISERROR(MATCH(Q$1,INDIRECT("Table!A"&amp;$AK182):INDIRECT("Table!" &amp; $AN$275 &amp; $AK182),0)),"",INDIRECT(CONCATENATE("Table!",ADDRESS($T182,MATCH(Q$1,INDIRECT("Table!A" &amp; $AK182):INDIRECT("Table!" &amp; $AN$275 &amp; $AK182),0)))))</f>
        <v/>
      </c>
      <c r="Q182" s="124"/>
      <c r="R182" s="124"/>
      <c r="S182" s="124"/>
      <c r="T182" s="22"/>
      <c r="AI182" s="124"/>
      <c r="AJ182" s="124"/>
      <c r="AK182" s="22"/>
      <c r="AL182" s="124"/>
      <c r="AM182" s="124"/>
      <c r="AN182" s="124"/>
      <c r="BA182" s="25"/>
      <c r="BB182" s="25"/>
    </row>
    <row r="183" spans="2:54" ht="18" customHeight="1" x14ac:dyDescent="0.25">
      <c r="B183" s="24"/>
      <c r="C183" s="24" t="str">
        <f ca="1">IF(ISERROR(MATCH(C$1,INDIRECT("Table!A"&amp;$AK183):INDIRECT("Table!" &amp; $AN$275 &amp; $AK183),0)),"",INDIRECT(CONCATENATE("Table!",ADDRESS($T183,MATCH(C$1,INDIRECT("Table!A" &amp; $AK183):INDIRECT("Table!" &amp; $AN$275 &amp; $AK183),0)))))</f>
        <v/>
      </c>
      <c r="D183" s="24" t="str">
        <f ca="1">IF(ISERROR(MATCH(D$1,INDIRECT("Table!A"&amp;$AK183):INDIRECT("Table!" &amp; $AN$275 &amp; $AK183),0)),"",INDIRECT(CONCATENATE("Table!",ADDRESS($T183,MATCH(D$1,INDIRECT("Table!A" &amp; $AK183):INDIRECT("Table!" &amp; $AN$275 &amp; $AK183),0)))))</f>
        <v/>
      </c>
      <c r="E183" s="24" t="str">
        <f ca="1">IF(ISERROR(MATCH(E$1,INDIRECT("Table!A"&amp;$AK183):INDIRECT("Table!" &amp; $AN$275 &amp; $AK183),0)),"",INDIRECT(CONCATENATE("Table!",ADDRESS($T183,MATCH(E$1,INDIRECT("Table!A" &amp; $AK183):INDIRECT("Table!" &amp; $AN$275 &amp; $AK183),0)))))</f>
        <v/>
      </c>
      <c r="F183" s="24" t="str">
        <f ca="1">IF(ISERROR(MATCH(F$1,INDIRECT("Table!A"&amp;$AK183):INDIRECT("Table!" &amp; $AN$275 &amp; $AK183),0)),"",INDIRECT(CONCATENATE("Table!",ADDRESS($T183,MATCH(F$1,INDIRECT("Table!A" &amp; $AK183):INDIRECT("Table!" &amp; $AN$275 &amp; $AK183),0)))))</f>
        <v/>
      </c>
      <c r="G183" s="24" t="str">
        <f ca="1">IF(ISERROR(MATCH(G$1,INDIRECT("Table!A"&amp;$AK183):INDIRECT("Table!" &amp; $AN$275 &amp; $AK183),0)),"",INDIRECT(CONCATENATE("Table!",ADDRESS($T183,MATCH(G$1,INDIRECT("Table!A" &amp; $AK183):INDIRECT("Table!" &amp; $AN$275 &amp; $AK183),0)))))</f>
        <v/>
      </c>
      <c r="H183" s="24" t="str">
        <f ca="1">IF(ISERROR(MATCH(H$1,INDIRECT("Table!A"&amp;$AK183):INDIRECT("Table!" &amp; $AN$275 &amp; $AK183),0)),"",INDIRECT(CONCATENATE("Table!",ADDRESS($T183,MATCH(H$1,INDIRECT("Table!A" &amp; $AK183):INDIRECT("Table!" &amp; $AN$275 &amp; $AK183),0)))))</f>
        <v/>
      </c>
      <c r="I183" s="273"/>
      <c r="J183" s="273"/>
      <c r="K183" s="24" t="str">
        <f ca="1">IF(ISERROR(MATCH(L$1,INDIRECT("Table!A"&amp;$AK183):INDIRECT("Table!" &amp; $AN$275 &amp; $AK183),0)),"",INDIRECT(CONCATENATE("Table!",ADDRESS($T183,MATCH(L$1,INDIRECT("Table!A" &amp; $AK183):INDIRECT("Table!" &amp; $AN$275 &amp; $AK183),0)))))</f>
        <v/>
      </c>
      <c r="L183" s="24" t="str">
        <f ca="1">IF(ISERROR(MATCH(M$1,INDIRECT("Table!A"&amp;$AK183):INDIRECT("Table!" &amp; $AN$275 &amp; $AK183),0)),"",INDIRECT(CONCATENATE("Table!",ADDRESS($T183,MATCH(M$1,INDIRECT("Table!A" &amp; $AK183):INDIRECT("Table!" &amp; $AN$275 &amp; $AK183),0)))))</f>
        <v/>
      </c>
      <c r="M183" s="24" t="str">
        <f ca="1">IF(ISERROR(MATCH(N$1,INDIRECT("Table!A"&amp;$AK183):INDIRECT("Table!" &amp; $AN$275 &amp; $AK183),0)),"",INDIRECT(CONCATENATE("Table!",ADDRESS($T183,MATCH(N$1,INDIRECT("Table!A" &amp; $AK183):INDIRECT("Table!" &amp; $AN$275 &amp; $AK183),0)))))</f>
        <v/>
      </c>
      <c r="N183" s="24" t="str">
        <f ca="1">IF(ISERROR(MATCH(O$1,INDIRECT("Table!A"&amp;$AK183):INDIRECT("Table!" &amp; $AN$275 &amp; $AK183),0)),"",INDIRECT(CONCATENATE("Table!",ADDRESS($T183,MATCH(O$1,INDIRECT("Table!A" &amp; $AK183):INDIRECT("Table!" &amp; $AN$275 &amp; $AK183),0)))))</f>
        <v/>
      </c>
      <c r="O183" s="24" t="str">
        <f ca="1">IF(ISERROR(MATCH(P$1,INDIRECT("Table!A"&amp;$AK183):INDIRECT("Table!" &amp; $AN$275 &amp; $AK183),0)),"",INDIRECT(CONCATENATE("Table!",ADDRESS($T183,MATCH(P$1,INDIRECT("Table!A" &amp; $AK183):INDIRECT("Table!" &amp; $AN$275 &amp; $AK183),0)))))</f>
        <v/>
      </c>
      <c r="P183" s="273" t="str">
        <f ca="1">IF(ISERROR(MATCH(Q$1,INDIRECT("Table!A"&amp;$AK183):INDIRECT("Table!" &amp; $AN$275 &amp; $AK183),0)),"",INDIRECT(CONCATENATE("Table!",ADDRESS($T183,MATCH(Q$1,INDIRECT("Table!A" &amp; $AK183):INDIRECT("Table!" &amp; $AN$275 &amp; $AK183),0)))))</f>
        <v/>
      </c>
      <c r="Q183" s="162"/>
      <c r="R183" s="162"/>
      <c r="S183" s="162"/>
      <c r="T183" s="22"/>
      <c r="AI183" s="162"/>
      <c r="AJ183" s="162"/>
      <c r="AK183" s="22"/>
      <c r="AL183" s="162"/>
      <c r="AM183" s="162"/>
      <c r="AN183" s="162"/>
      <c r="BA183" s="25"/>
      <c r="BB183" s="25"/>
    </row>
    <row r="184" spans="2:54" ht="18" customHeight="1" x14ac:dyDescent="0.25">
      <c r="B184" s="24"/>
      <c r="C184" s="24" t="str">
        <f ca="1">IF(ISERROR(MATCH(C$1,INDIRECT("Table!A"&amp;$AK184):INDIRECT("Table!" &amp; $AN$275 &amp; $AK184),0)),"",INDIRECT(CONCATENATE("Table!",ADDRESS($T184,MATCH(C$1,INDIRECT("Table!A" &amp; $AK184):INDIRECT("Table!" &amp; $AN$275 &amp; $AK184),0)))))</f>
        <v/>
      </c>
      <c r="D184" s="24" t="str">
        <f ca="1">IF(ISERROR(MATCH(D$1,INDIRECT("Table!A"&amp;$AK184):INDIRECT("Table!" &amp; $AN$275 &amp; $AK184),0)),"",INDIRECT(CONCATENATE("Table!",ADDRESS($T184,MATCH(D$1,INDIRECT("Table!A" &amp; $AK184):INDIRECT("Table!" &amp; $AN$275 &amp; $AK184),0)))))</f>
        <v/>
      </c>
      <c r="E184" s="24" t="str">
        <f ca="1">IF(ISERROR(MATCH(E$1,INDIRECT("Table!A"&amp;$AK184):INDIRECT("Table!" &amp; $AN$275 &amp; $AK184),0)),"",INDIRECT(CONCATENATE("Table!",ADDRESS($T184,MATCH(E$1,INDIRECT("Table!A" &amp; $AK184):INDIRECT("Table!" &amp; $AN$275 &amp; $AK184),0)))))</f>
        <v/>
      </c>
      <c r="F184" s="24" t="str">
        <f ca="1">IF(ISERROR(MATCH(F$1,INDIRECT("Table!A"&amp;$AK184):INDIRECT("Table!" &amp; $AN$275 &amp; $AK184),0)),"",INDIRECT(CONCATENATE("Table!",ADDRESS($T184,MATCH(F$1,INDIRECT("Table!A" &amp; $AK184):INDIRECT("Table!" &amp; $AN$275 &amp; $AK184),0)))))</f>
        <v/>
      </c>
      <c r="G184" s="24" t="str">
        <f ca="1">IF(ISERROR(MATCH(G$1,INDIRECT("Table!A"&amp;$AK184):INDIRECT("Table!" &amp; $AN$275 &amp; $AK184),0)),"",INDIRECT(CONCATENATE("Table!",ADDRESS($T184,MATCH(G$1,INDIRECT("Table!A" &amp; $AK184):INDIRECT("Table!" &amp; $AN$275 &amp; $AK184),0)))))</f>
        <v/>
      </c>
      <c r="H184" s="24" t="str">
        <f ca="1">IF(ISERROR(MATCH(H$1,INDIRECT("Table!A"&amp;$AK184):INDIRECT("Table!" &amp; $AN$275 &amp; $AK184),0)),"",INDIRECT(CONCATENATE("Table!",ADDRESS($T184,MATCH(H$1,INDIRECT("Table!A" &amp; $AK184):INDIRECT("Table!" &amp; $AN$275 &amp; $AK184),0)))))</f>
        <v/>
      </c>
      <c r="I184" s="273"/>
      <c r="J184" s="273"/>
      <c r="K184" s="24" t="str">
        <f ca="1">IF(ISERROR(MATCH(L$1,INDIRECT("Table!A"&amp;$AK184):INDIRECT("Table!" &amp; $AN$275 &amp; $AK184),0)),"",INDIRECT(CONCATENATE("Table!",ADDRESS($T184,MATCH(L$1,INDIRECT("Table!A" &amp; $AK184):INDIRECT("Table!" &amp; $AN$275 &amp; $AK184),0)))))</f>
        <v/>
      </c>
      <c r="L184" s="24" t="str">
        <f ca="1">IF(ISERROR(MATCH(M$1,INDIRECT("Table!A"&amp;$AK184):INDIRECT("Table!" &amp; $AN$275 &amp; $AK184),0)),"",INDIRECT(CONCATENATE("Table!",ADDRESS($T184,MATCH(M$1,INDIRECT("Table!A" &amp; $AK184):INDIRECT("Table!" &amp; $AN$275 &amp; $AK184),0)))))</f>
        <v/>
      </c>
      <c r="M184" s="24" t="str">
        <f ca="1">IF(ISERROR(MATCH(N$1,INDIRECT("Table!A"&amp;$AK184):INDIRECT("Table!" &amp; $AN$275 &amp; $AK184),0)),"",INDIRECT(CONCATENATE("Table!",ADDRESS($T184,MATCH(N$1,INDIRECT("Table!A" &amp; $AK184):INDIRECT("Table!" &amp; $AN$275 &amp; $AK184),0)))))</f>
        <v/>
      </c>
      <c r="N184" s="24" t="str">
        <f ca="1">IF(ISERROR(MATCH(O$1,INDIRECT("Table!A"&amp;$AK184):INDIRECT("Table!" &amp; $AN$275 &amp; $AK184),0)),"",INDIRECT(CONCATENATE("Table!",ADDRESS($T184,MATCH(O$1,INDIRECT("Table!A" &amp; $AK184):INDIRECT("Table!" &amp; $AN$275 &amp; $AK184),0)))))</f>
        <v/>
      </c>
      <c r="O184" s="24" t="str">
        <f ca="1">IF(ISERROR(MATCH(P$1,INDIRECT("Table!A"&amp;$AK184):INDIRECT("Table!" &amp; $AN$275 &amp; $AK184),0)),"",INDIRECT(CONCATENATE("Table!",ADDRESS($T184,MATCH(P$1,INDIRECT("Table!A" &amp; $AK184):INDIRECT("Table!" &amp; $AN$275 &amp; $AK184),0)))))</f>
        <v/>
      </c>
      <c r="P184" s="273" t="str">
        <f ca="1">IF(ISERROR(MATCH(Q$1,INDIRECT("Table!A"&amp;$AK184):INDIRECT("Table!" &amp; $AN$275 &amp; $AK184),0)),"",INDIRECT(CONCATENATE("Table!",ADDRESS($T184,MATCH(Q$1,INDIRECT("Table!A" &amp; $AK184):INDIRECT("Table!" &amp; $AN$275 &amp; $AK184),0)))))</f>
        <v/>
      </c>
      <c r="Q184" s="161"/>
      <c r="R184" s="161"/>
      <c r="S184" s="161"/>
      <c r="T184" s="22"/>
      <c r="AI184" s="161"/>
      <c r="AJ184" s="161"/>
      <c r="AK184" s="22"/>
      <c r="AL184" s="161"/>
      <c r="AM184" s="161"/>
      <c r="AN184" s="161"/>
      <c r="BA184" s="25"/>
      <c r="BB184" s="25"/>
    </row>
    <row r="185" spans="2:54" ht="18" customHeight="1" x14ac:dyDescent="0.25">
      <c r="B185" s="24"/>
      <c r="C185" s="24" t="str">
        <f ca="1">IF(ISERROR(MATCH(C$1,INDIRECT("Table!A"&amp;$AK185):INDIRECT("Table!" &amp; $AN$275 &amp; $AK185),0)),"",INDIRECT(CONCATENATE("Table!",ADDRESS($T185,MATCH(C$1,INDIRECT("Table!A" &amp; $AK185):INDIRECT("Table!" &amp; $AN$275 &amp; $AK185),0)))))</f>
        <v/>
      </c>
      <c r="D185" s="24" t="str">
        <f ca="1">IF(ISERROR(MATCH(D$1,INDIRECT("Table!A"&amp;$AK185):INDIRECT("Table!" &amp; $AN$275 &amp; $AK185),0)),"",INDIRECT(CONCATENATE("Table!",ADDRESS($T185,MATCH(D$1,INDIRECT("Table!A" &amp; $AK185):INDIRECT("Table!" &amp; $AN$275 &amp; $AK185),0)))))</f>
        <v/>
      </c>
      <c r="E185" s="24" t="str">
        <f ca="1">IF(ISERROR(MATCH(E$1,INDIRECT("Table!A"&amp;$AK185):INDIRECT("Table!" &amp; $AN$275 &amp; $AK185),0)),"",INDIRECT(CONCATENATE("Table!",ADDRESS($T185,MATCH(E$1,INDIRECT("Table!A" &amp; $AK185):INDIRECT("Table!" &amp; $AN$275 &amp; $AK185),0)))))</f>
        <v/>
      </c>
      <c r="F185" s="24" t="str">
        <f ca="1">IF(ISERROR(MATCH(F$1,INDIRECT("Table!A"&amp;$AK185):INDIRECT("Table!" &amp; $AN$275 &amp; $AK185),0)),"",INDIRECT(CONCATENATE("Table!",ADDRESS($T185,MATCH(F$1,INDIRECT("Table!A" &amp; $AK185):INDIRECT("Table!" &amp; $AN$275 &amp; $AK185),0)))))</f>
        <v/>
      </c>
      <c r="G185" s="24" t="str">
        <f ca="1">IF(ISERROR(MATCH(G$1,INDIRECT("Table!A"&amp;$AK185):INDIRECT("Table!" &amp; $AN$275 &amp; $AK185),0)),"",INDIRECT(CONCATENATE("Table!",ADDRESS($T185,MATCH(G$1,INDIRECT("Table!A" &amp; $AK185):INDIRECT("Table!" &amp; $AN$275 &amp; $AK185),0)))))</f>
        <v/>
      </c>
      <c r="H185" s="24" t="str">
        <f ca="1">IF(ISERROR(MATCH(H$1,INDIRECT("Table!A"&amp;$AK185):INDIRECT("Table!" &amp; $AN$275 &amp; $AK185),0)),"",INDIRECT(CONCATENATE("Table!",ADDRESS($T185,MATCH(H$1,INDIRECT("Table!A" &amp; $AK185):INDIRECT("Table!" &amp; $AN$275 &amp; $AK185),0)))))</f>
        <v/>
      </c>
      <c r="I185" s="273"/>
      <c r="J185" s="273"/>
      <c r="K185" s="24" t="str">
        <f ca="1">IF(ISERROR(MATCH(L$1,INDIRECT("Table!A"&amp;$AK185):INDIRECT("Table!" &amp; $AN$275 &amp; $AK185),0)),"",INDIRECT(CONCATENATE("Table!",ADDRESS($T185,MATCH(L$1,INDIRECT("Table!A" &amp; $AK185):INDIRECT("Table!" &amp; $AN$275 &amp; $AK185),0)))))</f>
        <v/>
      </c>
      <c r="L185" s="24" t="str">
        <f ca="1">IF(ISERROR(MATCH(M$1,INDIRECT("Table!A"&amp;$AK185):INDIRECT("Table!" &amp; $AN$275 &amp; $AK185),0)),"",INDIRECT(CONCATENATE("Table!",ADDRESS($T185,MATCH(M$1,INDIRECT("Table!A" &amp; $AK185):INDIRECT("Table!" &amp; $AN$275 &amp; $AK185),0)))))</f>
        <v/>
      </c>
      <c r="M185" s="24" t="str">
        <f ca="1">IF(ISERROR(MATCH(N$1,INDIRECT("Table!A"&amp;$AK185):INDIRECT("Table!" &amp; $AN$275 &amp; $AK185),0)),"",INDIRECT(CONCATENATE("Table!",ADDRESS($T185,MATCH(N$1,INDIRECT("Table!A" &amp; $AK185):INDIRECT("Table!" &amp; $AN$275 &amp; $AK185),0)))))</f>
        <v/>
      </c>
      <c r="N185" s="24" t="str">
        <f ca="1">IF(ISERROR(MATCH(O$1,INDIRECT("Table!A"&amp;$AK185):INDIRECT("Table!" &amp; $AN$275 &amp; $AK185),0)),"",INDIRECT(CONCATENATE("Table!",ADDRESS($T185,MATCH(O$1,INDIRECT("Table!A" &amp; $AK185):INDIRECT("Table!" &amp; $AN$275 &amp; $AK185),0)))))</f>
        <v/>
      </c>
      <c r="O185" s="24" t="str">
        <f ca="1">IF(ISERROR(MATCH(P$1,INDIRECT("Table!A"&amp;$AK185):INDIRECT("Table!" &amp; $AN$275 &amp; $AK185),0)),"",INDIRECT(CONCATENATE("Table!",ADDRESS($T185,MATCH(P$1,INDIRECT("Table!A" &amp; $AK185):INDIRECT("Table!" &amp; $AN$275 &amp; $AK185),0)))))</f>
        <v/>
      </c>
      <c r="P185" s="273" t="str">
        <f ca="1">IF(ISERROR(MATCH(Q$1,INDIRECT("Table!A"&amp;$AK185):INDIRECT("Table!" &amp; $AN$275 &amp; $AK185),0)),"",INDIRECT(CONCATENATE("Table!",ADDRESS($T185,MATCH(Q$1,INDIRECT("Table!A" &amp; $AK185):INDIRECT("Table!" &amp; $AN$275 &amp; $AK185),0)))))</f>
        <v/>
      </c>
      <c r="Q185" s="160"/>
      <c r="R185" s="160"/>
      <c r="S185" s="160"/>
      <c r="T185" s="22"/>
      <c r="AI185" s="160"/>
      <c r="AJ185" s="160"/>
      <c r="AK185" s="22"/>
      <c r="AL185" s="160"/>
      <c r="AM185" s="160"/>
      <c r="AN185" s="160"/>
      <c r="BA185" s="25"/>
      <c r="BB185" s="25"/>
    </row>
    <row r="186" spans="2:54" ht="18" customHeight="1" x14ac:dyDescent="0.25">
      <c r="B186" s="24"/>
      <c r="C186" s="24" t="str">
        <f ca="1">IF(ISERROR(MATCH(C$1,INDIRECT("Table!A"&amp;$AK186):INDIRECT("Table!" &amp; $AN$275 &amp; $AK186),0)),"",INDIRECT(CONCATENATE("Table!",ADDRESS($T186,MATCH(C$1,INDIRECT("Table!A" &amp; $AK186):INDIRECT("Table!" &amp; $AN$275 &amp; $AK186),0)))))</f>
        <v/>
      </c>
      <c r="D186" s="24" t="str">
        <f ca="1">IF(ISERROR(MATCH(D$1,INDIRECT("Table!A"&amp;$AK186):INDIRECT("Table!" &amp; $AN$275 &amp; $AK186),0)),"",INDIRECT(CONCATENATE("Table!",ADDRESS($T186,MATCH(D$1,INDIRECT("Table!A" &amp; $AK186):INDIRECT("Table!" &amp; $AN$275 &amp; $AK186),0)))))</f>
        <v/>
      </c>
      <c r="E186" s="24" t="str">
        <f ca="1">IF(ISERROR(MATCH(E$1,INDIRECT("Table!A"&amp;$AK186):INDIRECT("Table!" &amp; $AN$275 &amp; $AK186),0)),"",INDIRECT(CONCATENATE("Table!",ADDRESS($T186,MATCH(E$1,INDIRECT("Table!A" &amp; $AK186):INDIRECT("Table!" &amp; $AN$275 &amp; $AK186),0)))))</f>
        <v/>
      </c>
      <c r="F186" s="24" t="str">
        <f ca="1">IF(ISERROR(MATCH(F$1,INDIRECT("Table!A"&amp;$AK186):INDIRECT("Table!" &amp; $AN$275 &amp; $AK186),0)),"",INDIRECT(CONCATENATE("Table!",ADDRESS($T186,MATCH(F$1,INDIRECT("Table!A" &amp; $AK186):INDIRECT("Table!" &amp; $AN$275 &amp; $AK186),0)))))</f>
        <v/>
      </c>
      <c r="G186" s="24" t="str">
        <f ca="1">IF(ISERROR(MATCH(G$1,INDIRECT("Table!A"&amp;$AK186):INDIRECT("Table!" &amp; $AN$275 &amp; $AK186),0)),"",INDIRECT(CONCATENATE("Table!",ADDRESS($T186,MATCH(G$1,INDIRECT("Table!A" &amp; $AK186):INDIRECT("Table!" &amp; $AN$275 &amp; $AK186),0)))))</f>
        <v/>
      </c>
      <c r="H186" s="24" t="str">
        <f ca="1">IF(ISERROR(MATCH(H$1,INDIRECT("Table!A"&amp;$AK186):INDIRECT("Table!" &amp; $AN$275 &amp; $AK186),0)),"",INDIRECT(CONCATENATE("Table!",ADDRESS($T186,MATCH(H$1,INDIRECT("Table!A" &amp; $AK186):INDIRECT("Table!" &amp; $AN$275 &amp; $AK186),0)))))</f>
        <v/>
      </c>
      <c r="I186" s="273"/>
      <c r="J186" s="273"/>
      <c r="K186" s="24" t="str">
        <f ca="1">IF(ISERROR(MATCH(L$1,INDIRECT("Table!A"&amp;$AK186):INDIRECT("Table!" &amp; $AN$275 &amp; $AK186),0)),"",INDIRECT(CONCATENATE("Table!",ADDRESS($T186,MATCH(L$1,INDIRECT("Table!A" &amp; $AK186):INDIRECT("Table!" &amp; $AN$275 &amp; $AK186),0)))))</f>
        <v/>
      </c>
      <c r="L186" s="24" t="str">
        <f ca="1">IF(ISERROR(MATCH(M$1,INDIRECT("Table!A"&amp;$AK186):INDIRECT("Table!" &amp; $AN$275 &amp; $AK186),0)),"",INDIRECT(CONCATENATE("Table!",ADDRESS($T186,MATCH(M$1,INDIRECT("Table!A" &amp; $AK186):INDIRECT("Table!" &amp; $AN$275 &amp; $AK186),0)))))</f>
        <v/>
      </c>
      <c r="M186" s="24" t="str">
        <f ca="1">IF(ISERROR(MATCH(N$1,INDIRECT("Table!A"&amp;$AK186):INDIRECT("Table!" &amp; $AN$275 &amp; $AK186),0)),"",INDIRECT(CONCATENATE("Table!",ADDRESS($T186,MATCH(N$1,INDIRECT("Table!A" &amp; $AK186):INDIRECT("Table!" &amp; $AN$275 &amp; $AK186),0)))))</f>
        <v/>
      </c>
      <c r="N186" s="24" t="str">
        <f ca="1">IF(ISERROR(MATCH(O$1,INDIRECT("Table!A"&amp;$AK186):INDIRECT("Table!" &amp; $AN$275 &amp; $AK186),0)),"",INDIRECT(CONCATENATE("Table!",ADDRESS($T186,MATCH(O$1,INDIRECT("Table!A" &amp; $AK186):INDIRECT("Table!" &amp; $AN$275 &amp; $AK186),0)))))</f>
        <v/>
      </c>
      <c r="O186" s="24" t="str">
        <f ca="1">IF(ISERROR(MATCH(P$1,INDIRECT("Table!A"&amp;$AK186):INDIRECT("Table!" &amp; $AN$275 &amp; $AK186),0)),"",INDIRECT(CONCATENATE("Table!",ADDRESS($T186,MATCH(P$1,INDIRECT("Table!A" &amp; $AK186):INDIRECT("Table!" &amp; $AN$275 &amp; $AK186),0)))))</f>
        <v/>
      </c>
      <c r="P186" s="273" t="str">
        <f ca="1">IF(ISERROR(MATCH(Q$1,INDIRECT("Table!A"&amp;$AK186):INDIRECT("Table!" &amp; $AN$275 &amp; $AK186),0)),"",INDIRECT(CONCATENATE("Table!",ADDRESS($T186,MATCH(Q$1,INDIRECT("Table!A" &amp; $AK186):INDIRECT("Table!" &amp; $AN$275 &amp; $AK186),0)))))</f>
        <v/>
      </c>
      <c r="Q186" s="159"/>
      <c r="R186" s="159"/>
      <c r="S186" s="159"/>
      <c r="T186" s="22"/>
      <c r="AI186" s="159"/>
      <c r="AJ186" s="159"/>
      <c r="AK186" s="22"/>
      <c r="AL186" s="159"/>
      <c r="AM186" s="159"/>
      <c r="AN186" s="159"/>
      <c r="BA186" s="25"/>
      <c r="BB186" s="25"/>
    </row>
    <row r="187" spans="2:54" ht="18" customHeight="1" x14ac:dyDescent="0.25">
      <c r="B187" s="24"/>
      <c r="C187" s="24" t="str">
        <f ca="1">IF(ISERROR(MATCH(C$1,INDIRECT("Table!A"&amp;$AK187):INDIRECT("Table!" &amp; $AN$275 &amp; $AK187),0)),"",INDIRECT(CONCATENATE("Table!",ADDRESS($T187,MATCH(C$1,INDIRECT("Table!A" &amp; $AK187):INDIRECT("Table!" &amp; $AN$275 &amp; $AK187),0)))))</f>
        <v/>
      </c>
      <c r="D187" s="24" t="str">
        <f ca="1">IF(ISERROR(MATCH(D$1,INDIRECT("Table!A"&amp;$AK187):INDIRECT("Table!" &amp; $AN$275 &amp; $AK187),0)),"",INDIRECT(CONCATENATE("Table!",ADDRESS($T187,MATCH(D$1,INDIRECT("Table!A" &amp; $AK187):INDIRECT("Table!" &amp; $AN$275 &amp; $AK187),0)))))</f>
        <v/>
      </c>
      <c r="E187" s="24" t="str">
        <f ca="1">IF(ISERROR(MATCH(E$1,INDIRECT("Table!A"&amp;$AK187):INDIRECT("Table!" &amp; $AN$275 &amp; $AK187),0)),"",INDIRECT(CONCATENATE("Table!",ADDRESS($T187,MATCH(E$1,INDIRECT("Table!A" &amp; $AK187):INDIRECT("Table!" &amp; $AN$275 &amp; $AK187),0)))))</f>
        <v/>
      </c>
      <c r="F187" s="24" t="str">
        <f ca="1">IF(ISERROR(MATCH(F$1,INDIRECT("Table!A"&amp;$AK187):INDIRECT("Table!" &amp; $AN$275 &amp; $AK187),0)),"",INDIRECT(CONCATENATE("Table!",ADDRESS($T187,MATCH(F$1,INDIRECT("Table!A" &amp; $AK187):INDIRECT("Table!" &amp; $AN$275 &amp; $AK187),0)))))</f>
        <v/>
      </c>
      <c r="G187" s="24" t="str">
        <f ca="1">IF(ISERROR(MATCH(G$1,INDIRECT("Table!A"&amp;$AK187):INDIRECT("Table!" &amp; $AN$275 &amp; $AK187),0)),"",INDIRECT(CONCATENATE("Table!",ADDRESS($T187,MATCH(G$1,INDIRECT("Table!A" &amp; $AK187):INDIRECT("Table!" &amp; $AN$275 &amp; $AK187),0)))))</f>
        <v/>
      </c>
      <c r="H187" s="24" t="str">
        <f ca="1">IF(ISERROR(MATCH(H$1,INDIRECT("Table!A"&amp;$AK187):INDIRECT("Table!" &amp; $AN$275 &amp; $AK187),0)),"",INDIRECT(CONCATENATE("Table!",ADDRESS($T187,MATCH(H$1,INDIRECT("Table!A" &amp; $AK187):INDIRECT("Table!" &amp; $AN$275 &amp; $AK187),0)))))</f>
        <v/>
      </c>
      <c r="I187" s="273"/>
      <c r="J187" s="273"/>
      <c r="K187" s="24" t="str">
        <f ca="1">IF(ISERROR(MATCH(L$1,INDIRECT("Table!A"&amp;$AK187):INDIRECT("Table!" &amp; $AN$275 &amp; $AK187),0)),"",INDIRECT(CONCATENATE("Table!",ADDRESS($T187,MATCH(L$1,INDIRECT("Table!A" &amp; $AK187):INDIRECT("Table!" &amp; $AN$275 &amp; $AK187),0)))))</f>
        <v/>
      </c>
      <c r="L187" s="24" t="str">
        <f ca="1">IF(ISERROR(MATCH(M$1,INDIRECT("Table!A"&amp;$AK187):INDIRECT("Table!" &amp; $AN$275 &amp; $AK187),0)),"",INDIRECT(CONCATENATE("Table!",ADDRESS($T187,MATCH(M$1,INDIRECT("Table!A" &amp; $AK187):INDIRECT("Table!" &amp; $AN$275 &amp; $AK187),0)))))</f>
        <v/>
      </c>
      <c r="M187" s="24" t="str">
        <f ca="1">IF(ISERROR(MATCH(N$1,INDIRECT("Table!A"&amp;$AK187):INDIRECT("Table!" &amp; $AN$275 &amp; $AK187),0)),"",INDIRECT(CONCATENATE("Table!",ADDRESS($T187,MATCH(N$1,INDIRECT("Table!A" &amp; $AK187):INDIRECT("Table!" &amp; $AN$275 &amp; $AK187),0)))))</f>
        <v/>
      </c>
      <c r="N187" s="24" t="str">
        <f ca="1">IF(ISERROR(MATCH(O$1,INDIRECT("Table!A"&amp;$AK187):INDIRECT("Table!" &amp; $AN$275 &amp; $AK187),0)),"",INDIRECT(CONCATENATE("Table!",ADDRESS($T187,MATCH(O$1,INDIRECT("Table!A" &amp; $AK187):INDIRECT("Table!" &amp; $AN$275 &amp; $AK187),0)))))</f>
        <v/>
      </c>
      <c r="O187" s="24" t="str">
        <f ca="1">IF(ISERROR(MATCH(P$1,INDIRECT("Table!A"&amp;$AK187):INDIRECT("Table!" &amp; $AN$275 &amp; $AK187),0)),"",INDIRECT(CONCATENATE("Table!",ADDRESS($T187,MATCH(P$1,INDIRECT("Table!A" &amp; $AK187):INDIRECT("Table!" &amp; $AN$275 &amp; $AK187),0)))))</f>
        <v/>
      </c>
      <c r="P187" s="273" t="str">
        <f ca="1">IF(ISERROR(MATCH(Q$1,INDIRECT("Table!A"&amp;$AK187):INDIRECT("Table!" &amp; $AN$275 &amp; $AK187),0)),"",INDIRECT(CONCATENATE("Table!",ADDRESS($T187,MATCH(Q$1,INDIRECT("Table!A" &amp; $AK187):INDIRECT("Table!" &amp; $AN$275 &amp; $AK187),0)))))</f>
        <v/>
      </c>
      <c r="Q187" s="158"/>
      <c r="R187" s="158"/>
      <c r="S187" s="158"/>
      <c r="T187" s="22"/>
      <c r="AI187" s="158"/>
      <c r="AJ187" s="158"/>
      <c r="AK187" s="22"/>
      <c r="AL187" s="158"/>
      <c r="AM187" s="158"/>
      <c r="AN187" s="158"/>
      <c r="BA187" s="25"/>
      <c r="BB187" s="25"/>
    </row>
    <row r="188" spans="2:54" ht="18" customHeight="1" x14ac:dyDescent="0.25">
      <c r="B188" s="24"/>
      <c r="C188" s="24" t="str">
        <f ca="1">IF(ISERROR(MATCH(C$1,INDIRECT("Table!A"&amp;$AK188):INDIRECT("Table!" &amp; $AN$275 &amp; $AK188),0)),"",INDIRECT(CONCATENATE("Table!",ADDRESS($T188,MATCH(C$1,INDIRECT("Table!A" &amp; $AK188):INDIRECT("Table!" &amp; $AN$275 &amp; $AK188),0)))))</f>
        <v/>
      </c>
      <c r="D188" s="24" t="str">
        <f ca="1">IF(ISERROR(MATCH(D$1,INDIRECT("Table!A"&amp;$AK188):INDIRECT("Table!" &amp; $AN$275 &amp; $AK188),0)),"",INDIRECT(CONCATENATE("Table!",ADDRESS($T188,MATCH(D$1,INDIRECT("Table!A" &amp; $AK188):INDIRECT("Table!" &amp; $AN$275 &amp; $AK188),0)))))</f>
        <v/>
      </c>
      <c r="E188" s="24" t="str">
        <f ca="1">IF(ISERROR(MATCH(E$1,INDIRECT("Table!A"&amp;$AK188):INDIRECT("Table!" &amp; $AN$275 &amp; $AK188),0)),"",INDIRECT(CONCATENATE("Table!",ADDRESS($T188,MATCH(E$1,INDIRECT("Table!A" &amp; $AK188):INDIRECT("Table!" &amp; $AN$275 &amp; $AK188),0)))))</f>
        <v/>
      </c>
      <c r="F188" s="24" t="str">
        <f ca="1">IF(ISERROR(MATCH(F$1,INDIRECT("Table!A"&amp;$AK188):INDIRECT("Table!" &amp; $AN$275 &amp; $AK188),0)),"",INDIRECT(CONCATENATE("Table!",ADDRESS($T188,MATCH(F$1,INDIRECT("Table!A" &amp; $AK188):INDIRECT("Table!" &amp; $AN$275 &amp; $AK188),0)))))</f>
        <v/>
      </c>
      <c r="G188" s="24" t="str">
        <f ca="1">IF(ISERROR(MATCH(G$1,INDIRECT("Table!A"&amp;$AK188):INDIRECT("Table!" &amp; $AN$275 &amp; $AK188),0)),"",INDIRECT(CONCATENATE("Table!",ADDRESS($T188,MATCH(G$1,INDIRECT("Table!A" &amp; $AK188):INDIRECT("Table!" &amp; $AN$275 &amp; $AK188),0)))))</f>
        <v/>
      </c>
      <c r="H188" s="24" t="str">
        <f ca="1">IF(ISERROR(MATCH(H$1,INDIRECT("Table!A"&amp;$AK188):INDIRECT("Table!" &amp; $AN$275 &amp; $AK188),0)),"",INDIRECT(CONCATENATE("Table!",ADDRESS($T188,MATCH(H$1,INDIRECT("Table!A" &amp; $AK188):INDIRECT("Table!" &amp; $AN$275 &amp; $AK188),0)))))</f>
        <v/>
      </c>
      <c r="I188" s="273"/>
      <c r="J188" s="273"/>
      <c r="K188" s="24" t="str">
        <f ca="1">IF(ISERROR(MATCH(L$1,INDIRECT("Table!A"&amp;$AK188):INDIRECT("Table!" &amp; $AN$275 &amp; $AK188),0)),"",INDIRECT(CONCATENATE("Table!",ADDRESS($T188,MATCH(L$1,INDIRECT("Table!A" &amp; $AK188):INDIRECT("Table!" &amp; $AN$275 &amp; $AK188),0)))))</f>
        <v/>
      </c>
      <c r="L188" s="24" t="str">
        <f ca="1">IF(ISERROR(MATCH(M$1,INDIRECT("Table!A"&amp;$AK188):INDIRECT("Table!" &amp; $AN$275 &amp; $AK188),0)),"",INDIRECT(CONCATENATE("Table!",ADDRESS($T188,MATCH(M$1,INDIRECT("Table!A" &amp; $AK188):INDIRECT("Table!" &amp; $AN$275 &amp; $AK188),0)))))</f>
        <v/>
      </c>
      <c r="M188" s="24" t="str">
        <f ca="1">IF(ISERROR(MATCH(N$1,INDIRECT("Table!A"&amp;$AK188):INDIRECT("Table!" &amp; $AN$275 &amp; $AK188),0)),"",INDIRECT(CONCATENATE("Table!",ADDRESS($T188,MATCH(N$1,INDIRECT("Table!A" &amp; $AK188):INDIRECT("Table!" &amp; $AN$275 &amp; $AK188),0)))))</f>
        <v/>
      </c>
      <c r="N188" s="24" t="str">
        <f ca="1">IF(ISERROR(MATCH(O$1,INDIRECT("Table!A"&amp;$AK188):INDIRECT("Table!" &amp; $AN$275 &amp; $AK188),0)),"",INDIRECT(CONCATENATE("Table!",ADDRESS($T188,MATCH(O$1,INDIRECT("Table!A" &amp; $AK188):INDIRECT("Table!" &amp; $AN$275 &amp; $AK188),0)))))</f>
        <v/>
      </c>
      <c r="O188" s="24" t="str">
        <f ca="1">IF(ISERROR(MATCH(P$1,INDIRECT("Table!A"&amp;$AK188):INDIRECT("Table!" &amp; $AN$275 &amp; $AK188),0)),"",INDIRECT(CONCATENATE("Table!",ADDRESS($T188,MATCH(P$1,INDIRECT("Table!A" &amp; $AK188):INDIRECT("Table!" &amp; $AN$275 &amp; $AK188),0)))))</f>
        <v/>
      </c>
      <c r="P188" s="273" t="str">
        <f ca="1">IF(ISERROR(MATCH(Q$1,INDIRECT("Table!A"&amp;$AK188):INDIRECT("Table!" &amp; $AN$275 &amp; $AK188),0)),"",INDIRECT(CONCATENATE("Table!",ADDRESS($T188,MATCH(Q$1,INDIRECT("Table!A" &amp; $AK188):INDIRECT("Table!" &amp; $AN$275 &amp; $AK188),0)))))</f>
        <v/>
      </c>
      <c r="Q188" s="157"/>
      <c r="R188" s="157"/>
      <c r="S188" s="157"/>
      <c r="T188" s="22"/>
      <c r="AI188" s="157"/>
      <c r="AJ188" s="157"/>
      <c r="AK188" s="22"/>
      <c r="AL188" s="157"/>
      <c r="AM188" s="157"/>
      <c r="AN188" s="157"/>
      <c r="BA188" s="25"/>
      <c r="BB188" s="25"/>
    </row>
    <row r="189" spans="2:54" ht="18" customHeight="1" x14ac:dyDescent="0.25">
      <c r="B189" s="24"/>
      <c r="C189" s="24" t="str">
        <f ca="1">IF(ISERROR(MATCH(C$1,INDIRECT("Table!A"&amp;$AK189):INDIRECT("Table!" &amp; $AN$275 &amp; $AK189),0)),"",INDIRECT(CONCATENATE("Table!",ADDRESS($T189,MATCH(C$1,INDIRECT("Table!A" &amp; $AK189):INDIRECT("Table!" &amp; $AN$275 &amp; $AK189),0)))))</f>
        <v/>
      </c>
      <c r="D189" s="24" t="str">
        <f ca="1">IF(ISERROR(MATCH(D$1,INDIRECT("Table!A"&amp;$AK189):INDIRECT("Table!" &amp; $AN$275 &amp; $AK189),0)),"",INDIRECT(CONCATENATE("Table!",ADDRESS($T189,MATCH(D$1,INDIRECT("Table!A" &amp; $AK189):INDIRECT("Table!" &amp; $AN$275 &amp; $AK189),0)))))</f>
        <v/>
      </c>
      <c r="E189" s="24" t="str">
        <f ca="1">IF(ISERROR(MATCH(E$1,INDIRECT("Table!A"&amp;$AK189):INDIRECT("Table!" &amp; $AN$275 &amp; $AK189),0)),"",INDIRECT(CONCATENATE("Table!",ADDRESS($T189,MATCH(E$1,INDIRECT("Table!A" &amp; $AK189):INDIRECT("Table!" &amp; $AN$275 &amp; $AK189),0)))))</f>
        <v/>
      </c>
      <c r="F189" s="24" t="str">
        <f ca="1">IF(ISERROR(MATCH(F$1,INDIRECT("Table!A"&amp;$AK189):INDIRECT("Table!" &amp; $AN$275 &amp; $AK189),0)),"",INDIRECT(CONCATENATE("Table!",ADDRESS($T189,MATCH(F$1,INDIRECT("Table!A" &amp; $AK189):INDIRECT("Table!" &amp; $AN$275 &amp; $AK189),0)))))</f>
        <v/>
      </c>
      <c r="G189" s="24" t="str">
        <f ca="1">IF(ISERROR(MATCH(G$1,INDIRECT("Table!A"&amp;$AK189):INDIRECT("Table!" &amp; $AN$275 &amp; $AK189),0)),"",INDIRECT(CONCATENATE("Table!",ADDRESS($T189,MATCH(G$1,INDIRECT("Table!A" &amp; $AK189):INDIRECT("Table!" &amp; $AN$275 &amp; $AK189),0)))))</f>
        <v/>
      </c>
      <c r="H189" s="24" t="str">
        <f ca="1">IF(ISERROR(MATCH(H$1,INDIRECT("Table!A"&amp;$AK189):INDIRECT("Table!" &amp; $AN$275 &amp; $AK189),0)),"",INDIRECT(CONCATENATE("Table!",ADDRESS($T189,MATCH(H$1,INDIRECT("Table!A" &amp; $AK189):INDIRECT("Table!" &amp; $AN$275 &amp; $AK189),0)))))</f>
        <v/>
      </c>
      <c r="I189" s="273"/>
      <c r="J189" s="273"/>
      <c r="K189" s="24" t="str">
        <f ca="1">IF(ISERROR(MATCH(L$1,INDIRECT("Table!A"&amp;$AK189):INDIRECT("Table!" &amp; $AN$275 &amp; $AK189),0)),"",INDIRECT(CONCATENATE("Table!",ADDRESS($T189,MATCH(L$1,INDIRECT("Table!A" &amp; $AK189):INDIRECT("Table!" &amp; $AN$275 &amp; $AK189),0)))))</f>
        <v/>
      </c>
      <c r="L189" s="24" t="str">
        <f ca="1">IF(ISERROR(MATCH(M$1,INDIRECT("Table!A"&amp;$AK189):INDIRECT("Table!" &amp; $AN$275 &amp; $AK189),0)),"",INDIRECT(CONCATENATE("Table!",ADDRESS($T189,MATCH(M$1,INDIRECT("Table!A" &amp; $AK189):INDIRECT("Table!" &amp; $AN$275 &amp; $AK189),0)))))</f>
        <v/>
      </c>
      <c r="M189" s="24" t="str">
        <f ca="1">IF(ISERROR(MATCH(N$1,INDIRECT("Table!A"&amp;$AK189):INDIRECT("Table!" &amp; $AN$275 &amp; $AK189),0)),"",INDIRECT(CONCATENATE("Table!",ADDRESS($T189,MATCH(N$1,INDIRECT("Table!A" &amp; $AK189):INDIRECT("Table!" &amp; $AN$275 &amp; $AK189),0)))))</f>
        <v/>
      </c>
      <c r="N189" s="24" t="str">
        <f ca="1">IF(ISERROR(MATCH(O$1,INDIRECT("Table!A"&amp;$AK189):INDIRECT("Table!" &amp; $AN$275 &amp; $AK189),0)),"",INDIRECT(CONCATENATE("Table!",ADDRESS($T189,MATCH(O$1,INDIRECT("Table!A" &amp; $AK189):INDIRECT("Table!" &amp; $AN$275 &amp; $AK189),0)))))</f>
        <v/>
      </c>
      <c r="O189" s="24" t="str">
        <f ca="1">IF(ISERROR(MATCH(P$1,INDIRECT("Table!A"&amp;$AK189):INDIRECT("Table!" &amp; $AN$275 &amp; $AK189),0)),"",INDIRECT(CONCATENATE("Table!",ADDRESS($T189,MATCH(P$1,INDIRECT("Table!A" &amp; $AK189):INDIRECT("Table!" &amp; $AN$275 &amp; $AK189),0)))))</f>
        <v/>
      </c>
      <c r="P189" s="273" t="str">
        <f ca="1">IF(ISERROR(MATCH(Q$1,INDIRECT("Table!A"&amp;$AK189):INDIRECT("Table!" &amp; $AN$275 &amp; $AK189),0)),"",INDIRECT(CONCATENATE("Table!",ADDRESS($T189,MATCH(Q$1,INDIRECT("Table!A" &amp; $AK189):INDIRECT("Table!" &amp; $AN$275 &amp; $AK189),0)))))</f>
        <v/>
      </c>
      <c r="Q189" s="156"/>
      <c r="R189" s="156"/>
      <c r="S189" s="156"/>
      <c r="T189" s="22"/>
      <c r="AI189" s="156"/>
      <c r="AJ189" s="156"/>
      <c r="AK189" s="22"/>
      <c r="AL189" s="156"/>
      <c r="AM189" s="156"/>
      <c r="AN189" s="156"/>
      <c r="BA189" s="25"/>
      <c r="BB189" s="25"/>
    </row>
    <row r="190" spans="2:54" ht="18" customHeight="1" x14ac:dyDescent="0.25">
      <c r="B190" s="24"/>
      <c r="C190" s="24" t="str">
        <f ca="1">IF(ISERROR(MATCH(C$1,INDIRECT("Table!A"&amp;$AK190):INDIRECT("Table!" &amp; $AN$275 &amp; $AK190),0)),"",INDIRECT(CONCATENATE("Table!",ADDRESS($T190,MATCH(C$1,INDIRECT("Table!A" &amp; $AK190):INDIRECT("Table!" &amp; $AN$275 &amp; $AK190),0)))))</f>
        <v/>
      </c>
      <c r="D190" s="24" t="str">
        <f ca="1">IF(ISERROR(MATCH(D$1,INDIRECT("Table!A"&amp;$AK190):INDIRECT("Table!" &amp; $AN$275 &amp; $AK190),0)),"",INDIRECT(CONCATENATE("Table!",ADDRESS($T190,MATCH(D$1,INDIRECT("Table!A" &amp; $AK190):INDIRECT("Table!" &amp; $AN$275 &amp; $AK190),0)))))</f>
        <v/>
      </c>
      <c r="E190" s="24" t="str">
        <f ca="1">IF(ISERROR(MATCH(E$1,INDIRECT("Table!A"&amp;$AK190):INDIRECT("Table!" &amp; $AN$275 &amp; $AK190),0)),"",INDIRECT(CONCATENATE("Table!",ADDRESS($T190,MATCH(E$1,INDIRECT("Table!A" &amp; $AK190):INDIRECT("Table!" &amp; $AN$275 &amp; $AK190),0)))))</f>
        <v/>
      </c>
      <c r="F190" s="24" t="str">
        <f ca="1">IF(ISERROR(MATCH(F$1,INDIRECT("Table!A"&amp;$AK190):INDIRECT("Table!" &amp; $AN$275 &amp; $AK190),0)),"",INDIRECT(CONCATENATE("Table!",ADDRESS($T190,MATCH(F$1,INDIRECT("Table!A" &amp; $AK190):INDIRECT("Table!" &amp; $AN$275 &amp; $AK190),0)))))</f>
        <v/>
      </c>
      <c r="G190" s="24" t="str">
        <f ca="1">IF(ISERROR(MATCH(G$1,INDIRECT("Table!A"&amp;$AK190):INDIRECT("Table!" &amp; $AN$275 &amp; $AK190),0)),"",INDIRECT(CONCATENATE("Table!",ADDRESS($T190,MATCH(G$1,INDIRECT("Table!A" &amp; $AK190):INDIRECT("Table!" &amp; $AN$275 &amp; $AK190),0)))))</f>
        <v/>
      </c>
      <c r="H190" s="24" t="str">
        <f ca="1">IF(ISERROR(MATCH(H$1,INDIRECT("Table!A"&amp;$AK190):INDIRECT("Table!" &amp; $AN$275 &amp; $AK190),0)),"",INDIRECT(CONCATENATE("Table!",ADDRESS($T190,MATCH(H$1,INDIRECT("Table!A" &amp; $AK190):INDIRECT("Table!" &amp; $AN$275 &amp; $AK190),0)))))</f>
        <v/>
      </c>
      <c r="I190" s="273"/>
      <c r="J190" s="273"/>
      <c r="K190" s="24" t="str">
        <f ca="1">IF(ISERROR(MATCH(L$1,INDIRECT("Table!A"&amp;$AK190):INDIRECT("Table!" &amp; $AN$275 &amp; $AK190),0)),"",INDIRECT(CONCATENATE("Table!",ADDRESS($T190,MATCH(L$1,INDIRECT("Table!A" &amp; $AK190):INDIRECT("Table!" &amp; $AN$275 &amp; $AK190),0)))))</f>
        <v/>
      </c>
      <c r="L190" s="24" t="str">
        <f ca="1">IF(ISERROR(MATCH(M$1,INDIRECT("Table!A"&amp;$AK190):INDIRECT("Table!" &amp; $AN$275 &amp; $AK190),0)),"",INDIRECT(CONCATENATE("Table!",ADDRESS($T190,MATCH(M$1,INDIRECT("Table!A" &amp; $AK190):INDIRECT("Table!" &amp; $AN$275 &amp; $AK190),0)))))</f>
        <v/>
      </c>
      <c r="M190" s="24" t="str">
        <f ca="1">IF(ISERROR(MATCH(N$1,INDIRECT("Table!A"&amp;$AK190):INDIRECT("Table!" &amp; $AN$275 &amp; $AK190),0)),"",INDIRECT(CONCATENATE("Table!",ADDRESS($T190,MATCH(N$1,INDIRECT("Table!A" &amp; $AK190):INDIRECT("Table!" &amp; $AN$275 &amp; $AK190),0)))))</f>
        <v/>
      </c>
      <c r="N190" s="24" t="str">
        <f ca="1">IF(ISERROR(MATCH(O$1,INDIRECT("Table!A"&amp;$AK190):INDIRECT("Table!" &amp; $AN$275 &amp; $AK190),0)),"",INDIRECT(CONCATENATE("Table!",ADDRESS($T190,MATCH(O$1,INDIRECT("Table!A" &amp; $AK190):INDIRECT("Table!" &amp; $AN$275 &amp; $AK190),0)))))</f>
        <v/>
      </c>
      <c r="O190" s="24" t="str">
        <f ca="1">IF(ISERROR(MATCH(P$1,INDIRECT("Table!A"&amp;$AK190):INDIRECT("Table!" &amp; $AN$275 &amp; $AK190),0)),"",INDIRECT(CONCATENATE("Table!",ADDRESS($T190,MATCH(P$1,INDIRECT("Table!A" &amp; $AK190):INDIRECT("Table!" &amp; $AN$275 &amp; $AK190),0)))))</f>
        <v/>
      </c>
      <c r="P190" s="273" t="str">
        <f ca="1">IF(ISERROR(MATCH(Q$1,INDIRECT("Table!A"&amp;$AK190):INDIRECT("Table!" &amp; $AN$275 &amp; $AK190),0)),"",INDIRECT(CONCATENATE("Table!",ADDRESS($T190,MATCH(Q$1,INDIRECT("Table!A" &amp; $AK190):INDIRECT("Table!" &amp; $AN$275 &amp; $AK190),0)))))</f>
        <v/>
      </c>
      <c r="Q190" s="155"/>
      <c r="R190" s="155"/>
      <c r="S190" s="155"/>
      <c r="T190" s="22"/>
      <c r="AI190" s="155"/>
      <c r="AJ190" s="155"/>
      <c r="AK190" s="22"/>
      <c r="AL190" s="155"/>
      <c r="AM190" s="155"/>
      <c r="AN190" s="155"/>
      <c r="BA190" s="25"/>
      <c r="BB190" s="25"/>
    </row>
    <row r="191" spans="2:54" ht="18" customHeight="1" x14ac:dyDescent="0.25">
      <c r="B191" s="24"/>
      <c r="C191" s="24" t="str">
        <f ca="1">IF(ISERROR(MATCH(C$1,INDIRECT("Table!A"&amp;$AK191):INDIRECT("Table!" &amp; $AN$275 &amp; $AK191),0)),"",INDIRECT(CONCATENATE("Table!",ADDRESS($T191,MATCH(C$1,INDIRECT("Table!A" &amp; $AK191):INDIRECT("Table!" &amp; $AN$275 &amp; $AK191),0)))))</f>
        <v/>
      </c>
      <c r="D191" s="24" t="str">
        <f ca="1">IF(ISERROR(MATCH(D$1,INDIRECT("Table!A"&amp;$AK191):INDIRECT("Table!" &amp; $AN$275 &amp; $AK191),0)),"",INDIRECT(CONCATENATE("Table!",ADDRESS($T191,MATCH(D$1,INDIRECT("Table!A" &amp; $AK191):INDIRECT("Table!" &amp; $AN$275 &amp; $AK191),0)))))</f>
        <v/>
      </c>
      <c r="E191" s="24" t="str">
        <f ca="1">IF(ISERROR(MATCH(E$1,INDIRECT("Table!A"&amp;$AK191):INDIRECT("Table!" &amp; $AN$275 &amp; $AK191),0)),"",INDIRECT(CONCATENATE("Table!",ADDRESS($T191,MATCH(E$1,INDIRECT("Table!A" &amp; $AK191):INDIRECT("Table!" &amp; $AN$275 &amp; $AK191),0)))))</f>
        <v/>
      </c>
      <c r="F191" s="24" t="str">
        <f ca="1">IF(ISERROR(MATCH(F$1,INDIRECT("Table!A"&amp;$AK191):INDIRECT("Table!" &amp; $AN$275 &amp; $AK191),0)),"",INDIRECT(CONCATENATE("Table!",ADDRESS($T191,MATCH(F$1,INDIRECT("Table!A" &amp; $AK191):INDIRECT("Table!" &amp; $AN$275 &amp; $AK191),0)))))</f>
        <v/>
      </c>
      <c r="G191" s="24" t="str">
        <f ca="1">IF(ISERROR(MATCH(G$1,INDIRECT("Table!A"&amp;$AK191):INDIRECT("Table!" &amp; $AN$275 &amp; $AK191),0)),"",INDIRECT(CONCATENATE("Table!",ADDRESS($T191,MATCH(G$1,INDIRECT("Table!A" &amp; $AK191):INDIRECT("Table!" &amp; $AN$275 &amp; $AK191),0)))))</f>
        <v/>
      </c>
      <c r="H191" s="24" t="str">
        <f ca="1">IF(ISERROR(MATCH(H$1,INDIRECT("Table!A"&amp;$AK191):INDIRECT("Table!" &amp; $AN$275 &amp; $AK191),0)),"",INDIRECT(CONCATENATE("Table!",ADDRESS($T191,MATCH(H$1,INDIRECT("Table!A" &amp; $AK191):INDIRECT("Table!" &amp; $AN$275 &amp; $AK191),0)))))</f>
        <v/>
      </c>
      <c r="I191" s="273"/>
      <c r="J191" s="273"/>
      <c r="K191" s="24" t="str">
        <f ca="1">IF(ISERROR(MATCH(L$1,INDIRECT("Table!A"&amp;$AK191):INDIRECT("Table!" &amp; $AN$275 &amp; $AK191),0)),"",INDIRECT(CONCATENATE("Table!",ADDRESS($T191,MATCH(L$1,INDIRECT("Table!A" &amp; $AK191):INDIRECT("Table!" &amp; $AN$275 &amp; $AK191),0)))))</f>
        <v/>
      </c>
      <c r="L191" s="24" t="str">
        <f ca="1">IF(ISERROR(MATCH(M$1,INDIRECT("Table!A"&amp;$AK191):INDIRECT("Table!" &amp; $AN$275 &amp; $AK191),0)),"",INDIRECT(CONCATENATE("Table!",ADDRESS($T191,MATCH(M$1,INDIRECT("Table!A" &amp; $AK191):INDIRECT("Table!" &amp; $AN$275 &amp; $AK191),0)))))</f>
        <v/>
      </c>
      <c r="M191" s="24" t="str">
        <f ca="1">IF(ISERROR(MATCH(N$1,INDIRECT("Table!A"&amp;$AK191):INDIRECT("Table!" &amp; $AN$275 &amp; $AK191),0)),"",INDIRECT(CONCATENATE("Table!",ADDRESS($T191,MATCH(N$1,INDIRECT("Table!A" &amp; $AK191):INDIRECT("Table!" &amp; $AN$275 &amp; $AK191),0)))))</f>
        <v/>
      </c>
      <c r="N191" s="24" t="str">
        <f ca="1">IF(ISERROR(MATCH(O$1,INDIRECT("Table!A"&amp;$AK191):INDIRECT("Table!" &amp; $AN$275 &amp; $AK191),0)),"",INDIRECT(CONCATENATE("Table!",ADDRESS($T191,MATCH(O$1,INDIRECT("Table!A" &amp; $AK191):INDIRECT("Table!" &amp; $AN$275 &amp; $AK191),0)))))</f>
        <v/>
      </c>
      <c r="O191" s="24" t="str">
        <f ca="1">IF(ISERROR(MATCH(P$1,INDIRECT("Table!A"&amp;$AK191):INDIRECT("Table!" &amp; $AN$275 &amp; $AK191),0)),"",INDIRECT(CONCATENATE("Table!",ADDRESS($T191,MATCH(P$1,INDIRECT("Table!A" &amp; $AK191):INDIRECT("Table!" &amp; $AN$275 &amp; $AK191),0)))))</f>
        <v/>
      </c>
      <c r="P191" s="273" t="str">
        <f ca="1">IF(ISERROR(MATCH(Q$1,INDIRECT("Table!A"&amp;$AK191):INDIRECT("Table!" &amp; $AN$275 &amp; $AK191),0)),"",INDIRECT(CONCATENATE("Table!",ADDRESS($T191,MATCH(Q$1,INDIRECT("Table!A" &amp; $AK191):INDIRECT("Table!" &amp; $AN$275 &amp; $AK191),0)))))</f>
        <v/>
      </c>
      <c r="Q191" s="154"/>
      <c r="R191" s="154"/>
      <c r="S191" s="154"/>
      <c r="T191" s="22"/>
      <c r="AI191" s="154"/>
      <c r="AJ191" s="154"/>
      <c r="AK191" s="22"/>
      <c r="AL191" s="154"/>
      <c r="AM191" s="154"/>
      <c r="AN191" s="154"/>
      <c r="BA191" s="25"/>
      <c r="BB191" s="25"/>
    </row>
    <row r="192" spans="2:54" ht="18" customHeight="1" x14ac:dyDescent="0.25">
      <c r="B192" s="24"/>
      <c r="C192" s="24" t="str">
        <f ca="1">IF(ISERROR(MATCH(C$1,INDIRECT("Table!A"&amp;$AK192):INDIRECT("Table!" &amp; $AN$275 &amp; $AK192),0)),"",INDIRECT(CONCATENATE("Table!",ADDRESS($T192,MATCH(C$1,INDIRECT("Table!A" &amp; $AK192):INDIRECT("Table!" &amp; $AN$275 &amp; $AK192),0)))))</f>
        <v/>
      </c>
      <c r="D192" s="24" t="str">
        <f ca="1">IF(ISERROR(MATCH(D$1,INDIRECT("Table!A"&amp;$AK192):INDIRECT("Table!" &amp; $AN$275 &amp; $AK192),0)),"",INDIRECT(CONCATENATE("Table!",ADDRESS($T192,MATCH(D$1,INDIRECT("Table!A" &amp; $AK192):INDIRECT("Table!" &amp; $AN$275 &amp; $AK192),0)))))</f>
        <v/>
      </c>
      <c r="E192" s="24" t="str">
        <f ca="1">IF(ISERROR(MATCH(E$1,INDIRECT("Table!A"&amp;$AK192):INDIRECT("Table!" &amp; $AN$275 &amp; $AK192),0)),"",INDIRECT(CONCATENATE("Table!",ADDRESS($T192,MATCH(E$1,INDIRECT("Table!A" &amp; $AK192):INDIRECT("Table!" &amp; $AN$275 &amp; $AK192),0)))))</f>
        <v/>
      </c>
      <c r="F192" s="24" t="str">
        <f ca="1">IF(ISERROR(MATCH(F$1,INDIRECT("Table!A"&amp;$AK192):INDIRECT("Table!" &amp; $AN$275 &amp; $AK192),0)),"",INDIRECT(CONCATENATE("Table!",ADDRESS($T192,MATCH(F$1,INDIRECT("Table!A" &amp; $AK192):INDIRECT("Table!" &amp; $AN$275 &amp; $AK192),0)))))</f>
        <v/>
      </c>
      <c r="G192" s="24" t="str">
        <f ca="1">IF(ISERROR(MATCH(G$1,INDIRECT("Table!A"&amp;$AK192):INDIRECT("Table!" &amp; $AN$275 &amp; $AK192),0)),"",INDIRECT(CONCATENATE("Table!",ADDRESS($T192,MATCH(G$1,INDIRECT("Table!A" &amp; $AK192):INDIRECT("Table!" &amp; $AN$275 &amp; $AK192),0)))))</f>
        <v/>
      </c>
      <c r="H192" s="24" t="str">
        <f ca="1">IF(ISERROR(MATCH(H$1,INDIRECT("Table!A"&amp;$AK192):INDIRECT("Table!" &amp; $AN$275 &amp; $AK192),0)),"",INDIRECT(CONCATENATE("Table!",ADDRESS($T192,MATCH(H$1,INDIRECT("Table!A" &amp; $AK192):INDIRECT("Table!" &amp; $AN$275 &amp; $AK192),0)))))</f>
        <v/>
      </c>
      <c r="I192" s="273"/>
      <c r="J192" s="273"/>
      <c r="K192" s="24" t="str">
        <f ca="1">IF(ISERROR(MATCH(L$1,INDIRECT("Table!A"&amp;$AK192):INDIRECT("Table!" &amp; $AN$275 &amp; $AK192),0)),"",INDIRECT(CONCATENATE("Table!",ADDRESS($T192,MATCH(L$1,INDIRECT("Table!A" &amp; $AK192):INDIRECT("Table!" &amp; $AN$275 &amp; $AK192),0)))))</f>
        <v/>
      </c>
      <c r="L192" s="24" t="str">
        <f ca="1">IF(ISERROR(MATCH(M$1,INDIRECT("Table!A"&amp;$AK192):INDIRECT("Table!" &amp; $AN$275 &amp; $AK192),0)),"",INDIRECT(CONCATENATE("Table!",ADDRESS($T192,MATCH(M$1,INDIRECT("Table!A" &amp; $AK192):INDIRECT("Table!" &amp; $AN$275 &amp; $AK192),0)))))</f>
        <v/>
      </c>
      <c r="M192" s="24" t="str">
        <f ca="1">IF(ISERROR(MATCH(N$1,INDIRECT("Table!A"&amp;$AK192):INDIRECT("Table!" &amp; $AN$275 &amp; $AK192),0)),"",INDIRECT(CONCATENATE("Table!",ADDRESS($T192,MATCH(N$1,INDIRECT("Table!A" &amp; $AK192):INDIRECT("Table!" &amp; $AN$275 &amp; $AK192),0)))))</f>
        <v/>
      </c>
      <c r="N192" s="24" t="str">
        <f ca="1">IF(ISERROR(MATCH(O$1,INDIRECT("Table!A"&amp;$AK192):INDIRECT("Table!" &amp; $AN$275 &amp; $AK192),0)),"",INDIRECT(CONCATENATE("Table!",ADDRESS($T192,MATCH(O$1,INDIRECT("Table!A" &amp; $AK192):INDIRECT("Table!" &amp; $AN$275 &amp; $AK192),0)))))</f>
        <v/>
      </c>
      <c r="O192" s="24" t="str">
        <f ca="1">IF(ISERROR(MATCH(P$1,INDIRECT("Table!A"&amp;$AK192):INDIRECT("Table!" &amp; $AN$275 &amp; $AK192),0)),"",INDIRECT(CONCATENATE("Table!",ADDRESS($T192,MATCH(P$1,INDIRECT("Table!A" &amp; $AK192):INDIRECT("Table!" &amp; $AN$275 &amp; $AK192),0)))))</f>
        <v/>
      </c>
      <c r="P192" s="273" t="str">
        <f ca="1">IF(ISERROR(MATCH(Q$1,INDIRECT("Table!A"&amp;$AK192):INDIRECT("Table!" &amp; $AN$275 &amp; $AK192),0)),"",INDIRECT(CONCATENATE("Table!",ADDRESS($T192,MATCH(Q$1,INDIRECT("Table!A" &amp; $AK192):INDIRECT("Table!" &amp; $AN$275 &amp; $AK192),0)))))</f>
        <v/>
      </c>
      <c r="Q192" s="153"/>
      <c r="R192" s="153"/>
      <c r="S192" s="153"/>
      <c r="T192" s="22"/>
      <c r="AI192" s="153"/>
      <c r="AJ192" s="153"/>
      <c r="AK192" s="22"/>
      <c r="AL192" s="153"/>
      <c r="AM192" s="153"/>
      <c r="AN192" s="153"/>
    </row>
    <row r="193" spans="2:40" ht="18" customHeight="1" x14ac:dyDescent="0.25">
      <c r="B193" s="24"/>
      <c r="C193" s="24" t="str">
        <f ca="1">IF(ISERROR(MATCH(C$1,INDIRECT("Table!A"&amp;$AK193):INDIRECT("Table!" &amp; $AN$275 &amp; $AK193),0)),"",INDIRECT(CONCATENATE("Table!",ADDRESS($T193,MATCH(C$1,INDIRECT("Table!A" &amp; $AK193):INDIRECT("Table!" &amp; $AN$275 &amp; $AK193),0)))))</f>
        <v/>
      </c>
      <c r="D193" s="24" t="str">
        <f ca="1">IF(ISERROR(MATCH(D$1,INDIRECT("Table!A"&amp;$AK193):INDIRECT("Table!" &amp; $AN$275 &amp; $AK193),0)),"",INDIRECT(CONCATENATE("Table!",ADDRESS($T193,MATCH(D$1,INDIRECT("Table!A" &amp; $AK193):INDIRECT("Table!" &amp; $AN$275 &amp; $AK193),0)))))</f>
        <v/>
      </c>
      <c r="E193" s="24" t="str">
        <f ca="1">IF(ISERROR(MATCH(E$1,INDIRECT("Table!A"&amp;$AK193):INDIRECT("Table!" &amp; $AN$275 &amp; $AK193),0)),"",INDIRECT(CONCATENATE("Table!",ADDRESS($T193,MATCH(E$1,INDIRECT("Table!A" &amp; $AK193):INDIRECT("Table!" &amp; $AN$275 &amp; $AK193),0)))))</f>
        <v/>
      </c>
      <c r="F193" s="24" t="str">
        <f ca="1">IF(ISERROR(MATCH(F$1,INDIRECT("Table!A"&amp;$AK193):INDIRECT("Table!" &amp; $AN$275 &amp; $AK193),0)),"",INDIRECT(CONCATENATE("Table!",ADDRESS($T193,MATCH(F$1,INDIRECT("Table!A" &amp; $AK193):INDIRECT("Table!" &amp; $AN$275 &amp; $AK193),0)))))</f>
        <v/>
      </c>
      <c r="G193" s="24" t="str">
        <f ca="1">IF(ISERROR(MATCH(G$1,INDIRECT("Table!A"&amp;$AK193):INDIRECT("Table!" &amp; $AN$275 &amp; $AK193),0)),"",INDIRECT(CONCATENATE("Table!",ADDRESS($T193,MATCH(G$1,INDIRECT("Table!A" &amp; $AK193):INDIRECT("Table!" &amp; $AN$275 &amp; $AK193),0)))))</f>
        <v/>
      </c>
      <c r="H193" s="24" t="str">
        <f ca="1">IF(ISERROR(MATCH(H$1,INDIRECT("Table!A"&amp;$AK193):INDIRECT("Table!" &amp; $AN$275 &amp; $AK193),0)),"",INDIRECT(CONCATENATE("Table!",ADDRESS($T193,MATCH(H$1,INDIRECT("Table!A" &amp; $AK193):INDIRECT("Table!" &amp; $AN$275 &amp; $AK193),0)))))</f>
        <v/>
      </c>
      <c r="I193" s="273"/>
      <c r="J193" s="273"/>
      <c r="K193" s="24" t="str">
        <f ca="1">IF(ISERROR(MATCH(L$1,INDIRECT("Table!A"&amp;$AK193):INDIRECT("Table!" &amp; $AN$275 &amp; $AK193),0)),"",INDIRECT(CONCATENATE("Table!",ADDRESS($T193,MATCH(L$1,INDIRECT("Table!A" &amp; $AK193):INDIRECT("Table!" &amp; $AN$275 &amp; $AK193),0)))))</f>
        <v/>
      </c>
      <c r="L193" s="24" t="str">
        <f ca="1">IF(ISERROR(MATCH(M$1,INDIRECT("Table!A"&amp;$AK193):INDIRECT("Table!" &amp; $AN$275 &amp; $AK193),0)),"",INDIRECT(CONCATENATE("Table!",ADDRESS($T193,MATCH(M$1,INDIRECT("Table!A" &amp; $AK193):INDIRECT("Table!" &amp; $AN$275 &amp; $AK193),0)))))</f>
        <v/>
      </c>
      <c r="M193" s="24" t="str">
        <f ca="1">IF(ISERROR(MATCH(N$1,INDIRECT("Table!A"&amp;$AK193):INDIRECT("Table!" &amp; $AN$275 &amp; $AK193),0)),"",INDIRECT(CONCATENATE("Table!",ADDRESS($T193,MATCH(N$1,INDIRECT("Table!A" &amp; $AK193):INDIRECT("Table!" &amp; $AN$275 &amp; $AK193),0)))))</f>
        <v/>
      </c>
      <c r="N193" s="24" t="str">
        <f ca="1">IF(ISERROR(MATCH(O$1,INDIRECT("Table!A"&amp;$AK193):INDIRECT("Table!" &amp; $AN$275 &amp; $AK193),0)),"",INDIRECT(CONCATENATE("Table!",ADDRESS($T193,MATCH(O$1,INDIRECT("Table!A" &amp; $AK193):INDIRECT("Table!" &amp; $AN$275 &amp; $AK193),0)))))</f>
        <v/>
      </c>
      <c r="O193" s="24" t="str">
        <f ca="1">IF(ISERROR(MATCH(P$1,INDIRECT("Table!A"&amp;$AK193):INDIRECT("Table!" &amp; $AN$275 &amp; $AK193),0)),"",INDIRECT(CONCATENATE("Table!",ADDRESS($T193,MATCH(P$1,INDIRECT("Table!A" &amp; $AK193):INDIRECT("Table!" &amp; $AN$275 &amp; $AK193),0)))))</f>
        <v/>
      </c>
      <c r="P193" s="273" t="str">
        <f ca="1">IF(ISERROR(MATCH(Q$1,INDIRECT("Table!A"&amp;$AK193):INDIRECT("Table!" &amp; $AN$275 &amp; $AK193),0)),"",INDIRECT(CONCATENATE("Table!",ADDRESS($T193,MATCH(Q$1,INDIRECT("Table!A" &amp; $AK193):INDIRECT("Table!" &amp; $AN$275 &amp; $AK193),0)))))</f>
        <v/>
      </c>
      <c r="Q193" s="152"/>
      <c r="R193" s="152"/>
      <c r="S193" s="152"/>
      <c r="T193" s="22"/>
      <c r="AI193" s="152"/>
      <c r="AJ193" s="152"/>
      <c r="AK193" s="22"/>
      <c r="AL193" s="152"/>
      <c r="AM193" s="152"/>
      <c r="AN193" s="152"/>
    </row>
    <row r="194" spans="2:40" ht="18" customHeight="1" x14ac:dyDescent="0.25">
      <c r="B194" s="24"/>
      <c r="C194" s="24" t="str">
        <f ca="1">IF(ISERROR(MATCH(C$1,INDIRECT("Table!A"&amp;$AK194):INDIRECT("Table!" &amp; $AN$275 &amp; $AK194),0)),"",INDIRECT(CONCATENATE("Table!",ADDRESS($T194,MATCH(C$1,INDIRECT("Table!A" &amp; $AK194):INDIRECT("Table!" &amp; $AN$275 &amp; $AK194),0)))))</f>
        <v/>
      </c>
      <c r="D194" s="24" t="str">
        <f ca="1">IF(ISERROR(MATCH(D$1,INDIRECT("Table!A"&amp;$AK194):INDIRECT("Table!" &amp; $AN$275 &amp; $AK194),0)),"",INDIRECT(CONCATENATE("Table!",ADDRESS($T194,MATCH(D$1,INDIRECT("Table!A" &amp; $AK194):INDIRECT("Table!" &amp; $AN$275 &amp; $AK194),0)))))</f>
        <v/>
      </c>
      <c r="E194" s="24" t="str">
        <f ca="1">IF(ISERROR(MATCH(E$1,INDIRECT("Table!A"&amp;$AK194):INDIRECT("Table!" &amp; $AN$275 &amp; $AK194),0)),"",INDIRECT(CONCATENATE("Table!",ADDRESS($T194,MATCH(E$1,INDIRECT("Table!A" &amp; $AK194):INDIRECT("Table!" &amp; $AN$275 &amp; $AK194),0)))))</f>
        <v/>
      </c>
      <c r="F194" s="24" t="str">
        <f ca="1">IF(ISERROR(MATCH(F$1,INDIRECT("Table!A"&amp;$AK194):INDIRECT("Table!" &amp; $AN$275 &amp; $AK194),0)),"",INDIRECT(CONCATENATE("Table!",ADDRESS($T194,MATCH(F$1,INDIRECT("Table!A" &amp; $AK194):INDIRECT("Table!" &amp; $AN$275 &amp; $AK194),0)))))</f>
        <v/>
      </c>
      <c r="G194" s="24" t="str">
        <f ca="1">IF(ISERROR(MATCH(G$1,INDIRECT("Table!A"&amp;$AK194):INDIRECT("Table!" &amp; $AN$275 &amp; $AK194),0)),"",INDIRECT(CONCATENATE("Table!",ADDRESS($T194,MATCH(G$1,INDIRECT("Table!A" &amp; $AK194):INDIRECT("Table!" &amp; $AN$275 &amp; $AK194),0)))))</f>
        <v/>
      </c>
      <c r="H194" s="24" t="str">
        <f ca="1">IF(ISERROR(MATCH(H$1,INDIRECT("Table!A"&amp;$AK194):INDIRECT("Table!" &amp; $AN$275 &amp; $AK194),0)),"",INDIRECT(CONCATENATE("Table!",ADDRESS($T194,MATCH(H$1,INDIRECT("Table!A" &amp; $AK194):INDIRECT("Table!" &amp; $AN$275 &amp; $AK194),0)))))</f>
        <v/>
      </c>
      <c r="I194" s="273"/>
      <c r="J194" s="273"/>
      <c r="K194" s="24" t="str">
        <f ca="1">IF(ISERROR(MATCH(L$1,INDIRECT("Table!A"&amp;$AK194):INDIRECT("Table!" &amp; $AN$275 &amp; $AK194),0)),"",INDIRECT(CONCATENATE("Table!",ADDRESS($T194,MATCH(L$1,INDIRECT("Table!A" &amp; $AK194):INDIRECT("Table!" &amp; $AN$275 &amp; $AK194),0)))))</f>
        <v/>
      </c>
      <c r="L194" s="24" t="str">
        <f ca="1">IF(ISERROR(MATCH(M$1,INDIRECT("Table!A"&amp;$AK194):INDIRECT("Table!" &amp; $AN$275 &amp; $AK194),0)),"",INDIRECT(CONCATENATE("Table!",ADDRESS($T194,MATCH(M$1,INDIRECT("Table!A" &amp; $AK194):INDIRECT("Table!" &amp; $AN$275 &amp; $AK194),0)))))</f>
        <v/>
      </c>
      <c r="M194" s="24" t="str">
        <f ca="1">IF(ISERROR(MATCH(N$1,INDIRECT("Table!A"&amp;$AK194):INDIRECT("Table!" &amp; $AN$275 &amp; $AK194),0)),"",INDIRECT(CONCATENATE("Table!",ADDRESS($T194,MATCH(N$1,INDIRECT("Table!A" &amp; $AK194):INDIRECT("Table!" &amp; $AN$275 &amp; $AK194),0)))))</f>
        <v/>
      </c>
      <c r="N194" s="24" t="str">
        <f ca="1">IF(ISERROR(MATCH(O$1,INDIRECT("Table!A"&amp;$AK194):INDIRECT("Table!" &amp; $AN$275 &amp; $AK194),0)),"",INDIRECT(CONCATENATE("Table!",ADDRESS($T194,MATCH(O$1,INDIRECT("Table!A" &amp; $AK194):INDIRECT("Table!" &amp; $AN$275 &amp; $AK194),0)))))</f>
        <v/>
      </c>
      <c r="O194" s="24" t="str">
        <f ca="1">IF(ISERROR(MATCH(P$1,INDIRECT("Table!A"&amp;$AK194):INDIRECT("Table!" &amp; $AN$275 &amp; $AK194),0)),"",INDIRECT(CONCATENATE("Table!",ADDRESS($T194,MATCH(P$1,INDIRECT("Table!A" &amp; $AK194):INDIRECT("Table!" &amp; $AN$275 &amp; $AK194),0)))))</f>
        <v/>
      </c>
      <c r="P194" s="273" t="str">
        <f ca="1">IF(ISERROR(MATCH(Q$1,INDIRECT("Table!A"&amp;$AK194):INDIRECT("Table!" &amp; $AN$275 &amp; $AK194),0)),"",INDIRECT(CONCATENATE("Table!",ADDRESS($T194,MATCH(Q$1,INDIRECT("Table!A" &amp; $AK194):INDIRECT("Table!" &amp; $AN$275 &amp; $AK194),0)))))</f>
        <v/>
      </c>
      <c r="Q194" s="151"/>
      <c r="R194" s="151"/>
      <c r="S194" s="151"/>
      <c r="T194" s="22"/>
      <c r="AI194" s="151"/>
      <c r="AJ194" s="151"/>
      <c r="AK194" s="22"/>
      <c r="AL194" s="151"/>
      <c r="AM194" s="151"/>
      <c r="AN194" s="151"/>
    </row>
    <row r="195" spans="2:40" ht="18" customHeight="1" x14ac:dyDescent="0.25">
      <c r="B195" s="24"/>
      <c r="C195" s="24" t="str">
        <f ca="1">IF(ISERROR(MATCH(C$1,INDIRECT("Table!A"&amp;$AK195):INDIRECT("Table!" &amp; $AN$275 &amp; $AK195),0)),"",INDIRECT(CONCATENATE("Table!",ADDRESS($T195,MATCH(C$1,INDIRECT("Table!A" &amp; $AK195):INDIRECT("Table!" &amp; $AN$275 &amp; $AK195),0)))))</f>
        <v/>
      </c>
      <c r="D195" s="24" t="str">
        <f ca="1">IF(ISERROR(MATCH(D$1,INDIRECT("Table!A"&amp;$AK195):INDIRECT("Table!" &amp; $AN$275 &amp; $AK195),0)),"",INDIRECT(CONCATENATE("Table!",ADDRESS($T195,MATCH(D$1,INDIRECT("Table!A" &amp; $AK195):INDIRECT("Table!" &amp; $AN$275 &amp; $AK195),0)))))</f>
        <v/>
      </c>
      <c r="E195" s="24" t="str">
        <f ca="1">IF(ISERROR(MATCH(E$1,INDIRECT("Table!A"&amp;$AK195):INDIRECT("Table!" &amp; $AN$275 &amp; $AK195),0)),"",INDIRECT(CONCATENATE("Table!",ADDRESS($T195,MATCH(E$1,INDIRECT("Table!A" &amp; $AK195):INDIRECT("Table!" &amp; $AN$275 &amp; $AK195),0)))))</f>
        <v/>
      </c>
      <c r="F195" s="24" t="str">
        <f ca="1">IF(ISERROR(MATCH(F$1,INDIRECT("Table!A"&amp;$AK195):INDIRECT("Table!" &amp; $AN$275 &amp; $AK195),0)),"",INDIRECT(CONCATENATE("Table!",ADDRESS($T195,MATCH(F$1,INDIRECT("Table!A" &amp; $AK195):INDIRECT("Table!" &amp; $AN$275 &amp; $AK195),0)))))</f>
        <v/>
      </c>
      <c r="G195" s="24" t="str">
        <f ca="1">IF(ISERROR(MATCH(G$1,INDIRECT("Table!A"&amp;$AK195):INDIRECT("Table!" &amp; $AN$275 &amp; $AK195),0)),"",INDIRECT(CONCATENATE("Table!",ADDRESS($T195,MATCH(G$1,INDIRECT("Table!A" &amp; $AK195):INDIRECT("Table!" &amp; $AN$275 &amp; $AK195),0)))))</f>
        <v/>
      </c>
      <c r="H195" s="24" t="str">
        <f ca="1">IF(ISERROR(MATCH(H$1,INDIRECT("Table!A"&amp;$AK195):INDIRECT("Table!" &amp; $AN$275 &amp; $AK195),0)),"",INDIRECT(CONCATENATE("Table!",ADDRESS($T195,MATCH(H$1,INDIRECT("Table!A" &amp; $AK195):INDIRECT("Table!" &amp; $AN$275 &amp; $AK195),0)))))</f>
        <v/>
      </c>
      <c r="I195" s="273"/>
      <c r="J195" s="273"/>
      <c r="K195" s="24" t="str">
        <f ca="1">IF(ISERROR(MATCH(L$1,INDIRECT("Table!A"&amp;$AK195):INDIRECT("Table!" &amp; $AN$275 &amp; $AK195),0)),"",INDIRECT(CONCATENATE("Table!",ADDRESS($T195,MATCH(L$1,INDIRECT("Table!A" &amp; $AK195):INDIRECT("Table!" &amp; $AN$275 &amp; $AK195),0)))))</f>
        <v/>
      </c>
      <c r="L195" s="24" t="str">
        <f ca="1">IF(ISERROR(MATCH(M$1,INDIRECT("Table!A"&amp;$AK195):INDIRECT("Table!" &amp; $AN$275 &amp; $AK195),0)),"",INDIRECT(CONCATENATE("Table!",ADDRESS($T195,MATCH(M$1,INDIRECT("Table!A" &amp; $AK195):INDIRECT("Table!" &amp; $AN$275 &amp; $AK195),0)))))</f>
        <v/>
      </c>
      <c r="M195" s="24" t="str">
        <f ca="1">IF(ISERROR(MATCH(N$1,INDIRECT("Table!A"&amp;$AK195):INDIRECT("Table!" &amp; $AN$275 &amp; $AK195),0)),"",INDIRECT(CONCATENATE("Table!",ADDRESS($T195,MATCH(N$1,INDIRECT("Table!A" &amp; $AK195):INDIRECT("Table!" &amp; $AN$275 &amp; $AK195),0)))))</f>
        <v/>
      </c>
      <c r="N195" s="24" t="str">
        <f ca="1">IF(ISERROR(MATCH(O$1,INDIRECT("Table!A"&amp;$AK195):INDIRECT("Table!" &amp; $AN$275 &amp; $AK195),0)),"",INDIRECT(CONCATENATE("Table!",ADDRESS($T195,MATCH(O$1,INDIRECT("Table!A" &amp; $AK195):INDIRECT("Table!" &amp; $AN$275 &amp; $AK195),0)))))</f>
        <v/>
      </c>
      <c r="O195" s="24" t="str">
        <f ca="1">IF(ISERROR(MATCH(P$1,INDIRECT("Table!A"&amp;$AK195):INDIRECT("Table!" &amp; $AN$275 &amp; $AK195),0)),"",INDIRECT(CONCATENATE("Table!",ADDRESS($T195,MATCH(P$1,INDIRECT("Table!A" &amp; $AK195):INDIRECT("Table!" &amp; $AN$275 &amp; $AK195),0)))))</f>
        <v/>
      </c>
      <c r="P195" s="273" t="str">
        <f ca="1">IF(ISERROR(MATCH(Q$1,INDIRECT("Table!A"&amp;$AK195):INDIRECT("Table!" &amp; $AN$275 &amp; $AK195),0)),"",INDIRECT(CONCATENATE("Table!",ADDRESS($T195,MATCH(Q$1,INDIRECT("Table!A" &amp; $AK195):INDIRECT("Table!" &amp; $AN$275 &amp; $AK195),0)))))</f>
        <v/>
      </c>
      <c r="Q195" s="151"/>
      <c r="R195" s="151"/>
      <c r="S195" s="151"/>
      <c r="T195" s="22"/>
      <c r="AI195" s="151"/>
      <c r="AJ195" s="151"/>
      <c r="AK195" s="22"/>
      <c r="AL195" s="151"/>
      <c r="AM195" s="151"/>
      <c r="AN195" s="151"/>
    </row>
    <row r="196" spans="2:40" ht="18" customHeight="1" x14ac:dyDescent="0.25">
      <c r="B196" s="24"/>
      <c r="C196" s="24" t="str">
        <f ca="1">IF(ISERROR(MATCH(C$1,INDIRECT("Table!A"&amp;$AK196):INDIRECT("Table!" &amp; $AN$275 &amp; $AK196),0)),"",INDIRECT(CONCATENATE("Table!",ADDRESS($T196,MATCH(C$1,INDIRECT("Table!A" &amp; $AK196):INDIRECT("Table!" &amp; $AN$275 &amp; $AK196),0)))))</f>
        <v/>
      </c>
      <c r="D196" s="24" t="str">
        <f ca="1">IF(ISERROR(MATCH(D$1,INDIRECT("Table!A"&amp;$AK196):INDIRECT("Table!" &amp; $AN$275 &amp; $AK196),0)),"",INDIRECT(CONCATENATE("Table!",ADDRESS($T196,MATCH(D$1,INDIRECT("Table!A" &amp; $AK196):INDIRECT("Table!" &amp; $AN$275 &amp; $AK196),0)))))</f>
        <v/>
      </c>
      <c r="E196" s="24" t="str">
        <f ca="1">IF(ISERROR(MATCH(E$1,INDIRECT("Table!A"&amp;$AK196):INDIRECT("Table!" &amp; $AN$275 &amp; $AK196),0)),"",INDIRECT(CONCATENATE("Table!",ADDRESS($T196,MATCH(E$1,INDIRECT("Table!A" &amp; $AK196):INDIRECT("Table!" &amp; $AN$275 &amp; $AK196),0)))))</f>
        <v/>
      </c>
      <c r="F196" s="24" t="str">
        <f ca="1">IF(ISERROR(MATCH(F$1,INDIRECT("Table!A"&amp;$AK196):INDIRECT("Table!" &amp; $AN$275 &amp; $AK196),0)),"",INDIRECT(CONCATENATE("Table!",ADDRESS($T196,MATCH(F$1,INDIRECT("Table!A" &amp; $AK196):INDIRECT("Table!" &amp; $AN$275 &amp; $AK196),0)))))</f>
        <v/>
      </c>
      <c r="G196" s="24" t="str">
        <f ca="1">IF(ISERROR(MATCH(G$1,INDIRECT("Table!A"&amp;$AK196):INDIRECT("Table!" &amp; $AN$275 &amp; $AK196),0)),"",INDIRECT(CONCATENATE("Table!",ADDRESS($T196,MATCH(G$1,INDIRECT("Table!A" &amp; $AK196):INDIRECT("Table!" &amp; $AN$275 &amp; $AK196),0)))))</f>
        <v/>
      </c>
      <c r="H196" s="24" t="str">
        <f ca="1">IF(ISERROR(MATCH(H$1,INDIRECT("Table!A"&amp;$AK196):INDIRECT("Table!" &amp; $AN$275 &amp; $AK196),0)),"",INDIRECT(CONCATENATE("Table!",ADDRESS($T196,MATCH(H$1,INDIRECT("Table!A" &amp; $AK196):INDIRECT("Table!" &amp; $AN$275 &amp; $AK196),0)))))</f>
        <v/>
      </c>
      <c r="I196" s="273"/>
      <c r="J196" s="273"/>
      <c r="K196" s="24" t="str">
        <f ca="1">IF(ISERROR(MATCH(L$1,INDIRECT("Table!A"&amp;$AK196):INDIRECT("Table!" &amp; $AN$275 &amp; $AK196),0)),"",INDIRECT(CONCATENATE("Table!",ADDRESS($T196,MATCH(L$1,INDIRECT("Table!A" &amp; $AK196):INDIRECT("Table!" &amp; $AN$275 &amp; $AK196),0)))))</f>
        <v/>
      </c>
      <c r="L196" s="24" t="str">
        <f ca="1">IF(ISERROR(MATCH(M$1,INDIRECT("Table!A"&amp;$AK196):INDIRECT("Table!" &amp; $AN$275 &amp; $AK196),0)),"",INDIRECT(CONCATENATE("Table!",ADDRESS($T196,MATCH(M$1,INDIRECT("Table!A" &amp; $AK196):INDIRECT("Table!" &amp; $AN$275 &amp; $AK196),0)))))</f>
        <v/>
      </c>
      <c r="M196" s="24" t="str">
        <f ca="1">IF(ISERROR(MATCH(N$1,INDIRECT("Table!A"&amp;$AK196):INDIRECT("Table!" &amp; $AN$275 &amp; $AK196),0)),"",INDIRECT(CONCATENATE("Table!",ADDRESS($T196,MATCH(N$1,INDIRECT("Table!A" &amp; $AK196):INDIRECT("Table!" &amp; $AN$275 &amp; $AK196),0)))))</f>
        <v/>
      </c>
      <c r="N196" s="24" t="str">
        <f ca="1">IF(ISERROR(MATCH(O$1,INDIRECT("Table!A"&amp;$AK196):INDIRECT("Table!" &amp; $AN$275 &amp; $AK196),0)),"",INDIRECT(CONCATENATE("Table!",ADDRESS($T196,MATCH(O$1,INDIRECT("Table!A" &amp; $AK196):INDIRECT("Table!" &amp; $AN$275 &amp; $AK196),0)))))</f>
        <v/>
      </c>
      <c r="O196" s="24" t="str">
        <f ca="1">IF(ISERROR(MATCH(P$1,INDIRECT("Table!A"&amp;$AK196):INDIRECT("Table!" &amp; $AN$275 &amp; $AK196),0)),"",INDIRECT(CONCATENATE("Table!",ADDRESS($T196,MATCH(P$1,INDIRECT("Table!A" &amp; $AK196):INDIRECT("Table!" &amp; $AN$275 &amp; $AK196),0)))))</f>
        <v/>
      </c>
      <c r="P196" s="273" t="str">
        <f ca="1">IF(ISERROR(MATCH(Q$1,INDIRECT("Table!A"&amp;$AK196):INDIRECT("Table!" &amp; $AN$275 &amp; $AK196),0)),"",INDIRECT(CONCATENATE("Table!",ADDRESS($T196,MATCH(Q$1,INDIRECT("Table!A" &amp; $AK196):INDIRECT("Table!" &amp; $AN$275 &amp; $AK196),0)))))</f>
        <v/>
      </c>
      <c r="Q196" s="150"/>
      <c r="R196" s="150"/>
      <c r="S196" s="150"/>
      <c r="T196" s="22"/>
      <c r="AI196" s="150"/>
      <c r="AJ196" s="150"/>
      <c r="AK196" s="22"/>
      <c r="AL196" s="150"/>
      <c r="AM196" s="150"/>
      <c r="AN196" s="150"/>
    </row>
    <row r="197" spans="2:40" ht="18" customHeight="1" x14ac:dyDescent="0.25">
      <c r="B197" s="24"/>
      <c r="C197" s="24" t="str">
        <f ca="1">IF(ISERROR(MATCH(C$1,INDIRECT("Table!A"&amp;$AK197):INDIRECT("Table!" &amp; $AN$275 &amp; $AK197),0)),"",INDIRECT(CONCATENATE("Table!",ADDRESS($T197,MATCH(C$1,INDIRECT("Table!A" &amp; $AK197):INDIRECT("Table!" &amp; $AN$275 &amp; $AK197),0)))))</f>
        <v/>
      </c>
      <c r="D197" s="24" t="str">
        <f ca="1">IF(ISERROR(MATCH(D$1,INDIRECT("Table!A"&amp;$AK197):INDIRECT("Table!" &amp; $AN$275 &amp; $AK197),0)),"",INDIRECT(CONCATENATE("Table!",ADDRESS($T197,MATCH(D$1,INDIRECT("Table!A" &amp; $AK197):INDIRECT("Table!" &amp; $AN$275 &amp; $AK197),0)))))</f>
        <v/>
      </c>
      <c r="E197" s="24" t="str">
        <f ca="1">IF(ISERROR(MATCH(E$1,INDIRECT("Table!A"&amp;$AK197):INDIRECT("Table!" &amp; $AN$275 &amp; $AK197),0)),"",INDIRECT(CONCATENATE("Table!",ADDRESS($T197,MATCH(E$1,INDIRECT("Table!A" &amp; $AK197):INDIRECT("Table!" &amp; $AN$275 &amp; $AK197),0)))))</f>
        <v/>
      </c>
      <c r="F197" s="24" t="str">
        <f ca="1">IF(ISERROR(MATCH(F$1,INDIRECT("Table!A"&amp;$AK197):INDIRECT("Table!" &amp; $AN$275 &amp; $AK197),0)),"",INDIRECT(CONCATENATE("Table!",ADDRESS($T197,MATCH(F$1,INDIRECT("Table!A" &amp; $AK197):INDIRECT("Table!" &amp; $AN$275 &amp; $AK197),0)))))</f>
        <v/>
      </c>
      <c r="G197" s="24" t="str">
        <f ca="1">IF(ISERROR(MATCH(G$1,INDIRECT("Table!A"&amp;$AK197):INDIRECT("Table!" &amp; $AN$275 &amp; $AK197),0)),"",INDIRECT(CONCATENATE("Table!",ADDRESS($T197,MATCH(G$1,INDIRECT("Table!A" &amp; $AK197):INDIRECT("Table!" &amp; $AN$275 &amp; $AK197),0)))))</f>
        <v/>
      </c>
      <c r="H197" s="24" t="str">
        <f ca="1">IF(ISERROR(MATCH(H$1,INDIRECT("Table!A"&amp;$AK197):INDIRECT("Table!" &amp; $AN$275 &amp; $AK197),0)),"",INDIRECT(CONCATENATE("Table!",ADDRESS($T197,MATCH(H$1,INDIRECT("Table!A" &amp; $AK197):INDIRECT("Table!" &amp; $AN$275 &amp; $AK197),0)))))</f>
        <v/>
      </c>
      <c r="I197" s="273"/>
      <c r="J197" s="273"/>
      <c r="K197" s="24" t="str">
        <f ca="1">IF(ISERROR(MATCH(L$1,INDIRECT("Table!A"&amp;$AK197):INDIRECT("Table!" &amp; $AN$275 &amp; $AK197),0)),"",INDIRECT(CONCATENATE("Table!",ADDRESS($T197,MATCH(L$1,INDIRECT("Table!A" &amp; $AK197):INDIRECT("Table!" &amp; $AN$275 &amp; $AK197),0)))))</f>
        <v/>
      </c>
      <c r="L197" s="24" t="str">
        <f ca="1">IF(ISERROR(MATCH(M$1,INDIRECT("Table!A"&amp;$AK197):INDIRECT("Table!" &amp; $AN$275 &amp; $AK197),0)),"",INDIRECT(CONCATENATE("Table!",ADDRESS($T197,MATCH(M$1,INDIRECT("Table!A" &amp; $AK197):INDIRECT("Table!" &amp; $AN$275 &amp; $AK197),0)))))</f>
        <v/>
      </c>
      <c r="M197" s="24" t="str">
        <f ca="1">IF(ISERROR(MATCH(N$1,INDIRECT("Table!A"&amp;$AK197):INDIRECT("Table!" &amp; $AN$275 &amp; $AK197),0)),"",INDIRECT(CONCATENATE("Table!",ADDRESS($T197,MATCH(N$1,INDIRECT("Table!A" &amp; $AK197):INDIRECT("Table!" &amp; $AN$275 &amp; $AK197),0)))))</f>
        <v/>
      </c>
      <c r="N197" s="24" t="str">
        <f ca="1">IF(ISERROR(MATCH(O$1,INDIRECT("Table!A"&amp;$AK197):INDIRECT("Table!" &amp; $AN$275 &amp; $AK197),0)),"",INDIRECT(CONCATENATE("Table!",ADDRESS($T197,MATCH(O$1,INDIRECT("Table!A" &amp; $AK197):INDIRECT("Table!" &amp; $AN$275 &amp; $AK197),0)))))</f>
        <v/>
      </c>
      <c r="O197" s="24" t="str">
        <f ca="1">IF(ISERROR(MATCH(P$1,INDIRECT("Table!A"&amp;$AK197):INDIRECT("Table!" &amp; $AN$275 &amp; $AK197),0)),"",INDIRECT(CONCATENATE("Table!",ADDRESS($T197,MATCH(P$1,INDIRECT("Table!A" &amp; $AK197):INDIRECT("Table!" &amp; $AN$275 &amp; $AK197),0)))))</f>
        <v/>
      </c>
      <c r="P197" s="273" t="str">
        <f ca="1">IF(ISERROR(MATCH(Q$1,INDIRECT("Table!A"&amp;$AK197):INDIRECT("Table!" &amp; $AN$275 &amp; $AK197),0)),"",INDIRECT(CONCATENATE("Table!",ADDRESS($T197,MATCH(Q$1,INDIRECT("Table!A" &amp; $AK197):INDIRECT("Table!" &amp; $AN$275 &amp; $AK197),0)))))</f>
        <v/>
      </c>
      <c r="Q197" s="149"/>
      <c r="R197" s="149"/>
      <c r="S197" s="149"/>
      <c r="T197" s="22"/>
      <c r="AI197" s="149"/>
      <c r="AJ197" s="149"/>
      <c r="AK197" s="22"/>
      <c r="AL197" s="149"/>
      <c r="AM197" s="149"/>
      <c r="AN197" s="149"/>
    </row>
    <row r="198" spans="2:40" ht="18" customHeight="1" x14ac:dyDescent="0.25">
      <c r="B198" s="24"/>
      <c r="C198" s="24" t="str">
        <f ca="1">IF(ISERROR(MATCH(C$1,INDIRECT("Table!A"&amp;$AK198):INDIRECT("Table!" &amp; $AN$275 &amp; $AK198),0)),"",INDIRECT(CONCATENATE("Table!",ADDRESS($T198,MATCH(C$1,INDIRECT("Table!A" &amp; $AK198):INDIRECT("Table!" &amp; $AN$275 &amp; $AK198),0)))))</f>
        <v/>
      </c>
      <c r="D198" s="24" t="str">
        <f ca="1">IF(ISERROR(MATCH(D$1,INDIRECT("Table!A"&amp;$AK198):INDIRECT("Table!" &amp; $AN$275 &amp; $AK198),0)),"",INDIRECT(CONCATENATE("Table!",ADDRESS($T198,MATCH(D$1,INDIRECT("Table!A" &amp; $AK198):INDIRECT("Table!" &amp; $AN$275 &amp; $AK198),0)))))</f>
        <v/>
      </c>
      <c r="E198" s="24" t="str">
        <f ca="1">IF(ISERROR(MATCH(E$1,INDIRECT("Table!A"&amp;$AK198):INDIRECT("Table!" &amp; $AN$275 &amp; $AK198),0)),"",INDIRECT(CONCATENATE("Table!",ADDRESS($T198,MATCH(E$1,INDIRECT("Table!A" &amp; $AK198):INDIRECT("Table!" &amp; $AN$275 &amp; $AK198),0)))))</f>
        <v/>
      </c>
      <c r="F198" s="24" t="str">
        <f ca="1">IF(ISERROR(MATCH(F$1,INDIRECT("Table!A"&amp;$AK198):INDIRECT("Table!" &amp; $AN$275 &amp; $AK198),0)),"",INDIRECT(CONCATENATE("Table!",ADDRESS($T198,MATCH(F$1,INDIRECT("Table!A" &amp; $AK198):INDIRECT("Table!" &amp; $AN$275 &amp; $AK198),0)))))</f>
        <v/>
      </c>
      <c r="G198" s="24" t="str">
        <f ca="1">IF(ISERROR(MATCH(G$1,INDIRECT("Table!A"&amp;$AK198):INDIRECT("Table!" &amp; $AN$275 &amp; $AK198),0)),"",INDIRECT(CONCATENATE("Table!",ADDRESS($T198,MATCH(G$1,INDIRECT("Table!A" &amp; $AK198):INDIRECT("Table!" &amp; $AN$275 &amp; $AK198),0)))))</f>
        <v/>
      </c>
      <c r="H198" s="24" t="str">
        <f ca="1">IF(ISERROR(MATCH(H$1,INDIRECT("Table!A"&amp;$AK198):INDIRECT("Table!" &amp; $AN$275 &amp; $AK198),0)),"",INDIRECT(CONCATENATE("Table!",ADDRESS($T198,MATCH(H$1,INDIRECT("Table!A" &amp; $AK198):INDIRECT("Table!" &amp; $AN$275 &amp; $AK198),0)))))</f>
        <v/>
      </c>
      <c r="I198" s="273"/>
      <c r="J198" s="273"/>
      <c r="K198" s="24" t="str">
        <f ca="1">IF(ISERROR(MATCH(L$1,INDIRECT("Table!A"&amp;$AK198):INDIRECT("Table!" &amp; $AN$275 &amp; $AK198),0)),"",INDIRECT(CONCATENATE("Table!",ADDRESS($T198,MATCH(L$1,INDIRECT("Table!A" &amp; $AK198):INDIRECT("Table!" &amp; $AN$275 &amp; $AK198),0)))))</f>
        <v/>
      </c>
      <c r="L198" s="24" t="str">
        <f ca="1">IF(ISERROR(MATCH(M$1,INDIRECT("Table!A"&amp;$AK198):INDIRECT("Table!" &amp; $AN$275 &amp; $AK198),0)),"",INDIRECT(CONCATENATE("Table!",ADDRESS($T198,MATCH(M$1,INDIRECT("Table!A" &amp; $AK198):INDIRECT("Table!" &amp; $AN$275 &amp; $AK198),0)))))</f>
        <v/>
      </c>
      <c r="M198" s="24" t="str">
        <f ca="1">IF(ISERROR(MATCH(N$1,INDIRECT("Table!A"&amp;$AK198):INDIRECT("Table!" &amp; $AN$275 &amp; $AK198),0)),"",INDIRECT(CONCATENATE("Table!",ADDRESS($T198,MATCH(N$1,INDIRECT("Table!A" &amp; $AK198):INDIRECT("Table!" &amp; $AN$275 &amp; $AK198),0)))))</f>
        <v/>
      </c>
      <c r="N198" s="24" t="str">
        <f ca="1">IF(ISERROR(MATCH(O$1,INDIRECT("Table!A"&amp;$AK198):INDIRECT("Table!" &amp; $AN$275 &amp; $AK198),0)),"",INDIRECT(CONCATENATE("Table!",ADDRESS($T198,MATCH(O$1,INDIRECT("Table!A" &amp; $AK198):INDIRECT("Table!" &amp; $AN$275 &amp; $AK198),0)))))</f>
        <v/>
      </c>
      <c r="O198" s="24" t="str">
        <f ca="1">IF(ISERROR(MATCH(P$1,INDIRECT("Table!A"&amp;$AK198):INDIRECT("Table!" &amp; $AN$275 &amp; $AK198),0)),"",INDIRECT(CONCATENATE("Table!",ADDRESS($T198,MATCH(P$1,INDIRECT("Table!A" &amp; $AK198):INDIRECT("Table!" &amp; $AN$275 &amp; $AK198),0)))))</f>
        <v/>
      </c>
      <c r="P198" s="273" t="str">
        <f ca="1">IF(ISERROR(MATCH(Q$1,INDIRECT("Table!A"&amp;$AK198):INDIRECT("Table!" &amp; $AN$275 &amp; $AK198),0)),"",INDIRECT(CONCATENATE("Table!",ADDRESS($T198,MATCH(Q$1,INDIRECT("Table!A" &amp; $AK198):INDIRECT("Table!" &amp; $AN$275 &amp; $AK198),0)))))</f>
        <v/>
      </c>
      <c r="Q198" s="148"/>
      <c r="R198" s="148"/>
      <c r="S198" s="148"/>
      <c r="T198" s="22"/>
      <c r="AI198" s="148"/>
      <c r="AJ198" s="148"/>
      <c r="AK198" s="22"/>
      <c r="AL198" s="148"/>
      <c r="AM198" s="148"/>
      <c r="AN198" s="148"/>
    </row>
    <row r="199" spans="2:40" ht="18" customHeight="1" x14ac:dyDescent="0.25">
      <c r="B199" s="24"/>
      <c r="C199" s="24" t="str">
        <f ca="1">IF(ISERROR(MATCH(C$1,INDIRECT("Table!A"&amp;$AK199):INDIRECT("Table!" &amp; $AN$275 &amp; $AK199),0)),"",INDIRECT(CONCATENATE("Table!",ADDRESS($T199,MATCH(C$1,INDIRECT("Table!A" &amp; $AK199):INDIRECT("Table!" &amp; $AN$275 &amp; $AK199),0)))))</f>
        <v/>
      </c>
      <c r="D199" s="24" t="str">
        <f ca="1">IF(ISERROR(MATCH(D$1,INDIRECT("Table!A"&amp;$AK199):INDIRECT("Table!" &amp; $AN$275 &amp; $AK199),0)),"",INDIRECT(CONCATENATE("Table!",ADDRESS($T199,MATCH(D$1,INDIRECT("Table!A" &amp; $AK199):INDIRECT("Table!" &amp; $AN$275 &amp; $AK199),0)))))</f>
        <v/>
      </c>
      <c r="E199" s="24" t="str">
        <f ca="1">IF(ISERROR(MATCH(E$1,INDIRECT("Table!A"&amp;$AK199):INDIRECT("Table!" &amp; $AN$275 &amp; $AK199),0)),"",INDIRECT(CONCATENATE("Table!",ADDRESS($T199,MATCH(E$1,INDIRECT("Table!A" &amp; $AK199):INDIRECT("Table!" &amp; $AN$275 &amp; $AK199),0)))))</f>
        <v/>
      </c>
      <c r="F199" s="24" t="str">
        <f ca="1">IF(ISERROR(MATCH(F$1,INDIRECT("Table!A"&amp;$AK199):INDIRECT("Table!" &amp; $AN$275 &amp; $AK199),0)),"",INDIRECT(CONCATENATE("Table!",ADDRESS($T199,MATCH(F$1,INDIRECT("Table!A" &amp; $AK199):INDIRECT("Table!" &amp; $AN$275 &amp; $AK199),0)))))</f>
        <v/>
      </c>
      <c r="G199" s="24" t="str">
        <f ca="1">IF(ISERROR(MATCH(G$1,INDIRECT("Table!A"&amp;$AK199):INDIRECT("Table!" &amp; $AN$275 &amp; $AK199),0)),"",INDIRECT(CONCATENATE("Table!",ADDRESS($T199,MATCH(G$1,INDIRECT("Table!A" &amp; $AK199):INDIRECT("Table!" &amp; $AN$275 &amp; $AK199),0)))))</f>
        <v/>
      </c>
      <c r="H199" s="24" t="str">
        <f ca="1">IF(ISERROR(MATCH(H$1,INDIRECT("Table!A"&amp;$AK199):INDIRECT("Table!" &amp; $AN$275 &amp; $AK199),0)),"",INDIRECT(CONCATENATE("Table!",ADDRESS($T199,MATCH(H$1,INDIRECT("Table!A" &amp; $AK199):INDIRECT("Table!" &amp; $AN$275 &amp; $AK199),0)))))</f>
        <v/>
      </c>
      <c r="I199" s="273"/>
      <c r="J199" s="273"/>
      <c r="K199" s="24" t="str">
        <f ca="1">IF(ISERROR(MATCH(L$1,INDIRECT("Table!A"&amp;$AK199):INDIRECT("Table!" &amp; $AN$275 &amp; $AK199),0)),"",INDIRECT(CONCATENATE("Table!",ADDRESS($T199,MATCH(L$1,INDIRECT("Table!A" &amp; $AK199):INDIRECT("Table!" &amp; $AN$275 &amp; $AK199),0)))))</f>
        <v/>
      </c>
      <c r="L199" s="24" t="str">
        <f ca="1">IF(ISERROR(MATCH(M$1,INDIRECT("Table!A"&amp;$AK199):INDIRECT("Table!" &amp; $AN$275 &amp; $AK199),0)),"",INDIRECT(CONCATENATE("Table!",ADDRESS($T199,MATCH(M$1,INDIRECT("Table!A" &amp; $AK199):INDIRECT("Table!" &amp; $AN$275 &amp; $AK199),0)))))</f>
        <v/>
      </c>
      <c r="M199" s="24" t="str">
        <f ca="1">IF(ISERROR(MATCH(N$1,INDIRECT("Table!A"&amp;$AK199):INDIRECT("Table!" &amp; $AN$275 &amp; $AK199),0)),"",INDIRECT(CONCATENATE("Table!",ADDRESS($T199,MATCH(N$1,INDIRECT("Table!A" &amp; $AK199):INDIRECT("Table!" &amp; $AN$275 &amp; $AK199),0)))))</f>
        <v/>
      </c>
      <c r="N199" s="24" t="str">
        <f ca="1">IF(ISERROR(MATCH(O$1,INDIRECT("Table!A"&amp;$AK199):INDIRECT("Table!" &amp; $AN$275 &amp; $AK199),0)),"",INDIRECT(CONCATENATE("Table!",ADDRESS($T199,MATCH(O$1,INDIRECT("Table!A" &amp; $AK199):INDIRECT("Table!" &amp; $AN$275 &amp; $AK199),0)))))</f>
        <v/>
      </c>
      <c r="O199" s="24" t="str">
        <f ca="1">IF(ISERROR(MATCH(P$1,INDIRECT("Table!A"&amp;$AK199):INDIRECT("Table!" &amp; $AN$275 &amp; $AK199),0)),"",INDIRECT(CONCATENATE("Table!",ADDRESS($T199,MATCH(P$1,INDIRECT("Table!A" &amp; $AK199):INDIRECT("Table!" &amp; $AN$275 &amp; $AK199),0)))))</f>
        <v/>
      </c>
      <c r="P199" s="273" t="str">
        <f ca="1">IF(ISERROR(MATCH(Q$1,INDIRECT("Table!A"&amp;$AK199):INDIRECT("Table!" &amp; $AN$275 &amp; $AK199),0)),"",INDIRECT(CONCATENATE("Table!",ADDRESS($T199,MATCH(Q$1,INDIRECT("Table!A" &amp; $AK199):INDIRECT("Table!" &amp; $AN$275 &amp; $AK199),0)))))</f>
        <v/>
      </c>
      <c r="Q199" s="147"/>
      <c r="R199" s="147"/>
      <c r="S199" s="147"/>
      <c r="T199" s="22"/>
      <c r="AI199" s="147"/>
      <c r="AJ199" s="147"/>
      <c r="AK199" s="22"/>
      <c r="AL199" s="147"/>
      <c r="AM199" s="147"/>
      <c r="AN199" s="147"/>
    </row>
    <row r="200" spans="2:40" ht="18" customHeight="1" x14ac:dyDescent="0.25">
      <c r="B200" s="24"/>
      <c r="C200" s="24" t="str">
        <f ca="1">IF(ISERROR(MATCH(C$1,INDIRECT("Table!A"&amp;$AK200):INDIRECT("Table!" &amp; $AN$275 &amp; $AK200),0)),"",INDIRECT(CONCATENATE("Table!",ADDRESS($T200,MATCH(C$1,INDIRECT("Table!A" &amp; $AK200):INDIRECT("Table!" &amp; $AN$275 &amp; $AK200),0)))))</f>
        <v/>
      </c>
      <c r="D200" s="24" t="str">
        <f ca="1">IF(ISERROR(MATCH(D$1,INDIRECT("Table!A"&amp;$AK200):INDIRECT("Table!" &amp; $AN$275 &amp; $AK200),0)),"",INDIRECT(CONCATENATE("Table!",ADDRESS($T200,MATCH(D$1,INDIRECT("Table!A" &amp; $AK200):INDIRECT("Table!" &amp; $AN$275 &amp; $AK200),0)))))</f>
        <v/>
      </c>
      <c r="E200" s="24" t="str">
        <f ca="1">IF(ISERROR(MATCH(E$1,INDIRECT("Table!A"&amp;$AK200):INDIRECT("Table!" &amp; $AN$275 &amp; $AK200),0)),"",INDIRECT(CONCATENATE("Table!",ADDRESS($T200,MATCH(E$1,INDIRECT("Table!A" &amp; $AK200):INDIRECT("Table!" &amp; $AN$275 &amp; $AK200),0)))))</f>
        <v/>
      </c>
      <c r="F200" s="24" t="str">
        <f ca="1">IF(ISERROR(MATCH(F$1,INDIRECT("Table!A"&amp;$AK200):INDIRECT("Table!" &amp; $AN$275 &amp; $AK200),0)),"",INDIRECT(CONCATENATE("Table!",ADDRESS($T200,MATCH(F$1,INDIRECT("Table!A" &amp; $AK200):INDIRECT("Table!" &amp; $AN$275 &amp; $AK200),0)))))</f>
        <v/>
      </c>
      <c r="G200" s="24" t="str">
        <f ca="1">IF(ISERROR(MATCH(G$1,INDIRECT("Table!A"&amp;$AK200):INDIRECT("Table!" &amp; $AN$275 &amp; $AK200),0)),"",INDIRECT(CONCATENATE("Table!",ADDRESS($T200,MATCH(G$1,INDIRECT("Table!A" &amp; $AK200):INDIRECT("Table!" &amp; $AN$275 &amp; $AK200),0)))))</f>
        <v/>
      </c>
      <c r="H200" s="24" t="str">
        <f ca="1">IF(ISERROR(MATCH(H$1,INDIRECT("Table!A"&amp;$AK200):INDIRECT("Table!" &amp; $AN$275 &amp; $AK200),0)),"",INDIRECT(CONCATENATE("Table!",ADDRESS($T200,MATCH(H$1,INDIRECT("Table!A" &amp; $AK200):INDIRECT("Table!" &amp; $AN$275 &amp; $AK200),0)))))</f>
        <v/>
      </c>
      <c r="I200" s="273"/>
      <c r="J200" s="273"/>
      <c r="K200" s="24" t="str">
        <f ca="1">IF(ISERROR(MATCH(L$1,INDIRECT("Table!A"&amp;$AK200):INDIRECT("Table!" &amp; $AN$275 &amp; $AK200),0)),"",INDIRECT(CONCATENATE("Table!",ADDRESS($T200,MATCH(L$1,INDIRECT("Table!A" &amp; $AK200):INDIRECT("Table!" &amp; $AN$275 &amp; $AK200),0)))))</f>
        <v/>
      </c>
      <c r="L200" s="24" t="str">
        <f ca="1">IF(ISERROR(MATCH(M$1,INDIRECT("Table!A"&amp;$AK200):INDIRECT("Table!" &amp; $AN$275 &amp; $AK200),0)),"",INDIRECT(CONCATENATE("Table!",ADDRESS($T200,MATCH(M$1,INDIRECT("Table!A" &amp; $AK200):INDIRECT("Table!" &amp; $AN$275 &amp; $AK200),0)))))</f>
        <v/>
      </c>
      <c r="M200" s="24" t="str">
        <f ca="1">IF(ISERROR(MATCH(N$1,INDIRECT("Table!A"&amp;$AK200):INDIRECT("Table!" &amp; $AN$275 &amp; $AK200),0)),"",INDIRECT(CONCATENATE("Table!",ADDRESS($T200,MATCH(N$1,INDIRECT("Table!A" &amp; $AK200):INDIRECT("Table!" &amp; $AN$275 &amp; $AK200),0)))))</f>
        <v/>
      </c>
      <c r="N200" s="24" t="str">
        <f ca="1">IF(ISERROR(MATCH(O$1,INDIRECT("Table!A"&amp;$AK200):INDIRECT("Table!" &amp; $AN$275 &amp; $AK200),0)),"",INDIRECT(CONCATENATE("Table!",ADDRESS($T200,MATCH(O$1,INDIRECT("Table!A" &amp; $AK200):INDIRECT("Table!" &amp; $AN$275 &amp; $AK200),0)))))</f>
        <v/>
      </c>
      <c r="O200" s="24" t="str">
        <f ca="1">IF(ISERROR(MATCH(P$1,INDIRECT("Table!A"&amp;$AK200):INDIRECT("Table!" &amp; $AN$275 &amp; $AK200),0)),"",INDIRECT(CONCATENATE("Table!",ADDRESS($T200,MATCH(P$1,INDIRECT("Table!A" &amp; $AK200):INDIRECT("Table!" &amp; $AN$275 &amp; $AK200),0)))))</f>
        <v/>
      </c>
      <c r="P200" s="273" t="str">
        <f ca="1">IF(ISERROR(MATCH(Q$1,INDIRECT("Table!A"&amp;$AK200):INDIRECT("Table!" &amp; $AN$275 &amp; $AK200),0)),"",INDIRECT(CONCATENATE("Table!",ADDRESS($T200,MATCH(Q$1,INDIRECT("Table!A" &amp; $AK200):INDIRECT("Table!" &amp; $AN$275 &amp; $AK200),0)))))</f>
        <v/>
      </c>
      <c r="Q200" s="146"/>
      <c r="R200" s="146"/>
      <c r="S200" s="146"/>
      <c r="T200" s="22"/>
      <c r="AI200" s="146"/>
      <c r="AJ200" s="146"/>
      <c r="AK200" s="22"/>
      <c r="AL200" s="146"/>
      <c r="AM200" s="146"/>
      <c r="AN200" s="146"/>
    </row>
    <row r="201" spans="2:40" ht="18" customHeight="1" x14ac:dyDescent="0.25">
      <c r="B201" s="24"/>
      <c r="C201" s="24"/>
      <c r="D201" s="24"/>
      <c r="E201" s="24"/>
      <c r="F201" s="24"/>
      <c r="G201" s="24"/>
      <c r="H201" s="24"/>
      <c r="I201" s="273"/>
      <c r="J201" s="273"/>
      <c r="K201" s="24"/>
      <c r="L201" s="24"/>
      <c r="M201" s="24"/>
      <c r="N201" s="24"/>
      <c r="O201" s="24"/>
      <c r="P201" s="273"/>
      <c r="Q201" s="145"/>
      <c r="R201" s="145"/>
      <c r="S201" s="145"/>
      <c r="T201" s="22"/>
      <c r="AI201" s="145"/>
      <c r="AJ201" s="145"/>
      <c r="AK201" s="22"/>
      <c r="AL201" s="145"/>
      <c r="AM201" s="145"/>
      <c r="AN201" s="145"/>
    </row>
    <row r="202" spans="2:40" ht="18" customHeight="1" x14ac:dyDescent="0.25">
      <c r="B202" s="24"/>
      <c r="C202" s="24"/>
      <c r="D202" s="24"/>
      <c r="E202" s="24"/>
      <c r="F202" s="24"/>
      <c r="G202" s="24"/>
      <c r="H202" s="24"/>
      <c r="I202" s="273"/>
      <c r="J202" s="273"/>
      <c r="K202" s="24"/>
      <c r="L202" s="24"/>
      <c r="M202" s="24"/>
      <c r="N202" s="24"/>
      <c r="O202" s="24"/>
      <c r="P202" s="273"/>
      <c r="Q202" s="143"/>
      <c r="R202" s="143"/>
      <c r="S202" s="143"/>
      <c r="T202" s="22"/>
      <c r="AI202" s="143"/>
      <c r="AJ202" s="143"/>
      <c r="AK202" s="22"/>
      <c r="AL202" s="143"/>
      <c r="AM202" s="143"/>
      <c r="AN202" s="143"/>
    </row>
    <row r="203" spans="2:40" ht="18" customHeight="1" x14ac:dyDescent="0.25">
      <c r="B203" s="24"/>
      <c r="C203" s="24"/>
      <c r="D203" s="24"/>
      <c r="E203" s="24"/>
      <c r="F203" s="24"/>
      <c r="G203" s="24"/>
      <c r="H203" s="24"/>
      <c r="I203" s="273"/>
      <c r="J203" s="273"/>
      <c r="K203" s="24"/>
      <c r="L203" s="24"/>
      <c r="M203" s="24"/>
      <c r="N203" s="24"/>
      <c r="O203" s="24"/>
      <c r="P203" s="273"/>
      <c r="Q203" s="142"/>
      <c r="R203" s="142"/>
      <c r="S203" s="142"/>
      <c r="T203" s="22"/>
      <c r="AI203" s="142"/>
      <c r="AJ203" s="142"/>
      <c r="AK203" s="22"/>
      <c r="AL203" s="142"/>
      <c r="AM203" s="142"/>
      <c r="AN203" s="142"/>
    </row>
    <row r="204" spans="2:40" ht="18" customHeight="1" x14ac:dyDescent="0.25">
      <c r="B204" s="24"/>
      <c r="C204" s="24" t="str">
        <f ca="1">IF(ISERROR(MATCH(C$1,INDIRECT("Table!A"&amp;$AK204):INDIRECT("Table!" &amp; $AN$275 &amp; $AK204),0)),"",INDIRECT(CONCATENATE("Table!",ADDRESS($T204,MATCH(C$1,INDIRECT("Table!A" &amp; $AK204):INDIRECT("Table!" &amp; $AN$275 &amp; $AK204),0)))))</f>
        <v/>
      </c>
      <c r="D204" s="24" t="str">
        <f ca="1">IF(ISERROR(MATCH(D$1,INDIRECT("Table!A"&amp;$AK204):INDIRECT("Table!" &amp; $AN$275 &amp; $AK204),0)),"",INDIRECT(CONCATENATE("Table!",ADDRESS($T204,MATCH(D$1,INDIRECT("Table!A" &amp; $AK204):INDIRECT("Table!" &amp; $AN$275 &amp; $AK204),0)))))</f>
        <v/>
      </c>
      <c r="E204" s="24" t="str">
        <f ca="1">IF(ISERROR(MATCH(E$1,INDIRECT("Table!A"&amp;$AK204):INDIRECT("Table!" &amp; $AN$275 &amp; $AK204),0)),"",INDIRECT(CONCATENATE("Table!",ADDRESS($T204,MATCH(E$1,INDIRECT("Table!A" &amp; $AK204):INDIRECT("Table!" &amp; $AN$275 &amp; $AK204),0)))))</f>
        <v/>
      </c>
      <c r="F204" s="24" t="str">
        <f ca="1">IF(ISERROR(MATCH(F$1,INDIRECT("Table!A"&amp;$AK204):INDIRECT("Table!" &amp; $AN$275 &amp; $AK204),0)),"",INDIRECT(CONCATENATE("Table!",ADDRESS($T204,MATCH(F$1,INDIRECT("Table!A" &amp; $AK204):INDIRECT("Table!" &amp; $AN$275 &amp; $AK204),0)))))</f>
        <v/>
      </c>
      <c r="G204" s="24" t="str">
        <f ca="1">IF(ISERROR(MATCH(G$1,INDIRECT("Table!A"&amp;$AK204):INDIRECT("Table!" &amp; $AN$275 &amp; $AK204),0)),"",INDIRECT(CONCATENATE("Table!",ADDRESS($T204,MATCH(G$1,INDIRECT("Table!A" &amp; $AK204):INDIRECT("Table!" &amp; $AN$275 &amp; $AK204),0)))))</f>
        <v/>
      </c>
      <c r="H204" s="24" t="str">
        <f ca="1">IF(ISERROR(MATCH(H$1,INDIRECT("Table!A"&amp;$AK204):INDIRECT("Table!" &amp; $AN$275 &amp; $AK204),0)),"",INDIRECT(CONCATENATE("Table!",ADDRESS($T204,MATCH(H$1,INDIRECT("Table!A" &amp; $AK204):INDIRECT("Table!" &amp; $AN$275 &amp; $AK204),0)))))</f>
        <v/>
      </c>
      <c r="I204" s="273"/>
      <c r="J204" s="273"/>
      <c r="K204" s="24" t="str">
        <f ca="1">IF(ISERROR(MATCH(L$1,INDIRECT("Table!A"&amp;$AK204):INDIRECT("Table!" &amp; $AN$275 &amp; $AK204),0)),"",INDIRECT(CONCATENATE("Table!",ADDRESS($T204,MATCH(L$1,INDIRECT("Table!A" &amp; $AK204):INDIRECT("Table!" &amp; $AN$275 &amp; $AK204),0)))))</f>
        <v/>
      </c>
      <c r="L204" s="24" t="str">
        <f ca="1">IF(ISERROR(MATCH(M$1,INDIRECT("Table!A"&amp;$AK204):INDIRECT("Table!" &amp; $AN$275 &amp; $AK204),0)),"",INDIRECT(CONCATENATE("Table!",ADDRESS($T204,MATCH(M$1,INDIRECT("Table!A" &amp; $AK204):INDIRECT("Table!" &amp; $AN$275 &amp; $AK204),0)))))</f>
        <v/>
      </c>
      <c r="M204" s="24" t="str">
        <f ca="1">IF(ISERROR(MATCH(N$1,INDIRECT("Table!A"&amp;$AK204):INDIRECT("Table!" &amp; $AN$275 &amp; $AK204),0)),"",INDIRECT(CONCATENATE("Table!",ADDRESS($T204,MATCH(N$1,INDIRECT("Table!A" &amp; $AK204):INDIRECT("Table!" &amp; $AN$275 &amp; $AK204),0)))))</f>
        <v/>
      </c>
      <c r="N204" s="24" t="str">
        <f ca="1">IF(ISERROR(MATCH(O$1,INDIRECT("Table!A"&amp;$AK204):INDIRECT("Table!" &amp; $AN$275 &amp; $AK204),0)),"",INDIRECT(CONCATENATE("Table!",ADDRESS($T204,MATCH(O$1,INDIRECT("Table!A" &amp; $AK204):INDIRECT("Table!" &amp; $AN$275 &amp; $AK204),0)))))</f>
        <v/>
      </c>
      <c r="O204" s="24" t="str">
        <f ca="1">IF(ISERROR(MATCH(P$1,INDIRECT("Table!A"&amp;$AK204):INDIRECT("Table!" &amp; $AN$275 &amp; $AK204),0)),"",INDIRECT(CONCATENATE("Table!",ADDRESS($T204,MATCH(P$1,INDIRECT("Table!A" &amp; $AK204):INDIRECT("Table!" &amp; $AN$275 &amp; $AK204),0)))))</f>
        <v/>
      </c>
      <c r="P204" s="273" t="str">
        <f ca="1">IF(ISERROR(MATCH(Q$1,INDIRECT("Table!A"&amp;$AK204):INDIRECT("Table!" &amp; $AN$275 &amp; $AK204),0)),"",INDIRECT(CONCATENATE("Table!",ADDRESS($T204,MATCH(Q$1,INDIRECT("Table!A" &amp; $AK204):INDIRECT("Table!" &amp; $AN$275 &amp; $AK204),0)))))</f>
        <v/>
      </c>
      <c r="Q204" s="141"/>
      <c r="R204" s="141"/>
      <c r="S204" s="141"/>
      <c r="T204" s="22"/>
      <c r="AI204" s="141"/>
      <c r="AJ204" s="141"/>
      <c r="AK204" s="22"/>
      <c r="AL204" s="141"/>
      <c r="AM204" s="141"/>
      <c r="AN204" s="141"/>
    </row>
    <row r="205" spans="2:40" ht="18" customHeight="1" x14ac:dyDescent="0.25">
      <c r="B205" s="24"/>
      <c r="C205" s="24" t="str">
        <f ca="1">IF(ISERROR(MATCH(C$1,INDIRECT("Table!A"&amp;$AK205):INDIRECT("Table!" &amp; $AN$275 &amp; $AK205),0)),"",INDIRECT(CONCATENATE("Table!",ADDRESS($T205,MATCH(C$1,INDIRECT("Table!A" &amp; $AK205):INDIRECT("Table!" &amp; $AN$275 &amp; $AK205),0)))))</f>
        <v/>
      </c>
      <c r="D205" s="24" t="str">
        <f ca="1">IF(ISERROR(MATCH(D$1,INDIRECT("Table!A"&amp;$AK205):INDIRECT("Table!" &amp; $AN$275 &amp; $AK205),0)),"",INDIRECT(CONCATENATE("Table!",ADDRESS($T205,MATCH(D$1,INDIRECT("Table!A" &amp; $AK205):INDIRECT("Table!" &amp; $AN$275 &amp; $AK205),0)))))</f>
        <v/>
      </c>
      <c r="E205" s="24" t="str">
        <f ca="1">IF(ISERROR(MATCH(E$1,INDIRECT("Table!A"&amp;$AK205):INDIRECT("Table!" &amp; $AN$275 &amp; $AK205),0)),"",INDIRECT(CONCATENATE("Table!",ADDRESS($T205,MATCH(E$1,INDIRECT("Table!A" &amp; $AK205):INDIRECT("Table!" &amp; $AN$275 &amp; $AK205),0)))))</f>
        <v/>
      </c>
      <c r="F205" s="24" t="str">
        <f ca="1">IF(ISERROR(MATCH(F$1,INDIRECT("Table!A"&amp;$AK205):INDIRECT("Table!" &amp; $AN$275 &amp; $AK205),0)),"",INDIRECT(CONCATENATE("Table!",ADDRESS($T205,MATCH(F$1,INDIRECT("Table!A" &amp; $AK205):INDIRECT("Table!" &amp; $AN$275 &amp; $AK205),0)))))</f>
        <v/>
      </c>
      <c r="G205" s="24" t="str">
        <f ca="1">IF(ISERROR(MATCH(G$1,INDIRECT("Table!A"&amp;$AK205):INDIRECT("Table!" &amp; $AN$275 &amp; $AK205),0)),"",INDIRECT(CONCATENATE("Table!",ADDRESS($T205,MATCH(G$1,INDIRECT("Table!A" &amp; $AK205):INDIRECT("Table!" &amp; $AN$275 &amp; $AK205),0)))))</f>
        <v/>
      </c>
      <c r="H205" s="24" t="str">
        <f ca="1">IF(ISERROR(MATCH(H$1,INDIRECT("Table!A"&amp;$AK205):INDIRECT("Table!" &amp; $AN$275 &amp; $AK205),0)),"",INDIRECT(CONCATENATE("Table!",ADDRESS($T205,MATCH(H$1,INDIRECT("Table!A" &amp; $AK205):INDIRECT("Table!" &amp; $AN$275 &amp; $AK205),0)))))</f>
        <v/>
      </c>
      <c r="I205" s="273"/>
      <c r="J205" s="273"/>
      <c r="K205" s="24" t="str">
        <f ca="1">IF(ISERROR(MATCH(L$1,INDIRECT("Table!A"&amp;$AK205):INDIRECT("Table!" &amp; $AN$275 &amp; $AK205),0)),"",INDIRECT(CONCATENATE("Table!",ADDRESS($T205,MATCH(L$1,INDIRECT("Table!A" &amp; $AK205):INDIRECT("Table!" &amp; $AN$275 &amp; $AK205),0)))))</f>
        <v/>
      </c>
      <c r="L205" s="24" t="str">
        <f ca="1">IF(ISERROR(MATCH(M$1,INDIRECT("Table!A"&amp;$AK205):INDIRECT("Table!" &amp; $AN$275 &amp; $AK205),0)),"",INDIRECT(CONCATENATE("Table!",ADDRESS($T205,MATCH(M$1,INDIRECT("Table!A" &amp; $AK205):INDIRECT("Table!" &amp; $AN$275 &amp; $AK205),0)))))</f>
        <v/>
      </c>
      <c r="M205" s="24" t="str">
        <f ca="1">IF(ISERROR(MATCH(N$1,INDIRECT("Table!A"&amp;$AK205):INDIRECT("Table!" &amp; $AN$275 &amp; $AK205),0)),"",INDIRECT(CONCATENATE("Table!",ADDRESS($T205,MATCH(N$1,INDIRECT("Table!A" &amp; $AK205):INDIRECT("Table!" &amp; $AN$275 &amp; $AK205),0)))))</f>
        <v/>
      </c>
      <c r="N205" s="24" t="str">
        <f ca="1">IF(ISERROR(MATCH(O$1,INDIRECT("Table!A"&amp;$AK205):INDIRECT("Table!" &amp; $AN$275 &amp; $AK205),0)),"",INDIRECT(CONCATENATE("Table!",ADDRESS($T205,MATCH(O$1,INDIRECT("Table!A" &amp; $AK205):INDIRECT("Table!" &amp; $AN$275 &amp; $AK205),0)))))</f>
        <v/>
      </c>
      <c r="O205" s="24" t="str">
        <f ca="1">IF(ISERROR(MATCH(P$1,INDIRECT("Table!A"&amp;$AK205):INDIRECT("Table!" &amp; $AN$275 &amp; $AK205),0)),"",INDIRECT(CONCATENATE("Table!",ADDRESS($T205,MATCH(P$1,INDIRECT("Table!A" &amp; $AK205):INDIRECT("Table!" &amp; $AN$275 &amp; $AK205),0)))))</f>
        <v/>
      </c>
      <c r="P205" s="273" t="str">
        <f ca="1">IF(ISERROR(MATCH(Q$1,INDIRECT("Table!A"&amp;$AK205):INDIRECT("Table!" &amp; $AN$275 &amp; $AK205),0)),"",INDIRECT(CONCATENATE("Table!",ADDRESS($T205,MATCH(Q$1,INDIRECT("Table!A" &amp; $AK205):INDIRECT("Table!" &amp; $AN$275 &amp; $AK205),0)))))</f>
        <v/>
      </c>
      <c r="Q205" s="140"/>
      <c r="R205" s="140"/>
      <c r="S205" s="140"/>
      <c r="T205" s="22"/>
      <c r="AI205" s="140"/>
      <c r="AJ205" s="140"/>
      <c r="AK205" s="22"/>
      <c r="AL205" s="140"/>
      <c r="AM205" s="140"/>
      <c r="AN205" s="140"/>
    </row>
    <row r="206" spans="2:40" ht="18" customHeight="1" x14ac:dyDescent="0.25">
      <c r="B206" s="24"/>
      <c r="C206" s="24" t="str">
        <f ca="1">IF(ISERROR(MATCH(C$1,INDIRECT("Table!A"&amp;$AK206):INDIRECT("Table!" &amp; $AN$275 &amp; $AK206),0)),"",INDIRECT(CONCATENATE("Table!",ADDRESS($T206,MATCH(C$1,INDIRECT("Table!A" &amp; $AK206):INDIRECT("Table!" &amp; $AN$275 &amp; $AK206),0)))))</f>
        <v/>
      </c>
      <c r="D206" s="24" t="str">
        <f ca="1">IF(ISERROR(MATCH(D$1,INDIRECT("Table!A"&amp;$AK206):INDIRECT("Table!" &amp; $AN$275 &amp; $AK206),0)),"",INDIRECT(CONCATENATE("Table!",ADDRESS($T206,MATCH(D$1,INDIRECT("Table!A" &amp; $AK206):INDIRECT("Table!" &amp; $AN$275 &amp; $AK206),0)))))</f>
        <v/>
      </c>
      <c r="E206" s="24" t="str">
        <f ca="1">IF(ISERROR(MATCH(E$1,INDIRECT("Table!A"&amp;$AK206):INDIRECT("Table!" &amp; $AN$275 &amp; $AK206),0)),"",INDIRECT(CONCATENATE("Table!",ADDRESS($T206,MATCH(E$1,INDIRECT("Table!A" &amp; $AK206):INDIRECT("Table!" &amp; $AN$275 &amp; $AK206),0)))))</f>
        <v/>
      </c>
      <c r="F206" s="24" t="str">
        <f ca="1">IF(ISERROR(MATCH(F$1,INDIRECT("Table!A"&amp;$AK206):INDIRECT("Table!" &amp; $AN$275 &amp; $AK206),0)),"",INDIRECT(CONCATENATE("Table!",ADDRESS($T206,MATCH(F$1,INDIRECT("Table!A" &amp; $AK206):INDIRECT("Table!" &amp; $AN$275 &amp; $AK206),0)))))</f>
        <v/>
      </c>
      <c r="G206" s="24" t="str">
        <f ca="1">IF(ISERROR(MATCH(G$1,INDIRECT("Table!A"&amp;$AK206):INDIRECT("Table!" &amp; $AN$275 &amp; $AK206),0)),"",INDIRECT(CONCATENATE("Table!",ADDRESS($T206,MATCH(G$1,INDIRECT("Table!A" &amp; $AK206):INDIRECT("Table!" &amp; $AN$275 &amp; $AK206),0)))))</f>
        <v/>
      </c>
      <c r="H206" s="24" t="str">
        <f ca="1">IF(ISERROR(MATCH(H$1,INDIRECT("Table!A"&amp;$AK206):INDIRECT("Table!" &amp; $AN$275 &amp; $AK206),0)),"",INDIRECT(CONCATENATE("Table!",ADDRESS($T206,MATCH(H$1,INDIRECT("Table!A" &amp; $AK206):INDIRECT("Table!" &amp; $AN$275 &amp; $AK206),0)))))</f>
        <v/>
      </c>
      <c r="I206" s="273"/>
      <c r="J206" s="273"/>
      <c r="K206" s="24" t="str">
        <f ca="1">IF(ISERROR(MATCH(L$1,INDIRECT("Table!A"&amp;$AK206):INDIRECT("Table!" &amp; $AN$275 &amp; $AK206),0)),"",INDIRECT(CONCATENATE("Table!",ADDRESS($T206,MATCH(L$1,INDIRECT("Table!A" &amp; $AK206):INDIRECT("Table!" &amp; $AN$275 &amp; $AK206),0)))))</f>
        <v/>
      </c>
      <c r="L206" s="24" t="str">
        <f ca="1">IF(ISERROR(MATCH(M$1,INDIRECT("Table!A"&amp;$AK206):INDIRECT("Table!" &amp; $AN$275 &amp; $AK206),0)),"",INDIRECT(CONCATENATE("Table!",ADDRESS($T206,MATCH(M$1,INDIRECT("Table!A" &amp; $AK206):INDIRECT("Table!" &amp; $AN$275 &amp; $AK206),0)))))</f>
        <v/>
      </c>
      <c r="M206" s="24" t="str">
        <f ca="1">IF(ISERROR(MATCH(N$1,INDIRECT("Table!A"&amp;$AK206):INDIRECT("Table!" &amp; $AN$275 &amp; $AK206),0)),"",INDIRECT(CONCATENATE("Table!",ADDRESS($T206,MATCH(N$1,INDIRECT("Table!A" &amp; $AK206):INDIRECT("Table!" &amp; $AN$275 &amp; $AK206),0)))))</f>
        <v/>
      </c>
      <c r="N206" s="24" t="str">
        <f ca="1">IF(ISERROR(MATCH(O$1,INDIRECT("Table!A"&amp;$AK206):INDIRECT("Table!" &amp; $AN$275 &amp; $AK206),0)),"",INDIRECT(CONCATENATE("Table!",ADDRESS($T206,MATCH(O$1,INDIRECT("Table!A" &amp; $AK206):INDIRECT("Table!" &amp; $AN$275 &amp; $AK206),0)))))</f>
        <v/>
      </c>
      <c r="O206" s="24" t="str">
        <f ca="1">IF(ISERROR(MATCH(P$1,INDIRECT("Table!A"&amp;$AK206):INDIRECT("Table!" &amp; $AN$275 &amp; $AK206),0)),"",INDIRECT(CONCATENATE("Table!",ADDRESS($T206,MATCH(P$1,INDIRECT("Table!A" &amp; $AK206):INDIRECT("Table!" &amp; $AN$275 &amp; $AK206),0)))))</f>
        <v/>
      </c>
      <c r="P206" s="273" t="str">
        <f ca="1">IF(ISERROR(MATCH(Q$1,INDIRECT("Table!A"&amp;$AK206):INDIRECT("Table!" &amp; $AN$275 &amp; $AK206),0)),"",INDIRECT(CONCATENATE("Table!",ADDRESS($T206,MATCH(Q$1,INDIRECT("Table!A" &amp; $AK206):INDIRECT("Table!" &amp; $AN$275 &amp; $AK206),0)))))</f>
        <v/>
      </c>
      <c r="Q206" s="139"/>
      <c r="R206" s="139"/>
      <c r="S206" s="139"/>
      <c r="T206" s="22"/>
      <c r="AI206" s="139"/>
      <c r="AJ206" s="139"/>
      <c r="AK206" s="22"/>
      <c r="AL206" s="139"/>
      <c r="AM206" s="139"/>
      <c r="AN206" s="139"/>
    </row>
    <row r="207" spans="2:40" ht="18" customHeight="1" x14ac:dyDescent="0.25">
      <c r="B207" s="24"/>
      <c r="C207" s="24" t="str">
        <f ca="1">IF(ISERROR(MATCH(C$1,INDIRECT("Table!A"&amp;$AK207):INDIRECT("Table!" &amp; $AN$275 &amp; $AK207),0)),"",INDIRECT(CONCATENATE("Table!",ADDRESS($T207,MATCH(C$1,INDIRECT("Table!A" &amp; $AK207):INDIRECT("Table!" &amp; $AN$275 &amp; $AK207),0)))))</f>
        <v/>
      </c>
      <c r="D207" s="24" t="str">
        <f ca="1">IF(ISERROR(MATCH(D$1,INDIRECT("Table!A"&amp;$AK207):INDIRECT("Table!" &amp; $AN$275 &amp; $AK207),0)),"",INDIRECT(CONCATENATE("Table!",ADDRESS($T207,MATCH(D$1,INDIRECT("Table!A" &amp; $AK207):INDIRECT("Table!" &amp; $AN$275 &amp; $AK207),0)))))</f>
        <v/>
      </c>
      <c r="E207" s="24" t="str">
        <f ca="1">IF(ISERROR(MATCH(E$1,INDIRECT("Table!A"&amp;$AK207):INDIRECT("Table!" &amp; $AN$275 &amp; $AK207),0)),"",INDIRECT(CONCATENATE("Table!",ADDRESS($T207,MATCH(E$1,INDIRECT("Table!A" &amp; $AK207):INDIRECT("Table!" &amp; $AN$275 &amp; $AK207),0)))))</f>
        <v/>
      </c>
      <c r="F207" s="24" t="str">
        <f ca="1">IF(ISERROR(MATCH(F$1,INDIRECT("Table!A"&amp;$AK207):INDIRECT("Table!" &amp; $AN$275 &amp; $AK207),0)),"",INDIRECT(CONCATENATE("Table!",ADDRESS($T207,MATCH(F$1,INDIRECT("Table!A" &amp; $AK207):INDIRECT("Table!" &amp; $AN$275 &amp; $AK207),0)))))</f>
        <v/>
      </c>
      <c r="G207" s="24" t="str">
        <f ca="1">IF(ISERROR(MATCH(G$1,INDIRECT("Table!A"&amp;$AK207):INDIRECT("Table!" &amp; $AN$275 &amp; $AK207),0)),"",INDIRECT(CONCATENATE("Table!",ADDRESS($T207,MATCH(G$1,INDIRECT("Table!A" &amp; $AK207):INDIRECT("Table!" &amp; $AN$275 &amp; $AK207),0)))))</f>
        <v/>
      </c>
      <c r="H207" s="24" t="str">
        <f ca="1">IF(ISERROR(MATCH(H$1,INDIRECT("Table!A"&amp;$AK207):INDIRECT("Table!" &amp; $AN$275 &amp; $AK207),0)),"",INDIRECT(CONCATENATE("Table!",ADDRESS($T207,MATCH(H$1,INDIRECT("Table!A" &amp; $AK207):INDIRECT("Table!" &amp; $AN$275 &amp; $AK207),0)))))</f>
        <v/>
      </c>
      <c r="I207" s="273"/>
      <c r="J207" s="273"/>
      <c r="K207" s="24" t="str">
        <f ca="1">IF(ISERROR(MATCH(L$1,INDIRECT("Table!A"&amp;$AK207):INDIRECT("Table!" &amp; $AN$275 &amp; $AK207),0)),"",INDIRECT(CONCATENATE("Table!",ADDRESS($T207,MATCH(L$1,INDIRECT("Table!A" &amp; $AK207):INDIRECT("Table!" &amp; $AN$275 &amp; $AK207),0)))))</f>
        <v/>
      </c>
      <c r="L207" s="24" t="str">
        <f ca="1">IF(ISERROR(MATCH(M$1,INDIRECT("Table!A"&amp;$AK207):INDIRECT("Table!" &amp; $AN$275 &amp; $AK207),0)),"",INDIRECT(CONCATENATE("Table!",ADDRESS($T207,MATCH(M$1,INDIRECT("Table!A" &amp; $AK207):INDIRECT("Table!" &amp; $AN$275 &amp; $AK207),0)))))</f>
        <v/>
      </c>
      <c r="M207" s="24" t="str">
        <f ca="1">IF(ISERROR(MATCH(N$1,INDIRECT("Table!A"&amp;$AK207):INDIRECT("Table!" &amp; $AN$275 &amp; $AK207),0)),"",INDIRECT(CONCATENATE("Table!",ADDRESS($T207,MATCH(N$1,INDIRECT("Table!A" &amp; $AK207):INDIRECT("Table!" &amp; $AN$275 &amp; $AK207),0)))))</f>
        <v/>
      </c>
      <c r="N207" s="24" t="str">
        <f ca="1">IF(ISERROR(MATCH(O$1,INDIRECT("Table!A"&amp;$AK207):INDIRECT("Table!" &amp; $AN$275 &amp; $AK207),0)),"",INDIRECT(CONCATENATE("Table!",ADDRESS($T207,MATCH(O$1,INDIRECT("Table!A" &amp; $AK207):INDIRECT("Table!" &amp; $AN$275 &amp; $AK207),0)))))</f>
        <v/>
      </c>
      <c r="O207" s="24" t="str">
        <f ca="1">IF(ISERROR(MATCH(P$1,INDIRECT("Table!A"&amp;$AK207):INDIRECT("Table!" &amp; $AN$275 &amp; $AK207),0)),"",INDIRECT(CONCATENATE("Table!",ADDRESS($T207,MATCH(P$1,INDIRECT("Table!A" &amp; $AK207):INDIRECT("Table!" &amp; $AN$275 &amp; $AK207),0)))))</f>
        <v/>
      </c>
      <c r="P207" s="273" t="str">
        <f ca="1">IF(ISERROR(MATCH(Q$1,INDIRECT("Table!A"&amp;$AK207):INDIRECT("Table!" &amp; $AN$275 &amp; $AK207),0)),"",INDIRECT(CONCATENATE("Table!",ADDRESS($T207,MATCH(Q$1,INDIRECT("Table!A" &amp; $AK207):INDIRECT("Table!" &amp; $AN$275 &amp; $AK207),0)))))</f>
        <v/>
      </c>
      <c r="Q207" s="138"/>
      <c r="R207" s="138"/>
      <c r="S207" s="138"/>
      <c r="T207" s="22"/>
      <c r="AI207" s="138"/>
      <c r="AJ207" s="138"/>
      <c r="AK207" s="22"/>
      <c r="AL207" s="138"/>
      <c r="AM207" s="138"/>
      <c r="AN207" s="138"/>
    </row>
    <row r="208" spans="2:40" ht="18" customHeight="1" x14ac:dyDescent="0.25">
      <c r="B208" s="24"/>
      <c r="C208" s="24" t="str">
        <f ca="1">IF(ISERROR(MATCH(C$1,INDIRECT("Table!A"&amp;$AK208):INDIRECT("Table!" &amp; $AN$275 &amp; $AK208),0)),"",INDIRECT(CONCATENATE("Table!",ADDRESS($T208,MATCH(C$1,INDIRECT("Table!A" &amp; $AK208):INDIRECT("Table!" &amp; $AN$275 &amp; $AK208),0)))))</f>
        <v/>
      </c>
      <c r="D208" s="24" t="str">
        <f ca="1">IF(ISERROR(MATCH(D$1,INDIRECT("Table!A"&amp;$AK208):INDIRECT("Table!" &amp; $AN$275 &amp; $AK208),0)),"",INDIRECT(CONCATENATE("Table!",ADDRESS($T208,MATCH(D$1,INDIRECT("Table!A" &amp; $AK208):INDIRECT("Table!" &amp; $AN$275 &amp; $AK208),0)))))</f>
        <v/>
      </c>
      <c r="E208" s="24" t="str">
        <f ca="1">IF(ISERROR(MATCH(E$1,INDIRECT("Table!A"&amp;$AK208):INDIRECT("Table!" &amp; $AN$275 &amp; $AK208),0)),"",INDIRECT(CONCATENATE("Table!",ADDRESS($T208,MATCH(E$1,INDIRECT("Table!A" &amp; $AK208):INDIRECT("Table!" &amp; $AN$275 &amp; $AK208),0)))))</f>
        <v/>
      </c>
      <c r="F208" s="24" t="str">
        <f ca="1">IF(ISERROR(MATCH(F$1,INDIRECT("Table!A"&amp;$AK208):INDIRECT("Table!" &amp; $AN$275 &amp; $AK208),0)),"",INDIRECT(CONCATENATE("Table!",ADDRESS($T208,MATCH(F$1,INDIRECT("Table!A" &amp; $AK208):INDIRECT("Table!" &amp; $AN$275 &amp; $AK208),0)))))</f>
        <v/>
      </c>
      <c r="G208" s="24" t="str">
        <f ca="1">IF(ISERROR(MATCH(G$1,INDIRECT("Table!A"&amp;$AK208):INDIRECT("Table!" &amp; $AN$275 &amp; $AK208),0)),"",INDIRECT(CONCATENATE("Table!",ADDRESS($T208,MATCH(G$1,INDIRECT("Table!A" &amp; $AK208):INDIRECT("Table!" &amp; $AN$275 &amp; $AK208),0)))))</f>
        <v/>
      </c>
      <c r="H208" s="24" t="str">
        <f ca="1">IF(ISERROR(MATCH(H$1,INDIRECT("Table!A"&amp;$AK208):INDIRECT("Table!" &amp; $AN$275 &amp; $AK208),0)),"",INDIRECT(CONCATENATE("Table!",ADDRESS($T208,MATCH(H$1,INDIRECT("Table!A" &amp; $AK208):INDIRECT("Table!" &amp; $AN$275 &amp; $AK208),0)))))</f>
        <v/>
      </c>
      <c r="I208" s="273"/>
      <c r="J208" s="273"/>
      <c r="K208" s="24" t="str">
        <f ca="1">IF(ISERROR(MATCH(L$1,INDIRECT("Table!A"&amp;$AK208):INDIRECT("Table!" &amp; $AN$275 &amp; $AK208),0)),"",INDIRECT(CONCATENATE("Table!",ADDRESS($T208,MATCH(L$1,INDIRECT("Table!A" &amp; $AK208):INDIRECT("Table!" &amp; $AN$275 &amp; $AK208),0)))))</f>
        <v/>
      </c>
      <c r="L208" s="24" t="str">
        <f ca="1">IF(ISERROR(MATCH(M$1,INDIRECT("Table!A"&amp;$AK208):INDIRECT("Table!" &amp; $AN$275 &amp; $AK208),0)),"",INDIRECT(CONCATENATE("Table!",ADDRESS($T208,MATCH(M$1,INDIRECT("Table!A" &amp; $AK208):INDIRECT("Table!" &amp; $AN$275 &amp; $AK208),0)))))</f>
        <v/>
      </c>
      <c r="M208" s="24" t="str">
        <f ca="1">IF(ISERROR(MATCH(N$1,INDIRECT("Table!A"&amp;$AK208):INDIRECT("Table!" &amp; $AN$275 &amp; $AK208),0)),"",INDIRECT(CONCATENATE("Table!",ADDRESS($T208,MATCH(N$1,INDIRECT("Table!A" &amp; $AK208):INDIRECT("Table!" &amp; $AN$275 &amp; $AK208),0)))))</f>
        <v/>
      </c>
      <c r="N208" s="24" t="str">
        <f ca="1">IF(ISERROR(MATCH(O$1,INDIRECT("Table!A"&amp;$AK208):INDIRECT("Table!" &amp; $AN$275 &amp; $AK208),0)),"",INDIRECT(CONCATENATE("Table!",ADDRESS($T208,MATCH(O$1,INDIRECT("Table!A" &amp; $AK208):INDIRECT("Table!" &amp; $AN$275 &amp; $AK208),0)))))</f>
        <v/>
      </c>
      <c r="O208" s="24" t="str">
        <f ca="1">IF(ISERROR(MATCH(P$1,INDIRECT("Table!A"&amp;$AK208):INDIRECT("Table!" &amp; $AN$275 &amp; $AK208),0)),"",INDIRECT(CONCATENATE("Table!",ADDRESS($T208,MATCH(P$1,INDIRECT("Table!A" &amp; $AK208):INDIRECT("Table!" &amp; $AN$275 &amp; $AK208),0)))))</f>
        <v/>
      </c>
      <c r="P208" s="273" t="str">
        <f ca="1">IF(ISERROR(MATCH(Q$1,INDIRECT("Table!A"&amp;$AK208):INDIRECT("Table!" &amp; $AN$275 &amp; $AK208),0)),"",INDIRECT(CONCATENATE("Table!",ADDRESS($T208,MATCH(Q$1,INDIRECT("Table!A" &amp; $AK208):INDIRECT("Table!" &amp; $AN$275 &amp; $AK208),0)))))</f>
        <v/>
      </c>
      <c r="Q208" s="137"/>
      <c r="R208" s="137"/>
      <c r="S208" s="137"/>
      <c r="T208" s="22"/>
      <c r="AI208" s="137"/>
      <c r="AJ208" s="137"/>
      <c r="AK208" s="22"/>
      <c r="AL208" s="137"/>
      <c r="AM208" s="137"/>
      <c r="AN208" s="137"/>
    </row>
    <row r="209" spans="2:40" ht="18" customHeight="1" x14ac:dyDescent="0.25">
      <c r="B209" s="24"/>
      <c r="C209" s="24" t="str">
        <f ca="1">IF(ISERROR(MATCH(C$1,INDIRECT("Table!A"&amp;$AK209):INDIRECT("Table!" &amp; $AN$275 &amp; $AK209),0)),"",INDIRECT(CONCATENATE("Table!",ADDRESS($T209,MATCH(C$1,INDIRECT("Table!A" &amp; $AK209):INDIRECT("Table!" &amp; $AN$275 &amp; $AK209),0)))))</f>
        <v/>
      </c>
      <c r="D209" s="24" t="str">
        <f ca="1">IF(ISERROR(MATCH(D$1,INDIRECT("Table!A"&amp;$AK209):INDIRECT("Table!" &amp; $AN$275 &amp; $AK209),0)),"",INDIRECT(CONCATENATE("Table!",ADDRESS($T209,MATCH(D$1,INDIRECT("Table!A" &amp; $AK209):INDIRECT("Table!" &amp; $AN$275 &amp; $AK209),0)))))</f>
        <v/>
      </c>
      <c r="E209" s="24" t="str">
        <f ca="1">IF(ISERROR(MATCH(E$1,INDIRECT("Table!A"&amp;$AK209):INDIRECT("Table!" &amp; $AN$275 &amp; $AK209),0)),"",INDIRECT(CONCATENATE("Table!",ADDRESS($T209,MATCH(E$1,INDIRECT("Table!A" &amp; $AK209):INDIRECT("Table!" &amp; $AN$275 &amp; $AK209),0)))))</f>
        <v/>
      </c>
      <c r="F209" s="24" t="str">
        <f ca="1">IF(ISERROR(MATCH(F$1,INDIRECT("Table!A"&amp;$AK209):INDIRECT("Table!" &amp; $AN$275 &amp; $AK209),0)),"",INDIRECT(CONCATENATE("Table!",ADDRESS($T209,MATCH(F$1,INDIRECT("Table!A" &amp; $AK209):INDIRECT("Table!" &amp; $AN$275 &amp; $AK209),0)))))</f>
        <v/>
      </c>
      <c r="G209" s="24" t="str">
        <f ca="1">IF(ISERROR(MATCH(G$1,INDIRECT("Table!A"&amp;$AK209):INDIRECT("Table!" &amp; $AN$275 &amp; $AK209),0)),"",INDIRECT(CONCATENATE("Table!",ADDRESS($T209,MATCH(G$1,INDIRECT("Table!A" &amp; $AK209):INDIRECT("Table!" &amp; $AN$275 &amp; $AK209),0)))))</f>
        <v/>
      </c>
      <c r="H209" s="24" t="str">
        <f ca="1">IF(ISERROR(MATCH(H$1,INDIRECT("Table!A"&amp;$AK209):INDIRECT("Table!" &amp; $AN$275 &amp; $AK209),0)),"",INDIRECT(CONCATENATE("Table!",ADDRESS($T209,MATCH(H$1,INDIRECT("Table!A" &amp; $AK209):INDIRECT("Table!" &amp; $AN$275 &amp; $AK209),0)))))</f>
        <v/>
      </c>
      <c r="I209" s="273"/>
      <c r="J209" s="273"/>
      <c r="K209" s="24" t="str">
        <f ca="1">IF(ISERROR(MATCH(L$1,INDIRECT("Table!A"&amp;$AK209):INDIRECT("Table!" &amp; $AN$275 &amp; $AK209),0)),"",INDIRECT(CONCATENATE("Table!",ADDRESS($T209,MATCH(L$1,INDIRECT("Table!A" &amp; $AK209):INDIRECT("Table!" &amp; $AN$275 &amp; $AK209),0)))))</f>
        <v/>
      </c>
      <c r="L209" s="24" t="str">
        <f ca="1">IF(ISERROR(MATCH(M$1,INDIRECT("Table!A"&amp;$AK209):INDIRECT("Table!" &amp; $AN$275 &amp; $AK209),0)),"",INDIRECT(CONCATENATE("Table!",ADDRESS($T209,MATCH(M$1,INDIRECT("Table!A" &amp; $AK209):INDIRECT("Table!" &amp; $AN$275 &amp; $AK209),0)))))</f>
        <v/>
      </c>
      <c r="M209" s="24" t="str">
        <f ca="1">IF(ISERROR(MATCH(N$1,INDIRECT("Table!A"&amp;$AK209):INDIRECT("Table!" &amp; $AN$275 &amp; $AK209),0)),"",INDIRECT(CONCATENATE("Table!",ADDRESS($T209,MATCH(N$1,INDIRECT("Table!A" &amp; $AK209):INDIRECT("Table!" &amp; $AN$275 &amp; $AK209),0)))))</f>
        <v/>
      </c>
      <c r="N209" s="24" t="str">
        <f ca="1">IF(ISERROR(MATCH(O$1,INDIRECT("Table!A"&amp;$AK209):INDIRECT("Table!" &amp; $AN$275 &amp; $AK209),0)),"",INDIRECT(CONCATENATE("Table!",ADDRESS($T209,MATCH(O$1,INDIRECT("Table!A" &amp; $AK209):INDIRECT("Table!" &amp; $AN$275 &amp; $AK209),0)))))</f>
        <v/>
      </c>
      <c r="O209" s="24" t="str">
        <f ca="1">IF(ISERROR(MATCH(P$1,INDIRECT("Table!A"&amp;$AK209):INDIRECT("Table!" &amp; $AN$275 &amp; $AK209),0)),"",INDIRECT(CONCATENATE("Table!",ADDRESS($T209,MATCH(P$1,INDIRECT("Table!A" &amp; $AK209):INDIRECT("Table!" &amp; $AN$275 &amp; $AK209),0)))))</f>
        <v/>
      </c>
      <c r="P209" s="273" t="str">
        <f ca="1">IF(ISERROR(MATCH(Q$1,INDIRECT("Table!A"&amp;$AK209):INDIRECT("Table!" &amp; $AN$275 &amp; $AK209),0)),"",INDIRECT(CONCATENATE("Table!",ADDRESS($T209,MATCH(Q$1,INDIRECT("Table!A" &amp; $AK209):INDIRECT("Table!" &amp; $AN$275 &amp; $AK209),0)))))</f>
        <v/>
      </c>
      <c r="Q209" s="136"/>
      <c r="R209" s="136"/>
      <c r="S209" s="136"/>
      <c r="T209" s="22"/>
      <c r="AI209" s="136"/>
      <c r="AJ209" s="136"/>
      <c r="AK209" s="22"/>
      <c r="AL209" s="136"/>
      <c r="AM209" s="136"/>
      <c r="AN209" s="136"/>
    </row>
    <row r="210" spans="2:40" ht="18" customHeight="1" x14ac:dyDescent="0.25">
      <c r="B210" s="24"/>
      <c r="C210" s="24" t="str">
        <f ca="1">IF(ISERROR(MATCH(C$1,INDIRECT("Table!A"&amp;$AK210):INDIRECT("Table!" &amp; $AN$275 &amp; $AK210),0)),"",INDIRECT(CONCATENATE("Table!",ADDRESS($T210,MATCH(C$1,INDIRECT("Table!A" &amp; $AK210):INDIRECT("Table!" &amp; $AN$275 &amp; $AK210),0)))))</f>
        <v/>
      </c>
      <c r="D210" s="24" t="str">
        <f ca="1">IF(ISERROR(MATCH(D$1,INDIRECT("Table!A"&amp;$AK210):INDIRECT("Table!" &amp; $AN$275 &amp; $AK210),0)),"",INDIRECT(CONCATENATE("Table!",ADDRESS($T210,MATCH(D$1,INDIRECT("Table!A" &amp; $AK210):INDIRECT("Table!" &amp; $AN$275 &amp; $AK210),0)))))</f>
        <v/>
      </c>
      <c r="E210" s="24" t="str">
        <f ca="1">IF(ISERROR(MATCH(E$1,INDIRECT("Table!A"&amp;$AK210):INDIRECT("Table!" &amp; $AN$275 &amp; $AK210),0)),"",INDIRECT(CONCATENATE("Table!",ADDRESS($T210,MATCH(E$1,INDIRECT("Table!A" &amp; $AK210):INDIRECT("Table!" &amp; $AN$275 &amp; $AK210),0)))))</f>
        <v/>
      </c>
      <c r="F210" s="24" t="str">
        <f ca="1">IF(ISERROR(MATCH(F$1,INDIRECT("Table!A"&amp;$AK210):INDIRECT("Table!" &amp; $AN$275 &amp; $AK210),0)),"",INDIRECT(CONCATENATE("Table!",ADDRESS($T210,MATCH(F$1,INDIRECT("Table!A" &amp; $AK210):INDIRECT("Table!" &amp; $AN$275 &amp; $AK210),0)))))</f>
        <v/>
      </c>
      <c r="G210" s="24" t="str">
        <f ca="1">IF(ISERROR(MATCH(G$1,INDIRECT("Table!A"&amp;$AK210):INDIRECT("Table!" &amp; $AN$275 &amp; $AK210),0)),"",INDIRECT(CONCATENATE("Table!",ADDRESS($T210,MATCH(G$1,INDIRECT("Table!A" &amp; $AK210):INDIRECT("Table!" &amp; $AN$275 &amp; $AK210),0)))))</f>
        <v/>
      </c>
      <c r="H210" s="24" t="str">
        <f ca="1">IF(ISERROR(MATCH(H$1,INDIRECT("Table!A"&amp;$AK210):INDIRECT("Table!" &amp; $AN$275 &amp; $AK210),0)),"",INDIRECT(CONCATENATE("Table!",ADDRESS($T210,MATCH(H$1,INDIRECT("Table!A" &amp; $AK210):INDIRECT("Table!" &amp; $AN$275 &amp; $AK210),0)))))</f>
        <v/>
      </c>
      <c r="I210" s="273"/>
      <c r="J210" s="273"/>
      <c r="K210" s="24" t="str">
        <f ca="1">IF(ISERROR(MATCH(L$1,INDIRECT("Table!A"&amp;$AK210):INDIRECT("Table!" &amp; $AN$275 &amp; $AK210),0)),"",INDIRECT(CONCATENATE("Table!",ADDRESS($T210,MATCH(L$1,INDIRECT("Table!A" &amp; $AK210):INDIRECT("Table!" &amp; $AN$275 &amp; $AK210),0)))))</f>
        <v/>
      </c>
      <c r="L210" s="24" t="str">
        <f ca="1">IF(ISERROR(MATCH(M$1,INDIRECT("Table!A"&amp;$AK210):INDIRECT("Table!" &amp; $AN$275 &amp; $AK210),0)),"",INDIRECT(CONCATENATE("Table!",ADDRESS($T210,MATCH(M$1,INDIRECT("Table!A" &amp; $AK210):INDIRECT("Table!" &amp; $AN$275 &amp; $AK210),0)))))</f>
        <v/>
      </c>
      <c r="M210" s="24" t="str">
        <f ca="1">IF(ISERROR(MATCH(N$1,INDIRECT("Table!A"&amp;$AK210):INDIRECT("Table!" &amp; $AN$275 &amp; $AK210),0)),"",INDIRECT(CONCATENATE("Table!",ADDRESS($T210,MATCH(N$1,INDIRECT("Table!A" &amp; $AK210):INDIRECT("Table!" &amp; $AN$275 &amp; $AK210),0)))))</f>
        <v/>
      </c>
      <c r="N210" s="24" t="str">
        <f ca="1">IF(ISERROR(MATCH(O$1,INDIRECT("Table!A"&amp;$AK210):INDIRECT("Table!" &amp; $AN$275 &amp; $AK210),0)),"",INDIRECT(CONCATENATE("Table!",ADDRESS($T210,MATCH(O$1,INDIRECT("Table!A" &amp; $AK210):INDIRECT("Table!" &amp; $AN$275 &amp; $AK210),0)))))</f>
        <v/>
      </c>
      <c r="O210" s="24" t="str">
        <f ca="1">IF(ISERROR(MATCH(P$1,INDIRECT("Table!A"&amp;$AK210):INDIRECT("Table!" &amp; $AN$275 &amp; $AK210),0)),"",INDIRECT(CONCATENATE("Table!",ADDRESS($T210,MATCH(P$1,INDIRECT("Table!A" &amp; $AK210):INDIRECT("Table!" &amp; $AN$275 &amp; $AK210),0)))))</f>
        <v/>
      </c>
      <c r="P210" s="273" t="str">
        <f ca="1">IF(ISERROR(MATCH(Q$1,INDIRECT("Table!A"&amp;$AK210):INDIRECT("Table!" &amp; $AN$275 &amp; $AK210),0)),"",INDIRECT(CONCATENATE("Table!",ADDRESS($T210,MATCH(Q$1,INDIRECT("Table!A" &amp; $AK210):INDIRECT("Table!" &amp; $AN$275 &amp; $AK210),0)))))</f>
        <v/>
      </c>
      <c r="Q210" s="135"/>
      <c r="R210" s="135"/>
      <c r="S210" s="135"/>
      <c r="T210" s="22"/>
      <c r="AI210" s="135"/>
      <c r="AJ210" s="135"/>
      <c r="AK210" s="22"/>
      <c r="AL210" s="135"/>
      <c r="AM210" s="135"/>
      <c r="AN210" s="135"/>
    </row>
    <row r="211" spans="2:40" ht="18" customHeight="1" x14ac:dyDescent="0.25">
      <c r="B211" s="24"/>
      <c r="C211" s="24" t="str">
        <f ca="1">IF(ISERROR(MATCH(C$1,INDIRECT("Table!A"&amp;$AK211):INDIRECT("Table!" &amp; $AN$275 &amp; $AK211),0)),"",INDIRECT(CONCATENATE("Table!",ADDRESS($T211,MATCH(C$1,INDIRECT("Table!A" &amp; $AK211):INDIRECT("Table!" &amp; $AN$275 &amp; $AK211),0)))))</f>
        <v/>
      </c>
      <c r="D211" s="24" t="str">
        <f ca="1">IF(ISERROR(MATCH(D$1,INDIRECT("Table!A"&amp;$AK211):INDIRECT("Table!" &amp; $AN$275 &amp; $AK211),0)),"",INDIRECT(CONCATENATE("Table!",ADDRESS($T211,MATCH(D$1,INDIRECT("Table!A" &amp; $AK211):INDIRECT("Table!" &amp; $AN$275 &amp; $AK211),0)))))</f>
        <v/>
      </c>
      <c r="E211" s="24" t="str">
        <f ca="1">IF(ISERROR(MATCH(E$1,INDIRECT("Table!A"&amp;$AK211):INDIRECT("Table!" &amp; $AN$275 &amp; $AK211),0)),"",INDIRECT(CONCATENATE("Table!",ADDRESS($T211,MATCH(E$1,INDIRECT("Table!A" &amp; $AK211):INDIRECT("Table!" &amp; $AN$275 &amp; $AK211),0)))))</f>
        <v/>
      </c>
      <c r="F211" s="24" t="str">
        <f ca="1">IF(ISERROR(MATCH(F$1,INDIRECT("Table!A"&amp;$AK211):INDIRECT("Table!" &amp; $AN$275 &amp; $AK211),0)),"",INDIRECT(CONCATENATE("Table!",ADDRESS($T211,MATCH(F$1,INDIRECT("Table!A" &amp; $AK211):INDIRECT("Table!" &amp; $AN$275 &amp; $AK211),0)))))</f>
        <v/>
      </c>
      <c r="G211" s="24" t="str">
        <f ca="1">IF(ISERROR(MATCH(G$1,INDIRECT("Table!A"&amp;$AK211):INDIRECT("Table!" &amp; $AN$275 &amp; $AK211),0)),"",INDIRECT(CONCATENATE("Table!",ADDRESS($T211,MATCH(G$1,INDIRECT("Table!A" &amp; $AK211):INDIRECT("Table!" &amp; $AN$275 &amp; $AK211),0)))))</f>
        <v/>
      </c>
      <c r="H211" s="24" t="str">
        <f ca="1">IF(ISERROR(MATCH(H$1,INDIRECT("Table!A"&amp;$AK211):INDIRECT("Table!" &amp; $AN$275 &amp; $AK211),0)),"",INDIRECT(CONCATENATE("Table!",ADDRESS($T211,MATCH(H$1,INDIRECT("Table!A" &amp; $AK211):INDIRECT("Table!" &amp; $AN$275 &amp; $AK211),0)))))</f>
        <v/>
      </c>
      <c r="I211" s="273"/>
      <c r="J211" s="273"/>
      <c r="K211" s="24" t="str">
        <f ca="1">IF(ISERROR(MATCH(L$1,INDIRECT("Table!A"&amp;$AK211):INDIRECT("Table!" &amp; $AN$275 &amp; $AK211),0)),"",INDIRECT(CONCATENATE("Table!",ADDRESS($T211,MATCH(L$1,INDIRECT("Table!A" &amp; $AK211):INDIRECT("Table!" &amp; $AN$275 &amp; $AK211),0)))))</f>
        <v/>
      </c>
      <c r="L211" s="24" t="str">
        <f ca="1">IF(ISERROR(MATCH(M$1,INDIRECT("Table!A"&amp;$AK211):INDIRECT("Table!" &amp; $AN$275 &amp; $AK211),0)),"",INDIRECT(CONCATENATE("Table!",ADDRESS($T211,MATCH(M$1,INDIRECT("Table!A" &amp; $AK211):INDIRECT("Table!" &amp; $AN$275 &amp; $AK211),0)))))</f>
        <v/>
      </c>
      <c r="M211" s="24" t="str">
        <f ca="1">IF(ISERROR(MATCH(N$1,INDIRECT("Table!A"&amp;$AK211):INDIRECT("Table!" &amp; $AN$275 &amp; $AK211),0)),"",INDIRECT(CONCATENATE("Table!",ADDRESS($T211,MATCH(N$1,INDIRECT("Table!A" &amp; $AK211):INDIRECT("Table!" &amp; $AN$275 &amp; $AK211),0)))))</f>
        <v/>
      </c>
      <c r="N211" s="24" t="str">
        <f ca="1">IF(ISERROR(MATCH(O$1,INDIRECT("Table!A"&amp;$AK211):INDIRECT("Table!" &amp; $AN$275 &amp; $AK211),0)),"",INDIRECT(CONCATENATE("Table!",ADDRESS($T211,MATCH(O$1,INDIRECT("Table!A" &amp; $AK211):INDIRECT("Table!" &amp; $AN$275 &amp; $AK211),0)))))</f>
        <v/>
      </c>
      <c r="O211" s="24" t="str">
        <f ca="1">IF(ISERROR(MATCH(P$1,INDIRECT("Table!A"&amp;$AK211):INDIRECT("Table!" &amp; $AN$275 &amp; $AK211),0)),"",INDIRECT(CONCATENATE("Table!",ADDRESS($T211,MATCH(P$1,INDIRECT("Table!A" &amp; $AK211):INDIRECT("Table!" &amp; $AN$275 &amp; $AK211),0)))))</f>
        <v/>
      </c>
      <c r="P211" s="273" t="str">
        <f ca="1">IF(ISERROR(MATCH(Q$1,INDIRECT("Table!A"&amp;$AK211):INDIRECT("Table!" &amp; $AN$275 &amp; $AK211),0)),"",INDIRECT(CONCATENATE("Table!",ADDRESS($T211,MATCH(Q$1,INDIRECT("Table!A" &amp; $AK211):INDIRECT("Table!" &amp; $AN$275 &amp; $AK211),0)))))</f>
        <v/>
      </c>
      <c r="Q211" s="134"/>
      <c r="R211" s="134"/>
      <c r="S211" s="134"/>
      <c r="T211" s="22"/>
      <c r="AI211" s="134"/>
      <c r="AJ211" s="134"/>
      <c r="AK211" s="22"/>
      <c r="AL211" s="134"/>
      <c r="AM211" s="134"/>
      <c r="AN211" s="134"/>
    </row>
    <row r="212" spans="2:40" ht="18" customHeight="1" x14ac:dyDescent="0.25">
      <c r="B212" s="24"/>
      <c r="C212" s="24" t="str">
        <f ca="1">IF(ISERROR(MATCH(C$1,INDIRECT("Table!A"&amp;$AK212):INDIRECT("Table!" &amp; $AN$275 &amp; $AK212),0)),"",INDIRECT(CONCATENATE("Table!",ADDRESS($T212,MATCH(C$1,INDIRECT("Table!A" &amp; $AK212):INDIRECT("Table!" &amp; $AN$275 &amp; $AK212),0)))))</f>
        <v/>
      </c>
      <c r="D212" s="24" t="str">
        <f ca="1">IF(ISERROR(MATCH(D$1,INDIRECT("Table!A"&amp;$AK212):INDIRECT("Table!" &amp; $AN$275 &amp; $AK212),0)),"",INDIRECT(CONCATENATE("Table!",ADDRESS($T212,MATCH(D$1,INDIRECT("Table!A" &amp; $AK212):INDIRECT("Table!" &amp; $AN$275 &amp; $AK212),0)))))</f>
        <v/>
      </c>
      <c r="E212" s="24" t="str">
        <f ca="1">IF(ISERROR(MATCH(E$1,INDIRECT("Table!A"&amp;$AK212):INDIRECT("Table!" &amp; $AN$275 &amp; $AK212),0)),"",INDIRECT(CONCATENATE("Table!",ADDRESS($T212,MATCH(E$1,INDIRECT("Table!A" &amp; $AK212):INDIRECT("Table!" &amp; $AN$275 &amp; $AK212),0)))))</f>
        <v/>
      </c>
      <c r="F212" s="24" t="str">
        <f ca="1">IF(ISERROR(MATCH(F$1,INDIRECT("Table!A"&amp;$AK212):INDIRECT("Table!" &amp; $AN$275 &amp; $AK212),0)),"",INDIRECT(CONCATENATE("Table!",ADDRESS($T212,MATCH(F$1,INDIRECT("Table!A" &amp; $AK212):INDIRECT("Table!" &amp; $AN$275 &amp; $AK212),0)))))</f>
        <v/>
      </c>
      <c r="G212" s="24" t="str">
        <f ca="1">IF(ISERROR(MATCH(G$1,INDIRECT("Table!A"&amp;$AK212):INDIRECT("Table!" &amp; $AN$275 &amp; $AK212),0)),"",INDIRECT(CONCATENATE("Table!",ADDRESS($T212,MATCH(G$1,INDIRECT("Table!A" &amp; $AK212):INDIRECT("Table!" &amp; $AN$275 &amp; $AK212),0)))))</f>
        <v/>
      </c>
      <c r="H212" s="24" t="str">
        <f ca="1">IF(ISERROR(MATCH(H$1,INDIRECT("Table!A"&amp;$AK212):INDIRECT("Table!" &amp; $AN$275 &amp; $AK212),0)),"",INDIRECT(CONCATENATE("Table!",ADDRESS($T212,MATCH(H$1,INDIRECT("Table!A" &amp; $AK212):INDIRECT("Table!" &amp; $AN$275 &amp; $AK212),0)))))</f>
        <v/>
      </c>
      <c r="I212" s="273"/>
      <c r="J212" s="273"/>
      <c r="K212" s="24" t="str">
        <f ca="1">IF(ISERROR(MATCH(L$1,INDIRECT("Table!A"&amp;$AK212):INDIRECT("Table!" &amp; $AN$275 &amp; $AK212),0)),"",INDIRECT(CONCATENATE("Table!",ADDRESS($T212,MATCH(L$1,INDIRECT("Table!A" &amp; $AK212):INDIRECT("Table!" &amp; $AN$275 &amp; $AK212),0)))))</f>
        <v/>
      </c>
      <c r="L212" s="24" t="str">
        <f ca="1">IF(ISERROR(MATCH(M$1,INDIRECT("Table!A"&amp;$AK212):INDIRECT("Table!" &amp; $AN$275 &amp; $AK212),0)),"",INDIRECT(CONCATENATE("Table!",ADDRESS($T212,MATCH(M$1,INDIRECT("Table!A" &amp; $AK212):INDIRECT("Table!" &amp; $AN$275 &amp; $AK212),0)))))</f>
        <v/>
      </c>
      <c r="M212" s="24" t="str">
        <f ca="1">IF(ISERROR(MATCH(N$1,INDIRECT("Table!A"&amp;$AK212):INDIRECT("Table!" &amp; $AN$275 &amp; $AK212),0)),"",INDIRECT(CONCATENATE("Table!",ADDRESS($T212,MATCH(N$1,INDIRECT("Table!A" &amp; $AK212):INDIRECT("Table!" &amp; $AN$275 &amp; $AK212),0)))))</f>
        <v/>
      </c>
      <c r="N212" s="24" t="str">
        <f ca="1">IF(ISERROR(MATCH(O$1,INDIRECT("Table!A"&amp;$AK212):INDIRECT("Table!" &amp; $AN$275 &amp; $AK212),0)),"",INDIRECT(CONCATENATE("Table!",ADDRESS($T212,MATCH(O$1,INDIRECT("Table!A" &amp; $AK212):INDIRECT("Table!" &amp; $AN$275 &amp; $AK212),0)))))</f>
        <v/>
      </c>
      <c r="O212" s="24" t="str">
        <f ca="1">IF(ISERROR(MATCH(P$1,INDIRECT("Table!A"&amp;$AK212):INDIRECT("Table!" &amp; $AN$275 &amp; $AK212),0)),"",INDIRECT(CONCATENATE("Table!",ADDRESS($T212,MATCH(P$1,INDIRECT("Table!A" &amp; $AK212):INDIRECT("Table!" &amp; $AN$275 &amp; $AK212),0)))))</f>
        <v/>
      </c>
      <c r="P212" s="273" t="str">
        <f ca="1">IF(ISERROR(MATCH(Q$1,INDIRECT("Table!A"&amp;$AK212):INDIRECT("Table!" &amp; $AN$275 &amp; $AK212),0)),"",INDIRECT(CONCATENATE("Table!",ADDRESS($T212,MATCH(Q$1,INDIRECT("Table!A" &amp; $AK212):INDIRECT("Table!" &amp; $AN$275 &amp; $AK212),0)))))</f>
        <v/>
      </c>
      <c r="Q212" s="133"/>
      <c r="R212" s="133"/>
      <c r="S212" s="133"/>
      <c r="T212" s="22"/>
      <c r="AI212" s="133"/>
      <c r="AJ212" s="133"/>
      <c r="AK212" s="22"/>
      <c r="AL212" s="133"/>
      <c r="AM212" s="133"/>
      <c r="AN212" s="133"/>
    </row>
    <row r="213" spans="2:40" ht="18" customHeight="1" x14ac:dyDescent="0.25">
      <c r="B213" s="24"/>
      <c r="C213" s="24" t="str">
        <f ca="1">IF(ISERROR(MATCH(C$1,INDIRECT("Table!A"&amp;$AK213):INDIRECT("Table!" &amp; $AN$275 &amp; $AK213),0)),"",INDIRECT(CONCATENATE("Table!",ADDRESS($T213,MATCH(C$1,INDIRECT("Table!A" &amp; $AK213):INDIRECT("Table!" &amp; $AN$275 &amp; $AK213),0)))))</f>
        <v/>
      </c>
      <c r="D213" s="24" t="str">
        <f ca="1">IF(ISERROR(MATCH(D$1,INDIRECT("Table!A"&amp;$AK213):INDIRECT("Table!" &amp; $AN$275 &amp; $AK213),0)),"",INDIRECT(CONCATENATE("Table!",ADDRESS($T213,MATCH(D$1,INDIRECT("Table!A" &amp; $AK213):INDIRECT("Table!" &amp; $AN$275 &amp; $AK213),0)))))</f>
        <v/>
      </c>
      <c r="E213" s="24" t="str">
        <f ca="1">IF(ISERROR(MATCH(E$1,INDIRECT("Table!A"&amp;$AK213):INDIRECT("Table!" &amp; $AN$275 &amp; $AK213),0)),"",INDIRECT(CONCATENATE("Table!",ADDRESS($T213,MATCH(E$1,INDIRECT("Table!A" &amp; $AK213):INDIRECT("Table!" &amp; $AN$275 &amp; $AK213),0)))))</f>
        <v/>
      </c>
      <c r="F213" s="24" t="str">
        <f ca="1">IF(ISERROR(MATCH(F$1,INDIRECT("Table!A"&amp;$AK213):INDIRECT("Table!" &amp; $AN$275 &amp; $AK213),0)),"",INDIRECT(CONCATENATE("Table!",ADDRESS($T213,MATCH(F$1,INDIRECT("Table!A" &amp; $AK213):INDIRECT("Table!" &amp; $AN$275 &amp; $AK213),0)))))</f>
        <v/>
      </c>
      <c r="G213" s="24" t="str">
        <f ca="1">IF(ISERROR(MATCH(G$1,INDIRECT("Table!A"&amp;$AK213):INDIRECT("Table!" &amp; $AN$275 &amp; $AK213),0)),"",INDIRECT(CONCATENATE("Table!",ADDRESS($T213,MATCH(G$1,INDIRECT("Table!A" &amp; $AK213):INDIRECT("Table!" &amp; $AN$275 &amp; $AK213),0)))))</f>
        <v/>
      </c>
      <c r="H213" s="24" t="str">
        <f ca="1">IF(ISERROR(MATCH(H$1,INDIRECT("Table!A"&amp;$AK213):INDIRECT("Table!" &amp; $AN$275 &amp; $AK213),0)),"",INDIRECT(CONCATENATE("Table!",ADDRESS($T213,MATCH(H$1,INDIRECT("Table!A" &amp; $AK213):INDIRECT("Table!" &amp; $AN$275 &amp; $AK213),0)))))</f>
        <v/>
      </c>
      <c r="I213" s="273"/>
      <c r="J213" s="273"/>
      <c r="K213" s="24" t="str">
        <f ca="1">IF(ISERROR(MATCH(L$1,INDIRECT("Table!A"&amp;$AK213):INDIRECT("Table!" &amp; $AN$275 &amp; $AK213),0)),"",INDIRECT(CONCATENATE("Table!",ADDRESS($T213,MATCH(L$1,INDIRECT("Table!A" &amp; $AK213):INDIRECT("Table!" &amp; $AN$275 &amp; $AK213),0)))))</f>
        <v/>
      </c>
      <c r="L213" s="24" t="str">
        <f ca="1">IF(ISERROR(MATCH(M$1,INDIRECT("Table!A"&amp;$AK213):INDIRECT("Table!" &amp; $AN$275 &amp; $AK213),0)),"",INDIRECT(CONCATENATE("Table!",ADDRESS($T213,MATCH(M$1,INDIRECT("Table!A" &amp; $AK213):INDIRECT("Table!" &amp; $AN$275 &amp; $AK213),0)))))</f>
        <v/>
      </c>
      <c r="M213" s="24" t="str">
        <f ca="1">IF(ISERROR(MATCH(N$1,INDIRECT("Table!A"&amp;$AK213):INDIRECT("Table!" &amp; $AN$275 &amp; $AK213),0)),"",INDIRECT(CONCATENATE("Table!",ADDRESS($T213,MATCH(N$1,INDIRECT("Table!A" &amp; $AK213):INDIRECT("Table!" &amp; $AN$275 &amp; $AK213),0)))))</f>
        <v/>
      </c>
      <c r="N213" s="24" t="str">
        <f ca="1">IF(ISERROR(MATCH(O$1,INDIRECT("Table!A"&amp;$AK213):INDIRECT("Table!" &amp; $AN$275 &amp; $AK213),0)),"",INDIRECT(CONCATENATE("Table!",ADDRESS($T213,MATCH(O$1,INDIRECT("Table!A" &amp; $AK213):INDIRECT("Table!" &amp; $AN$275 &amp; $AK213),0)))))</f>
        <v/>
      </c>
      <c r="O213" s="24" t="str">
        <f ca="1">IF(ISERROR(MATCH(P$1,INDIRECT("Table!A"&amp;$AK213):INDIRECT("Table!" &amp; $AN$275 &amp; $AK213),0)),"",INDIRECT(CONCATENATE("Table!",ADDRESS($T213,MATCH(P$1,INDIRECT("Table!A" &amp; $AK213):INDIRECT("Table!" &amp; $AN$275 &amp; $AK213),0)))))</f>
        <v/>
      </c>
      <c r="P213" s="273" t="str">
        <f ca="1">IF(ISERROR(MATCH(Q$1,INDIRECT("Table!A"&amp;$AK213):INDIRECT("Table!" &amp; $AN$275 &amp; $AK213),0)),"",INDIRECT(CONCATENATE("Table!",ADDRESS($T213,MATCH(Q$1,INDIRECT("Table!A" &amp; $AK213):INDIRECT("Table!" &amp; $AN$275 &amp; $AK213),0)))))</f>
        <v/>
      </c>
      <c r="Q213" s="132"/>
      <c r="R213" s="132"/>
      <c r="S213" s="132"/>
      <c r="T213" s="22"/>
      <c r="AI213" s="132"/>
      <c r="AJ213" s="132"/>
      <c r="AK213" s="22"/>
      <c r="AL213" s="132"/>
      <c r="AM213" s="132"/>
      <c r="AN213" s="132"/>
    </row>
    <row r="214" spans="2:40" ht="18" customHeight="1" x14ac:dyDescent="0.25">
      <c r="B214" s="24"/>
      <c r="C214" s="24" t="str">
        <f ca="1">IF(ISERROR(MATCH(C$1,INDIRECT("Table!A"&amp;$AK214):INDIRECT("Table!" &amp; $AN$275 &amp; $AK214),0)),"",INDIRECT(CONCATENATE("Table!",ADDRESS($T214,MATCH(C$1,INDIRECT("Table!A" &amp; $AK214):INDIRECT("Table!" &amp; $AN$275 &amp; $AK214),0)))))</f>
        <v/>
      </c>
      <c r="D214" s="24" t="str">
        <f ca="1">IF(ISERROR(MATCH(D$1,INDIRECT("Table!A"&amp;$AK214):INDIRECT("Table!" &amp; $AN$275 &amp; $AK214),0)),"",INDIRECT(CONCATENATE("Table!",ADDRESS($T214,MATCH(D$1,INDIRECT("Table!A" &amp; $AK214):INDIRECT("Table!" &amp; $AN$275 &amp; $AK214),0)))))</f>
        <v/>
      </c>
      <c r="E214" s="24" t="str">
        <f ca="1">IF(ISERROR(MATCH(E$1,INDIRECT("Table!A"&amp;$AK214):INDIRECT("Table!" &amp; $AN$275 &amp; $AK214),0)),"",INDIRECT(CONCATENATE("Table!",ADDRESS($T214,MATCH(E$1,INDIRECT("Table!A" &amp; $AK214):INDIRECT("Table!" &amp; $AN$275 &amp; $AK214),0)))))</f>
        <v/>
      </c>
      <c r="F214" s="24" t="str">
        <f ca="1">IF(ISERROR(MATCH(F$1,INDIRECT("Table!A"&amp;$AK214):INDIRECT("Table!" &amp; $AN$275 &amp; $AK214),0)),"",INDIRECT(CONCATENATE("Table!",ADDRESS($T214,MATCH(F$1,INDIRECT("Table!A" &amp; $AK214):INDIRECT("Table!" &amp; $AN$275 &amp; $AK214),0)))))</f>
        <v/>
      </c>
      <c r="G214" s="24" t="str">
        <f ca="1">IF(ISERROR(MATCH(G$1,INDIRECT("Table!A"&amp;$AK214):INDIRECT("Table!" &amp; $AN$275 &amp; $AK214),0)),"",INDIRECT(CONCATENATE("Table!",ADDRESS($T214,MATCH(G$1,INDIRECT("Table!A" &amp; $AK214):INDIRECT("Table!" &amp; $AN$275 &amp; $AK214),0)))))</f>
        <v/>
      </c>
      <c r="H214" s="24" t="str">
        <f ca="1">IF(ISERROR(MATCH(H$1,INDIRECT("Table!A"&amp;$AK214):INDIRECT("Table!" &amp; $AN$275 &amp; $AK214),0)),"",INDIRECT(CONCATENATE("Table!",ADDRESS($T214,MATCH(H$1,INDIRECT("Table!A" &amp; $AK214):INDIRECT("Table!" &amp; $AN$275 &amp; $AK214),0)))))</f>
        <v/>
      </c>
      <c r="I214" s="273"/>
      <c r="J214" s="273"/>
      <c r="K214" s="24" t="str">
        <f ca="1">IF(ISERROR(MATCH(L$1,INDIRECT("Table!A"&amp;$AK214):INDIRECT("Table!" &amp; $AN$275 &amp; $AK214),0)),"",INDIRECT(CONCATENATE("Table!",ADDRESS($T214,MATCH(L$1,INDIRECT("Table!A" &amp; $AK214):INDIRECT("Table!" &amp; $AN$275 &amp; $AK214),0)))))</f>
        <v/>
      </c>
      <c r="L214" s="24" t="str">
        <f ca="1">IF(ISERROR(MATCH(M$1,INDIRECT("Table!A"&amp;$AK214):INDIRECT("Table!" &amp; $AN$275 &amp; $AK214),0)),"",INDIRECT(CONCATENATE("Table!",ADDRESS($T214,MATCH(M$1,INDIRECT("Table!A" &amp; $AK214):INDIRECT("Table!" &amp; $AN$275 &amp; $AK214),0)))))</f>
        <v/>
      </c>
      <c r="M214" s="24" t="str">
        <f ca="1">IF(ISERROR(MATCH(N$1,INDIRECT("Table!A"&amp;$AK214):INDIRECT("Table!" &amp; $AN$275 &amp; $AK214),0)),"",INDIRECT(CONCATENATE("Table!",ADDRESS($T214,MATCH(N$1,INDIRECT("Table!A" &amp; $AK214):INDIRECT("Table!" &amp; $AN$275 &amp; $AK214),0)))))</f>
        <v/>
      </c>
      <c r="N214" s="24" t="str">
        <f ca="1">IF(ISERROR(MATCH(O$1,INDIRECT("Table!A"&amp;$AK214):INDIRECT("Table!" &amp; $AN$275 &amp; $AK214),0)),"",INDIRECT(CONCATENATE("Table!",ADDRESS($T214,MATCH(O$1,INDIRECT("Table!A" &amp; $AK214):INDIRECT("Table!" &amp; $AN$275 &amp; $AK214),0)))))</f>
        <v/>
      </c>
      <c r="O214" s="24" t="str">
        <f ca="1">IF(ISERROR(MATCH(P$1,INDIRECT("Table!A"&amp;$AK214):INDIRECT("Table!" &amp; $AN$275 &amp; $AK214),0)),"",INDIRECT(CONCATENATE("Table!",ADDRESS($T214,MATCH(P$1,INDIRECT("Table!A" &amp; $AK214):INDIRECT("Table!" &amp; $AN$275 &amp; $AK214),0)))))</f>
        <v/>
      </c>
      <c r="P214" s="273" t="str">
        <f ca="1">IF(ISERROR(MATCH(Q$1,INDIRECT("Table!A"&amp;$AK214):INDIRECT("Table!" &amp; $AN$275 &amp; $AK214),0)),"",INDIRECT(CONCATENATE("Table!",ADDRESS($T214,MATCH(Q$1,INDIRECT("Table!A" &amp; $AK214):INDIRECT("Table!" &amp; $AN$275 &amp; $AK214),0)))))</f>
        <v/>
      </c>
      <c r="Q214" s="131"/>
      <c r="R214" s="131"/>
      <c r="S214" s="131"/>
      <c r="T214" s="22"/>
      <c r="AI214" s="131"/>
      <c r="AJ214" s="131"/>
      <c r="AK214" s="22"/>
      <c r="AL214" s="131"/>
      <c r="AM214" s="131"/>
      <c r="AN214" s="131"/>
    </row>
    <row r="215" spans="2:40" ht="18" customHeight="1" x14ac:dyDescent="0.25">
      <c r="B215" s="24"/>
      <c r="C215" s="24" t="str">
        <f ca="1">IF(ISERROR(MATCH(C$1,INDIRECT("Table!A"&amp;$AK215):INDIRECT("Table!" &amp; $AN$275 &amp; $AK215),0)),"",INDIRECT(CONCATENATE("Table!",ADDRESS($T215,MATCH(C$1,INDIRECT("Table!A" &amp; $AK215):INDIRECT("Table!" &amp; $AN$275 &amp; $AK215),0)))))</f>
        <v/>
      </c>
      <c r="D215" s="24" t="str">
        <f ca="1">IF(ISERROR(MATCH(D$1,INDIRECT("Table!A"&amp;$AK215):INDIRECT("Table!" &amp; $AN$275 &amp; $AK215),0)),"",INDIRECT(CONCATENATE("Table!",ADDRESS($T215,MATCH(D$1,INDIRECT("Table!A" &amp; $AK215):INDIRECT("Table!" &amp; $AN$275 &amp; $AK215),0)))))</f>
        <v/>
      </c>
      <c r="E215" s="24" t="str">
        <f ca="1">IF(ISERROR(MATCH(E$1,INDIRECT("Table!A"&amp;$AK215):INDIRECT("Table!" &amp; $AN$275 &amp; $AK215),0)),"",INDIRECT(CONCATENATE("Table!",ADDRESS($T215,MATCH(E$1,INDIRECT("Table!A" &amp; $AK215):INDIRECT("Table!" &amp; $AN$275 &amp; $AK215),0)))))</f>
        <v/>
      </c>
      <c r="F215" s="24" t="str">
        <f ca="1">IF(ISERROR(MATCH(F$1,INDIRECT("Table!A"&amp;$AK215):INDIRECT("Table!" &amp; $AN$275 &amp; $AK215),0)),"",INDIRECT(CONCATENATE("Table!",ADDRESS($T215,MATCH(F$1,INDIRECT("Table!A" &amp; $AK215):INDIRECT("Table!" &amp; $AN$275 &amp; $AK215),0)))))</f>
        <v/>
      </c>
      <c r="G215" s="24" t="str">
        <f ca="1">IF(ISERROR(MATCH(G$1,INDIRECT("Table!A"&amp;$AK215):INDIRECT("Table!" &amp; $AN$275 &amp; $AK215),0)),"",INDIRECT(CONCATENATE("Table!",ADDRESS($T215,MATCH(G$1,INDIRECT("Table!A" &amp; $AK215):INDIRECT("Table!" &amp; $AN$275 &amp; $AK215),0)))))</f>
        <v/>
      </c>
      <c r="H215" s="24" t="str">
        <f ca="1">IF(ISERROR(MATCH(H$1,INDIRECT("Table!A"&amp;$AK215):INDIRECT("Table!" &amp; $AN$275 &amp; $AK215),0)),"",INDIRECT(CONCATENATE("Table!",ADDRESS($T215,MATCH(H$1,INDIRECT("Table!A" &amp; $AK215):INDIRECT("Table!" &amp; $AN$275 &amp; $AK215),0)))))</f>
        <v/>
      </c>
      <c r="I215" s="273"/>
      <c r="J215" s="273"/>
      <c r="K215" s="24" t="str">
        <f ca="1">IF(ISERROR(MATCH(L$1,INDIRECT("Table!A"&amp;$AK215):INDIRECT("Table!" &amp; $AN$275 &amp; $AK215),0)),"",INDIRECT(CONCATENATE("Table!",ADDRESS($T215,MATCH(L$1,INDIRECT("Table!A" &amp; $AK215):INDIRECT("Table!" &amp; $AN$275 &amp; $AK215),0)))))</f>
        <v/>
      </c>
      <c r="L215" s="24" t="str">
        <f ca="1">IF(ISERROR(MATCH(M$1,INDIRECT("Table!A"&amp;$AK215):INDIRECT("Table!" &amp; $AN$275 &amp; $AK215),0)),"",INDIRECT(CONCATENATE("Table!",ADDRESS($T215,MATCH(M$1,INDIRECT("Table!A" &amp; $AK215):INDIRECT("Table!" &amp; $AN$275 &amp; $AK215),0)))))</f>
        <v/>
      </c>
      <c r="M215" s="24" t="str">
        <f ca="1">IF(ISERROR(MATCH(N$1,INDIRECT("Table!A"&amp;$AK215):INDIRECT("Table!" &amp; $AN$275 &amp; $AK215),0)),"",INDIRECT(CONCATENATE("Table!",ADDRESS($T215,MATCH(N$1,INDIRECT("Table!A" &amp; $AK215):INDIRECT("Table!" &amp; $AN$275 &amp; $AK215),0)))))</f>
        <v/>
      </c>
      <c r="N215" s="24" t="str">
        <f ca="1">IF(ISERROR(MATCH(O$1,INDIRECT("Table!A"&amp;$AK215):INDIRECT("Table!" &amp; $AN$275 &amp; $AK215),0)),"",INDIRECT(CONCATENATE("Table!",ADDRESS($T215,MATCH(O$1,INDIRECT("Table!A" &amp; $AK215):INDIRECT("Table!" &amp; $AN$275 &amp; $AK215),0)))))</f>
        <v/>
      </c>
      <c r="O215" s="24" t="str">
        <f ca="1">IF(ISERROR(MATCH(P$1,INDIRECT("Table!A"&amp;$AK215):INDIRECT("Table!" &amp; $AN$275 &amp; $AK215),0)),"",INDIRECT(CONCATENATE("Table!",ADDRESS($T215,MATCH(P$1,INDIRECT("Table!A" &amp; $AK215):INDIRECT("Table!" &amp; $AN$275 &amp; $AK215),0)))))</f>
        <v/>
      </c>
      <c r="P215" s="273" t="str">
        <f ca="1">IF(ISERROR(MATCH(Q$1,INDIRECT("Table!A"&amp;$AK215):INDIRECT("Table!" &amp; $AN$275 &amp; $AK215),0)),"",INDIRECT(CONCATENATE("Table!",ADDRESS($T215,MATCH(Q$1,INDIRECT("Table!A" &amp; $AK215):INDIRECT("Table!" &amp; $AN$275 &amp; $AK215),0)))))</f>
        <v/>
      </c>
      <c r="Q215" s="130"/>
      <c r="R215" s="130"/>
      <c r="S215" s="130"/>
      <c r="T215" s="22"/>
      <c r="AI215" s="130"/>
      <c r="AJ215" s="130"/>
      <c r="AK215" s="22"/>
      <c r="AL215" s="130"/>
      <c r="AM215" s="130"/>
      <c r="AN215" s="130"/>
    </row>
    <row r="216" spans="2:40" ht="18" customHeight="1" x14ac:dyDescent="0.25">
      <c r="B216" s="24"/>
      <c r="C216" s="24" t="str">
        <f ca="1">IF(ISERROR(MATCH(C$1,INDIRECT("Table!A"&amp;$AK216):INDIRECT("Table!" &amp; $AN$275 &amp; $AK216),0)),"",INDIRECT(CONCATENATE("Table!",ADDRESS($T216,MATCH(C$1,INDIRECT("Table!A" &amp; $AK216):INDIRECT("Table!" &amp; $AN$275 &amp; $AK216),0)))))</f>
        <v/>
      </c>
      <c r="D216" s="24" t="str">
        <f ca="1">IF(ISERROR(MATCH(D$1,INDIRECT("Table!A"&amp;$AK216):INDIRECT("Table!" &amp; $AN$275 &amp; $AK216),0)),"",INDIRECT(CONCATENATE("Table!",ADDRESS($T216,MATCH(D$1,INDIRECT("Table!A" &amp; $AK216):INDIRECT("Table!" &amp; $AN$275 &amp; $AK216),0)))))</f>
        <v/>
      </c>
      <c r="E216" s="24" t="str">
        <f ca="1">IF(ISERROR(MATCH(E$1,INDIRECT("Table!A"&amp;$AK216):INDIRECT("Table!" &amp; $AN$275 &amp; $AK216),0)),"",INDIRECT(CONCATENATE("Table!",ADDRESS($T216,MATCH(E$1,INDIRECT("Table!A" &amp; $AK216):INDIRECT("Table!" &amp; $AN$275 &amp; $AK216),0)))))</f>
        <v/>
      </c>
      <c r="F216" s="24" t="str">
        <f ca="1">IF(ISERROR(MATCH(F$1,INDIRECT("Table!A"&amp;$AK216):INDIRECT("Table!" &amp; $AN$275 &amp; $AK216),0)),"",INDIRECT(CONCATENATE("Table!",ADDRESS($T216,MATCH(F$1,INDIRECT("Table!A" &amp; $AK216):INDIRECT("Table!" &amp; $AN$275 &amp; $AK216),0)))))</f>
        <v/>
      </c>
      <c r="G216" s="24" t="str">
        <f ca="1">IF(ISERROR(MATCH(G$1,INDIRECT("Table!A"&amp;$AK216):INDIRECT("Table!" &amp; $AN$275 &amp; $AK216),0)),"",INDIRECT(CONCATENATE("Table!",ADDRESS($T216,MATCH(G$1,INDIRECT("Table!A" &amp; $AK216):INDIRECT("Table!" &amp; $AN$275 &amp; $AK216),0)))))</f>
        <v/>
      </c>
      <c r="H216" s="24" t="str">
        <f ca="1">IF(ISERROR(MATCH(H$1,INDIRECT("Table!A"&amp;$AK216):INDIRECT("Table!" &amp; $AN$275 &amp; $AK216),0)),"",INDIRECT(CONCATENATE("Table!",ADDRESS($T216,MATCH(H$1,INDIRECT("Table!A" &amp; $AK216):INDIRECT("Table!" &amp; $AN$275 &amp; $AK216),0)))))</f>
        <v/>
      </c>
      <c r="I216" s="273"/>
      <c r="J216" s="273"/>
      <c r="K216" s="24" t="str">
        <f ca="1">IF(ISERROR(MATCH(L$1,INDIRECT("Table!A"&amp;$AK216):INDIRECT("Table!" &amp; $AN$275 &amp; $AK216),0)),"",INDIRECT(CONCATENATE("Table!",ADDRESS($T216,MATCH(L$1,INDIRECT("Table!A" &amp; $AK216):INDIRECT("Table!" &amp; $AN$275 &amp; $AK216),0)))))</f>
        <v/>
      </c>
      <c r="L216" s="24" t="str">
        <f ca="1">IF(ISERROR(MATCH(M$1,INDIRECT("Table!A"&amp;$AK216):INDIRECT("Table!" &amp; $AN$275 &amp; $AK216),0)),"",INDIRECT(CONCATENATE("Table!",ADDRESS($T216,MATCH(M$1,INDIRECT("Table!A" &amp; $AK216):INDIRECT("Table!" &amp; $AN$275 &amp; $AK216),0)))))</f>
        <v/>
      </c>
      <c r="M216" s="24" t="str">
        <f ca="1">IF(ISERROR(MATCH(N$1,INDIRECT("Table!A"&amp;$AK216):INDIRECT("Table!" &amp; $AN$275 &amp; $AK216),0)),"",INDIRECT(CONCATENATE("Table!",ADDRESS($T216,MATCH(N$1,INDIRECT("Table!A" &amp; $AK216):INDIRECT("Table!" &amp; $AN$275 &amp; $AK216),0)))))</f>
        <v/>
      </c>
      <c r="N216" s="24" t="str">
        <f ca="1">IF(ISERROR(MATCH(O$1,INDIRECT("Table!A"&amp;$AK216):INDIRECT("Table!" &amp; $AN$275 &amp; $AK216),0)),"",INDIRECT(CONCATENATE("Table!",ADDRESS($T216,MATCH(O$1,INDIRECT("Table!A" &amp; $AK216):INDIRECT("Table!" &amp; $AN$275 &amp; $AK216),0)))))</f>
        <v/>
      </c>
      <c r="O216" s="24" t="str">
        <f ca="1">IF(ISERROR(MATCH(P$1,INDIRECT("Table!A"&amp;$AK216):INDIRECT("Table!" &amp; $AN$275 &amp; $AK216),0)),"",INDIRECT(CONCATENATE("Table!",ADDRESS($T216,MATCH(P$1,INDIRECT("Table!A" &amp; $AK216):INDIRECT("Table!" &amp; $AN$275 &amp; $AK216),0)))))</f>
        <v/>
      </c>
      <c r="P216" s="273" t="str">
        <f ca="1">IF(ISERROR(MATCH(Q$1,INDIRECT("Table!A"&amp;$AK216):INDIRECT("Table!" &amp; $AN$275 &amp; $AK216),0)),"",INDIRECT(CONCATENATE("Table!",ADDRESS($T216,MATCH(Q$1,INDIRECT("Table!A" &amp; $AK216):INDIRECT("Table!" &amp; $AN$275 &amp; $AK216),0)))))</f>
        <v/>
      </c>
      <c r="Q216" s="129"/>
      <c r="R216" s="129"/>
      <c r="S216" s="129"/>
      <c r="T216" s="22"/>
      <c r="AI216" s="129"/>
      <c r="AJ216" s="129"/>
      <c r="AK216" s="22"/>
      <c r="AL216" s="129"/>
      <c r="AM216" s="129"/>
      <c r="AN216" s="129"/>
    </row>
    <row r="217" spans="2:40" ht="18" customHeight="1" x14ac:dyDescent="0.25">
      <c r="B217" s="24"/>
      <c r="C217" s="24" t="str">
        <f ca="1">IF(ISERROR(MATCH(C$1,INDIRECT("Table!A"&amp;$AK217):INDIRECT("Table!" &amp; $AN$275 &amp; $AK217),0)),"",INDIRECT(CONCATENATE("Table!",ADDRESS($T217,MATCH(C$1,INDIRECT("Table!A" &amp; $AK217):INDIRECT("Table!" &amp; $AN$275 &amp; $AK217),0)))))</f>
        <v/>
      </c>
      <c r="D217" s="24" t="str">
        <f ca="1">IF(ISERROR(MATCH(D$1,INDIRECT("Table!A"&amp;$AK217):INDIRECT("Table!" &amp; $AN$275 &amp; $AK217),0)),"",INDIRECT(CONCATENATE("Table!",ADDRESS($T217,MATCH(D$1,INDIRECT("Table!A" &amp; $AK217):INDIRECT("Table!" &amp; $AN$275 &amp; $AK217),0)))))</f>
        <v/>
      </c>
      <c r="E217" s="24" t="str">
        <f ca="1">IF(ISERROR(MATCH(E$1,INDIRECT("Table!A"&amp;$AK217):INDIRECT("Table!" &amp; $AN$275 &amp; $AK217),0)),"",INDIRECT(CONCATENATE("Table!",ADDRESS($T217,MATCH(E$1,INDIRECT("Table!A" &amp; $AK217):INDIRECT("Table!" &amp; $AN$275 &amp; $AK217),0)))))</f>
        <v/>
      </c>
      <c r="F217" s="24" t="str">
        <f ca="1">IF(ISERROR(MATCH(F$1,INDIRECT("Table!A"&amp;$AK217):INDIRECT("Table!" &amp; $AN$275 &amp; $AK217),0)),"",INDIRECT(CONCATENATE("Table!",ADDRESS($T217,MATCH(F$1,INDIRECT("Table!A" &amp; $AK217):INDIRECT("Table!" &amp; $AN$275 &amp; $AK217),0)))))</f>
        <v/>
      </c>
      <c r="G217" s="24" t="str">
        <f ca="1">IF(ISERROR(MATCH(G$1,INDIRECT("Table!A"&amp;$AK217):INDIRECT("Table!" &amp; $AN$275 &amp; $AK217),0)),"",INDIRECT(CONCATENATE("Table!",ADDRESS($T217,MATCH(G$1,INDIRECT("Table!A" &amp; $AK217):INDIRECT("Table!" &amp; $AN$275 &amp; $AK217),0)))))</f>
        <v/>
      </c>
      <c r="H217" s="24" t="str">
        <f ca="1">IF(ISERROR(MATCH(H$1,INDIRECT("Table!A"&amp;$AK217):INDIRECT("Table!" &amp; $AN$275 &amp; $AK217),0)),"",INDIRECT(CONCATENATE("Table!",ADDRESS($T217,MATCH(H$1,INDIRECT("Table!A" &amp; $AK217):INDIRECT("Table!" &amp; $AN$275 &amp; $AK217),0)))))</f>
        <v/>
      </c>
      <c r="I217" s="273"/>
      <c r="J217" s="273"/>
      <c r="K217" s="24" t="str">
        <f ca="1">IF(ISERROR(MATCH(L$1,INDIRECT("Table!A"&amp;$AK217):INDIRECT("Table!" &amp; $AN$275 &amp; $AK217),0)),"",INDIRECT(CONCATENATE("Table!",ADDRESS($T217,MATCH(L$1,INDIRECT("Table!A" &amp; $AK217):INDIRECT("Table!" &amp; $AN$275 &amp; $AK217),0)))))</f>
        <v/>
      </c>
      <c r="L217" s="24" t="str">
        <f ca="1">IF(ISERROR(MATCH(M$1,INDIRECT("Table!A"&amp;$AK217):INDIRECT("Table!" &amp; $AN$275 &amp; $AK217),0)),"",INDIRECT(CONCATENATE("Table!",ADDRESS($T217,MATCH(M$1,INDIRECT("Table!A" &amp; $AK217):INDIRECT("Table!" &amp; $AN$275 &amp; $AK217),0)))))</f>
        <v/>
      </c>
      <c r="M217" s="24" t="str">
        <f ca="1">IF(ISERROR(MATCH(N$1,INDIRECT("Table!A"&amp;$AK217):INDIRECT("Table!" &amp; $AN$275 &amp; $AK217),0)),"",INDIRECT(CONCATENATE("Table!",ADDRESS($T217,MATCH(N$1,INDIRECT("Table!A" &amp; $AK217):INDIRECT("Table!" &amp; $AN$275 &amp; $AK217),0)))))</f>
        <v/>
      </c>
      <c r="N217" s="24" t="str">
        <f ca="1">IF(ISERROR(MATCH(O$1,INDIRECT("Table!A"&amp;$AK217):INDIRECT("Table!" &amp; $AN$275 &amp; $AK217),0)),"",INDIRECT(CONCATENATE("Table!",ADDRESS($T217,MATCH(O$1,INDIRECT("Table!A" &amp; $AK217):INDIRECT("Table!" &amp; $AN$275 &amp; $AK217),0)))))</f>
        <v/>
      </c>
      <c r="O217" s="24" t="str">
        <f ca="1">IF(ISERROR(MATCH(P$1,INDIRECT("Table!A"&amp;$AK217):INDIRECT("Table!" &amp; $AN$275 &amp; $AK217),0)),"",INDIRECT(CONCATENATE("Table!",ADDRESS($T217,MATCH(P$1,INDIRECT("Table!A" &amp; $AK217):INDIRECT("Table!" &amp; $AN$275 &amp; $AK217),0)))))</f>
        <v/>
      </c>
      <c r="P217" s="273" t="str">
        <f ca="1">IF(ISERROR(MATCH(Q$1,INDIRECT("Table!A"&amp;$AK217):INDIRECT("Table!" &amp; $AN$275 &amp; $AK217),0)),"",INDIRECT(CONCATENATE("Table!",ADDRESS($T217,MATCH(Q$1,INDIRECT("Table!A" &amp; $AK217):INDIRECT("Table!" &amp; $AN$275 &amp; $AK217),0)))))</f>
        <v/>
      </c>
      <c r="Q217" s="128"/>
      <c r="R217" s="128"/>
      <c r="S217" s="128"/>
      <c r="T217" s="22"/>
      <c r="AI217" s="128"/>
      <c r="AJ217" s="128"/>
      <c r="AK217" s="22"/>
      <c r="AL217" s="128"/>
      <c r="AM217" s="128"/>
      <c r="AN217" s="128"/>
    </row>
    <row r="218" spans="2:40" ht="18" customHeight="1" x14ac:dyDescent="0.25">
      <c r="B218" s="24"/>
      <c r="C218" s="24" t="str">
        <f ca="1">IF(ISERROR(MATCH(C$1,INDIRECT("Table!A"&amp;$AK218):INDIRECT("Table!" &amp; $AN$275 &amp; $AK218),0)),"",INDIRECT(CONCATENATE("Table!",ADDRESS($T218,MATCH(C$1,INDIRECT("Table!A" &amp; $AK218):INDIRECT("Table!" &amp; $AN$275 &amp; $AK218),0)))))</f>
        <v/>
      </c>
      <c r="D218" s="24" t="str">
        <f ca="1">IF(ISERROR(MATCH(D$1,INDIRECT("Table!A"&amp;$AK218):INDIRECT("Table!" &amp; $AN$275 &amp; $AK218),0)),"",INDIRECT(CONCATENATE("Table!",ADDRESS($T218,MATCH(D$1,INDIRECT("Table!A" &amp; $AK218):INDIRECT("Table!" &amp; $AN$275 &amp; $AK218),0)))))</f>
        <v/>
      </c>
      <c r="E218" s="24" t="str">
        <f ca="1">IF(ISERROR(MATCH(E$1,INDIRECT("Table!A"&amp;$AK218):INDIRECT("Table!" &amp; $AN$275 &amp; $AK218),0)),"",INDIRECT(CONCATENATE("Table!",ADDRESS($T218,MATCH(E$1,INDIRECT("Table!A" &amp; $AK218):INDIRECT("Table!" &amp; $AN$275 &amp; $AK218),0)))))</f>
        <v/>
      </c>
      <c r="F218" s="24" t="str">
        <f ca="1">IF(ISERROR(MATCH(F$1,INDIRECT("Table!A"&amp;$AK218):INDIRECT("Table!" &amp; $AN$275 &amp; $AK218),0)),"",INDIRECT(CONCATENATE("Table!",ADDRESS($T218,MATCH(F$1,INDIRECT("Table!A" &amp; $AK218):INDIRECT("Table!" &amp; $AN$275 &amp; $AK218),0)))))</f>
        <v/>
      </c>
      <c r="G218" s="24" t="str">
        <f ca="1">IF(ISERROR(MATCH(G$1,INDIRECT("Table!A"&amp;$AK218):INDIRECT("Table!" &amp; $AN$275 &amp; $AK218),0)),"",INDIRECT(CONCATENATE("Table!",ADDRESS($T218,MATCH(G$1,INDIRECT("Table!A" &amp; $AK218):INDIRECT("Table!" &amp; $AN$275 &amp; $AK218),0)))))</f>
        <v/>
      </c>
      <c r="H218" s="24" t="str">
        <f ca="1">IF(ISERROR(MATCH(H$1,INDIRECT("Table!A"&amp;$AK218):INDIRECT("Table!" &amp; $AN$275 &amp; $AK218),0)),"",INDIRECT(CONCATENATE("Table!",ADDRESS($T218,MATCH(H$1,INDIRECT("Table!A" &amp; $AK218):INDIRECT("Table!" &amp; $AN$275 &amp; $AK218),0)))))</f>
        <v/>
      </c>
      <c r="I218" s="273"/>
      <c r="J218" s="273"/>
      <c r="K218" s="24" t="str">
        <f ca="1">IF(ISERROR(MATCH(L$1,INDIRECT("Table!A"&amp;$AK218):INDIRECT("Table!" &amp; $AN$275 &amp; $AK218),0)),"",INDIRECT(CONCATENATE("Table!",ADDRESS($T218,MATCH(L$1,INDIRECT("Table!A" &amp; $AK218):INDIRECT("Table!" &amp; $AN$275 &amp; $AK218),0)))))</f>
        <v/>
      </c>
      <c r="L218" s="24" t="str">
        <f ca="1">IF(ISERROR(MATCH(M$1,INDIRECT("Table!A"&amp;$AK218):INDIRECT("Table!" &amp; $AN$275 &amp; $AK218),0)),"",INDIRECT(CONCATENATE("Table!",ADDRESS($T218,MATCH(M$1,INDIRECT("Table!A" &amp; $AK218):INDIRECT("Table!" &amp; $AN$275 &amp; $AK218),0)))))</f>
        <v/>
      </c>
      <c r="M218" s="24" t="str">
        <f ca="1">IF(ISERROR(MATCH(N$1,INDIRECT("Table!A"&amp;$AK218):INDIRECT("Table!" &amp; $AN$275 &amp; $AK218),0)),"",INDIRECT(CONCATENATE("Table!",ADDRESS($T218,MATCH(N$1,INDIRECT("Table!A" &amp; $AK218):INDIRECT("Table!" &amp; $AN$275 &amp; $AK218),0)))))</f>
        <v/>
      </c>
      <c r="N218" s="24" t="str">
        <f ca="1">IF(ISERROR(MATCH(O$1,INDIRECT("Table!A"&amp;$AK218):INDIRECT("Table!" &amp; $AN$275 &amp; $AK218),0)),"",INDIRECT(CONCATENATE("Table!",ADDRESS($T218,MATCH(O$1,INDIRECT("Table!A" &amp; $AK218):INDIRECT("Table!" &amp; $AN$275 &amp; $AK218),0)))))</f>
        <v/>
      </c>
      <c r="O218" s="24" t="str">
        <f ca="1">IF(ISERROR(MATCH(P$1,INDIRECT("Table!A"&amp;$AK218):INDIRECT("Table!" &amp; $AN$275 &amp; $AK218),0)),"",INDIRECT(CONCATENATE("Table!",ADDRESS($T218,MATCH(P$1,INDIRECT("Table!A" &amp; $AK218):INDIRECT("Table!" &amp; $AN$275 &amp; $AK218),0)))))</f>
        <v/>
      </c>
      <c r="P218" s="273" t="str">
        <f ca="1">IF(ISERROR(MATCH(Q$1,INDIRECT("Table!A"&amp;$AK218):INDIRECT("Table!" &amp; $AN$275 &amp; $AK218),0)),"",INDIRECT(CONCATENATE("Table!",ADDRESS($T218,MATCH(Q$1,INDIRECT("Table!A" &amp; $AK218):INDIRECT("Table!" &amp; $AN$275 &amp; $AK218),0)))))</f>
        <v/>
      </c>
      <c r="Q218" s="128"/>
      <c r="R218" s="128"/>
      <c r="S218" s="128"/>
      <c r="T218" s="22"/>
      <c r="AI218" s="128"/>
      <c r="AJ218" s="128"/>
      <c r="AK218" s="22"/>
      <c r="AL218" s="128"/>
      <c r="AM218" s="128"/>
      <c r="AN218" s="128"/>
    </row>
    <row r="219" spans="2:40" ht="18" customHeight="1" x14ac:dyDescent="0.25">
      <c r="B219" s="24"/>
      <c r="C219" s="24" t="str">
        <f ca="1">IF(ISERROR(MATCH(C$1,INDIRECT("Table!A"&amp;$AK219):INDIRECT("Table!" &amp; $AN$275 &amp; $AK219),0)),"",INDIRECT(CONCATENATE("Table!",ADDRESS($T219,MATCH(C$1,INDIRECT("Table!A" &amp; $AK219):INDIRECT("Table!" &amp; $AN$275 &amp; $AK219),0)))))</f>
        <v/>
      </c>
      <c r="D219" s="24" t="str">
        <f ca="1">IF(ISERROR(MATCH(D$1,INDIRECT("Table!A"&amp;$AK219):INDIRECT("Table!" &amp; $AN$275 &amp; $AK219),0)),"",INDIRECT(CONCATENATE("Table!",ADDRESS($T219,MATCH(D$1,INDIRECT("Table!A" &amp; $AK219):INDIRECT("Table!" &amp; $AN$275 &amp; $AK219),0)))))</f>
        <v/>
      </c>
      <c r="E219" s="24" t="str">
        <f ca="1">IF(ISERROR(MATCH(E$1,INDIRECT("Table!A"&amp;$AK219):INDIRECT("Table!" &amp; $AN$275 &amp; $AK219),0)),"",INDIRECT(CONCATENATE("Table!",ADDRESS($T219,MATCH(E$1,INDIRECT("Table!A" &amp; $AK219):INDIRECT("Table!" &amp; $AN$275 &amp; $AK219),0)))))</f>
        <v/>
      </c>
      <c r="F219" s="24" t="str">
        <f ca="1">IF(ISERROR(MATCH(F$1,INDIRECT("Table!A"&amp;$AK219):INDIRECT("Table!" &amp; $AN$275 &amp; $AK219),0)),"",INDIRECT(CONCATENATE("Table!",ADDRESS($T219,MATCH(F$1,INDIRECT("Table!A" &amp; $AK219):INDIRECT("Table!" &amp; $AN$275 &amp; $AK219),0)))))</f>
        <v/>
      </c>
      <c r="G219" s="24" t="str">
        <f ca="1">IF(ISERROR(MATCH(G$1,INDIRECT("Table!A"&amp;$AK219):INDIRECT("Table!" &amp; $AN$275 &amp; $AK219),0)),"",INDIRECT(CONCATENATE("Table!",ADDRESS($T219,MATCH(G$1,INDIRECT("Table!A" &amp; $AK219):INDIRECT("Table!" &amp; $AN$275 &amp; $AK219),0)))))</f>
        <v/>
      </c>
      <c r="H219" s="24" t="str">
        <f ca="1">IF(ISERROR(MATCH(H$1,INDIRECT("Table!A"&amp;$AK219):INDIRECT("Table!" &amp; $AN$275 &amp; $AK219),0)),"",INDIRECT(CONCATENATE("Table!",ADDRESS($T219,MATCH(H$1,INDIRECT("Table!A" &amp; $AK219):INDIRECT("Table!" &amp; $AN$275 &amp; $AK219),0)))))</f>
        <v/>
      </c>
      <c r="I219" s="273"/>
      <c r="J219" s="273"/>
      <c r="K219" s="24" t="str">
        <f ca="1">IF(ISERROR(MATCH(L$1,INDIRECT("Table!A"&amp;$AK219):INDIRECT("Table!" &amp; $AN$275 &amp; $AK219),0)),"",INDIRECT(CONCATENATE("Table!",ADDRESS($T219,MATCH(L$1,INDIRECT("Table!A" &amp; $AK219):INDIRECT("Table!" &amp; $AN$275 &amp; $AK219),0)))))</f>
        <v/>
      </c>
      <c r="L219" s="24" t="str">
        <f ca="1">IF(ISERROR(MATCH(M$1,INDIRECT("Table!A"&amp;$AK219):INDIRECT("Table!" &amp; $AN$275 &amp; $AK219),0)),"",INDIRECT(CONCATENATE("Table!",ADDRESS($T219,MATCH(M$1,INDIRECT("Table!A" &amp; $AK219):INDIRECT("Table!" &amp; $AN$275 &amp; $AK219),0)))))</f>
        <v/>
      </c>
      <c r="M219" s="24" t="str">
        <f ca="1">IF(ISERROR(MATCH(N$1,INDIRECT("Table!A"&amp;$AK219):INDIRECT("Table!" &amp; $AN$275 &amp; $AK219),0)),"",INDIRECT(CONCATENATE("Table!",ADDRESS($T219,MATCH(N$1,INDIRECT("Table!A" &amp; $AK219):INDIRECT("Table!" &amp; $AN$275 &amp; $AK219),0)))))</f>
        <v/>
      </c>
      <c r="N219" s="24" t="str">
        <f ca="1">IF(ISERROR(MATCH(O$1,INDIRECT("Table!A"&amp;$AK219):INDIRECT("Table!" &amp; $AN$275 &amp; $AK219),0)),"",INDIRECT(CONCATENATE("Table!",ADDRESS($T219,MATCH(O$1,INDIRECT("Table!A" &amp; $AK219):INDIRECT("Table!" &amp; $AN$275 &amp; $AK219),0)))))</f>
        <v/>
      </c>
      <c r="O219" s="24" t="str">
        <f ca="1">IF(ISERROR(MATCH(P$1,INDIRECT("Table!A"&amp;$AK219):INDIRECT("Table!" &amp; $AN$275 &amp; $AK219),0)),"",INDIRECT(CONCATENATE("Table!",ADDRESS($T219,MATCH(P$1,INDIRECT("Table!A" &amp; $AK219):INDIRECT("Table!" &amp; $AN$275 &amp; $AK219),0)))))</f>
        <v/>
      </c>
      <c r="P219" s="273" t="str">
        <f ca="1">IF(ISERROR(MATCH(Q$1,INDIRECT("Table!A"&amp;$AK219):INDIRECT("Table!" &amp; $AN$275 &amp; $AK219),0)),"",INDIRECT(CONCATENATE("Table!",ADDRESS($T219,MATCH(Q$1,INDIRECT("Table!A" &amp; $AK219):INDIRECT("Table!" &amp; $AN$275 &amp; $AK219),0)))))</f>
        <v/>
      </c>
      <c r="Q219" s="128"/>
      <c r="R219" s="128"/>
      <c r="S219" s="128"/>
      <c r="T219" s="22"/>
      <c r="AI219" s="128"/>
      <c r="AJ219" s="128"/>
      <c r="AK219" s="22"/>
      <c r="AL219" s="128"/>
      <c r="AM219" s="128"/>
      <c r="AN219" s="128"/>
    </row>
    <row r="220" spans="2:40" ht="18" customHeight="1" x14ac:dyDescent="0.25">
      <c r="B220" s="24"/>
      <c r="C220" s="24" t="str">
        <f ca="1">IF(ISERROR(MATCH(C$1,INDIRECT("Table!A"&amp;$AK220):INDIRECT("Table!" &amp; $AN$275 &amp; $AK220),0)),"",INDIRECT(CONCATENATE("Table!",ADDRESS($T220,MATCH(C$1,INDIRECT("Table!A" &amp; $AK220):INDIRECT("Table!" &amp; $AN$275 &amp; $AK220),0)))))</f>
        <v/>
      </c>
      <c r="D220" s="24" t="str">
        <f ca="1">IF(ISERROR(MATCH(D$1,INDIRECT("Table!A"&amp;$AK220):INDIRECT("Table!" &amp; $AN$275 &amp; $AK220),0)),"",INDIRECT(CONCATENATE("Table!",ADDRESS($T220,MATCH(D$1,INDIRECT("Table!A" &amp; $AK220):INDIRECT("Table!" &amp; $AN$275 &amp; $AK220),0)))))</f>
        <v/>
      </c>
      <c r="E220" s="24" t="str">
        <f ca="1">IF(ISERROR(MATCH(E$1,INDIRECT("Table!A"&amp;$AK220):INDIRECT("Table!" &amp; $AN$275 &amp; $AK220),0)),"",INDIRECT(CONCATENATE("Table!",ADDRESS($T220,MATCH(E$1,INDIRECT("Table!A" &amp; $AK220):INDIRECT("Table!" &amp; $AN$275 &amp; $AK220),0)))))</f>
        <v/>
      </c>
      <c r="F220" s="24" t="str">
        <f ca="1">IF(ISERROR(MATCH(F$1,INDIRECT("Table!A"&amp;$AK220):INDIRECT("Table!" &amp; $AN$275 &amp; $AK220),0)),"",INDIRECT(CONCATENATE("Table!",ADDRESS($T220,MATCH(F$1,INDIRECT("Table!A" &amp; $AK220):INDIRECT("Table!" &amp; $AN$275 &amp; $AK220),0)))))</f>
        <v/>
      </c>
      <c r="G220" s="24" t="str">
        <f ca="1">IF(ISERROR(MATCH(G$1,INDIRECT("Table!A"&amp;$AK220):INDIRECT("Table!" &amp; $AN$275 &amp; $AK220),0)),"",INDIRECT(CONCATENATE("Table!",ADDRESS($T220,MATCH(G$1,INDIRECT("Table!A" &amp; $AK220):INDIRECT("Table!" &amp; $AN$275 &amp; $AK220),0)))))</f>
        <v/>
      </c>
      <c r="H220" s="24" t="str">
        <f ca="1">IF(ISERROR(MATCH(H$1,INDIRECT("Table!A"&amp;$AK220):INDIRECT("Table!" &amp; $AN$275 &amp; $AK220),0)),"",INDIRECT(CONCATENATE("Table!",ADDRESS($T220,MATCH(H$1,INDIRECT("Table!A" &amp; $AK220):INDIRECT("Table!" &amp; $AN$275 &amp; $AK220),0)))))</f>
        <v/>
      </c>
      <c r="I220" s="273"/>
      <c r="J220" s="273"/>
      <c r="K220" s="24" t="str">
        <f ca="1">IF(ISERROR(MATCH(L$1,INDIRECT("Table!A"&amp;$AK220):INDIRECT("Table!" &amp; $AN$275 &amp; $AK220),0)),"",INDIRECT(CONCATENATE("Table!",ADDRESS($T220,MATCH(L$1,INDIRECT("Table!A" &amp; $AK220):INDIRECT("Table!" &amp; $AN$275 &amp; $AK220),0)))))</f>
        <v/>
      </c>
      <c r="L220" s="24" t="str">
        <f ca="1">IF(ISERROR(MATCH(M$1,INDIRECT("Table!A"&amp;$AK220):INDIRECT("Table!" &amp; $AN$275 &amp; $AK220),0)),"",INDIRECT(CONCATENATE("Table!",ADDRESS($T220,MATCH(M$1,INDIRECT("Table!A" &amp; $AK220):INDIRECT("Table!" &amp; $AN$275 &amp; $AK220),0)))))</f>
        <v/>
      </c>
      <c r="M220" s="24" t="str">
        <f ca="1">IF(ISERROR(MATCH(N$1,INDIRECT("Table!A"&amp;$AK220):INDIRECT("Table!" &amp; $AN$275 &amp; $AK220),0)),"",INDIRECT(CONCATENATE("Table!",ADDRESS($T220,MATCH(N$1,INDIRECT("Table!A" &amp; $AK220):INDIRECT("Table!" &amp; $AN$275 &amp; $AK220),0)))))</f>
        <v/>
      </c>
      <c r="N220" s="24" t="str">
        <f ca="1">IF(ISERROR(MATCH(O$1,INDIRECT("Table!A"&amp;$AK220):INDIRECT("Table!" &amp; $AN$275 &amp; $AK220),0)),"",INDIRECT(CONCATENATE("Table!",ADDRESS($T220,MATCH(O$1,INDIRECT("Table!A" &amp; $AK220):INDIRECT("Table!" &amp; $AN$275 &amp; $AK220),0)))))</f>
        <v/>
      </c>
      <c r="O220" s="24" t="str">
        <f ca="1">IF(ISERROR(MATCH(P$1,INDIRECT("Table!A"&amp;$AK220):INDIRECT("Table!" &amp; $AN$275 &amp; $AK220),0)),"",INDIRECT(CONCATENATE("Table!",ADDRESS($T220,MATCH(P$1,INDIRECT("Table!A" &amp; $AK220):INDIRECT("Table!" &amp; $AN$275 &amp; $AK220),0)))))</f>
        <v/>
      </c>
      <c r="P220" s="273" t="str">
        <f ca="1">IF(ISERROR(MATCH(Q$1,INDIRECT("Table!A"&amp;$AK220):INDIRECT("Table!" &amp; $AN$275 &amp; $AK220),0)),"",INDIRECT(CONCATENATE("Table!",ADDRESS($T220,MATCH(Q$1,INDIRECT("Table!A" &amp; $AK220):INDIRECT("Table!" &amp; $AN$275 &amp; $AK220),0)))))</f>
        <v/>
      </c>
      <c r="Q220" s="128"/>
      <c r="R220" s="128"/>
      <c r="S220" s="128"/>
      <c r="T220" s="22"/>
      <c r="AI220" s="128"/>
      <c r="AJ220" s="128"/>
      <c r="AK220" s="22"/>
      <c r="AL220" s="128"/>
      <c r="AM220" s="128"/>
      <c r="AN220" s="128"/>
    </row>
    <row r="221" spans="2:40" ht="18" customHeight="1" x14ac:dyDescent="0.25">
      <c r="B221" s="24"/>
      <c r="C221" s="24" t="str">
        <f ca="1">IF(ISERROR(MATCH(C$1,INDIRECT("Table!A"&amp;$AK221):INDIRECT("Table!" &amp; $AN$275 &amp; $AK221),0)),"",INDIRECT(CONCATENATE("Table!",ADDRESS($T221,MATCH(C$1,INDIRECT("Table!A" &amp; $AK221):INDIRECT("Table!" &amp; $AN$275 &amp; $AK221),0)))))</f>
        <v/>
      </c>
      <c r="D221" s="24" t="str">
        <f ca="1">IF(ISERROR(MATCH(D$1,INDIRECT("Table!A"&amp;$AK221):INDIRECT("Table!" &amp; $AN$275 &amp; $AK221),0)),"",INDIRECT(CONCATENATE("Table!",ADDRESS($T221,MATCH(D$1,INDIRECT("Table!A" &amp; $AK221):INDIRECT("Table!" &amp; $AN$275 &amp; $AK221),0)))))</f>
        <v/>
      </c>
      <c r="E221" s="24" t="str">
        <f ca="1">IF(ISERROR(MATCH(E$1,INDIRECT("Table!A"&amp;$AK221):INDIRECT("Table!" &amp; $AN$275 &amp; $AK221),0)),"",INDIRECT(CONCATENATE("Table!",ADDRESS($T221,MATCH(E$1,INDIRECT("Table!A" &amp; $AK221):INDIRECT("Table!" &amp; $AN$275 &amp; $AK221),0)))))</f>
        <v/>
      </c>
      <c r="F221" s="24" t="str">
        <f ca="1">IF(ISERROR(MATCH(F$1,INDIRECT("Table!A"&amp;$AK221):INDIRECT("Table!" &amp; $AN$275 &amp; $AK221),0)),"",INDIRECT(CONCATENATE("Table!",ADDRESS($T221,MATCH(F$1,INDIRECT("Table!A" &amp; $AK221):INDIRECT("Table!" &amp; $AN$275 &amp; $AK221),0)))))</f>
        <v/>
      </c>
      <c r="G221" s="24" t="str">
        <f ca="1">IF(ISERROR(MATCH(G$1,INDIRECT("Table!A"&amp;$AK221):INDIRECT("Table!" &amp; $AN$275 &amp; $AK221),0)),"",INDIRECT(CONCATENATE("Table!",ADDRESS($T221,MATCH(G$1,INDIRECT("Table!A" &amp; $AK221):INDIRECT("Table!" &amp; $AN$275 &amp; $AK221),0)))))</f>
        <v/>
      </c>
      <c r="H221" s="24" t="str">
        <f ca="1">IF(ISERROR(MATCH(H$1,INDIRECT("Table!A"&amp;$AK221):INDIRECT("Table!" &amp; $AN$275 &amp; $AK221),0)),"",INDIRECT(CONCATENATE("Table!",ADDRESS($T221,MATCH(H$1,INDIRECT("Table!A" &amp; $AK221):INDIRECT("Table!" &amp; $AN$275 &amp; $AK221),0)))))</f>
        <v/>
      </c>
      <c r="I221" s="273"/>
      <c r="J221" s="273"/>
      <c r="K221" s="24" t="str">
        <f ca="1">IF(ISERROR(MATCH(L$1,INDIRECT("Table!A"&amp;$AK221):INDIRECT("Table!" &amp; $AN$275 &amp; $AK221),0)),"",INDIRECT(CONCATENATE("Table!",ADDRESS($T221,MATCH(L$1,INDIRECT("Table!A" &amp; $AK221):INDIRECT("Table!" &amp; $AN$275 &amp; $AK221),0)))))</f>
        <v/>
      </c>
      <c r="L221" s="24" t="str">
        <f ca="1">IF(ISERROR(MATCH(M$1,INDIRECT("Table!A"&amp;$AK221):INDIRECT("Table!" &amp; $AN$275 &amp; $AK221),0)),"",INDIRECT(CONCATENATE("Table!",ADDRESS($T221,MATCH(M$1,INDIRECT("Table!A" &amp; $AK221):INDIRECT("Table!" &amp; $AN$275 &amp; $AK221),0)))))</f>
        <v/>
      </c>
      <c r="M221" s="24" t="str">
        <f ca="1">IF(ISERROR(MATCH(N$1,INDIRECT("Table!A"&amp;$AK221):INDIRECT("Table!" &amp; $AN$275 &amp; $AK221),0)),"",INDIRECT(CONCATENATE("Table!",ADDRESS($T221,MATCH(N$1,INDIRECT("Table!A" &amp; $AK221):INDIRECT("Table!" &amp; $AN$275 &amp; $AK221),0)))))</f>
        <v/>
      </c>
      <c r="N221" s="24" t="str">
        <f ca="1">IF(ISERROR(MATCH(O$1,INDIRECT("Table!A"&amp;$AK221):INDIRECT("Table!" &amp; $AN$275 &amp; $AK221),0)),"",INDIRECT(CONCATENATE("Table!",ADDRESS($T221,MATCH(O$1,INDIRECT("Table!A" &amp; $AK221):INDIRECT("Table!" &amp; $AN$275 &amp; $AK221),0)))))</f>
        <v/>
      </c>
      <c r="O221" s="24" t="str">
        <f ca="1">IF(ISERROR(MATCH(P$1,INDIRECT("Table!A"&amp;$AK221):INDIRECT("Table!" &amp; $AN$275 &amp; $AK221),0)),"",INDIRECT(CONCATENATE("Table!",ADDRESS($T221,MATCH(P$1,INDIRECT("Table!A" &amp; $AK221):INDIRECT("Table!" &amp; $AN$275 &amp; $AK221),0)))))</f>
        <v/>
      </c>
      <c r="P221" s="273" t="str">
        <f ca="1">IF(ISERROR(MATCH(Q$1,INDIRECT("Table!A"&amp;$AK221):INDIRECT("Table!" &amp; $AN$275 &amp; $AK221),0)),"",INDIRECT(CONCATENATE("Table!",ADDRESS($T221,MATCH(Q$1,INDIRECT("Table!A" &amp; $AK221):INDIRECT("Table!" &amp; $AN$275 &amp; $AK221),0)))))</f>
        <v/>
      </c>
      <c r="Q221" s="78"/>
      <c r="R221" s="78"/>
      <c r="S221" s="78"/>
      <c r="T221" s="22"/>
      <c r="AI221" s="78"/>
      <c r="AJ221" s="78"/>
      <c r="AK221" s="22"/>
      <c r="AL221" s="78"/>
      <c r="AM221" s="78"/>
      <c r="AN221" s="78"/>
    </row>
    <row r="222" spans="2:40" ht="18" customHeight="1" x14ac:dyDescent="0.25">
      <c r="B222" s="24"/>
      <c r="C222" s="24" t="str">
        <f ca="1">IF(ISERROR(MATCH(C$1,INDIRECT("Table!A"&amp;$AK222):INDIRECT("Table!" &amp; $AN$275 &amp; $AK222),0)),"",INDIRECT(CONCATENATE("Table!",ADDRESS($T222,MATCH(C$1,INDIRECT("Table!A" &amp; $AK222):INDIRECT("Table!" &amp; $AN$275 &amp; $AK222),0)))))</f>
        <v/>
      </c>
      <c r="D222" s="24" t="str">
        <f ca="1">IF(ISERROR(MATCH(D$1,INDIRECT("Table!A"&amp;$AK222):INDIRECT("Table!" &amp; $AN$275 &amp; $AK222),0)),"",INDIRECT(CONCATENATE("Table!",ADDRESS($T222,MATCH(D$1,INDIRECT("Table!A" &amp; $AK222):INDIRECT("Table!" &amp; $AN$275 &amp; $AK222),0)))))</f>
        <v/>
      </c>
      <c r="E222" s="24" t="str">
        <f ca="1">IF(ISERROR(MATCH(E$1,INDIRECT("Table!A"&amp;$AK222):INDIRECT("Table!" &amp; $AN$275 &amp; $AK222),0)),"",INDIRECT(CONCATENATE("Table!",ADDRESS($T222,MATCH(E$1,INDIRECT("Table!A" &amp; $AK222):INDIRECT("Table!" &amp; $AN$275 &amp; $AK222),0)))))</f>
        <v/>
      </c>
      <c r="F222" s="24" t="str">
        <f ca="1">IF(ISERROR(MATCH(F$1,INDIRECT("Table!A"&amp;$AK222):INDIRECT("Table!" &amp; $AN$275 &amp; $AK222),0)),"",INDIRECT(CONCATENATE("Table!",ADDRESS($T222,MATCH(F$1,INDIRECT("Table!A" &amp; $AK222):INDIRECT("Table!" &amp; $AN$275 &amp; $AK222),0)))))</f>
        <v/>
      </c>
      <c r="G222" s="24" t="str">
        <f ca="1">IF(ISERROR(MATCH(G$1,INDIRECT("Table!A"&amp;$AK222):INDIRECT("Table!" &amp; $AN$275 &amp; $AK222),0)),"",INDIRECT(CONCATENATE("Table!",ADDRESS($T222,MATCH(G$1,INDIRECT("Table!A" &amp; $AK222):INDIRECT("Table!" &amp; $AN$275 &amp; $AK222),0)))))</f>
        <v/>
      </c>
      <c r="H222" s="24" t="str">
        <f ca="1">IF(ISERROR(MATCH(H$1,INDIRECT("Table!A"&amp;$AK222):INDIRECT("Table!" &amp; $AN$275 &amp; $AK222),0)),"",INDIRECT(CONCATENATE("Table!",ADDRESS($T222,MATCH(H$1,INDIRECT("Table!A" &amp; $AK222):INDIRECT("Table!" &amp; $AN$275 &amp; $AK222),0)))))</f>
        <v/>
      </c>
      <c r="I222" s="273"/>
      <c r="J222" s="273"/>
      <c r="K222" s="24" t="str">
        <f ca="1">IF(ISERROR(MATCH(L$1,INDIRECT("Table!A"&amp;$AK222):INDIRECT("Table!" &amp; $AN$275 &amp; $AK222),0)),"",INDIRECT(CONCATENATE("Table!",ADDRESS($T222,MATCH(L$1,INDIRECT("Table!A" &amp; $AK222):INDIRECT("Table!" &amp; $AN$275 &amp; $AK222),0)))))</f>
        <v/>
      </c>
      <c r="L222" s="24" t="str">
        <f ca="1">IF(ISERROR(MATCH(M$1,INDIRECT("Table!A"&amp;$AK222):INDIRECT("Table!" &amp; $AN$275 &amp; $AK222),0)),"",INDIRECT(CONCATENATE("Table!",ADDRESS($T222,MATCH(M$1,INDIRECT("Table!A" &amp; $AK222):INDIRECT("Table!" &amp; $AN$275 &amp; $AK222),0)))))</f>
        <v/>
      </c>
      <c r="M222" s="24" t="str">
        <f ca="1">IF(ISERROR(MATCH(N$1,INDIRECT("Table!A"&amp;$AK222):INDIRECT("Table!" &amp; $AN$275 &amp; $AK222),0)),"",INDIRECT(CONCATENATE("Table!",ADDRESS($T222,MATCH(N$1,INDIRECT("Table!A" &amp; $AK222):INDIRECT("Table!" &amp; $AN$275 &amp; $AK222),0)))))</f>
        <v/>
      </c>
      <c r="N222" s="24" t="str">
        <f ca="1">IF(ISERROR(MATCH(O$1,INDIRECT("Table!A"&amp;$AK222):INDIRECT("Table!" &amp; $AN$275 &amp; $AK222),0)),"",INDIRECT(CONCATENATE("Table!",ADDRESS($T222,MATCH(O$1,INDIRECT("Table!A" &amp; $AK222):INDIRECT("Table!" &amp; $AN$275 &amp; $AK222),0)))))</f>
        <v/>
      </c>
      <c r="O222" s="24" t="str">
        <f ca="1">IF(ISERROR(MATCH(P$1,INDIRECT("Table!A"&amp;$AK222):INDIRECT("Table!" &amp; $AN$275 &amp; $AK222),0)),"",INDIRECT(CONCATENATE("Table!",ADDRESS($T222,MATCH(P$1,INDIRECT("Table!A" &amp; $AK222):INDIRECT("Table!" &amp; $AN$275 &amp; $AK222),0)))))</f>
        <v/>
      </c>
      <c r="P222" s="273" t="str">
        <f ca="1">IF(ISERROR(MATCH(Q$1,INDIRECT("Table!A"&amp;$AK222):INDIRECT("Table!" &amp; $AN$275 &amp; $AK222),0)),"",INDIRECT(CONCATENATE("Table!",ADDRESS($T222,MATCH(Q$1,INDIRECT("Table!A" &amp; $AK222):INDIRECT("Table!" &amp; $AN$275 &amp; $AK222),0)))))</f>
        <v/>
      </c>
      <c r="Q222" s="123"/>
      <c r="R222" s="123"/>
      <c r="S222" s="123"/>
      <c r="T222" s="22"/>
      <c r="AI222" s="123"/>
      <c r="AJ222" s="123"/>
      <c r="AK222" s="22"/>
      <c r="AL222" s="123"/>
      <c r="AM222" s="123"/>
      <c r="AN222" s="123"/>
    </row>
    <row r="223" spans="2:40" ht="18" customHeight="1" x14ac:dyDescent="0.25">
      <c r="B223" s="24"/>
      <c r="C223" s="24" t="str">
        <f ca="1">IF(ISERROR(MATCH(C$1,INDIRECT("Table!A"&amp;$AK223):INDIRECT("Table!" &amp; $AN$275 &amp; $AK223),0)),"",INDIRECT(CONCATENATE("Table!",ADDRESS($T223,MATCH(C$1,INDIRECT("Table!A" &amp; $AK223):INDIRECT("Table!" &amp; $AN$275 &amp; $AK223),0)))))</f>
        <v/>
      </c>
      <c r="D223" s="24" t="str">
        <f ca="1">IF(ISERROR(MATCH(D$1,INDIRECT("Table!A"&amp;$AK223):INDIRECT("Table!" &amp; $AN$275 &amp; $AK223),0)),"",INDIRECT(CONCATENATE("Table!",ADDRESS($T223,MATCH(D$1,INDIRECT("Table!A" &amp; $AK223):INDIRECT("Table!" &amp; $AN$275 &amp; $AK223),0)))))</f>
        <v/>
      </c>
      <c r="E223" s="24" t="str">
        <f ca="1">IF(ISERROR(MATCH(E$1,INDIRECT("Table!A"&amp;$AK223):INDIRECT("Table!" &amp; $AN$275 &amp; $AK223),0)),"",INDIRECT(CONCATENATE("Table!",ADDRESS($T223,MATCH(E$1,INDIRECT("Table!A" &amp; $AK223):INDIRECT("Table!" &amp; $AN$275 &amp; $AK223),0)))))</f>
        <v/>
      </c>
      <c r="F223" s="24" t="str">
        <f ca="1">IF(ISERROR(MATCH(F$1,INDIRECT("Table!A"&amp;$AK223):INDIRECT("Table!" &amp; $AN$275 &amp; $AK223),0)),"",INDIRECT(CONCATENATE("Table!",ADDRESS($T223,MATCH(F$1,INDIRECT("Table!A" &amp; $AK223):INDIRECT("Table!" &amp; $AN$275 &amp; $AK223),0)))))</f>
        <v/>
      </c>
      <c r="G223" s="24" t="str">
        <f ca="1">IF(ISERROR(MATCH(G$1,INDIRECT("Table!A"&amp;$AK223):INDIRECT("Table!" &amp; $AN$275 &amp; $AK223),0)),"",INDIRECT(CONCATENATE("Table!",ADDRESS($T223,MATCH(G$1,INDIRECT("Table!A" &amp; $AK223):INDIRECT("Table!" &amp; $AN$275 &amp; $AK223),0)))))</f>
        <v/>
      </c>
      <c r="H223" s="24" t="str">
        <f ca="1">IF(ISERROR(MATCH(H$1,INDIRECT("Table!A"&amp;$AK223):INDIRECT("Table!" &amp; $AN$275 &amp; $AK223),0)),"",INDIRECT(CONCATENATE("Table!",ADDRESS($T223,MATCH(H$1,INDIRECT("Table!A" &amp; $AK223):INDIRECT("Table!" &amp; $AN$275 &amp; $AK223),0)))))</f>
        <v/>
      </c>
      <c r="I223" s="273"/>
      <c r="J223" s="273"/>
      <c r="K223" s="24" t="str">
        <f ca="1">IF(ISERROR(MATCH(L$1,INDIRECT("Table!A"&amp;$AK223):INDIRECT("Table!" &amp; $AN$275 &amp; $AK223),0)),"",INDIRECT(CONCATENATE("Table!",ADDRESS($T223,MATCH(L$1,INDIRECT("Table!A" &amp; $AK223):INDIRECT("Table!" &amp; $AN$275 &amp; $AK223),0)))))</f>
        <v/>
      </c>
      <c r="L223" s="24" t="str">
        <f ca="1">IF(ISERROR(MATCH(M$1,INDIRECT("Table!A"&amp;$AK223):INDIRECT("Table!" &amp; $AN$275 &amp; $AK223),0)),"",INDIRECT(CONCATENATE("Table!",ADDRESS($T223,MATCH(M$1,INDIRECT("Table!A" &amp; $AK223):INDIRECT("Table!" &amp; $AN$275 &amp; $AK223),0)))))</f>
        <v/>
      </c>
      <c r="M223" s="24" t="str">
        <f ca="1">IF(ISERROR(MATCH(N$1,INDIRECT("Table!A"&amp;$AK223):INDIRECT("Table!" &amp; $AN$275 &amp; $AK223),0)),"",INDIRECT(CONCATENATE("Table!",ADDRESS($T223,MATCH(N$1,INDIRECT("Table!A" &amp; $AK223):INDIRECT("Table!" &amp; $AN$275 &amp; $AK223),0)))))</f>
        <v/>
      </c>
      <c r="N223" s="24" t="str">
        <f ca="1">IF(ISERROR(MATCH(O$1,INDIRECT("Table!A"&amp;$AK223):INDIRECT("Table!" &amp; $AN$275 &amp; $AK223),0)),"",INDIRECT(CONCATENATE("Table!",ADDRESS($T223,MATCH(O$1,INDIRECT("Table!A" &amp; $AK223):INDIRECT("Table!" &amp; $AN$275 &amp; $AK223),0)))))</f>
        <v/>
      </c>
      <c r="O223" s="24" t="str">
        <f ca="1">IF(ISERROR(MATCH(P$1,INDIRECT("Table!A"&amp;$AK223):INDIRECT("Table!" &amp; $AN$275 &amp; $AK223),0)),"",INDIRECT(CONCATENATE("Table!",ADDRESS($T223,MATCH(P$1,INDIRECT("Table!A" &amp; $AK223):INDIRECT("Table!" &amp; $AN$275 &amp; $AK223),0)))))</f>
        <v/>
      </c>
      <c r="P223" s="273" t="str">
        <f ca="1">IF(ISERROR(MATCH(Q$1,INDIRECT("Table!A"&amp;$AK223):INDIRECT("Table!" &amp; $AN$275 &amp; $AK223),0)),"",INDIRECT(CONCATENATE("Table!",ADDRESS($T223,MATCH(Q$1,INDIRECT("Table!A" &amp; $AK223):INDIRECT("Table!" &amp; $AN$275 &amp; $AK223),0)))))</f>
        <v/>
      </c>
      <c r="Q223" s="122"/>
      <c r="R223" s="122"/>
      <c r="S223" s="122"/>
      <c r="T223" s="22"/>
      <c r="AI223" s="122"/>
      <c r="AJ223" s="122"/>
      <c r="AK223" s="22"/>
      <c r="AL223" s="122"/>
      <c r="AM223" s="122"/>
      <c r="AN223" s="122"/>
    </row>
    <row r="224" spans="2:40" ht="18" customHeight="1" x14ac:dyDescent="0.25">
      <c r="B224" s="24"/>
      <c r="C224" s="24" t="str">
        <f ca="1">IF(ISERROR(MATCH(C$1,INDIRECT("Table!A"&amp;$AK224):INDIRECT("Table!" &amp; $AN$275 &amp; $AK224),0)),"",INDIRECT(CONCATENATE("Table!",ADDRESS($T224,MATCH(C$1,INDIRECT("Table!A" &amp; $AK224):INDIRECT("Table!" &amp; $AN$275 &amp; $AK224),0)))))</f>
        <v/>
      </c>
      <c r="D224" s="24" t="str">
        <f ca="1">IF(ISERROR(MATCH(D$1,INDIRECT("Table!A"&amp;$AK224):INDIRECT("Table!" &amp; $AN$275 &amp; $AK224),0)),"",INDIRECT(CONCATENATE("Table!",ADDRESS($T224,MATCH(D$1,INDIRECT("Table!A" &amp; $AK224):INDIRECT("Table!" &amp; $AN$275 &amp; $AK224),0)))))</f>
        <v/>
      </c>
      <c r="E224" s="24" t="str">
        <f ca="1">IF(ISERROR(MATCH(E$1,INDIRECT("Table!A"&amp;$AK224):INDIRECT("Table!" &amp; $AN$275 &amp; $AK224),0)),"",INDIRECT(CONCATENATE("Table!",ADDRESS($T224,MATCH(E$1,INDIRECT("Table!A" &amp; $AK224):INDIRECT("Table!" &amp; $AN$275 &amp; $AK224),0)))))</f>
        <v/>
      </c>
      <c r="F224" s="24" t="str">
        <f ca="1">IF(ISERROR(MATCH(F$1,INDIRECT("Table!A"&amp;$AK224):INDIRECT("Table!" &amp; $AN$275 &amp; $AK224),0)),"",INDIRECT(CONCATENATE("Table!",ADDRESS($T224,MATCH(F$1,INDIRECT("Table!A" &amp; $AK224):INDIRECT("Table!" &amp; $AN$275 &amp; $AK224),0)))))</f>
        <v/>
      </c>
      <c r="G224" s="24" t="str">
        <f ca="1">IF(ISERROR(MATCH(G$1,INDIRECT("Table!A"&amp;$AK224):INDIRECT("Table!" &amp; $AN$275 &amp; $AK224),0)),"",INDIRECT(CONCATENATE("Table!",ADDRESS($T224,MATCH(G$1,INDIRECT("Table!A" &amp; $AK224):INDIRECT("Table!" &amp; $AN$275 &amp; $AK224),0)))))</f>
        <v/>
      </c>
      <c r="H224" s="24" t="str">
        <f ca="1">IF(ISERROR(MATCH(H$1,INDIRECT("Table!A"&amp;$AK224):INDIRECT("Table!" &amp; $AN$275 &amp; $AK224),0)),"",INDIRECT(CONCATENATE("Table!",ADDRESS($T224,MATCH(H$1,INDIRECT("Table!A" &amp; $AK224):INDIRECT("Table!" &amp; $AN$275 &amp; $AK224),0)))))</f>
        <v/>
      </c>
      <c r="I224" s="273"/>
      <c r="J224" s="273"/>
      <c r="K224" s="24" t="str">
        <f ca="1">IF(ISERROR(MATCH(L$1,INDIRECT("Table!A"&amp;$AK224):INDIRECT("Table!" &amp; $AN$275 &amp; $AK224),0)),"",INDIRECT(CONCATENATE("Table!",ADDRESS($T224,MATCH(L$1,INDIRECT("Table!A" &amp; $AK224):INDIRECT("Table!" &amp; $AN$275 &amp; $AK224),0)))))</f>
        <v/>
      </c>
      <c r="L224" s="24" t="str">
        <f ca="1">IF(ISERROR(MATCH(M$1,INDIRECT("Table!A"&amp;$AK224):INDIRECT("Table!" &amp; $AN$275 &amp; $AK224),0)),"",INDIRECT(CONCATENATE("Table!",ADDRESS($T224,MATCH(M$1,INDIRECT("Table!A" &amp; $AK224):INDIRECT("Table!" &amp; $AN$275 &amp; $AK224),0)))))</f>
        <v/>
      </c>
      <c r="M224" s="24" t="str">
        <f ca="1">IF(ISERROR(MATCH(N$1,INDIRECT("Table!A"&amp;$AK224):INDIRECT("Table!" &amp; $AN$275 &amp; $AK224),0)),"",INDIRECT(CONCATENATE("Table!",ADDRESS($T224,MATCH(N$1,INDIRECT("Table!A" &amp; $AK224):INDIRECT("Table!" &amp; $AN$275 &amp; $AK224),0)))))</f>
        <v/>
      </c>
      <c r="N224" s="24" t="str">
        <f ca="1">IF(ISERROR(MATCH(O$1,INDIRECT("Table!A"&amp;$AK224):INDIRECT("Table!" &amp; $AN$275 &amp; $AK224),0)),"",INDIRECT(CONCATENATE("Table!",ADDRESS($T224,MATCH(O$1,INDIRECT("Table!A" &amp; $AK224):INDIRECT("Table!" &amp; $AN$275 &amp; $AK224),0)))))</f>
        <v/>
      </c>
      <c r="O224" s="24" t="str">
        <f ca="1">IF(ISERROR(MATCH(P$1,INDIRECT("Table!A"&amp;$AK224):INDIRECT("Table!" &amp; $AN$275 &amp; $AK224),0)),"",INDIRECT(CONCATENATE("Table!",ADDRESS($T224,MATCH(P$1,INDIRECT("Table!A" &amp; $AK224):INDIRECT("Table!" &amp; $AN$275 &amp; $AK224),0)))))</f>
        <v/>
      </c>
      <c r="P224" s="273" t="str">
        <f ca="1">IF(ISERROR(MATCH(Q$1,INDIRECT("Table!A"&amp;$AK224):INDIRECT("Table!" &amp; $AN$275 &amp; $AK224),0)),"",INDIRECT(CONCATENATE("Table!",ADDRESS($T224,MATCH(Q$1,INDIRECT("Table!A" &amp; $AK224):INDIRECT("Table!" &amp; $AN$275 &amp; $AK224),0)))))</f>
        <v/>
      </c>
      <c r="Q224" s="121"/>
      <c r="R224" s="121"/>
      <c r="S224" s="121"/>
      <c r="T224" s="22"/>
      <c r="AI224" s="121"/>
      <c r="AJ224" s="121"/>
      <c r="AK224" s="22"/>
      <c r="AL224" s="121"/>
      <c r="AM224" s="121"/>
      <c r="AN224" s="121"/>
    </row>
    <row r="225" spans="2:40" ht="18" customHeight="1" x14ac:dyDescent="0.25">
      <c r="B225" s="24"/>
      <c r="C225" s="24" t="str">
        <f ca="1">IF(ISERROR(MATCH(C$1,INDIRECT("Table!A"&amp;$AK225):INDIRECT("Table!" &amp; $AN$275 &amp; $AK225),0)),"",INDIRECT(CONCATENATE("Table!",ADDRESS($T225,MATCH(C$1,INDIRECT("Table!A" &amp; $AK225):INDIRECT("Table!" &amp; $AN$275 &amp; $AK225),0)))))</f>
        <v/>
      </c>
      <c r="D225" s="24" t="str">
        <f ca="1">IF(ISERROR(MATCH(D$1,INDIRECT("Table!A"&amp;$AK225):INDIRECT("Table!" &amp; $AN$275 &amp; $AK225),0)),"",INDIRECT(CONCATENATE("Table!",ADDRESS($T225,MATCH(D$1,INDIRECT("Table!A" &amp; $AK225):INDIRECT("Table!" &amp; $AN$275 &amp; $AK225),0)))))</f>
        <v/>
      </c>
      <c r="E225" s="24" t="str">
        <f ca="1">IF(ISERROR(MATCH(E$1,INDIRECT("Table!A"&amp;$AK225):INDIRECT("Table!" &amp; $AN$275 &amp; $AK225),0)),"",INDIRECT(CONCATENATE("Table!",ADDRESS($T225,MATCH(E$1,INDIRECT("Table!A" &amp; $AK225):INDIRECT("Table!" &amp; $AN$275 &amp; $AK225),0)))))</f>
        <v/>
      </c>
      <c r="F225" s="24" t="str">
        <f ca="1">IF(ISERROR(MATCH(F$1,INDIRECT("Table!A"&amp;$AK225):INDIRECT("Table!" &amp; $AN$275 &amp; $AK225),0)),"",INDIRECT(CONCATENATE("Table!",ADDRESS($T225,MATCH(F$1,INDIRECT("Table!A" &amp; $AK225):INDIRECT("Table!" &amp; $AN$275 &amp; $AK225),0)))))</f>
        <v/>
      </c>
      <c r="G225" s="24" t="str">
        <f ca="1">IF(ISERROR(MATCH(G$1,INDIRECT("Table!A"&amp;$AK225):INDIRECT("Table!" &amp; $AN$275 &amp; $AK225),0)),"",INDIRECT(CONCATENATE("Table!",ADDRESS($T225,MATCH(G$1,INDIRECT("Table!A" &amp; $AK225):INDIRECT("Table!" &amp; $AN$275 &amp; $AK225),0)))))</f>
        <v/>
      </c>
      <c r="H225" s="24" t="str">
        <f ca="1">IF(ISERROR(MATCH(H$1,INDIRECT("Table!A"&amp;$AK225):INDIRECT("Table!" &amp; $AN$275 &amp; $AK225),0)),"",INDIRECT(CONCATENATE("Table!",ADDRESS($T225,MATCH(H$1,INDIRECT("Table!A" &amp; $AK225):INDIRECT("Table!" &amp; $AN$275 &amp; $AK225),0)))))</f>
        <v/>
      </c>
      <c r="I225" s="273"/>
      <c r="J225" s="273"/>
      <c r="K225" s="24" t="str">
        <f ca="1">IF(ISERROR(MATCH(L$1,INDIRECT("Table!A"&amp;$AK225):INDIRECT("Table!" &amp; $AN$275 &amp; $AK225),0)),"",INDIRECT(CONCATENATE("Table!",ADDRESS($T225,MATCH(L$1,INDIRECT("Table!A" &amp; $AK225):INDIRECT("Table!" &amp; $AN$275 &amp; $AK225),0)))))</f>
        <v/>
      </c>
      <c r="L225" s="24" t="str">
        <f ca="1">IF(ISERROR(MATCH(M$1,INDIRECT("Table!A"&amp;$AK225):INDIRECT("Table!" &amp; $AN$275 &amp; $AK225),0)),"",INDIRECT(CONCATENATE("Table!",ADDRESS($T225,MATCH(M$1,INDIRECT("Table!A" &amp; $AK225):INDIRECT("Table!" &amp; $AN$275 &amp; $AK225),0)))))</f>
        <v/>
      </c>
      <c r="M225" s="24" t="str">
        <f ca="1">IF(ISERROR(MATCH(N$1,INDIRECT("Table!A"&amp;$AK225):INDIRECT("Table!" &amp; $AN$275 &amp; $AK225),0)),"",INDIRECT(CONCATENATE("Table!",ADDRESS($T225,MATCH(N$1,INDIRECT("Table!A" &amp; $AK225):INDIRECT("Table!" &amp; $AN$275 &amp; $AK225),0)))))</f>
        <v/>
      </c>
      <c r="N225" s="24" t="str">
        <f ca="1">IF(ISERROR(MATCH(O$1,INDIRECT("Table!A"&amp;$AK225):INDIRECT("Table!" &amp; $AN$275 &amp; $AK225),0)),"",INDIRECT(CONCATENATE("Table!",ADDRESS($T225,MATCH(O$1,INDIRECT("Table!A" &amp; $AK225):INDIRECT("Table!" &amp; $AN$275 &amp; $AK225),0)))))</f>
        <v/>
      </c>
      <c r="O225" s="24" t="str">
        <f ca="1">IF(ISERROR(MATCH(P$1,INDIRECT("Table!A"&amp;$AK225):INDIRECT("Table!" &amp; $AN$275 &amp; $AK225),0)),"",INDIRECT(CONCATENATE("Table!",ADDRESS($T225,MATCH(P$1,INDIRECT("Table!A" &amp; $AK225):INDIRECT("Table!" &amp; $AN$275 &amp; $AK225),0)))))</f>
        <v/>
      </c>
      <c r="P225" s="273" t="str">
        <f ca="1">IF(ISERROR(MATCH(Q$1,INDIRECT("Table!A"&amp;$AK225):INDIRECT("Table!" &amp; $AN$275 &amp; $AK225),0)),"",INDIRECT(CONCATENATE("Table!",ADDRESS($T225,MATCH(Q$1,INDIRECT("Table!A" &amp; $AK225):INDIRECT("Table!" &amp; $AN$275 &amp; $AK225),0)))))</f>
        <v/>
      </c>
      <c r="Q225" s="120"/>
      <c r="R225" s="120"/>
      <c r="S225" s="120"/>
      <c r="T225" s="22"/>
      <c r="AI225" s="120"/>
      <c r="AJ225" s="120"/>
      <c r="AK225" s="22"/>
      <c r="AL225" s="120"/>
      <c r="AM225" s="120"/>
      <c r="AN225" s="120"/>
    </row>
    <row r="226" spans="2:40" ht="18" customHeight="1" x14ac:dyDescent="0.25">
      <c r="B226" s="24"/>
      <c r="C226" s="24" t="str">
        <f ca="1">IF(ISERROR(MATCH(C$1,INDIRECT("Table!A"&amp;$AK226):INDIRECT("Table!" &amp; $AN$275 &amp; $AK226),0)),"",INDIRECT(CONCATENATE("Table!",ADDRESS($T226,MATCH(C$1,INDIRECT("Table!A" &amp; $AK226):INDIRECT("Table!" &amp; $AN$275 &amp; $AK226),0)))))</f>
        <v/>
      </c>
      <c r="D226" s="24" t="str">
        <f ca="1">IF(ISERROR(MATCH(D$1,INDIRECT("Table!A"&amp;$AK226):INDIRECT("Table!" &amp; $AN$275 &amp; $AK226),0)),"",INDIRECT(CONCATENATE("Table!",ADDRESS($T226,MATCH(D$1,INDIRECT("Table!A" &amp; $AK226):INDIRECT("Table!" &amp; $AN$275 &amp; $AK226),0)))))</f>
        <v/>
      </c>
      <c r="E226" s="24" t="str">
        <f ca="1">IF(ISERROR(MATCH(E$1,INDIRECT("Table!A"&amp;$AK226):INDIRECT("Table!" &amp; $AN$275 &amp; $AK226),0)),"",INDIRECT(CONCATENATE("Table!",ADDRESS($T226,MATCH(E$1,INDIRECT("Table!A" &amp; $AK226):INDIRECT("Table!" &amp; $AN$275 &amp; $AK226),0)))))</f>
        <v/>
      </c>
      <c r="F226" s="24" t="str">
        <f ca="1">IF(ISERROR(MATCH(F$1,INDIRECT("Table!A"&amp;$AK226):INDIRECT("Table!" &amp; $AN$275 &amp; $AK226),0)),"",INDIRECT(CONCATENATE("Table!",ADDRESS($T226,MATCH(F$1,INDIRECT("Table!A" &amp; $AK226):INDIRECT("Table!" &amp; $AN$275 &amp; $AK226),0)))))</f>
        <v/>
      </c>
      <c r="G226" s="24" t="str">
        <f ca="1">IF(ISERROR(MATCH(G$1,INDIRECT("Table!A"&amp;$AK226):INDIRECT("Table!" &amp; $AN$275 &amp; $AK226),0)),"",INDIRECT(CONCATENATE("Table!",ADDRESS($T226,MATCH(G$1,INDIRECT("Table!A" &amp; $AK226):INDIRECT("Table!" &amp; $AN$275 &amp; $AK226),0)))))</f>
        <v/>
      </c>
      <c r="H226" s="24" t="str">
        <f ca="1">IF(ISERROR(MATCH(H$1,INDIRECT("Table!A"&amp;$AK226):INDIRECT("Table!" &amp; $AN$275 &amp; $AK226),0)),"",INDIRECT(CONCATENATE("Table!",ADDRESS($T226,MATCH(H$1,INDIRECT("Table!A" &amp; $AK226):INDIRECT("Table!" &amp; $AN$275 &amp; $AK226),0)))))</f>
        <v/>
      </c>
      <c r="I226" s="273"/>
      <c r="J226" s="273"/>
      <c r="K226" s="24" t="str">
        <f ca="1">IF(ISERROR(MATCH(L$1,INDIRECT("Table!A"&amp;$AK226):INDIRECT("Table!" &amp; $AN$275 &amp; $AK226),0)),"",INDIRECT(CONCATENATE("Table!",ADDRESS($T226,MATCH(L$1,INDIRECT("Table!A" &amp; $AK226):INDIRECT("Table!" &amp; $AN$275 &amp; $AK226),0)))))</f>
        <v/>
      </c>
      <c r="L226" s="24" t="str">
        <f ca="1">IF(ISERROR(MATCH(M$1,INDIRECT("Table!A"&amp;$AK226):INDIRECT("Table!" &amp; $AN$275 &amp; $AK226),0)),"",INDIRECT(CONCATENATE("Table!",ADDRESS($T226,MATCH(M$1,INDIRECT("Table!A" &amp; $AK226):INDIRECT("Table!" &amp; $AN$275 &amp; $AK226),0)))))</f>
        <v/>
      </c>
      <c r="M226" s="24" t="str">
        <f ca="1">IF(ISERROR(MATCH(N$1,INDIRECT("Table!A"&amp;$AK226):INDIRECT("Table!" &amp; $AN$275 &amp; $AK226),0)),"",INDIRECT(CONCATENATE("Table!",ADDRESS($T226,MATCH(N$1,INDIRECT("Table!A" &amp; $AK226):INDIRECT("Table!" &amp; $AN$275 &amp; $AK226),0)))))</f>
        <v/>
      </c>
      <c r="N226" s="24" t="str">
        <f ca="1">IF(ISERROR(MATCH(O$1,INDIRECT("Table!A"&amp;$AK226):INDIRECT("Table!" &amp; $AN$275 &amp; $AK226),0)),"",INDIRECT(CONCATENATE("Table!",ADDRESS($T226,MATCH(O$1,INDIRECT("Table!A" &amp; $AK226):INDIRECT("Table!" &amp; $AN$275 &amp; $AK226),0)))))</f>
        <v/>
      </c>
      <c r="O226" s="24" t="str">
        <f ca="1">IF(ISERROR(MATCH(P$1,INDIRECT("Table!A"&amp;$AK226):INDIRECT("Table!" &amp; $AN$275 &amp; $AK226),0)),"",INDIRECT(CONCATENATE("Table!",ADDRESS($T226,MATCH(P$1,INDIRECT("Table!A" &amp; $AK226):INDIRECT("Table!" &amp; $AN$275 &amp; $AK226),0)))))</f>
        <v/>
      </c>
      <c r="P226" s="273" t="str">
        <f ca="1">IF(ISERROR(MATCH(Q$1,INDIRECT("Table!A"&amp;$AK226):INDIRECT("Table!" &amp; $AN$275 &amp; $AK226),0)),"",INDIRECT(CONCATENATE("Table!",ADDRESS($T226,MATCH(Q$1,INDIRECT("Table!A" &amp; $AK226):INDIRECT("Table!" &amp; $AN$275 &amp; $AK226),0)))))</f>
        <v/>
      </c>
      <c r="Q226" s="119"/>
      <c r="R226" s="119"/>
      <c r="S226" s="119"/>
      <c r="T226" s="22"/>
      <c r="AI226" s="119"/>
      <c r="AJ226" s="119"/>
      <c r="AK226" s="22"/>
      <c r="AL226" s="119"/>
      <c r="AM226" s="119"/>
      <c r="AN226" s="119"/>
    </row>
    <row r="227" spans="2:40" ht="18" customHeight="1" x14ac:dyDescent="0.25">
      <c r="B227" s="24"/>
      <c r="C227" s="24" t="str">
        <f ca="1">IF(ISERROR(MATCH(C$1,INDIRECT("Table!A"&amp;$AK227):INDIRECT("Table!" &amp; $AN$275 &amp; $AK227),0)),"",INDIRECT(CONCATENATE("Table!",ADDRESS($T227,MATCH(C$1,INDIRECT("Table!A" &amp; $AK227):INDIRECT("Table!" &amp; $AN$275 &amp; $AK227),0)))))</f>
        <v/>
      </c>
      <c r="D227" s="24" t="str">
        <f ca="1">IF(ISERROR(MATCH(D$1,INDIRECT("Table!A"&amp;$AK227):INDIRECT("Table!" &amp; $AN$275 &amp; $AK227),0)),"",INDIRECT(CONCATENATE("Table!",ADDRESS($T227,MATCH(D$1,INDIRECT("Table!A" &amp; $AK227):INDIRECT("Table!" &amp; $AN$275 &amp; $AK227),0)))))</f>
        <v/>
      </c>
      <c r="E227" s="24" t="str">
        <f ca="1">IF(ISERROR(MATCH(E$1,INDIRECT("Table!A"&amp;$AK227):INDIRECT("Table!" &amp; $AN$275 &amp; $AK227),0)),"",INDIRECT(CONCATENATE("Table!",ADDRESS($T227,MATCH(E$1,INDIRECT("Table!A" &amp; $AK227):INDIRECT("Table!" &amp; $AN$275 &amp; $AK227),0)))))</f>
        <v/>
      </c>
      <c r="F227" s="24" t="str">
        <f ca="1">IF(ISERROR(MATCH(F$1,INDIRECT("Table!A"&amp;$AK227):INDIRECT("Table!" &amp; $AN$275 &amp; $AK227),0)),"",INDIRECT(CONCATENATE("Table!",ADDRESS($T227,MATCH(F$1,INDIRECT("Table!A" &amp; $AK227):INDIRECT("Table!" &amp; $AN$275 &amp; $AK227),0)))))</f>
        <v/>
      </c>
      <c r="G227" s="24" t="str">
        <f ca="1">IF(ISERROR(MATCH(G$1,INDIRECT("Table!A"&amp;$AK227):INDIRECT("Table!" &amp; $AN$275 &amp; $AK227),0)),"",INDIRECT(CONCATENATE("Table!",ADDRESS($T227,MATCH(G$1,INDIRECT("Table!A" &amp; $AK227):INDIRECT("Table!" &amp; $AN$275 &amp; $AK227),0)))))</f>
        <v/>
      </c>
      <c r="H227" s="24" t="str">
        <f ca="1">IF(ISERROR(MATCH(H$1,INDIRECT("Table!A"&amp;$AK227):INDIRECT("Table!" &amp; $AN$275 &amp; $AK227),0)),"",INDIRECT(CONCATENATE("Table!",ADDRESS($T227,MATCH(H$1,INDIRECT("Table!A" &amp; $AK227):INDIRECT("Table!" &amp; $AN$275 &amp; $AK227),0)))))</f>
        <v/>
      </c>
      <c r="I227" s="273"/>
      <c r="J227" s="273"/>
      <c r="K227" s="24" t="str">
        <f ca="1">IF(ISERROR(MATCH(L$1,INDIRECT("Table!A"&amp;$AK227):INDIRECT("Table!" &amp; $AN$275 &amp; $AK227),0)),"",INDIRECT(CONCATENATE("Table!",ADDRESS($T227,MATCH(L$1,INDIRECT("Table!A" &amp; $AK227):INDIRECT("Table!" &amp; $AN$275 &amp; $AK227),0)))))</f>
        <v/>
      </c>
      <c r="L227" s="24" t="str">
        <f ca="1">IF(ISERROR(MATCH(M$1,INDIRECT("Table!A"&amp;$AK227):INDIRECT("Table!" &amp; $AN$275 &amp; $AK227),0)),"",INDIRECT(CONCATENATE("Table!",ADDRESS($T227,MATCH(M$1,INDIRECT("Table!A" &amp; $AK227):INDIRECT("Table!" &amp; $AN$275 &amp; $AK227),0)))))</f>
        <v/>
      </c>
      <c r="M227" s="24" t="str">
        <f ca="1">IF(ISERROR(MATCH(N$1,INDIRECT("Table!A"&amp;$AK227):INDIRECT("Table!" &amp; $AN$275 &amp; $AK227),0)),"",INDIRECT(CONCATENATE("Table!",ADDRESS($T227,MATCH(N$1,INDIRECT("Table!A" &amp; $AK227):INDIRECT("Table!" &amp; $AN$275 &amp; $AK227),0)))))</f>
        <v/>
      </c>
      <c r="N227" s="24" t="str">
        <f ca="1">IF(ISERROR(MATCH(O$1,INDIRECT("Table!A"&amp;$AK227):INDIRECT("Table!" &amp; $AN$275 &amp; $AK227),0)),"",INDIRECT(CONCATENATE("Table!",ADDRESS($T227,MATCH(O$1,INDIRECT("Table!A" &amp; $AK227):INDIRECT("Table!" &amp; $AN$275 &amp; $AK227),0)))))</f>
        <v/>
      </c>
      <c r="O227" s="24" t="str">
        <f ca="1">IF(ISERROR(MATCH(P$1,INDIRECT("Table!A"&amp;$AK227):INDIRECT("Table!" &amp; $AN$275 &amp; $AK227),0)),"",INDIRECT(CONCATENATE("Table!",ADDRESS($T227,MATCH(P$1,INDIRECT("Table!A" &amp; $AK227):INDIRECT("Table!" &amp; $AN$275 &amp; $AK227),0)))))</f>
        <v/>
      </c>
      <c r="P227" s="273" t="str">
        <f ca="1">IF(ISERROR(MATCH(Q$1,INDIRECT("Table!A"&amp;$AK227):INDIRECT("Table!" &amp; $AN$275 &amp; $AK227),0)),"",INDIRECT(CONCATENATE("Table!",ADDRESS($T227,MATCH(Q$1,INDIRECT("Table!A" &amp; $AK227):INDIRECT("Table!" &amp; $AN$275 &amp; $AK227),0)))))</f>
        <v/>
      </c>
      <c r="Q227" s="118"/>
      <c r="R227" s="118"/>
      <c r="S227" s="118"/>
      <c r="T227" s="22"/>
      <c r="AI227" s="118"/>
      <c r="AJ227" s="118"/>
      <c r="AK227" s="22"/>
      <c r="AL227" s="118"/>
      <c r="AM227" s="118"/>
      <c r="AN227" s="118"/>
    </row>
    <row r="228" spans="2:40" ht="18" customHeight="1" x14ac:dyDescent="0.25">
      <c r="B228" s="24"/>
      <c r="C228" s="24" t="str">
        <f ca="1">IF(ISERROR(MATCH(C$1,INDIRECT("Table!A"&amp;$AK228):INDIRECT("Table!" &amp; $AN$275 &amp; $AK228),0)),"",INDIRECT(CONCATENATE("Table!",ADDRESS($T228,MATCH(C$1,INDIRECT("Table!A" &amp; $AK228):INDIRECT("Table!" &amp; $AN$275 &amp; $AK228),0)))))</f>
        <v/>
      </c>
      <c r="D228" s="24" t="str">
        <f ca="1">IF(ISERROR(MATCH(D$1,INDIRECT("Table!A"&amp;$AK228):INDIRECT("Table!" &amp; $AN$275 &amp; $AK228),0)),"",INDIRECT(CONCATENATE("Table!",ADDRESS($T228,MATCH(D$1,INDIRECT("Table!A" &amp; $AK228):INDIRECT("Table!" &amp; $AN$275 &amp; $AK228),0)))))</f>
        <v/>
      </c>
      <c r="E228" s="24" t="str">
        <f ca="1">IF(ISERROR(MATCH(E$1,INDIRECT("Table!A"&amp;$AK228):INDIRECT("Table!" &amp; $AN$275 &amp; $AK228),0)),"",INDIRECT(CONCATENATE("Table!",ADDRESS($T228,MATCH(E$1,INDIRECT("Table!A" &amp; $AK228):INDIRECT("Table!" &amp; $AN$275 &amp; $AK228),0)))))</f>
        <v/>
      </c>
      <c r="F228" s="24" t="str">
        <f ca="1">IF(ISERROR(MATCH(F$1,INDIRECT("Table!A"&amp;$AK228):INDIRECT("Table!" &amp; $AN$275 &amp; $AK228),0)),"",INDIRECT(CONCATENATE("Table!",ADDRESS($T228,MATCH(F$1,INDIRECT("Table!A" &amp; $AK228):INDIRECT("Table!" &amp; $AN$275 &amp; $AK228),0)))))</f>
        <v/>
      </c>
      <c r="G228" s="24" t="str">
        <f ca="1">IF(ISERROR(MATCH(G$1,INDIRECT("Table!A"&amp;$AK228):INDIRECT("Table!" &amp; $AN$275 &amp; $AK228),0)),"",INDIRECT(CONCATENATE("Table!",ADDRESS($T228,MATCH(G$1,INDIRECT("Table!A" &amp; $AK228):INDIRECT("Table!" &amp; $AN$275 &amp; $AK228),0)))))</f>
        <v/>
      </c>
      <c r="H228" s="24" t="str">
        <f ca="1">IF(ISERROR(MATCH(H$1,INDIRECT("Table!A"&amp;$AK228):INDIRECT("Table!" &amp; $AN$275 &amp; $AK228),0)),"",INDIRECT(CONCATENATE("Table!",ADDRESS($T228,MATCH(H$1,INDIRECT("Table!A" &amp; $AK228):INDIRECT("Table!" &amp; $AN$275 &amp; $AK228),0)))))</f>
        <v/>
      </c>
      <c r="I228" s="273"/>
      <c r="J228" s="273"/>
      <c r="K228" s="24" t="str">
        <f ca="1">IF(ISERROR(MATCH(L$1,INDIRECT("Table!A"&amp;$AK228):INDIRECT("Table!" &amp; $AN$275 &amp; $AK228),0)),"",INDIRECT(CONCATENATE("Table!",ADDRESS($T228,MATCH(L$1,INDIRECT("Table!A" &amp; $AK228):INDIRECT("Table!" &amp; $AN$275 &amp; $AK228),0)))))</f>
        <v/>
      </c>
      <c r="L228" s="24" t="str">
        <f ca="1">IF(ISERROR(MATCH(M$1,INDIRECT("Table!A"&amp;$AK228):INDIRECT("Table!" &amp; $AN$275 &amp; $AK228),0)),"",INDIRECT(CONCATENATE("Table!",ADDRESS($T228,MATCH(M$1,INDIRECT("Table!A" &amp; $AK228):INDIRECT("Table!" &amp; $AN$275 &amp; $AK228),0)))))</f>
        <v/>
      </c>
      <c r="M228" s="24" t="str">
        <f ca="1">IF(ISERROR(MATCH(N$1,INDIRECT("Table!A"&amp;$AK228):INDIRECT("Table!" &amp; $AN$275 &amp; $AK228),0)),"",INDIRECT(CONCATENATE("Table!",ADDRESS($T228,MATCH(N$1,INDIRECT("Table!A" &amp; $AK228):INDIRECT("Table!" &amp; $AN$275 &amp; $AK228),0)))))</f>
        <v/>
      </c>
      <c r="N228" s="24" t="str">
        <f ca="1">IF(ISERROR(MATCH(O$1,INDIRECT("Table!A"&amp;$AK228):INDIRECT("Table!" &amp; $AN$275 &amp; $AK228),0)),"",INDIRECT(CONCATENATE("Table!",ADDRESS($T228,MATCH(O$1,INDIRECT("Table!A" &amp; $AK228):INDIRECT("Table!" &amp; $AN$275 &amp; $AK228),0)))))</f>
        <v/>
      </c>
      <c r="O228" s="24" t="str">
        <f ca="1">IF(ISERROR(MATCH(P$1,INDIRECT("Table!A"&amp;$AK228):INDIRECT("Table!" &amp; $AN$275 &amp; $AK228),0)),"",INDIRECT(CONCATENATE("Table!",ADDRESS($T228,MATCH(P$1,INDIRECT("Table!A" &amp; $AK228):INDIRECT("Table!" &amp; $AN$275 &amp; $AK228),0)))))</f>
        <v/>
      </c>
      <c r="P228" s="273" t="str">
        <f ca="1">IF(ISERROR(MATCH(Q$1,INDIRECT("Table!A"&amp;$AK228):INDIRECT("Table!" &amp; $AN$275 &amp; $AK228),0)),"",INDIRECT(CONCATENATE("Table!",ADDRESS($T228,MATCH(Q$1,INDIRECT("Table!A" &amp; $AK228):INDIRECT("Table!" &amp; $AN$275 &amp; $AK228),0)))))</f>
        <v/>
      </c>
      <c r="Q228" s="117"/>
      <c r="R228" s="117"/>
      <c r="S228" s="117"/>
      <c r="T228" s="22"/>
      <c r="AI228" s="117"/>
      <c r="AJ228" s="117"/>
      <c r="AK228" s="22"/>
      <c r="AL228" s="117"/>
      <c r="AM228" s="117"/>
      <c r="AN228" s="117"/>
    </row>
    <row r="229" spans="2:40" ht="18" customHeight="1" x14ac:dyDescent="0.25">
      <c r="B229" s="24"/>
      <c r="C229" s="24" t="str">
        <f ca="1">IF(ISERROR(MATCH(C$1,INDIRECT("Table!A"&amp;$AK229):INDIRECT("Table!" &amp; $AN$275 &amp; $AK229),0)),"",INDIRECT(CONCATENATE("Table!",ADDRESS($T229,MATCH(C$1,INDIRECT("Table!A" &amp; $AK229):INDIRECT("Table!" &amp; $AN$275 &amp; $AK229),0)))))</f>
        <v/>
      </c>
      <c r="D229" s="24" t="str">
        <f ca="1">IF(ISERROR(MATCH(D$1,INDIRECT("Table!A"&amp;$AK229):INDIRECT("Table!" &amp; $AN$275 &amp; $AK229),0)),"",INDIRECT(CONCATENATE("Table!",ADDRESS($T229,MATCH(D$1,INDIRECT("Table!A" &amp; $AK229):INDIRECT("Table!" &amp; $AN$275 &amp; $AK229),0)))))</f>
        <v/>
      </c>
      <c r="E229" s="24" t="str">
        <f ca="1">IF(ISERROR(MATCH(E$1,INDIRECT("Table!A"&amp;$AK229):INDIRECT("Table!" &amp; $AN$275 &amp; $AK229),0)),"",INDIRECT(CONCATENATE("Table!",ADDRESS($T229,MATCH(E$1,INDIRECT("Table!A" &amp; $AK229):INDIRECT("Table!" &amp; $AN$275 &amp; $AK229),0)))))</f>
        <v/>
      </c>
      <c r="F229" s="24" t="str">
        <f ca="1">IF(ISERROR(MATCH(F$1,INDIRECT("Table!A"&amp;$AK229):INDIRECT("Table!" &amp; $AN$275 &amp; $AK229),0)),"",INDIRECT(CONCATENATE("Table!",ADDRESS($T229,MATCH(F$1,INDIRECT("Table!A" &amp; $AK229):INDIRECT("Table!" &amp; $AN$275 &amp; $AK229),0)))))</f>
        <v/>
      </c>
      <c r="G229" s="24" t="str">
        <f ca="1">IF(ISERROR(MATCH(G$1,INDIRECT("Table!A"&amp;$AK229):INDIRECT("Table!" &amp; $AN$275 &amp; $AK229),0)),"",INDIRECT(CONCATENATE("Table!",ADDRESS($T229,MATCH(G$1,INDIRECT("Table!A" &amp; $AK229):INDIRECT("Table!" &amp; $AN$275 &amp; $AK229),0)))))</f>
        <v/>
      </c>
      <c r="H229" s="24" t="str">
        <f ca="1">IF(ISERROR(MATCH(H$1,INDIRECT("Table!A"&amp;$AK229):INDIRECT("Table!" &amp; $AN$275 &amp; $AK229),0)),"",INDIRECT(CONCATENATE("Table!",ADDRESS($T229,MATCH(H$1,INDIRECT("Table!A" &amp; $AK229):INDIRECT("Table!" &amp; $AN$275 &amp; $AK229),0)))))</f>
        <v/>
      </c>
      <c r="I229" s="273"/>
      <c r="J229" s="273"/>
      <c r="K229" s="24" t="str">
        <f ca="1">IF(ISERROR(MATCH(L$1,INDIRECT("Table!A"&amp;$AK229):INDIRECT("Table!" &amp; $AN$275 &amp; $AK229),0)),"",INDIRECT(CONCATENATE("Table!",ADDRESS($T229,MATCH(L$1,INDIRECT("Table!A" &amp; $AK229):INDIRECT("Table!" &amp; $AN$275 &amp; $AK229),0)))))</f>
        <v/>
      </c>
      <c r="L229" s="24" t="str">
        <f ca="1">IF(ISERROR(MATCH(M$1,INDIRECT("Table!A"&amp;$AK229):INDIRECT("Table!" &amp; $AN$275 &amp; $AK229),0)),"",INDIRECT(CONCATENATE("Table!",ADDRESS($T229,MATCH(M$1,INDIRECT("Table!A" &amp; $AK229):INDIRECT("Table!" &amp; $AN$275 &amp; $AK229),0)))))</f>
        <v/>
      </c>
      <c r="M229" s="24" t="str">
        <f ca="1">IF(ISERROR(MATCH(N$1,INDIRECT("Table!A"&amp;$AK229):INDIRECT("Table!" &amp; $AN$275 &amp; $AK229),0)),"",INDIRECT(CONCATENATE("Table!",ADDRESS($T229,MATCH(N$1,INDIRECT("Table!A" &amp; $AK229):INDIRECT("Table!" &amp; $AN$275 &amp; $AK229),0)))))</f>
        <v/>
      </c>
      <c r="N229" s="24" t="str">
        <f ca="1">IF(ISERROR(MATCH(O$1,INDIRECT("Table!A"&amp;$AK229):INDIRECT("Table!" &amp; $AN$275 &amp; $AK229),0)),"",INDIRECT(CONCATENATE("Table!",ADDRESS($T229,MATCH(O$1,INDIRECT("Table!A" &amp; $AK229):INDIRECT("Table!" &amp; $AN$275 &amp; $AK229),0)))))</f>
        <v/>
      </c>
      <c r="O229" s="24" t="str">
        <f ca="1">IF(ISERROR(MATCH(P$1,INDIRECT("Table!A"&amp;$AK229):INDIRECT("Table!" &amp; $AN$275 &amp; $AK229),0)),"",INDIRECT(CONCATENATE("Table!",ADDRESS($T229,MATCH(P$1,INDIRECT("Table!A" &amp; $AK229):INDIRECT("Table!" &amp; $AN$275 &amp; $AK229),0)))))</f>
        <v/>
      </c>
      <c r="P229" s="273" t="str">
        <f ca="1">IF(ISERROR(MATCH(Q$1,INDIRECT("Table!A"&amp;$AK229):INDIRECT("Table!" &amp; $AN$275 &amp; $AK229),0)),"",INDIRECT(CONCATENATE("Table!",ADDRESS($T229,MATCH(Q$1,INDIRECT("Table!A" &amp; $AK229):INDIRECT("Table!" &amp; $AN$275 &amp; $AK229),0)))))</f>
        <v/>
      </c>
      <c r="Q229" s="116"/>
      <c r="R229" s="116"/>
      <c r="S229" s="116"/>
      <c r="T229" s="22"/>
      <c r="AI229" s="116"/>
      <c r="AJ229" s="116"/>
      <c r="AK229" s="22"/>
      <c r="AL229" s="116"/>
      <c r="AM229" s="116"/>
      <c r="AN229" s="116"/>
    </row>
    <row r="230" spans="2:40" ht="18" customHeight="1" x14ac:dyDescent="0.25">
      <c r="B230" s="24"/>
      <c r="C230" s="24" t="str">
        <f ca="1">IF(ISERROR(MATCH(C$1,INDIRECT("Table!A"&amp;$AK230):INDIRECT("Table!" &amp; $AN$275 &amp; $AK230),0)),"",INDIRECT(CONCATENATE("Table!",ADDRESS($T230,MATCH(C$1,INDIRECT("Table!A" &amp; $AK230):INDIRECT("Table!" &amp; $AN$275 &amp; $AK230),0)))))</f>
        <v/>
      </c>
      <c r="D230" s="24" t="str">
        <f ca="1">IF(ISERROR(MATCH(D$1,INDIRECT("Table!A"&amp;$AK230):INDIRECT("Table!" &amp; $AN$275 &amp; $AK230),0)),"",INDIRECT(CONCATENATE("Table!",ADDRESS($T230,MATCH(D$1,INDIRECT("Table!A" &amp; $AK230):INDIRECT("Table!" &amp; $AN$275 &amp; $AK230),0)))))</f>
        <v/>
      </c>
      <c r="E230" s="24" t="str">
        <f ca="1">IF(ISERROR(MATCH(E$1,INDIRECT("Table!A"&amp;$AK230):INDIRECT("Table!" &amp; $AN$275 &amp; $AK230),0)),"",INDIRECT(CONCATENATE("Table!",ADDRESS($T230,MATCH(E$1,INDIRECT("Table!A" &amp; $AK230):INDIRECT("Table!" &amp; $AN$275 &amp; $AK230),0)))))</f>
        <v/>
      </c>
      <c r="F230" s="24" t="str">
        <f ca="1">IF(ISERROR(MATCH(F$1,INDIRECT("Table!A"&amp;$AK230):INDIRECT("Table!" &amp; $AN$275 &amp; $AK230),0)),"",INDIRECT(CONCATENATE("Table!",ADDRESS($T230,MATCH(F$1,INDIRECT("Table!A" &amp; $AK230):INDIRECT("Table!" &amp; $AN$275 &amp; $AK230),0)))))</f>
        <v/>
      </c>
      <c r="G230" s="24" t="str">
        <f ca="1">IF(ISERROR(MATCH(G$1,INDIRECT("Table!A"&amp;$AK230):INDIRECT("Table!" &amp; $AN$275 &amp; $AK230),0)),"",INDIRECT(CONCATENATE("Table!",ADDRESS($T230,MATCH(G$1,INDIRECT("Table!A" &amp; $AK230):INDIRECT("Table!" &amp; $AN$275 &amp; $AK230),0)))))</f>
        <v/>
      </c>
      <c r="H230" s="24" t="str">
        <f ca="1">IF(ISERROR(MATCH(H$1,INDIRECT("Table!A"&amp;$AK230):INDIRECT("Table!" &amp; $AN$275 &amp; $AK230),0)),"",INDIRECT(CONCATENATE("Table!",ADDRESS($T230,MATCH(H$1,INDIRECT("Table!A" &amp; $AK230):INDIRECT("Table!" &amp; $AN$275 &amp; $AK230),0)))))</f>
        <v/>
      </c>
      <c r="I230" s="273"/>
      <c r="J230" s="273"/>
      <c r="K230" s="24" t="str">
        <f ca="1">IF(ISERROR(MATCH(L$1,INDIRECT("Table!A"&amp;$AK230):INDIRECT("Table!" &amp; $AN$275 &amp; $AK230),0)),"",INDIRECT(CONCATENATE("Table!",ADDRESS($T230,MATCH(L$1,INDIRECT("Table!A" &amp; $AK230):INDIRECT("Table!" &amp; $AN$275 &amp; $AK230),0)))))</f>
        <v/>
      </c>
      <c r="L230" s="24" t="str">
        <f ca="1">IF(ISERROR(MATCH(M$1,INDIRECT("Table!A"&amp;$AK230):INDIRECT("Table!" &amp; $AN$275 &amp; $AK230),0)),"",INDIRECT(CONCATENATE("Table!",ADDRESS($T230,MATCH(M$1,INDIRECT("Table!A" &amp; $AK230):INDIRECT("Table!" &amp; $AN$275 &amp; $AK230),0)))))</f>
        <v/>
      </c>
      <c r="M230" s="24" t="str">
        <f ca="1">IF(ISERROR(MATCH(N$1,INDIRECT("Table!A"&amp;$AK230):INDIRECT("Table!" &amp; $AN$275 &amp; $AK230),0)),"",INDIRECT(CONCATENATE("Table!",ADDRESS($T230,MATCH(N$1,INDIRECT("Table!A" &amp; $AK230):INDIRECT("Table!" &amp; $AN$275 &amp; $AK230),0)))))</f>
        <v/>
      </c>
      <c r="N230" s="24" t="str">
        <f ca="1">IF(ISERROR(MATCH(O$1,INDIRECT("Table!A"&amp;$AK230):INDIRECT("Table!" &amp; $AN$275 &amp; $AK230),0)),"",INDIRECT(CONCATENATE("Table!",ADDRESS($T230,MATCH(O$1,INDIRECT("Table!A" &amp; $AK230):INDIRECT("Table!" &amp; $AN$275 &amp; $AK230),0)))))</f>
        <v/>
      </c>
      <c r="O230" s="24" t="str">
        <f ca="1">IF(ISERROR(MATCH(P$1,INDIRECT("Table!A"&amp;$AK230):INDIRECT("Table!" &amp; $AN$275 &amp; $AK230),0)),"",INDIRECT(CONCATENATE("Table!",ADDRESS($T230,MATCH(P$1,INDIRECT("Table!A" &amp; $AK230):INDIRECT("Table!" &amp; $AN$275 &amp; $AK230),0)))))</f>
        <v/>
      </c>
      <c r="P230" s="273" t="str">
        <f ca="1">IF(ISERROR(MATCH(Q$1,INDIRECT("Table!A"&amp;$AK230):INDIRECT("Table!" &amp; $AN$275 &amp; $AK230),0)),"",INDIRECT(CONCATENATE("Table!",ADDRESS($T230,MATCH(Q$1,INDIRECT("Table!A" &amp; $AK230):INDIRECT("Table!" &amp; $AN$275 &amp; $AK230),0)))))</f>
        <v/>
      </c>
      <c r="Q230" s="115"/>
      <c r="R230" s="115"/>
      <c r="S230" s="115"/>
      <c r="T230" s="22"/>
      <c r="AI230" s="115"/>
      <c r="AJ230" s="115"/>
      <c r="AK230" s="22"/>
      <c r="AL230" s="115"/>
      <c r="AM230" s="115"/>
      <c r="AN230" s="115"/>
    </row>
    <row r="231" spans="2:40" ht="18" customHeight="1" x14ac:dyDescent="0.25">
      <c r="B231" s="24"/>
      <c r="C231" s="24" t="str">
        <f ca="1">IF(ISERROR(MATCH(C$1,INDIRECT("Table!A"&amp;$AK231):INDIRECT("Table!" &amp; $AN$275 &amp; $AK231),0)),"",INDIRECT(CONCATENATE("Table!",ADDRESS($T231,MATCH(C$1,INDIRECT("Table!A" &amp; $AK231):INDIRECT("Table!" &amp; $AN$275 &amp; $AK231),0)))))</f>
        <v/>
      </c>
      <c r="D231" s="24" t="str">
        <f ca="1">IF(ISERROR(MATCH(D$1,INDIRECT("Table!A"&amp;$AK231):INDIRECT("Table!" &amp; $AN$275 &amp; $AK231),0)),"",INDIRECT(CONCATENATE("Table!",ADDRESS($T231,MATCH(D$1,INDIRECT("Table!A" &amp; $AK231):INDIRECT("Table!" &amp; $AN$275 &amp; $AK231),0)))))</f>
        <v/>
      </c>
      <c r="E231" s="24" t="str">
        <f ca="1">IF(ISERROR(MATCH(E$1,INDIRECT("Table!A"&amp;$AK231):INDIRECT("Table!" &amp; $AN$275 &amp; $AK231),0)),"",INDIRECT(CONCATENATE("Table!",ADDRESS($T231,MATCH(E$1,INDIRECT("Table!A" &amp; $AK231):INDIRECT("Table!" &amp; $AN$275 &amp; $AK231),0)))))</f>
        <v/>
      </c>
      <c r="F231" s="24" t="str">
        <f ca="1">IF(ISERROR(MATCH(F$1,INDIRECT("Table!A"&amp;$AK231):INDIRECT("Table!" &amp; $AN$275 &amp; $AK231),0)),"",INDIRECT(CONCATENATE("Table!",ADDRESS($T231,MATCH(F$1,INDIRECT("Table!A" &amp; $AK231):INDIRECT("Table!" &amp; $AN$275 &amp; $AK231),0)))))</f>
        <v/>
      </c>
      <c r="G231" s="24" t="str">
        <f ca="1">IF(ISERROR(MATCH(G$1,INDIRECT("Table!A"&amp;$AK231):INDIRECT("Table!" &amp; $AN$275 &amp; $AK231),0)),"",INDIRECT(CONCATENATE("Table!",ADDRESS($T231,MATCH(G$1,INDIRECT("Table!A" &amp; $AK231):INDIRECT("Table!" &amp; $AN$275 &amp; $AK231),0)))))</f>
        <v/>
      </c>
      <c r="H231" s="24" t="str">
        <f ca="1">IF(ISERROR(MATCH(H$1,INDIRECT("Table!A"&amp;$AK231):INDIRECT("Table!" &amp; $AN$275 &amp; $AK231),0)),"",INDIRECT(CONCATENATE("Table!",ADDRESS($T231,MATCH(H$1,INDIRECT("Table!A" &amp; $AK231):INDIRECT("Table!" &amp; $AN$275 &amp; $AK231),0)))))</f>
        <v/>
      </c>
      <c r="I231" s="273"/>
      <c r="J231" s="273"/>
      <c r="K231" s="24" t="str">
        <f ca="1">IF(ISERROR(MATCH(L$1,INDIRECT("Table!A"&amp;$AK231):INDIRECT("Table!" &amp; $AN$275 &amp; $AK231),0)),"",INDIRECT(CONCATENATE("Table!",ADDRESS($T231,MATCH(L$1,INDIRECT("Table!A" &amp; $AK231):INDIRECT("Table!" &amp; $AN$275 &amp; $AK231),0)))))</f>
        <v/>
      </c>
      <c r="L231" s="24" t="str">
        <f ca="1">IF(ISERROR(MATCH(M$1,INDIRECT("Table!A"&amp;$AK231):INDIRECT("Table!" &amp; $AN$275 &amp; $AK231),0)),"",INDIRECT(CONCATENATE("Table!",ADDRESS($T231,MATCH(M$1,INDIRECT("Table!A" &amp; $AK231):INDIRECT("Table!" &amp; $AN$275 &amp; $AK231),0)))))</f>
        <v/>
      </c>
      <c r="M231" s="24" t="str">
        <f ca="1">IF(ISERROR(MATCH(N$1,INDIRECT("Table!A"&amp;$AK231):INDIRECT("Table!" &amp; $AN$275 &amp; $AK231),0)),"",INDIRECT(CONCATENATE("Table!",ADDRESS($T231,MATCH(N$1,INDIRECT("Table!A" &amp; $AK231):INDIRECT("Table!" &amp; $AN$275 &amp; $AK231),0)))))</f>
        <v/>
      </c>
      <c r="N231" s="24" t="str">
        <f ca="1">IF(ISERROR(MATCH(O$1,INDIRECT("Table!A"&amp;$AK231):INDIRECT("Table!" &amp; $AN$275 &amp; $AK231),0)),"",INDIRECT(CONCATENATE("Table!",ADDRESS($T231,MATCH(O$1,INDIRECT("Table!A" &amp; $AK231):INDIRECT("Table!" &amp; $AN$275 &amp; $AK231),0)))))</f>
        <v/>
      </c>
      <c r="O231" s="24" t="str">
        <f ca="1">IF(ISERROR(MATCH(P$1,INDIRECT("Table!A"&amp;$AK231):INDIRECT("Table!" &amp; $AN$275 &amp; $AK231),0)),"",INDIRECT(CONCATENATE("Table!",ADDRESS($T231,MATCH(P$1,INDIRECT("Table!A" &amp; $AK231):INDIRECT("Table!" &amp; $AN$275 &amp; $AK231),0)))))</f>
        <v/>
      </c>
      <c r="P231" s="273" t="str">
        <f ca="1">IF(ISERROR(MATCH(Q$1,INDIRECT("Table!A"&amp;$AK231):INDIRECT("Table!" &amp; $AN$275 &amp; $AK231),0)),"",INDIRECT(CONCATENATE("Table!",ADDRESS($T231,MATCH(Q$1,INDIRECT("Table!A" &amp; $AK231):INDIRECT("Table!" &amp; $AN$275 &amp; $AK231),0)))))</f>
        <v/>
      </c>
      <c r="Q231" s="114"/>
      <c r="R231" s="114"/>
      <c r="S231" s="114"/>
      <c r="T231" s="22"/>
      <c r="AI231" s="114"/>
      <c r="AJ231" s="114"/>
      <c r="AK231" s="22"/>
      <c r="AL231" s="114"/>
      <c r="AM231" s="114"/>
      <c r="AN231" s="114"/>
    </row>
    <row r="232" spans="2:40" ht="18" customHeight="1" x14ac:dyDescent="0.25">
      <c r="B232" s="24"/>
      <c r="C232" s="24" t="str">
        <f ca="1">IF(ISERROR(MATCH(C$1,INDIRECT("Table!A"&amp;$AK232):INDIRECT("Table!" &amp; $AN$275 &amp; $AK232),0)),"",INDIRECT(CONCATENATE("Table!",ADDRESS($T232,MATCH(C$1,INDIRECT("Table!A" &amp; $AK232):INDIRECT("Table!" &amp; $AN$275 &amp; $AK232),0)))))</f>
        <v/>
      </c>
      <c r="D232" s="24" t="str">
        <f ca="1">IF(ISERROR(MATCH(D$1,INDIRECT("Table!A"&amp;$AK232):INDIRECT("Table!" &amp; $AN$275 &amp; $AK232),0)),"",INDIRECT(CONCATENATE("Table!",ADDRESS($T232,MATCH(D$1,INDIRECT("Table!A" &amp; $AK232):INDIRECT("Table!" &amp; $AN$275 &amp; $AK232),0)))))</f>
        <v/>
      </c>
      <c r="E232" s="24" t="str">
        <f ca="1">IF(ISERROR(MATCH(E$1,INDIRECT("Table!A"&amp;$AK232):INDIRECT("Table!" &amp; $AN$275 &amp; $AK232),0)),"",INDIRECT(CONCATENATE("Table!",ADDRESS($T232,MATCH(E$1,INDIRECT("Table!A" &amp; $AK232):INDIRECT("Table!" &amp; $AN$275 &amp; $AK232),0)))))</f>
        <v/>
      </c>
      <c r="F232" s="24" t="str">
        <f ca="1">IF(ISERROR(MATCH(F$1,INDIRECT("Table!A"&amp;$AK232):INDIRECT("Table!" &amp; $AN$275 &amp; $AK232),0)),"",INDIRECT(CONCATENATE("Table!",ADDRESS($T232,MATCH(F$1,INDIRECT("Table!A" &amp; $AK232):INDIRECT("Table!" &amp; $AN$275 &amp; $AK232),0)))))</f>
        <v/>
      </c>
      <c r="G232" s="24" t="str">
        <f ca="1">IF(ISERROR(MATCH(G$1,INDIRECT("Table!A"&amp;$AK232):INDIRECT("Table!" &amp; $AN$275 &amp; $AK232),0)),"",INDIRECT(CONCATENATE("Table!",ADDRESS($T232,MATCH(G$1,INDIRECT("Table!A" &amp; $AK232):INDIRECT("Table!" &amp; $AN$275 &amp; $AK232),0)))))</f>
        <v/>
      </c>
      <c r="H232" s="24" t="str">
        <f ca="1">IF(ISERROR(MATCH(H$1,INDIRECT("Table!A"&amp;$AK232):INDIRECT("Table!" &amp; $AN$275 &amp; $AK232),0)),"",INDIRECT(CONCATENATE("Table!",ADDRESS($T232,MATCH(H$1,INDIRECT("Table!A" &amp; $AK232):INDIRECT("Table!" &amp; $AN$275 &amp; $AK232),0)))))</f>
        <v/>
      </c>
      <c r="I232" s="273"/>
      <c r="J232" s="273"/>
      <c r="K232" s="24" t="str">
        <f ca="1">IF(ISERROR(MATCH(L$1,INDIRECT("Table!A"&amp;$AK232):INDIRECT("Table!" &amp; $AN$275 &amp; $AK232),0)),"",INDIRECT(CONCATENATE("Table!",ADDRESS($T232,MATCH(L$1,INDIRECT("Table!A" &amp; $AK232):INDIRECT("Table!" &amp; $AN$275 &amp; $AK232),0)))))</f>
        <v/>
      </c>
      <c r="L232" s="24" t="str">
        <f ca="1">IF(ISERROR(MATCH(M$1,INDIRECT("Table!A"&amp;$AK232):INDIRECT("Table!" &amp; $AN$275 &amp; $AK232),0)),"",INDIRECT(CONCATENATE("Table!",ADDRESS($T232,MATCH(M$1,INDIRECT("Table!A" &amp; $AK232):INDIRECT("Table!" &amp; $AN$275 &amp; $AK232),0)))))</f>
        <v/>
      </c>
      <c r="M232" s="24" t="str">
        <f ca="1">IF(ISERROR(MATCH(N$1,INDIRECT("Table!A"&amp;$AK232):INDIRECT("Table!" &amp; $AN$275 &amp; $AK232),0)),"",INDIRECT(CONCATENATE("Table!",ADDRESS($T232,MATCH(N$1,INDIRECT("Table!A" &amp; $AK232):INDIRECT("Table!" &amp; $AN$275 &amp; $AK232),0)))))</f>
        <v/>
      </c>
      <c r="N232" s="24" t="str">
        <f ca="1">IF(ISERROR(MATCH(O$1,INDIRECT("Table!A"&amp;$AK232):INDIRECT("Table!" &amp; $AN$275 &amp; $AK232),0)),"",INDIRECT(CONCATENATE("Table!",ADDRESS($T232,MATCH(O$1,INDIRECT("Table!A" &amp; $AK232):INDIRECT("Table!" &amp; $AN$275 &amp; $AK232),0)))))</f>
        <v/>
      </c>
      <c r="O232" s="24" t="str">
        <f ca="1">IF(ISERROR(MATCH(P$1,INDIRECT("Table!A"&amp;$AK232):INDIRECT("Table!" &amp; $AN$275 &amp; $AK232),0)),"",INDIRECT(CONCATENATE("Table!",ADDRESS($T232,MATCH(P$1,INDIRECT("Table!A" &amp; $AK232):INDIRECT("Table!" &amp; $AN$275 &amp; $AK232),0)))))</f>
        <v/>
      </c>
      <c r="P232" s="273" t="str">
        <f ca="1">IF(ISERROR(MATCH(Q$1,INDIRECT("Table!A"&amp;$AK232):INDIRECT("Table!" &amp; $AN$275 &amp; $AK232),0)),"",INDIRECT(CONCATENATE("Table!",ADDRESS($T232,MATCH(Q$1,INDIRECT("Table!A" &amp; $AK232):INDIRECT("Table!" &amp; $AN$275 &amp; $AK232),0)))))</f>
        <v/>
      </c>
      <c r="Q232" s="113"/>
      <c r="R232" s="113"/>
      <c r="S232" s="113"/>
      <c r="T232" s="22"/>
      <c r="AI232" s="113"/>
      <c r="AJ232" s="113"/>
      <c r="AK232" s="22"/>
      <c r="AL232" s="113"/>
      <c r="AM232" s="113"/>
      <c r="AN232" s="113"/>
    </row>
    <row r="233" spans="2:40" ht="18" customHeight="1" x14ac:dyDescent="0.25">
      <c r="B233" s="24"/>
      <c r="C233" s="24" t="str">
        <f ca="1">IF(ISERROR(MATCH(C$1,INDIRECT("Table!A"&amp;$AK233):INDIRECT("Table!" &amp; $AN$275 &amp; $AK233),0)),"",INDIRECT(CONCATENATE("Table!",ADDRESS($T233,MATCH(C$1,INDIRECT("Table!A" &amp; $AK233):INDIRECT("Table!" &amp; $AN$275 &amp; $AK233),0)))))</f>
        <v/>
      </c>
      <c r="D233" s="24" t="str">
        <f ca="1">IF(ISERROR(MATCH(D$1,INDIRECT("Table!A"&amp;$AK233):INDIRECT("Table!" &amp; $AN$275 &amp; $AK233),0)),"",INDIRECT(CONCATENATE("Table!",ADDRESS($T233,MATCH(D$1,INDIRECT("Table!A" &amp; $AK233):INDIRECT("Table!" &amp; $AN$275 &amp; $AK233),0)))))</f>
        <v/>
      </c>
      <c r="E233" s="24" t="str">
        <f ca="1">IF(ISERROR(MATCH(E$1,INDIRECT("Table!A"&amp;$AK233):INDIRECT("Table!" &amp; $AN$275 &amp; $AK233),0)),"",INDIRECT(CONCATENATE("Table!",ADDRESS($T233,MATCH(E$1,INDIRECT("Table!A" &amp; $AK233):INDIRECT("Table!" &amp; $AN$275 &amp; $AK233),0)))))</f>
        <v/>
      </c>
      <c r="F233" s="24" t="str">
        <f ca="1">IF(ISERROR(MATCH(F$1,INDIRECT("Table!A"&amp;$AK233):INDIRECT("Table!" &amp; $AN$275 &amp; $AK233),0)),"",INDIRECT(CONCATENATE("Table!",ADDRESS($T233,MATCH(F$1,INDIRECT("Table!A" &amp; $AK233):INDIRECT("Table!" &amp; $AN$275 &amp; $AK233),0)))))</f>
        <v/>
      </c>
      <c r="G233" s="24" t="str">
        <f ca="1">IF(ISERROR(MATCH(G$1,INDIRECT("Table!A"&amp;$AK233):INDIRECT("Table!" &amp; $AN$275 &amp; $AK233),0)),"",INDIRECT(CONCATENATE("Table!",ADDRESS($T233,MATCH(G$1,INDIRECT("Table!A" &amp; $AK233):INDIRECT("Table!" &amp; $AN$275 &amp; $AK233),0)))))</f>
        <v/>
      </c>
      <c r="H233" s="24" t="str">
        <f ca="1">IF(ISERROR(MATCH(H$1,INDIRECT("Table!A"&amp;$AK233):INDIRECT("Table!" &amp; $AN$275 &amp; $AK233),0)),"",INDIRECT(CONCATENATE("Table!",ADDRESS($T233,MATCH(H$1,INDIRECT("Table!A" &amp; $AK233):INDIRECT("Table!" &amp; $AN$275 &amp; $AK233),0)))))</f>
        <v/>
      </c>
      <c r="I233" s="273"/>
      <c r="J233" s="273"/>
      <c r="K233" s="24" t="str">
        <f ca="1">IF(ISERROR(MATCH(L$1,INDIRECT("Table!A"&amp;$AK233):INDIRECT("Table!" &amp; $AN$275 &amp; $AK233),0)),"",INDIRECT(CONCATENATE("Table!",ADDRESS($T233,MATCH(L$1,INDIRECT("Table!A" &amp; $AK233):INDIRECT("Table!" &amp; $AN$275 &amp; $AK233),0)))))</f>
        <v/>
      </c>
      <c r="L233" s="24" t="str">
        <f ca="1">IF(ISERROR(MATCH(M$1,INDIRECT("Table!A"&amp;$AK233):INDIRECT("Table!" &amp; $AN$275 &amp; $AK233),0)),"",INDIRECT(CONCATENATE("Table!",ADDRESS($T233,MATCH(M$1,INDIRECT("Table!A" &amp; $AK233):INDIRECT("Table!" &amp; $AN$275 &amp; $AK233),0)))))</f>
        <v/>
      </c>
      <c r="M233" s="24" t="str">
        <f ca="1">IF(ISERROR(MATCH(N$1,INDIRECT("Table!A"&amp;$AK233):INDIRECT("Table!" &amp; $AN$275 &amp; $AK233),0)),"",INDIRECT(CONCATENATE("Table!",ADDRESS($T233,MATCH(N$1,INDIRECT("Table!A" &amp; $AK233):INDIRECT("Table!" &amp; $AN$275 &amp; $AK233),0)))))</f>
        <v/>
      </c>
      <c r="N233" s="24" t="str">
        <f ca="1">IF(ISERROR(MATCH(O$1,INDIRECT("Table!A"&amp;$AK233):INDIRECT("Table!" &amp; $AN$275 &amp; $AK233),0)),"",INDIRECT(CONCATENATE("Table!",ADDRESS($T233,MATCH(O$1,INDIRECT("Table!A" &amp; $AK233):INDIRECT("Table!" &amp; $AN$275 &amp; $AK233),0)))))</f>
        <v/>
      </c>
      <c r="O233" s="24" t="str">
        <f ca="1">IF(ISERROR(MATCH(P$1,INDIRECT("Table!A"&amp;$AK233):INDIRECT("Table!" &amp; $AN$275 &amp; $AK233),0)),"",INDIRECT(CONCATENATE("Table!",ADDRESS($T233,MATCH(P$1,INDIRECT("Table!A" &amp; $AK233):INDIRECT("Table!" &amp; $AN$275 &amp; $AK233),0)))))</f>
        <v/>
      </c>
      <c r="P233" s="273" t="str">
        <f ca="1">IF(ISERROR(MATCH(Q$1,INDIRECT("Table!A"&amp;$AK233):INDIRECT("Table!" &amp; $AN$275 &amp; $AK233),0)),"",INDIRECT(CONCATENATE("Table!",ADDRESS($T233,MATCH(Q$1,INDIRECT("Table!A" &amp; $AK233):INDIRECT("Table!" &amp; $AN$275 &amp; $AK233),0)))))</f>
        <v/>
      </c>
      <c r="Q233" s="112"/>
      <c r="R233" s="112"/>
      <c r="S233" s="112"/>
      <c r="T233" s="22"/>
      <c r="AI233" s="112"/>
      <c r="AJ233" s="112"/>
      <c r="AK233" s="22"/>
      <c r="AL233" s="112"/>
      <c r="AM233" s="112"/>
      <c r="AN233" s="112"/>
    </row>
    <row r="234" spans="2:40" ht="18" customHeight="1" x14ac:dyDescent="0.25">
      <c r="B234" s="24"/>
      <c r="C234" s="24" t="str">
        <f ca="1">IF(ISERROR(MATCH(C$1,INDIRECT("Table!A"&amp;$AK234):INDIRECT("Table!" &amp; $AN$275 &amp; $AK234),0)),"",INDIRECT(CONCATENATE("Table!",ADDRESS($T234,MATCH(C$1,INDIRECT("Table!A" &amp; $AK234):INDIRECT("Table!" &amp; $AN$275 &amp; $AK234),0)))))</f>
        <v/>
      </c>
      <c r="D234" s="24" t="str">
        <f ca="1">IF(ISERROR(MATCH(D$1,INDIRECT("Table!A"&amp;$AK234):INDIRECT("Table!" &amp; $AN$275 &amp; $AK234),0)),"",INDIRECT(CONCATENATE("Table!",ADDRESS($T234,MATCH(D$1,INDIRECT("Table!A" &amp; $AK234):INDIRECT("Table!" &amp; $AN$275 &amp; $AK234),0)))))</f>
        <v/>
      </c>
      <c r="E234" s="24" t="str">
        <f ca="1">IF(ISERROR(MATCH(E$1,INDIRECT("Table!A"&amp;$AK234):INDIRECT("Table!" &amp; $AN$275 &amp; $AK234),0)),"",INDIRECT(CONCATENATE("Table!",ADDRESS($T234,MATCH(E$1,INDIRECT("Table!A" &amp; $AK234):INDIRECT("Table!" &amp; $AN$275 &amp; $AK234),0)))))</f>
        <v/>
      </c>
      <c r="F234" s="24" t="str">
        <f ca="1">IF(ISERROR(MATCH(F$1,INDIRECT("Table!A"&amp;$AK234):INDIRECT("Table!" &amp; $AN$275 &amp; $AK234),0)),"",INDIRECT(CONCATENATE("Table!",ADDRESS($T234,MATCH(F$1,INDIRECT("Table!A" &amp; $AK234):INDIRECT("Table!" &amp; $AN$275 &amp; $AK234),0)))))</f>
        <v/>
      </c>
      <c r="G234" s="24" t="str">
        <f ca="1">IF(ISERROR(MATCH(G$1,INDIRECT("Table!A"&amp;$AK234):INDIRECT("Table!" &amp; $AN$275 &amp; $AK234),0)),"",INDIRECT(CONCATENATE("Table!",ADDRESS($T234,MATCH(G$1,INDIRECT("Table!A" &amp; $AK234):INDIRECT("Table!" &amp; $AN$275 &amp; $AK234),0)))))</f>
        <v/>
      </c>
      <c r="H234" s="24" t="str">
        <f ca="1">IF(ISERROR(MATCH(H$1,INDIRECT("Table!A"&amp;$AK234):INDIRECT("Table!" &amp; $AN$275 &amp; $AK234),0)),"",INDIRECT(CONCATENATE("Table!",ADDRESS($T234,MATCH(H$1,INDIRECT("Table!A" &amp; $AK234):INDIRECT("Table!" &amp; $AN$275 &amp; $AK234),0)))))</f>
        <v/>
      </c>
      <c r="I234" s="273"/>
      <c r="J234" s="273"/>
      <c r="K234" s="24" t="str">
        <f ca="1">IF(ISERROR(MATCH(L$1,INDIRECT("Table!A"&amp;$AK234):INDIRECT("Table!" &amp; $AN$275 &amp; $AK234),0)),"",INDIRECT(CONCATENATE("Table!",ADDRESS($T234,MATCH(L$1,INDIRECT("Table!A" &amp; $AK234):INDIRECT("Table!" &amp; $AN$275 &amp; $AK234),0)))))</f>
        <v/>
      </c>
      <c r="L234" s="24" t="str">
        <f ca="1">IF(ISERROR(MATCH(M$1,INDIRECT("Table!A"&amp;$AK234):INDIRECT("Table!" &amp; $AN$275 &amp; $AK234),0)),"",INDIRECT(CONCATENATE("Table!",ADDRESS($T234,MATCH(M$1,INDIRECT("Table!A" &amp; $AK234):INDIRECT("Table!" &amp; $AN$275 &amp; $AK234),0)))))</f>
        <v/>
      </c>
      <c r="M234" s="24" t="str">
        <f ca="1">IF(ISERROR(MATCH(N$1,INDIRECT("Table!A"&amp;$AK234):INDIRECT("Table!" &amp; $AN$275 &amp; $AK234),0)),"",INDIRECT(CONCATENATE("Table!",ADDRESS($T234,MATCH(N$1,INDIRECT("Table!A" &amp; $AK234):INDIRECT("Table!" &amp; $AN$275 &amp; $AK234),0)))))</f>
        <v/>
      </c>
      <c r="N234" s="24" t="str">
        <f ca="1">IF(ISERROR(MATCH(O$1,INDIRECT("Table!A"&amp;$AK234):INDIRECT("Table!" &amp; $AN$275 &amp; $AK234),0)),"",INDIRECT(CONCATENATE("Table!",ADDRESS($T234,MATCH(O$1,INDIRECT("Table!A" &amp; $AK234):INDIRECT("Table!" &amp; $AN$275 &amp; $AK234),0)))))</f>
        <v/>
      </c>
      <c r="O234" s="24" t="str">
        <f ca="1">IF(ISERROR(MATCH(P$1,INDIRECT("Table!A"&amp;$AK234):INDIRECT("Table!" &amp; $AN$275 &amp; $AK234),0)),"",INDIRECT(CONCATENATE("Table!",ADDRESS($T234,MATCH(P$1,INDIRECT("Table!A" &amp; $AK234):INDIRECT("Table!" &amp; $AN$275 &amp; $AK234),0)))))</f>
        <v/>
      </c>
      <c r="P234" s="273" t="str">
        <f ca="1">IF(ISERROR(MATCH(Q$1,INDIRECT("Table!A"&amp;$AK234):INDIRECT("Table!" &amp; $AN$275 &amp; $AK234),0)),"",INDIRECT(CONCATENATE("Table!",ADDRESS($T234,MATCH(Q$1,INDIRECT("Table!A" &amp; $AK234):INDIRECT("Table!" &amp; $AN$275 &amp; $AK234),0)))))</f>
        <v/>
      </c>
      <c r="Q234" s="111"/>
      <c r="R234" s="111"/>
      <c r="S234" s="111"/>
      <c r="T234" s="22"/>
      <c r="AI234" s="111"/>
      <c r="AJ234" s="111"/>
      <c r="AK234" s="22"/>
      <c r="AL234" s="111"/>
      <c r="AM234" s="111"/>
      <c r="AN234" s="111"/>
    </row>
    <row r="235" spans="2:40" ht="18" customHeight="1" x14ac:dyDescent="0.25">
      <c r="B235" s="24"/>
      <c r="C235" s="24" t="str">
        <f ca="1">IF(ISERROR(MATCH(C$1,INDIRECT("Table!A"&amp;$AK235):INDIRECT("Table!" &amp; $AN$275 &amp; $AK235),0)),"",INDIRECT(CONCATENATE("Table!",ADDRESS($T235,MATCH(C$1,INDIRECT("Table!A" &amp; $AK235):INDIRECT("Table!" &amp; $AN$275 &amp; $AK235),0)))))</f>
        <v/>
      </c>
      <c r="D235" s="24" t="str">
        <f ca="1">IF(ISERROR(MATCH(D$1,INDIRECT("Table!A"&amp;$AK235):INDIRECT("Table!" &amp; $AN$275 &amp; $AK235),0)),"",INDIRECT(CONCATENATE("Table!",ADDRESS($T235,MATCH(D$1,INDIRECT("Table!A" &amp; $AK235):INDIRECT("Table!" &amp; $AN$275 &amp; $AK235),0)))))</f>
        <v/>
      </c>
      <c r="E235" s="24" t="str">
        <f ca="1">IF(ISERROR(MATCH(E$1,INDIRECT("Table!A"&amp;$AK235):INDIRECT("Table!" &amp; $AN$275 &amp; $AK235),0)),"",INDIRECT(CONCATENATE("Table!",ADDRESS($T235,MATCH(E$1,INDIRECT("Table!A" &amp; $AK235):INDIRECT("Table!" &amp; $AN$275 &amp; $AK235),0)))))</f>
        <v/>
      </c>
      <c r="F235" s="24" t="str">
        <f ca="1">IF(ISERROR(MATCH(F$1,INDIRECT("Table!A"&amp;$AK235):INDIRECT("Table!" &amp; $AN$275 &amp; $AK235),0)),"",INDIRECT(CONCATENATE("Table!",ADDRESS($T235,MATCH(F$1,INDIRECT("Table!A" &amp; $AK235):INDIRECT("Table!" &amp; $AN$275 &amp; $AK235),0)))))</f>
        <v/>
      </c>
      <c r="G235" s="24" t="str">
        <f ca="1">IF(ISERROR(MATCH(G$1,INDIRECT("Table!A"&amp;$AK235):INDIRECT("Table!" &amp; $AN$275 &amp; $AK235),0)),"",INDIRECT(CONCATENATE("Table!",ADDRESS($T235,MATCH(G$1,INDIRECT("Table!A" &amp; $AK235):INDIRECT("Table!" &amp; $AN$275 &amp; $AK235),0)))))</f>
        <v/>
      </c>
      <c r="H235" s="24" t="str">
        <f ca="1">IF(ISERROR(MATCH(H$1,INDIRECT("Table!A"&amp;$AK235):INDIRECT("Table!" &amp; $AN$275 &amp; $AK235),0)),"",INDIRECT(CONCATENATE("Table!",ADDRESS($T235,MATCH(H$1,INDIRECT("Table!A" &amp; $AK235):INDIRECT("Table!" &amp; $AN$275 &amp; $AK235),0)))))</f>
        <v/>
      </c>
      <c r="I235" s="273"/>
      <c r="J235" s="273"/>
      <c r="K235" s="24" t="str">
        <f ca="1">IF(ISERROR(MATCH(L$1,INDIRECT("Table!A"&amp;$AK235):INDIRECT("Table!" &amp; $AN$275 &amp; $AK235),0)),"",INDIRECT(CONCATENATE("Table!",ADDRESS($T235,MATCH(L$1,INDIRECT("Table!A" &amp; $AK235):INDIRECT("Table!" &amp; $AN$275 &amp; $AK235),0)))))</f>
        <v/>
      </c>
      <c r="L235" s="24" t="str">
        <f ca="1">IF(ISERROR(MATCH(M$1,INDIRECT("Table!A"&amp;$AK235):INDIRECT("Table!" &amp; $AN$275 &amp; $AK235),0)),"",INDIRECT(CONCATENATE("Table!",ADDRESS($T235,MATCH(M$1,INDIRECT("Table!A" &amp; $AK235):INDIRECT("Table!" &amp; $AN$275 &amp; $AK235),0)))))</f>
        <v/>
      </c>
      <c r="M235" s="24" t="str">
        <f ca="1">IF(ISERROR(MATCH(N$1,INDIRECT("Table!A"&amp;$AK235):INDIRECT("Table!" &amp; $AN$275 &amp; $AK235),0)),"",INDIRECT(CONCATENATE("Table!",ADDRESS($T235,MATCH(N$1,INDIRECT("Table!A" &amp; $AK235):INDIRECT("Table!" &amp; $AN$275 &amp; $AK235),0)))))</f>
        <v/>
      </c>
      <c r="N235" s="24" t="str">
        <f ca="1">IF(ISERROR(MATCH(O$1,INDIRECT("Table!A"&amp;$AK235):INDIRECT("Table!" &amp; $AN$275 &amp; $AK235),0)),"",INDIRECT(CONCATENATE("Table!",ADDRESS($T235,MATCH(O$1,INDIRECT("Table!A" &amp; $AK235):INDIRECT("Table!" &amp; $AN$275 &amp; $AK235),0)))))</f>
        <v/>
      </c>
      <c r="O235" s="24" t="str">
        <f ca="1">IF(ISERROR(MATCH(P$1,INDIRECT("Table!A"&amp;$AK235):INDIRECT("Table!" &amp; $AN$275 &amp; $AK235),0)),"",INDIRECT(CONCATENATE("Table!",ADDRESS($T235,MATCH(P$1,INDIRECT("Table!A" &amp; $AK235):INDIRECT("Table!" &amp; $AN$275 &amp; $AK235),0)))))</f>
        <v/>
      </c>
      <c r="P235" s="273" t="str">
        <f ca="1">IF(ISERROR(MATCH(Q$1,INDIRECT("Table!A"&amp;$AK235):INDIRECT("Table!" &amp; $AN$275 &amp; $AK235),0)),"",INDIRECT(CONCATENATE("Table!",ADDRESS($T235,MATCH(Q$1,INDIRECT("Table!A" &amp; $AK235):INDIRECT("Table!" &amp; $AN$275 &amp; $AK235),0)))))</f>
        <v/>
      </c>
      <c r="Q235" s="110"/>
      <c r="R235" s="110"/>
      <c r="S235" s="110"/>
      <c r="T235" s="22"/>
      <c r="AI235" s="110"/>
      <c r="AJ235" s="110"/>
      <c r="AK235" s="22"/>
      <c r="AL235" s="110"/>
      <c r="AM235" s="110"/>
      <c r="AN235" s="110"/>
    </row>
    <row r="236" spans="2:40" ht="18" customHeight="1" x14ac:dyDescent="0.25">
      <c r="B236" s="24"/>
      <c r="C236" s="24" t="str">
        <f ca="1">IF(ISERROR(MATCH(C$1,INDIRECT("Table!A"&amp;$AK236):INDIRECT("Table!" &amp; $AN$275 &amp; $AK236),0)),"",INDIRECT(CONCATENATE("Table!",ADDRESS($T236,MATCH(C$1,INDIRECT("Table!A" &amp; $AK236):INDIRECT("Table!" &amp; $AN$275 &amp; $AK236),0)))))</f>
        <v/>
      </c>
      <c r="D236" s="24" t="str">
        <f ca="1">IF(ISERROR(MATCH(D$1,INDIRECT("Table!A"&amp;$AK236):INDIRECT("Table!" &amp; $AN$275 &amp; $AK236),0)),"",INDIRECT(CONCATENATE("Table!",ADDRESS($T236,MATCH(D$1,INDIRECT("Table!A" &amp; $AK236):INDIRECT("Table!" &amp; $AN$275 &amp; $AK236),0)))))</f>
        <v/>
      </c>
      <c r="E236" s="24" t="str">
        <f ca="1">IF(ISERROR(MATCH(E$1,INDIRECT("Table!A"&amp;$AK236):INDIRECT("Table!" &amp; $AN$275 &amp; $AK236),0)),"",INDIRECT(CONCATENATE("Table!",ADDRESS($T236,MATCH(E$1,INDIRECT("Table!A" &amp; $AK236):INDIRECT("Table!" &amp; $AN$275 &amp; $AK236),0)))))</f>
        <v/>
      </c>
      <c r="F236" s="24" t="str">
        <f ca="1">IF(ISERROR(MATCH(F$1,INDIRECT("Table!A"&amp;$AK236):INDIRECT("Table!" &amp; $AN$275 &amp; $AK236),0)),"",INDIRECT(CONCATENATE("Table!",ADDRESS($T236,MATCH(F$1,INDIRECT("Table!A" &amp; $AK236):INDIRECT("Table!" &amp; $AN$275 &amp; $AK236),0)))))</f>
        <v/>
      </c>
      <c r="G236" s="24" t="str">
        <f ca="1">IF(ISERROR(MATCH(G$1,INDIRECT("Table!A"&amp;$AK236):INDIRECT("Table!" &amp; $AN$275 &amp; $AK236),0)),"",INDIRECT(CONCATENATE("Table!",ADDRESS($T236,MATCH(G$1,INDIRECT("Table!A" &amp; $AK236):INDIRECT("Table!" &amp; $AN$275 &amp; $AK236),0)))))</f>
        <v/>
      </c>
      <c r="H236" s="24" t="str">
        <f ca="1">IF(ISERROR(MATCH(H$1,INDIRECT("Table!A"&amp;$AK236):INDIRECT("Table!" &amp; $AN$275 &amp; $AK236),0)),"",INDIRECT(CONCATENATE("Table!",ADDRESS($T236,MATCH(H$1,INDIRECT("Table!A" &amp; $AK236):INDIRECT("Table!" &amp; $AN$275 &amp; $AK236),0)))))</f>
        <v/>
      </c>
      <c r="I236" s="273"/>
      <c r="J236" s="273"/>
      <c r="K236" s="24" t="str">
        <f ca="1">IF(ISERROR(MATCH(L$1,INDIRECT("Table!A"&amp;$AK236):INDIRECT("Table!" &amp; $AN$275 &amp; $AK236),0)),"",INDIRECT(CONCATENATE("Table!",ADDRESS($T236,MATCH(L$1,INDIRECT("Table!A" &amp; $AK236):INDIRECT("Table!" &amp; $AN$275 &amp; $AK236),0)))))</f>
        <v/>
      </c>
      <c r="L236" s="24" t="str">
        <f ca="1">IF(ISERROR(MATCH(M$1,INDIRECT("Table!A"&amp;$AK236):INDIRECT("Table!" &amp; $AN$275 &amp; $AK236),0)),"",INDIRECT(CONCATENATE("Table!",ADDRESS($T236,MATCH(M$1,INDIRECT("Table!A" &amp; $AK236):INDIRECT("Table!" &amp; $AN$275 &amp; $AK236),0)))))</f>
        <v/>
      </c>
      <c r="M236" s="24" t="str">
        <f ca="1">IF(ISERROR(MATCH(N$1,INDIRECT("Table!A"&amp;$AK236):INDIRECT("Table!" &amp; $AN$275 &amp; $AK236),0)),"",INDIRECT(CONCATENATE("Table!",ADDRESS($T236,MATCH(N$1,INDIRECT("Table!A" &amp; $AK236):INDIRECT("Table!" &amp; $AN$275 &amp; $AK236),0)))))</f>
        <v/>
      </c>
      <c r="N236" s="24" t="str">
        <f ca="1">IF(ISERROR(MATCH(O$1,INDIRECT("Table!A"&amp;$AK236):INDIRECT("Table!" &amp; $AN$275 &amp; $AK236),0)),"",INDIRECT(CONCATENATE("Table!",ADDRESS($T236,MATCH(O$1,INDIRECT("Table!A" &amp; $AK236):INDIRECT("Table!" &amp; $AN$275 &amp; $AK236),0)))))</f>
        <v/>
      </c>
      <c r="O236" s="24" t="str">
        <f ca="1">IF(ISERROR(MATCH(P$1,INDIRECT("Table!A"&amp;$AK236):INDIRECT("Table!" &amp; $AN$275 &amp; $AK236),0)),"",INDIRECT(CONCATENATE("Table!",ADDRESS($T236,MATCH(P$1,INDIRECT("Table!A" &amp; $AK236):INDIRECT("Table!" &amp; $AN$275 &amp; $AK236),0)))))</f>
        <v/>
      </c>
      <c r="P236" s="273" t="str">
        <f ca="1">IF(ISERROR(MATCH(Q$1,INDIRECT("Table!A"&amp;$AK236):INDIRECT("Table!" &amp; $AN$275 &amp; $AK236),0)),"",INDIRECT(CONCATENATE("Table!",ADDRESS($T236,MATCH(Q$1,INDIRECT("Table!A" &amp; $AK236):INDIRECT("Table!" &amp; $AN$275 &amp; $AK236),0)))))</f>
        <v/>
      </c>
      <c r="Q236" s="109"/>
      <c r="R236" s="109"/>
      <c r="S236" s="109"/>
      <c r="T236" s="22"/>
      <c r="AI236" s="109"/>
      <c r="AJ236" s="109"/>
      <c r="AK236" s="22"/>
      <c r="AL236" s="109"/>
      <c r="AM236" s="109"/>
      <c r="AN236" s="109"/>
    </row>
    <row r="237" spans="2:40" ht="18" customHeight="1" x14ac:dyDescent="0.25">
      <c r="B237" s="24"/>
      <c r="C237" s="24" t="str">
        <f ca="1">IF(ISERROR(MATCH(C$1,INDIRECT("Table!A"&amp;$AK237):INDIRECT("Table!" &amp; $AN$275 &amp; $AK237),0)),"",INDIRECT(CONCATENATE("Table!",ADDRESS($T237,MATCH(C$1,INDIRECT("Table!A" &amp; $AK237):INDIRECT("Table!" &amp; $AN$275 &amp; $AK237),0)))))</f>
        <v/>
      </c>
      <c r="D237" s="24" t="str">
        <f ca="1">IF(ISERROR(MATCH(D$1,INDIRECT("Table!A"&amp;$AK237):INDIRECT("Table!" &amp; $AN$275 &amp; $AK237),0)),"",INDIRECT(CONCATENATE("Table!",ADDRESS($T237,MATCH(D$1,INDIRECT("Table!A" &amp; $AK237):INDIRECT("Table!" &amp; $AN$275 &amp; $AK237),0)))))</f>
        <v/>
      </c>
      <c r="E237" s="24" t="str">
        <f ca="1">IF(ISERROR(MATCH(E$1,INDIRECT("Table!A"&amp;$AK237):INDIRECT("Table!" &amp; $AN$275 &amp; $AK237),0)),"",INDIRECT(CONCATENATE("Table!",ADDRESS($T237,MATCH(E$1,INDIRECT("Table!A" &amp; $AK237):INDIRECT("Table!" &amp; $AN$275 &amp; $AK237),0)))))</f>
        <v/>
      </c>
      <c r="F237" s="24" t="str">
        <f ca="1">IF(ISERROR(MATCH(F$1,INDIRECT("Table!A"&amp;$AK237):INDIRECT("Table!" &amp; $AN$275 &amp; $AK237),0)),"",INDIRECT(CONCATENATE("Table!",ADDRESS($T237,MATCH(F$1,INDIRECT("Table!A" &amp; $AK237):INDIRECT("Table!" &amp; $AN$275 &amp; $AK237),0)))))</f>
        <v/>
      </c>
      <c r="G237" s="24" t="str">
        <f ca="1">IF(ISERROR(MATCH(G$1,INDIRECT("Table!A"&amp;$AK237):INDIRECT("Table!" &amp; $AN$275 &amp; $AK237),0)),"",INDIRECT(CONCATENATE("Table!",ADDRESS($T237,MATCH(G$1,INDIRECT("Table!A" &amp; $AK237):INDIRECT("Table!" &amp; $AN$275 &amp; $AK237),0)))))</f>
        <v/>
      </c>
      <c r="H237" s="24" t="str">
        <f ca="1">IF(ISERROR(MATCH(H$1,INDIRECT("Table!A"&amp;$AK237):INDIRECT("Table!" &amp; $AN$275 &amp; $AK237),0)),"",INDIRECT(CONCATENATE("Table!",ADDRESS($T237,MATCH(H$1,INDIRECT("Table!A" &amp; $AK237):INDIRECT("Table!" &amp; $AN$275 &amp; $AK237),0)))))</f>
        <v/>
      </c>
      <c r="I237" s="273"/>
      <c r="J237" s="273"/>
      <c r="K237" s="24" t="str">
        <f ca="1">IF(ISERROR(MATCH(L$1,INDIRECT("Table!A"&amp;$AK237):INDIRECT("Table!" &amp; $AN$275 &amp; $AK237),0)),"",INDIRECT(CONCATENATE("Table!",ADDRESS($T237,MATCH(L$1,INDIRECT("Table!A" &amp; $AK237):INDIRECT("Table!" &amp; $AN$275 &amp; $AK237),0)))))</f>
        <v/>
      </c>
      <c r="L237" s="24" t="str">
        <f ca="1">IF(ISERROR(MATCH(M$1,INDIRECT("Table!A"&amp;$AK237):INDIRECT("Table!" &amp; $AN$275 &amp; $AK237),0)),"",INDIRECT(CONCATENATE("Table!",ADDRESS($T237,MATCH(M$1,INDIRECT("Table!A" &amp; $AK237):INDIRECT("Table!" &amp; $AN$275 &amp; $AK237),0)))))</f>
        <v/>
      </c>
      <c r="M237" s="24" t="str">
        <f ca="1">IF(ISERROR(MATCH(N$1,INDIRECT("Table!A"&amp;$AK237):INDIRECT("Table!" &amp; $AN$275 &amp; $AK237),0)),"",INDIRECT(CONCATENATE("Table!",ADDRESS($T237,MATCH(N$1,INDIRECT("Table!A" &amp; $AK237):INDIRECT("Table!" &amp; $AN$275 &amp; $AK237),0)))))</f>
        <v/>
      </c>
      <c r="N237" s="24" t="str">
        <f ca="1">IF(ISERROR(MATCH(O$1,INDIRECT("Table!A"&amp;$AK237):INDIRECT("Table!" &amp; $AN$275 &amp; $AK237),0)),"",INDIRECT(CONCATENATE("Table!",ADDRESS($T237,MATCH(O$1,INDIRECT("Table!A" &amp; $AK237):INDIRECT("Table!" &amp; $AN$275 &amp; $AK237),0)))))</f>
        <v/>
      </c>
      <c r="O237" s="24" t="str">
        <f ca="1">IF(ISERROR(MATCH(P$1,INDIRECT("Table!A"&amp;$AK237):INDIRECT("Table!" &amp; $AN$275 &amp; $AK237),0)),"",INDIRECT(CONCATENATE("Table!",ADDRESS($T237,MATCH(P$1,INDIRECT("Table!A" &amp; $AK237):INDIRECT("Table!" &amp; $AN$275 &amp; $AK237),0)))))</f>
        <v/>
      </c>
      <c r="P237" s="273" t="str">
        <f ca="1">IF(ISERROR(MATCH(Q$1,INDIRECT("Table!A"&amp;$AK237):INDIRECT("Table!" &amp; $AN$275 &amp; $AK237),0)),"",INDIRECT(CONCATENATE("Table!",ADDRESS($T237,MATCH(Q$1,INDIRECT("Table!A" &amp; $AK237):INDIRECT("Table!" &amp; $AN$275 &amp; $AK237),0)))))</f>
        <v/>
      </c>
      <c r="Q237" s="108"/>
      <c r="R237" s="108"/>
      <c r="S237" s="108"/>
      <c r="T237" s="22"/>
      <c r="AI237" s="108"/>
      <c r="AJ237" s="108"/>
      <c r="AK237" s="22"/>
      <c r="AL237" s="108"/>
      <c r="AM237" s="108"/>
      <c r="AN237" s="108"/>
    </row>
    <row r="238" spans="2:40" ht="18" customHeight="1" x14ac:dyDescent="0.25">
      <c r="B238" s="24"/>
      <c r="C238" s="24" t="str">
        <f ca="1">IF(ISERROR(MATCH(C$1,INDIRECT("Table!A"&amp;$AK238):INDIRECT("Table!" &amp; $AN$275 &amp; $AK238),0)),"",INDIRECT(CONCATENATE("Table!",ADDRESS($T238,MATCH(C$1,INDIRECT("Table!A" &amp; $AK238):INDIRECT("Table!" &amp; $AN$275 &amp; $AK238),0)))))</f>
        <v/>
      </c>
      <c r="D238" s="24" t="str">
        <f ca="1">IF(ISERROR(MATCH(D$1,INDIRECT("Table!A"&amp;$AK238):INDIRECT("Table!" &amp; $AN$275 &amp; $AK238),0)),"",INDIRECT(CONCATENATE("Table!",ADDRESS($T238,MATCH(D$1,INDIRECT("Table!A" &amp; $AK238):INDIRECT("Table!" &amp; $AN$275 &amp; $AK238),0)))))</f>
        <v/>
      </c>
      <c r="E238" s="24" t="str">
        <f ca="1">IF(ISERROR(MATCH(E$1,INDIRECT("Table!A"&amp;$AK238):INDIRECT("Table!" &amp; $AN$275 &amp; $AK238),0)),"",INDIRECT(CONCATENATE("Table!",ADDRESS($T238,MATCH(E$1,INDIRECT("Table!A" &amp; $AK238):INDIRECT("Table!" &amp; $AN$275 &amp; $AK238),0)))))</f>
        <v/>
      </c>
      <c r="F238" s="24" t="str">
        <f ca="1">IF(ISERROR(MATCH(F$1,INDIRECT("Table!A"&amp;$AK238):INDIRECT("Table!" &amp; $AN$275 &amp; $AK238),0)),"",INDIRECT(CONCATENATE("Table!",ADDRESS($T238,MATCH(F$1,INDIRECT("Table!A" &amp; $AK238):INDIRECT("Table!" &amp; $AN$275 &amp; $AK238),0)))))</f>
        <v/>
      </c>
      <c r="G238" s="24" t="str">
        <f ca="1">IF(ISERROR(MATCH(G$1,INDIRECT("Table!A"&amp;$AK238):INDIRECT("Table!" &amp; $AN$275 &amp; $AK238),0)),"",INDIRECT(CONCATENATE("Table!",ADDRESS($T238,MATCH(G$1,INDIRECT("Table!A" &amp; $AK238):INDIRECT("Table!" &amp; $AN$275 &amp; $AK238),0)))))</f>
        <v/>
      </c>
      <c r="H238" s="24" t="str">
        <f ca="1">IF(ISERROR(MATCH(H$1,INDIRECT("Table!A"&amp;$AK238):INDIRECT("Table!" &amp; $AN$275 &amp; $AK238),0)),"",INDIRECT(CONCATENATE("Table!",ADDRESS($T238,MATCH(H$1,INDIRECT("Table!A" &amp; $AK238):INDIRECT("Table!" &amp; $AN$275 &amp; $AK238),0)))))</f>
        <v/>
      </c>
      <c r="I238" s="273"/>
      <c r="J238" s="273"/>
      <c r="K238" s="24" t="str">
        <f ca="1">IF(ISERROR(MATCH(L$1,INDIRECT("Table!A"&amp;$AK238):INDIRECT("Table!" &amp; $AN$275 &amp; $AK238),0)),"",INDIRECT(CONCATENATE("Table!",ADDRESS($T238,MATCH(L$1,INDIRECT("Table!A" &amp; $AK238):INDIRECT("Table!" &amp; $AN$275 &amp; $AK238),0)))))</f>
        <v/>
      </c>
      <c r="L238" s="24" t="str">
        <f ca="1">IF(ISERROR(MATCH(M$1,INDIRECT("Table!A"&amp;$AK238):INDIRECT("Table!" &amp; $AN$275 &amp; $AK238),0)),"",INDIRECT(CONCATENATE("Table!",ADDRESS($T238,MATCH(M$1,INDIRECT("Table!A" &amp; $AK238):INDIRECT("Table!" &amp; $AN$275 &amp; $AK238),0)))))</f>
        <v/>
      </c>
      <c r="M238" s="24" t="str">
        <f ca="1">IF(ISERROR(MATCH(N$1,INDIRECT("Table!A"&amp;$AK238):INDIRECT("Table!" &amp; $AN$275 &amp; $AK238),0)),"",INDIRECT(CONCATENATE("Table!",ADDRESS($T238,MATCH(N$1,INDIRECT("Table!A" &amp; $AK238):INDIRECT("Table!" &amp; $AN$275 &amp; $AK238),0)))))</f>
        <v/>
      </c>
      <c r="N238" s="24" t="str">
        <f ca="1">IF(ISERROR(MATCH(O$1,INDIRECT("Table!A"&amp;$AK238):INDIRECT("Table!" &amp; $AN$275 &amp; $AK238),0)),"",INDIRECT(CONCATENATE("Table!",ADDRESS($T238,MATCH(O$1,INDIRECT("Table!A" &amp; $AK238):INDIRECT("Table!" &amp; $AN$275 &amp; $AK238),0)))))</f>
        <v/>
      </c>
      <c r="O238" s="24" t="str">
        <f ca="1">IF(ISERROR(MATCH(P$1,INDIRECT("Table!A"&amp;$AK238):INDIRECT("Table!" &amp; $AN$275 &amp; $AK238),0)),"",INDIRECT(CONCATENATE("Table!",ADDRESS($T238,MATCH(P$1,INDIRECT("Table!A" &amp; $AK238):INDIRECT("Table!" &amp; $AN$275 &amp; $AK238),0)))))</f>
        <v/>
      </c>
      <c r="P238" s="273" t="str">
        <f ca="1">IF(ISERROR(MATCH(Q$1,INDIRECT("Table!A"&amp;$AK238):INDIRECT("Table!" &amp; $AN$275 &amp; $AK238),0)),"",INDIRECT(CONCATENATE("Table!",ADDRESS($T238,MATCH(Q$1,INDIRECT("Table!A" &amp; $AK238):INDIRECT("Table!" &amp; $AN$275 &amp; $AK238),0)))))</f>
        <v/>
      </c>
      <c r="Q238" s="107"/>
      <c r="R238" s="107"/>
      <c r="S238" s="107"/>
      <c r="T238" s="22"/>
      <c r="AI238" s="107"/>
      <c r="AJ238" s="107"/>
      <c r="AK238" s="22"/>
      <c r="AL238" s="107"/>
      <c r="AM238" s="107"/>
      <c r="AN238" s="107"/>
    </row>
    <row r="239" spans="2:40" ht="18" customHeight="1" x14ac:dyDescent="0.25">
      <c r="B239" s="24"/>
      <c r="C239" s="24" t="str">
        <f ca="1">IF(ISERROR(MATCH(C$1,INDIRECT("Table!A"&amp;$AK239):INDIRECT("Table!" &amp; $AN$275 &amp; $AK239),0)),"",INDIRECT(CONCATENATE("Table!",ADDRESS($T239,MATCH(C$1,INDIRECT("Table!A" &amp; $AK239):INDIRECT("Table!" &amp; $AN$275 &amp; $AK239),0)))))</f>
        <v/>
      </c>
      <c r="D239" s="24" t="str">
        <f ca="1">IF(ISERROR(MATCH(D$1,INDIRECT("Table!A"&amp;$AK239):INDIRECT("Table!" &amp; $AN$275 &amp; $AK239),0)),"",INDIRECT(CONCATENATE("Table!",ADDRESS($T239,MATCH(D$1,INDIRECT("Table!A" &amp; $AK239):INDIRECT("Table!" &amp; $AN$275 &amp; $AK239),0)))))</f>
        <v/>
      </c>
      <c r="E239" s="24" t="str">
        <f ca="1">IF(ISERROR(MATCH(E$1,INDIRECT("Table!A"&amp;$AK239):INDIRECT("Table!" &amp; $AN$275 &amp; $AK239),0)),"",INDIRECT(CONCATENATE("Table!",ADDRESS($T239,MATCH(E$1,INDIRECT("Table!A" &amp; $AK239):INDIRECT("Table!" &amp; $AN$275 &amp; $AK239),0)))))</f>
        <v/>
      </c>
      <c r="F239" s="24" t="str">
        <f ca="1">IF(ISERROR(MATCH(F$1,INDIRECT("Table!A"&amp;$AK239):INDIRECT("Table!" &amp; $AN$275 &amp; $AK239),0)),"",INDIRECT(CONCATENATE("Table!",ADDRESS($T239,MATCH(F$1,INDIRECT("Table!A" &amp; $AK239):INDIRECT("Table!" &amp; $AN$275 &amp; $AK239),0)))))</f>
        <v/>
      </c>
      <c r="G239" s="24" t="str">
        <f ca="1">IF(ISERROR(MATCH(G$1,INDIRECT("Table!A"&amp;$AK239):INDIRECT("Table!" &amp; $AN$275 &amp; $AK239),0)),"",INDIRECT(CONCATENATE("Table!",ADDRESS($T239,MATCH(G$1,INDIRECT("Table!A" &amp; $AK239):INDIRECT("Table!" &amp; $AN$275 &amp; $AK239),0)))))</f>
        <v/>
      </c>
      <c r="H239" s="24" t="str">
        <f ca="1">IF(ISERROR(MATCH(H$1,INDIRECT("Table!A"&amp;$AK239):INDIRECT("Table!" &amp; $AN$275 &amp; $AK239),0)),"",INDIRECT(CONCATENATE("Table!",ADDRESS($T239,MATCH(H$1,INDIRECT("Table!A" &amp; $AK239):INDIRECT("Table!" &amp; $AN$275 &amp; $AK239),0)))))</f>
        <v/>
      </c>
      <c r="I239" s="273"/>
      <c r="J239" s="273"/>
      <c r="K239" s="24" t="str">
        <f ca="1">IF(ISERROR(MATCH(L$1,INDIRECT("Table!A"&amp;$AK239):INDIRECT("Table!" &amp; $AN$275 &amp; $AK239),0)),"",INDIRECT(CONCATENATE("Table!",ADDRESS($T239,MATCH(L$1,INDIRECT("Table!A" &amp; $AK239):INDIRECT("Table!" &amp; $AN$275 &amp; $AK239),0)))))</f>
        <v/>
      </c>
      <c r="L239" s="24" t="str">
        <f ca="1">IF(ISERROR(MATCH(M$1,INDIRECT("Table!A"&amp;$AK239):INDIRECT("Table!" &amp; $AN$275 &amp; $AK239),0)),"",INDIRECT(CONCATENATE("Table!",ADDRESS($T239,MATCH(M$1,INDIRECT("Table!A" &amp; $AK239):INDIRECT("Table!" &amp; $AN$275 &amp; $AK239),0)))))</f>
        <v/>
      </c>
      <c r="M239" s="24" t="str">
        <f ca="1">IF(ISERROR(MATCH(N$1,INDIRECT("Table!A"&amp;$AK239):INDIRECT("Table!" &amp; $AN$275 &amp; $AK239),0)),"",INDIRECT(CONCATENATE("Table!",ADDRESS($T239,MATCH(N$1,INDIRECT("Table!A" &amp; $AK239):INDIRECT("Table!" &amp; $AN$275 &amp; $AK239),0)))))</f>
        <v/>
      </c>
      <c r="N239" s="24" t="str">
        <f ca="1">IF(ISERROR(MATCH(O$1,INDIRECT("Table!A"&amp;$AK239):INDIRECT("Table!" &amp; $AN$275 &amp; $AK239),0)),"",INDIRECT(CONCATENATE("Table!",ADDRESS($T239,MATCH(O$1,INDIRECT("Table!A" &amp; $AK239):INDIRECT("Table!" &amp; $AN$275 &amp; $AK239),0)))))</f>
        <v/>
      </c>
      <c r="O239" s="24" t="str">
        <f ca="1">IF(ISERROR(MATCH(P$1,INDIRECT("Table!A"&amp;$AK239):INDIRECT("Table!" &amp; $AN$275 &amp; $AK239),0)),"",INDIRECT(CONCATENATE("Table!",ADDRESS($T239,MATCH(P$1,INDIRECT("Table!A" &amp; $AK239):INDIRECT("Table!" &amp; $AN$275 &amp; $AK239),0)))))</f>
        <v/>
      </c>
      <c r="P239" s="273" t="str">
        <f ca="1">IF(ISERROR(MATCH(Q$1,INDIRECT("Table!A"&amp;$AK239):INDIRECT("Table!" &amp; $AN$275 &amp; $AK239),0)),"",INDIRECT(CONCATENATE("Table!",ADDRESS($T239,MATCH(Q$1,INDIRECT("Table!A" &amp; $AK239):INDIRECT("Table!" &amp; $AN$275 &amp; $AK239),0)))))</f>
        <v/>
      </c>
      <c r="Q239" s="106"/>
      <c r="R239" s="106"/>
      <c r="S239" s="106"/>
      <c r="T239" s="22"/>
      <c r="AI239" s="106"/>
      <c r="AJ239" s="106"/>
      <c r="AK239" s="22"/>
      <c r="AL239" s="106"/>
      <c r="AM239" s="106"/>
      <c r="AN239" s="106"/>
    </row>
    <row r="240" spans="2:40" ht="18" customHeight="1" x14ac:dyDescent="0.25">
      <c r="B240" s="24"/>
      <c r="C240" s="24" t="str">
        <f ca="1">IF(ISERROR(MATCH(C$1,INDIRECT("Table!A"&amp;$AK240):INDIRECT("Table!" &amp; $AN$275 &amp; $AK240),0)),"",INDIRECT(CONCATENATE("Table!",ADDRESS($T240,MATCH(C$1,INDIRECT("Table!A" &amp; $AK240):INDIRECT("Table!" &amp; $AN$275 &amp; $AK240),0)))))</f>
        <v/>
      </c>
      <c r="D240" s="24" t="str">
        <f ca="1">IF(ISERROR(MATCH(D$1,INDIRECT("Table!A"&amp;$AK240):INDIRECT("Table!" &amp; $AN$275 &amp; $AK240),0)),"",INDIRECT(CONCATENATE("Table!",ADDRESS($T240,MATCH(D$1,INDIRECT("Table!A" &amp; $AK240):INDIRECT("Table!" &amp; $AN$275 &amp; $AK240),0)))))</f>
        <v/>
      </c>
      <c r="E240" s="24" t="str">
        <f ca="1">IF(ISERROR(MATCH(E$1,INDIRECT("Table!A"&amp;$AK240):INDIRECT("Table!" &amp; $AN$275 &amp; $AK240),0)),"",INDIRECT(CONCATENATE("Table!",ADDRESS($T240,MATCH(E$1,INDIRECT("Table!A" &amp; $AK240):INDIRECT("Table!" &amp; $AN$275 &amp; $AK240),0)))))</f>
        <v/>
      </c>
      <c r="F240" s="24" t="str">
        <f ca="1">IF(ISERROR(MATCH(F$1,INDIRECT("Table!A"&amp;$AK240):INDIRECT("Table!" &amp; $AN$275 &amp; $AK240),0)),"",INDIRECT(CONCATENATE("Table!",ADDRESS($T240,MATCH(F$1,INDIRECT("Table!A" &amp; $AK240):INDIRECT("Table!" &amp; $AN$275 &amp; $AK240),0)))))</f>
        <v/>
      </c>
      <c r="G240" s="24" t="str">
        <f ca="1">IF(ISERROR(MATCH(G$1,INDIRECT("Table!A"&amp;$AK240):INDIRECT("Table!" &amp; $AN$275 &amp; $AK240),0)),"",INDIRECT(CONCATENATE("Table!",ADDRESS($T240,MATCH(G$1,INDIRECT("Table!A" &amp; $AK240):INDIRECT("Table!" &amp; $AN$275 &amp; $AK240),0)))))</f>
        <v/>
      </c>
      <c r="H240" s="24" t="str">
        <f ca="1">IF(ISERROR(MATCH(H$1,INDIRECT("Table!A"&amp;$AK240):INDIRECT("Table!" &amp; $AN$275 &amp; $AK240),0)),"",INDIRECT(CONCATENATE("Table!",ADDRESS($T240,MATCH(H$1,INDIRECT("Table!A" &amp; $AK240):INDIRECT("Table!" &amp; $AN$275 &amp; $AK240),0)))))</f>
        <v/>
      </c>
      <c r="I240" s="273"/>
      <c r="J240" s="273"/>
      <c r="K240" s="24" t="str">
        <f ca="1">IF(ISERROR(MATCH(L$1,INDIRECT("Table!A"&amp;$AK240):INDIRECT("Table!" &amp; $AN$275 &amp; $AK240),0)),"",INDIRECT(CONCATENATE("Table!",ADDRESS($T240,MATCH(L$1,INDIRECT("Table!A" &amp; $AK240):INDIRECT("Table!" &amp; $AN$275 &amp; $AK240),0)))))</f>
        <v/>
      </c>
      <c r="L240" s="24" t="str">
        <f ca="1">IF(ISERROR(MATCH(M$1,INDIRECT("Table!A"&amp;$AK240):INDIRECT("Table!" &amp; $AN$275 &amp; $AK240),0)),"",INDIRECT(CONCATENATE("Table!",ADDRESS($T240,MATCH(M$1,INDIRECT("Table!A" &amp; $AK240):INDIRECT("Table!" &amp; $AN$275 &amp; $AK240),0)))))</f>
        <v/>
      </c>
      <c r="M240" s="24" t="str">
        <f ca="1">IF(ISERROR(MATCH(N$1,INDIRECT("Table!A"&amp;$AK240):INDIRECT("Table!" &amp; $AN$275 &amp; $AK240),0)),"",INDIRECT(CONCATENATE("Table!",ADDRESS($T240,MATCH(N$1,INDIRECT("Table!A" &amp; $AK240):INDIRECT("Table!" &amp; $AN$275 &amp; $AK240),0)))))</f>
        <v/>
      </c>
      <c r="N240" s="24" t="str">
        <f ca="1">IF(ISERROR(MATCH(O$1,INDIRECT("Table!A"&amp;$AK240):INDIRECT("Table!" &amp; $AN$275 &amp; $AK240),0)),"",INDIRECT(CONCATENATE("Table!",ADDRESS($T240,MATCH(O$1,INDIRECT("Table!A" &amp; $AK240):INDIRECT("Table!" &amp; $AN$275 &amp; $AK240),0)))))</f>
        <v/>
      </c>
      <c r="O240" s="24" t="str">
        <f ca="1">IF(ISERROR(MATCH(P$1,INDIRECT("Table!A"&amp;$AK240):INDIRECT("Table!" &amp; $AN$275 &amp; $AK240),0)),"",INDIRECT(CONCATENATE("Table!",ADDRESS($T240,MATCH(P$1,INDIRECT("Table!A" &amp; $AK240):INDIRECT("Table!" &amp; $AN$275 &amp; $AK240),0)))))</f>
        <v/>
      </c>
      <c r="P240" s="273" t="str">
        <f ca="1">IF(ISERROR(MATCH(Q$1,INDIRECT("Table!A"&amp;$AK240):INDIRECT("Table!" &amp; $AN$275 &amp; $AK240),0)),"",INDIRECT(CONCATENATE("Table!",ADDRESS($T240,MATCH(Q$1,INDIRECT("Table!A" &amp; $AK240):INDIRECT("Table!" &amp; $AN$275 &amp; $AK240),0)))))</f>
        <v/>
      </c>
      <c r="Q240" s="105"/>
      <c r="R240" s="105"/>
      <c r="S240" s="105"/>
      <c r="T240" s="22"/>
      <c r="AI240" s="105"/>
      <c r="AJ240" s="105"/>
      <c r="AK240" s="22"/>
      <c r="AL240" s="105"/>
      <c r="AM240" s="105"/>
      <c r="AN240" s="105"/>
    </row>
    <row r="241" spans="2:40" ht="18" customHeight="1" x14ac:dyDescent="0.25">
      <c r="B241" s="24"/>
      <c r="C241" s="24" t="str">
        <f ca="1">IF(ISERROR(MATCH(C$1,INDIRECT("Table!A"&amp;$AK241):INDIRECT("Table!" &amp; $AN$275 &amp; $AK241),0)),"",INDIRECT(CONCATENATE("Table!",ADDRESS($T241,MATCH(C$1,INDIRECT("Table!A" &amp; $AK241):INDIRECT("Table!" &amp; $AN$275 &amp; $AK241),0)))))</f>
        <v/>
      </c>
      <c r="D241" s="24" t="str">
        <f ca="1">IF(ISERROR(MATCH(D$1,INDIRECT("Table!A"&amp;$AK241):INDIRECT("Table!" &amp; $AN$275 &amp; $AK241),0)),"",INDIRECT(CONCATENATE("Table!",ADDRESS($T241,MATCH(D$1,INDIRECT("Table!A" &amp; $AK241):INDIRECT("Table!" &amp; $AN$275 &amp; $AK241),0)))))</f>
        <v/>
      </c>
      <c r="E241" s="24" t="str">
        <f ca="1">IF(ISERROR(MATCH(E$1,INDIRECT("Table!A"&amp;$AK241):INDIRECT("Table!" &amp; $AN$275 &amp; $AK241),0)),"",INDIRECT(CONCATENATE("Table!",ADDRESS($T241,MATCH(E$1,INDIRECT("Table!A" &amp; $AK241):INDIRECT("Table!" &amp; $AN$275 &amp; $AK241),0)))))</f>
        <v/>
      </c>
      <c r="F241" s="24" t="str">
        <f ca="1">IF(ISERROR(MATCH(F$1,INDIRECT("Table!A"&amp;$AK241):INDIRECT("Table!" &amp; $AN$275 &amp; $AK241),0)),"",INDIRECT(CONCATENATE("Table!",ADDRESS($T241,MATCH(F$1,INDIRECT("Table!A" &amp; $AK241):INDIRECT("Table!" &amp; $AN$275 &amp; $AK241),0)))))</f>
        <v/>
      </c>
      <c r="G241" s="24" t="str">
        <f ca="1">IF(ISERROR(MATCH(G$1,INDIRECT("Table!A"&amp;$AK241):INDIRECT("Table!" &amp; $AN$275 &amp; $AK241),0)),"",INDIRECT(CONCATENATE("Table!",ADDRESS($T241,MATCH(G$1,INDIRECT("Table!A" &amp; $AK241):INDIRECT("Table!" &amp; $AN$275 &amp; $AK241),0)))))</f>
        <v/>
      </c>
      <c r="H241" s="24" t="str">
        <f ca="1">IF(ISERROR(MATCH(H$1,INDIRECT("Table!A"&amp;$AK241):INDIRECT("Table!" &amp; $AN$275 &amp; $AK241),0)),"",INDIRECT(CONCATENATE("Table!",ADDRESS($T241,MATCH(H$1,INDIRECT("Table!A" &amp; $AK241):INDIRECT("Table!" &amp; $AN$275 &amp; $AK241),0)))))</f>
        <v/>
      </c>
      <c r="I241" s="273"/>
      <c r="J241" s="273"/>
      <c r="K241" s="24" t="str">
        <f ca="1">IF(ISERROR(MATCH(L$1,INDIRECT("Table!A"&amp;$AK241):INDIRECT("Table!" &amp; $AN$275 &amp; $AK241),0)),"",INDIRECT(CONCATENATE("Table!",ADDRESS($T241,MATCH(L$1,INDIRECT("Table!A" &amp; $AK241):INDIRECT("Table!" &amp; $AN$275 &amp; $AK241),0)))))</f>
        <v/>
      </c>
      <c r="L241" s="24" t="str">
        <f ca="1">IF(ISERROR(MATCH(M$1,INDIRECT("Table!A"&amp;$AK241):INDIRECT("Table!" &amp; $AN$275 &amp; $AK241),0)),"",INDIRECT(CONCATENATE("Table!",ADDRESS($T241,MATCH(M$1,INDIRECT("Table!A" &amp; $AK241):INDIRECT("Table!" &amp; $AN$275 &amp; $AK241),0)))))</f>
        <v/>
      </c>
      <c r="M241" s="24" t="str">
        <f ca="1">IF(ISERROR(MATCH(N$1,INDIRECT("Table!A"&amp;$AK241):INDIRECT("Table!" &amp; $AN$275 &amp; $AK241),0)),"",INDIRECT(CONCATENATE("Table!",ADDRESS($T241,MATCH(N$1,INDIRECT("Table!A" &amp; $AK241):INDIRECT("Table!" &amp; $AN$275 &amp; $AK241),0)))))</f>
        <v/>
      </c>
      <c r="N241" s="24" t="str">
        <f ca="1">IF(ISERROR(MATCH(O$1,INDIRECT("Table!A"&amp;$AK241):INDIRECT("Table!" &amp; $AN$275 &amp; $AK241),0)),"",INDIRECT(CONCATENATE("Table!",ADDRESS($T241,MATCH(O$1,INDIRECT("Table!A" &amp; $AK241):INDIRECT("Table!" &amp; $AN$275 &amp; $AK241),0)))))</f>
        <v/>
      </c>
      <c r="O241" s="24" t="str">
        <f ca="1">IF(ISERROR(MATCH(P$1,INDIRECT("Table!A"&amp;$AK241):INDIRECT("Table!" &amp; $AN$275 &amp; $AK241),0)),"",INDIRECT(CONCATENATE("Table!",ADDRESS($T241,MATCH(P$1,INDIRECT("Table!A" &amp; $AK241):INDIRECT("Table!" &amp; $AN$275 &amp; $AK241),0)))))</f>
        <v/>
      </c>
      <c r="P241" s="273" t="str">
        <f ca="1">IF(ISERROR(MATCH(Q$1,INDIRECT("Table!A"&amp;$AK241):INDIRECT("Table!" &amp; $AN$275 &amp; $AK241),0)),"",INDIRECT(CONCATENATE("Table!",ADDRESS($T241,MATCH(Q$1,INDIRECT("Table!A" &amp; $AK241):INDIRECT("Table!" &amp; $AN$275 &amp; $AK241),0)))))</f>
        <v/>
      </c>
      <c r="Q241" s="104"/>
      <c r="R241" s="104"/>
      <c r="S241" s="104"/>
      <c r="T241" s="22"/>
      <c r="AI241" s="104"/>
      <c r="AJ241" s="104"/>
      <c r="AK241" s="22"/>
      <c r="AL241" s="104"/>
      <c r="AM241" s="104"/>
      <c r="AN241" s="104"/>
    </row>
    <row r="242" spans="2:40" ht="18" customHeight="1" x14ac:dyDescent="0.25">
      <c r="B242" s="24"/>
      <c r="C242" s="24" t="str">
        <f ca="1">IF(ISERROR(MATCH(C$1,INDIRECT("Table!A"&amp;$AK242):INDIRECT("Table!" &amp; $AN$275 &amp; $AK242),0)),"",INDIRECT(CONCATENATE("Table!",ADDRESS($T242,MATCH(C$1,INDIRECT("Table!A" &amp; $AK242):INDIRECT("Table!" &amp; $AN$275 &amp; $AK242),0)))))</f>
        <v/>
      </c>
      <c r="D242" s="24" t="str">
        <f ca="1">IF(ISERROR(MATCH(D$1,INDIRECT("Table!A"&amp;$AK242):INDIRECT("Table!" &amp; $AN$275 &amp; $AK242),0)),"",INDIRECT(CONCATENATE("Table!",ADDRESS($T242,MATCH(D$1,INDIRECT("Table!A" &amp; $AK242):INDIRECT("Table!" &amp; $AN$275 &amp; $AK242),0)))))</f>
        <v/>
      </c>
      <c r="E242" s="24" t="str">
        <f ca="1">IF(ISERROR(MATCH(E$1,INDIRECT("Table!A"&amp;$AK242):INDIRECT("Table!" &amp; $AN$275 &amp; $AK242),0)),"",INDIRECT(CONCATENATE("Table!",ADDRESS($T242,MATCH(E$1,INDIRECT("Table!A" &amp; $AK242):INDIRECT("Table!" &amp; $AN$275 &amp; $AK242),0)))))</f>
        <v/>
      </c>
      <c r="F242" s="24" t="str">
        <f ca="1">IF(ISERROR(MATCH(F$1,INDIRECT("Table!A"&amp;$AK242):INDIRECT("Table!" &amp; $AN$275 &amp; $AK242),0)),"",INDIRECT(CONCATENATE("Table!",ADDRESS($T242,MATCH(F$1,INDIRECT("Table!A" &amp; $AK242):INDIRECT("Table!" &amp; $AN$275 &amp; $AK242),0)))))</f>
        <v/>
      </c>
      <c r="G242" s="24" t="str">
        <f ca="1">IF(ISERROR(MATCH(G$1,INDIRECT("Table!A"&amp;$AK242):INDIRECT("Table!" &amp; $AN$275 &amp; $AK242),0)),"",INDIRECT(CONCATENATE("Table!",ADDRESS($T242,MATCH(G$1,INDIRECT("Table!A" &amp; $AK242):INDIRECT("Table!" &amp; $AN$275 &amp; $AK242),0)))))</f>
        <v/>
      </c>
      <c r="H242" s="24" t="str">
        <f ca="1">IF(ISERROR(MATCH(H$1,INDIRECT("Table!A"&amp;$AK242):INDIRECT("Table!" &amp; $AN$275 &amp; $AK242),0)),"",INDIRECT(CONCATENATE("Table!",ADDRESS($T242,MATCH(H$1,INDIRECT("Table!A" &amp; $AK242):INDIRECT("Table!" &amp; $AN$275 &amp; $AK242),0)))))</f>
        <v/>
      </c>
      <c r="I242" s="273"/>
      <c r="J242" s="273"/>
      <c r="K242" s="24" t="str">
        <f ca="1">IF(ISERROR(MATCH(L$1,INDIRECT("Table!A"&amp;$AK242):INDIRECT("Table!" &amp; $AN$275 &amp; $AK242),0)),"",INDIRECT(CONCATENATE("Table!",ADDRESS($T242,MATCH(L$1,INDIRECT("Table!A" &amp; $AK242):INDIRECT("Table!" &amp; $AN$275 &amp; $AK242),0)))))</f>
        <v/>
      </c>
      <c r="L242" s="24" t="str">
        <f ca="1">IF(ISERROR(MATCH(M$1,INDIRECT("Table!A"&amp;$AK242):INDIRECT("Table!" &amp; $AN$275 &amp; $AK242),0)),"",INDIRECT(CONCATENATE("Table!",ADDRESS($T242,MATCH(M$1,INDIRECT("Table!A" &amp; $AK242):INDIRECT("Table!" &amp; $AN$275 &amp; $AK242),0)))))</f>
        <v/>
      </c>
      <c r="M242" s="24" t="str">
        <f ca="1">IF(ISERROR(MATCH(N$1,INDIRECT("Table!A"&amp;$AK242):INDIRECT("Table!" &amp; $AN$275 &amp; $AK242),0)),"",INDIRECT(CONCATENATE("Table!",ADDRESS($T242,MATCH(N$1,INDIRECT("Table!A" &amp; $AK242):INDIRECT("Table!" &amp; $AN$275 &amp; $AK242),0)))))</f>
        <v/>
      </c>
      <c r="N242" s="24" t="str">
        <f ca="1">IF(ISERROR(MATCH(O$1,INDIRECT("Table!A"&amp;$AK242):INDIRECT("Table!" &amp; $AN$275 &amp; $AK242),0)),"",INDIRECT(CONCATENATE("Table!",ADDRESS($T242,MATCH(O$1,INDIRECT("Table!A" &amp; $AK242):INDIRECT("Table!" &amp; $AN$275 &amp; $AK242),0)))))</f>
        <v/>
      </c>
      <c r="O242" s="24" t="str">
        <f ca="1">IF(ISERROR(MATCH(P$1,INDIRECT("Table!A"&amp;$AK242):INDIRECT("Table!" &amp; $AN$275 &amp; $AK242),0)),"",INDIRECT(CONCATENATE("Table!",ADDRESS($T242,MATCH(P$1,INDIRECT("Table!A" &amp; $AK242):INDIRECT("Table!" &amp; $AN$275 &amp; $AK242),0)))))</f>
        <v/>
      </c>
      <c r="P242" s="273" t="str">
        <f ca="1">IF(ISERROR(MATCH(Q$1,INDIRECT("Table!A"&amp;$AK242):INDIRECT("Table!" &amp; $AN$275 &amp; $AK242),0)),"",INDIRECT(CONCATENATE("Table!",ADDRESS($T242,MATCH(Q$1,INDIRECT("Table!A" &amp; $AK242):INDIRECT("Table!" &amp; $AN$275 &amp; $AK242),0)))))</f>
        <v/>
      </c>
      <c r="Q242" s="103"/>
      <c r="R242" s="103"/>
      <c r="S242" s="103"/>
      <c r="T242" s="22"/>
      <c r="AI242" s="103"/>
      <c r="AJ242" s="103"/>
      <c r="AK242" s="22"/>
      <c r="AL242" s="103"/>
      <c r="AM242" s="103"/>
      <c r="AN242" s="103"/>
    </row>
    <row r="243" spans="2:40" ht="18" customHeight="1" x14ac:dyDescent="0.25">
      <c r="B243" s="24"/>
      <c r="C243" s="24" t="str">
        <f ca="1">IF(ISERROR(MATCH(C$1,INDIRECT("Table!A"&amp;$AK243):INDIRECT("Table!" &amp; $AN$275 &amp; $AK243),0)),"",INDIRECT(CONCATENATE("Table!",ADDRESS($T243,MATCH(C$1,INDIRECT("Table!A" &amp; $AK243):INDIRECT("Table!" &amp; $AN$275 &amp; $AK243),0)))))</f>
        <v/>
      </c>
      <c r="D243" s="24" t="str">
        <f ca="1">IF(ISERROR(MATCH(D$1,INDIRECT("Table!A"&amp;$AK243):INDIRECT("Table!" &amp; $AN$275 &amp; $AK243),0)),"",INDIRECT(CONCATENATE("Table!",ADDRESS($T243,MATCH(D$1,INDIRECT("Table!A" &amp; $AK243):INDIRECT("Table!" &amp; $AN$275 &amp; $AK243),0)))))</f>
        <v/>
      </c>
      <c r="E243" s="24" t="str">
        <f ca="1">IF(ISERROR(MATCH(E$1,INDIRECT("Table!A"&amp;$AK243):INDIRECT("Table!" &amp; $AN$275 &amp; $AK243),0)),"",INDIRECT(CONCATENATE("Table!",ADDRESS($T243,MATCH(E$1,INDIRECT("Table!A" &amp; $AK243):INDIRECT("Table!" &amp; $AN$275 &amp; $AK243),0)))))</f>
        <v/>
      </c>
      <c r="F243" s="24" t="str">
        <f ca="1">IF(ISERROR(MATCH(F$1,INDIRECT("Table!A"&amp;$AK243):INDIRECT("Table!" &amp; $AN$275 &amp; $AK243),0)),"",INDIRECT(CONCATENATE("Table!",ADDRESS($T243,MATCH(F$1,INDIRECT("Table!A" &amp; $AK243):INDIRECT("Table!" &amp; $AN$275 &amp; $AK243),0)))))</f>
        <v/>
      </c>
      <c r="G243" s="24" t="str">
        <f ca="1">IF(ISERROR(MATCH(G$1,INDIRECT("Table!A"&amp;$AK243):INDIRECT("Table!" &amp; $AN$275 &amp; $AK243),0)),"",INDIRECT(CONCATENATE("Table!",ADDRESS($T243,MATCH(G$1,INDIRECT("Table!A" &amp; $AK243):INDIRECT("Table!" &amp; $AN$275 &amp; $AK243),0)))))</f>
        <v/>
      </c>
      <c r="H243" s="24" t="str">
        <f ca="1">IF(ISERROR(MATCH(H$1,INDIRECT("Table!A"&amp;$AK243):INDIRECT("Table!" &amp; $AN$275 &amp; $AK243),0)),"",INDIRECT(CONCATENATE("Table!",ADDRESS($T243,MATCH(H$1,INDIRECT("Table!A" &amp; $AK243):INDIRECT("Table!" &amp; $AN$275 &amp; $AK243),0)))))</f>
        <v/>
      </c>
      <c r="I243" s="273"/>
      <c r="J243" s="273"/>
      <c r="K243" s="24" t="str">
        <f ca="1">IF(ISERROR(MATCH(L$1,INDIRECT("Table!A"&amp;$AK243):INDIRECT("Table!" &amp; $AN$275 &amp; $AK243),0)),"",INDIRECT(CONCATENATE("Table!",ADDRESS($T243,MATCH(L$1,INDIRECT("Table!A" &amp; $AK243):INDIRECT("Table!" &amp; $AN$275 &amp; $AK243),0)))))</f>
        <v/>
      </c>
      <c r="L243" s="24" t="str">
        <f ca="1">IF(ISERROR(MATCH(M$1,INDIRECT("Table!A"&amp;$AK243):INDIRECT("Table!" &amp; $AN$275 &amp; $AK243),0)),"",INDIRECT(CONCATENATE("Table!",ADDRESS($T243,MATCH(M$1,INDIRECT("Table!A" &amp; $AK243):INDIRECT("Table!" &amp; $AN$275 &amp; $AK243),0)))))</f>
        <v/>
      </c>
      <c r="M243" s="24" t="str">
        <f ca="1">IF(ISERROR(MATCH(N$1,INDIRECT("Table!A"&amp;$AK243):INDIRECT("Table!" &amp; $AN$275 &amp; $AK243),0)),"",INDIRECT(CONCATENATE("Table!",ADDRESS($T243,MATCH(N$1,INDIRECT("Table!A" &amp; $AK243):INDIRECT("Table!" &amp; $AN$275 &amp; $AK243),0)))))</f>
        <v/>
      </c>
      <c r="N243" s="24" t="str">
        <f ca="1">IF(ISERROR(MATCH(O$1,INDIRECT("Table!A"&amp;$AK243):INDIRECT("Table!" &amp; $AN$275 &amp; $AK243),0)),"",INDIRECT(CONCATENATE("Table!",ADDRESS($T243,MATCH(O$1,INDIRECT("Table!A" &amp; $AK243):INDIRECT("Table!" &amp; $AN$275 &amp; $AK243),0)))))</f>
        <v/>
      </c>
      <c r="O243" s="24" t="str">
        <f ca="1">IF(ISERROR(MATCH(P$1,INDIRECT("Table!A"&amp;$AK243):INDIRECT("Table!" &amp; $AN$275 &amp; $AK243),0)),"",INDIRECT(CONCATENATE("Table!",ADDRESS($T243,MATCH(P$1,INDIRECT("Table!A" &amp; $AK243):INDIRECT("Table!" &amp; $AN$275 &amp; $AK243),0)))))</f>
        <v/>
      </c>
      <c r="P243" s="273" t="str">
        <f ca="1">IF(ISERROR(MATCH(Q$1,INDIRECT("Table!A"&amp;$AK243):INDIRECT("Table!" &amp; $AN$275 &amp; $AK243),0)),"",INDIRECT(CONCATENATE("Table!",ADDRESS($T243,MATCH(Q$1,INDIRECT("Table!A" &amp; $AK243):INDIRECT("Table!" &amp; $AN$275 &amp; $AK243),0)))))</f>
        <v/>
      </c>
      <c r="Q243" s="102"/>
      <c r="R243" s="102"/>
      <c r="S243" s="102"/>
      <c r="T243" s="22"/>
      <c r="AI243" s="102"/>
      <c r="AJ243" s="102"/>
      <c r="AK243" s="22"/>
      <c r="AL243" s="102"/>
      <c r="AM243" s="102"/>
      <c r="AN243" s="102"/>
    </row>
    <row r="244" spans="2:40" ht="18" customHeight="1" x14ac:dyDescent="0.25">
      <c r="B244" s="24"/>
      <c r="C244" s="24" t="str">
        <f ca="1">IF(ISERROR(MATCH(C$1,INDIRECT("Table!A"&amp;$AK244):INDIRECT("Table!" &amp; $AN$275 &amp; $AK244),0)),"",INDIRECT(CONCATENATE("Table!",ADDRESS($T244,MATCH(C$1,INDIRECT("Table!A" &amp; $AK244):INDIRECT("Table!" &amp; $AN$275 &amp; $AK244),0)))))</f>
        <v/>
      </c>
      <c r="D244" s="24" t="str">
        <f ca="1">IF(ISERROR(MATCH(D$1,INDIRECT("Table!A"&amp;$AK244):INDIRECT("Table!" &amp; $AN$275 &amp; $AK244),0)),"",INDIRECT(CONCATENATE("Table!",ADDRESS($T244,MATCH(D$1,INDIRECT("Table!A" &amp; $AK244):INDIRECT("Table!" &amp; $AN$275 &amp; $AK244),0)))))</f>
        <v/>
      </c>
      <c r="E244" s="24" t="str">
        <f ca="1">IF(ISERROR(MATCH(E$1,INDIRECT("Table!A"&amp;$AK244):INDIRECT("Table!" &amp; $AN$275 &amp; $AK244),0)),"",INDIRECT(CONCATENATE("Table!",ADDRESS($T244,MATCH(E$1,INDIRECT("Table!A" &amp; $AK244):INDIRECT("Table!" &amp; $AN$275 &amp; $AK244),0)))))</f>
        <v/>
      </c>
      <c r="F244" s="24" t="str">
        <f ca="1">IF(ISERROR(MATCH(F$1,INDIRECT("Table!A"&amp;$AK244):INDIRECT("Table!" &amp; $AN$275 &amp; $AK244),0)),"",INDIRECT(CONCATENATE("Table!",ADDRESS($T244,MATCH(F$1,INDIRECT("Table!A" &amp; $AK244):INDIRECT("Table!" &amp; $AN$275 &amp; $AK244),0)))))</f>
        <v/>
      </c>
      <c r="G244" s="24" t="str">
        <f ca="1">IF(ISERROR(MATCH(G$1,INDIRECT("Table!A"&amp;$AK244):INDIRECT("Table!" &amp; $AN$275 &amp; $AK244),0)),"",INDIRECT(CONCATENATE("Table!",ADDRESS($T244,MATCH(G$1,INDIRECT("Table!A" &amp; $AK244):INDIRECT("Table!" &amp; $AN$275 &amp; $AK244),0)))))</f>
        <v/>
      </c>
      <c r="H244" s="24" t="str">
        <f ca="1">IF(ISERROR(MATCH(H$1,INDIRECT("Table!A"&amp;$AK244):INDIRECT("Table!" &amp; $AN$275 &amp; $AK244),0)),"",INDIRECT(CONCATENATE("Table!",ADDRESS($T244,MATCH(H$1,INDIRECT("Table!A" &amp; $AK244):INDIRECT("Table!" &amp; $AN$275 &amp; $AK244),0)))))</f>
        <v/>
      </c>
      <c r="I244" s="273"/>
      <c r="J244" s="273"/>
      <c r="K244" s="24" t="str">
        <f ca="1">IF(ISERROR(MATCH(L$1,INDIRECT("Table!A"&amp;$AK244):INDIRECT("Table!" &amp; $AN$275 &amp; $AK244),0)),"",INDIRECT(CONCATENATE("Table!",ADDRESS($T244,MATCH(L$1,INDIRECT("Table!A" &amp; $AK244):INDIRECT("Table!" &amp; $AN$275 &amp; $AK244),0)))))</f>
        <v/>
      </c>
      <c r="L244" s="24" t="str">
        <f ca="1">IF(ISERROR(MATCH(M$1,INDIRECT("Table!A"&amp;$AK244):INDIRECT("Table!" &amp; $AN$275 &amp; $AK244),0)),"",INDIRECT(CONCATENATE("Table!",ADDRESS($T244,MATCH(M$1,INDIRECT("Table!A" &amp; $AK244):INDIRECT("Table!" &amp; $AN$275 &amp; $AK244),0)))))</f>
        <v/>
      </c>
      <c r="M244" s="24" t="str">
        <f ca="1">IF(ISERROR(MATCH(N$1,INDIRECT("Table!A"&amp;$AK244):INDIRECT("Table!" &amp; $AN$275 &amp; $AK244),0)),"",INDIRECT(CONCATENATE("Table!",ADDRESS($T244,MATCH(N$1,INDIRECT("Table!A" &amp; $AK244):INDIRECT("Table!" &amp; $AN$275 &amp; $AK244),0)))))</f>
        <v/>
      </c>
      <c r="N244" s="24" t="str">
        <f ca="1">IF(ISERROR(MATCH(O$1,INDIRECT("Table!A"&amp;$AK244):INDIRECT("Table!" &amp; $AN$275 &amp; $AK244),0)),"",INDIRECT(CONCATENATE("Table!",ADDRESS($T244,MATCH(O$1,INDIRECT("Table!A" &amp; $AK244):INDIRECT("Table!" &amp; $AN$275 &amp; $AK244),0)))))</f>
        <v/>
      </c>
      <c r="O244" s="24" t="str">
        <f ca="1">IF(ISERROR(MATCH(P$1,INDIRECT("Table!A"&amp;$AK244):INDIRECT("Table!" &amp; $AN$275 &amp; $AK244),0)),"",INDIRECT(CONCATENATE("Table!",ADDRESS($T244,MATCH(P$1,INDIRECT("Table!A" &amp; $AK244):INDIRECT("Table!" &amp; $AN$275 &amp; $AK244),0)))))</f>
        <v/>
      </c>
      <c r="P244" s="273" t="str">
        <f ca="1">IF(ISERROR(MATCH(Q$1,INDIRECT("Table!A"&amp;$AK244):INDIRECT("Table!" &amp; $AN$275 &amp; $AK244),0)),"",INDIRECT(CONCATENATE("Table!",ADDRESS($T244,MATCH(Q$1,INDIRECT("Table!A" &amp; $AK244):INDIRECT("Table!" &amp; $AN$275 &amp; $AK244),0)))))</f>
        <v/>
      </c>
      <c r="Q244" s="101"/>
      <c r="R244" s="101"/>
      <c r="S244" s="101"/>
      <c r="T244" s="22"/>
      <c r="AI244" s="101"/>
      <c r="AJ244" s="101"/>
      <c r="AK244" s="22"/>
      <c r="AL244" s="101"/>
      <c r="AM244" s="101"/>
      <c r="AN244" s="101"/>
    </row>
    <row r="245" spans="2:40" ht="18" customHeight="1" x14ac:dyDescent="0.25">
      <c r="B245" s="24"/>
      <c r="C245" s="24" t="str">
        <f ca="1">IF(ISERROR(MATCH(C$1,INDIRECT("Table!A"&amp;$AK245):INDIRECT("Table!" &amp; $AN$275 &amp; $AK245),0)),"",INDIRECT(CONCATENATE("Table!",ADDRESS($T245,MATCH(C$1,INDIRECT("Table!A" &amp; $AK245):INDIRECT("Table!" &amp; $AN$275 &amp; $AK245),0)))))</f>
        <v/>
      </c>
      <c r="D245" s="24" t="str">
        <f ca="1">IF(ISERROR(MATCH(D$1,INDIRECT("Table!A"&amp;$AK245):INDIRECT("Table!" &amp; $AN$275 &amp; $AK245),0)),"",INDIRECT(CONCATENATE("Table!",ADDRESS($T245,MATCH(D$1,INDIRECT("Table!A" &amp; $AK245):INDIRECT("Table!" &amp; $AN$275 &amp; $AK245),0)))))</f>
        <v/>
      </c>
      <c r="E245" s="24" t="str">
        <f ca="1">IF(ISERROR(MATCH(E$1,INDIRECT("Table!A"&amp;$AK245):INDIRECT("Table!" &amp; $AN$275 &amp; $AK245),0)),"",INDIRECT(CONCATENATE("Table!",ADDRESS($T245,MATCH(E$1,INDIRECT("Table!A" &amp; $AK245):INDIRECT("Table!" &amp; $AN$275 &amp; $AK245),0)))))</f>
        <v/>
      </c>
      <c r="F245" s="24" t="str">
        <f ca="1">IF(ISERROR(MATCH(F$1,INDIRECT("Table!A"&amp;$AK245):INDIRECT("Table!" &amp; $AN$275 &amp; $AK245),0)),"",INDIRECT(CONCATENATE("Table!",ADDRESS($T245,MATCH(F$1,INDIRECT("Table!A" &amp; $AK245):INDIRECT("Table!" &amp; $AN$275 &amp; $AK245),0)))))</f>
        <v/>
      </c>
      <c r="G245" s="24" t="str">
        <f ca="1">IF(ISERROR(MATCH(G$1,INDIRECT("Table!A"&amp;$AK245):INDIRECT("Table!" &amp; $AN$275 &amp; $AK245),0)),"",INDIRECT(CONCATENATE("Table!",ADDRESS($T245,MATCH(G$1,INDIRECT("Table!A" &amp; $AK245):INDIRECT("Table!" &amp; $AN$275 &amp; $AK245),0)))))</f>
        <v/>
      </c>
      <c r="H245" s="24" t="str">
        <f ca="1">IF(ISERROR(MATCH(H$1,INDIRECT("Table!A"&amp;$AK245):INDIRECT("Table!" &amp; $AN$275 &amp; $AK245),0)),"",INDIRECT(CONCATENATE("Table!",ADDRESS($T245,MATCH(H$1,INDIRECT("Table!A" &amp; $AK245):INDIRECT("Table!" &amp; $AN$275 &amp; $AK245),0)))))</f>
        <v/>
      </c>
      <c r="I245" s="273"/>
      <c r="J245" s="273"/>
      <c r="K245" s="24" t="str">
        <f ca="1">IF(ISERROR(MATCH(L$1,INDIRECT("Table!A"&amp;$AK245):INDIRECT("Table!" &amp; $AN$275 &amp; $AK245),0)),"",INDIRECT(CONCATENATE("Table!",ADDRESS($T245,MATCH(L$1,INDIRECT("Table!A" &amp; $AK245):INDIRECT("Table!" &amp; $AN$275 &amp; $AK245),0)))))</f>
        <v/>
      </c>
      <c r="L245" s="24" t="str">
        <f ca="1">IF(ISERROR(MATCH(M$1,INDIRECT("Table!A"&amp;$AK245):INDIRECT("Table!" &amp; $AN$275 &amp; $AK245),0)),"",INDIRECT(CONCATENATE("Table!",ADDRESS($T245,MATCH(M$1,INDIRECT("Table!A" &amp; $AK245):INDIRECT("Table!" &amp; $AN$275 &amp; $AK245),0)))))</f>
        <v/>
      </c>
      <c r="M245" s="24" t="str">
        <f ca="1">IF(ISERROR(MATCH(N$1,INDIRECT("Table!A"&amp;$AK245):INDIRECT("Table!" &amp; $AN$275 &amp; $AK245),0)),"",INDIRECT(CONCATENATE("Table!",ADDRESS($T245,MATCH(N$1,INDIRECT("Table!A" &amp; $AK245):INDIRECT("Table!" &amp; $AN$275 &amp; $AK245),0)))))</f>
        <v/>
      </c>
      <c r="N245" s="24" t="str">
        <f ca="1">IF(ISERROR(MATCH(O$1,INDIRECT("Table!A"&amp;$AK245):INDIRECT("Table!" &amp; $AN$275 &amp; $AK245),0)),"",INDIRECT(CONCATENATE("Table!",ADDRESS($T245,MATCH(O$1,INDIRECT("Table!A" &amp; $AK245):INDIRECT("Table!" &amp; $AN$275 &amp; $AK245),0)))))</f>
        <v/>
      </c>
      <c r="O245" s="24" t="str">
        <f ca="1">IF(ISERROR(MATCH(P$1,INDIRECT("Table!A"&amp;$AK245):INDIRECT("Table!" &amp; $AN$275 &amp; $AK245),0)),"",INDIRECT(CONCATENATE("Table!",ADDRESS($T245,MATCH(P$1,INDIRECT("Table!A" &amp; $AK245):INDIRECT("Table!" &amp; $AN$275 &amp; $AK245),0)))))</f>
        <v/>
      </c>
      <c r="P245" s="273" t="str">
        <f ca="1">IF(ISERROR(MATCH(Q$1,INDIRECT("Table!A"&amp;$AK245):INDIRECT("Table!" &amp; $AN$275 &amp; $AK245),0)),"",INDIRECT(CONCATENATE("Table!",ADDRESS($T245,MATCH(Q$1,INDIRECT("Table!A" &amp; $AK245):INDIRECT("Table!" &amp; $AN$275 &amp; $AK245),0)))))</f>
        <v/>
      </c>
      <c r="Q245" s="100"/>
      <c r="R245" s="100"/>
      <c r="S245" s="100"/>
      <c r="T245" s="22"/>
      <c r="AI245" s="100"/>
      <c r="AJ245" s="100"/>
      <c r="AK245" s="22"/>
      <c r="AL245" s="100"/>
      <c r="AM245" s="100"/>
      <c r="AN245" s="100"/>
    </row>
    <row r="246" spans="2:40" ht="18" customHeight="1" x14ac:dyDescent="0.25">
      <c r="B246" s="24"/>
      <c r="C246" s="24" t="str">
        <f ca="1">IF(ISERROR(MATCH(C$1,INDIRECT("Table!A"&amp;$AK246):INDIRECT("Table!" &amp; $AN$275 &amp; $AK246),0)),"",INDIRECT(CONCATENATE("Table!",ADDRESS($T246,MATCH(C$1,INDIRECT("Table!A" &amp; $AK246):INDIRECT("Table!" &amp; $AN$275 &amp; $AK246),0)))))</f>
        <v/>
      </c>
      <c r="D246" s="24" t="str">
        <f ca="1">IF(ISERROR(MATCH(D$1,INDIRECT("Table!A"&amp;$AK246):INDIRECT("Table!" &amp; $AN$275 &amp; $AK246),0)),"",INDIRECT(CONCATENATE("Table!",ADDRESS($T246,MATCH(D$1,INDIRECT("Table!A" &amp; $AK246):INDIRECT("Table!" &amp; $AN$275 &amp; $AK246),0)))))</f>
        <v/>
      </c>
      <c r="E246" s="24" t="str">
        <f ca="1">IF(ISERROR(MATCH(E$1,INDIRECT("Table!A"&amp;$AK246):INDIRECT("Table!" &amp; $AN$275 &amp; $AK246),0)),"",INDIRECT(CONCATENATE("Table!",ADDRESS($T246,MATCH(E$1,INDIRECT("Table!A" &amp; $AK246):INDIRECT("Table!" &amp; $AN$275 &amp; $AK246),0)))))</f>
        <v/>
      </c>
      <c r="F246" s="24" t="str">
        <f ca="1">IF(ISERROR(MATCH(F$1,INDIRECT("Table!A"&amp;$AK246):INDIRECT("Table!" &amp; $AN$275 &amp; $AK246),0)),"",INDIRECT(CONCATENATE("Table!",ADDRESS($T246,MATCH(F$1,INDIRECT("Table!A" &amp; $AK246):INDIRECT("Table!" &amp; $AN$275 &amp; $AK246),0)))))</f>
        <v/>
      </c>
      <c r="G246" s="24" t="str">
        <f ca="1">IF(ISERROR(MATCH(G$1,INDIRECT("Table!A"&amp;$AK246):INDIRECT("Table!" &amp; $AN$275 &amp; $AK246),0)),"",INDIRECT(CONCATENATE("Table!",ADDRESS($T246,MATCH(G$1,INDIRECT("Table!A" &amp; $AK246):INDIRECT("Table!" &amp; $AN$275 &amp; $AK246),0)))))</f>
        <v/>
      </c>
      <c r="H246" s="24" t="str">
        <f ca="1">IF(ISERROR(MATCH(H$1,INDIRECT("Table!A"&amp;$AK246):INDIRECT("Table!" &amp; $AN$275 &amp; $AK246),0)),"",INDIRECT(CONCATENATE("Table!",ADDRESS($T246,MATCH(H$1,INDIRECT("Table!A" &amp; $AK246):INDIRECT("Table!" &amp; $AN$275 &amp; $AK246),0)))))</f>
        <v/>
      </c>
      <c r="I246" s="273"/>
      <c r="J246" s="273"/>
      <c r="K246" s="24" t="str">
        <f ca="1">IF(ISERROR(MATCH(L$1,INDIRECT("Table!A"&amp;$AK246):INDIRECT("Table!" &amp; $AN$275 &amp; $AK246),0)),"",INDIRECT(CONCATENATE("Table!",ADDRESS($T246,MATCH(L$1,INDIRECT("Table!A" &amp; $AK246):INDIRECT("Table!" &amp; $AN$275 &amp; $AK246),0)))))</f>
        <v/>
      </c>
      <c r="L246" s="24" t="str">
        <f ca="1">IF(ISERROR(MATCH(M$1,INDIRECT("Table!A"&amp;$AK246):INDIRECT("Table!" &amp; $AN$275 &amp; $AK246),0)),"",INDIRECT(CONCATENATE("Table!",ADDRESS($T246,MATCH(M$1,INDIRECT("Table!A" &amp; $AK246):INDIRECT("Table!" &amp; $AN$275 &amp; $AK246),0)))))</f>
        <v/>
      </c>
      <c r="M246" s="24" t="str">
        <f ca="1">IF(ISERROR(MATCH(N$1,INDIRECT("Table!A"&amp;$AK246):INDIRECT("Table!" &amp; $AN$275 &amp; $AK246),0)),"",INDIRECT(CONCATENATE("Table!",ADDRESS($T246,MATCH(N$1,INDIRECT("Table!A" &amp; $AK246):INDIRECT("Table!" &amp; $AN$275 &amp; $AK246),0)))))</f>
        <v/>
      </c>
      <c r="N246" s="24" t="str">
        <f ca="1">IF(ISERROR(MATCH(O$1,INDIRECT("Table!A"&amp;$AK246):INDIRECT("Table!" &amp; $AN$275 &amp; $AK246),0)),"",INDIRECT(CONCATENATE("Table!",ADDRESS($T246,MATCH(O$1,INDIRECT("Table!A" &amp; $AK246):INDIRECT("Table!" &amp; $AN$275 &amp; $AK246),0)))))</f>
        <v/>
      </c>
      <c r="O246" s="24" t="str">
        <f ca="1">IF(ISERROR(MATCH(P$1,INDIRECT("Table!A"&amp;$AK246):INDIRECT("Table!" &amp; $AN$275 &amp; $AK246),0)),"",INDIRECT(CONCATENATE("Table!",ADDRESS($T246,MATCH(P$1,INDIRECT("Table!A" &amp; $AK246):INDIRECT("Table!" &amp; $AN$275 &amp; $AK246),0)))))</f>
        <v/>
      </c>
      <c r="P246" s="273" t="str">
        <f ca="1">IF(ISERROR(MATCH(Q$1,INDIRECT("Table!A"&amp;$AK246):INDIRECT("Table!" &amp; $AN$275 &amp; $AK246),0)),"",INDIRECT(CONCATENATE("Table!",ADDRESS($T246,MATCH(Q$1,INDIRECT("Table!A" &amp; $AK246):INDIRECT("Table!" &amp; $AN$275 &amp; $AK246),0)))))</f>
        <v/>
      </c>
      <c r="Q246" s="99"/>
      <c r="R246" s="99"/>
      <c r="S246" s="99"/>
      <c r="T246" s="22"/>
      <c r="AI246" s="99"/>
      <c r="AJ246" s="99"/>
      <c r="AK246" s="22"/>
      <c r="AL246" s="99"/>
      <c r="AM246" s="99"/>
      <c r="AN246" s="99"/>
    </row>
    <row r="247" spans="2:40" ht="18" customHeight="1" x14ac:dyDescent="0.25">
      <c r="B247" s="24"/>
      <c r="C247" s="24" t="str">
        <f ca="1">IF(ISERROR(MATCH(C$1,INDIRECT("Table!A"&amp;$AK247):INDIRECT("Table!" &amp; $AN$275 &amp; $AK247),0)),"",INDIRECT(CONCATENATE("Table!",ADDRESS($T247,MATCH(C$1,INDIRECT("Table!A" &amp; $AK247):INDIRECT("Table!" &amp; $AN$275 &amp; $AK247),0)))))</f>
        <v/>
      </c>
      <c r="D247" s="24" t="str">
        <f ca="1">IF(ISERROR(MATCH(D$1,INDIRECT("Table!A"&amp;$AK247):INDIRECT("Table!" &amp; $AN$275 &amp; $AK247),0)),"",INDIRECT(CONCATENATE("Table!",ADDRESS($T247,MATCH(D$1,INDIRECT("Table!A" &amp; $AK247):INDIRECT("Table!" &amp; $AN$275 &amp; $AK247),0)))))</f>
        <v/>
      </c>
      <c r="E247" s="24" t="str">
        <f ca="1">IF(ISERROR(MATCH(E$1,INDIRECT("Table!A"&amp;$AK247):INDIRECT("Table!" &amp; $AN$275 &amp; $AK247),0)),"",INDIRECT(CONCATENATE("Table!",ADDRESS($T247,MATCH(E$1,INDIRECT("Table!A" &amp; $AK247):INDIRECT("Table!" &amp; $AN$275 &amp; $AK247),0)))))</f>
        <v/>
      </c>
      <c r="F247" s="24" t="str">
        <f ca="1">IF(ISERROR(MATCH(F$1,INDIRECT("Table!A"&amp;$AK247):INDIRECT("Table!" &amp; $AN$275 &amp; $AK247),0)),"",INDIRECT(CONCATENATE("Table!",ADDRESS($T247,MATCH(F$1,INDIRECT("Table!A" &amp; $AK247):INDIRECT("Table!" &amp; $AN$275 &amp; $AK247),0)))))</f>
        <v/>
      </c>
      <c r="G247" s="24" t="str">
        <f ca="1">IF(ISERROR(MATCH(G$1,INDIRECT("Table!A"&amp;$AK247):INDIRECT("Table!" &amp; $AN$275 &amp; $AK247),0)),"",INDIRECT(CONCATENATE("Table!",ADDRESS($T247,MATCH(G$1,INDIRECT("Table!A" &amp; $AK247):INDIRECT("Table!" &amp; $AN$275 &amp; $AK247),0)))))</f>
        <v/>
      </c>
      <c r="H247" s="24" t="str">
        <f ca="1">IF(ISERROR(MATCH(H$1,INDIRECT("Table!A"&amp;$AK247):INDIRECT("Table!" &amp; $AN$275 &amp; $AK247),0)),"",INDIRECT(CONCATENATE("Table!",ADDRESS($T247,MATCH(H$1,INDIRECT("Table!A" &amp; $AK247):INDIRECT("Table!" &amp; $AN$275 &amp; $AK247),0)))))</f>
        <v/>
      </c>
      <c r="I247" s="273"/>
      <c r="J247" s="273"/>
      <c r="K247" s="24" t="str">
        <f ca="1">IF(ISERROR(MATCH(L$1,INDIRECT("Table!A"&amp;$AK247):INDIRECT("Table!" &amp; $AN$275 &amp; $AK247),0)),"",INDIRECT(CONCATENATE("Table!",ADDRESS($T247,MATCH(L$1,INDIRECT("Table!A" &amp; $AK247):INDIRECT("Table!" &amp; $AN$275 &amp; $AK247),0)))))</f>
        <v/>
      </c>
      <c r="L247" s="24" t="str">
        <f ca="1">IF(ISERROR(MATCH(M$1,INDIRECT("Table!A"&amp;$AK247):INDIRECT("Table!" &amp; $AN$275 &amp; $AK247),0)),"",INDIRECT(CONCATENATE("Table!",ADDRESS($T247,MATCH(M$1,INDIRECT("Table!A" &amp; $AK247):INDIRECT("Table!" &amp; $AN$275 &amp; $AK247),0)))))</f>
        <v/>
      </c>
      <c r="M247" s="24" t="str">
        <f ca="1">IF(ISERROR(MATCH(N$1,INDIRECT("Table!A"&amp;$AK247):INDIRECT("Table!" &amp; $AN$275 &amp; $AK247),0)),"",INDIRECT(CONCATENATE("Table!",ADDRESS($T247,MATCH(N$1,INDIRECT("Table!A" &amp; $AK247):INDIRECT("Table!" &amp; $AN$275 &amp; $AK247),0)))))</f>
        <v/>
      </c>
      <c r="N247" s="24" t="str">
        <f ca="1">IF(ISERROR(MATCH(O$1,INDIRECT("Table!A"&amp;$AK247):INDIRECT("Table!" &amp; $AN$275 &amp; $AK247),0)),"",INDIRECT(CONCATENATE("Table!",ADDRESS($T247,MATCH(O$1,INDIRECT("Table!A" &amp; $AK247):INDIRECT("Table!" &amp; $AN$275 &amp; $AK247),0)))))</f>
        <v/>
      </c>
      <c r="O247" s="24" t="str">
        <f ca="1">IF(ISERROR(MATCH(P$1,INDIRECT("Table!A"&amp;$AK247):INDIRECT("Table!" &amp; $AN$275 &amp; $AK247),0)),"",INDIRECT(CONCATENATE("Table!",ADDRESS($T247,MATCH(P$1,INDIRECT("Table!A" &amp; $AK247):INDIRECT("Table!" &amp; $AN$275 &amp; $AK247),0)))))</f>
        <v/>
      </c>
      <c r="P247" s="273" t="str">
        <f ca="1">IF(ISERROR(MATCH(Q$1,INDIRECT("Table!A"&amp;$AK247):INDIRECT("Table!" &amp; $AN$275 &amp; $AK247),0)),"",INDIRECT(CONCATENATE("Table!",ADDRESS($T247,MATCH(Q$1,INDIRECT("Table!A" &amp; $AK247):INDIRECT("Table!" &amp; $AN$275 &amp; $AK247),0)))))</f>
        <v/>
      </c>
      <c r="Q247" s="98"/>
      <c r="R247" s="98"/>
      <c r="S247" s="98"/>
      <c r="T247" s="22"/>
      <c r="AI247" s="98"/>
      <c r="AJ247" s="98"/>
      <c r="AK247" s="22"/>
      <c r="AL247" s="98"/>
      <c r="AM247" s="98"/>
      <c r="AN247" s="98"/>
    </row>
    <row r="248" spans="2:40" ht="18" customHeight="1" x14ac:dyDescent="0.25">
      <c r="B248" s="24"/>
      <c r="C248" s="24" t="str">
        <f ca="1">IF(ISERROR(MATCH(C$1,INDIRECT("Table!A"&amp;$AK248):INDIRECT("Table!" &amp; $AN$275 &amp; $AK248),0)),"",INDIRECT(CONCATENATE("Table!",ADDRESS($T248,MATCH(C$1,INDIRECT("Table!A" &amp; $AK248):INDIRECT("Table!" &amp; $AN$275 &amp; $AK248),0)))))</f>
        <v/>
      </c>
      <c r="D248" s="24" t="str">
        <f ca="1">IF(ISERROR(MATCH(D$1,INDIRECT("Table!A"&amp;$AK248):INDIRECT("Table!" &amp; $AN$275 &amp; $AK248),0)),"",INDIRECT(CONCATENATE("Table!",ADDRESS($T248,MATCH(D$1,INDIRECT("Table!A" &amp; $AK248):INDIRECT("Table!" &amp; $AN$275 &amp; $AK248),0)))))</f>
        <v/>
      </c>
      <c r="E248" s="24" t="str">
        <f ca="1">IF(ISERROR(MATCH(E$1,INDIRECT("Table!A"&amp;$AK248):INDIRECT("Table!" &amp; $AN$275 &amp; $AK248),0)),"",INDIRECT(CONCATENATE("Table!",ADDRESS($T248,MATCH(E$1,INDIRECT("Table!A" &amp; $AK248):INDIRECT("Table!" &amp; $AN$275 &amp; $AK248),0)))))</f>
        <v/>
      </c>
      <c r="F248" s="24" t="str">
        <f ca="1">IF(ISERROR(MATCH(F$1,INDIRECT("Table!A"&amp;$AK248):INDIRECT("Table!" &amp; $AN$275 &amp; $AK248),0)),"",INDIRECT(CONCATENATE("Table!",ADDRESS($T248,MATCH(F$1,INDIRECT("Table!A" &amp; $AK248):INDIRECT("Table!" &amp; $AN$275 &amp; $AK248),0)))))</f>
        <v/>
      </c>
      <c r="G248" s="24" t="str">
        <f ca="1">IF(ISERROR(MATCH(G$1,INDIRECT("Table!A"&amp;$AK248):INDIRECT("Table!" &amp; $AN$275 &amp; $AK248),0)),"",INDIRECT(CONCATENATE("Table!",ADDRESS($T248,MATCH(G$1,INDIRECT("Table!A" &amp; $AK248):INDIRECT("Table!" &amp; $AN$275 &amp; $AK248),0)))))</f>
        <v/>
      </c>
      <c r="H248" s="24" t="str">
        <f ca="1">IF(ISERROR(MATCH(H$1,INDIRECT("Table!A"&amp;$AK248):INDIRECT("Table!" &amp; $AN$275 &amp; $AK248),0)),"",INDIRECT(CONCATENATE("Table!",ADDRESS($T248,MATCH(H$1,INDIRECT("Table!A" &amp; $AK248):INDIRECT("Table!" &amp; $AN$275 &amp; $AK248),0)))))</f>
        <v/>
      </c>
      <c r="I248" s="273"/>
      <c r="J248" s="273"/>
      <c r="K248" s="24" t="str">
        <f ca="1">IF(ISERROR(MATCH(L$1,INDIRECT("Table!A"&amp;$AK248):INDIRECT("Table!" &amp; $AN$275 &amp; $AK248),0)),"",INDIRECT(CONCATENATE("Table!",ADDRESS($T248,MATCH(L$1,INDIRECT("Table!A" &amp; $AK248):INDIRECT("Table!" &amp; $AN$275 &amp; $AK248),0)))))</f>
        <v/>
      </c>
      <c r="L248" s="24" t="str">
        <f ca="1">IF(ISERROR(MATCH(M$1,INDIRECT("Table!A"&amp;$AK248):INDIRECT("Table!" &amp; $AN$275 &amp; $AK248),0)),"",INDIRECT(CONCATENATE("Table!",ADDRESS($T248,MATCH(M$1,INDIRECT("Table!A" &amp; $AK248):INDIRECT("Table!" &amp; $AN$275 &amp; $AK248),0)))))</f>
        <v/>
      </c>
      <c r="M248" s="24" t="str">
        <f ca="1">IF(ISERROR(MATCH(N$1,INDIRECT("Table!A"&amp;$AK248):INDIRECT("Table!" &amp; $AN$275 &amp; $AK248),0)),"",INDIRECT(CONCATENATE("Table!",ADDRESS($T248,MATCH(N$1,INDIRECT("Table!A" &amp; $AK248):INDIRECT("Table!" &amp; $AN$275 &amp; $AK248),0)))))</f>
        <v/>
      </c>
      <c r="N248" s="24" t="str">
        <f ca="1">IF(ISERROR(MATCH(O$1,INDIRECT("Table!A"&amp;$AK248):INDIRECT("Table!" &amp; $AN$275 &amp; $AK248),0)),"",INDIRECT(CONCATENATE("Table!",ADDRESS($T248,MATCH(O$1,INDIRECT("Table!A" &amp; $AK248):INDIRECT("Table!" &amp; $AN$275 &amp; $AK248),0)))))</f>
        <v/>
      </c>
      <c r="O248" s="24" t="str">
        <f ca="1">IF(ISERROR(MATCH(P$1,INDIRECT("Table!A"&amp;$AK248):INDIRECT("Table!" &amp; $AN$275 &amp; $AK248),0)),"",INDIRECT(CONCATENATE("Table!",ADDRESS($T248,MATCH(P$1,INDIRECT("Table!A" &amp; $AK248):INDIRECT("Table!" &amp; $AN$275 &amp; $AK248),0)))))</f>
        <v/>
      </c>
      <c r="P248" s="273" t="str">
        <f ca="1">IF(ISERROR(MATCH(Q$1,INDIRECT("Table!A"&amp;$AK248):INDIRECT("Table!" &amp; $AN$275 &amp; $AK248),0)),"",INDIRECT(CONCATENATE("Table!",ADDRESS($T248,MATCH(Q$1,INDIRECT("Table!A" &amp; $AK248):INDIRECT("Table!" &amp; $AN$275 &amp; $AK248),0)))))</f>
        <v/>
      </c>
      <c r="Q248" s="98"/>
      <c r="R248" s="98"/>
      <c r="S248" s="98"/>
      <c r="T248" s="22"/>
      <c r="AI248" s="98"/>
      <c r="AJ248" s="98"/>
      <c r="AK248" s="22"/>
      <c r="AL248" s="98"/>
      <c r="AM248" s="98"/>
      <c r="AN248" s="98"/>
    </row>
    <row r="249" spans="2:40" ht="18" customHeight="1" x14ac:dyDescent="0.25">
      <c r="B249" s="24"/>
      <c r="C249" s="24" t="str">
        <f ca="1">IF(ISERROR(MATCH(C$1,INDIRECT("Table!A"&amp;$AK249):INDIRECT("Table!" &amp; $AN$275 &amp; $AK249),0)),"",INDIRECT(CONCATENATE("Table!",ADDRESS($T249,MATCH(C$1,INDIRECT("Table!A" &amp; $AK249):INDIRECT("Table!" &amp; $AN$275 &amp; $AK249),0)))))</f>
        <v/>
      </c>
      <c r="D249" s="24" t="str">
        <f ca="1">IF(ISERROR(MATCH(D$1,INDIRECT("Table!A"&amp;$AK249):INDIRECT("Table!" &amp; $AN$275 &amp; $AK249),0)),"",INDIRECT(CONCATENATE("Table!",ADDRESS($T249,MATCH(D$1,INDIRECT("Table!A" &amp; $AK249):INDIRECT("Table!" &amp; $AN$275 &amp; $AK249),0)))))</f>
        <v/>
      </c>
      <c r="E249" s="24" t="str">
        <f ca="1">IF(ISERROR(MATCH(E$1,INDIRECT("Table!A"&amp;$AK249):INDIRECT("Table!" &amp; $AN$275 &amp; $AK249),0)),"",INDIRECT(CONCATENATE("Table!",ADDRESS($T249,MATCH(E$1,INDIRECT("Table!A" &amp; $AK249):INDIRECT("Table!" &amp; $AN$275 &amp; $AK249),0)))))</f>
        <v/>
      </c>
      <c r="F249" s="24" t="str">
        <f ca="1">IF(ISERROR(MATCH(F$1,INDIRECT("Table!A"&amp;$AK249):INDIRECT("Table!" &amp; $AN$275 &amp; $AK249),0)),"",INDIRECT(CONCATENATE("Table!",ADDRESS($T249,MATCH(F$1,INDIRECT("Table!A" &amp; $AK249):INDIRECT("Table!" &amp; $AN$275 &amp; $AK249),0)))))</f>
        <v/>
      </c>
      <c r="G249" s="24" t="str">
        <f ca="1">IF(ISERROR(MATCH(G$1,INDIRECT("Table!A"&amp;$AK249):INDIRECT("Table!" &amp; $AN$275 &amp; $AK249),0)),"",INDIRECT(CONCATENATE("Table!",ADDRESS($T249,MATCH(G$1,INDIRECT("Table!A" &amp; $AK249):INDIRECT("Table!" &amp; $AN$275 &amp; $AK249),0)))))</f>
        <v/>
      </c>
      <c r="H249" s="24" t="str">
        <f ca="1">IF(ISERROR(MATCH(H$1,INDIRECT("Table!A"&amp;$AK249):INDIRECT("Table!" &amp; $AN$275 &amp; $AK249),0)),"",INDIRECT(CONCATENATE("Table!",ADDRESS($T249,MATCH(H$1,INDIRECT("Table!A" &amp; $AK249):INDIRECT("Table!" &amp; $AN$275 &amp; $AK249),0)))))</f>
        <v/>
      </c>
      <c r="I249" s="273"/>
      <c r="J249" s="273"/>
      <c r="K249" s="24" t="str">
        <f ca="1">IF(ISERROR(MATCH(L$1,INDIRECT("Table!A"&amp;$AK249):INDIRECT("Table!" &amp; $AN$275 &amp; $AK249),0)),"",INDIRECT(CONCATENATE("Table!",ADDRESS($T249,MATCH(L$1,INDIRECT("Table!A" &amp; $AK249):INDIRECT("Table!" &amp; $AN$275 &amp; $AK249),0)))))</f>
        <v/>
      </c>
      <c r="L249" s="24" t="str">
        <f ca="1">IF(ISERROR(MATCH(M$1,INDIRECT("Table!A"&amp;$AK249):INDIRECT("Table!" &amp; $AN$275 &amp; $AK249),0)),"",INDIRECT(CONCATENATE("Table!",ADDRESS($T249,MATCH(M$1,INDIRECT("Table!A" &amp; $AK249):INDIRECT("Table!" &amp; $AN$275 &amp; $AK249),0)))))</f>
        <v/>
      </c>
      <c r="M249" s="24" t="str">
        <f ca="1">IF(ISERROR(MATCH(N$1,INDIRECT("Table!A"&amp;$AK249):INDIRECT("Table!" &amp; $AN$275 &amp; $AK249),0)),"",INDIRECT(CONCATENATE("Table!",ADDRESS($T249,MATCH(N$1,INDIRECT("Table!A" &amp; $AK249):INDIRECT("Table!" &amp; $AN$275 &amp; $AK249),0)))))</f>
        <v/>
      </c>
      <c r="N249" s="24" t="str">
        <f ca="1">IF(ISERROR(MATCH(O$1,INDIRECT("Table!A"&amp;$AK249):INDIRECT("Table!" &amp; $AN$275 &amp; $AK249),0)),"",INDIRECT(CONCATENATE("Table!",ADDRESS($T249,MATCH(O$1,INDIRECT("Table!A" &amp; $AK249):INDIRECT("Table!" &amp; $AN$275 &amp; $AK249),0)))))</f>
        <v/>
      </c>
      <c r="O249" s="24" t="str">
        <f ca="1">IF(ISERROR(MATCH(P$1,INDIRECT("Table!A"&amp;$AK249):INDIRECT("Table!" &amp; $AN$275 &amp; $AK249),0)),"",INDIRECT(CONCATENATE("Table!",ADDRESS($T249,MATCH(P$1,INDIRECT("Table!A" &amp; $AK249):INDIRECT("Table!" &amp; $AN$275 &amp; $AK249),0)))))</f>
        <v/>
      </c>
      <c r="P249" s="273" t="str">
        <f ca="1">IF(ISERROR(MATCH(Q$1,INDIRECT("Table!A"&amp;$AK249):INDIRECT("Table!" &amp; $AN$275 &amp; $AK249),0)),"",INDIRECT(CONCATENATE("Table!",ADDRESS($T249,MATCH(Q$1,INDIRECT("Table!A" &amp; $AK249):INDIRECT("Table!" &amp; $AN$275 &amp; $AK249),0)))))</f>
        <v/>
      </c>
      <c r="Q249" s="96"/>
      <c r="R249" s="96"/>
      <c r="S249" s="96"/>
      <c r="T249" s="22"/>
      <c r="AI249" s="96"/>
      <c r="AJ249" s="96"/>
      <c r="AK249" s="22"/>
      <c r="AL249" s="96"/>
      <c r="AM249" s="96"/>
      <c r="AN249" s="96"/>
    </row>
    <row r="250" spans="2:40" ht="18" customHeight="1" x14ac:dyDescent="0.25">
      <c r="B250" s="24"/>
      <c r="C250" s="24" t="str">
        <f ca="1">IF(ISERROR(MATCH(C$1,INDIRECT("Table!A"&amp;$AK250):INDIRECT("Table!" &amp; $AN$275 &amp; $AK250),0)),"",INDIRECT(CONCATENATE("Table!",ADDRESS($T250,MATCH(C$1,INDIRECT("Table!A" &amp; $AK250):INDIRECT("Table!" &amp; $AN$275 &amp; $AK250),0)))))</f>
        <v/>
      </c>
      <c r="D250" s="24" t="str">
        <f ca="1">IF(ISERROR(MATCH(D$1,INDIRECT("Table!A"&amp;$AK250):INDIRECT("Table!" &amp; $AN$275 &amp; $AK250),0)),"",INDIRECT(CONCATENATE("Table!",ADDRESS($T250,MATCH(D$1,INDIRECT("Table!A" &amp; $AK250):INDIRECT("Table!" &amp; $AN$275 &amp; $AK250),0)))))</f>
        <v/>
      </c>
      <c r="E250" s="24" t="str">
        <f ca="1">IF(ISERROR(MATCH(E$1,INDIRECT("Table!A"&amp;$AK250):INDIRECT("Table!" &amp; $AN$275 &amp; $AK250),0)),"",INDIRECT(CONCATENATE("Table!",ADDRESS($T250,MATCH(E$1,INDIRECT("Table!A" &amp; $AK250):INDIRECT("Table!" &amp; $AN$275 &amp; $AK250),0)))))</f>
        <v/>
      </c>
      <c r="F250" s="24" t="str">
        <f ca="1">IF(ISERROR(MATCH(F$1,INDIRECT("Table!A"&amp;$AK250):INDIRECT("Table!" &amp; $AN$275 &amp; $AK250),0)),"",INDIRECT(CONCATENATE("Table!",ADDRESS($T250,MATCH(F$1,INDIRECT("Table!A" &amp; $AK250):INDIRECT("Table!" &amp; $AN$275 &amp; $AK250),0)))))</f>
        <v/>
      </c>
      <c r="G250" s="24" t="str">
        <f ca="1">IF(ISERROR(MATCH(G$1,INDIRECT("Table!A"&amp;$AK250):INDIRECT("Table!" &amp; $AN$275 &amp; $AK250),0)),"",INDIRECT(CONCATENATE("Table!",ADDRESS($T250,MATCH(G$1,INDIRECT("Table!A" &amp; $AK250):INDIRECT("Table!" &amp; $AN$275 &amp; $AK250),0)))))</f>
        <v/>
      </c>
      <c r="H250" s="24" t="str">
        <f ca="1">IF(ISERROR(MATCH(H$1,INDIRECT("Table!A"&amp;$AK250):INDIRECT("Table!" &amp; $AN$275 &amp; $AK250),0)),"",INDIRECT(CONCATENATE("Table!",ADDRESS($T250,MATCH(H$1,INDIRECT("Table!A" &amp; $AK250):INDIRECT("Table!" &amp; $AN$275 &amp; $AK250),0)))))</f>
        <v/>
      </c>
      <c r="I250" s="273"/>
      <c r="J250" s="273"/>
      <c r="K250" s="24" t="str">
        <f ca="1">IF(ISERROR(MATCH(L$1,INDIRECT("Table!A"&amp;$AK250):INDIRECT("Table!" &amp; $AN$275 &amp; $AK250),0)),"",INDIRECT(CONCATENATE("Table!",ADDRESS($T250,MATCH(L$1,INDIRECT("Table!A" &amp; $AK250):INDIRECT("Table!" &amp; $AN$275 &amp; $AK250),0)))))</f>
        <v/>
      </c>
      <c r="L250" s="24" t="str">
        <f ca="1">IF(ISERROR(MATCH(M$1,INDIRECT("Table!A"&amp;$AK250):INDIRECT("Table!" &amp; $AN$275 &amp; $AK250),0)),"",INDIRECT(CONCATENATE("Table!",ADDRESS($T250,MATCH(M$1,INDIRECT("Table!A" &amp; $AK250):INDIRECT("Table!" &amp; $AN$275 &amp; $AK250),0)))))</f>
        <v/>
      </c>
      <c r="M250" s="24" t="str">
        <f ca="1">IF(ISERROR(MATCH(N$1,INDIRECT("Table!A"&amp;$AK250):INDIRECT("Table!" &amp; $AN$275 &amp; $AK250),0)),"",INDIRECT(CONCATENATE("Table!",ADDRESS($T250,MATCH(N$1,INDIRECT("Table!A" &amp; $AK250):INDIRECT("Table!" &amp; $AN$275 &amp; $AK250),0)))))</f>
        <v/>
      </c>
      <c r="N250" s="24" t="str">
        <f ca="1">IF(ISERROR(MATCH(O$1,INDIRECT("Table!A"&amp;$AK250):INDIRECT("Table!" &amp; $AN$275 &amp; $AK250),0)),"",INDIRECT(CONCATENATE("Table!",ADDRESS($T250,MATCH(O$1,INDIRECT("Table!A" &amp; $AK250):INDIRECT("Table!" &amp; $AN$275 &amp; $AK250),0)))))</f>
        <v/>
      </c>
      <c r="O250" s="24" t="str">
        <f ca="1">IF(ISERROR(MATCH(P$1,INDIRECT("Table!A"&amp;$AK250):INDIRECT("Table!" &amp; $AN$275 &amp; $AK250),0)),"",INDIRECT(CONCATENATE("Table!",ADDRESS($T250,MATCH(P$1,INDIRECT("Table!A" &amp; $AK250):INDIRECT("Table!" &amp; $AN$275 &amp; $AK250),0)))))</f>
        <v/>
      </c>
      <c r="P250" s="273" t="str">
        <f ca="1">IF(ISERROR(MATCH(Q$1,INDIRECT("Table!A"&amp;$AK250):INDIRECT("Table!" &amp; $AN$275 &amp; $AK250),0)),"",INDIRECT(CONCATENATE("Table!",ADDRESS($T250,MATCH(Q$1,INDIRECT("Table!A" &amp; $AK250):INDIRECT("Table!" &amp; $AN$275 &amp; $AK250),0)))))</f>
        <v/>
      </c>
      <c r="Q250" s="95"/>
      <c r="R250" s="95"/>
      <c r="S250" s="95"/>
      <c r="T250" s="22"/>
      <c r="AI250" s="95"/>
      <c r="AJ250" s="95"/>
      <c r="AK250" s="22"/>
      <c r="AL250" s="95"/>
      <c r="AM250" s="95"/>
      <c r="AN250" s="95"/>
    </row>
    <row r="251" spans="2:40" ht="18" customHeight="1" x14ac:dyDescent="0.25">
      <c r="B251" s="24"/>
      <c r="C251" s="24" t="str">
        <f ca="1">IF(ISERROR(MATCH(C$1,INDIRECT("Table!A"&amp;$AK251):INDIRECT("Table!" &amp; $AN$275 &amp; $AK251),0)),"",INDIRECT(CONCATENATE("Table!",ADDRESS($T251,MATCH(C$1,INDIRECT("Table!A" &amp; $AK251):INDIRECT("Table!" &amp; $AN$275 &amp; $AK251),0)))))</f>
        <v/>
      </c>
      <c r="D251" s="24" t="str">
        <f ca="1">IF(ISERROR(MATCH(D$1,INDIRECT("Table!A"&amp;$AK251):INDIRECT("Table!" &amp; $AN$275 &amp; $AK251),0)),"",INDIRECT(CONCATENATE("Table!",ADDRESS($T251,MATCH(D$1,INDIRECT("Table!A" &amp; $AK251):INDIRECT("Table!" &amp; $AN$275 &amp; $AK251),0)))))</f>
        <v/>
      </c>
      <c r="E251" s="24" t="str">
        <f ca="1">IF(ISERROR(MATCH(E$1,INDIRECT("Table!A"&amp;$AK251):INDIRECT("Table!" &amp; $AN$275 &amp; $AK251),0)),"",INDIRECT(CONCATENATE("Table!",ADDRESS($T251,MATCH(E$1,INDIRECT("Table!A" &amp; $AK251):INDIRECT("Table!" &amp; $AN$275 &amp; $AK251),0)))))</f>
        <v/>
      </c>
      <c r="F251" s="24" t="str">
        <f ca="1">IF(ISERROR(MATCH(F$1,INDIRECT("Table!A"&amp;$AK251):INDIRECT("Table!" &amp; $AN$275 &amp; $AK251),0)),"",INDIRECT(CONCATENATE("Table!",ADDRESS($T251,MATCH(F$1,INDIRECT("Table!A" &amp; $AK251):INDIRECT("Table!" &amp; $AN$275 &amp; $AK251),0)))))</f>
        <v/>
      </c>
      <c r="G251" s="24" t="str">
        <f ca="1">IF(ISERROR(MATCH(G$1,INDIRECT("Table!A"&amp;$AK251):INDIRECT("Table!" &amp; $AN$275 &amp; $AK251),0)),"",INDIRECT(CONCATENATE("Table!",ADDRESS($T251,MATCH(G$1,INDIRECT("Table!A" &amp; $AK251):INDIRECT("Table!" &amp; $AN$275 &amp; $AK251),0)))))</f>
        <v/>
      </c>
      <c r="H251" s="24" t="str">
        <f ca="1">IF(ISERROR(MATCH(H$1,INDIRECT("Table!A"&amp;$AK251):INDIRECT("Table!" &amp; $AN$275 &amp; $AK251),0)),"",INDIRECT(CONCATENATE("Table!",ADDRESS($T251,MATCH(H$1,INDIRECT("Table!A" &amp; $AK251):INDIRECT("Table!" &amp; $AN$275 &amp; $AK251),0)))))</f>
        <v/>
      </c>
      <c r="I251" s="273"/>
      <c r="J251" s="273"/>
      <c r="K251" s="24" t="str">
        <f ca="1">IF(ISERROR(MATCH(L$1,INDIRECT("Table!A"&amp;$AK251):INDIRECT("Table!" &amp; $AN$275 &amp; $AK251),0)),"",INDIRECT(CONCATENATE("Table!",ADDRESS($T251,MATCH(L$1,INDIRECT("Table!A" &amp; $AK251):INDIRECT("Table!" &amp; $AN$275 &amp; $AK251),0)))))</f>
        <v/>
      </c>
      <c r="L251" s="24" t="str">
        <f ca="1">IF(ISERROR(MATCH(M$1,INDIRECT("Table!A"&amp;$AK251):INDIRECT("Table!" &amp; $AN$275 &amp; $AK251),0)),"",INDIRECT(CONCATENATE("Table!",ADDRESS($T251,MATCH(M$1,INDIRECT("Table!A" &amp; $AK251):INDIRECT("Table!" &amp; $AN$275 &amp; $AK251),0)))))</f>
        <v/>
      </c>
      <c r="M251" s="24" t="str">
        <f ca="1">IF(ISERROR(MATCH(N$1,INDIRECT("Table!A"&amp;$AK251):INDIRECT("Table!" &amp; $AN$275 &amp; $AK251),0)),"",INDIRECT(CONCATENATE("Table!",ADDRESS($T251,MATCH(N$1,INDIRECT("Table!A" &amp; $AK251):INDIRECT("Table!" &amp; $AN$275 &amp; $AK251),0)))))</f>
        <v/>
      </c>
      <c r="N251" s="24" t="str">
        <f ca="1">IF(ISERROR(MATCH(O$1,INDIRECT("Table!A"&amp;$AK251):INDIRECT("Table!" &amp; $AN$275 &amp; $AK251),0)),"",INDIRECT(CONCATENATE("Table!",ADDRESS($T251,MATCH(O$1,INDIRECT("Table!A" &amp; $AK251):INDIRECT("Table!" &amp; $AN$275 &amp; $AK251),0)))))</f>
        <v/>
      </c>
      <c r="O251" s="24" t="str">
        <f ca="1">IF(ISERROR(MATCH(P$1,INDIRECT("Table!A"&amp;$AK251):INDIRECT("Table!" &amp; $AN$275 &amp; $AK251),0)),"",INDIRECT(CONCATENATE("Table!",ADDRESS($T251,MATCH(P$1,INDIRECT("Table!A" &amp; $AK251):INDIRECT("Table!" &amp; $AN$275 &amp; $AK251),0)))))</f>
        <v/>
      </c>
      <c r="P251" s="273" t="str">
        <f ca="1">IF(ISERROR(MATCH(Q$1,INDIRECT("Table!A"&amp;$AK251):INDIRECT("Table!" &amp; $AN$275 &amp; $AK251),0)),"",INDIRECT(CONCATENATE("Table!",ADDRESS($T251,MATCH(Q$1,INDIRECT("Table!A" &amp; $AK251):INDIRECT("Table!" &amp; $AN$275 &amp; $AK251),0)))))</f>
        <v/>
      </c>
      <c r="Q251" s="94"/>
      <c r="R251" s="94"/>
      <c r="S251" s="94"/>
      <c r="T251" s="22"/>
      <c r="AI251" s="94"/>
      <c r="AJ251" s="94"/>
      <c r="AK251" s="22"/>
      <c r="AL251" s="94"/>
      <c r="AM251" s="94"/>
      <c r="AN251" s="94"/>
    </row>
    <row r="252" spans="2:40" ht="18" customHeight="1" x14ac:dyDescent="0.25">
      <c r="B252" s="24"/>
      <c r="C252" s="24" t="str">
        <f ca="1">IF(ISERROR(MATCH(C$1,INDIRECT("Table!A"&amp;$AK252):INDIRECT("Table!" &amp; $AN$275 &amp; $AK252),0)),"",INDIRECT(CONCATENATE("Table!",ADDRESS($T252,MATCH(C$1,INDIRECT("Table!A" &amp; $AK252):INDIRECT("Table!" &amp; $AN$275 &amp; $AK252),0)))))</f>
        <v/>
      </c>
      <c r="D252" s="24" t="str">
        <f ca="1">IF(ISERROR(MATCH(D$1,INDIRECT("Table!A"&amp;$AK252):INDIRECT("Table!" &amp; $AN$275 &amp; $AK252),0)),"",INDIRECT(CONCATENATE("Table!",ADDRESS($T252,MATCH(D$1,INDIRECT("Table!A" &amp; $AK252):INDIRECT("Table!" &amp; $AN$275 &amp; $AK252),0)))))</f>
        <v/>
      </c>
      <c r="E252" s="24" t="str">
        <f ca="1">IF(ISERROR(MATCH(E$1,INDIRECT("Table!A"&amp;$AK252):INDIRECT("Table!" &amp; $AN$275 &amp; $AK252),0)),"",INDIRECT(CONCATENATE("Table!",ADDRESS($T252,MATCH(E$1,INDIRECT("Table!A" &amp; $AK252):INDIRECT("Table!" &amp; $AN$275 &amp; $AK252),0)))))</f>
        <v/>
      </c>
      <c r="F252" s="24" t="str">
        <f ca="1">IF(ISERROR(MATCH(F$1,INDIRECT("Table!A"&amp;$AK252):INDIRECT("Table!" &amp; $AN$275 &amp; $AK252),0)),"",INDIRECT(CONCATENATE("Table!",ADDRESS($T252,MATCH(F$1,INDIRECT("Table!A" &amp; $AK252):INDIRECT("Table!" &amp; $AN$275 &amp; $AK252),0)))))</f>
        <v/>
      </c>
      <c r="G252" s="24" t="str">
        <f ca="1">IF(ISERROR(MATCH(G$1,INDIRECT("Table!A"&amp;$AK252):INDIRECT("Table!" &amp; $AN$275 &amp; $AK252),0)),"",INDIRECT(CONCATENATE("Table!",ADDRESS($T252,MATCH(G$1,INDIRECT("Table!A" &amp; $AK252):INDIRECT("Table!" &amp; $AN$275 &amp; $AK252),0)))))</f>
        <v/>
      </c>
      <c r="H252" s="24" t="str">
        <f ca="1">IF(ISERROR(MATCH(H$1,INDIRECT("Table!A"&amp;$AK252):INDIRECT("Table!" &amp; $AN$275 &amp; $AK252),0)),"",INDIRECT(CONCATENATE("Table!",ADDRESS($T252,MATCH(H$1,INDIRECT("Table!A" &amp; $AK252):INDIRECT("Table!" &amp; $AN$275 &amp; $AK252),0)))))</f>
        <v/>
      </c>
      <c r="I252" s="273"/>
      <c r="J252" s="273"/>
      <c r="K252" s="24" t="str">
        <f ca="1">IF(ISERROR(MATCH(L$1,INDIRECT("Table!A"&amp;$AK252):INDIRECT("Table!" &amp; $AN$275 &amp; $AK252),0)),"",INDIRECT(CONCATENATE("Table!",ADDRESS($T252,MATCH(L$1,INDIRECT("Table!A" &amp; $AK252):INDIRECT("Table!" &amp; $AN$275 &amp; $AK252),0)))))</f>
        <v/>
      </c>
      <c r="L252" s="24" t="str">
        <f ca="1">IF(ISERROR(MATCH(M$1,INDIRECT("Table!A"&amp;$AK252):INDIRECT("Table!" &amp; $AN$275 &amp; $AK252),0)),"",INDIRECT(CONCATENATE("Table!",ADDRESS($T252,MATCH(M$1,INDIRECT("Table!A" &amp; $AK252):INDIRECT("Table!" &amp; $AN$275 &amp; $AK252),0)))))</f>
        <v/>
      </c>
      <c r="M252" s="24" t="str">
        <f ca="1">IF(ISERROR(MATCH(N$1,INDIRECT("Table!A"&amp;$AK252):INDIRECT("Table!" &amp; $AN$275 &amp; $AK252),0)),"",INDIRECT(CONCATENATE("Table!",ADDRESS($T252,MATCH(N$1,INDIRECT("Table!A" &amp; $AK252):INDIRECT("Table!" &amp; $AN$275 &amp; $AK252),0)))))</f>
        <v/>
      </c>
      <c r="N252" s="24" t="str">
        <f ca="1">IF(ISERROR(MATCH(O$1,INDIRECT("Table!A"&amp;$AK252):INDIRECT("Table!" &amp; $AN$275 &amp; $AK252),0)),"",INDIRECT(CONCATENATE("Table!",ADDRESS($T252,MATCH(O$1,INDIRECT("Table!A" &amp; $AK252):INDIRECT("Table!" &amp; $AN$275 &amp; $AK252),0)))))</f>
        <v/>
      </c>
      <c r="O252" s="24" t="str">
        <f ca="1">IF(ISERROR(MATCH(P$1,INDIRECT("Table!A"&amp;$AK252):INDIRECT("Table!" &amp; $AN$275 &amp; $AK252),0)),"",INDIRECT(CONCATENATE("Table!",ADDRESS($T252,MATCH(P$1,INDIRECT("Table!A" &amp; $AK252):INDIRECT("Table!" &amp; $AN$275 &amp; $AK252),0)))))</f>
        <v/>
      </c>
      <c r="P252" s="273" t="str">
        <f ca="1">IF(ISERROR(MATCH(Q$1,INDIRECT("Table!A"&amp;$AK252):INDIRECT("Table!" &amp; $AN$275 &amp; $AK252),0)),"",INDIRECT(CONCATENATE("Table!",ADDRESS($T252,MATCH(Q$1,INDIRECT("Table!A" &amp; $AK252):INDIRECT("Table!" &amp; $AN$275 &amp; $AK252),0)))))</f>
        <v/>
      </c>
      <c r="Q252" s="93"/>
      <c r="R252" s="93"/>
      <c r="S252" s="93"/>
      <c r="T252" s="22"/>
      <c r="AI252" s="93"/>
      <c r="AJ252" s="93"/>
      <c r="AK252" s="22"/>
      <c r="AL252" s="93"/>
      <c r="AM252" s="93"/>
      <c r="AN252" s="93"/>
    </row>
    <row r="253" spans="2:40" ht="18" customHeight="1" x14ac:dyDescent="0.25">
      <c r="B253" s="24"/>
      <c r="C253" s="24" t="str">
        <f ca="1">IF(ISERROR(MATCH(C$1,INDIRECT("Table!A"&amp;$AK253):INDIRECT("Table!" &amp; $AN$275 &amp; $AK253),0)),"",INDIRECT(CONCATENATE("Table!",ADDRESS($T253,MATCH(C$1,INDIRECT("Table!A" &amp; $AK253):INDIRECT("Table!" &amp; $AN$275 &amp; $AK253),0)))))</f>
        <v/>
      </c>
      <c r="D253" s="24" t="str">
        <f ca="1">IF(ISERROR(MATCH(D$1,INDIRECT("Table!A"&amp;$AK253):INDIRECT("Table!" &amp; $AN$275 &amp; $AK253),0)),"",INDIRECT(CONCATENATE("Table!",ADDRESS($T253,MATCH(D$1,INDIRECT("Table!A" &amp; $AK253):INDIRECT("Table!" &amp; $AN$275 &amp; $AK253),0)))))</f>
        <v/>
      </c>
      <c r="E253" s="24" t="str">
        <f ca="1">IF(ISERROR(MATCH(E$1,INDIRECT("Table!A"&amp;$AK253):INDIRECT("Table!" &amp; $AN$275 &amp; $AK253),0)),"",INDIRECT(CONCATENATE("Table!",ADDRESS($T253,MATCH(E$1,INDIRECT("Table!A" &amp; $AK253):INDIRECT("Table!" &amp; $AN$275 &amp; $AK253),0)))))</f>
        <v/>
      </c>
      <c r="F253" s="24" t="str">
        <f ca="1">IF(ISERROR(MATCH(F$1,INDIRECT("Table!A"&amp;$AK253):INDIRECT("Table!" &amp; $AN$275 &amp; $AK253),0)),"",INDIRECT(CONCATENATE("Table!",ADDRESS($T253,MATCH(F$1,INDIRECT("Table!A" &amp; $AK253):INDIRECT("Table!" &amp; $AN$275 &amp; $AK253),0)))))</f>
        <v/>
      </c>
      <c r="G253" s="24" t="str">
        <f ca="1">IF(ISERROR(MATCH(G$1,INDIRECT("Table!A"&amp;$AK253):INDIRECT("Table!" &amp; $AN$275 &amp; $AK253),0)),"",INDIRECT(CONCATENATE("Table!",ADDRESS($T253,MATCH(G$1,INDIRECT("Table!A" &amp; $AK253):INDIRECT("Table!" &amp; $AN$275 &amp; $AK253),0)))))</f>
        <v/>
      </c>
      <c r="H253" s="24" t="str">
        <f ca="1">IF(ISERROR(MATCH(H$1,INDIRECT("Table!A"&amp;$AK253):INDIRECT("Table!" &amp; $AN$275 &amp; $AK253),0)),"",INDIRECT(CONCATENATE("Table!",ADDRESS($T253,MATCH(H$1,INDIRECT("Table!A" &amp; $AK253):INDIRECT("Table!" &amp; $AN$275 &amp; $AK253),0)))))</f>
        <v/>
      </c>
      <c r="I253" s="273"/>
      <c r="J253" s="273"/>
      <c r="K253" s="24" t="str">
        <f ca="1">IF(ISERROR(MATCH(L$1,INDIRECT("Table!A"&amp;$AK253):INDIRECT("Table!" &amp; $AN$275 &amp; $AK253),0)),"",INDIRECT(CONCATENATE("Table!",ADDRESS($T253,MATCH(L$1,INDIRECT("Table!A" &amp; $AK253):INDIRECT("Table!" &amp; $AN$275 &amp; $AK253),0)))))</f>
        <v/>
      </c>
      <c r="L253" s="24" t="str">
        <f ca="1">IF(ISERROR(MATCH(M$1,INDIRECT("Table!A"&amp;$AK253):INDIRECT("Table!" &amp; $AN$275 &amp; $AK253),0)),"",INDIRECT(CONCATENATE("Table!",ADDRESS($T253,MATCH(M$1,INDIRECT("Table!A" &amp; $AK253):INDIRECT("Table!" &amp; $AN$275 &amp; $AK253),0)))))</f>
        <v/>
      </c>
      <c r="M253" s="24" t="str">
        <f ca="1">IF(ISERROR(MATCH(N$1,INDIRECT("Table!A"&amp;$AK253):INDIRECT("Table!" &amp; $AN$275 &amp; $AK253),0)),"",INDIRECT(CONCATENATE("Table!",ADDRESS($T253,MATCH(N$1,INDIRECT("Table!A" &amp; $AK253):INDIRECT("Table!" &amp; $AN$275 &amp; $AK253),0)))))</f>
        <v/>
      </c>
      <c r="N253" s="24" t="str">
        <f ca="1">IF(ISERROR(MATCH(O$1,INDIRECT("Table!A"&amp;$AK253):INDIRECT("Table!" &amp; $AN$275 &amp; $AK253),0)),"",INDIRECT(CONCATENATE("Table!",ADDRESS($T253,MATCH(O$1,INDIRECT("Table!A" &amp; $AK253):INDIRECT("Table!" &amp; $AN$275 &amp; $AK253),0)))))</f>
        <v/>
      </c>
      <c r="O253" s="24" t="str">
        <f ca="1">IF(ISERROR(MATCH(P$1,INDIRECT("Table!A"&amp;$AK253):INDIRECT("Table!" &amp; $AN$275 &amp; $AK253),0)),"",INDIRECT(CONCATENATE("Table!",ADDRESS($T253,MATCH(P$1,INDIRECT("Table!A" &amp; $AK253):INDIRECT("Table!" &amp; $AN$275 &amp; $AK253),0)))))</f>
        <v/>
      </c>
      <c r="P253" s="273" t="str">
        <f ca="1">IF(ISERROR(MATCH(Q$1,INDIRECT("Table!A"&amp;$AK253):INDIRECT("Table!" &amp; $AN$275 &amp; $AK253),0)),"",INDIRECT(CONCATENATE("Table!",ADDRESS($T253,MATCH(Q$1,INDIRECT("Table!A" &amp; $AK253):INDIRECT("Table!" &amp; $AN$275 &amp; $AK253),0)))))</f>
        <v/>
      </c>
      <c r="Q253" s="92"/>
      <c r="R253" s="92"/>
      <c r="S253" s="92"/>
      <c r="T253" s="22"/>
      <c r="AI253" s="92"/>
      <c r="AJ253" s="92"/>
      <c r="AK253" s="22"/>
      <c r="AL253" s="92"/>
      <c r="AM253" s="92"/>
      <c r="AN253" s="92"/>
    </row>
    <row r="254" spans="2:40" ht="18" customHeight="1" x14ac:dyDescent="0.25">
      <c r="B254" s="24"/>
      <c r="C254" s="24" t="str">
        <f ca="1">IF(ISERROR(MATCH(C$1,INDIRECT("Table!A"&amp;$AK254):INDIRECT("Table!" &amp; $AN$275 &amp; $AK254),0)),"",INDIRECT(CONCATENATE("Table!",ADDRESS($T254,MATCH(C$1,INDIRECT("Table!A" &amp; $AK254):INDIRECT("Table!" &amp; $AN$275 &amp; $AK254),0)))))</f>
        <v/>
      </c>
      <c r="D254" s="24" t="str">
        <f ca="1">IF(ISERROR(MATCH(D$1,INDIRECT("Table!A"&amp;$AK254):INDIRECT("Table!" &amp; $AN$275 &amp; $AK254),0)),"",INDIRECT(CONCATENATE("Table!",ADDRESS($T254,MATCH(D$1,INDIRECT("Table!A" &amp; $AK254):INDIRECT("Table!" &amp; $AN$275 &amp; $AK254),0)))))</f>
        <v/>
      </c>
      <c r="E254" s="24" t="str">
        <f ca="1">IF(ISERROR(MATCH(E$1,INDIRECT("Table!A"&amp;$AK254):INDIRECT("Table!" &amp; $AN$275 &amp; $AK254),0)),"",INDIRECT(CONCATENATE("Table!",ADDRESS($T254,MATCH(E$1,INDIRECT("Table!A" &amp; $AK254):INDIRECT("Table!" &amp; $AN$275 &amp; $AK254),0)))))</f>
        <v/>
      </c>
      <c r="F254" s="24" t="str">
        <f ca="1">IF(ISERROR(MATCH(F$1,INDIRECT("Table!A"&amp;$AK254):INDIRECT("Table!" &amp; $AN$275 &amp; $AK254),0)),"",INDIRECT(CONCATENATE("Table!",ADDRESS($T254,MATCH(F$1,INDIRECT("Table!A" &amp; $AK254):INDIRECT("Table!" &amp; $AN$275 &amp; $AK254),0)))))</f>
        <v/>
      </c>
      <c r="G254" s="24" t="str">
        <f ca="1">IF(ISERROR(MATCH(G$1,INDIRECT("Table!A"&amp;$AK254):INDIRECT("Table!" &amp; $AN$275 &amp; $AK254),0)),"",INDIRECT(CONCATENATE("Table!",ADDRESS($T254,MATCH(G$1,INDIRECT("Table!A" &amp; $AK254):INDIRECT("Table!" &amp; $AN$275 &amp; $AK254),0)))))</f>
        <v/>
      </c>
      <c r="H254" s="24" t="str">
        <f ca="1">IF(ISERROR(MATCH(H$1,INDIRECT("Table!A"&amp;$AK254):INDIRECT("Table!" &amp; $AN$275 &amp; $AK254),0)),"",INDIRECT(CONCATENATE("Table!",ADDRESS($T254,MATCH(H$1,INDIRECT("Table!A" &amp; $AK254):INDIRECT("Table!" &amp; $AN$275 &amp; $AK254),0)))))</f>
        <v/>
      </c>
      <c r="I254" s="273"/>
      <c r="J254" s="273"/>
      <c r="K254" s="24" t="str">
        <f ca="1">IF(ISERROR(MATCH(L$1,INDIRECT("Table!A"&amp;$AK254):INDIRECT("Table!" &amp; $AN$275 &amp; $AK254),0)),"",INDIRECT(CONCATENATE("Table!",ADDRESS($T254,MATCH(L$1,INDIRECT("Table!A" &amp; $AK254):INDIRECT("Table!" &amp; $AN$275 &amp; $AK254),0)))))</f>
        <v/>
      </c>
      <c r="L254" s="24" t="str">
        <f ca="1">IF(ISERROR(MATCH(M$1,INDIRECT("Table!A"&amp;$AK254):INDIRECT("Table!" &amp; $AN$275 &amp; $AK254),0)),"",INDIRECT(CONCATENATE("Table!",ADDRESS($T254,MATCH(M$1,INDIRECT("Table!A" &amp; $AK254):INDIRECT("Table!" &amp; $AN$275 &amp; $AK254),0)))))</f>
        <v/>
      </c>
      <c r="M254" s="24" t="str">
        <f ca="1">IF(ISERROR(MATCH(N$1,INDIRECT("Table!A"&amp;$AK254):INDIRECT("Table!" &amp; $AN$275 &amp; $AK254),0)),"",INDIRECT(CONCATENATE("Table!",ADDRESS($T254,MATCH(N$1,INDIRECT("Table!A" &amp; $AK254):INDIRECT("Table!" &amp; $AN$275 &amp; $AK254),0)))))</f>
        <v/>
      </c>
      <c r="N254" s="24" t="str">
        <f ca="1">IF(ISERROR(MATCH(O$1,INDIRECT("Table!A"&amp;$AK254):INDIRECT("Table!" &amp; $AN$275 &amp; $AK254),0)),"",INDIRECT(CONCATENATE("Table!",ADDRESS($T254,MATCH(O$1,INDIRECT("Table!A" &amp; $AK254):INDIRECT("Table!" &amp; $AN$275 &amp; $AK254),0)))))</f>
        <v/>
      </c>
      <c r="O254" s="24" t="str">
        <f ca="1">IF(ISERROR(MATCH(P$1,INDIRECT("Table!A"&amp;$AK254):INDIRECT("Table!" &amp; $AN$275 &amp; $AK254),0)),"",INDIRECT(CONCATENATE("Table!",ADDRESS($T254,MATCH(P$1,INDIRECT("Table!A" &amp; $AK254):INDIRECT("Table!" &amp; $AN$275 &amp; $AK254),0)))))</f>
        <v/>
      </c>
      <c r="P254" s="273" t="str">
        <f ca="1">IF(ISERROR(MATCH(Q$1,INDIRECT("Table!A"&amp;$AK254):INDIRECT("Table!" &amp; $AN$275 &amp; $AK254),0)),"",INDIRECT(CONCATENATE("Table!",ADDRESS($T254,MATCH(Q$1,INDIRECT("Table!A" &amp; $AK254):INDIRECT("Table!" &amp; $AN$275 &amp; $AK254),0)))))</f>
        <v/>
      </c>
      <c r="Q254" s="91"/>
      <c r="R254" s="91"/>
      <c r="S254" s="91"/>
      <c r="T254" s="22"/>
      <c r="AI254" s="91"/>
      <c r="AJ254" s="91"/>
      <c r="AK254" s="22"/>
      <c r="AL254" s="91"/>
      <c r="AM254" s="91"/>
      <c r="AN254" s="91"/>
    </row>
    <row r="255" spans="2:40" ht="18" customHeight="1" x14ac:dyDescent="0.25">
      <c r="B255" s="24"/>
      <c r="C255" s="24" t="str">
        <f ca="1">IF(ISERROR(MATCH(C$1,INDIRECT("Table!A"&amp;$AK255):INDIRECT("Table!" &amp; $AN$275 &amp; $AK255),0)),"",INDIRECT(CONCATENATE("Table!",ADDRESS($T255,MATCH(C$1,INDIRECT("Table!A" &amp; $AK255):INDIRECT("Table!" &amp; $AN$275 &amp; $AK255),0)))))</f>
        <v/>
      </c>
      <c r="D255" s="24" t="str">
        <f ca="1">IF(ISERROR(MATCH(D$1,INDIRECT("Table!A"&amp;$AK255):INDIRECT("Table!" &amp; $AN$275 &amp; $AK255),0)),"",INDIRECT(CONCATENATE("Table!",ADDRESS($T255,MATCH(D$1,INDIRECT("Table!A" &amp; $AK255):INDIRECT("Table!" &amp; $AN$275 &amp; $AK255),0)))))</f>
        <v/>
      </c>
      <c r="E255" s="24" t="str">
        <f ca="1">IF(ISERROR(MATCH(E$1,INDIRECT("Table!A"&amp;$AK255):INDIRECT("Table!" &amp; $AN$275 &amp; $AK255),0)),"",INDIRECT(CONCATENATE("Table!",ADDRESS($T255,MATCH(E$1,INDIRECT("Table!A" &amp; $AK255):INDIRECT("Table!" &amp; $AN$275 &amp; $AK255),0)))))</f>
        <v/>
      </c>
      <c r="F255" s="24" t="str">
        <f ca="1">IF(ISERROR(MATCH(F$1,INDIRECT("Table!A"&amp;$AK255):INDIRECT("Table!" &amp; $AN$275 &amp; $AK255),0)),"",INDIRECT(CONCATENATE("Table!",ADDRESS($T255,MATCH(F$1,INDIRECT("Table!A" &amp; $AK255):INDIRECT("Table!" &amp; $AN$275 &amp; $AK255),0)))))</f>
        <v/>
      </c>
      <c r="G255" s="24" t="str">
        <f ca="1">IF(ISERROR(MATCH(G$1,INDIRECT("Table!A"&amp;$AK255):INDIRECT("Table!" &amp; $AN$275 &amp; $AK255),0)),"",INDIRECT(CONCATENATE("Table!",ADDRESS($T255,MATCH(G$1,INDIRECT("Table!A" &amp; $AK255):INDIRECT("Table!" &amp; $AN$275 &amp; $AK255),0)))))</f>
        <v/>
      </c>
      <c r="H255" s="24" t="str">
        <f ca="1">IF(ISERROR(MATCH(H$1,INDIRECT("Table!A"&amp;$AK255):INDIRECT("Table!" &amp; $AN$275 &amp; $AK255),0)),"",INDIRECT(CONCATENATE("Table!",ADDRESS($T255,MATCH(H$1,INDIRECT("Table!A" &amp; $AK255):INDIRECT("Table!" &amp; $AN$275 &amp; $AK255),0)))))</f>
        <v/>
      </c>
      <c r="I255" s="273"/>
      <c r="J255" s="273"/>
      <c r="K255" s="24" t="str">
        <f ca="1">IF(ISERROR(MATCH(L$1,INDIRECT("Table!A"&amp;$AK255):INDIRECT("Table!" &amp; $AN$275 &amp; $AK255),0)),"",INDIRECT(CONCATENATE("Table!",ADDRESS($T255,MATCH(L$1,INDIRECT("Table!A" &amp; $AK255):INDIRECT("Table!" &amp; $AN$275 &amp; $AK255),0)))))</f>
        <v/>
      </c>
      <c r="L255" s="24" t="str">
        <f ca="1">IF(ISERROR(MATCH(M$1,INDIRECT("Table!A"&amp;$AK255):INDIRECT("Table!" &amp; $AN$275 &amp; $AK255),0)),"",INDIRECT(CONCATENATE("Table!",ADDRESS($T255,MATCH(M$1,INDIRECT("Table!A" &amp; $AK255):INDIRECT("Table!" &amp; $AN$275 &amp; $AK255),0)))))</f>
        <v/>
      </c>
      <c r="M255" s="24" t="str">
        <f ca="1">IF(ISERROR(MATCH(N$1,INDIRECT("Table!A"&amp;$AK255):INDIRECT("Table!" &amp; $AN$275 &amp; $AK255),0)),"",INDIRECT(CONCATENATE("Table!",ADDRESS($T255,MATCH(N$1,INDIRECT("Table!A" &amp; $AK255):INDIRECT("Table!" &amp; $AN$275 &amp; $AK255),0)))))</f>
        <v/>
      </c>
      <c r="N255" s="24" t="str">
        <f ca="1">IF(ISERROR(MATCH(O$1,INDIRECT("Table!A"&amp;$AK255):INDIRECT("Table!" &amp; $AN$275 &amp; $AK255),0)),"",INDIRECT(CONCATENATE("Table!",ADDRESS($T255,MATCH(O$1,INDIRECT("Table!A" &amp; $AK255):INDIRECT("Table!" &amp; $AN$275 &amp; $AK255),0)))))</f>
        <v/>
      </c>
      <c r="O255" s="24" t="str">
        <f ca="1">IF(ISERROR(MATCH(P$1,INDIRECT("Table!A"&amp;$AK255):INDIRECT("Table!" &amp; $AN$275 &amp; $AK255),0)),"",INDIRECT(CONCATENATE("Table!",ADDRESS($T255,MATCH(P$1,INDIRECT("Table!A" &amp; $AK255):INDIRECT("Table!" &amp; $AN$275 &amp; $AK255),0)))))</f>
        <v/>
      </c>
      <c r="P255" s="273" t="str">
        <f ca="1">IF(ISERROR(MATCH(Q$1,INDIRECT("Table!A"&amp;$AK255):INDIRECT("Table!" &amp; $AN$275 &amp; $AK255),0)),"",INDIRECT(CONCATENATE("Table!",ADDRESS($T255,MATCH(Q$1,INDIRECT("Table!A" &amp; $AK255):INDIRECT("Table!" &amp; $AN$275 &amp; $AK255),0)))))</f>
        <v/>
      </c>
      <c r="Q255" s="90"/>
      <c r="R255" s="90"/>
      <c r="S255" s="90"/>
      <c r="T255" s="22"/>
      <c r="AI255" s="90"/>
      <c r="AJ255" s="90"/>
      <c r="AK255" s="22"/>
      <c r="AL255" s="90"/>
      <c r="AM255" s="90"/>
      <c r="AN255" s="90"/>
    </row>
    <row r="256" spans="2:40" ht="18" customHeight="1" x14ac:dyDescent="0.25">
      <c r="B256" s="24"/>
      <c r="C256" s="24" t="str">
        <f ca="1">IF(ISERROR(MATCH(C$1,INDIRECT("Table!A"&amp;$AK256):INDIRECT("Table!" &amp; $AN$275 &amp; $AK256),0)),"",INDIRECT(CONCATENATE("Table!",ADDRESS($T256,MATCH(C$1,INDIRECT("Table!A" &amp; $AK256):INDIRECT("Table!" &amp; $AN$275 &amp; $AK256),0)))))</f>
        <v/>
      </c>
      <c r="D256" s="24" t="str">
        <f ca="1">IF(ISERROR(MATCH(D$1,INDIRECT("Table!A"&amp;$AK256):INDIRECT("Table!" &amp; $AN$275 &amp; $AK256),0)),"",INDIRECT(CONCATENATE("Table!",ADDRESS($T256,MATCH(D$1,INDIRECT("Table!A" &amp; $AK256):INDIRECT("Table!" &amp; $AN$275 &amp; $AK256),0)))))</f>
        <v/>
      </c>
      <c r="E256" s="24" t="str">
        <f ca="1">IF(ISERROR(MATCH(E$1,INDIRECT("Table!A"&amp;$AK256):INDIRECT("Table!" &amp; $AN$275 &amp; $AK256),0)),"",INDIRECT(CONCATENATE("Table!",ADDRESS($T256,MATCH(E$1,INDIRECT("Table!A" &amp; $AK256):INDIRECT("Table!" &amp; $AN$275 &amp; $AK256),0)))))</f>
        <v/>
      </c>
      <c r="F256" s="24" t="str">
        <f ca="1">IF(ISERROR(MATCH(F$1,INDIRECT("Table!A"&amp;$AK256):INDIRECT("Table!" &amp; $AN$275 &amp; $AK256),0)),"",INDIRECT(CONCATENATE("Table!",ADDRESS($T256,MATCH(F$1,INDIRECT("Table!A" &amp; $AK256):INDIRECT("Table!" &amp; $AN$275 &amp; $AK256),0)))))</f>
        <v/>
      </c>
      <c r="G256" s="24" t="str">
        <f ca="1">IF(ISERROR(MATCH(G$1,INDIRECT("Table!A"&amp;$AK256):INDIRECT("Table!" &amp; $AN$275 &amp; $AK256),0)),"",INDIRECT(CONCATENATE("Table!",ADDRESS($T256,MATCH(G$1,INDIRECT("Table!A" &amp; $AK256):INDIRECT("Table!" &amp; $AN$275 &amp; $AK256),0)))))</f>
        <v/>
      </c>
      <c r="H256" s="24" t="str">
        <f ca="1">IF(ISERROR(MATCH(H$1,INDIRECT("Table!A"&amp;$AK256):INDIRECT("Table!" &amp; $AN$275 &amp; $AK256),0)),"",INDIRECT(CONCATENATE("Table!",ADDRESS($T256,MATCH(H$1,INDIRECT("Table!A" &amp; $AK256):INDIRECT("Table!" &amp; $AN$275 &amp; $AK256),0)))))</f>
        <v/>
      </c>
      <c r="I256" s="273"/>
      <c r="J256" s="273"/>
      <c r="K256" s="24" t="str">
        <f ca="1">IF(ISERROR(MATCH(L$1,INDIRECT("Table!A"&amp;$AK256):INDIRECT("Table!" &amp; $AN$275 &amp; $AK256),0)),"",INDIRECT(CONCATENATE("Table!",ADDRESS($T256,MATCH(L$1,INDIRECT("Table!A" &amp; $AK256):INDIRECT("Table!" &amp; $AN$275 &amp; $AK256),0)))))</f>
        <v/>
      </c>
      <c r="L256" s="24" t="str">
        <f ca="1">IF(ISERROR(MATCH(M$1,INDIRECT("Table!A"&amp;$AK256):INDIRECT("Table!" &amp; $AN$275 &amp; $AK256),0)),"",INDIRECT(CONCATENATE("Table!",ADDRESS($T256,MATCH(M$1,INDIRECT("Table!A" &amp; $AK256):INDIRECT("Table!" &amp; $AN$275 &amp; $AK256),0)))))</f>
        <v/>
      </c>
      <c r="M256" s="24" t="str">
        <f ca="1">IF(ISERROR(MATCH(N$1,INDIRECT("Table!A"&amp;$AK256):INDIRECT("Table!" &amp; $AN$275 &amp; $AK256),0)),"",INDIRECT(CONCATENATE("Table!",ADDRESS($T256,MATCH(N$1,INDIRECT("Table!A" &amp; $AK256):INDIRECT("Table!" &amp; $AN$275 &amp; $AK256),0)))))</f>
        <v/>
      </c>
      <c r="N256" s="24" t="str">
        <f ca="1">IF(ISERROR(MATCH(O$1,INDIRECT("Table!A"&amp;$AK256):INDIRECT("Table!" &amp; $AN$275 &amp; $AK256),0)),"",INDIRECT(CONCATENATE("Table!",ADDRESS($T256,MATCH(O$1,INDIRECT("Table!A" &amp; $AK256):INDIRECT("Table!" &amp; $AN$275 &amp; $AK256),0)))))</f>
        <v/>
      </c>
      <c r="O256" s="24" t="str">
        <f ca="1">IF(ISERROR(MATCH(P$1,INDIRECT("Table!A"&amp;$AK256):INDIRECT("Table!" &amp; $AN$275 &amp; $AK256),0)),"",INDIRECT(CONCATENATE("Table!",ADDRESS($T256,MATCH(P$1,INDIRECT("Table!A" &amp; $AK256):INDIRECT("Table!" &amp; $AN$275 &amp; $AK256),0)))))</f>
        <v/>
      </c>
      <c r="P256" s="273" t="str">
        <f ca="1">IF(ISERROR(MATCH(Q$1,INDIRECT("Table!A"&amp;$AK256):INDIRECT("Table!" &amp; $AN$275 &amp; $AK256),0)),"",INDIRECT(CONCATENATE("Table!",ADDRESS($T256,MATCH(Q$1,INDIRECT("Table!A" &amp; $AK256):INDIRECT("Table!" &amp; $AN$275 &amp; $AK256),0)))))</f>
        <v/>
      </c>
      <c r="Q256" s="89"/>
      <c r="R256" s="89"/>
      <c r="S256" s="89"/>
      <c r="T256" s="22"/>
      <c r="AI256" s="89"/>
      <c r="AJ256" s="89"/>
      <c r="AK256" s="22"/>
      <c r="AL256" s="89"/>
      <c r="AM256" s="89"/>
      <c r="AN256" s="89"/>
    </row>
    <row r="257" spans="2:40" ht="18" customHeight="1" x14ac:dyDescent="0.25">
      <c r="B257" s="24"/>
      <c r="C257" s="24" t="str">
        <f ca="1">IF(ISERROR(MATCH(C$1,INDIRECT("Table!A"&amp;$AK257):INDIRECT("Table!" &amp; $AN$275 &amp; $AK257),0)),"",INDIRECT(CONCATENATE("Table!",ADDRESS($T257,MATCH(C$1,INDIRECT("Table!A" &amp; $AK257):INDIRECT("Table!" &amp; $AN$275 &amp; $AK257),0)))))</f>
        <v/>
      </c>
      <c r="D257" s="24" t="str">
        <f ca="1">IF(ISERROR(MATCH(D$1,INDIRECT("Table!A"&amp;$AK257):INDIRECT("Table!" &amp; $AN$275 &amp; $AK257),0)),"",INDIRECT(CONCATENATE("Table!",ADDRESS($T257,MATCH(D$1,INDIRECT("Table!A" &amp; $AK257):INDIRECT("Table!" &amp; $AN$275 &amp; $AK257),0)))))</f>
        <v/>
      </c>
      <c r="E257" s="24" t="str">
        <f ca="1">IF(ISERROR(MATCH(E$1,INDIRECT("Table!A"&amp;$AK257):INDIRECT("Table!" &amp; $AN$275 &amp; $AK257),0)),"",INDIRECT(CONCATENATE("Table!",ADDRESS($T257,MATCH(E$1,INDIRECT("Table!A" &amp; $AK257):INDIRECT("Table!" &amp; $AN$275 &amp; $AK257),0)))))</f>
        <v/>
      </c>
      <c r="F257" s="24" t="str">
        <f ca="1">IF(ISERROR(MATCH(F$1,INDIRECT("Table!A"&amp;$AK257):INDIRECT("Table!" &amp; $AN$275 &amp; $AK257),0)),"",INDIRECT(CONCATENATE("Table!",ADDRESS($T257,MATCH(F$1,INDIRECT("Table!A" &amp; $AK257):INDIRECT("Table!" &amp; $AN$275 &amp; $AK257),0)))))</f>
        <v/>
      </c>
      <c r="G257" s="24" t="str">
        <f ca="1">IF(ISERROR(MATCH(G$1,INDIRECT("Table!A"&amp;$AK257):INDIRECT("Table!" &amp; $AN$275 &amp; $AK257),0)),"",INDIRECT(CONCATENATE("Table!",ADDRESS($T257,MATCH(G$1,INDIRECT("Table!A" &amp; $AK257):INDIRECT("Table!" &amp; $AN$275 &amp; $AK257),0)))))</f>
        <v/>
      </c>
      <c r="H257" s="24" t="str">
        <f ca="1">IF(ISERROR(MATCH(H$1,INDIRECT("Table!A"&amp;$AK257):INDIRECT("Table!" &amp; $AN$275 &amp; $AK257),0)),"",INDIRECT(CONCATENATE("Table!",ADDRESS($T257,MATCH(H$1,INDIRECT("Table!A" &amp; $AK257):INDIRECT("Table!" &amp; $AN$275 &amp; $AK257),0)))))</f>
        <v/>
      </c>
      <c r="I257" s="273"/>
      <c r="J257" s="273"/>
      <c r="K257" s="24" t="str">
        <f ca="1">IF(ISERROR(MATCH(L$1,INDIRECT("Table!A"&amp;$AK257):INDIRECT("Table!" &amp; $AN$275 &amp; $AK257),0)),"",INDIRECT(CONCATENATE("Table!",ADDRESS($T257,MATCH(L$1,INDIRECT("Table!A" &amp; $AK257):INDIRECT("Table!" &amp; $AN$275 &amp; $AK257),0)))))</f>
        <v/>
      </c>
      <c r="L257" s="24" t="str">
        <f ca="1">IF(ISERROR(MATCH(M$1,INDIRECT("Table!A"&amp;$AK257):INDIRECT("Table!" &amp; $AN$275 &amp; $AK257),0)),"",INDIRECT(CONCATENATE("Table!",ADDRESS($T257,MATCH(M$1,INDIRECT("Table!A" &amp; $AK257):INDIRECT("Table!" &amp; $AN$275 &amp; $AK257),0)))))</f>
        <v/>
      </c>
      <c r="M257" s="24" t="str">
        <f ca="1">IF(ISERROR(MATCH(N$1,INDIRECT("Table!A"&amp;$AK257):INDIRECT("Table!" &amp; $AN$275 &amp; $AK257),0)),"",INDIRECT(CONCATENATE("Table!",ADDRESS($T257,MATCH(N$1,INDIRECT("Table!A" &amp; $AK257):INDIRECT("Table!" &amp; $AN$275 &amp; $AK257),0)))))</f>
        <v/>
      </c>
      <c r="N257" s="24" t="str">
        <f ca="1">IF(ISERROR(MATCH(O$1,INDIRECT("Table!A"&amp;$AK257):INDIRECT("Table!" &amp; $AN$275 &amp; $AK257),0)),"",INDIRECT(CONCATENATE("Table!",ADDRESS($T257,MATCH(O$1,INDIRECT("Table!A" &amp; $AK257):INDIRECT("Table!" &amp; $AN$275 &amp; $AK257),0)))))</f>
        <v/>
      </c>
      <c r="O257" s="24" t="str">
        <f ca="1">IF(ISERROR(MATCH(P$1,INDIRECT("Table!A"&amp;$AK257):INDIRECT("Table!" &amp; $AN$275 &amp; $AK257),0)),"",INDIRECT(CONCATENATE("Table!",ADDRESS($T257,MATCH(P$1,INDIRECT("Table!A" &amp; $AK257):INDIRECT("Table!" &amp; $AN$275 &amp; $AK257),0)))))</f>
        <v/>
      </c>
      <c r="P257" s="273" t="str">
        <f ca="1">IF(ISERROR(MATCH(Q$1,INDIRECT("Table!A"&amp;$AK257):INDIRECT("Table!" &amp; $AN$275 &amp; $AK257),0)),"",INDIRECT(CONCATENATE("Table!",ADDRESS($T257,MATCH(Q$1,INDIRECT("Table!A" &amp; $AK257):INDIRECT("Table!" &amp; $AN$275 &amp; $AK257),0)))))</f>
        <v/>
      </c>
      <c r="Q257" s="88"/>
      <c r="R257" s="88"/>
      <c r="S257" s="88"/>
      <c r="T257" s="22"/>
      <c r="AI257" s="88"/>
      <c r="AJ257" s="88"/>
      <c r="AK257" s="22"/>
      <c r="AL257" s="88"/>
      <c r="AM257" s="88"/>
      <c r="AN257" s="88"/>
    </row>
    <row r="258" spans="2:40" ht="18" customHeight="1" x14ac:dyDescent="0.25">
      <c r="B258" s="24"/>
      <c r="C258" s="24" t="str">
        <f ca="1">IF(ISERROR(MATCH(C$1,INDIRECT("Table!A"&amp;$AK258):INDIRECT("Table!" &amp; $AN$275 &amp; $AK258),0)),"",INDIRECT(CONCATENATE("Table!",ADDRESS($T258,MATCH(C$1,INDIRECT("Table!A" &amp; $AK258):INDIRECT("Table!" &amp; $AN$275 &amp; $AK258),0)))))</f>
        <v/>
      </c>
      <c r="D258" s="24" t="str">
        <f ca="1">IF(ISERROR(MATCH(D$1,INDIRECT("Table!A"&amp;$AK258):INDIRECT("Table!" &amp; $AN$275 &amp; $AK258),0)),"",INDIRECT(CONCATENATE("Table!",ADDRESS($T258,MATCH(D$1,INDIRECT("Table!A" &amp; $AK258):INDIRECT("Table!" &amp; $AN$275 &amp; $AK258),0)))))</f>
        <v/>
      </c>
      <c r="E258" s="24" t="str">
        <f ca="1">IF(ISERROR(MATCH(E$1,INDIRECT("Table!A"&amp;$AK258):INDIRECT("Table!" &amp; $AN$275 &amp; $AK258),0)),"",INDIRECT(CONCATENATE("Table!",ADDRESS($T258,MATCH(E$1,INDIRECT("Table!A" &amp; $AK258):INDIRECT("Table!" &amp; $AN$275 &amp; $AK258),0)))))</f>
        <v/>
      </c>
      <c r="F258" s="24" t="str">
        <f ca="1">IF(ISERROR(MATCH(F$1,INDIRECT("Table!A"&amp;$AK258):INDIRECT("Table!" &amp; $AN$275 &amp; $AK258),0)),"",INDIRECT(CONCATENATE("Table!",ADDRESS($T258,MATCH(F$1,INDIRECT("Table!A" &amp; $AK258):INDIRECT("Table!" &amp; $AN$275 &amp; $AK258),0)))))</f>
        <v/>
      </c>
      <c r="G258" s="24" t="str">
        <f ca="1">IF(ISERROR(MATCH(G$1,INDIRECT("Table!A"&amp;$AK258):INDIRECT("Table!" &amp; $AN$275 &amp; $AK258),0)),"",INDIRECT(CONCATENATE("Table!",ADDRESS($T258,MATCH(G$1,INDIRECT("Table!A" &amp; $AK258):INDIRECT("Table!" &amp; $AN$275 &amp; $AK258),0)))))</f>
        <v/>
      </c>
      <c r="H258" s="24" t="str">
        <f ca="1">IF(ISERROR(MATCH(H$1,INDIRECT("Table!A"&amp;$AK258):INDIRECT("Table!" &amp; $AN$275 &amp; $AK258),0)),"",INDIRECT(CONCATENATE("Table!",ADDRESS($T258,MATCH(H$1,INDIRECT("Table!A" &amp; $AK258):INDIRECT("Table!" &amp; $AN$275 &amp; $AK258),0)))))</f>
        <v/>
      </c>
      <c r="I258" s="273"/>
      <c r="J258" s="273"/>
      <c r="K258" s="24" t="str">
        <f ca="1">IF(ISERROR(MATCH(L$1,INDIRECT("Table!A"&amp;$AK258):INDIRECT("Table!" &amp; $AN$275 &amp; $AK258),0)),"",INDIRECT(CONCATENATE("Table!",ADDRESS($T258,MATCH(L$1,INDIRECT("Table!A" &amp; $AK258):INDIRECT("Table!" &amp; $AN$275 &amp; $AK258),0)))))</f>
        <v/>
      </c>
      <c r="L258" s="24" t="str">
        <f ca="1">IF(ISERROR(MATCH(M$1,INDIRECT("Table!A"&amp;$AK258):INDIRECT("Table!" &amp; $AN$275 &amp; $AK258),0)),"",INDIRECT(CONCATENATE("Table!",ADDRESS($T258,MATCH(M$1,INDIRECT("Table!A" &amp; $AK258):INDIRECT("Table!" &amp; $AN$275 &amp; $AK258),0)))))</f>
        <v/>
      </c>
      <c r="M258" s="24" t="str">
        <f ca="1">IF(ISERROR(MATCH(N$1,INDIRECT("Table!A"&amp;$AK258):INDIRECT("Table!" &amp; $AN$275 &amp; $AK258),0)),"",INDIRECT(CONCATENATE("Table!",ADDRESS($T258,MATCH(N$1,INDIRECT("Table!A" &amp; $AK258):INDIRECT("Table!" &amp; $AN$275 &amp; $AK258),0)))))</f>
        <v/>
      </c>
      <c r="N258" s="24" t="str">
        <f ca="1">IF(ISERROR(MATCH(O$1,INDIRECT("Table!A"&amp;$AK258):INDIRECT("Table!" &amp; $AN$275 &amp; $AK258),0)),"",INDIRECT(CONCATENATE("Table!",ADDRESS($T258,MATCH(O$1,INDIRECT("Table!A" &amp; $AK258):INDIRECT("Table!" &amp; $AN$275 &amp; $AK258),0)))))</f>
        <v/>
      </c>
      <c r="O258" s="24" t="str">
        <f ca="1">IF(ISERROR(MATCH(P$1,INDIRECT("Table!A"&amp;$AK258):INDIRECT("Table!" &amp; $AN$275 &amp; $AK258),0)),"",INDIRECT(CONCATENATE("Table!",ADDRESS($T258,MATCH(P$1,INDIRECT("Table!A" &amp; $AK258):INDIRECT("Table!" &amp; $AN$275 &amp; $AK258),0)))))</f>
        <v/>
      </c>
      <c r="P258" s="273" t="str">
        <f ca="1">IF(ISERROR(MATCH(Q$1,INDIRECT("Table!A"&amp;$AK258):INDIRECT("Table!" &amp; $AN$275 &amp; $AK258),0)),"",INDIRECT(CONCATENATE("Table!",ADDRESS($T258,MATCH(Q$1,INDIRECT("Table!A" &amp; $AK258):INDIRECT("Table!" &amp; $AN$275 &amp; $AK258),0)))))</f>
        <v/>
      </c>
      <c r="Q258" s="87"/>
      <c r="R258" s="87"/>
      <c r="S258" s="87"/>
      <c r="T258" s="22"/>
      <c r="AI258" s="87"/>
      <c r="AJ258" s="87"/>
      <c r="AK258" s="22"/>
      <c r="AL258" s="87"/>
      <c r="AM258" s="87"/>
      <c r="AN258" s="87"/>
    </row>
    <row r="259" spans="2:40" ht="18" customHeight="1" x14ac:dyDescent="0.25">
      <c r="B259" s="24"/>
      <c r="C259" s="24" t="str">
        <f ca="1">IF(ISERROR(MATCH(C$1,INDIRECT("Table!A"&amp;$AK259):INDIRECT("Table!" &amp; $AN$275 &amp; $AK259),0)),"",INDIRECT(CONCATENATE("Table!",ADDRESS($T259,MATCH(C$1,INDIRECT("Table!A" &amp; $AK259):INDIRECT("Table!" &amp; $AN$275 &amp; $AK259),0)))))</f>
        <v/>
      </c>
      <c r="D259" s="24" t="str">
        <f ca="1">IF(ISERROR(MATCH(D$1,INDIRECT("Table!A"&amp;$AK259):INDIRECT("Table!" &amp; $AN$275 &amp; $AK259),0)),"",INDIRECT(CONCATENATE("Table!",ADDRESS($T259,MATCH(D$1,INDIRECT("Table!A" &amp; $AK259):INDIRECT("Table!" &amp; $AN$275 &amp; $AK259),0)))))</f>
        <v/>
      </c>
      <c r="E259" s="24" t="str">
        <f ca="1">IF(ISERROR(MATCH(E$1,INDIRECT("Table!A"&amp;$AK259):INDIRECT("Table!" &amp; $AN$275 &amp; $AK259),0)),"",INDIRECT(CONCATENATE("Table!",ADDRESS($T259,MATCH(E$1,INDIRECT("Table!A" &amp; $AK259):INDIRECT("Table!" &amp; $AN$275 &amp; $AK259),0)))))</f>
        <v/>
      </c>
      <c r="F259" s="24" t="str">
        <f ca="1">IF(ISERROR(MATCH(F$1,INDIRECT("Table!A"&amp;$AK259):INDIRECT("Table!" &amp; $AN$275 &amp; $AK259),0)),"",INDIRECT(CONCATENATE("Table!",ADDRESS($T259,MATCH(F$1,INDIRECT("Table!A" &amp; $AK259):INDIRECT("Table!" &amp; $AN$275 &amp; $AK259),0)))))</f>
        <v/>
      </c>
      <c r="G259" s="24" t="str">
        <f ca="1">IF(ISERROR(MATCH(G$1,INDIRECT("Table!A"&amp;$AK259):INDIRECT("Table!" &amp; $AN$275 &amp; $AK259),0)),"",INDIRECT(CONCATENATE("Table!",ADDRESS($T259,MATCH(G$1,INDIRECT("Table!A" &amp; $AK259):INDIRECT("Table!" &amp; $AN$275 &amp; $AK259),0)))))</f>
        <v/>
      </c>
      <c r="H259" s="24" t="str">
        <f ca="1">IF(ISERROR(MATCH(H$1,INDIRECT("Table!A"&amp;$AK259):INDIRECT("Table!" &amp; $AN$275 &amp; $AK259),0)),"",INDIRECT(CONCATENATE("Table!",ADDRESS($T259,MATCH(H$1,INDIRECT("Table!A" &amp; $AK259):INDIRECT("Table!" &amp; $AN$275 &amp; $AK259),0)))))</f>
        <v/>
      </c>
      <c r="I259" s="273"/>
      <c r="J259" s="273"/>
      <c r="K259" s="24" t="str">
        <f ca="1">IF(ISERROR(MATCH(L$1,INDIRECT("Table!A"&amp;$AK259):INDIRECT("Table!" &amp; $AN$275 &amp; $AK259),0)),"",INDIRECT(CONCATENATE("Table!",ADDRESS($T259,MATCH(L$1,INDIRECT("Table!A" &amp; $AK259):INDIRECT("Table!" &amp; $AN$275 &amp; $AK259),0)))))</f>
        <v/>
      </c>
      <c r="L259" s="24" t="str">
        <f ca="1">IF(ISERROR(MATCH(M$1,INDIRECT("Table!A"&amp;$AK259):INDIRECT("Table!" &amp; $AN$275 &amp; $AK259),0)),"",INDIRECT(CONCATENATE("Table!",ADDRESS($T259,MATCH(M$1,INDIRECT("Table!A" &amp; $AK259):INDIRECT("Table!" &amp; $AN$275 &amp; $AK259),0)))))</f>
        <v/>
      </c>
      <c r="M259" s="24" t="str">
        <f ca="1">IF(ISERROR(MATCH(N$1,INDIRECT("Table!A"&amp;$AK259):INDIRECT("Table!" &amp; $AN$275 &amp; $AK259),0)),"",INDIRECT(CONCATENATE("Table!",ADDRESS($T259,MATCH(N$1,INDIRECT("Table!A" &amp; $AK259):INDIRECT("Table!" &amp; $AN$275 &amp; $AK259),0)))))</f>
        <v/>
      </c>
      <c r="N259" s="24" t="str">
        <f ca="1">IF(ISERROR(MATCH(O$1,INDIRECT("Table!A"&amp;$AK259):INDIRECT("Table!" &amp; $AN$275 &amp; $AK259),0)),"",INDIRECT(CONCATENATE("Table!",ADDRESS($T259,MATCH(O$1,INDIRECT("Table!A" &amp; $AK259):INDIRECT("Table!" &amp; $AN$275 &amp; $AK259),0)))))</f>
        <v/>
      </c>
      <c r="O259" s="24" t="str">
        <f ca="1">IF(ISERROR(MATCH(P$1,INDIRECT("Table!A"&amp;$AK259):INDIRECT("Table!" &amp; $AN$275 &amp; $AK259),0)),"",INDIRECT(CONCATENATE("Table!",ADDRESS($T259,MATCH(P$1,INDIRECT("Table!A" &amp; $AK259):INDIRECT("Table!" &amp; $AN$275 &amp; $AK259),0)))))</f>
        <v/>
      </c>
      <c r="P259" s="273" t="str">
        <f ca="1">IF(ISERROR(MATCH(Q$1,INDIRECT("Table!A"&amp;$AK259):INDIRECT("Table!" &amp; $AN$275 &amp; $AK259),0)),"",INDIRECT(CONCATENATE("Table!",ADDRESS($T259,MATCH(Q$1,INDIRECT("Table!A" &amp; $AK259):INDIRECT("Table!" &amp; $AN$275 &amp; $AK259),0)))))</f>
        <v/>
      </c>
      <c r="Q259" s="86"/>
      <c r="R259" s="86"/>
      <c r="S259" s="86"/>
      <c r="T259" s="22"/>
      <c r="AI259" s="86"/>
      <c r="AJ259" s="86"/>
      <c r="AK259" s="22"/>
      <c r="AL259" s="86"/>
      <c r="AM259" s="86"/>
      <c r="AN259" s="86"/>
    </row>
    <row r="260" spans="2:40" ht="18" customHeight="1" x14ac:dyDescent="0.25">
      <c r="B260" s="24"/>
      <c r="C260" s="24" t="str">
        <f ca="1">IF(ISERROR(MATCH(C$1,INDIRECT("Table!A"&amp;$AK260):INDIRECT("Table!" &amp; $AN$275 &amp; $AK260),0)),"",INDIRECT(CONCATENATE("Table!",ADDRESS($T260,MATCH(C$1,INDIRECT("Table!A" &amp; $AK260):INDIRECT("Table!" &amp; $AN$275 &amp; $AK260),0)))))</f>
        <v/>
      </c>
      <c r="D260" s="24" t="str">
        <f ca="1">IF(ISERROR(MATCH(D$1,INDIRECT("Table!A"&amp;$AK260):INDIRECT("Table!" &amp; $AN$275 &amp; $AK260),0)),"",INDIRECT(CONCATENATE("Table!",ADDRESS($T260,MATCH(D$1,INDIRECT("Table!A" &amp; $AK260):INDIRECT("Table!" &amp; $AN$275 &amp; $AK260),0)))))</f>
        <v/>
      </c>
      <c r="E260" s="24" t="str">
        <f ca="1">IF(ISERROR(MATCH(E$1,INDIRECT("Table!A"&amp;$AK260):INDIRECT("Table!" &amp; $AN$275 &amp; $AK260),0)),"",INDIRECT(CONCATENATE("Table!",ADDRESS($T260,MATCH(E$1,INDIRECT("Table!A" &amp; $AK260):INDIRECT("Table!" &amp; $AN$275 &amp; $AK260),0)))))</f>
        <v/>
      </c>
      <c r="F260" s="24" t="str">
        <f ca="1">IF(ISERROR(MATCH(F$1,INDIRECT("Table!A"&amp;$AK260):INDIRECT("Table!" &amp; $AN$275 &amp; $AK260),0)),"",INDIRECT(CONCATENATE("Table!",ADDRESS($T260,MATCH(F$1,INDIRECT("Table!A" &amp; $AK260):INDIRECT("Table!" &amp; $AN$275 &amp; $AK260),0)))))</f>
        <v/>
      </c>
      <c r="G260" s="24" t="str">
        <f ca="1">IF(ISERROR(MATCH(G$1,INDIRECT("Table!A"&amp;$AK260):INDIRECT("Table!" &amp; $AN$275 &amp; $AK260),0)),"",INDIRECT(CONCATENATE("Table!",ADDRESS($T260,MATCH(G$1,INDIRECT("Table!A" &amp; $AK260):INDIRECT("Table!" &amp; $AN$275 &amp; $AK260),0)))))</f>
        <v/>
      </c>
      <c r="H260" s="24" t="str">
        <f ca="1">IF(ISERROR(MATCH(H$1,INDIRECT("Table!A"&amp;$AK260):INDIRECT("Table!" &amp; $AN$275 &amp; $AK260),0)),"",INDIRECT(CONCATENATE("Table!",ADDRESS($T260,MATCH(H$1,INDIRECT("Table!A" &amp; $AK260):INDIRECT("Table!" &amp; $AN$275 &amp; $AK260),0)))))</f>
        <v/>
      </c>
      <c r="I260" s="273"/>
      <c r="J260" s="273"/>
      <c r="K260" s="24" t="str">
        <f ca="1">IF(ISERROR(MATCH(L$1,INDIRECT("Table!A"&amp;$AK260):INDIRECT("Table!" &amp; $AN$275 &amp; $AK260),0)),"",INDIRECT(CONCATENATE("Table!",ADDRESS($T260,MATCH(L$1,INDIRECT("Table!A" &amp; $AK260):INDIRECT("Table!" &amp; $AN$275 &amp; $AK260),0)))))</f>
        <v/>
      </c>
      <c r="L260" s="24" t="str">
        <f ca="1">IF(ISERROR(MATCH(M$1,INDIRECT("Table!A"&amp;$AK260):INDIRECT("Table!" &amp; $AN$275 &amp; $AK260),0)),"",INDIRECT(CONCATENATE("Table!",ADDRESS($T260,MATCH(M$1,INDIRECT("Table!A" &amp; $AK260):INDIRECT("Table!" &amp; $AN$275 &amp; $AK260),0)))))</f>
        <v/>
      </c>
      <c r="M260" s="24" t="str">
        <f ca="1">IF(ISERROR(MATCH(N$1,INDIRECT("Table!A"&amp;$AK260):INDIRECT("Table!" &amp; $AN$275 &amp; $AK260),0)),"",INDIRECT(CONCATENATE("Table!",ADDRESS($T260,MATCH(N$1,INDIRECT("Table!A" &amp; $AK260):INDIRECT("Table!" &amp; $AN$275 &amp; $AK260),0)))))</f>
        <v/>
      </c>
      <c r="N260" s="24" t="str">
        <f ca="1">IF(ISERROR(MATCH(O$1,INDIRECT("Table!A"&amp;$AK260):INDIRECT("Table!" &amp; $AN$275 &amp; $AK260),0)),"",INDIRECT(CONCATENATE("Table!",ADDRESS($T260,MATCH(O$1,INDIRECT("Table!A" &amp; $AK260):INDIRECT("Table!" &amp; $AN$275 &amp; $AK260),0)))))</f>
        <v/>
      </c>
      <c r="O260" s="24" t="str">
        <f ca="1">IF(ISERROR(MATCH(P$1,INDIRECT("Table!A"&amp;$AK260):INDIRECT("Table!" &amp; $AN$275 &amp; $AK260),0)),"",INDIRECT(CONCATENATE("Table!",ADDRESS($T260,MATCH(P$1,INDIRECT("Table!A" &amp; $AK260):INDIRECT("Table!" &amp; $AN$275 &amp; $AK260),0)))))</f>
        <v/>
      </c>
      <c r="P260" s="273" t="str">
        <f ca="1">IF(ISERROR(MATCH(Q$1,INDIRECT("Table!A"&amp;$AK260):INDIRECT("Table!" &amp; $AN$275 &amp; $AK260),0)),"",INDIRECT(CONCATENATE("Table!",ADDRESS($T260,MATCH(Q$1,INDIRECT("Table!A" &amp; $AK260):INDIRECT("Table!" &amp; $AN$275 &amp; $AK260),0)))))</f>
        <v/>
      </c>
      <c r="Q260" s="85"/>
      <c r="R260" s="85"/>
      <c r="S260" s="85"/>
      <c r="T260" s="22"/>
      <c r="AI260" s="85"/>
      <c r="AJ260" s="85"/>
      <c r="AK260" s="22"/>
      <c r="AL260" s="85"/>
      <c r="AM260" s="85"/>
      <c r="AN260" s="85"/>
    </row>
    <row r="261" spans="2:40" ht="18" customHeight="1" x14ac:dyDescent="0.25">
      <c r="B261" s="24"/>
      <c r="C261" s="24" t="str">
        <f ca="1">IF(ISERROR(MATCH(C$1,INDIRECT("Table!A"&amp;$AK261):INDIRECT("Table!" &amp; $AN$275 &amp; $AK261),0)),"",INDIRECT(CONCATENATE("Table!",ADDRESS($T261,MATCH(C$1,INDIRECT("Table!A" &amp; $AK261):INDIRECT("Table!" &amp; $AN$275 &amp; $AK261),0)))))</f>
        <v/>
      </c>
      <c r="D261" s="24" t="str">
        <f ca="1">IF(ISERROR(MATCH(D$1,INDIRECT("Table!A"&amp;$AK261):INDIRECT("Table!" &amp; $AN$275 &amp; $AK261),0)),"",INDIRECT(CONCATENATE("Table!",ADDRESS($T261,MATCH(D$1,INDIRECT("Table!A" &amp; $AK261):INDIRECT("Table!" &amp; $AN$275 &amp; $AK261),0)))))</f>
        <v/>
      </c>
      <c r="E261" s="24" t="str">
        <f ca="1">IF(ISERROR(MATCH(E$1,INDIRECT("Table!A"&amp;$AK261):INDIRECT("Table!" &amp; $AN$275 &amp; $AK261),0)),"",INDIRECT(CONCATENATE("Table!",ADDRESS($T261,MATCH(E$1,INDIRECT("Table!A" &amp; $AK261):INDIRECT("Table!" &amp; $AN$275 &amp; $AK261),0)))))</f>
        <v/>
      </c>
      <c r="F261" s="24" t="str">
        <f ca="1">IF(ISERROR(MATCH(F$1,INDIRECT("Table!A"&amp;$AK261):INDIRECT("Table!" &amp; $AN$275 &amp; $AK261),0)),"",INDIRECT(CONCATENATE("Table!",ADDRESS($T261,MATCH(F$1,INDIRECT("Table!A" &amp; $AK261):INDIRECT("Table!" &amp; $AN$275 &amp; $AK261),0)))))</f>
        <v/>
      </c>
      <c r="G261" s="24" t="str">
        <f ca="1">IF(ISERROR(MATCH(G$1,INDIRECT("Table!A"&amp;$AK261):INDIRECT("Table!" &amp; $AN$275 &amp; $AK261),0)),"",INDIRECT(CONCATENATE("Table!",ADDRESS($T261,MATCH(G$1,INDIRECT("Table!A" &amp; $AK261):INDIRECT("Table!" &amp; $AN$275 &amp; $AK261),0)))))</f>
        <v/>
      </c>
      <c r="H261" s="24" t="str">
        <f ca="1">IF(ISERROR(MATCH(H$1,INDIRECT("Table!A"&amp;$AK261):INDIRECT("Table!" &amp; $AN$275 &amp; $AK261),0)),"",INDIRECT(CONCATENATE("Table!",ADDRESS($T261,MATCH(H$1,INDIRECT("Table!A" &amp; $AK261):INDIRECT("Table!" &amp; $AN$275 &amp; $AK261),0)))))</f>
        <v/>
      </c>
      <c r="I261" s="273"/>
      <c r="J261" s="273"/>
      <c r="K261" s="24" t="str">
        <f ca="1">IF(ISERROR(MATCH(L$1,INDIRECT("Table!A"&amp;$AK261):INDIRECT("Table!" &amp; $AN$275 &amp; $AK261),0)),"",INDIRECT(CONCATENATE("Table!",ADDRESS($T261,MATCH(L$1,INDIRECT("Table!A" &amp; $AK261):INDIRECT("Table!" &amp; $AN$275 &amp; $AK261),0)))))</f>
        <v/>
      </c>
      <c r="L261" s="24" t="str">
        <f ca="1">IF(ISERROR(MATCH(M$1,INDIRECT("Table!A"&amp;$AK261):INDIRECT("Table!" &amp; $AN$275 &amp; $AK261),0)),"",INDIRECT(CONCATENATE("Table!",ADDRESS($T261,MATCH(M$1,INDIRECT("Table!A" &amp; $AK261):INDIRECT("Table!" &amp; $AN$275 &amp; $AK261),0)))))</f>
        <v/>
      </c>
      <c r="M261" s="24" t="str">
        <f ca="1">IF(ISERROR(MATCH(N$1,INDIRECT("Table!A"&amp;$AK261):INDIRECT("Table!" &amp; $AN$275 &amp; $AK261),0)),"",INDIRECT(CONCATENATE("Table!",ADDRESS($T261,MATCH(N$1,INDIRECT("Table!A" &amp; $AK261):INDIRECT("Table!" &amp; $AN$275 &amp; $AK261),0)))))</f>
        <v/>
      </c>
      <c r="N261" s="24" t="str">
        <f ca="1">IF(ISERROR(MATCH(O$1,INDIRECT("Table!A"&amp;$AK261):INDIRECT("Table!" &amp; $AN$275 &amp; $AK261),0)),"",INDIRECT(CONCATENATE("Table!",ADDRESS($T261,MATCH(O$1,INDIRECT("Table!A" &amp; $AK261):INDIRECT("Table!" &amp; $AN$275 &amp; $AK261),0)))))</f>
        <v/>
      </c>
      <c r="O261" s="24" t="str">
        <f ca="1">IF(ISERROR(MATCH(P$1,INDIRECT("Table!A"&amp;$AK261):INDIRECT("Table!" &amp; $AN$275 &amp; $AK261),0)),"",INDIRECT(CONCATENATE("Table!",ADDRESS($T261,MATCH(P$1,INDIRECT("Table!A" &amp; $AK261):INDIRECT("Table!" &amp; $AN$275 &amp; $AK261),0)))))</f>
        <v/>
      </c>
      <c r="P261" s="273" t="str">
        <f ca="1">IF(ISERROR(MATCH(Q$1,INDIRECT("Table!A"&amp;$AK261):INDIRECT("Table!" &amp; $AN$275 &amp; $AK261),0)),"",INDIRECT(CONCATENATE("Table!",ADDRESS($T261,MATCH(Q$1,INDIRECT("Table!A" &amp; $AK261):INDIRECT("Table!" &amp; $AN$275 &amp; $AK261),0)))))</f>
        <v/>
      </c>
      <c r="Q261" s="84"/>
      <c r="R261" s="84"/>
      <c r="S261" s="84"/>
      <c r="T261" s="22"/>
      <c r="AI261" s="84"/>
      <c r="AJ261" s="84"/>
      <c r="AK261" s="22"/>
      <c r="AL261" s="84"/>
      <c r="AM261" s="84"/>
      <c r="AN261" s="84"/>
    </row>
    <row r="262" spans="2:40" ht="18" customHeight="1" x14ac:dyDescent="0.25">
      <c r="B262" s="24"/>
      <c r="C262" s="24" t="str">
        <f ca="1">IF(ISERROR(MATCH(C$1,INDIRECT("Table!A"&amp;$AK262):INDIRECT("Table!" &amp; $AN$275 &amp; $AK262),0)),"",INDIRECT(CONCATENATE("Table!",ADDRESS($T262,MATCH(C$1,INDIRECT("Table!A" &amp; $AK262):INDIRECT("Table!" &amp; $AN$275 &amp; $AK262),0)))))</f>
        <v/>
      </c>
      <c r="D262" s="24" t="str">
        <f ca="1">IF(ISERROR(MATCH(D$1,INDIRECT("Table!A"&amp;$AK262):INDIRECT("Table!" &amp; $AN$275 &amp; $AK262),0)),"",INDIRECT(CONCATENATE("Table!",ADDRESS($T262,MATCH(D$1,INDIRECT("Table!A" &amp; $AK262):INDIRECT("Table!" &amp; $AN$275 &amp; $AK262),0)))))</f>
        <v/>
      </c>
      <c r="E262" s="24" t="str">
        <f ca="1">IF(ISERROR(MATCH(E$1,INDIRECT("Table!A"&amp;$AK262):INDIRECT("Table!" &amp; $AN$275 &amp; $AK262),0)),"",INDIRECT(CONCATENATE("Table!",ADDRESS($T262,MATCH(E$1,INDIRECT("Table!A" &amp; $AK262):INDIRECT("Table!" &amp; $AN$275 &amp; $AK262),0)))))</f>
        <v/>
      </c>
      <c r="F262" s="24" t="str">
        <f ca="1">IF(ISERROR(MATCH(F$1,INDIRECT("Table!A"&amp;$AK262):INDIRECT("Table!" &amp; $AN$275 &amp; $AK262),0)),"",INDIRECT(CONCATENATE("Table!",ADDRESS($T262,MATCH(F$1,INDIRECT("Table!A" &amp; $AK262):INDIRECT("Table!" &amp; $AN$275 &amp; $AK262),0)))))</f>
        <v/>
      </c>
      <c r="G262" s="24" t="str">
        <f ca="1">IF(ISERROR(MATCH(G$1,INDIRECT("Table!A"&amp;$AK262):INDIRECT("Table!" &amp; $AN$275 &amp; $AK262),0)),"",INDIRECT(CONCATENATE("Table!",ADDRESS($T262,MATCH(G$1,INDIRECT("Table!A" &amp; $AK262):INDIRECT("Table!" &amp; $AN$275 &amp; $AK262),0)))))</f>
        <v/>
      </c>
      <c r="H262" s="24" t="str">
        <f ca="1">IF(ISERROR(MATCH(H$1,INDIRECT("Table!A"&amp;$AK262):INDIRECT("Table!" &amp; $AN$275 &amp; $AK262),0)),"",INDIRECT(CONCATENATE("Table!",ADDRESS($T262,MATCH(H$1,INDIRECT("Table!A" &amp; $AK262):INDIRECT("Table!" &amp; $AN$275 &amp; $AK262),0)))))</f>
        <v/>
      </c>
      <c r="I262" s="273"/>
      <c r="J262" s="273"/>
      <c r="K262" s="24" t="str">
        <f ca="1">IF(ISERROR(MATCH(L$1,INDIRECT("Table!A"&amp;$AK262):INDIRECT("Table!" &amp; $AN$275 &amp; $AK262),0)),"",INDIRECT(CONCATENATE("Table!",ADDRESS($T262,MATCH(L$1,INDIRECT("Table!A" &amp; $AK262):INDIRECT("Table!" &amp; $AN$275 &amp; $AK262),0)))))</f>
        <v/>
      </c>
      <c r="L262" s="24" t="str">
        <f ca="1">IF(ISERROR(MATCH(M$1,INDIRECT("Table!A"&amp;$AK262):INDIRECT("Table!" &amp; $AN$275 &amp; $AK262),0)),"",INDIRECT(CONCATENATE("Table!",ADDRESS($T262,MATCH(M$1,INDIRECT("Table!A" &amp; $AK262):INDIRECT("Table!" &amp; $AN$275 &amp; $AK262),0)))))</f>
        <v/>
      </c>
      <c r="M262" s="24" t="str">
        <f ca="1">IF(ISERROR(MATCH(N$1,INDIRECT("Table!A"&amp;$AK262):INDIRECT("Table!" &amp; $AN$275 &amp; $AK262),0)),"",INDIRECT(CONCATENATE("Table!",ADDRESS($T262,MATCH(N$1,INDIRECT("Table!A" &amp; $AK262):INDIRECT("Table!" &amp; $AN$275 &amp; $AK262),0)))))</f>
        <v/>
      </c>
      <c r="N262" s="24" t="str">
        <f ca="1">IF(ISERROR(MATCH(O$1,INDIRECT("Table!A"&amp;$AK262):INDIRECT("Table!" &amp; $AN$275 &amp; $AK262),0)),"",INDIRECT(CONCATENATE("Table!",ADDRESS($T262,MATCH(O$1,INDIRECT("Table!A" &amp; $AK262):INDIRECT("Table!" &amp; $AN$275 &amp; $AK262),0)))))</f>
        <v/>
      </c>
      <c r="O262" s="24" t="str">
        <f ca="1">IF(ISERROR(MATCH(P$1,INDIRECT("Table!A"&amp;$AK262):INDIRECT("Table!" &amp; $AN$275 &amp; $AK262),0)),"",INDIRECT(CONCATENATE("Table!",ADDRESS($T262,MATCH(P$1,INDIRECT("Table!A" &amp; $AK262):INDIRECT("Table!" &amp; $AN$275 &amp; $AK262),0)))))</f>
        <v/>
      </c>
      <c r="P262" s="273" t="str">
        <f ca="1">IF(ISERROR(MATCH(Q$1,INDIRECT("Table!A"&amp;$AK262):INDIRECT("Table!" &amp; $AN$275 &amp; $AK262),0)),"",INDIRECT(CONCATENATE("Table!",ADDRESS($T262,MATCH(Q$1,INDIRECT("Table!A" &amp; $AK262):INDIRECT("Table!" &amp; $AN$275 &amp; $AK262),0)))))</f>
        <v/>
      </c>
      <c r="Q262" s="83"/>
      <c r="R262" s="83"/>
      <c r="S262" s="83"/>
      <c r="T262" s="22"/>
      <c r="AI262" s="83"/>
      <c r="AJ262" s="83"/>
      <c r="AK262" s="22"/>
      <c r="AL262" s="83"/>
      <c r="AM262" s="83"/>
      <c r="AN262" s="83"/>
    </row>
    <row r="263" spans="2:40" ht="18" customHeight="1" x14ac:dyDescent="0.25">
      <c r="B263" s="24"/>
      <c r="C263" s="24" t="str">
        <f ca="1">IF(ISERROR(MATCH(C$1,INDIRECT("Table!A"&amp;$AK263):INDIRECT("Table!" &amp; $AN$275 &amp; $AK263),0)),"",INDIRECT(CONCATENATE("Table!",ADDRESS($T263,MATCH(C$1,INDIRECT("Table!A" &amp; $AK263):INDIRECT("Table!" &amp; $AN$275 &amp; $AK263),0)))))</f>
        <v/>
      </c>
      <c r="D263" s="24" t="str">
        <f ca="1">IF(ISERROR(MATCH(D$1,INDIRECT("Table!A"&amp;$AK263):INDIRECT("Table!" &amp; $AN$275 &amp; $AK263),0)),"",INDIRECT(CONCATENATE("Table!",ADDRESS($T263,MATCH(D$1,INDIRECT("Table!A" &amp; $AK263):INDIRECT("Table!" &amp; $AN$275 &amp; $AK263),0)))))</f>
        <v/>
      </c>
      <c r="E263" s="24" t="str">
        <f ca="1">IF(ISERROR(MATCH(E$1,INDIRECT("Table!A"&amp;$AK263):INDIRECT("Table!" &amp; $AN$275 &amp; $AK263),0)),"",INDIRECT(CONCATENATE("Table!",ADDRESS($T263,MATCH(E$1,INDIRECT("Table!A" &amp; $AK263):INDIRECT("Table!" &amp; $AN$275 &amp; $AK263),0)))))</f>
        <v/>
      </c>
      <c r="F263" s="24" t="str">
        <f ca="1">IF(ISERROR(MATCH(F$1,INDIRECT("Table!A"&amp;$AK263):INDIRECT("Table!" &amp; $AN$275 &amp; $AK263),0)),"",INDIRECT(CONCATENATE("Table!",ADDRESS($T263,MATCH(F$1,INDIRECT("Table!A" &amp; $AK263):INDIRECT("Table!" &amp; $AN$275 &amp; $AK263),0)))))</f>
        <v/>
      </c>
      <c r="G263" s="24" t="str">
        <f ca="1">IF(ISERROR(MATCH(G$1,INDIRECT("Table!A"&amp;$AK263):INDIRECT("Table!" &amp; $AN$275 &amp; $AK263),0)),"",INDIRECT(CONCATENATE("Table!",ADDRESS($T263,MATCH(G$1,INDIRECT("Table!A" &amp; $AK263):INDIRECT("Table!" &amp; $AN$275 &amp; $AK263),0)))))</f>
        <v/>
      </c>
      <c r="H263" s="24" t="str">
        <f ca="1">IF(ISERROR(MATCH(H$1,INDIRECT("Table!A"&amp;$AK263):INDIRECT("Table!" &amp; $AN$275 &amp; $AK263),0)),"",INDIRECT(CONCATENATE("Table!",ADDRESS($T263,MATCH(H$1,INDIRECT("Table!A" &amp; $AK263):INDIRECT("Table!" &amp; $AN$275 &amp; $AK263),0)))))</f>
        <v/>
      </c>
      <c r="I263" s="273"/>
      <c r="J263" s="273"/>
      <c r="K263" s="24" t="str">
        <f ca="1">IF(ISERROR(MATCH(L$1,INDIRECT("Table!A"&amp;$AK263):INDIRECT("Table!" &amp; $AN$275 &amp; $AK263),0)),"",INDIRECT(CONCATENATE("Table!",ADDRESS($T263,MATCH(L$1,INDIRECT("Table!A" &amp; $AK263):INDIRECT("Table!" &amp; $AN$275 &amp; $AK263),0)))))</f>
        <v/>
      </c>
      <c r="L263" s="24" t="str">
        <f ca="1">IF(ISERROR(MATCH(M$1,INDIRECT("Table!A"&amp;$AK263):INDIRECT("Table!" &amp; $AN$275 &amp; $AK263),0)),"",INDIRECT(CONCATENATE("Table!",ADDRESS($T263,MATCH(M$1,INDIRECT("Table!A" &amp; $AK263):INDIRECT("Table!" &amp; $AN$275 &amp; $AK263),0)))))</f>
        <v/>
      </c>
      <c r="M263" s="24" t="str">
        <f ca="1">IF(ISERROR(MATCH(N$1,INDIRECT("Table!A"&amp;$AK263):INDIRECT("Table!" &amp; $AN$275 &amp; $AK263),0)),"",INDIRECT(CONCATENATE("Table!",ADDRESS($T263,MATCH(N$1,INDIRECT("Table!A" &amp; $AK263):INDIRECT("Table!" &amp; $AN$275 &amp; $AK263),0)))))</f>
        <v/>
      </c>
      <c r="N263" s="24" t="str">
        <f ca="1">IF(ISERROR(MATCH(O$1,INDIRECT("Table!A"&amp;$AK263):INDIRECT("Table!" &amp; $AN$275 &amp; $AK263),0)),"",INDIRECT(CONCATENATE("Table!",ADDRESS($T263,MATCH(O$1,INDIRECT("Table!A" &amp; $AK263):INDIRECT("Table!" &amp; $AN$275 &amp; $AK263),0)))))</f>
        <v/>
      </c>
      <c r="O263" s="24" t="str">
        <f ca="1">IF(ISERROR(MATCH(P$1,INDIRECT("Table!A"&amp;$AK263):INDIRECT("Table!" &amp; $AN$275 &amp; $AK263),0)),"",INDIRECT(CONCATENATE("Table!",ADDRESS($T263,MATCH(P$1,INDIRECT("Table!A" &amp; $AK263):INDIRECT("Table!" &amp; $AN$275 &amp; $AK263),0)))))</f>
        <v/>
      </c>
      <c r="P263" s="273" t="str">
        <f ca="1">IF(ISERROR(MATCH(Q$1,INDIRECT("Table!A"&amp;$AK263):INDIRECT("Table!" &amp; $AN$275 &amp; $AK263),0)),"",INDIRECT(CONCATENATE("Table!",ADDRESS($T263,MATCH(Q$1,INDIRECT("Table!A" &amp; $AK263):INDIRECT("Table!" &amp; $AN$275 &amp; $AK263),0)))))</f>
        <v/>
      </c>
      <c r="Q263" s="82"/>
      <c r="R263" s="82"/>
      <c r="S263" s="82"/>
      <c r="T263" s="22"/>
      <c r="AI263" s="82"/>
      <c r="AJ263" s="82"/>
      <c r="AK263" s="22"/>
      <c r="AL263" s="82"/>
      <c r="AM263" s="82"/>
      <c r="AN263" s="82"/>
    </row>
    <row r="264" spans="2:40" ht="18" customHeight="1" x14ac:dyDescent="0.25">
      <c r="B264" s="24"/>
      <c r="C264" s="24" t="str">
        <f ca="1">IF(ISERROR(MATCH(C$1,INDIRECT("Table!A"&amp;$AK264):INDIRECT("Table!" &amp; $AN$275 &amp; $AK264),0)),"",INDIRECT(CONCATENATE("Table!",ADDRESS($T264,MATCH(C$1,INDIRECT("Table!A" &amp; $AK264):INDIRECT("Table!" &amp; $AN$275 &amp; $AK264),0)))))</f>
        <v/>
      </c>
      <c r="D264" s="24" t="str">
        <f ca="1">IF(ISERROR(MATCH(D$1,INDIRECT("Table!A"&amp;$AK264):INDIRECT("Table!" &amp; $AN$275 &amp; $AK264),0)),"",INDIRECT(CONCATENATE("Table!",ADDRESS($T264,MATCH(D$1,INDIRECT("Table!A" &amp; $AK264):INDIRECT("Table!" &amp; $AN$275 &amp; $AK264),0)))))</f>
        <v/>
      </c>
      <c r="E264" s="24" t="str">
        <f ca="1">IF(ISERROR(MATCH(E$1,INDIRECT("Table!A"&amp;$AK264):INDIRECT("Table!" &amp; $AN$275 &amp; $AK264),0)),"",INDIRECT(CONCATENATE("Table!",ADDRESS($T264,MATCH(E$1,INDIRECT("Table!A" &amp; $AK264):INDIRECT("Table!" &amp; $AN$275 &amp; $AK264),0)))))</f>
        <v/>
      </c>
      <c r="F264" s="24" t="str">
        <f ca="1">IF(ISERROR(MATCH(F$1,INDIRECT("Table!A"&amp;$AK264):INDIRECT("Table!" &amp; $AN$275 &amp; $AK264),0)),"",INDIRECT(CONCATENATE("Table!",ADDRESS($T264,MATCH(F$1,INDIRECT("Table!A" &amp; $AK264):INDIRECT("Table!" &amp; $AN$275 &amp; $AK264),0)))))</f>
        <v/>
      </c>
      <c r="G264" s="24" t="str">
        <f ca="1">IF(ISERROR(MATCH(G$1,INDIRECT("Table!A"&amp;$AK264):INDIRECT("Table!" &amp; $AN$275 &amp; $AK264),0)),"",INDIRECT(CONCATENATE("Table!",ADDRESS($T264,MATCH(G$1,INDIRECT("Table!A" &amp; $AK264):INDIRECT("Table!" &amp; $AN$275 &amp; $AK264),0)))))</f>
        <v/>
      </c>
      <c r="H264" s="24" t="str">
        <f ca="1">IF(ISERROR(MATCH(H$1,INDIRECT("Table!A"&amp;$AK264):INDIRECT("Table!" &amp; $AN$275 &amp; $AK264),0)),"",INDIRECT(CONCATENATE("Table!",ADDRESS($T264,MATCH(H$1,INDIRECT("Table!A" &amp; $AK264):INDIRECT("Table!" &amp; $AN$275 &amp; $AK264),0)))))</f>
        <v/>
      </c>
      <c r="I264" s="273"/>
      <c r="J264" s="273"/>
      <c r="K264" s="24" t="str">
        <f ca="1">IF(ISERROR(MATCH(L$1,INDIRECT("Table!A"&amp;$AK264):INDIRECT("Table!" &amp; $AN$275 &amp; $AK264),0)),"",INDIRECT(CONCATENATE("Table!",ADDRESS($T264,MATCH(L$1,INDIRECT("Table!A" &amp; $AK264):INDIRECT("Table!" &amp; $AN$275 &amp; $AK264),0)))))</f>
        <v/>
      </c>
      <c r="L264" s="24" t="str">
        <f ca="1">IF(ISERROR(MATCH(M$1,INDIRECT("Table!A"&amp;$AK264):INDIRECT("Table!" &amp; $AN$275 &amp; $AK264),0)),"",INDIRECT(CONCATENATE("Table!",ADDRESS($T264,MATCH(M$1,INDIRECT("Table!A" &amp; $AK264):INDIRECT("Table!" &amp; $AN$275 &amp; $AK264),0)))))</f>
        <v/>
      </c>
      <c r="M264" s="24" t="str">
        <f ca="1">IF(ISERROR(MATCH(N$1,INDIRECT("Table!A"&amp;$AK264):INDIRECT("Table!" &amp; $AN$275 &amp; $AK264),0)),"",INDIRECT(CONCATENATE("Table!",ADDRESS($T264,MATCH(N$1,INDIRECT("Table!A" &amp; $AK264):INDIRECT("Table!" &amp; $AN$275 &amp; $AK264),0)))))</f>
        <v/>
      </c>
      <c r="N264" s="24" t="str">
        <f ca="1">IF(ISERROR(MATCH(O$1,INDIRECT("Table!A"&amp;$AK264):INDIRECT("Table!" &amp; $AN$275 &amp; $AK264),0)),"",INDIRECT(CONCATENATE("Table!",ADDRESS($T264,MATCH(O$1,INDIRECT("Table!A" &amp; $AK264):INDIRECT("Table!" &amp; $AN$275 &amp; $AK264),0)))))</f>
        <v/>
      </c>
      <c r="O264" s="24" t="str">
        <f ca="1">IF(ISERROR(MATCH(P$1,INDIRECT("Table!A"&amp;$AK264):INDIRECT("Table!" &amp; $AN$275 &amp; $AK264),0)),"",INDIRECT(CONCATENATE("Table!",ADDRESS($T264,MATCH(P$1,INDIRECT("Table!A" &amp; $AK264):INDIRECT("Table!" &amp; $AN$275 &amp; $AK264),0)))))</f>
        <v/>
      </c>
      <c r="P264" s="273" t="str">
        <f ca="1">IF(ISERROR(MATCH(Q$1,INDIRECT("Table!A"&amp;$AK264):INDIRECT("Table!" &amp; $AN$275 &amp; $AK264),0)),"",INDIRECT(CONCATENATE("Table!",ADDRESS($T264,MATCH(Q$1,INDIRECT("Table!A" &amp; $AK264):INDIRECT("Table!" &amp; $AN$275 &amp; $AK264),0)))))</f>
        <v/>
      </c>
      <c r="Q264" s="81"/>
      <c r="R264" s="81"/>
      <c r="S264" s="81"/>
      <c r="T264" s="22"/>
      <c r="AI264" s="81"/>
      <c r="AJ264" s="81"/>
      <c r="AK264" s="22"/>
      <c r="AL264" s="81"/>
      <c r="AM264" s="81"/>
      <c r="AN264" s="81"/>
    </row>
    <row r="265" spans="2:40" ht="18" customHeight="1" x14ac:dyDescent="0.25">
      <c r="B265" s="24"/>
      <c r="C265" s="24" t="str">
        <f ca="1">IF(ISERROR(MATCH(C$1,INDIRECT("Table!A"&amp;$AK265):INDIRECT("Table!" &amp; $AN$275 &amp; $AK265),0)),"",INDIRECT(CONCATENATE("Table!",ADDRESS($T265,MATCH(C$1,INDIRECT("Table!A" &amp; $AK265):INDIRECT("Table!" &amp; $AN$275 &amp; $AK265),0)))))</f>
        <v/>
      </c>
      <c r="D265" s="24" t="str">
        <f ca="1">IF(ISERROR(MATCH(D$1,INDIRECT("Table!A"&amp;$AK265):INDIRECT("Table!" &amp; $AN$275 &amp; $AK265),0)),"",INDIRECT(CONCATENATE("Table!",ADDRESS($T265,MATCH(D$1,INDIRECT("Table!A" &amp; $AK265):INDIRECT("Table!" &amp; $AN$275 &amp; $AK265),0)))))</f>
        <v/>
      </c>
      <c r="E265" s="24" t="str">
        <f ca="1">IF(ISERROR(MATCH(E$1,INDIRECT("Table!A"&amp;$AK265):INDIRECT("Table!" &amp; $AN$275 &amp; $AK265),0)),"",INDIRECT(CONCATENATE("Table!",ADDRESS($T265,MATCH(E$1,INDIRECT("Table!A" &amp; $AK265):INDIRECT("Table!" &amp; $AN$275 &amp; $AK265),0)))))</f>
        <v/>
      </c>
      <c r="F265" s="24" t="str">
        <f ca="1">IF(ISERROR(MATCH(F$1,INDIRECT("Table!A"&amp;$AK265):INDIRECT("Table!" &amp; $AN$275 &amp; $AK265),0)),"",INDIRECT(CONCATENATE("Table!",ADDRESS($T265,MATCH(F$1,INDIRECT("Table!A" &amp; $AK265):INDIRECT("Table!" &amp; $AN$275 &amp; $AK265),0)))))</f>
        <v/>
      </c>
      <c r="G265" s="24" t="str">
        <f ca="1">IF(ISERROR(MATCH(G$1,INDIRECT("Table!A"&amp;$AK265):INDIRECT("Table!" &amp; $AN$275 &amp; $AK265),0)),"",INDIRECT(CONCATENATE("Table!",ADDRESS($T265,MATCH(G$1,INDIRECT("Table!A" &amp; $AK265):INDIRECT("Table!" &amp; $AN$275 &amp; $AK265),0)))))</f>
        <v/>
      </c>
      <c r="H265" s="24" t="str">
        <f ca="1">IF(ISERROR(MATCH(H$1,INDIRECT("Table!A"&amp;$AK265):INDIRECT("Table!" &amp; $AN$275 &amp; $AK265),0)),"",INDIRECT(CONCATENATE("Table!",ADDRESS($T265,MATCH(H$1,INDIRECT("Table!A" &amp; $AK265):INDIRECT("Table!" &amp; $AN$275 &amp; $AK265),0)))))</f>
        <v/>
      </c>
      <c r="I265" s="273"/>
      <c r="J265" s="273"/>
      <c r="K265" s="24" t="str">
        <f ca="1">IF(ISERROR(MATCH(L$1,INDIRECT("Table!A"&amp;$AK265):INDIRECT("Table!" &amp; $AN$275 &amp; $AK265),0)),"",INDIRECT(CONCATENATE("Table!",ADDRESS($T265,MATCH(L$1,INDIRECT("Table!A" &amp; $AK265):INDIRECT("Table!" &amp; $AN$275 &amp; $AK265),0)))))</f>
        <v/>
      </c>
      <c r="L265" s="24" t="str">
        <f ca="1">IF(ISERROR(MATCH(M$1,INDIRECT("Table!A"&amp;$AK265):INDIRECT("Table!" &amp; $AN$275 &amp; $AK265),0)),"",INDIRECT(CONCATENATE("Table!",ADDRESS($T265,MATCH(M$1,INDIRECT("Table!A" &amp; $AK265):INDIRECT("Table!" &amp; $AN$275 &amp; $AK265),0)))))</f>
        <v/>
      </c>
      <c r="M265" s="24" t="str">
        <f ca="1">IF(ISERROR(MATCH(N$1,INDIRECT("Table!A"&amp;$AK265):INDIRECT("Table!" &amp; $AN$275 &amp; $AK265),0)),"",INDIRECT(CONCATENATE("Table!",ADDRESS($T265,MATCH(N$1,INDIRECT("Table!A" &amp; $AK265):INDIRECT("Table!" &amp; $AN$275 &amp; $AK265),0)))))</f>
        <v/>
      </c>
      <c r="N265" s="24" t="str">
        <f ca="1">IF(ISERROR(MATCH(O$1,INDIRECT("Table!A"&amp;$AK265):INDIRECT("Table!" &amp; $AN$275 &amp; $AK265),0)),"",INDIRECT(CONCATENATE("Table!",ADDRESS($T265,MATCH(O$1,INDIRECT("Table!A" &amp; $AK265):INDIRECT("Table!" &amp; $AN$275 &amp; $AK265),0)))))</f>
        <v/>
      </c>
      <c r="O265" s="24" t="str">
        <f ca="1">IF(ISERROR(MATCH(P$1,INDIRECT("Table!A"&amp;$AK265):INDIRECT("Table!" &amp; $AN$275 &amp; $AK265),0)),"",INDIRECT(CONCATENATE("Table!",ADDRESS($T265,MATCH(P$1,INDIRECT("Table!A" &amp; $AK265):INDIRECT("Table!" &amp; $AN$275 &amp; $AK265),0)))))</f>
        <v/>
      </c>
      <c r="P265" s="273" t="str">
        <f ca="1">IF(ISERROR(MATCH(Q$1,INDIRECT("Table!A"&amp;$AK265):INDIRECT("Table!" &amp; $AN$275 &amp; $AK265),0)),"",INDIRECT(CONCATENATE("Table!",ADDRESS($T265,MATCH(Q$1,INDIRECT("Table!A" &amp; $AK265):INDIRECT("Table!" &amp; $AN$275 &amp; $AK265),0)))))</f>
        <v/>
      </c>
      <c r="Q265" s="80"/>
      <c r="R265" s="80"/>
      <c r="S265" s="80"/>
      <c r="T265" s="22"/>
      <c r="AI265" s="80"/>
      <c r="AJ265" s="80"/>
      <c r="AK265" s="22"/>
      <c r="AL265" s="80"/>
      <c r="AM265" s="80"/>
      <c r="AN265" s="80"/>
    </row>
    <row r="266" spans="2:40" ht="18" customHeight="1" x14ac:dyDescent="0.25">
      <c r="B266" s="24"/>
      <c r="C266" s="24" t="str">
        <f ca="1">IF(ISERROR(MATCH(C$1,INDIRECT("Table!A"&amp;$AK266):INDIRECT("Table!" &amp; $AN$275 &amp; $AK266),0)),"",INDIRECT(CONCATENATE("Table!",ADDRESS($T266,MATCH(C$1,INDIRECT("Table!A" &amp; $AK266):INDIRECT("Table!" &amp; $AN$275 &amp; $AK266),0)))))</f>
        <v/>
      </c>
      <c r="D266" s="24" t="str">
        <f ca="1">IF(ISERROR(MATCH(D$1,INDIRECT("Table!A"&amp;$AK266):INDIRECT("Table!" &amp; $AN$275 &amp; $AK266),0)),"",INDIRECT(CONCATENATE("Table!",ADDRESS($T266,MATCH(D$1,INDIRECT("Table!A" &amp; $AK266):INDIRECT("Table!" &amp; $AN$275 &amp; $AK266),0)))))</f>
        <v/>
      </c>
      <c r="E266" s="24" t="str">
        <f ca="1">IF(ISERROR(MATCH(E$1,INDIRECT("Table!A"&amp;$AK266):INDIRECT("Table!" &amp; $AN$275 &amp; $AK266),0)),"",INDIRECT(CONCATENATE("Table!",ADDRESS($T266,MATCH(E$1,INDIRECT("Table!A" &amp; $AK266):INDIRECT("Table!" &amp; $AN$275 &amp; $AK266),0)))))</f>
        <v/>
      </c>
      <c r="F266" s="24" t="str">
        <f ca="1">IF(ISERROR(MATCH(F$1,INDIRECT("Table!A"&amp;$AK266):INDIRECT("Table!" &amp; $AN$275 &amp; $AK266),0)),"",INDIRECT(CONCATENATE("Table!",ADDRESS($T266,MATCH(F$1,INDIRECT("Table!A" &amp; $AK266):INDIRECT("Table!" &amp; $AN$275 &amp; $AK266),0)))))</f>
        <v/>
      </c>
      <c r="G266" s="24" t="str">
        <f ca="1">IF(ISERROR(MATCH(G$1,INDIRECT("Table!A"&amp;$AK266):INDIRECT("Table!" &amp; $AN$275 &amp; $AK266),0)),"",INDIRECT(CONCATENATE("Table!",ADDRESS($T266,MATCH(G$1,INDIRECT("Table!A" &amp; $AK266):INDIRECT("Table!" &amp; $AN$275 &amp; $AK266),0)))))</f>
        <v/>
      </c>
      <c r="H266" s="24" t="str">
        <f ca="1">IF(ISERROR(MATCH(H$1,INDIRECT("Table!A"&amp;$AK266):INDIRECT("Table!" &amp; $AN$275 &amp; $AK266),0)),"",INDIRECT(CONCATENATE("Table!",ADDRESS($T266,MATCH(H$1,INDIRECT("Table!A" &amp; $AK266):INDIRECT("Table!" &amp; $AN$275 &amp; $AK266),0)))))</f>
        <v/>
      </c>
      <c r="I266" s="273"/>
      <c r="J266" s="273"/>
      <c r="K266" s="24" t="str">
        <f ca="1">IF(ISERROR(MATCH(L$1,INDIRECT("Table!A"&amp;$AK266):INDIRECT("Table!" &amp; $AN$275 &amp; $AK266),0)),"",INDIRECT(CONCATENATE("Table!",ADDRESS($T266,MATCH(L$1,INDIRECT("Table!A" &amp; $AK266):INDIRECT("Table!" &amp; $AN$275 &amp; $AK266),0)))))</f>
        <v/>
      </c>
      <c r="L266" s="24" t="str">
        <f ca="1">IF(ISERROR(MATCH(M$1,INDIRECT("Table!A"&amp;$AK266):INDIRECT("Table!" &amp; $AN$275 &amp; $AK266),0)),"",INDIRECT(CONCATENATE("Table!",ADDRESS($T266,MATCH(M$1,INDIRECT("Table!A" &amp; $AK266):INDIRECT("Table!" &amp; $AN$275 &amp; $AK266),0)))))</f>
        <v/>
      </c>
      <c r="M266" s="24" t="str">
        <f ca="1">IF(ISERROR(MATCH(N$1,INDIRECT("Table!A"&amp;$AK266):INDIRECT("Table!" &amp; $AN$275 &amp; $AK266),0)),"",INDIRECT(CONCATENATE("Table!",ADDRESS($T266,MATCH(N$1,INDIRECT("Table!A" &amp; $AK266):INDIRECT("Table!" &amp; $AN$275 &amp; $AK266),0)))))</f>
        <v/>
      </c>
      <c r="N266" s="24" t="str">
        <f ca="1">IF(ISERROR(MATCH(O$1,INDIRECT("Table!A"&amp;$AK266):INDIRECT("Table!" &amp; $AN$275 &amp; $AK266),0)),"",INDIRECT(CONCATENATE("Table!",ADDRESS($T266,MATCH(O$1,INDIRECT("Table!A" &amp; $AK266):INDIRECT("Table!" &amp; $AN$275 &amp; $AK266),0)))))</f>
        <v/>
      </c>
      <c r="O266" s="24" t="str">
        <f ca="1">IF(ISERROR(MATCH(P$1,INDIRECT("Table!A"&amp;$AK266):INDIRECT("Table!" &amp; $AN$275 &amp; $AK266),0)),"",INDIRECT(CONCATENATE("Table!",ADDRESS($T266,MATCH(P$1,INDIRECT("Table!A" &amp; $AK266):INDIRECT("Table!" &amp; $AN$275 &amp; $AK266),0)))))</f>
        <v/>
      </c>
      <c r="P266" s="273" t="str">
        <f ca="1">IF(ISERROR(MATCH(Q$1,INDIRECT("Table!A"&amp;$AK266):INDIRECT("Table!" &amp; $AN$275 &amp; $AK266),0)),"",INDIRECT(CONCATENATE("Table!",ADDRESS($T266,MATCH(Q$1,INDIRECT("Table!A" &amp; $AK266):INDIRECT("Table!" &amp; $AN$275 &amp; $AK266),0)))))</f>
        <v/>
      </c>
      <c r="Q266" s="79"/>
      <c r="R266" s="79"/>
      <c r="S266" s="79"/>
      <c r="T266" s="22"/>
      <c r="AI266" s="79"/>
      <c r="AJ266" s="79"/>
      <c r="AK266" s="22"/>
      <c r="AL266" s="79"/>
      <c r="AM266" s="79"/>
      <c r="AN266" s="79"/>
    </row>
    <row r="267" spans="2:40" ht="18" customHeight="1" x14ac:dyDescent="0.25">
      <c r="B267" s="24"/>
      <c r="C267" s="24" t="str">
        <f ca="1">IF(ISERROR(MATCH(C$1,INDIRECT("Table!A"&amp;$AK267):INDIRECT("Table!" &amp; $AN$275 &amp; $AK267),0)),"",INDIRECT(CONCATENATE("Table!",ADDRESS($T267,MATCH(C$1,INDIRECT("Table!A" &amp; $AK267):INDIRECT("Table!" &amp; $AN$275 &amp; $AK267),0)))))</f>
        <v/>
      </c>
      <c r="D267" s="24" t="str">
        <f ca="1">IF(ISERROR(MATCH(D$1,INDIRECT("Table!A"&amp;$AK267):INDIRECT("Table!" &amp; $AN$275 &amp; $AK267),0)),"",INDIRECT(CONCATENATE("Table!",ADDRESS($T267,MATCH(D$1,INDIRECT("Table!A" &amp; $AK267):INDIRECT("Table!" &amp; $AN$275 &amp; $AK267),0)))))</f>
        <v/>
      </c>
      <c r="E267" s="24" t="str">
        <f ca="1">IF(ISERROR(MATCH(E$1,INDIRECT("Table!A"&amp;$AK267):INDIRECT("Table!" &amp; $AN$275 &amp; $AK267),0)),"",INDIRECT(CONCATENATE("Table!",ADDRESS($T267,MATCH(E$1,INDIRECT("Table!A" &amp; $AK267):INDIRECT("Table!" &amp; $AN$275 &amp; $AK267),0)))))</f>
        <v/>
      </c>
      <c r="F267" s="24" t="str">
        <f ca="1">IF(ISERROR(MATCH(F$1,INDIRECT("Table!A"&amp;$AK267):INDIRECT("Table!" &amp; $AN$275 &amp; $AK267),0)),"",INDIRECT(CONCATENATE("Table!",ADDRESS($T267,MATCH(F$1,INDIRECT("Table!A" &amp; $AK267):INDIRECT("Table!" &amp; $AN$275 &amp; $AK267),0)))))</f>
        <v/>
      </c>
      <c r="G267" s="24" t="str">
        <f ca="1">IF(ISERROR(MATCH(G$1,INDIRECT("Table!A"&amp;$AK267):INDIRECT("Table!" &amp; $AN$275 &amp; $AK267),0)),"",INDIRECT(CONCATENATE("Table!",ADDRESS($T267,MATCH(G$1,INDIRECT("Table!A" &amp; $AK267):INDIRECT("Table!" &amp; $AN$275 &amp; $AK267),0)))))</f>
        <v/>
      </c>
      <c r="H267" s="24" t="str">
        <f ca="1">IF(ISERROR(MATCH(H$1,INDIRECT("Table!A"&amp;$AK267):INDIRECT("Table!" &amp; $AN$275 &amp; $AK267),0)),"",INDIRECT(CONCATENATE("Table!",ADDRESS($T267,MATCH(H$1,INDIRECT("Table!A" &amp; $AK267):INDIRECT("Table!" &amp; $AN$275 &amp; $AK267),0)))))</f>
        <v/>
      </c>
      <c r="I267" s="273"/>
      <c r="J267" s="273"/>
      <c r="K267" s="24" t="str">
        <f ca="1">IF(ISERROR(MATCH(L$1,INDIRECT("Table!A"&amp;$AK267):INDIRECT("Table!" &amp; $AN$275 &amp; $AK267),0)),"",INDIRECT(CONCATENATE("Table!",ADDRESS($T267,MATCH(L$1,INDIRECT("Table!A" &amp; $AK267):INDIRECT("Table!" &amp; $AN$275 &amp; $AK267),0)))))</f>
        <v/>
      </c>
      <c r="L267" s="24" t="str">
        <f ca="1">IF(ISERROR(MATCH(M$1,INDIRECT("Table!A"&amp;$AK267):INDIRECT("Table!" &amp; $AN$275 &amp; $AK267),0)),"",INDIRECT(CONCATENATE("Table!",ADDRESS($T267,MATCH(M$1,INDIRECT("Table!A" &amp; $AK267):INDIRECT("Table!" &amp; $AN$275 &amp; $AK267),0)))))</f>
        <v/>
      </c>
      <c r="M267" s="24" t="str">
        <f ca="1">IF(ISERROR(MATCH(N$1,INDIRECT("Table!A"&amp;$AK267):INDIRECT("Table!" &amp; $AN$275 &amp; $AK267),0)),"",INDIRECT(CONCATENATE("Table!",ADDRESS($T267,MATCH(N$1,INDIRECT("Table!A" &amp; $AK267):INDIRECT("Table!" &amp; $AN$275 &amp; $AK267),0)))))</f>
        <v/>
      </c>
      <c r="N267" s="24" t="str">
        <f ca="1">IF(ISERROR(MATCH(O$1,INDIRECT("Table!A"&amp;$AK267):INDIRECT("Table!" &amp; $AN$275 &amp; $AK267),0)),"",INDIRECT(CONCATENATE("Table!",ADDRESS($T267,MATCH(O$1,INDIRECT("Table!A" &amp; $AK267):INDIRECT("Table!" &amp; $AN$275 &amp; $AK267),0)))))</f>
        <v/>
      </c>
      <c r="O267" s="24" t="str">
        <f ca="1">IF(ISERROR(MATCH(P$1,INDIRECT("Table!A"&amp;$AK267):INDIRECT("Table!" &amp; $AN$275 &amp; $AK267),0)),"",INDIRECT(CONCATENATE("Table!",ADDRESS($T267,MATCH(P$1,INDIRECT("Table!A" &amp; $AK267):INDIRECT("Table!" &amp; $AN$275 &amp; $AK267),0)))))</f>
        <v/>
      </c>
      <c r="P267" s="273" t="str">
        <f ca="1">IF(ISERROR(MATCH(Q$1,INDIRECT("Table!A"&amp;$AK267):INDIRECT("Table!" &amp; $AN$275 &amp; $AK267),0)),"",INDIRECT(CONCATENATE("Table!",ADDRESS($T267,MATCH(Q$1,INDIRECT("Table!A" &amp; $AK267):INDIRECT("Table!" &amp; $AN$275 &amp; $AK267),0)))))</f>
        <v/>
      </c>
      <c r="Q267" s="79"/>
      <c r="R267" s="79"/>
      <c r="S267" s="79"/>
      <c r="T267" s="22"/>
      <c r="AI267" s="79"/>
      <c r="AJ267" s="79"/>
      <c r="AK267" s="22"/>
      <c r="AL267" s="79"/>
      <c r="AM267" s="79"/>
      <c r="AN267" s="79"/>
    </row>
    <row r="268" spans="2:40" ht="18" customHeight="1" x14ac:dyDescent="0.25">
      <c r="B268" s="24"/>
      <c r="C268" s="24" t="str">
        <f ca="1">IF(ISERROR(MATCH(C$1,INDIRECT("Table!A"&amp;$AK268):INDIRECT("Table!" &amp; $AN$275 &amp; $AK268),0)),"",INDIRECT(CONCATENATE("Table!",ADDRESS($T268,MATCH(C$1,INDIRECT("Table!A" &amp; $AK268):INDIRECT("Table!" &amp; $AN$275 &amp; $AK268),0)))))</f>
        <v/>
      </c>
      <c r="D268" s="24" t="str">
        <f ca="1">IF(ISERROR(MATCH(D$1,INDIRECT("Table!A"&amp;$AK268):INDIRECT("Table!" &amp; $AN$275 &amp; $AK268),0)),"",INDIRECT(CONCATENATE("Table!",ADDRESS($T268,MATCH(D$1,INDIRECT("Table!A" &amp; $AK268):INDIRECT("Table!" &amp; $AN$275 &amp; $AK268),0)))))</f>
        <v/>
      </c>
      <c r="E268" s="24" t="str">
        <f ca="1">IF(ISERROR(MATCH(E$1,INDIRECT("Table!A"&amp;$AK268):INDIRECT("Table!" &amp; $AN$275 &amp; $AK268),0)),"",INDIRECT(CONCATENATE("Table!",ADDRESS($T268,MATCH(E$1,INDIRECT("Table!A" &amp; $AK268):INDIRECT("Table!" &amp; $AN$275 &amp; $AK268),0)))))</f>
        <v/>
      </c>
      <c r="F268" s="24" t="str">
        <f ca="1">IF(ISERROR(MATCH(F$1,INDIRECT("Table!A"&amp;$AK268):INDIRECT("Table!" &amp; $AN$275 &amp; $AK268),0)),"",INDIRECT(CONCATENATE("Table!",ADDRESS($T268,MATCH(F$1,INDIRECT("Table!A" &amp; $AK268):INDIRECT("Table!" &amp; $AN$275 &amp; $AK268),0)))))</f>
        <v/>
      </c>
      <c r="G268" s="24" t="str">
        <f ca="1">IF(ISERROR(MATCH(G$1,INDIRECT("Table!A"&amp;$AK268):INDIRECT("Table!" &amp; $AN$275 &amp; $AK268),0)),"",INDIRECT(CONCATENATE("Table!",ADDRESS($T268,MATCH(G$1,INDIRECT("Table!A" &amp; $AK268):INDIRECT("Table!" &amp; $AN$275 &amp; $AK268),0)))))</f>
        <v/>
      </c>
      <c r="H268" s="24" t="str">
        <f ca="1">IF(ISERROR(MATCH(H$1,INDIRECT("Table!A"&amp;$AK268):INDIRECT("Table!" &amp; $AN$275 &amp; $AK268),0)),"",INDIRECT(CONCATENATE("Table!",ADDRESS($T268,MATCH(H$1,INDIRECT("Table!A" &amp; $AK268):INDIRECT("Table!" &amp; $AN$275 &amp; $AK268),0)))))</f>
        <v/>
      </c>
      <c r="I268" s="273"/>
      <c r="J268" s="273"/>
      <c r="K268" s="24" t="str">
        <f ca="1">IF(ISERROR(MATCH(L$1,INDIRECT("Table!A"&amp;$AK268):INDIRECT("Table!" &amp; $AN$275 &amp; $AK268),0)),"",INDIRECT(CONCATENATE("Table!",ADDRESS($T268,MATCH(L$1,INDIRECT("Table!A" &amp; $AK268):INDIRECT("Table!" &amp; $AN$275 &amp; $AK268),0)))))</f>
        <v/>
      </c>
      <c r="L268" s="24" t="str">
        <f ca="1">IF(ISERROR(MATCH(M$1,INDIRECT("Table!A"&amp;$AK268):INDIRECT("Table!" &amp; $AN$275 &amp; $AK268),0)),"",INDIRECT(CONCATENATE("Table!",ADDRESS($T268,MATCH(M$1,INDIRECT("Table!A" &amp; $AK268):INDIRECT("Table!" &amp; $AN$275 &amp; $AK268),0)))))</f>
        <v/>
      </c>
      <c r="M268" s="24" t="str">
        <f ca="1">IF(ISERROR(MATCH(N$1,INDIRECT("Table!A"&amp;$AK268):INDIRECT("Table!" &amp; $AN$275 &amp; $AK268),0)),"",INDIRECT(CONCATENATE("Table!",ADDRESS($T268,MATCH(N$1,INDIRECT("Table!A" &amp; $AK268):INDIRECT("Table!" &amp; $AN$275 &amp; $AK268),0)))))</f>
        <v/>
      </c>
      <c r="N268" s="24" t="str">
        <f ca="1">IF(ISERROR(MATCH(O$1,INDIRECT("Table!A"&amp;$AK268):INDIRECT("Table!" &amp; $AN$275 &amp; $AK268),0)),"",INDIRECT(CONCATENATE("Table!",ADDRESS($T268,MATCH(O$1,INDIRECT("Table!A" &amp; $AK268):INDIRECT("Table!" &amp; $AN$275 &amp; $AK268),0)))))</f>
        <v/>
      </c>
      <c r="O268" s="24" t="str">
        <f ca="1">IF(ISERROR(MATCH(P$1,INDIRECT("Table!A"&amp;$AK268):INDIRECT("Table!" &amp; $AN$275 &amp; $AK268),0)),"",INDIRECT(CONCATENATE("Table!",ADDRESS($T268,MATCH(P$1,INDIRECT("Table!A" &amp; $AK268):INDIRECT("Table!" &amp; $AN$275 &amp; $AK268),0)))))</f>
        <v/>
      </c>
      <c r="P268" s="273" t="str">
        <f ca="1">IF(ISERROR(MATCH(Q$1,INDIRECT("Table!A"&amp;$AK268):INDIRECT("Table!" &amp; $AN$275 &amp; $AK268),0)),"",INDIRECT(CONCATENATE("Table!",ADDRESS($T268,MATCH(Q$1,INDIRECT("Table!A" &amp; $AK268):INDIRECT("Table!" &amp; $AN$275 &amp; $AK268),0)))))</f>
        <v/>
      </c>
      <c r="Q268" s="77"/>
      <c r="R268" s="77"/>
      <c r="S268" s="77"/>
      <c r="T268" s="22"/>
      <c r="AI268" s="77"/>
      <c r="AJ268" s="77"/>
      <c r="AK268" s="22"/>
      <c r="AL268" s="77"/>
      <c r="AM268" s="77"/>
      <c r="AN268" s="77"/>
    </row>
    <row r="269" spans="2:40" ht="18" customHeight="1" x14ac:dyDescent="0.25">
      <c r="B269" s="24"/>
      <c r="C269" s="24" t="str">
        <f ca="1">IF(ISERROR(MATCH(C$1,INDIRECT("Table!A"&amp;$AK269):INDIRECT("Table!" &amp; $AN$275 &amp; $AK269),0)),"",INDIRECT(CONCATENATE("Table!",ADDRESS($T269,MATCH(C$1,INDIRECT("Table!A" &amp; $AK269):INDIRECT("Table!" &amp; $AN$275 &amp; $AK269),0)))))</f>
        <v/>
      </c>
      <c r="D269" s="24" t="str">
        <f ca="1">IF(ISERROR(MATCH(D$1,INDIRECT("Table!A"&amp;$AK269):INDIRECT("Table!" &amp; $AN$275 &amp; $AK269),0)),"",INDIRECT(CONCATENATE("Table!",ADDRESS($T269,MATCH(D$1,INDIRECT("Table!A" &amp; $AK269):INDIRECT("Table!" &amp; $AN$275 &amp; $AK269),0)))))</f>
        <v/>
      </c>
      <c r="E269" s="24" t="str">
        <f ca="1">IF(ISERROR(MATCH(E$1,INDIRECT("Table!A"&amp;$AK269):INDIRECT("Table!" &amp; $AN$275 &amp; $AK269),0)),"",INDIRECT(CONCATENATE("Table!",ADDRESS($T269,MATCH(E$1,INDIRECT("Table!A" &amp; $AK269):INDIRECT("Table!" &amp; $AN$275 &amp; $AK269),0)))))</f>
        <v/>
      </c>
      <c r="F269" s="24" t="str">
        <f ca="1">IF(ISERROR(MATCH(F$1,INDIRECT("Table!A"&amp;$AK269):INDIRECT("Table!" &amp; $AN$275 &amp; $AK269),0)),"",INDIRECT(CONCATENATE("Table!",ADDRESS($T269,MATCH(F$1,INDIRECT("Table!A" &amp; $AK269):INDIRECT("Table!" &amp; $AN$275 &amp; $AK269),0)))))</f>
        <v/>
      </c>
      <c r="G269" s="24" t="str">
        <f ca="1">IF(ISERROR(MATCH(G$1,INDIRECT("Table!A"&amp;$AK269):INDIRECT("Table!" &amp; $AN$275 &amp; $AK269),0)),"",INDIRECT(CONCATENATE("Table!",ADDRESS($T269,MATCH(G$1,INDIRECT("Table!A" &amp; $AK269):INDIRECT("Table!" &amp; $AN$275 &amp; $AK269),0)))))</f>
        <v/>
      </c>
      <c r="H269" s="24" t="str">
        <f ca="1">IF(ISERROR(MATCH(H$1,INDIRECT("Table!A"&amp;$AK269):INDIRECT("Table!" &amp; $AN$275 &amp; $AK269),0)),"",INDIRECT(CONCATENATE("Table!",ADDRESS($T269,MATCH(H$1,INDIRECT("Table!A" &amp; $AK269):INDIRECT("Table!" &amp; $AN$275 &amp; $AK269),0)))))</f>
        <v/>
      </c>
      <c r="I269" s="273"/>
      <c r="J269" s="273"/>
      <c r="K269" s="24" t="str">
        <f ca="1">IF(ISERROR(MATCH(L$1,INDIRECT("Table!A"&amp;$AK269):INDIRECT("Table!" &amp; $AN$275 &amp; $AK269),0)),"",INDIRECT(CONCATENATE("Table!",ADDRESS($T269,MATCH(L$1,INDIRECT("Table!A" &amp; $AK269):INDIRECT("Table!" &amp; $AN$275 &amp; $AK269),0)))))</f>
        <v/>
      </c>
      <c r="L269" s="24" t="str">
        <f ca="1">IF(ISERROR(MATCH(M$1,INDIRECT("Table!A"&amp;$AK269):INDIRECT("Table!" &amp; $AN$275 &amp; $AK269),0)),"",INDIRECT(CONCATENATE("Table!",ADDRESS($T269,MATCH(M$1,INDIRECT("Table!A" &amp; $AK269):INDIRECT("Table!" &amp; $AN$275 &amp; $AK269),0)))))</f>
        <v/>
      </c>
      <c r="M269" s="24" t="str">
        <f ca="1">IF(ISERROR(MATCH(N$1,INDIRECT("Table!A"&amp;$AK269):INDIRECT("Table!" &amp; $AN$275 &amp; $AK269),0)),"",INDIRECT(CONCATENATE("Table!",ADDRESS($T269,MATCH(N$1,INDIRECT("Table!A" &amp; $AK269):INDIRECT("Table!" &amp; $AN$275 &amp; $AK269),0)))))</f>
        <v/>
      </c>
      <c r="N269" s="24" t="str">
        <f ca="1">IF(ISERROR(MATCH(O$1,INDIRECT("Table!A"&amp;$AK269):INDIRECT("Table!" &amp; $AN$275 &amp; $AK269),0)),"",INDIRECT(CONCATENATE("Table!",ADDRESS($T269,MATCH(O$1,INDIRECT("Table!A" &amp; $AK269):INDIRECT("Table!" &amp; $AN$275 &amp; $AK269),0)))))</f>
        <v/>
      </c>
      <c r="O269" s="24" t="str">
        <f ca="1">IF(ISERROR(MATCH(P$1,INDIRECT("Table!A"&amp;$AK269):INDIRECT("Table!" &amp; $AN$275 &amp; $AK269),0)),"",INDIRECT(CONCATENATE("Table!",ADDRESS($T269,MATCH(P$1,INDIRECT("Table!A" &amp; $AK269):INDIRECT("Table!" &amp; $AN$275 &amp; $AK269),0)))))</f>
        <v/>
      </c>
      <c r="P269" s="273" t="str">
        <f ca="1">IF(ISERROR(MATCH(Q$1,INDIRECT("Table!A"&amp;$AK269):INDIRECT("Table!" &amp; $AN$275 &amp; $AK269),0)),"",INDIRECT(CONCATENATE("Table!",ADDRESS($T269,MATCH(Q$1,INDIRECT("Table!A" &amp; $AK269):INDIRECT("Table!" &amp; $AN$275 &amp; $AK269),0)))))</f>
        <v/>
      </c>
      <c r="Q269" s="76"/>
      <c r="R269" s="76"/>
      <c r="S269" s="76"/>
      <c r="T269" s="22"/>
      <c r="AI269" s="76"/>
      <c r="AJ269" s="76"/>
      <c r="AK269" s="22"/>
      <c r="AL269" s="76"/>
      <c r="AM269" s="76"/>
      <c r="AN269" s="76"/>
    </row>
    <row r="270" spans="2:40" ht="18" customHeight="1" x14ac:dyDescent="0.25">
      <c r="B270" s="24"/>
      <c r="C270" s="24" t="str">
        <f ca="1">IF(ISERROR(MATCH(C$1,INDIRECT("Table!A"&amp;$AK270):INDIRECT("Table!" &amp; $AN$275 &amp; $AK270),0)),"",INDIRECT(CONCATENATE("Table!",ADDRESS($T270,MATCH(C$1,INDIRECT("Table!A" &amp; $AK270):INDIRECT("Table!" &amp; $AN$275 &amp; $AK270),0)))))</f>
        <v/>
      </c>
      <c r="D270" s="24" t="str">
        <f ca="1">IF(ISERROR(MATCH(D$1,INDIRECT("Table!A"&amp;$AK270):INDIRECT("Table!" &amp; $AN$275 &amp; $AK270),0)),"",INDIRECT(CONCATENATE("Table!",ADDRESS($T270,MATCH(D$1,INDIRECT("Table!A" &amp; $AK270):INDIRECT("Table!" &amp; $AN$275 &amp; $AK270),0)))))</f>
        <v/>
      </c>
      <c r="E270" s="24" t="str">
        <f ca="1">IF(ISERROR(MATCH(E$1,INDIRECT("Table!A"&amp;$AK270):INDIRECT("Table!" &amp; $AN$275 &amp; $AK270),0)),"",INDIRECT(CONCATENATE("Table!",ADDRESS($T270,MATCH(E$1,INDIRECT("Table!A" &amp; $AK270):INDIRECT("Table!" &amp; $AN$275 &amp; $AK270),0)))))</f>
        <v/>
      </c>
      <c r="F270" s="24" t="str">
        <f ca="1">IF(ISERROR(MATCH(F$1,INDIRECT("Table!A"&amp;$AK270):INDIRECT("Table!" &amp; $AN$275 &amp; $AK270),0)),"",INDIRECT(CONCATENATE("Table!",ADDRESS($T270,MATCH(F$1,INDIRECT("Table!A" &amp; $AK270):INDIRECT("Table!" &amp; $AN$275 &amp; $AK270),0)))))</f>
        <v/>
      </c>
      <c r="G270" s="24" t="str">
        <f ca="1">IF(ISERROR(MATCH(G$1,INDIRECT("Table!A"&amp;$AK270):INDIRECT("Table!" &amp; $AN$275 &amp; $AK270),0)),"",INDIRECT(CONCATENATE("Table!",ADDRESS($T270,MATCH(G$1,INDIRECT("Table!A" &amp; $AK270):INDIRECT("Table!" &amp; $AN$275 &amp; $AK270),0)))))</f>
        <v/>
      </c>
      <c r="H270" s="24" t="str">
        <f ca="1">IF(ISERROR(MATCH(H$1,INDIRECT("Table!A"&amp;$AK270):INDIRECT("Table!" &amp; $AN$275 &amp; $AK270),0)),"",INDIRECT(CONCATENATE("Table!",ADDRESS($T270,MATCH(H$1,INDIRECT("Table!A" &amp; $AK270):INDIRECT("Table!" &amp; $AN$275 &amp; $AK270),0)))))</f>
        <v/>
      </c>
      <c r="I270" s="273"/>
      <c r="J270" s="273"/>
      <c r="K270" s="24" t="str">
        <f ca="1">IF(ISERROR(MATCH(L$1,INDIRECT("Table!A"&amp;$AK270):INDIRECT("Table!" &amp; $AN$275 &amp; $AK270),0)),"",INDIRECT(CONCATENATE("Table!",ADDRESS($T270,MATCH(L$1,INDIRECT("Table!A" &amp; $AK270):INDIRECT("Table!" &amp; $AN$275 &amp; $AK270),0)))))</f>
        <v/>
      </c>
      <c r="L270" s="24" t="str">
        <f ca="1">IF(ISERROR(MATCH(M$1,INDIRECT("Table!A"&amp;$AK270):INDIRECT("Table!" &amp; $AN$275 &amp; $AK270),0)),"",INDIRECT(CONCATENATE("Table!",ADDRESS($T270,MATCH(M$1,INDIRECT("Table!A" &amp; $AK270):INDIRECT("Table!" &amp; $AN$275 &amp; $AK270),0)))))</f>
        <v/>
      </c>
      <c r="M270" s="24" t="str">
        <f ca="1">IF(ISERROR(MATCH(N$1,INDIRECT("Table!A"&amp;$AK270):INDIRECT("Table!" &amp; $AN$275 &amp; $AK270),0)),"",INDIRECT(CONCATENATE("Table!",ADDRESS($T270,MATCH(N$1,INDIRECT("Table!A" &amp; $AK270):INDIRECT("Table!" &amp; $AN$275 &amp; $AK270),0)))))</f>
        <v/>
      </c>
      <c r="N270" s="24" t="str">
        <f ca="1">IF(ISERROR(MATCH(O$1,INDIRECT("Table!A"&amp;$AK270):INDIRECT("Table!" &amp; $AN$275 &amp; $AK270),0)),"",INDIRECT(CONCATENATE("Table!",ADDRESS($T270,MATCH(O$1,INDIRECT("Table!A" &amp; $AK270):INDIRECT("Table!" &amp; $AN$275 &amp; $AK270),0)))))</f>
        <v/>
      </c>
      <c r="O270" s="24" t="str">
        <f ca="1">IF(ISERROR(MATCH(P$1,INDIRECT("Table!A"&amp;$AK270):INDIRECT("Table!" &amp; $AN$275 &amp; $AK270),0)),"",INDIRECT(CONCATENATE("Table!",ADDRESS($T270,MATCH(P$1,INDIRECT("Table!A" &amp; $AK270):INDIRECT("Table!" &amp; $AN$275 &amp; $AK270),0)))))</f>
        <v/>
      </c>
      <c r="P270" s="273" t="str">
        <f ca="1">IF(ISERROR(MATCH(Q$1,INDIRECT("Table!A"&amp;$AK270):INDIRECT("Table!" &amp; $AN$275 &amp; $AK270),0)),"",INDIRECT(CONCATENATE("Table!",ADDRESS($T270,MATCH(Q$1,INDIRECT("Table!A" &amp; $AK270):INDIRECT("Table!" &amp; $AN$275 &amp; $AK270),0)))))</f>
        <v/>
      </c>
      <c r="Q270" s="75"/>
      <c r="R270" s="75"/>
      <c r="S270" s="75"/>
      <c r="T270" s="22"/>
      <c r="AI270" s="75"/>
      <c r="AJ270" s="75"/>
      <c r="AK270" s="22"/>
      <c r="AL270" s="75"/>
      <c r="AM270" s="75"/>
      <c r="AN270" s="75"/>
    </row>
    <row r="271" spans="2:40" ht="18" customHeight="1" x14ac:dyDescent="0.25">
      <c r="B271" s="24"/>
      <c r="C271" s="24" t="str">
        <f ca="1">IF(ISERROR(MATCH(C$1,INDIRECT("Table!A"&amp;$AK271):INDIRECT("Table!" &amp; $AN$275 &amp; $AK271),0)),"",INDIRECT(CONCATENATE("Table!",ADDRESS($T271,MATCH(C$1,INDIRECT("Table!A" &amp; $AK271):INDIRECT("Table!" &amp; $AN$275 &amp; $AK271),0)))))</f>
        <v/>
      </c>
      <c r="D271" s="24" t="str">
        <f ca="1">IF(ISERROR(MATCH(D$1,INDIRECT("Table!A"&amp;$AK271):INDIRECT("Table!" &amp; $AN$275 &amp; $AK271),0)),"",INDIRECT(CONCATENATE("Table!",ADDRESS($T271,MATCH(D$1,INDIRECT("Table!A" &amp; $AK271):INDIRECT("Table!" &amp; $AN$275 &amp; $AK271),0)))))</f>
        <v/>
      </c>
      <c r="E271" s="24" t="str">
        <f ca="1">IF(ISERROR(MATCH(E$1,INDIRECT("Table!A"&amp;$AK271):INDIRECT("Table!" &amp; $AN$275 &amp; $AK271),0)),"",INDIRECT(CONCATENATE("Table!",ADDRESS($T271,MATCH(E$1,INDIRECT("Table!A" &amp; $AK271):INDIRECT("Table!" &amp; $AN$275 &amp; $AK271),0)))))</f>
        <v/>
      </c>
      <c r="F271" s="24" t="str">
        <f ca="1">IF(ISERROR(MATCH(F$1,INDIRECT("Table!A"&amp;$AK271):INDIRECT("Table!" &amp; $AN$275 &amp; $AK271),0)),"",INDIRECT(CONCATENATE("Table!",ADDRESS($T271,MATCH(F$1,INDIRECT("Table!A" &amp; $AK271):INDIRECT("Table!" &amp; $AN$275 &amp; $AK271),0)))))</f>
        <v/>
      </c>
      <c r="G271" s="24" t="str">
        <f ca="1">IF(ISERROR(MATCH(G$1,INDIRECT("Table!A"&amp;$AK271):INDIRECT("Table!" &amp; $AN$275 &amp; $AK271),0)),"",INDIRECT(CONCATENATE("Table!",ADDRESS($T271,MATCH(G$1,INDIRECT("Table!A" &amp; $AK271):INDIRECT("Table!" &amp; $AN$275 &amp; $AK271),0)))))</f>
        <v/>
      </c>
      <c r="H271" s="24" t="str">
        <f ca="1">IF(ISERROR(MATCH(H$1,INDIRECT("Table!A"&amp;$AK271):INDIRECT("Table!" &amp; $AN$275 &amp; $AK271),0)),"",INDIRECT(CONCATENATE("Table!",ADDRESS($T271,MATCH(H$1,INDIRECT("Table!A" &amp; $AK271):INDIRECT("Table!" &amp; $AN$275 &amp; $AK271),0)))))</f>
        <v/>
      </c>
      <c r="I271" s="273"/>
      <c r="J271" s="273"/>
      <c r="K271" s="24" t="str">
        <f ca="1">IF(ISERROR(MATCH(L$1,INDIRECT("Table!A"&amp;$AK271):INDIRECT("Table!" &amp; $AN$275 &amp; $AK271),0)),"",INDIRECT(CONCATENATE("Table!",ADDRESS($T271,MATCH(L$1,INDIRECT("Table!A" &amp; $AK271):INDIRECT("Table!" &amp; $AN$275 &amp; $AK271),0)))))</f>
        <v/>
      </c>
      <c r="L271" s="24" t="str">
        <f ca="1">IF(ISERROR(MATCH(M$1,INDIRECT("Table!A"&amp;$AK271):INDIRECT("Table!" &amp; $AN$275 &amp; $AK271),0)),"",INDIRECT(CONCATENATE("Table!",ADDRESS($T271,MATCH(M$1,INDIRECT("Table!A" &amp; $AK271):INDIRECT("Table!" &amp; $AN$275 &amp; $AK271),0)))))</f>
        <v/>
      </c>
      <c r="M271" s="24" t="str">
        <f ca="1">IF(ISERROR(MATCH(N$1,INDIRECT("Table!A"&amp;$AK271):INDIRECT("Table!" &amp; $AN$275 &amp; $AK271),0)),"",INDIRECT(CONCATENATE("Table!",ADDRESS($T271,MATCH(N$1,INDIRECT("Table!A" &amp; $AK271):INDIRECT("Table!" &amp; $AN$275 &amp; $AK271),0)))))</f>
        <v/>
      </c>
      <c r="N271" s="24" t="str">
        <f ca="1">IF(ISERROR(MATCH(O$1,INDIRECT("Table!A"&amp;$AK271):INDIRECT("Table!" &amp; $AN$275 &amp; $AK271),0)),"",INDIRECT(CONCATENATE("Table!",ADDRESS($T271,MATCH(O$1,INDIRECT("Table!A" &amp; $AK271):INDIRECT("Table!" &amp; $AN$275 &amp; $AK271),0)))))</f>
        <v/>
      </c>
      <c r="O271" s="24" t="str">
        <f ca="1">IF(ISERROR(MATCH(P$1,INDIRECT("Table!A"&amp;$AK271):INDIRECT("Table!" &amp; $AN$275 &amp; $AK271),0)),"",INDIRECT(CONCATENATE("Table!",ADDRESS($T271,MATCH(P$1,INDIRECT("Table!A" &amp; $AK271):INDIRECT("Table!" &amp; $AN$275 &amp; $AK271),0)))))</f>
        <v/>
      </c>
      <c r="P271" s="273" t="str">
        <f ca="1">IF(ISERROR(MATCH(Q$1,INDIRECT("Table!A"&amp;$AK271):INDIRECT("Table!" &amp; $AN$275 &amp; $AK271),0)),"",INDIRECT(CONCATENATE("Table!",ADDRESS($T271,MATCH(Q$1,INDIRECT("Table!A" &amp; $AK271):INDIRECT("Table!" &amp; $AN$275 &amp; $AK271),0)))))</f>
        <v/>
      </c>
      <c r="Q271" s="74"/>
      <c r="R271" s="74"/>
      <c r="S271" s="74"/>
      <c r="T271" s="22"/>
      <c r="AI271" s="74"/>
      <c r="AJ271" s="74"/>
      <c r="AK271" s="22"/>
      <c r="AL271" s="74"/>
      <c r="AM271" s="74"/>
      <c r="AN271" s="74"/>
    </row>
    <row r="272" spans="2:40" ht="18" customHeight="1" x14ac:dyDescent="0.25">
      <c r="B272" s="24"/>
      <c r="C272" s="24" t="str">
        <f ca="1">IF(ISERROR(MATCH(C$1,INDIRECT("Table!A"&amp;$AK272):INDIRECT("Table!" &amp; $AN$275 &amp; $AK272),0)),"",INDIRECT(CONCATENATE("Table!",ADDRESS($T272,MATCH(C$1,INDIRECT("Table!A" &amp; $AK272):INDIRECT("Table!" &amp; $AN$275 &amp; $AK272),0)))))</f>
        <v/>
      </c>
      <c r="D272" s="24" t="str">
        <f ca="1">IF(ISERROR(MATCH(D$1,INDIRECT("Table!A"&amp;$AK272):INDIRECT("Table!" &amp; $AN$275 &amp; $AK272),0)),"",INDIRECT(CONCATENATE("Table!",ADDRESS($T272,MATCH(D$1,INDIRECT("Table!A" &amp; $AK272):INDIRECT("Table!" &amp; $AN$275 &amp; $AK272),0)))))</f>
        <v/>
      </c>
      <c r="E272" s="24" t="str">
        <f ca="1">IF(ISERROR(MATCH(E$1,INDIRECT("Table!A"&amp;$AK272):INDIRECT("Table!" &amp; $AN$275 &amp; $AK272),0)),"",INDIRECT(CONCATENATE("Table!",ADDRESS($T272,MATCH(E$1,INDIRECT("Table!A" &amp; $AK272):INDIRECT("Table!" &amp; $AN$275 &amp; $AK272),0)))))</f>
        <v/>
      </c>
      <c r="F272" s="24" t="str">
        <f ca="1">IF(ISERROR(MATCH(F$1,INDIRECT("Table!A"&amp;$AK272):INDIRECT("Table!" &amp; $AN$275 &amp; $AK272),0)),"",INDIRECT(CONCATENATE("Table!",ADDRESS($T272,MATCH(F$1,INDIRECT("Table!A" &amp; $AK272):INDIRECT("Table!" &amp; $AN$275 &amp; $AK272),0)))))</f>
        <v/>
      </c>
      <c r="G272" s="24" t="str">
        <f ca="1">IF(ISERROR(MATCH(G$1,INDIRECT("Table!A"&amp;$AK272):INDIRECT("Table!" &amp; $AN$275 &amp; $AK272),0)),"",INDIRECT(CONCATENATE("Table!",ADDRESS($T272,MATCH(G$1,INDIRECT("Table!A" &amp; $AK272):INDIRECT("Table!" &amp; $AN$275 &amp; $AK272),0)))))</f>
        <v/>
      </c>
      <c r="H272" s="24" t="str">
        <f ca="1">IF(ISERROR(MATCH(H$1,INDIRECT("Table!A"&amp;$AK272):INDIRECT("Table!" &amp; $AN$275 &amp; $AK272),0)),"",INDIRECT(CONCATENATE("Table!",ADDRESS($T272,MATCH(H$1,INDIRECT("Table!A" &amp; $AK272):INDIRECT("Table!" &amp; $AN$275 &amp; $AK272),0)))))</f>
        <v/>
      </c>
      <c r="I272" s="273"/>
      <c r="J272" s="273"/>
      <c r="K272" s="24" t="str">
        <f ca="1">IF(ISERROR(MATCH(L$1,INDIRECT("Table!A"&amp;$AK272):INDIRECT("Table!" &amp; $AN$275 &amp; $AK272),0)),"",INDIRECT(CONCATENATE("Table!",ADDRESS($T272,MATCH(L$1,INDIRECT("Table!A" &amp; $AK272):INDIRECT("Table!" &amp; $AN$275 &amp; $AK272),0)))))</f>
        <v/>
      </c>
      <c r="L272" s="24" t="str">
        <f ca="1">IF(ISERROR(MATCH(M$1,INDIRECT("Table!A"&amp;$AK272):INDIRECT("Table!" &amp; $AN$275 &amp; $AK272),0)),"",INDIRECT(CONCATENATE("Table!",ADDRESS($T272,MATCH(M$1,INDIRECT("Table!A" &amp; $AK272):INDIRECT("Table!" &amp; $AN$275 &amp; $AK272),0)))))</f>
        <v/>
      </c>
      <c r="M272" s="24" t="str">
        <f ca="1">IF(ISERROR(MATCH(N$1,INDIRECT("Table!A"&amp;$AK272):INDIRECT("Table!" &amp; $AN$275 &amp; $AK272),0)),"",INDIRECT(CONCATENATE("Table!",ADDRESS($T272,MATCH(N$1,INDIRECT("Table!A" &amp; $AK272):INDIRECT("Table!" &amp; $AN$275 &amp; $AK272),0)))))</f>
        <v/>
      </c>
      <c r="N272" s="24" t="str">
        <f ca="1">IF(ISERROR(MATCH(O$1,INDIRECT("Table!A"&amp;$AK272):INDIRECT("Table!" &amp; $AN$275 &amp; $AK272),0)),"",INDIRECT(CONCATENATE("Table!",ADDRESS($T272,MATCH(O$1,INDIRECT("Table!A" &amp; $AK272):INDIRECT("Table!" &amp; $AN$275 &amp; $AK272),0)))))</f>
        <v/>
      </c>
      <c r="O272" s="24" t="str">
        <f ca="1">IF(ISERROR(MATCH(P$1,INDIRECT("Table!A"&amp;$AK272):INDIRECT("Table!" &amp; $AN$275 &amp; $AK272),0)),"",INDIRECT(CONCATENATE("Table!",ADDRESS($T272,MATCH(P$1,INDIRECT("Table!A" &amp; $AK272):INDIRECT("Table!" &amp; $AN$275 &amp; $AK272),0)))))</f>
        <v/>
      </c>
      <c r="P272" s="273" t="str">
        <f ca="1">IF(ISERROR(MATCH(Q$1,INDIRECT("Table!A"&amp;$AK272):INDIRECT("Table!" &amp; $AN$275 &amp; $AK272),0)),"",INDIRECT(CONCATENATE("Table!",ADDRESS($T272,MATCH(Q$1,INDIRECT("Table!A" &amp; $AK272):INDIRECT("Table!" &amp; $AN$275 &amp; $AK272),0)))))</f>
        <v/>
      </c>
      <c r="Q272" s="73"/>
      <c r="R272" s="73"/>
      <c r="S272" s="73"/>
      <c r="T272" s="22"/>
      <c r="AI272" s="73"/>
      <c r="AJ272" s="73"/>
      <c r="AK272" s="22"/>
      <c r="AL272" s="73"/>
      <c r="AM272" s="73"/>
      <c r="AN272" s="73"/>
    </row>
    <row r="273" spans="2:40" ht="18" customHeight="1" x14ac:dyDescent="0.25">
      <c r="B273" s="24"/>
      <c r="C273" s="24" t="str">
        <f ca="1">IF(ISERROR(MATCH(C$1,INDIRECT("Table!A"&amp;$AK273):INDIRECT("Table!" &amp; $AN$275 &amp; $AK273),0)),"",INDIRECT(CONCATENATE("Table!",ADDRESS($T273,MATCH(C$1,INDIRECT("Table!A" &amp; $AK273):INDIRECT("Table!" &amp; $AN$275 &amp; $AK273),0)))))</f>
        <v/>
      </c>
      <c r="D273" s="24" t="str">
        <f ca="1">IF(ISERROR(MATCH(D$1,INDIRECT("Table!A"&amp;$AK273):INDIRECT("Table!" &amp; $AN$275 &amp; $AK273),0)),"",INDIRECT(CONCATENATE("Table!",ADDRESS($T273,MATCH(D$1,INDIRECT("Table!A" &amp; $AK273):INDIRECT("Table!" &amp; $AN$275 &amp; $AK273),0)))))</f>
        <v/>
      </c>
      <c r="E273" s="24" t="str">
        <f ca="1">IF(ISERROR(MATCH(E$1,INDIRECT("Table!A"&amp;$AK273):INDIRECT("Table!" &amp; $AN$275 &amp; $AK273),0)),"",INDIRECT(CONCATENATE("Table!",ADDRESS($T273,MATCH(E$1,INDIRECT("Table!A" &amp; $AK273):INDIRECT("Table!" &amp; $AN$275 &amp; $AK273),0)))))</f>
        <v/>
      </c>
      <c r="F273" s="24" t="str">
        <f ca="1">IF(ISERROR(MATCH(F$1,INDIRECT("Table!A"&amp;$AK273):INDIRECT("Table!" &amp; $AN$275 &amp; $AK273),0)),"",INDIRECT(CONCATENATE("Table!",ADDRESS($T273,MATCH(F$1,INDIRECT("Table!A" &amp; $AK273):INDIRECT("Table!" &amp; $AN$275 &amp; $AK273),0)))))</f>
        <v/>
      </c>
      <c r="G273" s="24" t="str">
        <f ca="1">IF(ISERROR(MATCH(G$1,INDIRECT("Table!A"&amp;$AK273):INDIRECT("Table!" &amp; $AN$275 &amp; $AK273),0)),"",INDIRECT(CONCATENATE("Table!",ADDRESS($T273,MATCH(G$1,INDIRECT("Table!A" &amp; $AK273):INDIRECT("Table!" &amp; $AN$275 &amp; $AK273),0)))))</f>
        <v/>
      </c>
      <c r="H273" s="24" t="str">
        <f ca="1">IF(ISERROR(MATCH(H$1,INDIRECT("Table!A"&amp;$AK273):INDIRECT("Table!" &amp; $AN$275 &amp; $AK273),0)),"",INDIRECT(CONCATENATE("Table!",ADDRESS($T273,MATCH(H$1,INDIRECT("Table!A" &amp; $AK273):INDIRECT("Table!" &amp; $AN$275 &amp; $AK273),0)))))</f>
        <v/>
      </c>
      <c r="I273" s="273"/>
      <c r="J273" s="273"/>
      <c r="K273" s="24" t="str">
        <f ca="1">IF(ISERROR(MATCH(L$1,INDIRECT("Table!A"&amp;$AK273):INDIRECT("Table!" &amp; $AN$275 &amp; $AK273),0)),"",INDIRECT(CONCATENATE("Table!",ADDRESS($T273,MATCH(L$1,INDIRECT("Table!A" &amp; $AK273):INDIRECT("Table!" &amp; $AN$275 &amp; $AK273),0)))))</f>
        <v/>
      </c>
      <c r="L273" s="24" t="str">
        <f ca="1">IF(ISERROR(MATCH(M$1,INDIRECT("Table!A"&amp;$AK273):INDIRECT("Table!" &amp; $AN$275 &amp; $AK273),0)),"",INDIRECT(CONCATENATE("Table!",ADDRESS($T273,MATCH(M$1,INDIRECT("Table!A" &amp; $AK273):INDIRECT("Table!" &amp; $AN$275 &amp; $AK273),0)))))</f>
        <v/>
      </c>
      <c r="M273" s="24" t="str">
        <f ca="1">IF(ISERROR(MATCH(N$1,INDIRECT("Table!A"&amp;$AK273):INDIRECT("Table!" &amp; $AN$275 &amp; $AK273),0)),"",INDIRECT(CONCATENATE("Table!",ADDRESS($T273,MATCH(N$1,INDIRECT("Table!A" &amp; $AK273):INDIRECT("Table!" &amp; $AN$275 &amp; $AK273),0)))))</f>
        <v/>
      </c>
      <c r="N273" s="24" t="str">
        <f ca="1">IF(ISERROR(MATCH(O$1,INDIRECT("Table!A"&amp;$AK273):INDIRECT("Table!" &amp; $AN$275 &amp; $AK273),0)),"",INDIRECT(CONCATENATE("Table!",ADDRESS($T273,MATCH(O$1,INDIRECT("Table!A" &amp; $AK273):INDIRECT("Table!" &amp; $AN$275 &amp; $AK273),0)))))</f>
        <v/>
      </c>
      <c r="O273" s="24" t="str">
        <f ca="1">IF(ISERROR(MATCH(P$1,INDIRECT("Table!A"&amp;$AK273):INDIRECT("Table!" &amp; $AN$275 &amp; $AK273),0)),"",INDIRECT(CONCATENATE("Table!",ADDRESS($T273,MATCH(P$1,INDIRECT("Table!A" &amp; $AK273):INDIRECT("Table!" &amp; $AN$275 &amp; $AK273),0)))))</f>
        <v/>
      </c>
      <c r="P273" s="273" t="str">
        <f ca="1">IF(ISERROR(MATCH(Q$1,INDIRECT("Table!A"&amp;$AK273):INDIRECT("Table!" &amp; $AN$275 &amp; $AK273),0)),"",INDIRECT(CONCATENATE("Table!",ADDRESS($T273,MATCH(Q$1,INDIRECT("Table!A" &amp; $AK273):INDIRECT("Table!" &amp; $AN$275 &amp; $AK273),0)))))</f>
        <v/>
      </c>
      <c r="Q273" s="72"/>
      <c r="R273" s="72"/>
      <c r="S273" s="72"/>
      <c r="T273" s="22"/>
      <c r="AI273" s="72"/>
      <c r="AJ273" s="72"/>
      <c r="AK273" s="22"/>
      <c r="AL273" s="72"/>
      <c r="AM273" s="72"/>
      <c r="AN273" s="72"/>
    </row>
    <row r="274" spans="2:40" ht="18" customHeight="1" x14ac:dyDescent="0.25">
      <c r="B274" s="24"/>
      <c r="C274" s="24" t="str">
        <f ca="1">IF(ISERROR(MATCH(C$1,INDIRECT("Table!A"&amp;$AK274):INDIRECT("Table!" &amp; $AN$275 &amp; $AK274),0)),"",INDIRECT(CONCATENATE("Table!",ADDRESS($T274,MATCH(C$1,INDIRECT("Table!A" &amp; $AK274):INDIRECT("Table!" &amp; $AN$275 &amp; $AK274),0)))))</f>
        <v/>
      </c>
      <c r="D274" s="24" t="str">
        <f ca="1">IF(ISERROR(MATCH(D$1,INDIRECT("Table!A"&amp;$AK274):INDIRECT("Table!" &amp; $AN$275 &amp; $AK274),0)),"",INDIRECT(CONCATENATE("Table!",ADDRESS($T274,MATCH(D$1,INDIRECT("Table!A" &amp; $AK274):INDIRECT("Table!" &amp; $AN$275 &amp; $AK274),0)))))</f>
        <v/>
      </c>
      <c r="E274" s="24" t="str">
        <f ca="1">IF(ISERROR(MATCH(E$1,INDIRECT("Table!A"&amp;$AK274):INDIRECT("Table!" &amp; $AN$275 &amp; $AK274),0)),"",INDIRECT(CONCATENATE("Table!",ADDRESS($T274,MATCH(E$1,INDIRECT("Table!A" &amp; $AK274):INDIRECT("Table!" &amp; $AN$275 &amp; $AK274),0)))))</f>
        <v/>
      </c>
      <c r="F274" s="24" t="str">
        <f ca="1">IF(ISERROR(MATCH(F$1,INDIRECT("Table!A"&amp;$AK274):INDIRECT("Table!" &amp; $AN$275 &amp; $AK274),0)),"",INDIRECT(CONCATENATE("Table!",ADDRESS($T274,MATCH(F$1,INDIRECT("Table!A" &amp; $AK274):INDIRECT("Table!" &amp; $AN$275 &amp; $AK274),0)))))</f>
        <v/>
      </c>
      <c r="G274" s="24" t="str">
        <f ca="1">IF(ISERROR(MATCH(G$1,INDIRECT("Table!A"&amp;$AK274):INDIRECT("Table!" &amp; $AN$275 &amp; $AK274),0)),"",INDIRECT(CONCATENATE("Table!",ADDRESS($T274,MATCH(G$1,INDIRECT("Table!A" &amp; $AK274):INDIRECT("Table!" &amp; $AN$275 &amp; $AK274),0)))))</f>
        <v/>
      </c>
      <c r="H274" s="24" t="str">
        <f ca="1">IF(ISERROR(MATCH(H$1,INDIRECT("Table!A"&amp;$AK274):INDIRECT("Table!" &amp; $AN$275 &amp; $AK274),0)),"",INDIRECT(CONCATENATE("Table!",ADDRESS($T274,MATCH(H$1,INDIRECT("Table!A" &amp; $AK274):INDIRECT("Table!" &amp; $AN$275 &amp; $AK274),0)))))</f>
        <v/>
      </c>
      <c r="I274" s="273"/>
      <c r="J274" s="273"/>
      <c r="K274" s="24" t="str">
        <f ca="1">IF(ISERROR(MATCH(L$1,INDIRECT("Table!A"&amp;$AK274):INDIRECT("Table!" &amp; $AN$275 &amp; $AK274),0)),"",INDIRECT(CONCATENATE("Table!",ADDRESS($T274,MATCH(L$1,INDIRECT("Table!A" &amp; $AK274):INDIRECT("Table!" &amp; $AN$275 &amp; $AK274),0)))))</f>
        <v/>
      </c>
      <c r="L274" s="24" t="str">
        <f ca="1">IF(ISERROR(MATCH(M$1,INDIRECT("Table!A"&amp;$AK274):INDIRECT("Table!" &amp; $AN$275 &amp; $AK274),0)),"",INDIRECT(CONCATENATE("Table!",ADDRESS($T274,MATCH(M$1,INDIRECT("Table!A" &amp; $AK274):INDIRECT("Table!" &amp; $AN$275 &amp; $AK274),0)))))</f>
        <v/>
      </c>
      <c r="M274" s="24" t="str">
        <f ca="1">IF(ISERROR(MATCH(N$1,INDIRECT("Table!A"&amp;$AK274):INDIRECT("Table!" &amp; $AN$275 &amp; $AK274),0)),"",INDIRECT(CONCATENATE("Table!",ADDRESS($T274,MATCH(N$1,INDIRECT("Table!A" &amp; $AK274):INDIRECT("Table!" &amp; $AN$275 &amp; $AK274),0)))))</f>
        <v/>
      </c>
      <c r="N274" s="24" t="str">
        <f ca="1">IF(ISERROR(MATCH(O$1,INDIRECT("Table!A"&amp;$AK274):INDIRECT("Table!" &amp; $AN$275 &amp; $AK274),0)),"",INDIRECT(CONCATENATE("Table!",ADDRESS($T274,MATCH(O$1,INDIRECT("Table!A" &amp; $AK274):INDIRECT("Table!" &amp; $AN$275 &amp; $AK274),0)))))</f>
        <v/>
      </c>
      <c r="O274" s="24" t="str">
        <f ca="1">IF(ISERROR(MATCH(P$1,INDIRECT("Table!A"&amp;$AK274):INDIRECT("Table!" &amp; $AN$275 &amp; $AK274),0)),"",INDIRECT(CONCATENATE("Table!",ADDRESS($T274,MATCH(P$1,INDIRECT("Table!A" &amp; $AK274):INDIRECT("Table!" &amp; $AN$275 &amp; $AK274),0)))))</f>
        <v/>
      </c>
      <c r="P274" s="273" t="str">
        <f ca="1">IF(ISERROR(MATCH(Q$1,INDIRECT("Table!A"&amp;$AK274):INDIRECT("Table!" &amp; $AN$275 &amp; $AK274),0)),"",INDIRECT(CONCATENATE("Table!",ADDRESS($T274,MATCH(Q$1,INDIRECT("Table!A" &amp; $AK274):INDIRECT("Table!" &amp; $AN$275 &amp; $AK274),0)))))</f>
        <v/>
      </c>
      <c r="Q274" s="71"/>
      <c r="R274" s="71"/>
      <c r="S274" s="71"/>
      <c r="T274" s="22"/>
      <c r="AI274" s="71"/>
      <c r="AJ274" s="71"/>
      <c r="AK274" s="22"/>
      <c r="AL274" s="71"/>
      <c r="AM274" s="71"/>
      <c r="AN274" s="71"/>
    </row>
    <row r="275" spans="2:40" ht="18" customHeight="1" x14ac:dyDescent="0.25">
      <c r="B275" s="24"/>
      <c r="C275" s="24" t="str">
        <f ca="1">IF(ISERROR(MATCH(C$1,INDIRECT("Table!A"&amp;$AK275):INDIRECT("Table!" &amp; $AN$275 &amp; $AK275),0)),"",INDIRECT(CONCATENATE("Table!",ADDRESS($T275,MATCH(C$1,INDIRECT("Table!A" &amp; $AK275):INDIRECT("Table!" &amp; $AN$275 &amp; $AK275),0)))))</f>
        <v/>
      </c>
      <c r="D275" s="24" t="str">
        <f ca="1">IF(ISERROR(MATCH(D$1,INDIRECT("Table!A"&amp;$AK275):INDIRECT("Table!" &amp; $AN$275 &amp; $AK275),0)),"",INDIRECT(CONCATENATE("Table!",ADDRESS($T275,MATCH(D$1,INDIRECT("Table!A" &amp; $AK275):INDIRECT("Table!" &amp; $AN$275 &amp; $AK275),0)))))</f>
        <v/>
      </c>
      <c r="E275" s="24" t="str">
        <f ca="1">IF(ISERROR(MATCH(E$1,INDIRECT("Table!A"&amp;$AK275):INDIRECT("Table!" &amp; $AN$275 &amp; $AK275),0)),"",INDIRECT(CONCATENATE("Table!",ADDRESS($T275,MATCH(E$1,INDIRECT("Table!A" &amp; $AK275):INDIRECT("Table!" &amp; $AN$275 &amp; $AK275),0)))))</f>
        <v/>
      </c>
      <c r="F275" s="24" t="str">
        <f ca="1">IF(ISERROR(MATCH(F$1,INDIRECT("Table!A"&amp;$AK275):INDIRECT("Table!" &amp; $AN$275 &amp; $AK275),0)),"",INDIRECT(CONCATENATE("Table!",ADDRESS($T275,MATCH(F$1,INDIRECT("Table!A" &amp; $AK275):INDIRECT("Table!" &amp; $AN$275 &amp; $AK275),0)))))</f>
        <v/>
      </c>
      <c r="G275" s="24" t="str">
        <f ca="1">IF(ISERROR(MATCH(G$1,INDIRECT("Table!A"&amp;$AK275):INDIRECT("Table!" &amp; $AN$275 &amp; $AK275),0)),"",INDIRECT(CONCATENATE("Table!",ADDRESS($T275,MATCH(G$1,INDIRECT("Table!A" &amp; $AK275):INDIRECT("Table!" &amp; $AN$275 &amp; $AK275),0)))))</f>
        <v/>
      </c>
      <c r="H275" s="24" t="str">
        <f ca="1">IF(ISERROR(MATCH(H$1,INDIRECT("Table!A"&amp;$AK275):INDIRECT("Table!" &amp; $AN$275 &amp; $AK275),0)),"",INDIRECT(CONCATENATE("Table!",ADDRESS($T275,MATCH(H$1,INDIRECT("Table!A" &amp; $AK275):INDIRECT("Table!" &amp; $AN$275 &amp; $AK275),0)))))</f>
        <v/>
      </c>
      <c r="I275" s="273"/>
      <c r="J275" s="273"/>
      <c r="K275" s="24" t="str">
        <f ca="1">IF(ISERROR(MATCH(L$1,INDIRECT("Table!A"&amp;$AK275):INDIRECT("Table!" &amp; $AN$275 &amp; $AK275),0)),"",INDIRECT(CONCATENATE("Table!",ADDRESS($T275,MATCH(L$1,INDIRECT("Table!A" &amp; $AK275):INDIRECT("Table!" &amp; $AN$275 &amp; $AK275),0)))))</f>
        <v/>
      </c>
      <c r="L275" s="24" t="str">
        <f ca="1">IF(ISERROR(MATCH(M$1,INDIRECT("Table!A"&amp;$AK275):INDIRECT("Table!" &amp; $AN$275 &amp; $AK275),0)),"",INDIRECT(CONCATENATE("Table!",ADDRESS($T275,MATCH(M$1,INDIRECT("Table!A" &amp; $AK275):INDIRECT("Table!" &amp; $AN$275 &amp; $AK275),0)))))</f>
        <v/>
      </c>
      <c r="M275" s="24" t="str">
        <f ca="1">IF(ISERROR(MATCH(N$1,INDIRECT("Table!A"&amp;$AK275):INDIRECT("Table!" &amp; $AN$275 &amp; $AK275),0)),"",INDIRECT(CONCATENATE("Table!",ADDRESS($T275,MATCH(N$1,INDIRECT("Table!A" &amp; $AK275):INDIRECT("Table!" &amp; $AN$275 &amp; $AK275),0)))))</f>
        <v/>
      </c>
      <c r="N275" s="24" t="str">
        <f ca="1">IF(ISERROR(MATCH(O$1,INDIRECT("Table!A"&amp;$AK275):INDIRECT("Table!" &amp; $AN$275 &amp; $AK275),0)),"",INDIRECT(CONCATENATE("Table!",ADDRESS($T275,MATCH(O$1,INDIRECT("Table!A" &amp; $AK275):INDIRECT("Table!" &amp; $AN$275 &amp; $AK275),0)))))</f>
        <v/>
      </c>
      <c r="O275" s="24" t="str">
        <f ca="1">IF(ISERROR(MATCH(P$1,INDIRECT("Table!A"&amp;$AK275):INDIRECT("Table!" &amp; $AN$275 &amp; $AK275),0)),"",INDIRECT(CONCATENATE("Table!",ADDRESS($T275,MATCH(P$1,INDIRECT("Table!A" &amp; $AK275):INDIRECT("Table!" &amp; $AN$275 &amp; $AK275),0)))))</f>
        <v/>
      </c>
      <c r="P275" s="273" t="str">
        <f ca="1">IF(ISERROR(MATCH(Q$1,INDIRECT("Table!A"&amp;$AK275):INDIRECT("Table!" &amp; $AN$275 &amp; $AK275),0)),"",INDIRECT(CONCATENATE("Table!",ADDRESS($T275,MATCH(Q$1,INDIRECT("Table!A" &amp; $AK275):INDIRECT("Table!" &amp; $AN$275 &amp; $AK275),0)))))</f>
        <v/>
      </c>
      <c r="Q275" s="30"/>
      <c r="R275" s="30"/>
      <c r="S275" s="30"/>
      <c r="T275" s="22"/>
      <c r="AI275" s="30"/>
      <c r="AJ275" s="30"/>
      <c r="AK275" s="22"/>
      <c r="AL275" s="30"/>
      <c r="AM275" s="30"/>
      <c r="AN275" s="30"/>
    </row>
    <row r="276" spans="2:40" ht="18" customHeight="1" x14ac:dyDescent="0.25">
      <c r="B276" s="24"/>
      <c r="C276" s="24"/>
      <c r="D276" s="24"/>
      <c r="E276" s="24"/>
      <c r="F276" s="24"/>
      <c r="G276" s="24"/>
      <c r="H276" s="24"/>
      <c r="I276" s="273"/>
      <c r="J276" s="273"/>
      <c r="K276" s="24"/>
      <c r="L276" s="24"/>
      <c r="M276" s="24"/>
      <c r="N276" s="24"/>
      <c r="O276" s="24"/>
      <c r="P276" s="273"/>
      <c r="Q276" s="64"/>
      <c r="R276" s="64"/>
      <c r="S276" s="64"/>
      <c r="T276" s="22"/>
      <c r="AI276" s="64"/>
      <c r="AJ276" s="64"/>
      <c r="AK276" s="22"/>
      <c r="AL276" s="64"/>
      <c r="AM276" s="64"/>
      <c r="AN276" s="64"/>
    </row>
    <row r="277" spans="2:40" ht="18" customHeight="1" x14ac:dyDescent="0.25">
      <c r="B277" s="24"/>
      <c r="C277" s="24"/>
      <c r="D277" s="24"/>
      <c r="E277" s="24"/>
      <c r="F277" s="24"/>
      <c r="G277" s="24"/>
      <c r="H277" s="24"/>
      <c r="I277" s="273"/>
      <c r="J277" s="273"/>
      <c r="K277" s="24"/>
      <c r="L277" s="24"/>
      <c r="M277" s="24"/>
      <c r="N277" s="24"/>
      <c r="O277" s="24"/>
      <c r="P277" s="273"/>
      <c r="Q277" s="51"/>
      <c r="R277" s="51"/>
      <c r="S277" s="51"/>
      <c r="T277" s="22"/>
      <c r="AI277" s="51"/>
      <c r="AJ277" s="51"/>
      <c r="AK277" s="22"/>
      <c r="AL277" s="51"/>
      <c r="AM277" s="51"/>
      <c r="AN277" s="51"/>
    </row>
    <row r="278" spans="2:40" ht="18" customHeight="1" x14ac:dyDescent="0.25">
      <c r="B278" s="24"/>
      <c r="C278" s="24"/>
      <c r="D278" s="24"/>
      <c r="E278" s="24"/>
      <c r="F278" s="24"/>
      <c r="G278" s="24"/>
      <c r="H278" s="24"/>
      <c r="I278" s="273"/>
      <c r="J278" s="273"/>
      <c r="K278" s="24"/>
      <c r="L278" s="24"/>
      <c r="M278" s="24"/>
      <c r="N278" s="24"/>
      <c r="O278" s="24"/>
      <c r="P278" s="273"/>
      <c r="Q278" s="50"/>
      <c r="R278" s="50"/>
      <c r="S278" s="50"/>
      <c r="T278" s="22"/>
      <c r="AI278" s="50"/>
      <c r="AJ278" s="50"/>
      <c r="AK278" s="22"/>
      <c r="AL278" s="50"/>
      <c r="AM278" s="50"/>
      <c r="AN278" s="50"/>
    </row>
    <row r="279" spans="2:40" ht="18" customHeight="1" x14ac:dyDescent="0.25">
      <c r="B279" s="24"/>
      <c r="C279" s="24"/>
      <c r="D279" s="24"/>
      <c r="E279" s="24"/>
      <c r="F279" s="24"/>
      <c r="G279" s="24"/>
      <c r="H279" s="24"/>
      <c r="I279" s="273"/>
      <c r="J279" s="273"/>
      <c r="K279" s="24"/>
      <c r="L279" s="24"/>
      <c r="M279" s="24"/>
      <c r="N279" s="24"/>
      <c r="O279" s="24"/>
      <c r="P279" s="273"/>
      <c r="Q279" s="49"/>
      <c r="R279" s="49"/>
      <c r="S279" s="49"/>
      <c r="T279" s="22"/>
      <c r="AI279" s="49"/>
      <c r="AJ279" s="49"/>
      <c r="AK279" s="22"/>
      <c r="AL279" s="49"/>
      <c r="AM279" s="49"/>
      <c r="AN279" s="49"/>
    </row>
    <row r="280" spans="2:40" ht="18" customHeight="1" x14ac:dyDescent="0.25">
      <c r="B280" s="24"/>
      <c r="C280" s="24"/>
      <c r="D280" s="24"/>
      <c r="E280" s="24"/>
      <c r="F280" s="24"/>
      <c r="G280" s="24"/>
      <c r="H280" s="24"/>
      <c r="I280" s="273"/>
      <c r="J280" s="273"/>
      <c r="K280" s="24"/>
      <c r="L280" s="24"/>
      <c r="M280" s="24"/>
      <c r="N280" s="24"/>
      <c r="O280" s="24"/>
      <c r="P280" s="273"/>
      <c r="Q280" s="48"/>
      <c r="R280" s="48"/>
      <c r="S280" s="48"/>
      <c r="T280" s="22"/>
      <c r="AI280" s="48"/>
      <c r="AJ280" s="48"/>
      <c r="AK280" s="22"/>
      <c r="AL280" s="48"/>
      <c r="AM280" s="48"/>
      <c r="AN280" s="48"/>
    </row>
    <row r="281" spans="2:40" ht="18" customHeight="1" x14ac:dyDescent="0.25">
      <c r="B281" s="24"/>
      <c r="C281" s="24"/>
      <c r="D281" s="24"/>
      <c r="E281" s="24"/>
      <c r="F281" s="24"/>
      <c r="G281" s="24"/>
      <c r="H281" s="24"/>
      <c r="I281" s="273"/>
      <c r="J281" s="273"/>
      <c r="K281" s="24"/>
      <c r="L281" s="24"/>
      <c r="M281" s="24"/>
      <c r="N281" s="24"/>
      <c r="O281" s="24"/>
      <c r="P281" s="273"/>
      <c r="Q281" s="47"/>
      <c r="R281" s="47"/>
      <c r="S281" s="47"/>
      <c r="T281" s="22"/>
      <c r="AI281" s="47"/>
      <c r="AJ281" s="47"/>
      <c r="AK281" s="22"/>
      <c r="AL281" s="47"/>
      <c r="AM281" s="47"/>
      <c r="AN281" s="47"/>
    </row>
    <row r="282" spans="2:40" ht="18" customHeight="1" x14ac:dyDescent="0.25">
      <c r="B282" s="24"/>
      <c r="C282" s="24"/>
      <c r="D282" s="24"/>
      <c r="E282" s="24"/>
      <c r="F282" s="24"/>
      <c r="G282" s="24"/>
      <c r="H282" s="24"/>
      <c r="I282" s="273"/>
      <c r="J282" s="273"/>
      <c r="K282" s="24"/>
      <c r="L282" s="24"/>
      <c r="M282" s="24"/>
      <c r="N282" s="24"/>
      <c r="O282" s="24"/>
      <c r="P282" s="273"/>
      <c r="Q282" s="46"/>
      <c r="R282" s="46"/>
      <c r="S282" s="46"/>
      <c r="T282" s="22"/>
      <c r="AI282" s="46"/>
      <c r="AJ282" s="46"/>
      <c r="AK282" s="22"/>
      <c r="AL282" s="46"/>
      <c r="AM282" s="46"/>
      <c r="AN282" s="46"/>
    </row>
    <row r="283" spans="2:40" ht="18" customHeight="1" x14ac:dyDescent="0.25">
      <c r="B283" s="24"/>
      <c r="C283" s="24"/>
      <c r="D283" s="24"/>
      <c r="E283" s="24"/>
      <c r="F283" s="24"/>
      <c r="G283" s="24"/>
      <c r="H283" s="24"/>
      <c r="I283" s="273"/>
      <c r="J283" s="273"/>
      <c r="K283" s="24"/>
      <c r="L283" s="24"/>
      <c r="M283" s="24"/>
      <c r="N283" s="24"/>
      <c r="O283" s="24"/>
      <c r="P283" s="273"/>
      <c r="Q283" s="45"/>
      <c r="R283" s="45"/>
      <c r="S283" s="45"/>
      <c r="T283" s="22"/>
    </row>
    <row r="284" spans="2:40" ht="18" customHeight="1" x14ac:dyDescent="0.25">
      <c r="B284" s="24"/>
      <c r="C284" s="24"/>
      <c r="D284" s="24"/>
      <c r="E284" s="24"/>
      <c r="F284" s="24"/>
      <c r="G284" s="24"/>
      <c r="H284" s="24"/>
      <c r="I284" s="273"/>
      <c r="J284" s="273"/>
      <c r="K284" s="24"/>
      <c r="L284" s="24"/>
      <c r="M284" s="24"/>
      <c r="N284" s="24"/>
      <c r="O284" s="24"/>
      <c r="P284" s="273"/>
      <c r="Q284" s="45"/>
      <c r="R284" s="45"/>
      <c r="S284" s="45"/>
      <c r="T284" s="22"/>
    </row>
    <row r="285" spans="2:40" ht="18" customHeight="1" x14ac:dyDescent="0.25">
      <c r="B285" s="24"/>
      <c r="C285" s="24"/>
      <c r="D285" s="24"/>
      <c r="E285" s="24"/>
      <c r="F285" s="24"/>
      <c r="G285" s="24"/>
      <c r="H285" s="24"/>
      <c r="I285" s="273"/>
      <c r="J285" s="273"/>
      <c r="K285" s="24"/>
      <c r="L285" s="24"/>
      <c r="M285" s="24"/>
      <c r="N285" s="24"/>
      <c r="O285" s="24"/>
      <c r="P285" s="273"/>
      <c r="Q285" s="44"/>
      <c r="R285" s="44"/>
      <c r="S285" s="44"/>
      <c r="T285" s="22"/>
    </row>
    <row r="286" spans="2:40" ht="18" customHeight="1" x14ac:dyDescent="0.25">
      <c r="B286" s="24"/>
      <c r="C286" s="24"/>
      <c r="D286" s="24"/>
      <c r="E286" s="24"/>
      <c r="F286" s="24"/>
      <c r="G286" s="24"/>
      <c r="H286" s="24"/>
      <c r="I286" s="273"/>
      <c r="J286" s="273"/>
      <c r="K286" s="24"/>
      <c r="L286" s="24"/>
      <c r="M286" s="24"/>
      <c r="N286" s="24"/>
      <c r="O286" s="24"/>
      <c r="P286" s="273"/>
      <c r="Q286" s="43"/>
      <c r="R286" s="43"/>
      <c r="S286" s="43"/>
      <c r="T286" s="22"/>
    </row>
    <row r="287" spans="2:40" ht="18" customHeight="1" x14ac:dyDescent="0.25">
      <c r="B287" s="24"/>
      <c r="C287" s="24"/>
      <c r="D287" s="24"/>
      <c r="E287" s="24"/>
      <c r="F287" s="24"/>
      <c r="G287" s="24"/>
      <c r="H287" s="24"/>
      <c r="I287" s="273"/>
      <c r="J287" s="273"/>
      <c r="K287" s="24"/>
      <c r="L287" s="24"/>
      <c r="M287" s="24"/>
      <c r="N287" s="24"/>
      <c r="O287" s="24"/>
      <c r="P287" s="273"/>
      <c r="Q287" s="43"/>
      <c r="R287" s="43"/>
      <c r="S287" s="43"/>
      <c r="T287" s="22"/>
    </row>
    <row r="288" spans="2:40" ht="18" customHeight="1" x14ac:dyDescent="0.25">
      <c r="B288" s="24"/>
      <c r="C288" s="24"/>
      <c r="D288" s="24"/>
      <c r="E288" s="24"/>
      <c r="F288" s="24"/>
      <c r="G288" s="24"/>
      <c r="H288" s="24"/>
      <c r="I288" s="273"/>
      <c r="J288" s="273"/>
      <c r="K288" s="24"/>
      <c r="L288" s="24"/>
      <c r="M288" s="24"/>
      <c r="N288" s="24"/>
      <c r="O288" s="24"/>
      <c r="P288" s="273"/>
      <c r="Q288" s="42"/>
      <c r="R288" s="42"/>
      <c r="S288" s="42"/>
      <c r="T288" s="22"/>
    </row>
    <row r="289" spans="2:20" ht="18" customHeight="1" x14ac:dyDescent="0.25">
      <c r="B289" s="24"/>
      <c r="C289" s="24"/>
      <c r="D289" s="24"/>
      <c r="E289" s="24"/>
      <c r="F289" s="24"/>
      <c r="G289" s="24"/>
      <c r="H289" s="24"/>
      <c r="I289" s="273"/>
      <c r="J289" s="273"/>
      <c r="K289" s="24"/>
      <c r="L289" s="24"/>
      <c r="M289" s="24"/>
      <c r="N289" s="24"/>
      <c r="O289" s="24"/>
      <c r="P289" s="273"/>
      <c r="Q289" s="41"/>
      <c r="R289" s="41"/>
      <c r="S289" s="41"/>
      <c r="T289" s="22"/>
    </row>
    <row r="290" spans="2:20" ht="18" customHeight="1" x14ac:dyDescent="0.25">
      <c r="B290" s="24"/>
      <c r="C290" s="24"/>
      <c r="D290" s="24"/>
      <c r="E290" s="24"/>
      <c r="F290" s="24"/>
      <c r="G290" s="24"/>
      <c r="H290" s="24"/>
      <c r="I290" s="273"/>
      <c r="J290" s="273"/>
      <c r="K290" s="24"/>
      <c r="L290" s="24"/>
      <c r="M290" s="24"/>
      <c r="N290" s="24"/>
      <c r="O290" s="24"/>
      <c r="P290" s="273"/>
      <c r="Q290" s="40"/>
      <c r="R290" s="40"/>
      <c r="S290" s="40"/>
      <c r="T290" s="22"/>
    </row>
    <row r="291" spans="2:20" ht="18" customHeight="1" x14ac:dyDescent="0.25">
      <c r="B291" s="24"/>
      <c r="C291" s="24"/>
      <c r="D291" s="24"/>
      <c r="E291" s="24"/>
      <c r="F291" s="24"/>
      <c r="G291" s="24"/>
      <c r="H291" s="24"/>
      <c r="I291" s="273"/>
      <c r="J291" s="273"/>
      <c r="K291" s="24"/>
      <c r="L291" s="24"/>
      <c r="M291" s="24"/>
      <c r="N291" s="24"/>
      <c r="O291" s="24"/>
      <c r="P291" s="273"/>
      <c r="Q291" s="39"/>
      <c r="R291" s="39"/>
      <c r="S291" s="39"/>
      <c r="T291" s="22"/>
    </row>
    <row r="292" spans="2:20" ht="18" customHeight="1" x14ac:dyDescent="0.25">
      <c r="B292" s="24"/>
      <c r="C292" s="24"/>
      <c r="D292" s="24"/>
      <c r="E292" s="24"/>
      <c r="F292" s="24"/>
      <c r="G292" s="24"/>
      <c r="H292" s="24"/>
      <c r="I292" s="273"/>
      <c r="J292" s="273"/>
      <c r="K292" s="24"/>
      <c r="L292" s="24"/>
      <c r="M292" s="24"/>
      <c r="N292" s="24"/>
      <c r="O292" s="24"/>
      <c r="P292" s="273"/>
      <c r="Q292" s="36"/>
      <c r="R292" s="36"/>
      <c r="S292" s="36"/>
      <c r="T292" s="22"/>
    </row>
    <row r="293" spans="2:20" ht="18" customHeight="1" x14ac:dyDescent="0.25">
      <c r="B293" s="24"/>
      <c r="C293" s="24"/>
      <c r="D293" s="24"/>
      <c r="E293" s="24"/>
      <c r="F293" s="24"/>
      <c r="G293" s="24"/>
      <c r="H293" s="24"/>
      <c r="I293" s="273"/>
      <c r="J293" s="273"/>
      <c r="K293" s="24"/>
      <c r="L293" s="24"/>
      <c r="M293" s="24"/>
      <c r="N293" s="24"/>
      <c r="O293" s="24"/>
      <c r="P293" s="273"/>
      <c r="Q293" s="33"/>
      <c r="R293" s="33"/>
      <c r="S293" s="33"/>
      <c r="T293" s="22"/>
    </row>
    <row r="294" spans="2:20" ht="18" customHeight="1" x14ac:dyDescent="0.25">
      <c r="B294" s="24"/>
      <c r="C294" s="24"/>
      <c r="D294" s="24"/>
      <c r="E294" s="24"/>
      <c r="F294" s="24"/>
      <c r="G294" s="24"/>
      <c r="H294" s="24"/>
      <c r="I294" s="273"/>
      <c r="J294" s="273"/>
      <c r="K294" s="24"/>
      <c r="L294" s="24"/>
      <c r="M294" s="24"/>
      <c r="N294" s="24"/>
      <c r="O294" s="24"/>
      <c r="P294" s="273"/>
      <c r="Q294" s="31"/>
      <c r="R294" s="31"/>
      <c r="S294" s="31"/>
      <c r="T294" s="22"/>
    </row>
    <row r="295" spans="2:20" ht="18" customHeight="1" x14ac:dyDescent="0.25">
      <c r="B295" s="24"/>
      <c r="C295" s="24"/>
      <c r="D295" s="24"/>
      <c r="E295" s="24"/>
      <c r="F295" s="24"/>
      <c r="G295" s="24"/>
      <c r="H295" s="24"/>
      <c r="I295" s="273"/>
      <c r="J295" s="273"/>
      <c r="K295" s="24"/>
      <c r="L295" s="24"/>
      <c r="M295" s="24"/>
      <c r="N295" s="24"/>
      <c r="O295" s="24"/>
      <c r="P295" s="273"/>
      <c r="Q295" s="27"/>
      <c r="R295" s="27"/>
      <c r="S295" s="27"/>
      <c r="T295" s="22"/>
    </row>
    <row r="296" spans="2:20" ht="18" customHeight="1" x14ac:dyDescent="0.25">
      <c r="B296" s="24"/>
      <c r="C296" s="24"/>
      <c r="D296" s="24"/>
      <c r="E296" s="24"/>
      <c r="F296" s="24"/>
      <c r="G296" s="24"/>
      <c r="H296" s="24"/>
      <c r="I296" s="273"/>
      <c r="J296" s="273"/>
      <c r="K296" s="24"/>
      <c r="L296" s="24"/>
      <c r="M296" s="24"/>
      <c r="N296" s="24"/>
      <c r="O296" s="24"/>
      <c r="P296" s="273"/>
      <c r="T296" s="22"/>
    </row>
    <row r="297" spans="2:20" ht="18" customHeight="1" x14ac:dyDescent="0.25">
      <c r="B297" s="24"/>
      <c r="C297" s="24"/>
      <c r="D297" s="24"/>
      <c r="E297" s="24"/>
      <c r="F297" s="24"/>
      <c r="G297" s="24"/>
      <c r="H297" s="24"/>
      <c r="I297" s="273"/>
      <c r="J297" s="273"/>
      <c r="K297" s="24"/>
      <c r="L297" s="24"/>
      <c r="M297" s="24"/>
      <c r="N297" s="24"/>
      <c r="O297" s="24"/>
      <c r="P297" s="273"/>
      <c r="T297" s="22"/>
    </row>
    <row r="298" spans="2:20" ht="18" customHeight="1" x14ac:dyDescent="0.25">
      <c r="B298" s="24"/>
      <c r="C298" s="24"/>
      <c r="D298" s="24"/>
      <c r="E298" s="24"/>
      <c r="F298" s="24"/>
      <c r="G298" s="24"/>
      <c r="H298" s="24"/>
      <c r="I298" s="273"/>
      <c r="J298" s="273"/>
      <c r="K298" s="24"/>
      <c r="L298" s="24"/>
      <c r="M298" s="24"/>
      <c r="N298" s="24"/>
      <c r="O298" s="24"/>
      <c r="P298" s="273"/>
      <c r="T298" s="22"/>
    </row>
    <row r="299" spans="2:20" ht="18" customHeight="1" x14ac:dyDescent="0.25">
      <c r="B299" s="24"/>
      <c r="C299" s="24"/>
      <c r="D299" s="24"/>
      <c r="E299" s="24"/>
      <c r="F299" s="24"/>
      <c r="G299" s="24"/>
      <c r="H299" s="24"/>
      <c r="I299" s="273"/>
      <c r="J299" s="273"/>
      <c r="K299" s="24"/>
      <c r="L299" s="24"/>
      <c r="M299" s="24"/>
      <c r="N299" s="24"/>
      <c r="O299" s="24"/>
      <c r="P299" s="273"/>
      <c r="T299" s="22"/>
    </row>
    <row r="300" spans="2:20" ht="18" customHeight="1" x14ac:dyDescent="0.25">
      <c r="B300" s="24"/>
      <c r="C300" s="24"/>
      <c r="D300" s="24"/>
      <c r="E300" s="24"/>
      <c r="F300" s="24"/>
      <c r="G300" s="24"/>
      <c r="H300" s="24"/>
      <c r="I300" s="273"/>
      <c r="J300" s="273"/>
      <c r="K300" s="24"/>
      <c r="L300" s="24"/>
      <c r="M300" s="24"/>
      <c r="N300" s="24"/>
      <c r="O300" s="24"/>
      <c r="P300" s="273"/>
      <c r="T300" s="22"/>
    </row>
    <row r="301" spans="2:20" ht="18" customHeight="1" x14ac:dyDescent="0.25">
      <c r="B301" s="24"/>
      <c r="C301" s="24"/>
      <c r="D301" s="24"/>
      <c r="E301" s="24"/>
      <c r="F301" s="24"/>
      <c r="G301" s="24"/>
      <c r="H301" s="24"/>
      <c r="I301" s="273"/>
      <c r="J301" s="273"/>
      <c r="K301" s="24"/>
      <c r="L301" s="24"/>
      <c r="M301" s="24"/>
      <c r="N301" s="24"/>
      <c r="O301" s="24"/>
      <c r="P301" s="273"/>
      <c r="T301" s="22"/>
    </row>
    <row r="302" spans="2:20" ht="18" customHeight="1" x14ac:dyDescent="0.25">
      <c r="B302" s="24"/>
      <c r="C302" s="24"/>
      <c r="D302" s="24"/>
      <c r="E302" s="24"/>
      <c r="F302" s="24"/>
      <c r="G302" s="24"/>
      <c r="H302" s="24"/>
      <c r="I302" s="273"/>
      <c r="J302" s="273"/>
      <c r="K302" s="24"/>
      <c r="L302" s="24"/>
      <c r="M302" s="24"/>
      <c r="N302" s="24"/>
      <c r="O302" s="24"/>
      <c r="P302" s="273"/>
      <c r="T302" s="22"/>
    </row>
    <row r="303" spans="2:20" ht="18" customHeight="1" x14ac:dyDescent="0.25">
      <c r="B303" s="24"/>
      <c r="C303" s="24"/>
      <c r="D303" s="24"/>
      <c r="E303" s="24"/>
      <c r="F303" s="24"/>
      <c r="G303" s="24"/>
      <c r="H303" s="24"/>
      <c r="I303" s="273"/>
      <c r="J303" s="273"/>
      <c r="K303" s="24"/>
      <c r="L303" s="24"/>
      <c r="M303" s="24"/>
      <c r="N303" s="24"/>
      <c r="O303" s="24"/>
      <c r="P303" s="273"/>
      <c r="T303" s="22"/>
    </row>
    <row r="304" spans="2:20" ht="18" customHeight="1" x14ac:dyDescent="0.25">
      <c r="B304" s="24"/>
      <c r="C304" s="24"/>
      <c r="D304" s="24"/>
      <c r="E304" s="24"/>
      <c r="F304" s="24"/>
      <c r="G304" s="24"/>
      <c r="H304" s="24"/>
      <c r="I304" s="273"/>
      <c r="J304" s="273"/>
      <c r="K304" s="24"/>
      <c r="L304" s="24"/>
      <c r="M304" s="24"/>
      <c r="N304" s="24"/>
      <c r="O304" s="24"/>
      <c r="P304" s="273"/>
      <c r="T304" s="22"/>
    </row>
    <row r="305" spans="2:20" ht="18" customHeight="1" x14ac:dyDescent="0.25">
      <c r="B305" s="24"/>
      <c r="C305" s="24"/>
      <c r="D305" s="24"/>
      <c r="E305" s="24"/>
      <c r="F305" s="24"/>
      <c r="G305" s="24"/>
      <c r="H305" s="24"/>
      <c r="I305" s="273"/>
      <c r="J305" s="273"/>
      <c r="K305" s="24"/>
      <c r="L305" s="24"/>
      <c r="M305" s="24"/>
      <c r="N305" s="24"/>
      <c r="O305" s="24"/>
      <c r="P305" s="273"/>
      <c r="T305" s="22"/>
    </row>
    <row r="306" spans="2:20" ht="18" customHeight="1" x14ac:dyDescent="0.25">
      <c r="B306" s="24"/>
      <c r="C306" s="24"/>
      <c r="D306" s="24"/>
      <c r="E306" s="24"/>
      <c r="K306" s="24"/>
      <c r="N306" s="24"/>
      <c r="O306" s="24"/>
      <c r="P306" s="273"/>
      <c r="T306" s="22"/>
    </row>
    <row r="307" spans="2:20" ht="18" customHeight="1" x14ac:dyDescent="0.25">
      <c r="B307" s="24"/>
      <c r="C307" s="24"/>
      <c r="D307" s="24"/>
      <c r="E307" s="24"/>
      <c r="K307" s="24"/>
      <c r="N307" s="24"/>
      <c r="O307" s="24"/>
      <c r="P307" s="273"/>
      <c r="T307" s="22"/>
    </row>
    <row r="308" spans="2:20" ht="18" customHeight="1" x14ac:dyDescent="0.25">
      <c r="B308" s="24"/>
      <c r="C308" s="24"/>
      <c r="D308" s="24"/>
      <c r="E308" s="24"/>
      <c r="K308" s="24"/>
      <c r="N308" s="24"/>
      <c r="O308" s="24"/>
      <c r="P308" s="273"/>
      <c r="T308" s="22"/>
    </row>
    <row r="309" spans="2:20" ht="18" customHeight="1" x14ac:dyDescent="0.25">
      <c r="B309" s="24"/>
      <c r="C309" s="24"/>
      <c r="D309" s="24"/>
      <c r="E309" s="24"/>
      <c r="K309" s="24"/>
      <c r="N309" s="24"/>
      <c r="O309" s="24"/>
      <c r="P309" s="273"/>
      <c r="T309" s="22"/>
    </row>
    <row r="310" spans="2:20" ht="18" customHeight="1" x14ac:dyDescent="0.25">
      <c r="B310" s="24"/>
      <c r="C310" s="24"/>
      <c r="D310" s="24"/>
      <c r="E310" s="24"/>
      <c r="K310" s="24"/>
      <c r="N310" s="24"/>
      <c r="O310" s="24"/>
      <c r="P310" s="273"/>
      <c r="T310" s="22"/>
    </row>
    <row r="311" spans="2:20" ht="18" customHeight="1" x14ac:dyDescent="0.25">
      <c r="B311" s="24"/>
      <c r="C311" s="24"/>
      <c r="D311" s="24"/>
      <c r="E311" s="24"/>
      <c r="K311" s="24"/>
      <c r="N311" s="24"/>
      <c r="O311" s="24"/>
      <c r="P311" s="273"/>
      <c r="T311" s="22"/>
    </row>
    <row r="312" spans="2:20" ht="18" customHeight="1" x14ac:dyDescent="0.25">
      <c r="B312" s="24"/>
      <c r="C312" s="24"/>
      <c r="D312" s="24"/>
      <c r="E312" s="24"/>
      <c r="K312" s="24"/>
      <c r="N312" s="24"/>
      <c r="O312" s="24"/>
      <c r="P312" s="273"/>
      <c r="T312" s="22"/>
    </row>
    <row r="313" spans="2:20" ht="18" customHeight="1" x14ac:dyDescent="0.25">
      <c r="B313" s="24"/>
      <c r="C313" s="24"/>
      <c r="D313" s="24"/>
      <c r="E313" s="24"/>
      <c r="K313" s="24"/>
      <c r="N313" s="24"/>
      <c r="O313" s="24"/>
      <c r="P313" s="273"/>
      <c r="T313" s="22"/>
    </row>
    <row r="314" spans="2:20" ht="18" customHeight="1" x14ac:dyDescent="0.25">
      <c r="B314" s="24"/>
      <c r="C314" s="24"/>
      <c r="D314" s="24"/>
      <c r="E314" s="24"/>
      <c r="K314" s="24"/>
      <c r="N314" s="24"/>
      <c r="O314" s="24"/>
      <c r="P314" s="273"/>
      <c r="T314" s="22"/>
    </row>
    <row r="315" spans="2:20" ht="18" customHeight="1" x14ac:dyDescent="0.25">
      <c r="B315" s="24"/>
      <c r="C315" s="24"/>
      <c r="D315" s="24"/>
      <c r="E315" s="24"/>
      <c r="K315" s="24"/>
      <c r="N315" s="24"/>
      <c r="O315" s="24"/>
      <c r="P315" s="273"/>
      <c r="T315" s="22"/>
    </row>
    <row r="316" spans="2:20" ht="18" customHeight="1" x14ac:dyDescent="0.25">
      <c r="B316" s="24"/>
      <c r="C316" s="24"/>
      <c r="D316" s="24"/>
      <c r="E316" s="24"/>
      <c r="K316" s="24"/>
      <c r="N316" s="24"/>
      <c r="O316" s="24"/>
      <c r="P316" s="273"/>
      <c r="T316" s="22"/>
    </row>
    <row r="317" spans="2:20" ht="18" customHeight="1" x14ac:dyDescent="0.25">
      <c r="B317" s="24"/>
      <c r="C317" s="24"/>
      <c r="D317" s="24"/>
      <c r="E317" s="24"/>
      <c r="K317" s="24"/>
      <c r="N317" s="24"/>
      <c r="O317" s="24"/>
      <c r="P317" s="273"/>
      <c r="T317" s="22"/>
    </row>
    <row r="318" spans="2:20" ht="18" customHeight="1" x14ac:dyDescent="0.25">
      <c r="B318" s="24"/>
      <c r="C318" s="24"/>
      <c r="D318" s="24"/>
      <c r="E318" s="24"/>
      <c r="K318" s="24"/>
      <c r="N318" s="24"/>
      <c r="O318" s="24"/>
      <c r="P318" s="273"/>
      <c r="T318" s="22"/>
    </row>
    <row r="319" spans="2:20" ht="18" customHeight="1" x14ac:dyDescent="0.25">
      <c r="B319" s="24"/>
      <c r="C319" s="24"/>
      <c r="D319" s="24"/>
      <c r="E319" s="24"/>
      <c r="K319" s="24"/>
      <c r="N319" s="24"/>
      <c r="O319" s="24"/>
      <c r="P319" s="273"/>
      <c r="T319" s="22"/>
    </row>
    <row r="320" spans="2:20" ht="18" customHeight="1" x14ac:dyDescent="0.25">
      <c r="B320" s="24"/>
      <c r="C320" s="24"/>
      <c r="D320" s="24"/>
      <c r="E320" s="24"/>
      <c r="K320" s="24"/>
      <c r="N320" s="24"/>
      <c r="O320" s="24"/>
      <c r="P320" s="273"/>
      <c r="T320" s="22"/>
    </row>
    <row r="321" spans="2:20" ht="18" customHeight="1" x14ac:dyDescent="0.25">
      <c r="B321" s="24"/>
      <c r="C321" s="24"/>
      <c r="D321" s="24"/>
      <c r="E321" s="24"/>
      <c r="K321" s="24"/>
      <c r="N321" s="24"/>
      <c r="O321" s="24"/>
      <c r="P321" s="273"/>
      <c r="T321" s="22"/>
    </row>
    <row r="322" spans="2:20" ht="18" customHeight="1" x14ac:dyDescent="0.25">
      <c r="B322" s="24"/>
      <c r="C322" s="24"/>
      <c r="D322" s="24"/>
      <c r="E322" s="24"/>
      <c r="K322" s="24"/>
      <c r="N322" s="24"/>
      <c r="O322" s="24"/>
      <c r="P322" s="273"/>
      <c r="T322" s="22"/>
    </row>
    <row r="323" spans="2:20" ht="18" customHeight="1" x14ac:dyDescent="0.25">
      <c r="B323" s="24"/>
      <c r="C323" s="24"/>
      <c r="D323" s="24"/>
      <c r="E323" s="24"/>
      <c r="K323" s="24"/>
      <c r="N323" s="24"/>
      <c r="O323" s="24"/>
      <c r="P323" s="273"/>
      <c r="T323" s="22"/>
    </row>
    <row r="324" spans="2:20" ht="18" customHeight="1" x14ac:dyDescent="0.25">
      <c r="B324" s="24"/>
      <c r="C324" s="24"/>
      <c r="D324" s="24"/>
      <c r="E324" s="24"/>
      <c r="K324" s="24"/>
      <c r="N324" s="24"/>
      <c r="O324" s="24"/>
      <c r="P324" s="273"/>
      <c r="T324" s="22"/>
    </row>
    <row r="325" spans="2:20" ht="18" customHeight="1" x14ac:dyDescent="0.25">
      <c r="B325" s="24"/>
      <c r="C325" s="24"/>
      <c r="D325" s="24"/>
      <c r="E325" s="24"/>
      <c r="K325" s="24"/>
      <c r="N325" s="24"/>
      <c r="O325" s="24"/>
      <c r="P325" s="273"/>
      <c r="T325" s="22"/>
    </row>
    <row r="326" spans="2:20" ht="18" customHeight="1" x14ac:dyDescent="0.25">
      <c r="B326" s="24"/>
      <c r="C326" s="24"/>
      <c r="D326" s="24"/>
      <c r="E326" s="24"/>
      <c r="K326" s="24"/>
      <c r="N326" s="24"/>
      <c r="O326" s="24"/>
      <c r="P326" s="273"/>
      <c r="T326" s="22"/>
    </row>
    <row r="327" spans="2:20" ht="18" customHeight="1" x14ac:dyDescent="0.25">
      <c r="B327" s="24"/>
      <c r="C327" s="24"/>
      <c r="D327" s="24"/>
      <c r="E327" s="24"/>
      <c r="K327" s="24"/>
      <c r="N327" s="24"/>
      <c r="O327" s="24"/>
      <c r="P327" s="273"/>
      <c r="T327" s="22"/>
    </row>
    <row r="328" spans="2:20" ht="18" customHeight="1" x14ac:dyDescent="0.25">
      <c r="B328" s="24"/>
      <c r="C328" s="24"/>
      <c r="D328" s="24"/>
      <c r="E328" s="24"/>
      <c r="K328" s="24"/>
      <c r="N328" s="24"/>
      <c r="O328" s="24"/>
      <c r="P328" s="273"/>
      <c r="T328" s="22"/>
    </row>
    <row r="329" spans="2:20" ht="18" customHeight="1" x14ac:dyDescent="0.25">
      <c r="B329" s="24"/>
      <c r="C329" s="24"/>
      <c r="D329" s="24"/>
      <c r="E329" s="24"/>
      <c r="K329" s="24"/>
      <c r="N329" s="24"/>
      <c r="O329" s="24"/>
      <c r="P329" s="273"/>
      <c r="T329" s="22"/>
    </row>
    <row r="330" spans="2:20" ht="18" customHeight="1" x14ac:dyDescent="0.25">
      <c r="B330" s="24"/>
      <c r="C330" s="24"/>
      <c r="D330" s="24"/>
      <c r="E330" s="24"/>
      <c r="K330" s="24"/>
      <c r="N330" s="24"/>
      <c r="O330" s="24"/>
      <c r="P330" s="273"/>
      <c r="T330" s="22"/>
    </row>
    <row r="331" spans="2:20" ht="18" customHeight="1" x14ac:dyDescent="0.25">
      <c r="B331" s="24"/>
      <c r="C331" s="24"/>
      <c r="D331" s="24"/>
      <c r="E331" s="24"/>
      <c r="K331" s="24"/>
      <c r="N331" s="24"/>
      <c r="O331" s="24"/>
      <c r="P331" s="273"/>
      <c r="T331" s="22"/>
    </row>
    <row r="332" spans="2:20" ht="18" customHeight="1" x14ac:dyDescent="0.25">
      <c r="B332" s="24"/>
      <c r="C332" s="24"/>
      <c r="D332" s="24"/>
      <c r="E332" s="24"/>
      <c r="K332" s="24"/>
      <c r="N332" s="24"/>
      <c r="O332" s="24"/>
      <c r="P332" s="273"/>
      <c r="T332" s="22"/>
    </row>
    <row r="333" spans="2:20" ht="18" customHeight="1" x14ac:dyDescent="0.25">
      <c r="B333" s="24"/>
      <c r="C333" s="24"/>
      <c r="D333" s="24"/>
      <c r="E333" s="24"/>
      <c r="K333" s="24"/>
      <c r="N333" s="24"/>
      <c r="O333" s="24"/>
      <c r="P333" s="273"/>
      <c r="T333" s="22"/>
    </row>
    <row r="334" spans="2:20" ht="18" customHeight="1" x14ac:dyDescent="0.25">
      <c r="B334" s="24"/>
      <c r="C334" s="24"/>
      <c r="D334" s="24"/>
      <c r="E334" s="24"/>
      <c r="K334" s="24"/>
      <c r="N334" s="24"/>
      <c r="O334" s="24"/>
      <c r="P334" s="273"/>
      <c r="T334" s="22"/>
    </row>
    <row r="335" spans="2:20" ht="18" customHeight="1" x14ac:dyDescent="0.25">
      <c r="B335" s="24"/>
      <c r="C335" s="24"/>
      <c r="D335" s="24"/>
      <c r="E335" s="24"/>
      <c r="K335" s="24"/>
      <c r="N335" s="24"/>
      <c r="O335" s="24"/>
      <c r="P335" s="273"/>
      <c r="T335" s="22"/>
    </row>
    <row r="336" spans="2:20" ht="18" customHeight="1" x14ac:dyDescent="0.25">
      <c r="B336" s="24"/>
      <c r="C336" s="24"/>
      <c r="D336" s="24"/>
      <c r="E336" s="24"/>
      <c r="K336" s="24"/>
      <c r="N336" s="24"/>
      <c r="O336" s="24"/>
      <c r="P336" s="273"/>
      <c r="T336" s="22"/>
    </row>
    <row r="337" spans="2:20" ht="18" customHeight="1" x14ac:dyDescent="0.25">
      <c r="B337" s="24"/>
      <c r="C337" s="24"/>
      <c r="D337" s="24"/>
      <c r="E337" s="24"/>
      <c r="K337" s="24"/>
      <c r="N337" s="24"/>
      <c r="O337" s="24"/>
      <c r="P337" s="273"/>
      <c r="T337" s="22"/>
    </row>
    <row r="338" spans="2:20" ht="18" customHeight="1" x14ac:dyDescent="0.25">
      <c r="B338" s="24"/>
      <c r="C338" s="24"/>
      <c r="D338" s="24"/>
      <c r="E338" s="24"/>
      <c r="K338" s="24"/>
      <c r="N338" s="24"/>
      <c r="O338" s="24"/>
      <c r="P338" s="273"/>
      <c r="T338" s="22"/>
    </row>
    <row r="339" spans="2:20" ht="18" customHeight="1" x14ac:dyDescent="0.25">
      <c r="B339" s="24"/>
      <c r="C339" s="24"/>
      <c r="D339" s="24"/>
      <c r="E339" s="24"/>
      <c r="K339" s="24"/>
      <c r="N339" s="24"/>
      <c r="O339" s="24"/>
      <c r="P339" s="273"/>
      <c r="T339" s="22"/>
    </row>
    <row r="340" spans="2:20" ht="18" customHeight="1" x14ac:dyDescent="0.25">
      <c r="B340" s="24"/>
      <c r="C340" s="24"/>
      <c r="D340" s="24"/>
      <c r="E340" s="24"/>
      <c r="K340" s="24"/>
      <c r="N340" s="24"/>
      <c r="O340" s="24"/>
      <c r="P340" s="273"/>
      <c r="T340" s="22"/>
    </row>
    <row r="341" spans="2:20" ht="18" customHeight="1" x14ac:dyDescent="0.25">
      <c r="B341" s="24"/>
      <c r="C341" s="24"/>
      <c r="D341" s="24"/>
      <c r="E341" s="24"/>
      <c r="K341" s="24"/>
      <c r="N341" s="24"/>
      <c r="O341" s="24"/>
      <c r="P341" s="273"/>
      <c r="T341" s="22"/>
    </row>
    <row r="342" spans="2:20" ht="18" customHeight="1" x14ac:dyDescent="0.25">
      <c r="B342" s="24"/>
      <c r="C342" s="24"/>
      <c r="D342" s="24"/>
      <c r="E342" s="24"/>
      <c r="K342" s="24"/>
      <c r="N342" s="24"/>
      <c r="O342" s="24"/>
      <c r="P342" s="273"/>
      <c r="T342" s="22"/>
    </row>
    <row r="343" spans="2:20" ht="18" customHeight="1" x14ac:dyDescent="0.25">
      <c r="B343" s="24"/>
      <c r="C343" s="24"/>
      <c r="D343" s="24"/>
      <c r="E343" s="24"/>
      <c r="K343" s="24"/>
      <c r="N343" s="24"/>
      <c r="O343" s="24"/>
      <c r="P343" s="273"/>
      <c r="T343" s="22"/>
    </row>
    <row r="344" spans="2:20" ht="18" customHeight="1" x14ac:dyDescent="0.25">
      <c r="B344" s="24"/>
      <c r="C344" s="24"/>
      <c r="D344" s="24"/>
      <c r="E344" s="24"/>
      <c r="K344" s="24"/>
      <c r="N344" s="24"/>
      <c r="O344" s="24"/>
      <c r="P344" s="273"/>
      <c r="T344" s="22"/>
    </row>
    <row r="345" spans="2:20" ht="18" customHeight="1" x14ac:dyDescent="0.25">
      <c r="B345" s="24"/>
      <c r="C345" s="24"/>
      <c r="D345" s="24"/>
      <c r="E345" s="24"/>
      <c r="K345" s="24"/>
      <c r="N345" s="24"/>
      <c r="O345" s="24"/>
      <c r="P345" s="273"/>
      <c r="T345" s="22"/>
    </row>
    <row r="346" spans="2:20" ht="18" customHeight="1" x14ac:dyDescent="0.25">
      <c r="B346" s="24"/>
      <c r="C346" s="24"/>
      <c r="D346" s="24"/>
      <c r="E346" s="24"/>
      <c r="K346" s="24"/>
      <c r="N346" s="24"/>
      <c r="O346" s="24"/>
      <c r="P346" s="273"/>
      <c r="T346" s="22"/>
    </row>
    <row r="347" spans="2:20" ht="18" customHeight="1" x14ac:dyDescent="0.25">
      <c r="B347" s="24"/>
      <c r="C347" s="24"/>
      <c r="D347" s="24"/>
      <c r="E347" s="24"/>
      <c r="K347" s="24"/>
      <c r="N347" s="24"/>
      <c r="O347" s="24"/>
      <c r="P347" s="273"/>
      <c r="T347" s="22"/>
    </row>
    <row r="348" spans="2:20" ht="18" customHeight="1" x14ac:dyDescent="0.25">
      <c r="B348" s="24"/>
      <c r="C348" s="24"/>
      <c r="D348" s="24"/>
      <c r="E348" s="24"/>
      <c r="K348" s="24"/>
      <c r="N348" s="24"/>
      <c r="O348" s="24"/>
      <c r="P348" s="273"/>
      <c r="T348" s="22"/>
    </row>
    <row r="349" spans="2:20" ht="18" customHeight="1" x14ac:dyDescent="0.25">
      <c r="B349" s="24"/>
      <c r="C349" s="24"/>
      <c r="D349" s="24"/>
      <c r="E349" s="24"/>
      <c r="K349" s="24"/>
      <c r="N349" s="24"/>
      <c r="O349" s="24"/>
      <c r="P349" s="273"/>
      <c r="T349" s="22"/>
    </row>
    <row r="350" spans="2:20" ht="18" customHeight="1" x14ac:dyDescent="0.25">
      <c r="B350" s="24"/>
      <c r="C350" s="24"/>
      <c r="D350" s="24"/>
      <c r="E350" s="24"/>
      <c r="K350" s="24"/>
      <c r="N350" s="24"/>
      <c r="O350" s="24"/>
      <c r="P350" s="273"/>
      <c r="T350" s="22"/>
    </row>
    <row r="351" spans="2:20" ht="18" customHeight="1" x14ac:dyDescent="0.25">
      <c r="B351" s="24"/>
      <c r="C351" s="24"/>
      <c r="D351" s="24"/>
      <c r="E351" s="24"/>
      <c r="K351" s="24"/>
      <c r="N351" s="24"/>
      <c r="O351" s="24"/>
      <c r="P351" s="273"/>
      <c r="T351" s="22"/>
    </row>
    <row r="352" spans="2:20" ht="18" customHeight="1" x14ac:dyDescent="0.25">
      <c r="B352" s="24"/>
      <c r="C352" s="24"/>
      <c r="D352" s="24"/>
      <c r="E352" s="24"/>
      <c r="K352" s="24"/>
      <c r="N352" s="24"/>
      <c r="O352" s="24"/>
      <c r="P352" s="273"/>
      <c r="T352" s="22"/>
    </row>
    <row r="353" spans="2:37" ht="18" customHeight="1" x14ac:dyDescent="0.25">
      <c r="B353" s="24"/>
      <c r="C353" s="24"/>
      <c r="D353" s="24"/>
      <c r="E353" s="24"/>
      <c r="K353" s="24"/>
      <c r="N353" s="24"/>
      <c r="O353" s="24"/>
      <c r="P353" s="273"/>
      <c r="T353" s="22"/>
    </row>
    <row r="354" spans="2:37" ht="18" customHeight="1" x14ac:dyDescent="0.25">
      <c r="B354" s="24"/>
      <c r="C354" s="24"/>
      <c r="D354" s="24"/>
      <c r="E354" s="24"/>
      <c r="K354" s="24"/>
      <c r="N354" s="24"/>
      <c r="O354" s="24"/>
      <c r="P354" s="273"/>
      <c r="T354" s="22"/>
    </row>
    <row r="355" spans="2:37" ht="18" customHeight="1" x14ac:dyDescent="0.25">
      <c r="B355" s="24"/>
      <c r="C355" s="24"/>
      <c r="D355" s="24"/>
      <c r="E355" s="24"/>
      <c r="K355" s="24"/>
      <c r="N355" s="24"/>
      <c r="O355" s="24"/>
      <c r="P355" s="273"/>
      <c r="T355" s="22"/>
    </row>
    <row r="356" spans="2:37" ht="18" customHeight="1" x14ac:dyDescent="0.25">
      <c r="B356" s="24"/>
      <c r="C356" s="24"/>
      <c r="D356" s="24"/>
      <c r="E356" s="24"/>
      <c r="K356" s="24"/>
      <c r="N356" s="24"/>
      <c r="O356" s="24"/>
      <c r="P356" s="273"/>
      <c r="T356" s="22"/>
    </row>
    <row r="357" spans="2:37" ht="18" customHeight="1" x14ac:dyDescent="0.25">
      <c r="B357" s="24"/>
      <c r="C357" s="24"/>
      <c r="D357" s="24"/>
      <c r="E357" s="24"/>
      <c r="K357" s="24"/>
      <c r="N357" s="24"/>
      <c r="O357" s="24"/>
      <c r="P357" s="273"/>
      <c r="T357" s="22"/>
    </row>
    <row r="358" spans="2:37" ht="18" customHeight="1" x14ac:dyDescent="0.25">
      <c r="B358" s="24"/>
      <c r="C358" s="24"/>
      <c r="D358" s="24"/>
      <c r="E358" s="24"/>
      <c r="K358" s="24"/>
      <c r="N358" s="24"/>
      <c r="O358" s="24"/>
      <c r="P358" s="273"/>
      <c r="T358" s="22"/>
    </row>
    <row r="359" spans="2:37" ht="18" customHeight="1" x14ac:dyDescent="0.25">
      <c r="B359" s="24"/>
      <c r="C359" s="24"/>
      <c r="D359" s="24"/>
      <c r="E359" s="24"/>
      <c r="K359" s="24"/>
      <c r="N359" s="24"/>
      <c r="O359" s="24"/>
      <c r="P359" s="273"/>
      <c r="T359" s="22"/>
    </row>
    <row r="360" spans="2:37" ht="18" customHeight="1" x14ac:dyDescent="0.25">
      <c r="B360" s="24"/>
      <c r="C360" s="24"/>
      <c r="D360" s="24"/>
      <c r="E360" s="24"/>
      <c r="K360" s="24"/>
      <c r="N360" s="24"/>
      <c r="O360" s="24"/>
      <c r="P360" s="273"/>
      <c r="T360" s="22"/>
    </row>
    <row r="361" spans="2:37" ht="18" customHeight="1" x14ac:dyDescent="0.25">
      <c r="B361" s="24"/>
      <c r="C361" s="24"/>
      <c r="D361" s="24"/>
      <c r="E361" s="24"/>
      <c r="K361" s="24"/>
      <c r="N361" s="24"/>
      <c r="O361" s="24"/>
      <c r="P361" s="273"/>
      <c r="T361" s="22"/>
    </row>
    <row r="362" spans="2:37" ht="18" customHeight="1" x14ac:dyDescent="0.25">
      <c r="B362" s="24"/>
      <c r="C362" s="24"/>
      <c r="D362" s="24"/>
      <c r="E362" s="24"/>
      <c r="K362" s="24"/>
      <c r="N362" s="24"/>
      <c r="O362" s="24"/>
      <c r="P362" s="273"/>
      <c r="T362" s="22"/>
      <c r="AK362" s="22"/>
    </row>
    <row r="363" spans="2:37" ht="18" customHeight="1" x14ac:dyDescent="0.25">
      <c r="B363" s="24"/>
      <c r="C363" s="24"/>
      <c r="D363" s="24"/>
      <c r="E363" s="24"/>
      <c r="K363" s="24"/>
      <c r="N363" s="24"/>
      <c r="O363" s="24"/>
      <c r="P363" s="273"/>
      <c r="T363" s="22"/>
      <c r="AK363" s="22"/>
    </row>
    <row r="364" spans="2:37" ht="18" customHeight="1" x14ac:dyDescent="0.25">
      <c r="B364" s="24"/>
      <c r="C364" s="24"/>
      <c r="D364" s="24"/>
      <c r="E364" s="24"/>
      <c r="K364" s="24"/>
      <c r="N364" s="24"/>
      <c r="O364" s="24"/>
      <c r="P364" s="273"/>
      <c r="T364" s="22"/>
      <c r="AK364" s="22"/>
    </row>
    <row r="365" spans="2:37" ht="18" customHeight="1" x14ac:dyDescent="0.25">
      <c r="B365" s="24"/>
      <c r="C365" s="24"/>
      <c r="D365" s="24"/>
      <c r="E365" s="24"/>
      <c r="K365" s="24"/>
      <c r="N365" s="24"/>
      <c r="O365" s="24"/>
      <c r="P365" s="273"/>
      <c r="T365" s="22"/>
      <c r="AK365" s="22"/>
    </row>
    <row r="366" spans="2:37" ht="18" customHeight="1" x14ac:dyDescent="0.25">
      <c r="B366" s="24"/>
      <c r="C366" s="24"/>
      <c r="D366" s="24"/>
      <c r="E366" s="24"/>
      <c r="K366" s="24"/>
      <c r="N366" s="24"/>
      <c r="O366" s="24"/>
      <c r="P366" s="273"/>
      <c r="T366" s="22"/>
      <c r="AK366" s="22"/>
    </row>
    <row r="367" spans="2:37" ht="18" customHeight="1" x14ac:dyDescent="0.25">
      <c r="B367" s="24"/>
      <c r="C367" s="24"/>
      <c r="D367" s="24"/>
      <c r="E367" s="24"/>
      <c r="K367" s="24"/>
      <c r="N367" s="24"/>
      <c r="O367" s="24"/>
      <c r="P367" s="273"/>
      <c r="T367" s="22"/>
      <c r="AK367" s="22"/>
    </row>
    <row r="368" spans="2:37" ht="18" customHeight="1" x14ac:dyDescent="0.25">
      <c r="B368" s="24"/>
      <c r="C368" s="24"/>
      <c r="D368" s="24"/>
      <c r="E368" s="24"/>
      <c r="K368" s="24"/>
      <c r="N368" s="24"/>
      <c r="O368" s="24"/>
      <c r="P368" s="273"/>
      <c r="T368" s="22"/>
      <c r="AK368" s="22"/>
    </row>
    <row r="369" spans="2:37" ht="18" customHeight="1" x14ac:dyDescent="0.25">
      <c r="B369" s="24"/>
      <c r="C369" s="24"/>
      <c r="D369" s="24"/>
      <c r="E369" s="24"/>
      <c r="K369" s="24"/>
      <c r="N369" s="24"/>
      <c r="O369" s="24"/>
      <c r="P369" s="273"/>
      <c r="T369" s="22"/>
      <c r="AK369" s="22"/>
    </row>
    <row r="370" spans="2:37" ht="18" customHeight="1" x14ac:dyDescent="0.25">
      <c r="B370" s="24"/>
      <c r="C370" s="24"/>
      <c r="D370" s="24"/>
      <c r="E370" s="24"/>
      <c r="K370" s="24"/>
      <c r="N370" s="24"/>
      <c r="O370" s="24"/>
      <c r="P370" s="273"/>
      <c r="T370" s="22"/>
      <c r="AK370" s="22"/>
    </row>
    <row r="371" spans="2:37" ht="18" customHeight="1" x14ac:dyDescent="0.25">
      <c r="B371" s="24"/>
      <c r="C371" s="24"/>
      <c r="D371" s="24"/>
      <c r="E371" s="24"/>
      <c r="K371" s="24"/>
      <c r="N371" s="24"/>
      <c r="O371" s="24"/>
      <c r="P371" s="273"/>
      <c r="T371" s="22"/>
      <c r="AK371" s="22"/>
    </row>
    <row r="372" spans="2:37" ht="18" customHeight="1" x14ac:dyDescent="0.25">
      <c r="B372" s="24"/>
      <c r="C372" s="24"/>
      <c r="D372" s="24"/>
      <c r="E372" s="24"/>
      <c r="K372" s="24"/>
      <c r="N372" s="24"/>
      <c r="O372" s="24"/>
      <c r="P372" s="273"/>
      <c r="T372" s="22"/>
      <c r="AK372" s="22"/>
    </row>
    <row r="373" spans="2:37" ht="18" customHeight="1" x14ac:dyDescent="0.25">
      <c r="B373" s="24"/>
      <c r="C373" s="24"/>
      <c r="D373" s="24"/>
      <c r="E373" s="24"/>
      <c r="K373" s="24"/>
      <c r="N373" s="24"/>
      <c r="O373" s="24"/>
      <c r="P373" s="273"/>
      <c r="T373" s="22"/>
      <c r="AK373" s="22"/>
    </row>
    <row r="374" spans="2:37" ht="18" customHeight="1" x14ac:dyDescent="0.25">
      <c r="B374" s="24"/>
      <c r="C374" s="24"/>
      <c r="D374" s="24"/>
      <c r="E374" s="24"/>
      <c r="K374" s="24"/>
      <c r="N374" s="24"/>
      <c r="O374" s="24"/>
      <c r="P374" s="273"/>
      <c r="T374" s="22"/>
      <c r="AK374" s="22"/>
    </row>
    <row r="375" spans="2:37" ht="18" customHeight="1" x14ac:dyDescent="0.25">
      <c r="B375" s="24"/>
      <c r="C375" s="24"/>
      <c r="D375" s="24"/>
      <c r="E375" s="24"/>
      <c r="K375" s="24"/>
      <c r="N375" s="24"/>
      <c r="O375" s="24"/>
      <c r="P375" s="273"/>
      <c r="T375" s="22"/>
      <c r="AK375" s="22"/>
    </row>
    <row r="376" spans="2:37" ht="18" customHeight="1" x14ac:dyDescent="0.25">
      <c r="B376" s="24"/>
      <c r="C376" s="24"/>
      <c r="D376" s="24"/>
      <c r="E376" s="24"/>
      <c r="K376" s="24"/>
      <c r="N376" s="24"/>
      <c r="O376" s="24"/>
      <c r="P376" s="273"/>
      <c r="T376" s="22"/>
      <c r="AK376" s="22"/>
    </row>
    <row r="377" spans="2:37" ht="18" customHeight="1" x14ac:dyDescent="0.25">
      <c r="B377" s="24"/>
      <c r="C377" s="24"/>
      <c r="D377" s="24"/>
      <c r="E377" s="24"/>
      <c r="K377" s="24"/>
      <c r="N377" s="24"/>
      <c r="O377" s="24"/>
      <c r="P377" s="273"/>
      <c r="T377" s="22"/>
      <c r="AK377" s="22"/>
    </row>
    <row r="378" spans="2:37" ht="18" customHeight="1" x14ac:dyDescent="0.25">
      <c r="B378" s="24"/>
      <c r="C378" s="24"/>
      <c r="D378" s="24"/>
      <c r="E378" s="24"/>
      <c r="K378" s="24"/>
      <c r="N378" s="24"/>
      <c r="O378" s="24"/>
      <c r="P378" s="273"/>
      <c r="T378" s="22"/>
      <c r="AK378" s="22"/>
    </row>
    <row r="379" spans="2:37" x14ac:dyDescent="0.25">
      <c r="B379" s="24"/>
      <c r="C379" s="24"/>
      <c r="D379" s="24"/>
      <c r="E379" s="24"/>
      <c r="K379" s="24"/>
      <c r="N379" s="24"/>
      <c r="O379" s="24"/>
      <c r="P379" s="273"/>
      <c r="T379" s="22"/>
      <c r="AK379" s="22"/>
    </row>
    <row r="380" spans="2:37" x14ac:dyDescent="0.25">
      <c r="B380" s="24"/>
      <c r="C380" s="24"/>
      <c r="D380" s="24"/>
      <c r="E380" s="24"/>
      <c r="K380" s="24"/>
      <c r="N380" s="24"/>
      <c r="O380" s="24"/>
      <c r="P380" s="273"/>
      <c r="T380" s="22"/>
      <c r="AK380" s="22"/>
    </row>
    <row r="381" spans="2:37" x14ac:dyDescent="0.25">
      <c r="B381" s="24"/>
      <c r="C381" s="24"/>
      <c r="D381" s="24"/>
      <c r="E381" s="24"/>
      <c r="K381" s="24"/>
      <c r="N381" s="24"/>
      <c r="O381" s="24"/>
      <c r="P381" s="273"/>
    </row>
    <row r="382" spans="2:37" x14ac:dyDescent="0.25">
      <c r="B382" s="24"/>
      <c r="C382" s="24"/>
      <c r="D382" s="24"/>
      <c r="E382" s="24"/>
      <c r="K382" s="24"/>
      <c r="N382" s="24"/>
      <c r="O382" s="24"/>
      <c r="P382" s="273"/>
    </row>
    <row r="383" spans="2:37" x14ac:dyDescent="0.25">
      <c r="B383" s="24"/>
      <c r="C383" s="24"/>
      <c r="D383" s="24"/>
      <c r="E383" s="24"/>
      <c r="K383" s="24"/>
      <c r="N383" s="24"/>
      <c r="O383" s="24"/>
      <c r="P383" s="273"/>
    </row>
    <row r="384" spans="2:37" x14ac:dyDescent="0.25">
      <c r="B384" s="24"/>
      <c r="C384" s="24"/>
      <c r="D384" s="24"/>
      <c r="E384" s="24"/>
      <c r="K384" s="24"/>
      <c r="N384" s="24"/>
      <c r="O384" s="24"/>
      <c r="P384" s="273"/>
    </row>
    <row r="385" spans="2:16" x14ac:dyDescent="0.25">
      <c r="B385" s="24"/>
      <c r="C385" s="24"/>
      <c r="D385" s="24"/>
      <c r="E385" s="24"/>
      <c r="K385" s="24"/>
      <c r="N385" s="24"/>
      <c r="O385" s="24"/>
      <c r="P385" s="273"/>
    </row>
    <row r="386" spans="2:16" x14ac:dyDescent="0.25">
      <c r="B386" s="24"/>
      <c r="C386" s="24"/>
      <c r="D386" s="24"/>
      <c r="E386" s="24"/>
      <c r="K386" s="24"/>
      <c r="N386" s="24"/>
      <c r="O386" s="24"/>
      <c r="P386" s="273"/>
    </row>
    <row r="387" spans="2:16" x14ac:dyDescent="0.25">
      <c r="B387" s="24"/>
      <c r="C387" s="24"/>
      <c r="D387" s="24"/>
      <c r="E387" s="24"/>
      <c r="K387" s="24"/>
      <c r="N387" s="24"/>
      <c r="O387" s="24"/>
      <c r="P387" s="273"/>
    </row>
    <row r="388" spans="2:16" x14ac:dyDescent="0.25">
      <c r="B388" s="24"/>
      <c r="C388" s="24"/>
      <c r="D388" s="24"/>
      <c r="E388" s="24"/>
      <c r="K388" s="24"/>
      <c r="N388" s="24"/>
      <c r="O388" s="24"/>
      <c r="P388" s="273"/>
    </row>
    <row r="389" spans="2:16" x14ac:dyDescent="0.25">
      <c r="B389" s="24"/>
      <c r="C389" s="24"/>
      <c r="D389" s="24"/>
      <c r="E389" s="24"/>
      <c r="K389" s="24"/>
      <c r="N389" s="24"/>
      <c r="O389" s="24"/>
      <c r="P389" s="273"/>
    </row>
    <row r="390" spans="2:16" x14ac:dyDescent="0.25">
      <c r="B390" s="24"/>
      <c r="C390" s="24"/>
      <c r="D390" s="24"/>
      <c r="E390" s="24"/>
      <c r="K390" s="24"/>
      <c r="N390" s="24"/>
      <c r="O390" s="24"/>
      <c r="P390" s="273"/>
    </row>
    <row r="391" spans="2:16" x14ac:dyDescent="0.25">
      <c r="B391" s="24"/>
      <c r="C391" s="24"/>
      <c r="D391" s="24"/>
      <c r="E391" s="24"/>
      <c r="K391" s="24"/>
      <c r="N391" s="24"/>
      <c r="O391" s="24"/>
      <c r="P391" s="273"/>
    </row>
    <row r="392" spans="2:16" x14ac:dyDescent="0.25">
      <c r="B392" s="24"/>
      <c r="C392" s="24"/>
      <c r="D392" s="24"/>
      <c r="E392" s="24"/>
      <c r="K392" s="24"/>
      <c r="N392" s="24"/>
      <c r="O392" s="24"/>
      <c r="P392" s="273"/>
    </row>
    <row r="393" spans="2:16" x14ac:dyDescent="0.25">
      <c r="B393" s="24"/>
      <c r="C393" s="24"/>
      <c r="D393" s="24"/>
      <c r="E393" s="24"/>
      <c r="K393" s="24"/>
      <c r="N393" s="24"/>
      <c r="O393" s="24"/>
      <c r="P393" s="273"/>
    </row>
    <row r="394" spans="2:16" x14ac:dyDescent="0.25">
      <c r="B394" s="24"/>
      <c r="C394" s="24"/>
      <c r="D394" s="24"/>
      <c r="E394" s="24"/>
      <c r="K394" s="24"/>
      <c r="N394" s="24"/>
      <c r="O394" s="24"/>
      <c r="P394" s="273"/>
    </row>
    <row r="395" spans="2:16" x14ac:dyDescent="0.25">
      <c r="B395" s="24"/>
      <c r="C395" s="24"/>
      <c r="D395" s="24"/>
      <c r="E395" s="24"/>
      <c r="K395" s="24"/>
      <c r="N395" s="24"/>
      <c r="O395" s="24"/>
      <c r="P395" s="273"/>
    </row>
    <row r="396" spans="2:16" x14ac:dyDescent="0.25">
      <c r="B396" s="24"/>
      <c r="C396" s="24"/>
      <c r="D396" s="24"/>
      <c r="E396" s="24"/>
      <c r="K396" s="24"/>
      <c r="N396" s="24"/>
      <c r="O396" s="24"/>
      <c r="P396" s="273"/>
    </row>
    <row r="397" spans="2:16" x14ac:dyDescent="0.25">
      <c r="B397" s="24"/>
      <c r="C397" s="24"/>
      <c r="D397" s="24"/>
      <c r="E397" s="24"/>
      <c r="K397" s="24"/>
      <c r="N397" s="24"/>
      <c r="O397" s="24"/>
      <c r="P397" s="273"/>
    </row>
    <row r="398" spans="2:16" x14ac:dyDescent="0.25">
      <c r="B398" s="24"/>
      <c r="C398" s="24"/>
      <c r="D398" s="24"/>
      <c r="E398" s="24"/>
      <c r="K398" s="24"/>
      <c r="N398" s="24"/>
      <c r="O398" s="24"/>
      <c r="P398" s="273"/>
    </row>
    <row r="399" spans="2:16" x14ac:dyDescent="0.25">
      <c r="B399" s="24"/>
      <c r="C399" s="24"/>
      <c r="D399" s="24"/>
      <c r="E399" s="24"/>
      <c r="K399" s="24"/>
      <c r="N399" s="24"/>
      <c r="O399" s="24"/>
      <c r="P399" s="273"/>
    </row>
    <row r="400" spans="2:16" x14ac:dyDescent="0.25">
      <c r="B400" s="24"/>
      <c r="C400" s="24"/>
      <c r="D400" s="24"/>
      <c r="E400" s="24"/>
      <c r="K400" s="24"/>
      <c r="N400" s="24"/>
      <c r="O400" s="24"/>
      <c r="P400" s="273"/>
    </row>
    <row r="401" spans="2:16" x14ac:dyDescent="0.25">
      <c r="B401" s="24"/>
      <c r="C401" s="24"/>
      <c r="D401" s="24"/>
      <c r="E401" s="24"/>
      <c r="K401" s="24"/>
      <c r="N401" s="24"/>
      <c r="O401" s="24"/>
      <c r="P401" s="273"/>
    </row>
    <row r="402" spans="2:16" x14ac:dyDescent="0.25">
      <c r="B402" s="24"/>
      <c r="C402" s="24"/>
      <c r="D402" s="24"/>
      <c r="E402" s="24"/>
      <c r="K402" s="24"/>
      <c r="N402" s="24"/>
      <c r="O402" s="24"/>
      <c r="P402" s="273"/>
    </row>
    <row r="403" spans="2:16" x14ac:dyDescent="0.25">
      <c r="B403" s="24"/>
      <c r="C403" s="24"/>
      <c r="D403" s="24"/>
      <c r="E403" s="24"/>
      <c r="K403" s="24"/>
      <c r="N403" s="24"/>
      <c r="O403" s="24"/>
      <c r="P403" s="273"/>
    </row>
    <row r="404" spans="2:16" x14ac:dyDescent="0.25">
      <c r="B404" s="24"/>
      <c r="C404" s="24"/>
      <c r="D404" s="24"/>
      <c r="E404" s="24"/>
      <c r="K404" s="24"/>
      <c r="N404" s="24"/>
      <c r="O404" s="24"/>
      <c r="P404" s="273"/>
    </row>
    <row r="405" spans="2:16" x14ac:dyDescent="0.25">
      <c r="B405" s="24"/>
      <c r="C405" s="24"/>
      <c r="D405" s="24"/>
      <c r="E405" s="24"/>
      <c r="K405" s="24"/>
      <c r="N405" s="24"/>
      <c r="O405" s="24"/>
      <c r="P405" s="273"/>
    </row>
    <row r="406" spans="2:16" x14ac:dyDescent="0.25">
      <c r="B406" s="24"/>
      <c r="C406" s="24"/>
      <c r="D406" s="24"/>
      <c r="E406" s="24"/>
      <c r="K406" s="24"/>
      <c r="N406" s="24"/>
      <c r="O406" s="24"/>
      <c r="P406" s="273"/>
    </row>
    <row r="407" spans="2:16" x14ac:dyDescent="0.25">
      <c r="B407" s="24"/>
      <c r="C407" s="24"/>
      <c r="D407" s="24"/>
      <c r="E407" s="24"/>
      <c r="K407" s="24"/>
      <c r="N407" s="24"/>
      <c r="O407" s="24"/>
      <c r="P407" s="273"/>
    </row>
    <row r="408" spans="2:16" x14ac:dyDescent="0.25">
      <c r="B408" s="24"/>
      <c r="C408" s="24"/>
      <c r="D408" s="24"/>
      <c r="E408" s="24"/>
      <c r="K408" s="24"/>
      <c r="N408" s="24"/>
      <c r="O408" s="24"/>
      <c r="P408" s="273"/>
    </row>
    <row r="409" spans="2:16" x14ac:dyDescent="0.25">
      <c r="B409" s="24"/>
      <c r="C409" s="24"/>
      <c r="D409" s="24"/>
      <c r="E409" s="24"/>
      <c r="K409" s="24"/>
      <c r="N409" s="24"/>
      <c r="O409" s="24"/>
      <c r="P409" s="273"/>
    </row>
    <row r="410" spans="2:16" x14ac:dyDescent="0.25">
      <c r="B410" s="24"/>
      <c r="C410" s="24"/>
      <c r="D410" s="24"/>
      <c r="E410" s="24"/>
      <c r="K410" s="24"/>
      <c r="N410" s="24"/>
      <c r="O410" s="24"/>
      <c r="P410" s="273"/>
    </row>
    <row r="411" spans="2:16" x14ac:dyDescent="0.25">
      <c r="B411" s="24"/>
      <c r="C411" s="24"/>
      <c r="D411" s="24"/>
      <c r="E411" s="24"/>
      <c r="K411" s="24"/>
      <c r="N411" s="24"/>
      <c r="O411" s="24"/>
      <c r="P411" s="273"/>
    </row>
    <row r="412" spans="2:16" x14ac:dyDescent="0.25">
      <c r="B412" s="24"/>
      <c r="C412" s="24"/>
      <c r="D412" s="24"/>
      <c r="E412" s="24"/>
      <c r="K412" s="24"/>
      <c r="N412" s="24"/>
      <c r="O412" s="24"/>
      <c r="P412" s="273"/>
    </row>
    <row r="413" spans="2:16" x14ac:dyDescent="0.25">
      <c r="B413" s="24"/>
      <c r="C413" s="24"/>
      <c r="D413" s="24"/>
      <c r="E413" s="24"/>
      <c r="K413" s="24"/>
      <c r="N413" s="24"/>
      <c r="O413" s="24"/>
      <c r="P413" s="273"/>
    </row>
    <row r="414" spans="2:16" x14ac:dyDescent="0.25">
      <c r="B414" s="24"/>
      <c r="C414" s="24"/>
      <c r="D414" s="24"/>
      <c r="E414" s="24"/>
      <c r="K414" s="24"/>
      <c r="N414" s="24"/>
      <c r="O414" s="24"/>
      <c r="P414" s="273"/>
    </row>
    <row r="415" spans="2:16" x14ac:dyDescent="0.25">
      <c r="B415" s="24"/>
      <c r="C415" s="24"/>
      <c r="D415" s="24"/>
      <c r="E415" s="24"/>
      <c r="K415" s="24"/>
      <c r="N415" s="24"/>
      <c r="O415" s="24"/>
      <c r="P415" s="273"/>
    </row>
    <row r="416" spans="2:16" x14ac:dyDescent="0.25">
      <c r="B416" s="24"/>
      <c r="C416" s="24"/>
      <c r="D416" s="24"/>
      <c r="E416" s="24"/>
      <c r="K416" s="24"/>
    </row>
    <row r="417" spans="2:11" x14ac:dyDescent="0.25">
      <c r="B417" s="24"/>
      <c r="C417" s="24"/>
      <c r="D417" s="24"/>
      <c r="E417" s="24"/>
      <c r="K417" s="24"/>
    </row>
    <row r="418" spans="2:11" x14ac:dyDescent="0.25">
      <c r="B418" s="24"/>
      <c r="C418" s="24"/>
      <c r="D418" s="24"/>
      <c r="E418" s="24"/>
      <c r="K418" s="24"/>
    </row>
    <row r="419" spans="2:11" x14ac:dyDescent="0.25">
      <c r="B419" s="24"/>
      <c r="C419" s="24"/>
      <c r="D419" s="24"/>
      <c r="E419" s="24"/>
      <c r="K419" s="24"/>
    </row>
    <row r="420" spans="2:11" x14ac:dyDescent="0.25">
      <c r="B420" s="24"/>
      <c r="C420" s="24"/>
      <c r="D420" s="24"/>
      <c r="E420" s="24"/>
      <c r="K420" s="24"/>
    </row>
    <row r="421" spans="2:11" x14ac:dyDescent="0.25">
      <c r="B421" s="24"/>
      <c r="C421" s="24"/>
      <c r="D421" s="24"/>
      <c r="E421" s="24"/>
      <c r="K421" s="24"/>
    </row>
  </sheetData>
  <phoneticPr fontId="2"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N493"/>
  <sheetViews>
    <sheetView zoomScale="70" zoomScaleNormal="70" workbookViewId="0">
      <selection activeCell="A4" sqref="A4"/>
    </sheetView>
  </sheetViews>
  <sheetFormatPr defaultRowHeight="15" x14ac:dyDescent="0.25"/>
  <cols>
    <col min="1" max="1" width="11.7109375" style="16" bestFit="1" customWidth="1"/>
    <col min="2" max="3" width="22.140625" style="17" bestFit="1" customWidth="1"/>
    <col min="4" max="4" width="22" style="17" bestFit="1" customWidth="1"/>
    <col min="5" max="5" width="22" bestFit="1" customWidth="1"/>
    <col min="6" max="8" width="17.42578125" bestFit="1" customWidth="1"/>
    <col min="9" max="10" width="17.42578125" style="267" bestFit="1" customWidth="1"/>
    <col min="11" max="11" width="17.42578125" bestFit="1" customWidth="1"/>
    <col min="12" max="12" width="21.7109375" bestFit="1" customWidth="1"/>
    <col min="13" max="14" width="23" bestFit="1" customWidth="1"/>
    <col min="15" max="15" width="21.42578125" style="267" bestFit="1" customWidth="1"/>
    <col min="16" max="18" width="17.28515625" style="267" bestFit="1" customWidth="1"/>
    <col min="19" max="20" width="20.140625" style="591" bestFit="1" customWidth="1"/>
    <col min="21" max="21" width="20.140625" bestFit="1" customWidth="1"/>
    <col min="22" max="28" width="20.140625" style="743" customWidth="1"/>
    <col min="29" max="34" width="20.140625" style="947" customWidth="1"/>
    <col min="35" max="35" width="8.140625" bestFit="1" customWidth="1"/>
    <col min="36" max="37" width="22.140625" bestFit="1" customWidth="1"/>
    <col min="38" max="39" width="22" bestFit="1" customWidth="1"/>
    <col min="40" max="40" width="17.42578125" bestFit="1" customWidth="1"/>
    <col min="41" max="42" width="17.42578125" style="267" bestFit="1" customWidth="1"/>
    <col min="43" max="45" width="23.140625" bestFit="1" customWidth="1"/>
    <col min="46" max="46" width="21.7109375" bestFit="1" customWidth="1"/>
    <col min="47" max="47" width="23" bestFit="1" customWidth="1"/>
    <col min="48" max="48" width="23" style="267" bestFit="1" customWidth="1"/>
    <col min="49" max="49" width="21.42578125" style="267" bestFit="1" customWidth="1"/>
    <col min="50" max="52" width="23" bestFit="1" customWidth="1"/>
    <col min="53" max="53" width="20.140625" bestFit="1" customWidth="1"/>
    <col min="54" max="54" width="12.5703125" bestFit="1" customWidth="1"/>
    <col min="55" max="55" width="18.85546875" style="591" bestFit="1" customWidth="1"/>
    <col min="56" max="61" width="18.85546875" style="743" customWidth="1"/>
    <col min="62" max="68" width="18.85546875" style="947" customWidth="1"/>
    <col min="69" max="69" width="18.85546875" style="743" customWidth="1"/>
    <col min="70" max="70" width="5" bestFit="1" customWidth="1"/>
    <col min="71" max="71" width="9.7109375" bestFit="1" customWidth="1"/>
    <col min="72" max="72" width="2.5703125" bestFit="1" customWidth="1"/>
    <col min="74" max="74" width="5.42578125" bestFit="1" customWidth="1"/>
    <col min="75" max="75" width="7.28515625" bestFit="1" customWidth="1"/>
    <col min="76" max="76" width="2.5703125" bestFit="1" customWidth="1"/>
    <col min="78" max="78" width="5.42578125" bestFit="1" customWidth="1"/>
    <col min="79" max="79" width="9.5703125" bestFit="1" customWidth="1"/>
    <col min="80" max="80" width="2.5703125" bestFit="1" customWidth="1"/>
    <col min="82" max="82" width="5.42578125" bestFit="1" customWidth="1"/>
    <col min="83" max="83" width="7.28515625" bestFit="1" customWidth="1"/>
    <col min="84" max="84" width="2.5703125" bestFit="1" customWidth="1"/>
    <col min="86" max="86" width="12.85546875" bestFit="1" customWidth="1"/>
    <col min="87" max="87" width="10.140625" style="699" bestFit="1" customWidth="1"/>
    <col min="88" max="88" width="9.140625" style="699"/>
    <col min="91" max="91" width="10.28515625" style="699" bestFit="1" customWidth="1"/>
    <col min="92" max="92" width="10" bestFit="1" customWidth="1"/>
  </cols>
  <sheetData>
    <row r="1" spans="1:92" x14ac:dyDescent="0.25">
      <c r="A1" s="709"/>
      <c r="B1" s="710" t="s">
        <v>99</v>
      </c>
      <c r="C1" s="710" t="s">
        <v>100</v>
      </c>
      <c r="D1" s="710" t="s">
        <v>101</v>
      </c>
      <c r="E1" s="710" t="s">
        <v>102</v>
      </c>
      <c r="F1" s="710" t="s">
        <v>97</v>
      </c>
      <c r="G1" s="710" t="s">
        <v>104</v>
      </c>
      <c r="H1" s="710" t="s">
        <v>103</v>
      </c>
      <c r="I1" s="710" t="s">
        <v>179</v>
      </c>
      <c r="J1" s="710" t="s">
        <v>199</v>
      </c>
      <c r="K1" s="710" t="s">
        <v>206</v>
      </c>
      <c r="L1" s="710" t="s">
        <v>105</v>
      </c>
      <c r="M1" s="710" t="s">
        <v>107</v>
      </c>
      <c r="N1" s="710" t="s">
        <v>98</v>
      </c>
      <c r="O1" s="710" t="s">
        <v>106</v>
      </c>
      <c r="P1" s="710" t="s">
        <v>178</v>
      </c>
      <c r="Q1" s="710" t="s">
        <v>198</v>
      </c>
      <c r="R1" s="710" t="s">
        <v>207</v>
      </c>
      <c r="S1" s="710" t="s">
        <v>307</v>
      </c>
      <c r="T1" s="710" t="s">
        <v>184</v>
      </c>
      <c r="U1" s="710" t="s">
        <v>221</v>
      </c>
      <c r="V1" s="710" t="s">
        <v>222</v>
      </c>
      <c r="W1" s="710" t="s">
        <v>255</v>
      </c>
      <c r="X1" s="710" t="s">
        <v>256</v>
      </c>
      <c r="Y1" s="710" t="s">
        <v>266</v>
      </c>
      <c r="Z1" s="710" t="s">
        <v>267</v>
      </c>
      <c r="AA1" s="710" t="s">
        <v>268</v>
      </c>
      <c r="AB1" s="710" t="s">
        <v>269</v>
      </c>
      <c r="AC1" s="710" t="s">
        <v>295</v>
      </c>
      <c r="AD1" s="710" t="s">
        <v>290</v>
      </c>
      <c r="AE1" s="710" t="s">
        <v>291</v>
      </c>
      <c r="AF1" s="710" t="s">
        <v>292</v>
      </c>
      <c r="AG1" s="710" t="s">
        <v>293</v>
      </c>
      <c r="AH1" s="710" t="s">
        <v>294</v>
      </c>
      <c r="AI1" s="705"/>
      <c r="AJ1" s="710" t="s">
        <v>99</v>
      </c>
      <c r="AK1" s="710" t="s">
        <v>100</v>
      </c>
      <c r="AL1" s="710" t="s">
        <v>101</v>
      </c>
      <c r="AM1" s="710" t="s">
        <v>102</v>
      </c>
      <c r="AN1" s="710" t="s">
        <v>97</v>
      </c>
      <c r="AO1" s="710" t="s">
        <v>104</v>
      </c>
      <c r="AP1" s="710" t="s">
        <v>103</v>
      </c>
      <c r="AQ1" s="710" t="s">
        <v>178</v>
      </c>
      <c r="AR1" s="710" t="s">
        <v>199</v>
      </c>
      <c r="AS1" s="710" t="s">
        <v>206</v>
      </c>
      <c r="AT1" s="710" t="s">
        <v>105</v>
      </c>
      <c r="AU1" s="710" t="s">
        <v>107</v>
      </c>
      <c r="AV1" s="710" t="s">
        <v>98</v>
      </c>
      <c r="AW1" s="710" t="s">
        <v>106</v>
      </c>
      <c r="AX1" s="710" t="s">
        <v>179</v>
      </c>
      <c r="AY1" s="710" t="s">
        <v>198</v>
      </c>
      <c r="AZ1" s="710" t="s">
        <v>207</v>
      </c>
      <c r="BA1" s="710" t="s">
        <v>307</v>
      </c>
      <c r="BB1" s="710" t="s">
        <v>184</v>
      </c>
      <c r="BC1" s="710" t="s">
        <v>221</v>
      </c>
      <c r="BD1" s="710" t="s">
        <v>222</v>
      </c>
      <c r="BE1" s="710" t="s">
        <v>255</v>
      </c>
      <c r="BF1" s="710" t="s">
        <v>256</v>
      </c>
      <c r="BG1" s="710" t="s">
        <v>266</v>
      </c>
      <c r="BH1" s="710" t="s">
        <v>267</v>
      </c>
      <c r="BI1" s="710" t="s">
        <v>268</v>
      </c>
      <c r="BJ1" s="710" t="s">
        <v>269</v>
      </c>
      <c r="BK1" s="710" t="s">
        <v>295</v>
      </c>
      <c r="BL1" s="710" t="s">
        <v>290</v>
      </c>
      <c r="BM1" s="710" t="s">
        <v>291</v>
      </c>
      <c r="BN1" s="710" t="s">
        <v>292</v>
      </c>
      <c r="BO1" s="710" t="s">
        <v>293</v>
      </c>
      <c r="BP1" s="710" t="s">
        <v>294</v>
      </c>
      <c r="BR1" s="705"/>
      <c r="BS1" s="705"/>
      <c r="BT1" s="705"/>
      <c r="BU1" s="705"/>
      <c r="BV1" s="705"/>
      <c r="BW1" s="705"/>
      <c r="BX1" s="705"/>
      <c r="BY1" s="705"/>
      <c r="BZ1" s="705"/>
      <c r="CA1" s="705"/>
      <c r="CB1" s="705"/>
      <c r="CC1" s="705"/>
      <c r="CD1" s="705"/>
      <c r="CE1" s="705"/>
      <c r="CF1" s="705"/>
      <c r="CG1" s="705"/>
      <c r="CH1" s="711"/>
      <c r="CI1" s="712"/>
      <c r="CJ1" s="712"/>
      <c r="CK1" s="705"/>
      <c r="CL1" s="705"/>
      <c r="CM1" s="712"/>
      <c r="CN1" s="705"/>
    </row>
    <row r="2" spans="1:92" s="14" customFormat="1" ht="30.75" customHeight="1" x14ac:dyDescent="0.25">
      <c r="A2" s="713" t="s">
        <v>81</v>
      </c>
      <c r="B2" s="711" t="s">
        <v>14</v>
      </c>
      <c r="C2" s="711" t="s">
        <v>21</v>
      </c>
      <c r="D2" s="711" t="s">
        <v>15</v>
      </c>
      <c r="E2" s="711" t="s">
        <v>16</v>
      </c>
      <c r="F2" s="711" t="s">
        <v>108</v>
      </c>
      <c r="G2" s="711" t="s">
        <v>109</v>
      </c>
      <c r="H2" s="711" t="s">
        <v>110</v>
      </c>
      <c r="I2" s="711" t="s">
        <v>180</v>
      </c>
      <c r="J2" s="711" t="s">
        <v>202</v>
      </c>
      <c r="K2" s="711" t="s">
        <v>210</v>
      </c>
      <c r="L2" s="711" t="s">
        <v>22</v>
      </c>
      <c r="M2" s="711" t="s">
        <v>111</v>
      </c>
      <c r="N2" s="711" t="s">
        <v>112</v>
      </c>
      <c r="O2" s="711" t="s">
        <v>86</v>
      </c>
      <c r="P2" s="711" t="s">
        <v>181</v>
      </c>
      <c r="Q2" s="711" t="s">
        <v>203</v>
      </c>
      <c r="R2" s="711" t="s">
        <v>211</v>
      </c>
      <c r="S2" s="711" t="s">
        <v>308</v>
      </c>
      <c r="T2" s="711" t="s">
        <v>185</v>
      </c>
      <c r="U2" s="711" t="s">
        <v>224</v>
      </c>
      <c r="V2" s="711" t="s">
        <v>223</v>
      </c>
      <c r="W2" s="711" t="s">
        <v>277</v>
      </c>
      <c r="X2" s="711" t="s">
        <v>279</v>
      </c>
      <c r="Y2" s="711" t="s">
        <v>278</v>
      </c>
      <c r="Z2" s="711" t="s">
        <v>280</v>
      </c>
      <c r="AA2" s="711" t="s">
        <v>281</v>
      </c>
      <c r="AB2" s="711" t="s">
        <v>282</v>
      </c>
      <c r="AC2" s="711" t="s">
        <v>296</v>
      </c>
      <c r="AD2" s="711" t="s">
        <v>297</v>
      </c>
      <c r="AE2" s="711" t="s">
        <v>298</v>
      </c>
      <c r="AF2" s="711" t="s">
        <v>299</v>
      </c>
      <c r="AG2" s="711" t="s">
        <v>300</v>
      </c>
      <c r="AH2" s="711" t="s">
        <v>301</v>
      </c>
      <c r="AI2" s="714" t="s">
        <v>80</v>
      </c>
      <c r="AJ2" s="711" t="s">
        <v>14</v>
      </c>
      <c r="AK2" s="711" t="s">
        <v>21</v>
      </c>
      <c r="AL2" s="711" t="s">
        <v>15</v>
      </c>
      <c r="AM2" s="711" t="s">
        <v>16</v>
      </c>
      <c r="AN2" s="711" t="s">
        <v>108</v>
      </c>
      <c r="AO2" s="711" t="s">
        <v>109</v>
      </c>
      <c r="AP2" s="711" t="s">
        <v>110</v>
      </c>
      <c r="AQ2" s="711" t="s">
        <v>188</v>
      </c>
      <c r="AR2" s="711" t="s">
        <v>204</v>
      </c>
      <c r="AS2" s="711" t="s">
        <v>212</v>
      </c>
      <c r="AT2" s="711" t="s">
        <v>22</v>
      </c>
      <c r="AU2" s="711" t="s">
        <v>111</v>
      </c>
      <c r="AV2" s="711" t="s">
        <v>112</v>
      </c>
      <c r="AW2" s="711" t="s">
        <v>86</v>
      </c>
      <c r="AX2" s="711" t="s">
        <v>187</v>
      </c>
      <c r="AY2" s="711" t="s">
        <v>205</v>
      </c>
      <c r="AZ2" s="711" t="s">
        <v>213</v>
      </c>
      <c r="BA2" s="711" t="s">
        <v>308</v>
      </c>
      <c r="BB2" s="715" t="s">
        <v>185</v>
      </c>
      <c r="BC2" s="711" t="s">
        <v>224</v>
      </c>
      <c r="BD2" s="711" t="s">
        <v>223</v>
      </c>
      <c r="BE2" s="711" t="s">
        <v>283</v>
      </c>
      <c r="BF2" s="711" t="s">
        <v>284</v>
      </c>
      <c r="BG2" s="711" t="s">
        <v>285</v>
      </c>
      <c r="BH2" s="711" t="s">
        <v>286</v>
      </c>
      <c r="BI2" s="711" t="s">
        <v>287</v>
      </c>
      <c r="BJ2" s="711" t="s">
        <v>289</v>
      </c>
      <c r="BK2" s="711" t="s">
        <v>296</v>
      </c>
      <c r="BL2" s="711" t="s">
        <v>297</v>
      </c>
      <c r="BM2" s="711" t="s">
        <v>298</v>
      </c>
      <c r="BN2" s="711" t="s">
        <v>299</v>
      </c>
      <c r="BO2" s="711" t="s">
        <v>300</v>
      </c>
      <c r="BP2" s="711" t="s">
        <v>301</v>
      </c>
      <c r="BR2" s="705"/>
      <c r="BS2" s="705" t="s">
        <v>5</v>
      </c>
      <c r="BT2" s="705">
        <f>MATCH(BS2,Table!$B:$B,0)</f>
        <v>5</v>
      </c>
      <c r="BU2" s="716"/>
      <c r="BV2" s="705" t="s">
        <v>96</v>
      </c>
      <c r="BW2" s="705" t="s">
        <v>0</v>
      </c>
      <c r="BX2" s="705">
        <f>MATCH(BW2,Table!$A:$A,0)</f>
        <v>3</v>
      </c>
      <c r="BY2" s="716"/>
      <c r="BZ2" s="705" t="s">
        <v>96</v>
      </c>
      <c r="CA2" s="705" t="s">
        <v>4</v>
      </c>
      <c r="CB2" s="705">
        <f>MATCH(CA2,Table!$B:$B,0)</f>
        <v>4</v>
      </c>
      <c r="CC2" s="716"/>
      <c r="CD2" s="705" t="s">
        <v>96</v>
      </c>
      <c r="CE2" s="705" t="s">
        <v>0</v>
      </c>
      <c r="CF2" s="705">
        <f>MATCH(CE2,Table!$A:$A,0)</f>
        <v>3</v>
      </c>
      <c r="CG2" s="716"/>
      <c r="CH2" s="711" t="s">
        <v>113</v>
      </c>
      <c r="CI2" s="712" t="s">
        <v>226</v>
      </c>
      <c r="CJ2" s="712" t="s">
        <v>227</v>
      </c>
      <c r="CK2" s="716" t="s">
        <v>228</v>
      </c>
      <c r="CL2" s="716" t="s">
        <v>229</v>
      </c>
      <c r="CM2" s="712" t="s">
        <v>246</v>
      </c>
      <c r="CN2" s="716" t="s">
        <v>247</v>
      </c>
    </row>
    <row r="3" spans="1:92" s="743" customFormat="1" x14ac:dyDescent="0.25">
      <c r="A3" s="703">
        <v>41977</v>
      </c>
      <c r="B3" s="709">
        <f ca="1">IF(ISERROR(MATCH(B$1,INDIRECT("Table!A"&amp;$BV3):INDIRECT("Table!" &amp; $CH$110 &amp; $BV3),0)),"",INDIRECT(CONCATENATE("Table!",ADDRESS($BR3,MATCH(B$1,INDIRECT("Table!A" &amp; $BV3):INDIRECT("Table!" &amp; $CH$110 &amp; $BV3),0)))))/1024</f>
        <v>53.064843750000001</v>
      </c>
      <c r="C3" s="709">
        <f ca="1">IF(ISERROR(MATCH(C$1,INDIRECT("Table!A"&amp;$BV3):INDIRECT("Table!" &amp; $CH$110 &amp; $BV3),0)),"",INDIRECT(CONCATENATE("Table!",ADDRESS($BR3,MATCH(C$1,INDIRECT("Table!A" &amp; $BV3):INDIRECT("Table!" &amp; $CH$110 &amp; $BV3),0)))))/1024</f>
        <v>85.063671874999997</v>
      </c>
      <c r="D3" s="709">
        <f ca="1">IF(ISERROR(MATCH(D$1,INDIRECT("Table!A"&amp;$BV3):INDIRECT("Table!" &amp; $CH$110 &amp; $BV3),0)),"",INDIRECT(CONCATENATE("Table!",ADDRESS($BR3,MATCH(D$1,INDIRECT("Table!A" &amp; $BV3):INDIRECT("Table!" &amp; $CH$110 &amp; $BV3),0)))))/1024</f>
        <v>84.816992187500006</v>
      </c>
      <c r="E3" s="709">
        <f ca="1">IF(ISERROR(MATCH(E$1,INDIRECT("Table!A"&amp;$BV3):INDIRECT("Table!" &amp; $CH$110 &amp; $BV3),0)),"",INDIRECT(CONCATENATE("Table!",ADDRESS($BR3,MATCH(E$1,INDIRECT("Table!A" &amp; $BV3):INDIRECT("Table!" &amp; $CH$110 &amp; $BV3),0)))))/1024</f>
        <v>100.27265625</v>
      </c>
      <c r="F3" s="709">
        <f ca="1">IF(ISERROR(MATCH(F$1,INDIRECT("Table!A"&amp;$BV3):INDIRECT("Table!" &amp; $CH$110 &amp; $BV3),0)),"",INDIRECT(CONCATENATE("Table!",ADDRESS($BR3,MATCH(F$1,INDIRECT("Table!A" &amp; $BV3):INDIRECT("Table!" &amp; $CH$110 &amp; $BV3),0)))))/1024</f>
        <v>117.889453125</v>
      </c>
      <c r="G3" s="709">
        <f ca="1">IF(ISERROR(MATCH(G$1,INDIRECT("Table!A"&amp;$BV3):INDIRECT("Table!" &amp; $CH$110 &amp; $BV3),0)),"",INDIRECT(CONCATENATE("Table!",ADDRESS($BR3,MATCH(G$1,INDIRECT("Table!A" &amp; $BV3):INDIRECT("Table!" &amp; $CH$110 &amp; $BV3),0)))))/1024</f>
        <v>206.58925781249999</v>
      </c>
      <c r="H3" s="709">
        <f ca="1">IF(ISERROR(MATCH(H$1,INDIRECT("Table!A"&amp;$BV3):INDIRECT("Table!" &amp; $CH$110 &amp; $BV3),0)),"",INDIRECT(CONCATENATE("Table!",ADDRESS($BR3,MATCH(H$1,INDIRECT("Table!A" &amp; $BV3):INDIRECT("Table!" &amp; $CH$110 &amp; $BV3),0)))))/1024</f>
        <v>96.041308593750003</v>
      </c>
      <c r="I3" s="709">
        <f ca="1">IF(ISERROR(MATCH(I$1,INDIRECT("Table!A"&amp;$BV3):INDIRECT("Table!" &amp; $CH$110 &amp; $BV3),0)),"",INDIRECT(CONCATENATE("Table!",ADDRESS($BR3,MATCH(I$1,INDIRECT("Table!A" &amp; $BV3):INDIRECT("Table!" &amp; $CH$110 &amp; $BV3),0)))))/1024</f>
        <v>26.97705078125</v>
      </c>
      <c r="J3" s="709">
        <f ca="1">IF(ISERROR(MATCH(J$1,INDIRECT("Table!A"&amp;$BV3):INDIRECT("Table!" &amp; $CH$110 &amp; $BV3),0)),"",INDIRECT(CONCATENATE("Table!",ADDRESS($BR3,MATCH(J$1,INDIRECT("Table!A" &amp; $BV3):INDIRECT("Table!" &amp; $CH$110 &amp; $BV3),0)))))/1024</f>
        <v>98.977832031250003</v>
      </c>
      <c r="K3" s="709">
        <f ca="1">IF(ISERROR(MATCH(K$1,INDIRECT("Table!A"&amp;$BV3):INDIRECT("Table!" &amp; $CH$110 &amp; $BV3),0)),"",INDIRECT(CONCATENATE("Table!",ADDRESS($BR3,MATCH(K$1,INDIRECT("Table!A" &amp; $BV3):INDIRECT("Table!" &amp; $CH$110 &amp; $BV3),0)))))/1024</f>
        <v>99.012988281250003</v>
      </c>
      <c r="L3" s="709">
        <f ca="1">IF(ISERROR(MATCH(L$1,INDIRECT("Table!A"&amp;$BV3):INDIRECT("Table!" &amp; $CH$110 &amp; $BV3),0)),"",INDIRECT(CONCATENATE("Table!",ADDRESS($BR3,MATCH(L$1,INDIRECT("Table!A" &amp; $BV3):INDIRECT("Table!" &amp; $CH$110 &amp; $BV3),0)))))/1024</f>
        <v>79.414257812499997</v>
      </c>
      <c r="M3" s="709">
        <f ca="1">IF(ISERROR(MATCH(M$1,INDIRECT("Table!A"&amp;$BV3):INDIRECT("Table!" &amp; $CH$110 &amp; $BV3),0)),"",INDIRECT(CONCATENATE("Table!",ADDRESS($BR3,MATCH(M$1,INDIRECT("Table!A" &amp; $BV3):INDIRECT("Table!" &amp; $CH$110 &amp; $BV3),0)))))/1024</f>
        <v>211.42988281250001</v>
      </c>
      <c r="N3" s="709">
        <f ca="1">IF(ISERROR(MATCH(N$1,INDIRECT("Table!A"&amp;$BV3):INDIRECT("Table!" &amp; $CH$110 &amp; $BV3),0)),"",INDIRECT(CONCATENATE("Table!",ADDRESS($BR3,MATCH(N$1,INDIRECT("Table!A" &amp; $BV3):INDIRECT("Table!" &amp; $CH$110 &amp; $BV3),0)))))/1024</f>
        <v>59.504589843749997</v>
      </c>
      <c r="O3" s="709">
        <f ca="1">IF(ISERROR(MATCH(O$1,INDIRECT("Table!A"&amp;$BV3):INDIRECT("Table!" &amp; $CH$110 &amp; $BV3),0)),"",INDIRECT(CONCATENATE("Table!",ADDRESS($BR3,MATCH(O$1,INDIRECT("Table!A" &amp; $BV3):INDIRECT("Table!" &amp; $CH$110 &amp; $BV3),0)))))/1024</f>
        <v>180.81523437499999</v>
      </c>
      <c r="P3" s="709">
        <f ca="1">IF(ISERROR(MATCH(P$1,INDIRECT("Table!A"&amp;$BV3):INDIRECT("Table!" &amp; $CH$110 &amp; $BV3),0)),"",INDIRECT(CONCATENATE("Table!",ADDRESS($BR3,MATCH(P$1,INDIRECT("Table!A" &amp; $BV3):INDIRECT("Table!" &amp; $CH$110 &amp; $BV3),0)))))/1024</f>
        <v>52.221093750000001</v>
      </c>
      <c r="Q3" s="709">
        <f ca="1">IF(ISERROR(MATCH(Q$1,INDIRECT("Table!A"&amp;$BV3):INDIRECT("Table!" &amp; $CH$110 &amp; $BV3),0)),"",INDIRECT(CONCATENATE("Table!",ADDRESS($BR3,MATCH(Q$1,INDIRECT("Table!A" &amp; $BV3):INDIRECT("Table!" &amp; $CH$110 &amp; $BV3),0)))))/1024</f>
        <v>148.29560546875001</v>
      </c>
      <c r="R3" s="709">
        <f ca="1">IF(ISERROR(MATCH(R$1,INDIRECT("Table!A"&amp;$BV3):INDIRECT("Table!" &amp; $CH$110 &amp; $BV3),0)),"",INDIRECT(CONCATENATE("Table!",ADDRESS($BR3,MATCH(R$1,INDIRECT("Table!A" &amp; $BV3):INDIRECT("Table!" &amp; $CH$110 &amp; $BV3),0)))))/1024</f>
        <v>153.36054687500001</v>
      </c>
      <c r="S3" s="709">
        <f ca="1">IF(ISERROR(MATCH(S$1,INDIRECT("Table!A"&amp;$BV3):INDIRECT("Table!" &amp; $CH$65 &amp; $BV3),0)),"",INDIRECT(CONCATENATE("Table!",ADDRESS($BR3,MATCH(S$1,INDIRECT("Table!A" &amp; $BV3):INDIRECT("Table!" &amp; $CH$65 &amp; $BV3),0)))))/1024</f>
        <v>39.545996093749999</v>
      </c>
      <c r="T3" s="709">
        <f ca="1">IF(ISERROR(MATCH(T$1,INDIRECT("Table!A"&amp;$BV3):INDIRECT("Table!" &amp; $CH$65 &amp; $BV3),0)),"",INDIRECT(CONCATENATE("Table!",ADDRESS($BR3,MATCH(T$1,INDIRECT("Table!A" &amp; $BV3):INDIRECT("Table!" &amp; $CH$65 &amp; $BV3),0)))))/1024</f>
        <v>13.953906249999999</v>
      </c>
      <c r="U3" s="709">
        <f ca="1">IF(ISERROR(MATCH(U$1,INDIRECT("Table!A"&amp;$BV3):INDIRECT("Table!" &amp; $CH$65 &amp; $BV3),0)),"",INDIRECT(CONCATENATE("Table!",ADDRESS($BR3,MATCH(U$1,INDIRECT("Table!A" &amp; $BV3):INDIRECT("Table!" &amp; $CH$65 &amp; $BV3),0)))))/1024</f>
        <v>15.748242187500001</v>
      </c>
      <c r="V3" s="709">
        <f ca="1">IF(ISERROR(MATCH(V$1,INDIRECT("Table!A"&amp;$BV3):INDIRECT("Table!" &amp; $CH$65 &amp; $BV3),0)),"",INDIRECT(CONCATENATE("Table!",ADDRESS($BR3,MATCH(V$1,INDIRECT("Table!A" &amp; $BV3):INDIRECT("Table!" &amp; $CH$65 &amp; $BV3),0)))))/1024</f>
        <v>31.484765625000001</v>
      </c>
      <c r="W3" s="709">
        <f ca="1">IF(ISERROR(MATCH(W$1,INDIRECT("Table!A"&amp;$BV3):INDIRECT("Table!" &amp; $CH$65 &amp; $BV3),0)),"",INDIRECT(CONCATENATE("Table!",ADDRESS($BR3,MATCH(W$1,INDIRECT("Table!A" &amp; $BV3):INDIRECT("Table!" &amp; $CH$65 &amp; $BV3),0)))))/1024</f>
        <v>43.378808593750001</v>
      </c>
      <c r="X3" s="709">
        <f ca="1">IF(ISERROR(MATCH(X$1,INDIRECT("Table!A"&amp;$BV3):INDIRECT("Table!" &amp; $CH$65 &amp; $BV3),0)),"",INDIRECT(CONCATENATE("Table!",ADDRESS($BR3,MATCH(X$1,INDIRECT("Table!A" &amp; $BV3):INDIRECT("Table!" &amp; $CH$65 &amp; $BV3),0)))))/1024</f>
        <v>85.900097656249997</v>
      </c>
      <c r="Y3" s="709">
        <f ca="1">IF(ISERROR(MATCH(Y$1,INDIRECT("Table!A"&amp;$BV3):INDIRECT("Table!" &amp; $CH$65 &amp; $BV3),0)),"",INDIRECT(CONCATENATE("Table!",ADDRESS($BR3,MATCH(Y$1,INDIRECT("Table!A" &amp; $BV3):INDIRECT("Table!" &amp; $CH$65 &amp; $BV3),0)))))/1024</f>
        <v>41.200781249999999</v>
      </c>
      <c r="Z3" s="709">
        <f ca="1">IF(ISERROR(MATCH(Z$1,INDIRECT("Table!A"&amp;$BV3):INDIRECT("Table!" &amp; $CH$65 &amp; $BV3),0)),"",INDIRECT(CONCATENATE("Table!",ADDRESS($BR3,MATCH(Z$1,INDIRECT("Table!A" &amp; $BV3):INDIRECT("Table!" &amp; $CH$65 &amp; $BV3),0)))))/1024</f>
        <v>75.140527343749994</v>
      </c>
      <c r="AA3" s="709">
        <f ca="1">IF(ISERROR(MATCH(AA$1,INDIRECT("Table!A"&amp;$BV3):INDIRECT("Table!" &amp; $CH$65 &amp; $BV3),0)),"",INDIRECT(CONCATENATE("Table!",ADDRESS($BR3,MATCH(AA$1,INDIRECT("Table!A" &amp; $BV3):INDIRECT("Table!" &amp; $CH$65 &amp; $BV3),0)))))/1024</f>
        <v>138.89414062500001</v>
      </c>
      <c r="AB3" s="709">
        <f ca="1">IF(ISERROR(MATCH(AB$1,INDIRECT("Table!A"&amp;$BV3):INDIRECT("Table!" &amp; $CH$65 &amp; $BV3),0)),"",INDIRECT(CONCATENATE("Table!",ADDRESS($BR3,MATCH(AB$1,INDIRECT("Table!A" &amp; $BV3):INDIRECT("Table!" &amp; $CH$65 &amp; $BV3),0)))))/1024</f>
        <v>4.7851562500000003E-3</v>
      </c>
      <c r="AC3" s="709">
        <f ca="1">IF(ISERROR(MATCH(AC$1,INDIRECT("Table!A"&amp;$BV3):INDIRECT("Table!" &amp; $CH$65 &amp; $BV3),0)),"",INDIRECT(CONCATENATE("Table!",ADDRESS($BR3,MATCH(AC$1,INDIRECT("Table!A" &amp; $BV3):INDIRECT("Table!" &amp; $CH$65 &amp; $BV3),0)))))/1024</f>
        <v>54.177050781250003</v>
      </c>
      <c r="AD3" s="709">
        <f ca="1">IF(ISERROR(MATCH(AD$1,INDIRECT("Table!A"&amp;$BV3):INDIRECT("Table!" &amp; $CH$65 &amp; $BV3),0)),"",INDIRECT(CONCATENATE("Table!",ADDRESS($BR3,MATCH(AD$1,INDIRECT("Table!A" &amp; $BV3):INDIRECT("Table!" &amp; $CH$65 &amp; $BV3),0)))))/1024</f>
        <v>80.001269531250003</v>
      </c>
      <c r="AE3" s="709">
        <f ca="1">IF(ISERROR(MATCH(AE$1,INDIRECT("Table!A"&amp;$BV3):INDIRECT("Table!" &amp; $CH$65 &amp; $BV3),0)),"",INDIRECT(CONCATENATE("Table!",ADDRESS($BR3,MATCH(AE$1,INDIRECT("Table!A" &amp; $BV3):INDIRECT("Table!" &amp; $CH$65 &amp; $BV3),0)))))/1024</f>
        <v>32.222851562499997</v>
      </c>
      <c r="AF3" s="709">
        <f ca="1">IF(ISERROR(MATCH(AF$1,INDIRECT("Table!A"&amp;$BV3):INDIRECT("Table!" &amp; $CH$65 &amp; $BV3),0)),"",INDIRECT(CONCATENATE("Table!",ADDRESS($BR3,MATCH(AF$1,INDIRECT("Table!A" &amp; $BV3):INDIRECT("Table!" &amp; $CH$65 &amp; $BV3),0)))))/1024</f>
        <v>32.196191406250001</v>
      </c>
      <c r="AG3" s="709">
        <f ca="1">IF(ISERROR(MATCH(AG$1,INDIRECT("Table!A"&amp;$BV3):INDIRECT("Table!" &amp; $CH$65 &amp; $BV3),0)),"",INDIRECT(CONCATENATE("Table!",ADDRESS($BR3,MATCH(AG$1,INDIRECT("Table!A" &amp; $BV3):INDIRECT("Table!" &amp; $CH$65 &amp; $BV3),0)))))/1024</f>
        <v>23.271093749999999</v>
      </c>
      <c r="AH3" s="709">
        <f ca="1">IF(ISERROR(MATCH(AH$1,INDIRECT("Table!A"&amp;$BV3):INDIRECT("Table!" &amp; $CH$65 &amp; $BV3),0)),"",INDIRECT(CONCATENATE("Table!",ADDRESS($BR3,MATCH(AH$1,INDIRECT("Table!A" &amp; $BV3):INDIRECT("Table!" &amp; $CH$65 &amp; $BV3),0)))))/1024</f>
        <v>4.7851562500000003E-3</v>
      </c>
      <c r="AI3" s="709" t="str">
        <f ca="1">IF(ISERROR(MATCH(AI$1,INDIRECT("Table!A"&amp;$BV3):INDIRECT("Table!" &amp; $CH$110 &amp; $BV3),0)),"",INDIRECT(CONCATENATE("Table!",ADDRESS($BR3,MATCH(AI$1,INDIRECT("Table!A" &amp; $BV3):INDIRECT("Table!" &amp; $CH$110 &amp; $BV3),0)))))</f>
        <v/>
      </c>
      <c r="AJ3" s="709">
        <f ca="1">IF(ISERROR(MATCH(AJ$1,INDIRECT("Table!A"&amp;$BV3):INDIRECT("Table!" &amp; $CH$110 &amp; $BV3),0)),"",INDIRECT(CONCATENATE("Table!",ADDRESS($BZ3,MATCH(AJ$1,INDIRECT("Table!A" &amp; $BV3):INDIRECT("Table!" &amp; $CH$110 &amp; $BV3),0)))))/1024</f>
        <v>244.15859374999999</v>
      </c>
      <c r="AK3" s="709">
        <f ca="1">IF(ISERROR(MATCH(AK$1,INDIRECT("Table!A"&amp;$BV3):INDIRECT("Table!" &amp; $CH$110 &amp; $BV3),0)),"",INDIRECT(CONCATENATE("Table!",ADDRESS($BZ3,MATCH(AK$1,INDIRECT("Table!A" &amp; $BV3):INDIRECT("Table!" &amp; $CH$110 &amp; $BV3),0)))))/1024</f>
        <v>146.98896484375001</v>
      </c>
      <c r="AL3" s="709">
        <f ca="1">IF(ISERROR(MATCH(AL$1,INDIRECT("Table!A"&amp;$BV3):INDIRECT("Table!" &amp; $CH$110 &amp; $BV3),0)),"",INDIRECT(CONCATENATE("Table!",ADDRESS($BZ3,MATCH(AL$1,INDIRECT("Table!A" &amp; $BV3):INDIRECT("Table!" &amp; $CH$110 &amp; $BV3),0)))))/1024</f>
        <v>146.98896484375001</v>
      </c>
      <c r="AM3" s="709">
        <f ca="1">IF(ISERROR(MATCH(AM$1,INDIRECT("Table!A"&amp;$BV3):INDIRECT("Table!" &amp; $CH$110 &amp; $BV3),0)),"",INDIRECT(CONCATENATE("Table!",ADDRESS($BZ3,MATCH(AM$1,INDIRECT("Table!A" &amp; $BV3):INDIRECT("Table!" &amp; $CH$110 &amp; $BV3),0)))))/1024</f>
        <v>177.73320312499999</v>
      </c>
      <c r="AN3" s="709">
        <f ca="1">IF(ISERROR(MATCH(AN$1,INDIRECT("Table!A"&amp;$BV3):INDIRECT("Table!" &amp; $CH$110 &amp; $BV3),0)),"",INDIRECT(CONCATENATE("Table!",ADDRESS($BZ3,MATCH(AN$1,INDIRECT("Table!A" &amp; $BV3):INDIRECT("Table!" &amp; $CH$110 &amp; $BV3),0)))))/1024</f>
        <v>161.88056640625001</v>
      </c>
      <c r="AO3" s="709">
        <f ca="1">IF(ISERROR(MATCH(AO$1,INDIRECT("Table!A"&amp;$BV3):INDIRECT("Table!" &amp; $CH$110 &amp; $BV3),0)),"",INDIRECT(CONCATENATE("Table!",ADDRESS($BZ3,MATCH(AO$1,INDIRECT("Table!A" &amp; $BV3):INDIRECT("Table!" &amp; $CH$110 &amp; $BV3),0)))))/1024</f>
        <v>380.3759765625</v>
      </c>
      <c r="AP3" s="709">
        <f ca="1">IF(ISERROR(MATCH(AP$1,INDIRECT("Table!A"&amp;$BV3):INDIRECT("Table!" &amp; $CH$110 &amp; $BV3),0)),"",INDIRECT(CONCATENATE("Table!",ADDRESS($BZ3,MATCH(AP$1,INDIRECT("Table!A" &amp; $BV3):INDIRECT("Table!" &amp; $CH$110 &amp; $BV3),0)))))/1024</f>
        <v>167.94482421875</v>
      </c>
      <c r="AQ3" s="709">
        <f ca="1">IF(ISERROR(MATCH(AQ$1,INDIRECT("Table!A"&amp;$BV3):INDIRECT("Table!" &amp; $CH$110 &amp; $BV3),0)),"",INDIRECT(CONCATENATE("Table!",ADDRESS($BZ3,MATCH(AQ$1,INDIRECT("Table!A" &amp; $BV3):INDIRECT("Table!" &amp; $CH$110 &amp; $BV3),0)))))/1024</f>
        <v>162.185546875</v>
      </c>
      <c r="AR3" s="709">
        <f ca="1">IF(ISERROR(MATCH(AR$1,INDIRECT("Table!A"&amp;$BV3):INDIRECT("Table!" &amp; $CH$110 &amp; $BV3),0)),"",INDIRECT(CONCATENATE("Table!",ADDRESS($BZ3,MATCH(AR$1,INDIRECT("Table!A" &amp; $BV3):INDIRECT("Table!" &amp; $CH$110 &amp; $BV3),0)))))/1024</f>
        <v>121.1125</v>
      </c>
      <c r="AS3" s="709">
        <f ca="1">IF(ISERROR(MATCH(AS$1,INDIRECT("Table!A"&amp;$BV3):INDIRECT("Table!" &amp; $CH$110 &amp; $BV3),0)),"",INDIRECT(CONCATENATE("Table!",ADDRESS($BZ3,MATCH(AS$1,INDIRECT("Table!A" &amp; $BV3):INDIRECT("Table!" &amp; $CH$110 &amp; $BV3),0)))))/1024</f>
        <v>218.81953125000001</v>
      </c>
      <c r="AT3" s="709">
        <f ca="1">IF(ISERROR(MATCH(AT$1,INDIRECT("Table!A"&amp;$BV3):INDIRECT("Table!" &amp; $CH$110 &amp; $BV3),0)),"",INDIRECT(CONCATENATE("Table!",ADDRESS($BZ3,MATCH(AT$1,INDIRECT("Table!A" &amp; $BV3):INDIRECT("Table!" &amp; $CH$110 &amp; $BV3),0)))))/1024</f>
        <v>188.50498046875001</v>
      </c>
      <c r="AU3" s="709">
        <f ca="1">IF(ISERROR(MATCH(AU$1,INDIRECT("Table!A"&amp;$BV3):INDIRECT("Table!" &amp; $CH$110 &amp; $BV3),0)),"",INDIRECT(CONCATENATE("Table!",ADDRESS($BZ3,MATCH(AU$1,INDIRECT("Table!A" &amp; $BV3):INDIRECT("Table!" &amp; $CH$110 &amp; $BV3),0)))))/1024</f>
        <v>427.94912109375002</v>
      </c>
      <c r="AV3" s="709">
        <f ca="1">IF(ISERROR(MATCH(AV$1,INDIRECT("Table!A"&amp;$BV3):INDIRECT("Table!" &amp; $CH$110 &amp; $BV3),0)),"",INDIRECT(CONCATENATE("Table!",ADDRESS($BZ3,MATCH(AV$1,INDIRECT("Table!A" &amp; $BV3):INDIRECT("Table!" &amp; $CH$110 &amp; $BV3),0)))))/1024</f>
        <v>81.092578125000003</v>
      </c>
      <c r="AW3" s="709">
        <f ca="1">IF(ISERROR(MATCH(AW$1,INDIRECT("Table!A"&amp;$BV3):INDIRECT("Table!" &amp; $CH$110 &amp; $BV3),0)),"",INDIRECT(CONCATENATE("Table!",ADDRESS($BZ3,MATCH(AW$1,INDIRECT("Table!A" &amp; $BV3):INDIRECT("Table!" &amp; $CH$110 &amp; $BV3),0)))))/1024</f>
        <v>269.65859375000002</v>
      </c>
      <c r="AX3" s="709">
        <f ca="1">IF(ISERROR(MATCH(AX$1,INDIRECT("Table!A"&amp;$BV3):INDIRECT("Table!" &amp; $CH$110 &amp; $BV3),0)),"",INDIRECT(CONCATENATE("Table!",ADDRESS($BZ3,MATCH(AX$1,INDIRECT("Table!A" &amp; $BV3):INDIRECT("Table!" &amp; $CH$110 &amp; $BV3),0)))))/1024</f>
        <v>81.092578125000003</v>
      </c>
      <c r="AY3" s="709">
        <f ca="1">IF(ISERROR(MATCH(AY$1,INDIRECT("Table!A"&amp;$BV3):INDIRECT("Table!" &amp; $CH$110 &amp; $BV3),0)),"",INDIRECT(CONCATENATE("Table!",ADDRESS($BZ3,MATCH(AY$1,INDIRECT("Table!A" &amp; $BV3):INDIRECT("Table!" &amp; $CH$110 &amp; $BV3),0)))))/1024</f>
        <v>187.12714843750001</v>
      </c>
      <c r="AZ3" s="709">
        <f ca="1">IF(ISERROR(MATCH(AZ$1,INDIRECT("Table!A"&amp;$BV3):INDIRECT("Table!" &amp; $CH$110 &amp; $BV3),0)),"",INDIRECT(CONCATENATE("Table!",ADDRESS($BZ3,MATCH(AZ$1,INDIRECT("Table!A" &amp; $BV3):INDIRECT("Table!" &amp; $CH$110 &amp; $BV3),0)))))/1024</f>
        <v>256.14150390625002</v>
      </c>
      <c r="BA3" s="709">
        <f ca="1">IF(ISERROR(MATCH(BA$1,INDIRECT("Table!A"&amp;$BV3):INDIRECT("Table!" &amp; $CH$110 &amp; $BV3),0)),"",INDIRECT(CONCATENATE("Table!",ADDRESS($BZ3,MATCH(BA$1,INDIRECT("Table!A" &amp; $BV3):INDIRECT("Table!" &amp; $CH$110 &amp; $BV3),0)))))/1024</f>
        <v>58.323925781249997</v>
      </c>
      <c r="BB3" s="709">
        <f ca="1">IF(ISERROR(MATCH(BB$1,INDIRECT("Table!A"&amp;$BV3):INDIRECT("Table!" &amp; $CH$110 &amp; $BV3),0)),"",INDIRECT(CONCATENATE("Table!",ADDRESS($BZ3,MATCH(BB$1,INDIRECT("Table!A" &amp; $BV3):INDIRECT("Table!" &amp; $CH$110 &amp; $BV3),0)))))/1024</f>
        <v>32.31494140625</v>
      </c>
      <c r="BC3" s="709">
        <f ca="1">IF(ISERROR(MATCH(BC$1,INDIRECT("Table!A"&amp;$BV3):INDIRECT("Table!" &amp; $CH$110 &amp; $BV3),0)),"",INDIRECT(CONCATENATE("Table!",ADDRESS($BZ3,MATCH(BC$1,INDIRECT("Table!A" &amp; $BV3):INDIRECT("Table!" &amp; $CH$110 &amp; $BV3),0)))))/1024</f>
        <v>99.80126953125</v>
      </c>
      <c r="BD3" s="709">
        <f ca="1">IF(ISERROR(MATCH(BD$1,INDIRECT("Table!A"&amp;$BV3):INDIRECT("Table!" &amp; $CH$110 &amp; $BV3),0)),"",INDIRECT(CONCATENATE("Table!",ADDRESS($BZ3,MATCH(BD$1,INDIRECT("Table!A" &amp; $BV3):INDIRECT("Table!" &amp; $CH$110 &amp; $BV3),0)))))/1024</f>
        <v>204.58642578125</v>
      </c>
      <c r="BE3" s="905">
        <f ca="1">IF(ISERROR(MATCH(BE$1,INDIRECT("Table!A"&amp;$BV3):INDIRECT("Table!" &amp; $CH$110 &amp; $BV3),0)),"",INDIRECT(CONCATENATE("Table!",ADDRESS($BZ3,MATCH(BE$1,INDIRECT("Table!A" &amp; $BV3):INDIRECT("Table!" &amp; $CH$110 &amp; $BV3),0)))))/1024</f>
        <v>99.80126953125</v>
      </c>
      <c r="BF3" s="905">
        <f ca="1">IF(ISERROR(MATCH(BF$1,INDIRECT("Table!A"&amp;$BV3):INDIRECT("Table!" &amp; $CH$110 &amp; $BV3),0)),"",INDIRECT(CONCATENATE("Table!",ADDRESS($BZ3,MATCH(BF$1,INDIRECT("Table!A" &amp; $BV3):INDIRECT("Table!" &amp; $CH$110 &amp; $BV3),0)))))/1024</f>
        <v>204.58642578125</v>
      </c>
      <c r="BG3" s="905">
        <f ca="1">IF(ISERROR(MATCH(BG$1,INDIRECT("Table!A"&amp;$BV3):INDIRECT("Table!" &amp; $CH$110 &amp; $BV3),0)),"",INDIRECT(CONCATENATE("Table!",ADDRESS($BZ3,MATCH(BG$1,INDIRECT("Table!A" &amp; $BV3):INDIRECT("Table!" &amp; $CH$110 &amp; $BV3),0)))))/1024</f>
        <v>99.80126953125</v>
      </c>
      <c r="BH3" s="905">
        <f ca="1">IF(ISERROR(MATCH(BH$1,INDIRECT("Table!A"&amp;$BV3):INDIRECT("Table!" &amp; $CH$110 &amp; $BV3),0)),"",INDIRECT(CONCATENATE("Table!",ADDRESS($BZ3,MATCH(BH$1,INDIRECT("Table!A" &amp; $BV3):INDIRECT("Table!" &amp; $CH$110 &amp; $BV3),0)))))/1024</f>
        <v>204.58642578125</v>
      </c>
      <c r="BI3" s="905">
        <f ca="1">IF(ISERROR(MATCH(BI$1,INDIRECT("Table!A"&amp;$BV3):INDIRECT("Table!" &amp; $CH$110 &amp; $BV3),0)),"",INDIRECT(CONCATENATE("Table!",ADDRESS($BZ3,MATCH(BI$1,INDIRECT("Table!A" &amp; $BV3):INDIRECT("Table!" &amp; $CH$110 &amp; $BV3),0)))))/1024</f>
        <v>320.99140625000001</v>
      </c>
      <c r="BJ3" s="905">
        <f ca="1">IF(ISERROR(MATCH(BJ$1,INDIRECT("Table!A"&amp;$BV3):INDIRECT("Table!" &amp; $CH$110 &amp; $BV3),0)),"",INDIRECT(CONCATENATE("Table!",ADDRESS($BZ3,MATCH(BJ$1,INDIRECT("Table!A" &amp; $BV3):INDIRECT("Table!" &amp; $CH$110 &amp; $BV3),0)))))/1024</f>
        <v>186.39765625000001</v>
      </c>
      <c r="BK3" s="905">
        <f ca="1">IF(ISERROR(MATCH(BK$1,INDIRECT("Table!A"&amp;$BV3):INDIRECT("Table!" &amp; $CH$110 &amp; $BV3),0)),"",INDIRECT(CONCATENATE("Table!",ADDRESS($BZ3,MATCH(BK$1,INDIRECT("Table!A" &amp; $BV3):INDIRECT("Table!" &amp; $CH$110 &amp; $BV3),0)))))/1024</f>
        <v>218.81953125000001</v>
      </c>
      <c r="BL3" s="905">
        <f ca="1">IF(ISERROR(MATCH(BL$1,INDIRECT("Table!A"&amp;$BV3):INDIRECT("Table!" &amp; $CH$110 &amp; $BV3),0)),"",INDIRECT(CONCATENATE("Table!",ADDRESS($BZ3,MATCH(BL$1,INDIRECT("Table!A" &amp; $BV3):INDIRECT("Table!" &amp; $CH$110 &amp; $BV3),0)))))/1024</f>
        <v>218.81953125000001</v>
      </c>
      <c r="BM3" s="905">
        <f ca="1">IF(ISERROR(MATCH(BM$1,INDIRECT("Table!A"&amp;$BV3):INDIRECT("Table!" &amp; $CH$110 &amp; $BV3),0)),"",INDIRECT(CONCATENATE("Table!",ADDRESS($BZ3,MATCH(BM$1,INDIRECT("Table!A" &amp; $BV3):INDIRECT("Table!" &amp; $CH$110 &amp; $BV3),0)))))/1024</f>
        <v>152.53330078125001</v>
      </c>
      <c r="BN3" s="905">
        <f ca="1">IF(ISERROR(MATCH(BN$1,INDIRECT("Table!A"&amp;$BV3):INDIRECT("Table!" &amp; $CH$110 &amp; $BV3),0)),"",INDIRECT(CONCATENATE("Table!",ADDRESS($BZ3,MATCH(BN$1,INDIRECT("Table!A" &amp; $BV3):INDIRECT("Table!" &amp; $CH$110 &amp; $BV3),0)))))/1024</f>
        <v>152.53330078125001</v>
      </c>
      <c r="BO3" s="905">
        <f ca="1">IF(ISERROR(MATCH(BO$1,INDIRECT("Table!A"&amp;$BV3):INDIRECT("Table!" &amp; $CH$110 &amp; $BV3),0)),"",INDIRECT(CONCATENATE("Table!",ADDRESS($BZ3,MATCH(BO$1,INDIRECT("Table!A" &amp; $BV3):INDIRECT("Table!" &amp; $CH$110 &amp; $BV3),0)))))/1024</f>
        <v>218.81953125000001</v>
      </c>
      <c r="BP3" s="905">
        <f ca="1">IF(ISERROR(MATCH(BP$1,INDIRECT("Table!A"&amp;$BV3):INDIRECT("Table!" &amp; $CH$110 &amp; $BV3),0)),"",INDIRECT(CONCATENATE("Table!",ADDRESS($BZ3,MATCH(BP$1,INDIRECT("Table!A" &amp; $BV3):INDIRECT("Table!" &amp; $CH$110 &amp; $BV3),0)))))/1024</f>
        <v>186.39765625000001</v>
      </c>
      <c r="BR3" s="704">
        <f>MATCH($A3,Table!$A:$A,0)+$BT$2-1</f>
        <v>5</v>
      </c>
      <c r="BS3" s="744"/>
      <c r="BT3" s="744"/>
      <c r="BU3" s="744"/>
      <c r="BV3" s="717">
        <f>MATCH($A3,Table!$A:$A,0)+$BX$2-1</f>
        <v>3</v>
      </c>
      <c r="BW3" s="744"/>
      <c r="BX3" s="744"/>
      <c r="BY3" s="744"/>
      <c r="BZ3" s="704">
        <f>MATCH($A3,Table!$A:$A,0)+$CB$2-1</f>
        <v>4</v>
      </c>
      <c r="CA3" s="744"/>
      <c r="CB3" s="744"/>
      <c r="CC3" s="744"/>
      <c r="CD3" s="717">
        <f>MATCH($A3,Table!$A:$A,0)+$BX$2-1</f>
        <v>3</v>
      </c>
      <c r="CE3" s="744"/>
      <c r="CF3" s="744"/>
      <c r="CG3" s="744"/>
      <c r="CH3" s="711" t="s">
        <v>302</v>
      </c>
      <c r="CI3" s="712">
        <f t="shared" ref="CI3:CI51" ca="1" si="0">SUM(AJ3:BP3)</f>
        <v>6078.8690429687504</v>
      </c>
      <c r="CJ3" s="712">
        <f t="shared" ref="CJ3:CJ20" ca="1" si="1">SUM(B3:AH3)</f>
        <v>2560.8725585937495</v>
      </c>
      <c r="CK3" s="712">
        <f t="shared" ref="CK3" ca="1" si="2">CI3-CJ3</f>
        <v>3517.9964843750008</v>
      </c>
      <c r="CL3" s="718">
        <f t="shared" ref="CL3" ca="1" si="3">CJ3/CI3</f>
        <v>0.4212745069012197</v>
      </c>
      <c r="CM3" s="712">
        <f ca="1">SUMIF('Alloc Feed'!A:I,A:A,'Alloc Feed'!I:I)</f>
        <v>4112.5520507812498</v>
      </c>
      <c r="CN3" s="718">
        <f t="shared" ref="CN3" ca="1" si="4">CM3/CI3</f>
        <v>0.6765324309031</v>
      </c>
    </row>
    <row r="4" spans="1:92" s="947" customFormat="1" x14ac:dyDescent="0.25">
      <c r="A4" s="703">
        <v>41970</v>
      </c>
      <c r="B4" s="709">
        <f ca="1">IF(ISERROR(MATCH(B$1,INDIRECT("Table!A"&amp;$BV4):INDIRECT("Table!" &amp; $CH$110 &amp; $BV4),0)),"",INDIRECT(CONCATENATE("Table!",ADDRESS($BR4,MATCH(B$1,INDIRECT("Table!A" &amp; $BV4):INDIRECT("Table!" &amp; $CH$110 &amp; $BV4),0)))))/1024</f>
        <v>53.039257812499997</v>
      </c>
      <c r="C4" s="709">
        <f ca="1">IF(ISERROR(MATCH(C$1,INDIRECT("Table!A"&amp;$BV4):INDIRECT("Table!" &amp; $CH$110 &amp; $BV4),0)),"",INDIRECT(CONCATENATE("Table!",ADDRESS($BR4,MATCH(C$1,INDIRECT("Table!A" &amp; $BV4):INDIRECT("Table!" &amp; $CH$110 &amp; $BV4),0)))))/1024</f>
        <v>85.063671874999997</v>
      </c>
      <c r="D4" s="709">
        <f ca="1">IF(ISERROR(MATCH(D$1,INDIRECT("Table!A"&amp;$BV4):INDIRECT("Table!" &amp; $CH$110 &amp; $BV4),0)),"",INDIRECT(CONCATENATE("Table!",ADDRESS($BR4,MATCH(D$1,INDIRECT("Table!A" &amp; $BV4):INDIRECT("Table!" &amp; $CH$110 &amp; $BV4),0)))))/1024</f>
        <v>84.81689453125</v>
      </c>
      <c r="E4" s="709">
        <f ca="1">IF(ISERROR(MATCH(E$1,INDIRECT("Table!A"&amp;$BV4):INDIRECT("Table!" &amp; $CH$110 &amp; $BV4),0)),"",INDIRECT(CONCATENATE("Table!",ADDRESS($BR4,MATCH(E$1,INDIRECT("Table!A" &amp; $BV4):INDIRECT("Table!" &amp; $CH$110 &amp; $BV4),0)))))/1024</f>
        <v>100.24736328125</v>
      </c>
      <c r="F4" s="709">
        <f ca="1">IF(ISERROR(MATCH(F$1,INDIRECT("Table!A"&amp;$BV4):INDIRECT("Table!" &amp; $CH$110 &amp; $BV4),0)),"",INDIRECT(CONCATENATE("Table!",ADDRESS($BR4,MATCH(F$1,INDIRECT("Table!A" &amp; $BV4):INDIRECT("Table!" &amp; $CH$110 &amp; $BV4),0)))))/1024</f>
        <v>117.74013671874999</v>
      </c>
      <c r="G4" s="709">
        <f ca="1">IF(ISERROR(MATCH(G$1,INDIRECT("Table!A"&amp;$BV4):INDIRECT("Table!" &amp; $CH$110 &amp; $BV4),0)),"",INDIRECT(CONCATENATE("Table!",ADDRESS($BR4,MATCH(G$1,INDIRECT("Table!A" &amp; $BV4):INDIRECT("Table!" &amp; $CH$110 &amp; $BV4),0)))))/1024</f>
        <v>206.15810546874999</v>
      </c>
      <c r="H4" s="709">
        <f ca="1">IF(ISERROR(MATCH(H$1,INDIRECT("Table!A"&amp;$BV4):INDIRECT("Table!" &amp; $CH$110 &amp; $BV4),0)),"",INDIRECT(CONCATENATE("Table!",ADDRESS($BR4,MATCH(H$1,INDIRECT("Table!A" &amp; $BV4):INDIRECT("Table!" &amp; $CH$110 &amp; $BV4),0)))))/1024</f>
        <v>95.91943359375</v>
      </c>
      <c r="I4" s="709">
        <f ca="1">IF(ISERROR(MATCH(I$1,INDIRECT("Table!A"&amp;$BV4):INDIRECT("Table!" &amp; $CH$110 &amp; $BV4),0)),"",INDIRECT(CONCATENATE("Table!",ADDRESS($BR4,MATCH(I$1,INDIRECT("Table!A" &amp; $BV4):INDIRECT("Table!" &amp; $CH$110 &amp; $BV4),0)))))/1024</f>
        <v>26.9462890625</v>
      </c>
      <c r="J4" s="709">
        <f ca="1">IF(ISERROR(MATCH(J$1,INDIRECT("Table!A"&amp;$BV4):INDIRECT("Table!" &amp; $CH$110 &amp; $BV4),0)),"",INDIRECT(CONCATENATE("Table!",ADDRESS($BR4,MATCH(J$1,INDIRECT("Table!A" &amp; $BV4):INDIRECT("Table!" &amp; $CH$110 &amp; $BV4),0)))))/1024</f>
        <v>98.448339843750006</v>
      </c>
      <c r="K4" s="709">
        <f ca="1">IF(ISERROR(MATCH(K$1,INDIRECT("Table!A"&amp;$BV4):INDIRECT("Table!" &amp; $CH$110 &amp; $BV4),0)),"",INDIRECT(CONCATENATE("Table!",ADDRESS($BR4,MATCH(K$1,INDIRECT("Table!A" &amp; $BV4):INDIRECT("Table!" &amp; $CH$110 &amp; $BV4),0)))))/1024</f>
        <v>98.691992187500006</v>
      </c>
      <c r="L4" s="709">
        <f ca="1">IF(ISERROR(MATCH(L$1,INDIRECT("Table!A"&amp;$BV4):INDIRECT("Table!" &amp; $CH$110 &amp; $BV4),0)),"",INDIRECT(CONCATENATE("Table!",ADDRESS($BR4,MATCH(L$1,INDIRECT("Table!A" &amp; $BV4):INDIRECT("Table!" &amp; $CH$110 &amp; $BV4),0)))))/1024</f>
        <v>79.238378906250006</v>
      </c>
      <c r="M4" s="709">
        <f ca="1">IF(ISERROR(MATCH(M$1,INDIRECT("Table!A"&amp;$BV4):INDIRECT("Table!" &amp; $CH$110 &amp; $BV4),0)),"",INDIRECT(CONCATENATE("Table!",ADDRESS($BR4,MATCH(M$1,INDIRECT("Table!A" &amp; $BV4):INDIRECT("Table!" &amp; $CH$110 &amp; $BV4),0)))))/1024</f>
        <v>210.75800781250001</v>
      </c>
      <c r="N4" s="709">
        <f ca="1">IF(ISERROR(MATCH(N$1,INDIRECT("Table!A"&amp;$BV4):INDIRECT("Table!" &amp; $CH$110 &amp; $BV4),0)),"",INDIRECT(CONCATENATE("Table!",ADDRESS($BR4,MATCH(N$1,INDIRECT("Table!A" &amp; $BV4):INDIRECT("Table!" &amp; $CH$110 &amp; $BV4),0)))))/1024</f>
        <v>59.454882812500003</v>
      </c>
      <c r="O4" s="709">
        <f ca="1">IF(ISERROR(MATCH(O$1,INDIRECT("Table!A"&amp;$BV4):INDIRECT("Table!" &amp; $CH$110 &amp; $BV4),0)),"",INDIRECT(CONCATENATE("Table!",ADDRESS($BR4,MATCH(O$1,INDIRECT("Table!A" &amp; $BV4):INDIRECT("Table!" &amp; $CH$110 &amp; $BV4),0)))))/1024</f>
        <v>180.59257812499999</v>
      </c>
      <c r="P4" s="709">
        <f ca="1">IF(ISERROR(MATCH(P$1,INDIRECT("Table!A"&amp;$BV4):INDIRECT("Table!" &amp; $CH$110 &amp; $BV4),0)),"",INDIRECT(CONCATENATE("Table!",ADDRESS($BR4,MATCH(P$1,INDIRECT("Table!A" &amp; $BV4):INDIRECT("Table!" &amp; $CH$110 &amp; $BV4),0)))))/1024</f>
        <v>52.15966796875</v>
      </c>
      <c r="Q4" s="709">
        <f ca="1">IF(ISERROR(MATCH(Q$1,INDIRECT("Table!A"&amp;$BV4):INDIRECT("Table!" &amp; $CH$110 &amp; $BV4),0)),"",INDIRECT(CONCATENATE("Table!",ADDRESS($BR4,MATCH(Q$1,INDIRECT("Table!A" &amp; $BV4):INDIRECT("Table!" &amp; $CH$110 &amp; $BV4),0)))))/1024</f>
        <v>147.74814453125001</v>
      </c>
      <c r="R4" s="709">
        <f ca="1">IF(ISERROR(MATCH(R$1,INDIRECT("Table!A"&amp;$BV4):INDIRECT("Table!" &amp; $CH$110 &amp; $BV4),0)),"",INDIRECT(CONCATENATE("Table!",ADDRESS($BR4,MATCH(R$1,INDIRECT("Table!A" &amp; $BV4):INDIRECT("Table!" &amp; $CH$110 &amp; $BV4),0)))))/1024</f>
        <v>152.81191406249999</v>
      </c>
      <c r="S4" s="709" t="e">
        <f ca="1">IF(ISERROR(MATCH(S$1,INDIRECT("Table!A"&amp;$BV4):INDIRECT("Table!" &amp; $CH$65 &amp; $BV4),0)),"",INDIRECT(CONCATENATE("Table!",ADDRESS($BR4,MATCH(S$1,INDIRECT("Table!A" &amp; $BV4):INDIRECT("Table!" &amp; $CH$65 &amp; $BV4),0)))))/1024</f>
        <v>#VALUE!</v>
      </c>
      <c r="T4" s="709">
        <f ca="1">IF(ISERROR(MATCH(T$1,INDIRECT("Table!A"&amp;$BV4):INDIRECT("Table!" &amp; $CH$65 &amp; $BV4),0)),"",INDIRECT(CONCATENATE("Table!",ADDRESS($BR4,MATCH(T$1,INDIRECT("Table!A" &amp; $BV4):INDIRECT("Table!" &amp; $CH$65 &amp; $BV4),0)))))/1024</f>
        <v>13.953906249999999</v>
      </c>
      <c r="U4" s="709">
        <f ca="1">IF(ISERROR(MATCH(U$1,INDIRECT("Table!A"&amp;$BV4):INDIRECT("Table!" &amp; $CH$65 &amp; $BV4),0)),"",INDIRECT(CONCATENATE("Table!",ADDRESS($BR4,MATCH(U$1,INDIRECT("Table!A" &amp; $BV4):INDIRECT("Table!" &amp; $CH$65 &amp; $BV4),0)))))/1024</f>
        <v>15.73720703125</v>
      </c>
      <c r="V4" s="709">
        <f ca="1">IF(ISERROR(MATCH(V$1,INDIRECT("Table!A"&amp;$BV4):INDIRECT("Table!" &amp; $CH$65 &amp; $BV4),0)),"",INDIRECT(CONCATENATE("Table!",ADDRESS($BR4,MATCH(V$1,INDIRECT("Table!A" &amp; $BV4):INDIRECT("Table!" &amp; $CH$65 &amp; $BV4),0)))))/1024</f>
        <v>31.462890625</v>
      </c>
      <c r="W4" s="709">
        <f ca="1">IF(ISERROR(MATCH(W$1,INDIRECT("Table!A"&amp;$BV4):INDIRECT("Table!" &amp; $CH$65 &amp; $BV4),0)),"",INDIRECT(CONCATENATE("Table!",ADDRESS($BR4,MATCH(W$1,INDIRECT("Table!A" &amp; $BV4):INDIRECT("Table!" &amp; $CH$65 &amp; $BV4),0)))))/1024</f>
        <v>42.61083984375</v>
      </c>
      <c r="X4" s="709">
        <f ca="1">IF(ISERROR(MATCH(X$1,INDIRECT("Table!A"&amp;$BV4):INDIRECT("Table!" &amp; $CH$65 &amp; $BV4),0)),"",INDIRECT(CONCATENATE("Table!",ADDRESS($BR4,MATCH(X$1,INDIRECT("Table!A" &amp; $BV4):INDIRECT("Table!" &amp; $CH$65 &amp; $BV4),0)))))/1024</f>
        <v>84.360449218750006</v>
      </c>
      <c r="Y4" s="709">
        <f ca="1">IF(ISERROR(MATCH(Y$1,INDIRECT("Table!A"&amp;$BV4):INDIRECT("Table!" &amp; $CH$65 &amp; $BV4),0)),"",INDIRECT(CONCATENATE("Table!",ADDRESS($BR4,MATCH(Y$1,INDIRECT("Table!A" &amp; $BV4):INDIRECT("Table!" &amp; $CH$65 &amp; $BV4),0)))))/1024</f>
        <v>40.418066406249999</v>
      </c>
      <c r="Z4" s="709">
        <f ca="1">IF(ISERROR(MATCH(Z$1,INDIRECT("Table!A"&amp;$BV4):INDIRECT("Table!" &amp; $CH$65 &amp; $BV4),0)),"",INDIRECT(CONCATENATE("Table!",ADDRESS($BR4,MATCH(Z$1,INDIRECT("Table!A" &amp; $BV4):INDIRECT("Table!" &amp; $CH$65 &amp; $BV4),0)))))/1024</f>
        <v>73.882226562499994</v>
      </c>
      <c r="AA4" s="709">
        <f ca="1">IF(ISERROR(MATCH(AA$1,INDIRECT("Table!A"&amp;$BV4):INDIRECT("Table!" &amp; $CH$65 &amp; $BV4),0)),"",INDIRECT(CONCATENATE("Table!",ADDRESS($BR4,MATCH(AA$1,INDIRECT("Table!A" &amp; $BV4):INDIRECT("Table!" &amp; $CH$65 &amp; $BV4),0)))))/1024</f>
        <v>138.30947265624999</v>
      </c>
      <c r="AB4" s="709">
        <f ca="1">IF(ISERROR(MATCH(AB$1,INDIRECT("Table!A"&amp;$BV4):INDIRECT("Table!" &amp; $CH$65 &amp; $BV4),0)),"",INDIRECT(CONCATENATE("Table!",ADDRESS($BR4,MATCH(AB$1,INDIRECT("Table!A" &amp; $BV4):INDIRECT("Table!" &amp; $CH$65 &amp; $BV4),0)))))/1024</f>
        <v>4.7851562500000003E-3</v>
      </c>
      <c r="AC4" s="709">
        <f ca="1">IF(ISERROR(MATCH(AC$1,INDIRECT("Table!A"&amp;$BV4):INDIRECT("Table!" &amp; $CH$65 &amp; $BV4),0)),"",INDIRECT(CONCATENATE("Table!",ADDRESS($BR4,MATCH(AC$1,INDIRECT("Table!A" &amp; $BV4):INDIRECT("Table!" &amp; $CH$65 &amp; $BV4),0)))))/1024</f>
        <v>53.50927734375</v>
      </c>
      <c r="AD4" s="709">
        <f ca="1">IF(ISERROR(MATCH(AD$1,INDIRECT("Table!A"&amp;$BV4):INDIRECT("Table!" &amp; $CH$65 &amp; $BV4),0)),"",INDIRECT(CONCATENATE("Table!",ADDRESS($BR4,MATCH(AD$1,INDIRECT("Table!A" &amp; $BV4):INDIRECT("Table!" &amp; $CH$65 &amp; $BV4),0)))))/1024</f>
        <v>78.495410156250003</v>
      </c>
      <c r="AE4" s="709">
        <f ca="1">IF(ISERROR(MATCH(AE$1,INDIRECT("Table!A"&amp;$BV4):INDIRECT("Table!" &amp; $CH$65 &amp; $BV4),0)),"",INDIRECT(CONCATENATE("Table!",ADDRESS($BR4,MATCH(AE$1,INDIRECT("Table!A" &amp; $BV4):INDIRECT("Table!" &amp; $CH$65 &amp; $BV4),0)))))/1024</f>
        <v>32.210644531249997</v>
      </c>
      <c r="AF4" s="709">
        <f ca="1">IF(ISERROR(MATCH(AF$1,INDIRECT("Table!A"&amp;$BV4):INDIRECT("Table!" &amp; $CH$65 &amp; $BV4),0)),"",INDIRECT(CONCATENATE("Table!",ADDRESS($BR4,MATCH(AF$1,INDIRECT("Table!A" &amp; $BV4):INDIRECT("Table!" &amp; $CH$65 &amp; $BV4),0)))))/1024</f>
        <v>32.18408203125</v>
      </c>
      <c r="AG4" s="709">
        <f ca="1">IF(ISERROR(MATCH(AG$1,INDIRECT("Table!A"&amp;$BV4):INDIRECT("Table!" &amp; $CH$65 &amp; $BV4),0)),"",INDIRECT(CONCATENATE("Table!",ADDRESS($BR4,MATCH(AG$1,INDIRECT("Table!A" &amp; $BV4):INDIRECT("Table!" &amp; $CH$65 &amp; $BV4),0)))))/1024</f>
        <v>21.452050781250001</v>
      </c>
      <c r="AH4" s="709">
        <f ca="1">IF(ISERROR(MATCH(AH$1,INDIRECT("Table!A"&amp;$BV4):INDIRECT("Table!" &amp; $CH$65 &amp; $BV4),0)),"",INDIRECT(CONCATENATE("Table!",ADDRESS($BR4,MATCH(AH$1,INDIRECT("Table!A" &amp; $BV4):INDIRECT("Table!" &amp; $CH$65 &amp; $BV4),0)))))/1024</f>
        <v>4.7851562500000003E-3</v>
      </c>
      <c r="AI4" s="709" t="str">
        <f ca="1">IF(ISERROR(MATCH(AI$1,INDIRECT("Table!A"&amp;$BV4):INDIRECT("Table!" &amp; $CH$110 &amp; $BV4),0)),"",INDIRECT(CONCATENATE("Table!",ADDRESS($BR4,MATCH(AI$1,INDIRECT("Table!A" &amp; $BV4):INDIRECT("Table!" &amp; $CH$110 &amp; $BV4),0)))))</f>
        <v/>
      </c>
      <c r="AJ4" s="709">
        <f ca="1">IF(ISERROR(MATCH(AJ$1,INDIRECT("Table!A"&amp;$BV4):INDIRECT("Table!" &amp; $CH$110 &amp; $BV4),0)),"",INDIRECT(CONCATENATE("Table!",ADDRESS($BZ4,MATCH(AJ$1,INDIRECT("Table!A" &amp; $BV4):INDIRECT("Table!" &amp; $CH$110 &amp; $BV4),0)))))/1024</f>
        <v>244.15859374999999</v>
      </c>
      <c r="AK4" s="709">
        <f ca="1">IF(ISERROR(MATCH(AK$1,INDIRECT("Table!A"&amp;$BV4):INDIRECT("Table!" &amp; $CH$110 &amp; $BV4),0)),"",INDIRECT(CONCATENATE("Table!",ADDRESS($BZ4,MATCH(AK$1,INDIRECT("Table!A" &amp; $BV4):INDIRECT("Table!" &amp; $CH$110 &amp; $BV4),0)))))/1024</f>
        <v>146.98896484375001</v>
      </c>
      <c r="AL4" s="709">
        <f ca="1">IF(ISERROR(MATCH(AL$1,INDIRECT("Table!A"&amp;$BV4):INDIRECT("Table!" &amp; $CH$110 &amp; $BV4),0)),"",INDIRECT(CONCATENATE("Table!",ADDRESS($BZ4,MATCH(AL$1,INDIRECT("Table!A" &amp; $BV4):INDIRECT("Table!" &amp; $CH$110 &amp; $BV4),0)))))/1024</f>
        <v>146.98896484375001</v>
      </c>
      <c r="AM4" s="709">
        <f ca="1">IF(ISERROR(MATCH(AM$1,INDIRECT("Table!A"&amp;$BV4):INDIRECT("Table!" &amp; $CH$110 &amp; $BV4),0)),"",INDIRECT(CONCATENATE("Table!",ADDRESS($BZ4,MATCH(AM$1,INDIRECT("Table!A" &amp; $BV4):INDIRECT("Table!" &amp; $CH$110 &amp; $BV4),0)))))/1024</f>
        <v>177.73320312499999</v>
      </c>
      <c r="AN4" s="709">
        <f ca="1">IF(ISERROR(MATCH(AN$1,INDIRECT("Table!A"&amp;$BV4):INDIRECT("Table!" &amp; $CH$110 &amp; $BV4),0)),"",INDIRECT(CONCATENATE("Table!",ADDRESS($BZ4,MATCH(AN$1,INDIRECT("Table!A" &amp; $BV4):INDIRECT("Table!" &amp; $CH$110 &amp; $BV4),0)))))/1024</f>
        <v>161.88056640625001</v>
      </c>
      <c r="AO4" s="709">
        <f ca="1">IF(ISERROR(MATCH(AO$1,INDIRECT("Table!A"&amp;$BV4):INDIRECT("Table!" &amp; $CH$110 &amp; $BV4),0)),"",INDIRECT(CONCATENATE("Table!",ADDRESS($BZ4,MATCH(AO$1,INDIRECT("Table!A" &amp; $BV4):INDIRECT("Table!" &amp; $CH$110 &amp; $BV4),0)))))/1024</f>
        <v>380.3759765625</v>
      </c>
      <c r="AP4" s="709">
        <f ca="1">IF(ISERROR(MATCH(AP$1,INDIRECT("Table!A"&amp;$BV4):INDIRECT("Table!" &amp; $CH$110 &amp; $BV4),0)),"",INDIRECT(CONCATENATE("Table!",ADDRESS($BZ4,MATCH(AP$1,INDIRECT("Table!A" &amp; $BV4):INDIRECT("Table!" &amp; $CH$110 &amp; $BV4),0)))))/1024</f>
        <v>167.94482421875</v>
      </c>
      <c r="AQ4" s="709">
        <f ca="1">IF(ISERROR(MATCH(AQ$1,INDIRECT("Table!A"&amp;$BV4):INDIRECT("Table!" &amp; $CH$110 &amp; $BV4),0)),"",INDIRECT(CONCATENATE("Table!",ADDRESS($BZ4,MATCH(AQ$1,INDIRECT("Table!A" &amp; $BV4):INDIRECT("Table!" &amp; $CH$110 &amp; $BV4),0)))))/1024</f>
        <v>162.185546875</v>
      </c>
      <c r="AR4" s="709">
        <f ca="1">IF(ISERROR(MATCH(AR$1,INDIRECT("Table!A"&amp;$BV4):INDIRECT("Table!" &amp; $CH$110 &amp; $BV4),0)),"",INDIRECT(CONCATENATE("Table!",ADDRESS($BZ4,MATCH(AR$1,INDIRECT("Table!A" &amp; $BV4):INDIRECT("Table!" &amp; $CH$110 &amp; $BV4),0)))))/1024</f>
        <v>121.1125</v>
      </c>
      <c r="AS4" s="709">
        <f ca="1">IF(ISERROR(MATCH(AS$1,INDIRECT("Table!A"&amp;$BV4):INDIRECT("Table!" &amp; $CH$110 &amp; $BV4),0)),"",INDIRECT(CONCATENATE("Table!",ADDRESS($BZ4,MATCH(AS$1,INDIRECT("Table!A" &amp; $BV4):INDIRECT("Table!" &amp; $CH$110 &amp; $BV4),0)))))/1024</f>
        <v>218.81953125000001</v>
      </c>
      <c r="AT4" s="709">
        <f ca="1">IF(ISERROR(MATCH(AT$1,INDIRECT("Table!A"&amp;$BV4):INDIRECT("Table!" &amp; $CH$110 &amp; $BV4),0)),"",INDIRECT(CONCATENATE("Table!",ADDRESS($BZ4,MATCH(AT$1,INDIRECT("Table!A" &amp; $BV4):INDIRECT("Table!" &amp; $CH$110 &amp; $BV4),0)))))/1024</f>
        <v>188.50498046875001</v>
      </c>
      <c r="AU4" s="709">
        <f ca="1">IF(ISERROR(MATCH(AU$1,INDIRECT("Table!A"&amp;$BV4):INDIRECT("Table!" &amp; $CH$110 &amp; $BV4),0)),"",INDIRECT(CONCATENATE("Table!",ADDRESS($BZ4,MATCH(AU$1,INDIRECT("Table!A" &amp; $BV4):INDIRECT("Table!" &amp; $CH$110 &amp; $BV4),0)))))/1024</f>
        <v>427.94912109375002</v>
      </c>
      <c r="AV4" s="709">
        <f ca="1">IF(ISERROR(MATCH(AV$1,INDIRECT("Table!A"&amp;$BV4):INDIRECT("Table!" &amp; $CH$110 &amp; $BV4),0)),"",INDIRECT(CONCATENATE("Table!",ADDRESS($BZ4,MATCH(AV$1,INDIRECT("Table!A" &amp; $BV4):INDIRECT("Table!" &amp; $CH$110 &amp; $BV4),0)))))/1024</f>
        <v>81.092578125000003</v>
      </c>
      <c r="AW4" s="709">
        <f ca="1">IF(ISERROR(MATCH(AW$1,INDIRECT("Table!A"&amp;$BV4):INDIRECT("Table!" &amp; $CH$110 &amp; $BV4),0)),"",INDIRECT(CONCATENATE("Table!",ADDRESS($BZ4,MATCH(AW$1,INDIRECT("Table!A" &amp; $BV4):INDIRECT("Table!" &amp; $CH$110 &amp; $BV4),0)))))/1024</f>
        <v>269.65859375000002</v>
      </c>
      <c r="AX4" s="709">
        <f ca="1">IF(ISERROR(MATCH(AX$1,INDIRECT("Table!A"&amp;$BV4):INDIRECT("Table!" &amp; $CH$110 &amp; $BV4),0)),"",INDIRECT(CONCATENATE("Table!",ADDRESS($BZ4,MATCH(AX$1,INDIRECT("Table!A" &amp; $BV4):INDIRECT("Table!" &amp; $CH$110 &amp; $BV4),0)))))/1024</f>
        <v>81.092578125000003</v>
      </c>
      <c r="AY4" s="709">
        <f ca="1">IF(ISERROR(MATCH(AY$1,INDIRECT("Table!A"&amp;$BV4):INDIRECT("Table!" &amp; $CH$110 &amp; $BV4),0)),"",INDIRECT(CONCATENATE("Table!",ADDRESS($BZ4,MATCH(AY$1,INDIRECT("Table!A" &amp; $BV4):INDIRECT("Table!" &amp; $CH$110 &amp; $BV4),0)))))/1024</f>
        <v>187.12714843750001</v>
      </c>
      <c r="AZ4" s="709">
        <f ca="1">IF(ISERROR(MATCH(AZ$1,INDIRECT("Table!A"&amp;$BV4):INDIRECT("Table!" &amp; $CH$110 &amp; $BV4),0)),"",INDIRECT(CONCATENATE("Table!",ADDRESS($BZ4,MATCH(AZ$1,INDIRECT("Table!A" &amp; $BV4):INDIRECT("Table!" &amp; $CH$110 &amp; $BV4),0)))))/1024</f>
        <v>256.14150390625002</v>
      </c>
      <c r="BA4" s="709" t="e">
        <f ca="1">IF(ISERROR(MATCH(BA$1,INDIRECT("Table!A"&amp;$BV4):INDIRECT("Table!" &amp; $CH$110 &amp; $BV4),0)),"",INDIRECT(CONCATENATE("Table!",ADDRESS($BZ4,MATCH(BA$1,INDIRECT("Table!A" &amp; $BV4):INDIRECT("Table!" &amp; $CH$110 &amp; $BV4),0)))))/1024</f>
        <v>#VALUE!</v>
      </c>
      <c r="BB4" s="709">
        <f ca="1">IF(ISERROR(MATCH(BB$1,INDIRECT("Table!A"&amp;$BV4):INDIRECT("Table!" &amp; $CH$110 &amp; $BV4),0)),"",INDIRECT(CONCATENATE("Table!",ADDRESS($BZ4,MATCH(BB$1,INDIRECT("Table!A" &amp; $BV4):INDIRECT("Table!" &amp; $CH$110 &amp; $BV4),0)))))/1024</f>
        <v>32.31494140625</v>
      </c>
      <c r="BC4" s="709">
        <f ca="1">IF(ISERROR(MATCH(BC$1,INDIRECT("Table!A"&amp;$BV4):INDIRECT("Table!" &amp; $CH$110 &amp; $BV4),0)),"",INDIRECT(CONCATENATE("Table!",ADDRESS($BZ4,MATCH(BC$1,INDIRECT("Table!A" &amp; $BV4):INDIRECT("Table!" &amp; $CH$110 &amp; $BV4),0)))))/1024</f>
        <v>99.80126953125</v>
      </c>
      <c r="BD4" s="709">
        <f ca="1">IF(ISERROR(MATCH(BD$1,INDIRECT("Table!A"&amp;$BV4):INDIRECT("Table!" &amp; $CH$110 &amp; $BV4),0)),"",INDIRECT(CONCATENATE("Table!",ADDRESS($BZ4,MATCH(BD$1,INDIRECT("Table!A" &amp; $BV4):INDIRECT("Table!" &amp; $CH$110 &amp; $BV4),0)))))/1024</f>
        <v>204.58642578125</v>
      </c>
      <c r="BE4" s="905">
        <f ca="1">IF(ISERROR(MATCH(BE$1,INDIRECT("Table!A"&amp;$BV4):INDIRECT("Table!" &amp; $CH$110 &amp; $BV4),0)),"",INDIRECT(CONCATENATE("Table!",ADDRESS($BZ4,MATCH(BE$1,INDIRECT("Table!A" &amp; $BV4):INDIRECT("Table!" &amp; $CH$110 &amp; $BV4),0)))))/1024</f>
        <v>99.80126953125</v>
      </c>
      <c r="BF4" s="905">
        <f ca="1">IF(ISERROR(MATCH(BF$1,INDIRECT("Table!A"&amp;$BV4):INDIRECT("Table!" &amp; $CH$110 &amp; $BV4),0)),"",INDIRECT(CONCATENATE("Table!",ADDRESS($BZ4,MATCH(BF$1,INDIRECT("Table!A" &amp; $BV4):INDIRECT("Table!" &amp; $CH$110 &amp; $BV4),0)))))/1024</f>
        <v>204.58642578125</v>
      </c>
      <c r="BG4" s="905">
        <f ca="1">IF(ISERROR(MATCH(BG$1,INDIRECT("Table!A"&amp;$BV4):INDIRECT("Table!" &amp; $CH$110 &amp; $BV4),0)),"",INDIRECT(CONCATENATE("Table!",ADDRESS($BZ4,MATCH(BG$1,INDIRECT("Table!A" &amp; $BV4):INDIRECT("Table!" &amp; $CH$110 &amp; $BV4),0)))))/1024</f>
        <v>99.80126953125</v>
      </c>
      <c r="BH4" s="905">
        <f ca="1">IF(ISERROR(MATCH(BH$1,INDIRECT("Table!A"&amp;$BV4):INDIRECT("Table!" &amp; $CH$110 &amp; $BV4),0)),"",INDIRECT(CONCATENATE("Table!",ADDRESS($BZ4,MATCH(BH$1,INDIRECT("Table!A" &amp; $BV4):INDIRECT("Table!" &amp; $CH$110 &amp; $BV4),0)))))/1024</f>
        <v>204.58642578125</v>
      </c>
      <c r="BI4" s="905">
        <f ca="1">IF(ISERROR(MATCH(BI$1,INDIRECT("Table!A"&amp;$BV4):INDIRECT("Table!" &amp; $CH$110 &amp; $BV4),0)),"",INDIRECT(CONCATENATE("Table!",ADDRESS($BZ4,MATCH(BI$1,INDIRECT("Table!A" &amp; $BV4):INDIRECT("Table!" &amp; $CH$110 &amp; $BV4),0)))))/1024</f>
        <v>320.99140625000001</v>
      </c>
      <c r="BJ4" s="905">
        <f ca="1">IF(ISERROR(MATCH(BJ$1,INDIRECT("Table!A"&amp;$BV4):INDIRECT("Table!" &amp; $CH$110 &amp; $BV4),0)),"",INDIRECT(CONCATENATE("Table!",ADDRESS($BZ4,MATCH(BJ$1,INDIRECT("Table!A" &amp; $BV4):INDIRECT("Table!" &amp; $CH$110 &amp; $BV4),0)))))/1024</f>
        <v>186.39765625000001</v>
      </c>
      <c r="BK4" s="905">
        <f ca="1">IF(ISERROR(MATCH(BK$1,INDIRECT("Table!A"&amp;$BV4):INDIRECT("Table!" &amp; $CH$110 &amp; $BV4),0)),"",INDIRECT(CONCATENATE("Table!",ADDRESS($BZ4,MATCH(BK$1,INDIRECT("Table!A" &amp; $BV4):INDIRECT("Table!" &amp; $CH$110 &amp; $BV4),0)))))/1024</f>
        <v>218.81953125000001</v>
      </c>
      <c r="BL4" s="905">
        <f ca="1">IF(ISERROR(MATCH(BL$1,INDIRECT("Table!A"&amp;$BV4):INDIRECT("Table!" &amp; $CH$110 &amp; $BV4),0)),"",INDIRECT(CONCATENATE("Table!",ADDRESS($BZ4,MATCH(BL$1,INDIRECT("Table!A" &amp; $BV4):INDIRECT("Table!" &amp; $CH$110 &amp; $BV4),0)))))/1024</f>
        <v>218.81953125000001</v>
      </c>
      <c r="BM4" s="905">
        <f ca="1">IF(ISERROR(MATCH(BM$1,INDIRECT("Table!A"&amp;$BV4):INDIRECT("Table!" &amp; $CH$110 &amp; $BV4),0)),"",INDIRECT(CONCATENATE("Table!",ADDRESS($BZ4,MATCH(BM$1,INDIRECT("Table!A" &amp; $BV4):INDIRECT("Table!" &amp; $CH$110 &amp; $BV4),0)))))/1024</f>
        <v>152.53330078125001</v>
      </c>
      <c r="BN4" s="905">
        <f ca="1">IF(ISERROR(MATCH(BN$1,INDIRECT("Table!A"&amp;$BV4):INDIRECT("Table!" &amp; $CH$110 &amp; $BV4),0)),"",INDIRECT(CONCATENATE("Table!",ADDRESS($BZ4,MATCH(BN$1,INDIRECT("Table!A" &amp; $BV4):INDIRECT("Table!" &amp; $CH$110 &amp; $BV4),0)))))/1024</f>
        <v>152.53330078125001</v>
      </c>
      <c r="BO4" s="905">
        <f ca="1">IF(ISERROR(MATCH(BO$1,INDIRECT("Table!A"&amp;$BV4):INDIRECT("Table!" &amp; $CH$110 &amp; $BV4),0)),"",INDIRECT(CONCATENATE("Table!",ADDRESS($BZ4,MATCH(BO$1,INDIRECT("Table!A" &amp; $BV4):INDIRECT("Table!" &amp; $CH$110 &amp; $BV4),0)))))/1024</f>
        <v>218.81953125000001</v>
      </c>
      <c r="BP4" s="905">
        <f ca="1">IF(ISERROR(MATCH(BP$1,INDIRECT("Table!A"&amp;$BV4):INDIRECT("Table!" &amp; $CH$110 &amp; $BV4),0)),"",INDIRECT(CONCATENATE("Table!",ADDRESS($BZ4,MATCH(BP$1,INDIRECT("Table!A" &amp; $BV4):INDIRECT("Table!" &amp; $CH$110 &amp; $BV4),0)))))/1024</f>
        <v>186.39765625000001</v>
      </c>
      <c r="BR4" s="704">
        <f>MATCH($A4,Table!$A:$A,0)+$BT$2-1</f>
        <v>19</v>
      </c>
      <c r="BS4" s="744"/>
      <c r="BT4" s="744"/>
      <c r="BU4" s="744"/>
      <c r="BV4" s="717">
        <f>MATCH($A4,Table!$A:$A,0)+$BX$2-1</f>
        <v>17</v>
      </c>
      <c r="BW4" s="744"/>
      <c r="BX4" s="744"/>
      <c r="BY4" s="744"/>
      <c r="BZ4" s="704">
        <f>MATCH($A4,Table!$A:$A,0)+$CB$2-1</f>
        <v>18</v>
      </c>
      <c r="CA4" s="744"/>
      <c r="CB4" s="744"/>
      <c r="CC4" s="744"/>
      <c r="CD4" s="717">
        <f>MATCH($A4,Table!$A:$A,0)+$BX$2-1</f>
        <v>17</v>
      </c>
      <c r="CE4" s="744"/>
      <c r="CF4" s="744"/>
      <c r="CG4" s="744"/>
      <c r="CH4" s="711" t="s">
        <v>302</v>
      </c>
      <c r="CI4" s="712" t="e">
        <f t="shared" ref="CI4" ca="1" si="5">SUM(AJ4:BP4)</f>
        <v>#VALUE!</v>
      </c>
      <c r="CJ4" s="712" t="e">
        <f t="shared" ref="CJ4" ca="1" si="6">SUM(B4:AH4)</f>
        <v>#VALUE!</v>
      </c>
      <c r="CK4" s="712" t="e">
        <f t="shared" ref="CK4" ca="1" si="7">CI4-CJ4</f>
        <v>#VALUE!</v>
      </c>
      <c r="CL4" s="718" t="e">
        <f t="shared" ref="CL4" ca="1" si="8">CJ4/CI4</f>
        <v>#VALUE!</v>
      </c>
      <c r="CM4" s="712" t="e">
        <f ca="1">SUMIF('Alloc Feed'!A:I,A:A,'Alloc Feed'!I:I)</f>
        <v>#VALUE!</v>
      </c>
      <c r="CN4" s="718" t="e">
        <f t="shared" ref="CN4" ca="1" si="9">CM4/CI4</f>
        <v>#VALUE!</v>
      </c>
    </row>
    <row r="5" spans="1:92" s="947" customFormat="1" x14ac:dyDescent="0.25">
      <c r="A5" s="703">
        <v>41963</v>
      </c>
      <c r="B5" s="709">
        <f ca="1">IF(ISERROR(MATCH(B$1,INDIRECT("Table!A"&amp;$BV5):INDIRECT("Table!" &amp; $CH$110 &amp; $BV5),0)),"",INDIRECT(CONCATENATE("Table!",ADDRESS($BR5,MATCH(B$1,INDIRECT("Table!A" &amp; $BV5):INDIRECT("Table!" &amp; $CH$110 &amp; $BV5),0)))))/1024</f>
        <v>52.99072265625</v>
      </c>
      <c r="C5" s="709">
        <f ca="1">IF(ISERROR(MATCH(C$1,INDIRECT("Table!A"&amp;$BV5):INDIRECT("Table!" &amp; $CH$110 &amp; $BV5),0)),"",INDIRECT(CONCATENATE("Table!",ADDRESS($BR5,MATCH(C$1,INDIRECT("Table!A" &amp; $BV5):INDIRECT("Table!" &amp; $CH$110 &amp; $BV5),0)))))/1024</f>
        <v>85.063671874999997</v>
      </c>
      <c r="D5" s="709">
        <f ca="1">IF(ISERROR(MATCH(D$1,INDIRECT("Table!A"&amp;$BV5):INDIRECT("Table!" &amp; $CH$110 &amp; $BV5),0)),"",INDIRECT(CONCATENATE("Table!",ADDRESS($BR5,MATCH(D$1,INDIRECT("Table!A" &amp; $BV5):INDIRECT("Table!" &amp; $CH$110 &amp; $BV5),0)))))/1024</f>
        <v>84.81689453125</v>
      </c>
      <c r="E5" s="709">
        <f ca="1">IF(ISERROR(MATCH(E$1,INDIRECT("Table!A"&amp;$BV5):INDIRECT("Table!" &amp; $CH$110 &amp; $BV5),0)),"",INDIRECT(CONCATENATE("Table!",ADDRESS($BR5,MATCH(E$1,INDIRECT("Table!A" &amp; $BV5):INDIRECT("Table!" &amp; $CH$110 &amp; $BV5),0)))))/1024</f>
        <v>100.22275390625001</v>
      </c>
      <c r="F5" s="709">
        <f ca="1">IF(ISERROR(MATCH(F$1,INDIRECT("Table!A"&amp;$BV5):INDIRECT("Table!" &amp; $CH$110 &amp; $BV5),0)),"",INDIRECT(CONCATENATE("Table!",ADDRESS($BR5,MATCH(F$1,INDIRECT("Table!A" &amp; $BV5):INDIRECT("Table!" &amp; $CH$110 &amp; $BV5),0)))))/1024</f>
        <v>117.6427734375</v>
      </c>
      <c r="G5" s="709">
        <f ca="1">IF(ISERROR(MATCH(G$1,INDIRECT("Table!A"&amp;$BV5):INDIRECT("Table!" &amp; $CH$110 &amp; $BV5),0)),"",INDIRECT(CONCATENATE("Table!",ADDRESS($BR5,MATCH(G$1,INDIRECT("Table!A" &amp; $BV5):INDIRECT("Table!" &amp; $CH$110 &amp; $BV5),0)))))/1024</f>
        <v>205.38115234374999</v>
      </c>
      <c r="H5" s="709">
        <f ca="1">IF(ISERROR(MATCH(H$1,INDIRECT("Table!A"&amp;$BV5):INDIRECT("Table!" &amp; $CH$110 &amp; $BV5),0)),"",INDIRECT(CONCATENATE("Table!",ADDRESS($BR5,MATCH(H$1,INDIRECT("Table!A" &amp; $BV5):INDIRECT("Table!" &amp; $CH$110 &amp; $BV5),0)))))/1024</f>
        <v>95.762402343749997</v>
      </c>
      <c r="I5" s="709">
        <f ca="1">IF(ISERROR(MATCH(I$1,INDIRECT("Table!A"&amp;$BV5):INDIRECT("Table!" &amp; $CH$110 &amp; $BV5),0)),"",INDIRECT(CONCATENATE("Table!",ADDRESS($BR5,MATCH(I$1,INDIRECT("Table!A" &amp; $BV5):INDIRECT("Table!" &amp; $CH$110 &amp; $BV5),0)))))/1024</f>
        <v>26.918066406249999</v>
      </c>
      <c r="J5" s="709">
        <f ca="1">IF(ISERROR(MATCH(J$1,INDIRECT("Table!A"&amp;$BV5):INDIRECT("Table!" &amp; $CH$110 &amp; $BV5),0)),"",INDIRECT(CONCATENATE("Table!",ADDRESS($BR5,MATCH(J$1,INDIRECT("Table!A" &amp; $BV5):INDIRECT("Table!" &amp; $CH$110 &amp; $BV5),0)))))/1024</f>
        <v>101.42041015625</v>
      </c>
      <c r="K5" s="709">
        <f ca="1">IF(ISERROR(MATCH(K$1,INDIRECT("Table!A"&amp;$BV5):INDIRECT("Table!" &amp; $CH$110 &amp; $BV5),0)),"",INDIRECT(CONCATENATE("Table!",ADDRESS($BR5,MATCH(K$1,INDIRECT("Table!A" &amp; $BV5):INDIRECT("Table!" &amp; $CH$110 &amp; $BV5),0)))))/1024</f>
        <v>98.485156250000003</v>
      </c>
      <c r="L5" s="709">
        <f ca="1">IF(ISERROR(MATCH(L$1,INDIRECT("Table!A"&amp;$BV5):INDIRECT("Table!" &amp; $CH$110 &amp; $BV5),0)),"",INDIRECT(CONCATENATE("Table!",ADDRESS($BR5,MATCH(L$1,INDIRECT("Table!A" &amp; $BV5):INDIRECT("Table!" &amp; $CH$110 &amp; $BV5),0)))))/1024</f>
        <v>79.207226562499997</v>
      </c>
      <c r="M5" s="709">
        <f ca="1">IF(ISERROR(MATCH(M$1,INDIRECT("Table!A"&amp;$BV5):INDIRECT("Table!" &amp; $CH$110 &amp; $BV5),0)),"",INDIRECT(CONCATENATE("Table!",ADDRESS($BR5,MATCH(M$1,INDIRECT("Table!A" &amp; $BV5):INDIRECT("Table!" &amp; $CH$110 &amp; $BV5),0)))))/1024</f>
        <v>214.19003906250001</v>
      </c>
      <c r="N5" s="709">
        <f ca="1">IF(ISERROR(MATCH(N$1,INDIRECT("Table!A"&amp;$BV5):INDIRECT("Table!" &amp; $CH$110 &amp; $BV5),0)),"",INDIRECT(CONCATENATE("Table!",ADDRESS($BR5,MATCH(N$1,INDIRECT("Table!A" &amp; $BV5):INDIRECT("Table!" &amp; $CH$110 &amp; $BV5),0)))))/1024</f>
        <v>59.422753906250001</v>
      </c>
      <c r="O5" s="709">
        <f ca="1">IF(ISERROR(MATCH(O$1,INDIRECT("Table!A"&amp;$BV5):INDIRECT("Table!" &amp; $CH$110 &amp; $BV5),0)),"",INDIRECT(CONCATENATE("Table!",ADDRESS($BR5,MATCH(O$1,INDIRECT("Table!A" &amp; $BV5):INDIRECT("Table!" &amp; $CH$110 &amp; $BV5),0)))))/1024</f>
        <v>180.30048828125001</v>
      </c>
      <c r="P5" s="709">
        <f ca="1">IF(ISERROR(MATCH(P$1,INDIRECT("Table!A"&amp;$BV5):INDIRECT("Table!" &amp; $CH$110 &amp; $BV5),0)),"",INDIRECT(CONCATENATE("Table!",ADDRESS($BR5,MATCH(P$1,INDIRECT("Table!A" &amp; $BV5):INDIRECT("Table!" &amp; $CH$110 &amp; $BV5),0)))))/1024</f>
        <v>52.103124999999999</v>
      </c>
      <c r="Q5" s="709">
        <f ca="1">IF(ISERROR(MATCH(Q$1,INDIRECT("Table!A"&amp;$BV5):INDIRECT("Table!" &amp; $CH$110 &amp; $BV5),0)),"",INDIRECT(CONCATENATE("Table!",ADDRESS($BR5,MATCH(Q$1,INDIRECT("Table!A" &amp; $BV5):INDIRECT("Table!" &amp; $CH$110 &amp; $BV5),0)))))/1024</f>
        <v>153.96689453125001</v>
      </c>
      <c r="R5" s="709">
        <f ca="1">IF(ISERROR(MATCH(R$1,INDIRECT("Table!A"&amp;$BV5):INDIRECT("Table!" &amp; $CH$110 &amp; $BV5),0)),"",INDIRECT(CONCATENATE("Table!",ADDRESS($BR5,MATCH(R$1,INDIRECT("Table!A" &amp; $BV5):INDIRECT("Table!" &amp; $CH$110 &amp; $BV5),0)))))/1024</f>
        <v>183.5966796875</v>
      </c>
      <c r="S5" s="709">
        <f ca="1">IF(ISERROR(MATCH(S$1,INDIRECT("Table!A"&amp;$BV5):INDIRECT("Table!" &amp; $CH$65 &amp; $BV5),0)),"",INDIRECT(CONCATENATE("Table!",ADDRESS($BR5,MATCH(S$1,INDIRECT("Table!A" &amp; $BV5):INDIRECT("Table!" &amp; $CH$65 &amp; $BV5),0)))))/1024</f>
        <v>39.545996093749999</v>
      </c>
      <c r="T5" s="709">
        <f ca="1">IF(ISERROR(MATCH(T$1,INDIRECT("Table!A"&amp;$BV5):INDIRECT("Table!" &amp; $CH$65 &amp; $BV5),0)),"",INDIRECT(CONCATENATE("Table!",ADDRESS($BR5,MATCH(T$1,INDIRECT("Table!A" &amp; $BV5):INDIRECT("Table!" &amp; $CH$65 &amp; $BV5),0)))))/1024</f>
        <v>13.953906249999999</v>
      </c>
      <c r="U5" s="709">
        <f ca="1">IF(ISERROR(MATCH(U$1,INDIRECT("Table!A"&amp;$BV5):INDIRECT("Table!" &amp; $CH$65 &amp; $BV5),0)),"",INDIRECT(CONCATENATE("Table!",ADDRESS($BR5,MATCH(U$1,INDIRECT("Table!A" &amp; $BV5):INDIRECT("Table!" &amp; $CH$65 &amp; $BV5),0)))))/1024</f>
        <v>15.734179687499999</v>
      </c>
      <c r="V5" s="709">
        <f ca="1">IF(ISERROR(MATCH(V$1,INDIRECT("Table!A"&amp;$BV5):INDIRECT("Table!" &amp; $CH$65 &amp; $BV5),0)),"",INDIRECT(CONCATENATE("Table!",ADDRESS($BR5,MATCH(V$1,INDIRECT("Table!A" &amp; $BV5):INDIRECT("Table!" &amp; $CH$65 &amp; $BV5),0)))))/1024</f>
        <v>31.456835937499999</v>
      </c>
      <c r="W5" s="709">
        <f ca="1">IF(ISERROR(MATCH(W$1,INDIRECT("Table!A"&amp;$BV5):INDIRECT("Table!" &amp; $CH$65 &amp; $BV5),0)),"",INDIRECT(CONCATENATE("Table!",ADDRESS($BR5,MATCH(W$1,INDIRECT("Table!A" &amp; $BV5):INDIRECT("Table!" &amp; $CH$65 &amp; $BV5),0)))))/1024</f>
        <v>41.588085937499997</v>
      </c>
      <c r="X5" s="709">
        <f ca="1">IF(ISERROR(MATCH(X$1,INDIRECT("Table!A"&amp;$BV5):INDIRECT("Table!" &amp; $CH$65 &amp; $BV5),0)),"",INDIRECT(CONCATENATE("Table!",ADDRESS($BR5,MATCH(X$1,INDIRECT("Table!A" &amp; $BV5):INDIRECT("Table!" &amp; $CH$65 &amp; $BV5),0)))))/1024</f>
        <v>82.309863281250003</v>
      </c>
      <c r="Y5" s="709">
        <f ca="1">IF(ISERROR(MATCH(Y$1,INDIRECT("Table!A"&amp;$BV5):INDIRECT("Table!" &amp; $CH$65 &amp; $BV5),0)),"",INDIRECT(CONCATENATE("Table!",ADDRESS($BR5,MATCH(Y$1,INDIRECT("Table!A" &amp; $BV5):INDIRECT("Table!" &amp; $CH$65 &amp; $BV5),0)))))/1024</f>
        <v>38.731250000000003</v>
      </c>
      <c r="Z5" s="709">
        <f ca="1">IF(ISERROR(MATCH(Z$1,INDIRECT("Table!A"&amp;$BV5):INDIRECT("Table!" &amp; $CH$65 &amp; $BV5),0)),"",INDIRECT(CONCATENATE("Table!",ADDRESS($BR5,MATCH(Z$1,INDIRECT("Table!A" &amp; $BV5):INDIRECT("Table!" &amp; $CH$65 &amp; $BV5),0)))))/1024</f>
        <v>70.53173828125</v>
      </c>
      <c r="AA5" s="709">
        <f ca="1">IF(ISERROR(MATCH(AA$1,INDIRECT("Table!A"&amp;$BV5):INDIRECT("Table!" &amp; $CH$65 &amp; $BV5),0)),"",INDIRECT(CONCATENATE("Table!",ADDRESS($BR5,MATCH(AA$1,INDIRECT("Table!A" &amp; $BV5):INDIRECT("Table!" &amp; $CH$65 &amp; $BV5),0)))))/1024</f>
        <v>136.50468749999999</v>
      </c>
      <c r="AB5" s="709">
        <f ca="1">IF(ISERROR(MATCH(AB$1,INDIRECT("Table!A"&amp;$BV5):INDIRECT("Table!" &amp; $CH$65 &amp; $BV5),0)),"",INDIRECT(CONCATENATE("Table!",ADDRESS($BR5,MATCH(AB$1,INDIRECT("Table!A" &amp; $BV5):INDIRECT("Table!" &amp; $CH$65 &amp; $BV5),0)))))/1024</f>
        <v>4.7851562500000003E-3</v>
      </c>
      <c r="AC5" s="709">
        <f ca="1">IF(ISERROR(MATCH(AC$1,INDIRECT("Table!A"&amp;$BV5):INDIRECT("Table!" &amp; $CH$65 &amp; $BV5),0)),"",INDIRECT(CONCATENATE("Table!",ADDRESS($BR5,MATCH(AC$1,INDIRECT("Table!A" &amp; $BV5):INDIRECT("Table!" &amp; $CH$65 &amp; $BV5),0)))))/1024</f>
        <v>47.276757812500001</v>
      </c>
      <c r="AD5" s="709">
        <f ca="1">IF(ISERROR(MATCH(AD$1,INDIRECT("Table!A"&amp;$BV5):INDIRECT("Table!" &amp; $CH$65 &amp; $BV5),0)),"",INDIRECT(CONCATENATE("Table!",ADDRESS($BR5,MATCH(AD$1,INDIRECT("Table!A" &amp; $BV5):INDIRECT("Table!" &amp; $CH$65 &amp; $BV5),0)))))/1024</f>
        <v>75.854394531249994</v>
      </c>
      <c r="AE5" s="709">
        <f ca="1">IF(ISERROR(MATCH(AE$1,INDIRECT("Table!A"&amp;$BV5):INDIRECT("Table!" &amp; $CH$65 &amp; $BV5),0)),"",INDIRECT(CONCATENATE("Table!",ADDRESS($BR5,MATCH(AE$1,INDIRECT("Table!A" &amp; $BV5):INDIRECT("Table!" &amp; $CH$65 &amp; $BV5),0)))))/1024</f>
        <v>31.459375000000001</v>
      </c>
      <c r="AF5" s="709">
        <f ca="1">IF(ISERROR(MATCH(AF$1,INDIRECT("Table!A"&amp;$BV5):INDIRECT("Table!" &amp; $CH$65 &amp; $BV5),0)),"",INDIRECT(CONCATENATE("Table!",ADDRESS($BR5,MATCH(AF$1,INDIRECT("Table!A" &amp; $BV5):INDIRECT("Table!" &amp; $CH$65 &amp; $BV5),0)))))/1024</f>
        <v>31.432714843749999</v>
      </c>
      <c r="AG5" s="709">
        <f ca="1">IF(ISERROR(MATCH(AG$1,INDIRECT("Table!A"&amp;$BV5):INDIRECT("Table!" &amp; $CH$65 &amp; $BV5),0)),"",INDIRECT(CONCATENATE("Table!",ADDRESS($BR5,MATCH(AG$1,INDIRECT("Table!A" &amp; $BV5):INDIRECT("Table!" &amp; $CH$65 &amp; $BV5),0)))))/1024</f>
        <v>21.361621093749999</v>
      </c>
      <c r="AH5" s="709">
        <f ca="1">IF(ISERROR(MATCH(AH$1,INDIRECT("Table!A"&amp;$BV5):INDIRECT("Table!" &amp; $CH$65 &amp; $BV5),0)),"",INDIRECT(CONCATENATE("Table!",ADDRESS($BR5,MATCH(AH$1,INDIRECT("Table!A" &amp; $BV5):INDIRECT("Table!" &amp; $CH$65 &amp; $BV5),0)))))/1024</f>
        <v>4.7851562500000003E-3</v>
      </c>
      <c r="AI5" s="709" t="str">
        <f ca="1">IF(ISERROR(MATCH(AI$1,INDIRECT("Table!A"&amp;$BV5):INDIRECT("Table!" &amp; $CH$110 &amp; $BV5),0)),"",INDIRECT(CONCATENATE("Table!",ADDRESS($BR5,MATCH(AI$1,INDIRECT("Table!A" &amp; $BV5):INDIRECT("Table!" &amp; $CH$110 &amp; $BV5),0)))))</f>
        <v/>
      </c>
      <c r="AJ5" s="709">
        <f ca="1">IF(ISERROR(MATCH(AJ$1,INDIRECT("Table!A"&amp;$BV5):INDIRECT("Table!" &amp; $CH$110 &amp; $BV5),0)),"",INDIRECT(CONCATENATE("Table!",ADDRESS($BZ5,MATCH(AJ$1,INDIRECT("Table!A" &amp; $BV5):INDIRECT("Table!" &amp; $CH$110 &amp; $BV5),0)))))/1024</f>
        <v>244.15859374999999</v>
      </c>
      <c r="AK5" s="709">
        <f ca="1">IF(ISERROR(MATCH(AK$1,INDIRECT("Table!A"&amp;$BV5):INDIRECT("Table!" &amp; $CH$110 &amp; $BV5),0)),"",INDIRECT(CONCATENATE("Table!",ADDRESS($BZ5,MATCH(AK$1,INDIRECT("Table!A" &amp; $BV5):INDIRECT("Table!" &amp; $CH$110 &amp; $BV5),0)))))/1024</f>
        <v>146.98896484375001</v>
      </c>
      <c r="AL5" s="709">
        <f ca="1">IF(ISERROR(MATCH(AL$1,INDIRECT("Table!A"&amp;$BV5):INDIRECT("Table!" &amp; $CH$110 &amp; $BV5),0)),"",INDIRECT(CONCATENATE("Table!",ADDRESS($BZ5,MATCH(AL$1,INDIRECT("Table!A" &amp; $BV5):INDIRECT("Table!" &amp; $CH$110 &amp; $BV5),0)))))/1024</f>
        <v>146.98896484375001</v>
      </c>
      <c r="AM5" s="709">
        <f ca="1">IF(ISERROR(MATCH(AM$1,INDIRECT("Table!A"&amp;$BV5):INDIRECT("Table!" &amp; $CH$110 &amp; $BV5),0)),"",INDIRECT(CONCATENATE("Table!",ADDRESS($BZ5,MATCH(AM$1,INDIRECT("Table!A" &amp; $BV5):INDIRECT("Table!" &amp; $CH$110 &amp; $BV5),0)))))/1024</f>
        <v>177.73320312499999</v>
      </c>
      <c r="AN5" s="709">
        <f ca="1">IF(ISERROR(MATCH(AN$1,INDIRECT("Table!A"&amp;$BV5):INDIRECT("Table!" &amp; $CH$110 &amp; $BV5),0)),"",INDIRECT(CONCATENATE("Table!",ADDRESS($BZ5,MATCH(AN$1,INDIRECT("Table!A" &amp; $BV5):INDIRECT("Table!" &amp; $CH$110 &amp; $BV5),0)))))/1024</f>
        <v>161.88056640625001</v>
      </c>
      <c r="AO5" s="709">
        <f ca="1">IF(ISERROR(MATCH(AO$1,INDIRECT("Table!A"&amp;$BV5):INDIRECT("Table!" &amp; $CH$110 &amp; $BV5),0)),"",INDIRECT(CONCATENATE("Table!",ADDRESS($BZ5,MATCH(AO$1,INDIRECT("Table!A" &amp; $BV5):INDIRECT("Table!" &amp; $CH$110 &amp; $BV5),0)))))/1024</f>
        <v>380.3759765625</v>
      </c>
      <c r="AP5" s="709">
        <f ca="1">IF(ISERROR(MATCH(AP$1,INDIRECT("Table!A"&amp;$BV5):INDIRECT("Table!" &amp; $CH$110 &amp; $BV5),0)),"",INDIRECT(CONCATENATE("Table!",ADDRESS($BZ5,MATCH(AP$1,INDIRECT("Table!A" &amp; $BV5):INDIRECT("Table!" &amp; $CH$110 &amp; $BV5),0)))))/1024</f>
        <v>167.94482421875</v>
      </c>
      <c r="AQ5" s="709">
        <f ca="1">IF(ISERROR(MATCH(AQ$1,INDIRECT("Table!A"&amp;$BV5):INDIRECT("Table!" &amp; $CH$110 &amp; $BV5),0)),"",INDIRECT(CONCATENATE("Table!",ADDRESS($BZ5,MATCH(AQ$1,INDIRECT("Table!A" &amp; $BV5):INDIRECT("Table!" &amp; $CH$110 &amp; $BV5),0)))))/1024</f>
        <v>162.185546875</v>
      </c>
      <c r="AR5" s="709">
        <f ca="1">IF(ISERROR(MATCH(AR$1,INDIRECT("Table!A"&amp;$BV5):INDIRECT("Table!" &amp; $CH$110 &amp; $BV5),0)),"",INDIRECT(CONCATENATE("Table!",ADDRESS($BZ5,MATCH(AR$1,INDIRECT("Table!A" &amp; $BV5):INDIRECT("Table!" &amp; $CH$110 &amp; $BV5),0)))))/1024</f>
        <v>121.1125</v>
      </c>
      <c r="AS5" s="709">
        <f ca="1">IF(ISERROR(MATCH(AS$1,INDIRECT("Table!A"&amp;$BV5):INDIRECT("Table!" &amp; $CH$110 &amp; $BV5),0)),"",INDIRECT(CONCATENATE("Table!",ADDRESS($BZ5,MATCH(AS$1,INDIRECT("Table!A" &amp; $BV5):INDIRECT("Table!" &amp; $CH$110 &amp; $BV5),0)))))/1024</f>
        <v>218.81953125000001</v>
      </c>
      <c r="AT5" s="709">
        <f ca="1">IF(ISERROR(MATCH(AT$1,INDIRECT("Table!A"&amp;$BV5):INDIRECT("Table!" &amp; $CH$110 &amp; $BV5),0)),"",INDIRECT(CONCATENATE("Table!",ADDRESS($BZ5,MATCH(AT$1,INDIRECT("Table!A" &amp; $BV5):INDIRECT("Table!" &amp; $CH$110 &amp; $BV5),0)))))/1024</f>
        <v>188.50498046875001</v>
      </c>
      <c r="AU5" s="709">
        <f ca="1">IF(ISERROR(MATCH(AU$1,INDIRECT("Table!A"&amp;$BV5):INDIRECT("Table!" &amp; $CH$110 &amp; $BV5),0)),"",INDIRECT(CONCATENATE("Table!",ADDRESS($BZ5,MATCH(AU$1,INDIRECT("Table!A" &amp; $BV5):INDIRECT("Table!" &amp; $CH$110 &amp; $BV5),0)))))/1024</f>
        <v>427.94912109375002</v>
      </c>
      <c r="AV5" s="709">
        <f ca="1">IF(ISERROR(MATCH(AV$1,INDIRECT("Table!A"&amp;$BV5):INDIRECT("Table!" &amp; $CH$110 &amp; $BV5),0)),"",INDIRECT(CONCATENATE("Table!",ADDRESS($BZ5,MATCH(AV$1,INDIRECT("Table!A" &amp; $BV5):INDIRECT("Table!" &amp; $CH$110 &amp; $BV5),0)))))/1024</f>
        <v>81.092578125000003</v>
      </c>
      <c r="AW5" s="709">
        <f ca="1">IF(ISERROR(MATCH(AW$1,INDIRECT("Table!A"&amp;$BV5):INDIRECT("Table!" &amp; $CH$110 &amp; $BV5),0)),"",INDIRECT(CONCATENATE("Table!",ADDRESS($BZ5,MATCH(AW$1,INDIRECT("Table!A" &amp; $BV5):INDIRECT("Table!" &amp; $CH$110 &amp; $BV5),0)))))/1024</f>
        <v>269.65859375000002</v>
      </c>
      <c r="AX5" s="709">
        <f ca="1">IF(ISERROR(MATCH(AX$1,INDIRECT("Table!A"&amp;$BV5):INDIRECT("Table!" &amp; $CH$110 &amp; $BV5),0)),"",INDIRECT(CONCATENATE("Table!",ADDRESS($BZ5,MATCH(AX$1,INDIRECT("Table!A" &amp; $BV5):INDIRECT("Table!" &amp; $CH$110 &amp; $BV5),0)))))/1024</f>
        <v>81.092578125000003</v>
      </c>
      <c r="AY5" s="709">
        <f ca="1">IF(ISERROR(MATCH(AY$1,INDIRECT("Table!A"&amp;$BV5):INDIRECT("Table!" &amp; $CH$110 &amp; $BV5),0)),"",INDIRECT(CONCATENATE("Table!",ADDRESS($BZ5,MATCH(AY$1,INDIRECT("Table!A" &amp; $BV5):INDIRECT("Table!" &amp; $CH$110 &amp; $BV5),0)))))/1024</f>
        <v>187.12714843750001</v>
      </c>
      <c r="AZ5" s="709">
        <f ca="1">IF(ISERROR(MATCH(AZ$1,INDIRECT("Table!A"&amp;$BV5):INDIRECT("Table!" &amp; $CH$110 &amp; $BV5),0)),"",INDIRECT(CONCATENATE("Table!",ADDRESS($BZ5,MATCH(AZ$1,INDIRECT("Table!A" &amp; $BV5):INDIRECT("Table!" &amp; $CH$110 &amp; $BV5),0)))))/1024</f>
        <v>256.14150390625002</v>
      </c>
      <c r="BA5" s="709">
        <f ca="1">IF(ISERROR(MATCH(BA$1,INDIRECT("Table!A"&amp;$BV5):INDIRECT("Table!" &amp; $CH$110 &amp; $BV5),0)),"",INDIRECT(CONCATENATE("Table!",ADDRESS($BZ5,MATCH(BA$1,INDIRECT("Table!A" &amp; $BV5):INDIRECT("Table!" &amp; $CH$110 &amp; $BV5),0)))))/1024</f>
        <v>58.323925781249997</v>
      </c>
      <c r="BB5" s="709">
        <f ca="1">IF(ISERROR(MATCH(BB$1,INDIRECT("Table!A"&amp;$BV5):INDIRECT("Table!" &amp; $CH$110 &amp; $BV5),0)),"",INDIRECT(CONCATENATE("Table!",ADDRESS($BZ5,MATCH(BB$1,INDIRECT("Table!A" &amp; $BV5):INDIRECT("Table!" &amp; $CH$110 &amp; $BV5),0)))))/1024</f>
        <v>32.31494140625</v>
      </c>
      <c r="BC5" s="709">
        <f ca="1">IF(ISERROR(MATCH(BC$1,INDIRECT("Table!A"&amp;$BV5):INDIRECT("Table!" &amp; $CH$110 &amp; $BV5),0)),"",INDIRECT(CONCATENATE("Table!",ADDRESS($BZ5,MATCH(BC$1,INDIRECT("Table!A" &amp; $BV5):INDIRECT("Table!" &amp; $CH$110 &amp; $BV5),0)))))/1024</f>
        <v>99.80126953125</v>
      </c>
      <c r="BD5" s="709">
        <f ca="1">IF(ISERROR(MATCH(BD$1,INDIRECT("Table!A"&amp;$BV5):INDIRECT("Table!" &amp; $CH$110 &amp; $BV5),0)),"",INDIRECT(CONCATENATE("Table!",ADDRESS($BZ5,MATCH(BD$1,INDIRECT("Table!A" &amp; $BV5):INDIRECT("Table!" &amp; $CH$110 &amp; $BV5),0)))))/1024</f>
        <v>204.58642578125</v>
      </c>
      <c r="BE5" s="905">
        <f ca="1">IF(ISERROR(MATCH(BE$1,INDIRECT("Table!A"&amp;$BV5):INDIRECT("Table!" &amp; $CH$110 &amp; $BV5),0)),"",INDIRECT(CONCATENATE("Table!",ADDRESS($BZ5,MATCH(BE$1,INDIRECT("Table!A" &amp; $BV5):INDIRECT("Table!" &amp; $CH$110 &amp; $BV5),0)))))/1024</f>
        <v>99.80126953125</v>
      </c>
      <c r="BF5" s="905">
        <f ca="1">IF(ISERROR(MATCH(BF$1,INDIRECT("Table!A"&amp;$BV5):INDIRECT("Table!" &amp; $CH$110 &amp; $BV5),0)),"",INDIRECT(CONCATENATE("Table!",ADDRESS($BZ5,MATCH(BF$1,INDIRECT("Table!A" &amp; $BV5):INDIRECT("Table!" &amp; $CH$110 &amp; $BV5),0)))))/1024</f>
        <v>204.58642578125</v>
      </c>
      <c r="BG5" s="905">
        <f ca="1">IF(ISERROR(MATCH(BG$1,INDIRECT("Table!A"&amp;$BV5):INDIRECT("Table!" &amp; $CH$110 &amp; $BV5),0)),"",INDIRECT(CONCATENATE("Table!",ADDRESS($BZ5,MATCH(BG$1,INDIRECT("Table!A" &amp; $BV5):INDIRECT("Table!" &amp; $CH$110 &amp; $BV5),0)))))/1024</f>
        <v>99.80126953125</v>
      </c>
      <c r="BH5" s="905">
        <f ca="1">IF(ISERROR(MATCH(BH$1,INDIRECT("Table!A"&amp;$BV5):INDIRECT("Table!" &amp; $CH$110 &amp; $BV5),0)),"",INDIRECT(CONCATENATE("Table!",ADDRESS($BZ5,MATCH(BH$1,INDIRECT("Table!A" &amp; $BV5):INDIRECT("Table!" &amp; $CH$110 &amp; $BV5),0)))))/1024</f>
        <v>204.58642578125</v>
      </c>
      <c r="BI5" s="905">
        <f ca="1">IF(ISERROR(MATCH(BI$1,INDIRECT("Table!A"&amp;$BV5):INDIRECT("Table!" &amp; $CH$110 &amp; $BV5),0)),"",INDIRECT(CONCATENATE("Table!",ADDRESS($BZ5,MATCH(BI$1,INDIRECT("Table!A" &amp; $BV5):INDIRECT("Table!" &amp; $CH$110 &amp; $BV5),0)))))/1024</f>
        <v>320.99140625000001</v>
      </c>
      <c r="BJ5" s="905">
        <f ca="1">IF(ISERROR(MATCH(BJ$1,INDIRECT("Table!A"&amp;$BV5):INDIRECT("Table!" &amp; $CH$110 &amp; $BV5),0)),"",INDIRECT(CONCATENATE("Table!",ADDRESS($BZ5,MATCH(BJ$1,INDIRECT("Table!A" &amp; $BV5):INDIRECT("Table!" &amp; $CH$110 &amp; $BV5),0)))))/1024</f>
        <v>186.39765625000001</v>
      </c>
      <c r="BK5" s="905">
        <f ca="1">IF(ISERROR(MATCH(BK$1,INDIRECT("Table!A"&amp;$BV5):INDIRECT("Table!" &amp; $CH$110 &amp; $BV5),0)),"",INDIRECT(CONCATENATE("Table!",ADDRESS($BZ5,MATCH(BK$1,INDIRECT("Table!A" &amp; $BV5):INDIRECT("Table!" &amp; $CH$110 &amp; $BV5),0)))))/1024</f>
        <v>218.81953125000001</v>
      </c>
      <c r="BL5" s="905">
        <f ca="1">IF(ISERROR(MATCH(BL$1,INDIRECT("Table!A"&amp;$BV5):INDIRECT("Table!" &amp; $CH$110 &amp; $BV5),0)),"",INDIRECT(CONCATENATE("Table!",ADDRESS($BZ5,MATCH(BL$1,INDIRECT("Table!A" &amp; $BV5):INDIRECT("Table!" &amp; $CH$110 &amp; $BV5),0)))))/1024</f>
        <v>218.81953125000001</v>
      </c>
      <c r="BM5" s="905">
        <f ca="1">IF(ISERROR(MATCH(BM$1,INDIRECT("Table!A"&amp;$BV5):INDIRECT("Table!" &amp; $CH$110 &amp; $BV5),0)),"",INDIRECT(CONCATENATE("Table!",ADDRESS($BZ5,MATCH(BM$1,INDIRECT("Table!A" &amp; $BV5):INDIRECT("Table!" &amp; $CH$110 &amp; $BV5),0)))))/1024</f>
        <v>152.53330078125001</v>
      </c>
      <c r="BN5" s="905">
        <f ca="1">IF(ISERROR(MATCH(BN$1,INDIRECT("Table!A"&amp;$BV5):INDIRECT("Table!" &amp; $CH$110 &amp; $BV5),0)),"",INDIRECT(CONCATENATE("Table!",ADDRESS($BZ5,MATCH(BN$1,INDIRECT("Table!A" &amp; $BV5):INDIRECT("Table!" &amp; $CH$110 &amp; $BV5),0)))))/1024</f>
        <v>152.53330078125001</v>
      </c>
      <c r="BO5" s="905">
        <f ca="1">IF(ISERROR(MATCH(BO$1,INDIRECT("Table!A"&amp;$BV5):INDIRECT("Table!" &amp; $CH$110 &amp; $BV5),0)),"",INDIRECT(CONCATENATE("Table!",ADDRESS($BZ5,MATCH(BO$1,INDIRECT("Table!A" &amp; $BV5):INDIRECT("Table!" &amp; $CH$110 &amp; $BV5),0)))))/1024</f>
        <v>218.81953125000001</v>
      </c>
      <c r="BP5" s="905">
        <f ca="1">IF(ISERROR(MATCH(BP$1,INDIRECT("Table!A"&amp;$BV5):INDIRECT("Table!" &amp; $CH$110 &amp; $BV5),0)),"",INDIRECT(CONCATENATE("Table!",ADDRESS($BZ5,MATCH(BP$1,INDIRECT("Table!A" &amp; $BV5):INDIRECT("Table!" &amp; $CH$110 &amp; $BV5),0)))))/1024</f>
        <v>186.39765625000001</v>
      </c>
      <c r="BR5" s="704">
        <f>MATCH($A5,Table!$A:$A,0)+$BT$2-1</f>
        <v>33</v>
      </c>
      <c r="BS5" s="744"/>
      <c r="BT5" s="744"/>
      <c r="BU5" s="744"/>
      <c r="BV5" s="717">
        <f>MATCH($A5,Table!$A:$A,0)+$BX$2-1</f>
        <v>31</v>
      </c>
      <c r="BW5" s="744"/>
      <c r="BX5" s="744"/>
      <c r="BY5" s="744"/>
      <c r="BZ5" s="704">
        <f>MATCH($A5,Table!$A:$A,0)+$CB$2-1</f>
        <v>32</v>
      </c>
      <c r="CA5" s="744"/>
      <c r="CB5" s="744"/>
      <c r="CC5" s="744"/>
      <c r="CD5" s="717">
        <f>MATCH($A5,Table!$A:$A,0)+$BX$2-1</f>
        <v>31</v>
      </c>
      <c r="CE5" s="744"/>
      <c r="CF5" s="744"/>
      <c r="CG5" s="744"/>
      <c r="CH5" s="711" t="s">
        <v>302</v>
      </c>
      <c r="CI5" s="712">
        <f t="shared" ref="CI5" ca="1" si="10">SUM(AJ5:BP5)</f>
        <v>6078.8690429687504</v>
      </c>
      <c r="CJ5" s="712">
        <f t="shared" ref="CJ5" ca="1" si="11">SUM(B5:AH5)</f>
        <v>2569.2421874999995</v>
      </c>
      <c r="CK5" s="712">
        <f t="shared" ref="CK5" ca="1" si="12">CI5-CJ5</f>
        <v>3509.6268554687508</v>
      </c>
      <c r="CL5" s="718">
        <f t="shared" ref="CL5" ca="1" si="13">CJ5/CI5</f>
        <v>0.4226513467125545</v>
      </c>
      <c r="CM5" s="712">
        <f ca="1">SUMIF('Alloc Feed'!A:I,A:A,'Alloc Feed'!I:I)</f>
        <v>4146.2690507812495</v>
      </c>
      <c r="CN5" s="718">
        <f t="shared" ref="CN5" ca="1" si="14">CM5/CI5</f>
        <v>0.6820790218498155</v>
      </c>
    </row>
    <row r="6" spans="1:92" s="947" customFormat="1" x14ac:dyDescent="0.25">
      <c r="A6" s="703">
        <v>41956</v>
      </c>
      <c r="B6" s="709">
        <f ca="1">IF(ISERROR(MATCH(B$1,INDIRECT("Table!A"&amp;$BV6):INDIRECT("Table!" &amp; $CH$110 &amp; $BV6),0)),"",INDIRECT(CONCATENATE("Table!",ADDRESS($BR6,MATCH(B$1,INDIRECT("Table!A" &amp; $BV6):INDIRECT("Table!" &amp; $CH$110 &amp; $BV6),0)))))/1024</f>
        <v>52.944921874999999</v>
      </c>
      <c r="C6" s="709">
        <f ca="1">IF(ISERROR(MATCH(C$1,INDIRECT("Table!A"&amp;$BV6):INDIRECT("Table!" &amp; $CH$110 &amp; $BV6),0)),"",INDIRECT(CONCATENATE("Table!",ADDRESS($BR6,MATCH(C$1,INDIRECT("Table!A" &amp; $BV6):INDIRECT("Table!" &amp; $CH$110 &amp; $BV6),0)))))/1024</f>
        <v>85.063671874999997</v>
      </c>
      <c r="D6" s="709">
        <f ca="1">IF(ISERROR(MATCH(D$1,INDIRECT("Table!A"&amp;$BV6):INDIRECT("Table!" &amp; $CH$110 &amp; $BV6),0)),"",INDIRECT(CONCATENATE("Table!",ADDRESS($BR6,MATCH(D$1,INDIRECT("Table!A" &amp; $BV6):INDIRECT("Table!" &amp; $CH$110 &amp; $BV6),0)))))/1024</f>
        <v>84.81689453125</v>
      </c>
      <c r="E6" s="709">
        <f ca="1">IF(ISERROR(MATCH(E$1,INDIRECT("Table!A"&amp;$BV6):INDIRECT("Table!" &amp; $CH$110 &amp; $BV6),0)),"",INDIRECT(CONCATENATE("Table!",ADDRESS($BR6,MATCH(E$1,INDIRECT("Table!A" &amp; $BV6):INDIRECT("Table!" &amp; $CH$110 &amp; $BV6),0)))))/1024</f>
        <v>100.098828125</v>
      </c>
      <c r="F6" s="709">
        <f ca="1">IF(ISERROR(MATCH(F$1,INDIRECT("Table!A"&amp;$BV6):INDIRECT("Table!" &amp; $CH$110 &amp; $BV6),0)),"",INDIRECT(CONCATENATE("Table!",ADDRESS($BR6,MATCH(F$1,INDIRECT("Table!A" &amp; $BV6):INDIRECT("Table!" &amp; $CH$110 &amp; $BV6),0)))))/1024</f>
        <v>117.57265624999999</v>
      </c>
      <c r="G6" s="709">
        <f ca="1">IF(ISERROR(MATCH(G$1,INDIRECT("Table!A"&amp;$BV6):INDIRECT("Table!" &amp; $CH$110 &amp; $BV6),0)),"",INDIRECT(CONCATENATE("Table!",ADDRESS($BR6,MATCH(G$1,INDIRECT("Table!A" &amp; $BV6):INDIRECT("Table!" &amp; $CH$110 &amp; $BV6),0)))))/1024</f>
        <v>204.74609375</v>
      </c>
      <c r="H6" s="709">
        <f ca="1">IF(ISERROR(MATCH(H$1,INDIRECT("Table!A"&amp;$BV6):INDIRECT("Table!" &amp; $CH$110 &amp; $BV6),0)),"",INDIRECT(CONCATENATE("Table!",ADDRESS($BR6,MATCH(H$1,INDIRECT("Table!A" &amp; $BV6):INDIRECT("Table!" &amp; $CH$110 &amp; $BV6),0)))))/1024</f>
        <v>95.593066406250003</v>
      </c>
      <c r="I6" s="709">
        <f ca="1">IF(ISERROR(MATCH(I$1,INDIRECT("Table!A"&amp;$BV6):INDIRECT("Table!" &amp; $CH$110 &amp; $BV6),0)),"",INDIRECT(CONCATENATE("Table!",ADDRESS($BR6,MATCH(I$1,INDIRECT("Table!A" &amp; $BV6):INDIRECT("Table!" &amp; $CH$110 &amp; $BV6),0)))))/1024</f>
        <v>26.757714843750001</v>
      </c>
      <c r="J6" s="709">
        <f ca="1">IF(ISERROR(MATCH(J$1,INDIRECT("Table!A"&amp;$BV6):INDIRECT("Table!" &amp; $CH$110 &amp; $BV6),0)),"",INDIRECT(CONCATENATE("Table!",ADDRESS($BR6,MATCH(J$1,INDIRECT("Table!A" &amp; $BV6):INDIRECT("Table!" &amp; $CH$110 &amp; $BV6),0)))))/1024</f>
        <v>100.87783203124999</v>
      </c>
      <c r="K6" s="709">
        <f ca="1">IF(ISERROR(MATCH(K$1,INDIRECT("Table!A"&amp;$BV6):INDIRECT("Table!" &amp; $CH$110 &amp; $BV6),0)),"",INDIRECT(CONCATENATE("Table!",ADDRESS($BR6,MATCH(K$1,INDIRECT("Table!A" &amp; $BV6):INDIRECT("Table!" &amp; $CH$110 &amp; $BV6),0)))))/1024</f>
        <v>97.931250000000006</v>
      </c>
      <c r="L6" s="709">
        <f ca="1">IF(ISERROR(MATCH(L$1,INDIRECT("Table!A"&amp;$BV6):INDIRECT("Table!" &amp; $CH$110 &amp; $BV6),0)),"",INDIRECT(CONCATENATE("Table!",ADDRESS($BR6,MATCH(L$1,INDIRECT("Table!A" &amp; $BV6):INDIRECT("Table!" &amp; $CH$110 &amp; $BV6),0)))))/1024</f>
        <v>79.176171874999994</v>
      </c>
      <c r="M6" s="709">
        <f ca="1">IF(ISERROR(MATCH(M$1,INDIRECT("Table!A"&amp;$BV6):INDIRECT("Table!" &amp; $CH$110 &amp; $BV6),0)),"",INDIRECT(CONCATENATE("Table!",ADDRESS($BR6,MATCH(M$1,INDIRECT("Table!A" &amp; $BV6):INDIRECT("Table!" &amp; $CH$110 &amp; $BV6),0)))))/1024</f>
        <v>212.56845703125001</v>
      </c>
      <c r="N6" s="709">
        <f ca="1">IF(ISERROR(MATCH(N$1,INDIRECT("Table!A"&amp;$BV6):INDIRECT("Table!" &amp; $CH$110 &amp; $BV6),0)),"",INDIRECT(CONCATENATE("Table!",ADDRESS($BR6,MATCH(N$1,INDIRECT("Table!A" &amp; $BV6):INDIRECT("Table!" &amp; $CH$110 &amp; $BV6),0)))))/1024</f>
        <v>59.385351562499999</v>
      </c>
      <c r="O6" s="709">
        <f ca="1">IF(ISERROR(MATCH(O$1,INDIRECT("Table!A"&amp;$BV6):INDIRECT("Table!" &amp; $CH$110 &amp; $BV6),0)),"",INDIRECT(CONCATENATE("Table!",ADDRESS($BR6,MATCH(O$1,INDIRECT("Table!A" &amp; $BV6):INDIRECT("Table!" &amp; $CH$110 &amp; $BV6),0)))))/1024</f>
        <v>179.986328125</v>
      </c>
      <c r="P6" s="709">
        <f ca="1">IF(ISERROR(MATCH(P$1,INDIRECT("Table!A"&amp;$BV6):INDIRECT("Table!" &amp; $CH$110 &amp; $BV6),0)),"",INDIRECT(CONCATENATE("Table!",ADDRESS($BR6,MATCH(P$1,INDIRECT("Table!A" &amp; $BV6):INDIRECT("Table!" &amp; $CH$110 &amp; $BV6),0)))))/1024</f>
        <v>51.782519531250003</v>
      </c>
      <c r="Q6" s="709">
        <f ca="1">IF(ISERROR(MATCH(Q$1,INDIRECT("Table!A"&amp;$BV6):INDIRECT("Table!" &amp; $CH$110 &amp; $BV6),0)),"",INDIRECT(CONCATENATE("Table!",ADDRESS($BR6,MATCH(Q$1,INDIRECT("Table!A" &amp; $BV6):INDIRECT("Table!" &amp; $CH$110 &amp; $BV6),0)))))/1024</f>
        <v>153.45878906249999</v>
      </c>
      <c r="R6" s="709">
        <f ca="1">IF(ISERROR(MATCH(R$1,INDIRECT("Table!A"&amp;$BV6):INDIRECT("Table!" &amp; $CH$110 &amp; $BV6),0)),"",INDIRECT(CONCATENATE("Table!",ADDRESS($BR6,MATCH(R$1,INDIRECT("Table!A" &amp; $BV6):INDIRECT("Table!" &amp; $CH$110 &amp; $BV6),0)))))/1024</f>
        <v>182.48388671875</v>
      </c>
      <c r="S6" s="709">
        <f ca="1">IF(ISERROR(MATCH(S$1,INDIRECT("Table!A"&amp;$BV6):INDIRECT("Table!" &amp; $CH$65 &amp; $BV6),0)),"",INDIRECT(CONCATENATE("Table!",ADDRESS($BR6,MATCH(S$1,INDIRECT("Table!A" &amp; $BV6):INDIRECT("Table!" &amp; $CH$65 &amp; $BV6),0)))))/1024</f>
        <v>39.545996093749999</v>
      </c>
      <c r="T6" s="709">
        <f ca="1">IF(ISERROR(MATCH(T$1,INDIRECT("Table!A"&amp;$BV6):INDIRECT("Table!" &amp; $CH$65 &amp; $BV6),0)),"",INDIRECT(CONCATENATE("Table!",ADDRESS($BR6,MATCH(T$1,INDIRECT("Table!A" &amp; $BV6):INDIRECT("Table!" &amp; $CH$65 &amp; $BV6),0)))))/1024</f>
        <v>13.953906249999999</v>
      </c>
      <c r="U6" s="709">
        <f ca="1">IF(ISERROR(MATCH(U$1,INDIRECT("Table!A"&amp;$BV6):INDIRECT("Table!" &amp; $CH$65 &amp; $BV6),0)),"",INDIRECT(CONCATENATE("Table!",ADDRESS($BR6,MATCH(U$1,INDIRECT("Table!A" &amp; $BV6):INDIRECT("Table!" &amp; $CH$65 &amp; $BV6),0)))))/1024</f>
        <v>15.71826171875</v>
      </c>
      <c r="V6" s="709">
        <f ca="1">IF(ISERROR(MATCH(V$1,INDIRECT("Table!A"&amp;$BV6):INDIRECT("Table!" &amp; $CH$65 &amp; $BV6),0)),"",INDIRECT(CONCATENATE("Table!",ADDRESS($BR6,MATCH(V$1,INDIRECT("Table!A" &amp; $BV6):INDIRECT("Table!" &amp; $CH$65 &amp; $BV6),0)))))/1024</f>
        <v>31.425000000000001</v>
      </c>
      <c r="W6" s="709">
        <f ca="1">IF(ISERROR(MATCH(W$1,INDIRECT("Table!A"&amp;$BV6):INDIRECT("Table!" &amp; $CH$65 &amp; $BV6),0)),"",INDIRECT(CONCATENATE("Table!",ADDRESS($BR6,MATCH(W$1,INDIRECT("Table!A" &amp; $BV6):INDIRECT("Table!" &amp; $CH$65 &amp; $BV6),0)))))/1024</f>
        <v>40.676855468749999</v>
      </c>
      <c r="X6" s="709">
        <f ca="1">IF(ISERROR(MATCH(X$1,INDIRECT("Table!A"&amp;$BV6):INDIRECT("Table!" &amp; $CH$65 &amp; $BV6),0)),"",INDIRECT(CONCATENATE("Table!",ADDRESS($BR6,MATCH(X$1,INDIRECT("Table!A" &amp; $BV6):INDIRECT("Table!" &amp; $CH$65 &amp; $BV6),0)))))/1024</f>
        <v>80.485156250000003</v>
      </c>
      <c r="Y6" s="709">
        <f ca="1">IF(ISERROR(MATCH(Y$1,INDIRECT("Table!A"&amp;$BV6):INDIRECT("Table!" &amp; $CH$65 &amp; $BV6),0)),"",INDIRECT(CONCATENATE("Table!",ADDRESS($BR6,MATCH(Y$1,INDIRECT("Table!A" &amp; $BV6):INDIRECT("Table!" &amp; $CH$65 &amp; $BV6),0)))))/1024</f>
        <v>34.712890625</v>
      </c>
      <c r="Z6" s="709">
        <f ca="1">IF(ISERROR(MATCH(Z$1,INDIRECT("Table!A"&amp;$BV6):INDIRECT("Table!" &amp; $CH$65 &amp; $BV6),0)),"",INDIRECT(CONCATENATE("Table!",ADDRESS($BR6,MATCH(Z$1,INDIRECT("Table!A" &amp; $BV6):INDIRECT("Table!" &amp; $CH$65 &amp; $BV6),0)))))/1024</f>
        <v>63.150390625</v>
      </c>
      <c r="AA6" s="709">
        <f ca="1">IF(ISERROR(MATCH(AA$1,INDIRECT("Table!A"&amp;$BV6):INDIRECT("Table!" &amp; $CH$65 &amp; $BV6),0)),"",INDIRECT(CONCATENATE("Table!",ADDRESS($BR6,MATCH(AA$1,INDIRECT("Table!A" &amp; $BV6):INDIRECT("Table!" &amp; $CH$65 &amp; $BV6),0)))))/1024</f>
        <v>135.98935546875001</v>
      </c>
      <c r="AB6" s="709">
        <f ca="1">IF(ISERROR(MATCH(AB$1,INDIRECT("Table!A"&amp;$BV6):INDIRECT("Table!" &amp; $CH$65 &amp; $BV6),0)),"",INDIRECT(CONCATENATE("Table!",ADDRESS($BR6,MATCH(AB$1,INDIRECT("Table!A" &amp; $BV6):INDIRECT("Table!" &amp; $CH$65 &amp; $BV6),0)))))/1024</f>
        <v>4.7851562500000003E-3</v>
      </c>
      <c r="AC6" s="709">
        <f ca="1">IF(ISERROR(MATCH(AC$1,INDIRECT("Table!A"&amp;$BV6):INDIRECT("Table!" &amp; $CH$65 &amp; $BV6),0)),"",INDIRECT(CONCATENATE("Table!",ADDRESS($BR6,MATCH(AC$1,INDIRECT("Table!A" &amp; $BV6):INDIRECT("Table!" &amp; $CH$65 &amp; $BV6),0)))))/1024</f>
        <v>46.414257812499997</v>
      </c>
      <c r="AD6" s="709">
        <f ca="1">IF(ISERROR(MATCH(AD$1,INDIRECT("Table!A"&amp;$BV6):INDIRECT("Table!" &amp; $CH$65 &amp; $BV6),0)),"",INDIRECT(CONCATENATE("Table!",ADDRESS($BR6,MATCH(AD$1,INDIRECT("Table!A" &amp; $BV6):INDIRECT("Table!" &amp; $CH$65 &amp; $BV6),0)))))/1024</f>
        <v>74.64208984375</v>
      </c>
      <c r="AE6" s="709">
        <f ca="1">IF(ISERROR(MATCH(AE$1,INDIRECT("Table!A"&amp;$BV6):INDIRECT("Table!" &amp; $CH$65 &amp; $BV6),0)),"",INDIRECT(CONCATENATE("Table!",ADDRESS($BR6,MATCH(AE$1,INDIRECT("Table!A" &amp; $BV6):INDIRECT("Table!" &amp; $CH$65 &amp; $BV6),0)))))/1024</f>
        <v>25.455761718750001</v>
      </c>
      <c r="AF6" s="709">
        <f ca="1">IF(ISERROR(MATCH(AF$1,INDIRECT("Table!A"&amp;$BV6):INDIRECT("Table!" &amp; $CH$65 &amp; $BV6),0)),"",INDIRECT(CONCATENATE("Table!",ADDRESS($BR6,MATCH(AF$1,INDIRECT("Table!A" &amp; $BV6):INDIRECT("Table!" &amp; $CH$65 &amp; $BV6),0)))))/1024</f>
        <v>25.429101562500001</v>
      </c>
      <c r="AG6" s="709">
        <f ca="1">IF(ISERROR(MATCH(AG$1,INDIRECT("Table!A"&amp;$BV6):INDIRECT("Table!" &amp; $CH$65 &amp; $BV6),0)),"",INDIRECT(CONCATENATE("Table!",ADDRESS($BR6,MATCH(AG$1,INDIRECT("Table!A" &amp; $BV6):INDIRECT("Table!" &amp; $CH$65 &amp; $BV6),0)))))/1024</f>
        <v>20.791210937500001</v>
      </c>
      <c r="AH6" s="709">
        <f ca="1">IF(ISERROR(MATCH(AH$1,INDIRECT("Table!A"&amp;$BV6):INDIRECT("Table!" &amp; $CH$65 &amp; $BV6),0)),"",INDIRECT(CONCATENATE("Table!",ADDRESS($BR6,MATCH(AH$1,INDIRECT("Table!A" &amp; $BV6):INDIRECT("Table!" &amp; $CH$65 &amp; $BV6),0)))))/1024</f>
        <v>4.7851562500000003E-3</v>
      </c>
      <c r="AI6" s="709" t="str">
        <f ca="1">IF(ISERROR(MATCH(AI$1,INDIRECT("Table!A"&amp;$BV6):INDIRECT("Table!" &amp; $CH$110 &amp; $BV6),0)),"",INDIRECT(CONCATENATE("Table!",ADDRESS($BR6,MATCH(AI$1,INDIRECT("Table!A" &amp; $BV6):INDIRECT("Table!" &amp; $CH$110 &amp; $BV6),0)))))</f>
        <v/>
      </c>
      <c r="AJ6" s="709">
        <f ca="1">IF(ISERROR(MATCH(AJ$1,INDIRECT("Table!A"&amp;$BV6):INDIRECT("Table!" &amp; $CH$110 &amp; $BV6),0)),"",INDIRECT(CONCATENATE("Table!",ADDRESS($BZ6,MATCH(AJ$1,INDIRECT("Table!A" &amp; $BV6):INDIRECT("Table!" &amp; $CH$110 &amp; $BV6),0)))))/1024</f>
        <v>244.15859374999999</v>
      </c>
      <c r="AK6" s="709">
        <f ca="1">IF(ISERROR(MATCH(AK$1,INDIRECT("Table!A"&amp;$BV6):INDIRECT("Table!" &amp; $CH$110 &amp; $BV6),0)),"",INDIRECT(CONCATENATE("Table!",ADDRESS($BZ6,MATCH(AK$1,INDIRECT("Table!A" &amp; $BV6):INDIRECT("Table!" &amp; $CH$110 &amp; $BV6),0)))))/1024</f>
        <v>146.98896484375001</v>
      </c>
      <c r="AL6" s="709">
        <f ca="1">IF(ISERROR(MATCH(AL$1,INDIRECT("Table!A"&amp;$BV6):INDIRECT("Table!" &amp; $CH$110 &amp; $BV6),0)),"",INDIRECT(CONCATENATE("Table!",ADDRESS($BZ6,MATCH(AL$1,INDIRECT("Table!A" &amp; $BV6):INDIRECT("Table!" &amp; $CH$110 &amp; $BV6),0)))))/1024</f>
        <v>146.98896484375001</v>
      </c>
      <c r="AM6" s="709">
        <f ca="1">IF(ISERROR(MATCH(AM$1,INDIRECT("Table!A"&amp;$BV6):INDIRECT("Table!" &amp; $CH$110 &amp; $BV6),0)),"",INDIRECT(CONCATENATE("Table!",ADDRESS($BZ6,MATCH(AM$1,INDIRECT("Table!A" &amp; $BV6):INDIRECT("Table!" &amp; $CH$110 &amp; $BV6),0)))))/1024</f>
        <v>177.73320312499999</v>
      </c>
      <c r="AN6" s="709">
        <f ca="1">IF(ISERROR(MATCH(AN$1,INDIRECT("Table!A"&amp;$BV6):INDIRECT("Table!" &amp; $CH$110 &amp; $BV6),0)),"",INDIRECT(CONCATENATE("Table!",ADDRESS($BZ6,MATCH(AN$1,INDIRECT("Table!A" &amp; $BV6):INDIRECT("Table!" &amp; $CH$110 &amp; $BV6),0)))))/1024</f>
        <v>161.88056640625001</v>
      </c>
      <c r="AO6" s="709">
        <f ca="1">IF(ISERROR(MATCH(AO$1,INDIRECT("Table!A"&amp;$BV6):INDIRECT("Table!" &amp; $CH$110 &amp; $BV6),0)),"",INDIRECT(CONCATENATE("Table!",ADDRESS($BZ6,MATCH(AO$1,INDIRECT("Table!A" &amp; $BV6):INDIRECT("Table!" &amp; $CH$110 &amp; $BV6),0)))))/1024</f>
        <v>380.3759765625</v>
      </c>
      <c r="AP6" s="709">
        <f ca="1">IF(ISERROR(MATCH(AP$1,INDIRECT("Table!A"&amp;$BV6):INDIRECT("Table!" &amp; $CH$110 &amp; $BV6),0)),"",INDIRECT(CONCATENATE("Table!",ADDRESS($BZ6,MATCH(AP$1,INDIRECT("Table!A" &amp; $BV6):INDIRECT("Table!" &amp; $CH$110 &amp; $BV6),0)))))/1024</f>
        <v>167.94482421875</v>
      </c>
      <c r="AQ6" s="709">
        <f ca="1">IF(ISERROR(MATCH(AQ$1,INDIRECT("Table!A"&amp;$BV6):INDIRECT("Table!" &amp; $CH$110 &amp; $BV6),0)),"",INDIRECT(CONCATENATE("Table!",ADDRESS($BZ6,MATCH(AQ$1,INDIRECT("Table!A" &amp; $BV6):INDIRECT("Table!" &amp; $CH$110 &amp; $BV6),0)))))/1024</f>
        <v>162.185546875</v>
      </c>
      <c r="AR6" s="709">
        <f ca="1">IF(ISERROR(MATCH(AR$1,INDIRECT("Table!A"&amp;$BV6):INDIRECT("Table!" &amp; $CH$110 &amp; $BV6),0)),"",INDIRECT(CONCATENATE("Table!",ADDRESS($BZ6,MATCH(AR$1,INDIRECT("Table!A" &amp; $BV6):INDIRECT("Table!" &amp; $CH$110 &amp; $BV6),0)))))/1024</f>
        <v>121.1125</v>
      </c>
      <c r="AS6" s="709">
        <f ca="1">IF(ISERROR(MATCH(AS$1,INDIRECT("Table!A"&amp;$BV6):INDIRECT("Table!" &amp; $CH$110 &amp; $BV6),0)),"",INDIRECT(CONCATENATE("Table!",ADDRESS($BZ6,MATCH(AS$1,INDIRECT("Table!A" &amp; $BV6):INDIRECT("Table!" &amp; $CH$110 &amp; $BV6),0)))))/1024</f>
        <v>218.81953125000001</v>
      </c>
      <c r="AT6" s="709">
        <f ca="1">IF(ISERROR(MATCH(AT$1,INDIRECT("Table!A"&amp;$BV6):INDIRECT("Table!" &amp; $CH$110 &amp; $BV6),0)),"",INDIRECT(CONCATENATE("Table!",ADDRESS($BZ6,MATCH(AT$1,INDIRECT("Table!A" &amp; $BV6):INDIRECT("Table!" &amp; $CH$110 &amp; $BV6),0)))))/1024</f>
        <v>188.50498046875001</v>
      </c>
      <c r="AU6" s="709">
        <f ca="1">IF(ISERROR(MATCH(AU$1,INDIRECT("Table!A"&amp;$BV6):INDIRECT("Table!" &amp; $CH$110 &amp; $BV6),0)),"",INDIRECT(CONCATENATE("Table!",ADDRESS($BZ6,MATCH(AU$1,INDIRECT("Table!A" &amp; $BV6):INDIRECT("Table!" &amp; $CH$110 &amp; $BV6),0)))))/1024</f>
        <v>427.94912109375002</v>
      </c>
      <c r="AV6" s="709">
        <f ca="1">IF(ISERROR(MATCH(AV$1,INDIRECT("Table!A"&amp;$BV6):INDIRECT("Table!" &amp; $CH$110 &amp; $BV6),0)),"",INDIRECT(CONCATENATE("Table!",ADDRESS($BZ6,MATCH(AV$1,INDIRECT("Table!A" &amp; $BV6):INDIRECT("Table!" &amp; $CH$110 &amp; $BV6),0)))))/1024</f>
        <v>81.092578125000003</v>
      </c>
      <c r="AW6" s="709">
        <f ca="1">IF(ISERROR(MATCH(AW$1,INDIRECT("Table!A"&amp;$BV6):INDIRECT("Table!" &amp; $CH$110 &amp; $BV6),0)),"",INDIRECT(CONCATENATE("Table!",ADDRESS($BZ6,MATCH(AW$1,INDIRECT("Table!A" &amp; $BV6):INDIRECT("Table!" &amp; $CH$110 &amp; $BV6),0)))))/1024</f>
        <v>269.65859375000002</v>
      </c>
      <c r="AX6" s="709">
        <f ca="1">IF(ISERROR(MATCH(AX$1,INDIRECT("Table!A"&amp;$BV6):INDIRECT("Table!" &amp; $CH$110 &amp; $BV6),0)),"",INDIRECT(CONCATENATE("Table!",ADDRESS($BZ6,MATCH(AX$1,INDIRECT("Table!A" &amp; $BV6):INDIRECT("Table!" &amp; $CH$110 &amp; $BV6),0)))))/1024</f>
        <v>81.092578125000003</v>
      </c>
      <c r="AY6" s="709">
        <f ca="1">IF(ISERROR(MATCH(AY$1,INDIRECT("Table!A"&amp;$BV6):INDIRECT("Table!" &amp; $CH$110 &amp; $BV6),0)),"",INDIRECT(CONCATENATE("Table!",ADDRESS($BZ6,MATCH(AY$1,INDIRECT("Table!A" &amp; $BV6):INDIRECT("Table!" &amp; $CH$110 &amp; $BV6),0)))))/1024</f>
        <v>187.12714843750001</v>
      </c>
      <c r="AZ6" s="709">
        <f ca="1">IF(ISERROR(MATCH(AZ$1,INDIRECT("Table!A"&amp;$BV6):INDIRECT("Table!" &amp; $CH$110 &amp; $BV6),0)),"",INDIRECT(CONCATENATE("Table!",ADDRESS($BZ6,MATCH(AZ$1,INDIRECT("Table!A" &amp; $BV6):INDIRECT("Table!" &amp; $CH$110 &amp; $BV6),0)))))/1024</f>
        <v>256.14150390625002</v>
      </c>
      <c r="BA6" s="709">
        <f ca="1">IF(ISERROR(MATCH(BA$1,INDIRECT("Table!A"&amp;$BV6):INDIRECT("Table!" &amp; $CH$110 &amp; $BV6),0)),"",INDIRECT(CONCATENATE("Table!",ADDRESS($BZ6,MATCH(BA$1,INDIRECT("Table!A" &amp; $BV6):INDIRECT("Table!" &amp; $CH$110 &amp; $BV6),0)))))/1024</f>
        <v>58.323925781249997</v>
      </c>
      <c r="BB6" s="709">
        <f ca="1">IF(ISERROR(MATCH(BB$1,INDIRECT("Table!A"&amp;$BV6):INDIRECT("Table!" &amp; $CH$110 &amp; $BV6),0)),"",INDIRECT(CONCATENATE("Table!",ADDRESS($BZ6,MATCH(BB$1,INDIRECT("Table!A" &amp; $BV6):INDIRECT("Table!" &amp; $CH$110 &amp; $BV6),0)))))/1024</f>
        <v>32.31494140625</v>
      </c>
      <c r="BC6" s="709">
        <f ca="1">IF(ISERROR(MATCH(BC$1,INDIRECT("Table!A"&amp;$BV6):INDIRECT("Table!" &amp; $CH$110 &amp; $BV6),0)),"",INDIRECT(CONCATENATE("Table!",ADDRESS($BZ6,MATCH(BC$1,INDIRECT("Table!A" &amp; $BV6):INDIRECT("Table!" &amp; $CH$110 &amp; $BV6),0)))))/1024</f>
        <v>99.80126953125</v>
      </c>
      <c r="BD6" s="709">
        <f ca="1">IF(ISERROR(MATCH(BD$1,INDIRECT("Table!A"&amp;$BV6):INDIRECT("Table!" &amp; $CH$110 &amp; $BV6),0)),"",INDIRECT(CONCATENATE("Table!",ADDRESS($BZ6,MATCH(BD$1,INDIRECT("Table!A" &amp; $BV6):INDIRECT("Table!" &amp; $CH$110 &amp; $BV6),0)))))/1024</f>
        <v>204.58642578125</v>
      </c>
      <c r="BE6" s="905">
        <f ca="1">IF(ISERROR(MATCH(BE$1,INDIRECT("Table!A"&amp;$BV6):INDIRECT("Table!" &amp; $CH$110 &amp; $BV6),0)),"",INDIRECT(CONCATENATE("Table!",ADDRESS($BZ6,MATCH(BE$1,INDIRECT("Table!A" &amp; $BV6):INDIRECT("Table!" &amp; $CH$110 &amp; $BV6),0)))))/1024</f>
        <v>99.80126953125</v>
      </c>
      <c r="BF6" s="905">
        <f ca="1">IF(ISERROR(MATCH(BF$1,INDIRECT("Table!A"&amp;$BV6):INDIRECT("Table!" &amp; $CH$110 &amp; $BV6),0)),"",INDIRECT(CONCATENATE("Table!",ADDRESS($BZ6,MATCH(BF$1,INDIRECT("Table!A" &amp; $BV6):INDIRECT("Table!" &amp; $CH$110 &amp; $BV6),0)))))/1024</f>
        <v>204.58642578125</v>
      </c>
      <c r="BG6" s="905">
        <f ca="1">IF(ISERROR(MATCH(BG$1,INDIRECT("Table!A"&amp;$BV6):INDIRECT("Table!" &amp; $CH$110 &amp; $BV6),0)),"",INDIRECT(CONCATENATE("Table!",ADDRESS($BZ6,MATCH(BG$1,INDIRECT("Table!A" &amp; $BV6):INDIRECT("Table!" &amp; $CH$110 &amp; $BV6),0)))))/1024</f>
        <v>99.80126953125</v>
      </c>
      <c r="BH6" s="905">
        <f ca="1">IF(ISERROR(MATCH(BH$1,INDIRECT("Table!A"&amp;$BV6):INDIRECT("Table!" &amp; $CH$110 &amp; $BV6),0)),"",INDIRECT(CONCATENATE("Table!",ADDRESS($BZ6,MATCH(BH$1,INDIRECT("Table!A" &amp; $BV6):INDIRECT("Table!" &amp; $CH$110 &amp; $BV6),0)))))/1024</f>
        <v>204.58642578125</v>
      </c>
      <c r="BI6" s="905">
        <f ca="1">IF(ISERROR(MATCH(BI$1,INDIRECT("Table!A"&amp;$BV6):INDIRECT("Table!" &amp; $CH$110 &amp; $BV6),0)),"",INDIRECT(CONCATENATE("Table!",ADDRESS($BZ6,MATCH(BI$1,INDIRECT("Table!A" &amp; $BV6):INDIRECT("Table!" &amp; $CH$110 &amp; $BV6),0)))))/1024</f>
        <v>320.99140625000001</v>
      </c>
      <c r="BJ6" s="905">
        <f ca="1">IF(ISERROR(MATCH(BJ$1,INDIRECT("Table!A"&amp;$BV6):INDIRECT("Table!" &amp; $CH$110 &amp; $BV6),0)),"",INDIRECT(CONCATENATE("Table!",ADDRESS($BZ6,MATCH(BJ$1,INDIRECT("Table!A" &amp; $BV6):INDIRECT("Table!" &amp; $CH$110 &amp; $BV6),0)))))/1024</f>
        <v>186.39765625000001</v>
      </c>
      <c r="BK6" s="905">
        <f ca="1">IF(ISERROR(MATCH(BK$1,INDIRECT("Table!A"&amp;$BV6):INDIRECT("Table!" &amp; $CH$110 &amp; $BV6),0)),"",INDIRECT(CONCATENATE("Table!",ADDRESS($BZ6,MATCH(BK$1,INDIRECT("Table!A" &amp; $BV6):INDIRECT("Table!" &amp; $CH$110 &amp; $BV6),0)))))/1024</f>
        <v>218.81953125000001</v>
      </c>
      <c r="BL6" s="905">
        <f ca="1">IF(ISERROR(MATCH(BL$1,INDIRECT("Table!A"&amp;$BV6):INDIRECT("Table!" &amp; $CH$110 &amp; $BV6),0)),"",INDIRECT(CONCATENATE("Table!",ADDRESS($BZ6,MATCH(BL$1,INDIRECT("Table!A" &amp; $BV6):INDIRECT("Table!" &amp; $CH$110 &amp; $BV6),0)))))/1024</f>
        <v>218.81953125000001</v>
      </c>
      <c r="BM6" s="905">
        <f ca="1">IF(ISERROR(MATCH(BM$1,INDIRECT("Table!A"&amp;$BV6):INDIRECT("Table!" &amp; $CH$110 &amp; $BV6),0)),"",INDIRECT(CONCATENATE("Table!",ADDRESS($BZ6,MATCH(BM$1,INDIRECT("Table!A" &amp; $BV6):INDIRECT("Table!" &amp; $CH$110 &amp; $BV6),0)))))/1024</f>
        <v>152.53330078125001</v>
      </c>
      <c r="BN6" s="905">
        <f ca="1">IF(ISERROR(MATCH(BN$1,INDIRECT("Table!A"&amp;$BV6):INDIRECT("Table!" &amp; $CH$110 &amp; $BV6),0)),"",INDIRECT(CONCATENATE("Table!",ADDRESS($BZ6,MATCH(BN$1,INDIRECT("Table!A" &amp; $BV6):INDIRECT("Table!" &amp; $CH$110 &amp; $BV6),0)))))/1024</f>
        <v>152.53330078125001</v>
      </c>
      <c r="BO6" s="905">
        <f ca="1">IF(ISERROR(MATCH(BO$1,INDIRECT("Table!A"&amp;$BV6):INDIRECT("Table!" &amp; $CH$110 &amp; $BV6),0)),"",INDIRECT(CONCATENATE("Table!",ADDRESS($BZ6,MATCH(BO$1,INDIRECT("Table!A" &amp; $BV6):INDIRECT("Table!" &amp; $CH$110 &amp; $BV6),0)))))/1024</f>
        <v>218.81953125000001</v>
      </c>
      <c r="BP6" s="905">
        <f ca="1">IF(ISERROR(MATCH(BP$1,INDIRECT("Table!A"&amp;$BV6):INDIRECT("Table!" &amp; $CH$110 &amp; $BV6),0)),"",INDIRECT(CONCATENATE("Table!",ADDRESS($BZ6,MATCH(BP$1,INDIRECT("Table!A" &amp; $BV6):INDIRECT("Table!" &amp; $CH$110 &amp; $BV6),0)))))/1024</f>
        <v>186.39765625000001</v>
      </c>
      <c r="BR6" s="704">
        <f>MATCH($A6,Table!$A:$A,0)+$BT$2-1</f>
        <v>47</v>
      </c>
      <c r="BS6" s="744"/>
      <c r="BT6" s="744"/>
      <c r="BU6" s="744"/>
      <c r="BV6" s="717">
        <f>MATCH($A6,Table!$A:$A,0)+$BX$2-1</f>
        <v>45</v>
      </c>
      <c r="BW6" s="744"/>
      <c r="BX6" s="744"/>
      <c r="BY6" s="744"/>
      <c r="BZ6" s="704">
        <f>MATCH($A6,Table!$A:$A,0)+$CB$2-1</f>
        <v>46</v>
      </c>
      <c r="CA6" s="744"/>
      <c r="CB6" s="744"/>
      <c r="CC6" s="744"/>
      <c r="CD6" s="717">
        <f>MATCH($A6,Table!$A:$A,0)+$BX$2-1</f>
        <v>45</v>
      </c>
      <c r="CE6" s="744"/>
      <c r="CF6" s="744"/>
      <c r="CG6" s="744"/>
      <c r="CH6" s="711" t="s">
        <v>302</v>
      </c>
      <c r="CI6" s="712">
        <f t="shared" ref="CI6" ca="1" si="15">SUM(AJ6:BP6)</f>
        <v>6078.8690429687504</v>
      </c>
      <c r="CJ6" s="712">
        <f t="shared" ref="CJ6" ca="1" si="16">SUM(B6:AH6)</f>
        <v>2533.6442382812506</v>
      </c>
      <c r="CK6" s="712">
        <f t="shared" ref="CK6" ca="1" si="17">CI6-CJ6</f>
        <v>3545.2248046874997</v>
      </c>
      <c r="CL6" s="718">
        <f t="shared" ref="CL6" ca="1" si="18">CJ6/CI6</f>
        <v>0.41679533156119603</v>
      </c>
      <c r="CM6" s="712">
        <f ca="1">SUMIF('Alloc Feed'!A:I,A:A,'Alloc Feed'!I:I)</f>
        <v>4101.6203671875001</v>
      </c>
      <c r="CN6" s="718">
        <f t="shared" ref="CN6" ca="1" si="19">CM6/CI6</f>
        <v>0.6747341221195946</v>
      </c>
    </row>
    <row r="7" spans="1:92" s="947" customFormat="1" x14ac:dyDescent="0.25">
      <c r="A7" s="703">
        <v>41949</v>
      </c>
      <c r="B7" s="709">
        <f ca="1">IF(ISERROR(MATCH(B$1,INDIRECT("Table!A"&amp;$BV7):INDIRECT("Table!" &amp; $CH$110 &amp; $BV7),0)),"",INDIRECT(CONCATENATE("Table!",ADDRESS($BR7,MATCH(B$1,INDIRECT("Table!A" &amp; $BV7):INDIRECT("Table!" &amp; $CH$110 &amp; $BV7),0)))))/1024</f>
        <v>52.898046874999999</v>
      </c>
      <c r="C7" s="709">
        <f ca="1">IF(ISERROR(MATCH(C$1,INDIRECT("Table!A"&amp;$BV7):INDIRECT("Table!" &amp; $CH$110 &amp; $BV7),0)),"",INDIRECT(CONCATENATE("Table!",ADDRESS($BR7,MATCH(C$1,INDIRECT("Table!A" &amp; $BV7):INDIRECT("Table!" &amp; $CH$110 &amp; $BV7),0)))))/1024</f>
        <v>85.0634765625</v>
      </c>
      <c r="D7" s="709">
        <f ca="1">IF(ISERROR(MATCH(D$1,INDIRECT("Table!A"&amp;$BV7):INDIRECT("Table!" &amp; $CH$110 &amp; $BV7),0)),"",INDIRECT(CONCATENATE("Table!",ADDRESS($BR7,MATCH(D$1,INDIRECT("Table!A" &amp; $BV7):INDIRECT("Table!" &amp; $CH$110 &amp; $BV7),0)))))/1024</f>
        <v>84.816796874999994</v>
      </c>
      <c r="E7" s="709">
        <f ca="1">IF(ISERROR(MATCH(E$1,INDIRECT("Table!A"&amp;$BV7):INDIRECT("Table!" &amp; $CH$110 &amp; $BV7),0)),"",INDIRECT(CONCATENATE("Table!",ADDRESS($BR7,MATCH(E$1,INDIRECT("Table!A" &amp; $BV7):INDIRECT("Table!" &amp; $CH$110 &amp; $BV7),0)))))/1024</f>
        <v>100.05419921875</v>
      </c>
      <c r="F7" s="709">
        <f ca="1">IF(ISERROR(MATCH(F$1,INDIRECT("Table!A"&amp;$BV7):INDIRECT("Table!" &amp; $CH$110 &amp; $BV7),0)),"",INDIRECT(CONCATENATE("Table!",ADDRESS($BR7,MATCH(F$1,INDIRECT("Table!A" &amp; $BV7):INDIRECT("Table!" &amp; $CH$110 &amp; $BV7),0)))))/1024</f>
        <v>117.30820312500001</v>
      </c>
      <c r="G7" s="709">
        <f ca="1">IF(ISERROR(MATCH(G$1,INDIRECT("Table!A"&amp;$BV7):INDIRECT("Table!" &amp; $CH$110 &amp; $BV7),0)),"",INDIRECT(CONCATENATE("Table!",ADDRESS($BR7,MATCH(G$1,INDIRECT("Table!A" &amp; $BV7):INDIRECT("Table!" &amp; $CH$110 &amp; $BV7),0)))))/1024</f>
        <v>204.77900390625001</v>
      </c>
      <c r="H7" s="709">
        <f ca="1">IF(ISERROR(MATCH(H$1,INDIRECT("Table!A"&amp;$BV7):INDIRECT("Table!" &amp; $CH$110 &amp; $BV7),0)),"",INDIRECT(CONCATENATE("Table!",ADDRESS($BR7,MATCH(H$1,INDIRECT("Table!A" &amp; $BV7):INDIRECT("Table!" &amp; $CH$110 &amp; $BV7),0)))))/1024</f>
        <v>95.530957031249997</v>
      </c>
      <c r="I7" s="709">
        <f ca="1">IF(ISERROR(MATCH(I$1,INDIRECT("Table!A"&amp;$BV7):INDIRECT("Table!" &amp; $CH$110 &amp; $BV7),0)),"",INDIRECT(CONCATENATE("Table!",ADDRESS($BR7,MATCH(I$1,INDIRECT("Table!A" &amp; $BV7):INDIRECT("Table!" &amp; $CH$110 &amp; $BV7),0)))))/1024</f>
        <v>26.68798828125</v>
      </c>
      <c r="J7" s="709">
        <f ca="1">IF(ISERROR(MATCH(J$1,INDIRECT("Table!A"&amp;$BV7):INDIRECT("Table!" &amp; $CH$110 &amp; $BV7),0)),"",INDIRECT(CONCATENATE("Table!",ADDRESS($BR7,MATCH(J$1,INDIRECT("Table!A" &amp; $BV7):INDIRECT("Table!" &amp; $CH$110 &amp; $BV7),0)))))/1024</f>
        <v>99.868554687499994</v>
      </c>
      <c r="K7" s="709">
        <f ca="1">IF(ISERROR(MATCH(K$1,INDIRECT("Table!A"&amp;$BV7):INDIRECT("Table!" &amp; $CH$110 &amp; $BV7),0)),"",INDIRECT(CONCATENATE("Table!",ADDRESS($BR7,MATCH(K$1,INDIRECT("Table!A" &amp; $BV7):INDIRECT("Table!" &amp; $CH$110 &amp; $BV7),0)))))/1024</f>
        <v>97.512304687500006</v>
      </c>
      <c r="L7" s="709">
        <f ca="1">IF(ISERROR(MATCH(L$1,INDIRECT("Table!A"&amp;$BV7):INDIRECT("Table!" &amp; $CH$110 &amp; $BV7),0)),"",INDIRECT(CONCATENATE("Table!",ADDRESS($BR7,MATCH(L$1,INDIRECT("Table!A" &amp; $BV7):INDIRECT("Table!" &amp; $CH$110 &amp; $BV7),0)))))/1024</f>
        <v>79.162011718749994</v>
      </c>
      <c r="M7" s="709">
        <f ca="1">IF(ISERROR(MATCH(M$1,INDIRECT("Table!A"&amp;$BV7):INDIRECT("Table!" &amp; $CH$110 &amp; $BV7),0)),"",INDIRECT(CONCATENATE("Table!",ADDRESS($BR7,MATCH(M$1,INDIRECT("Table!A" &amp; $BV7):INDIRECT("Table!" &amp; $CH$110 &amp; $BV7),0)))))/1024</f>
        <v>210.14208984375</v>
      </c>
      <c r="N7" s="709">
        <f ca="1">IF(ISERROR(MATCH(N$1,INDIRECT("Table!A"&amp;$BV7):INDIRECT("Table!" &amp; $CH$110 &amp; $BV7),0)),"",INDIRECT(CONCATENATE("Table!",ADDRESS($BR7,MATCH(N$1,INDIRECT("Table!A" &amp; $BV7):INDIRECT("Table!" &amp; $CH$110 &amp; $BV7),0)))))/1024</f>
        <v>59.243847656249997</v>
      </c>
      <c r="O7" s="709">
        <f ca="1">IF(ISERROR(MATCH(O$1,INDIRECT("Table!A"&amp;$BV7):INDIRECT("Table!" &amp; $CH$110 &amp; $BV7),0)),"",INDIRECT(CONCATENATE("Table!",ADDRESS($BR7,MATCH(O$1,INDIRECT("Table!A" &amp; $BV7):INDIRECT("Table!" &amp; $CH$110 &amp; $BV7),0)))))/1024</f>
        <v>179.78593749999999</v>
      </c>
      <c r="P7" s="709">
        <f ca="1">IF(ISERROR(MATCH(P$1,INDIRECT("Table!A"&amp;$BV7):INDIRECT("Table!" &amp; $CH$110 &amp; $BV7),0)),"",INDIRECT(CONCATENATE("Table!",ADDRESS($BR7,MATCH(P$1,INDIRECT("Table!A" &amp; $BV7):INDIRECT("Table!" &amp; $CH$110 &amp; $BV7),0)))))/1024</f>
        <v>51.681054687500001</v>
      </c>
      <c r="Q7" s="709">
        <f ca="1">IF(ISERROR(MATCH(Q$1,INDIRECT("Table!A"&amp;$BV7):INDIRECT("Table!" &amp; $CH$110 &amp; $BV7),0)),"",INDIRECT(CONCATENATE("Table!",ADDRESS($BR7,MATCH(Q$1,INDIRECT("Table!A" &amp; $BV7):INDIRECT("Table!" &amp; $CH$110 &amp; $BV7),0)))))/1024</f>
        <v>151.85</v>
      </c>
      <c r="R7" s="709">
        <f ca="1">IF(ISERROR(MATCH(R$1,INDIRECT("Table!A"&amp;$BV7):INDIRECT("Table!" &amp; $CH$110 &amp; $BV7),0)),"",INDIRECT(CONCATENATE("Table!",ADDRESS($BR7,MATCH(R$1,INDIRECT("Table!A" &amp; $BV7):INDIRECT("Table!" &amp; $CH$110 &amp; $BV7),0)))))/1024</f>
        <v>182.27558593750001</v>
      </c>
      <c r="S7" s="709">
        <f ca="1">IF(ISERROR(MATCH(S$1,INDIRECT("Table!A"&amp;$BV7):INDIRECT("Table!" &amp; $CH$65 &amp; $BV7),0)),"",INDIRECT(CONCATENATE("Table!",ADDRESS($BR7,MATCH(S$1,INDIRECT("Table!A" &amp; $BV7):INDIRECT("Table!" &amp; $CH$65 &amp; $BV7),0)))))/1024</f>
        <v>39.545996093749999</v>
      </c>
      <c r="T7" s="709">
        <f ca="1">IF(ISERROR(MATCH(T$1,INDIRECT("Table!A"&amp;$BV7):INDIRECT("Table!" &amp; $CH$65 &amp; $BV7),0)),"",INDIRECT(CONCATENATE("Table!",ADDRESS($BR7,MATCH(T$1,INDIRECT("Table!A" &amp; $BV7):INDIRECT("Table!" &amp; $CH$65 &amp; $BV7),0)))))/1024</f>
        <v>13.953906249999999</v>
      </c>
      <c r="U7" s="709">
        <f ca="1">IF(ISERROR(MATCH(U$1,INDIRECT("Table!A"&amp;$BV7):INDIRECT("Table!" &amp; $CH$65 &amp; $BV7),0)),"",INDIRECT(CONCATENATE("Table!",ADDRESS($BR7,MATCH(U$1,INDIRECT("Table!A" &amp; $BV7):INDIRECT("Table!" &amp; $CH$65 &amp; $BV7),0)))))/1024</f>
        <v>15.300976562500001</v>
      </c>
      <c r="V7" s="709">
        <f ca="1">IF(ISERROR(MATCH(V$1,INDIRECT("Table!A"&amp;$BV7):INDIRECT("Table!" &amp; $CH$65 &amp; $BV7),0)),"",INDIRECT(CONCATENATE("Table!",ADDRESS($BR7,MATCH(V$1,INDIRECT("Table!A" &amp; $BV7):INDIRECT("Table!" &amp; $CH$65 &amp; $BV7),0)))))/1024</f>
        <v>30.604199218750001</v>
      </c>
      <c r="W7" s="709">
        <f ca="1">IF(ISERROR(MATCH(W$1,INDIRECT("Table!A"&amp;$BV7):INDIRECT("Table!" &amp; $CH$65 &amp; $BV7),0)),"",INDIRECT(CONCATENATE("Table!",ADDRESS($BR7,MATCH(W$1,INDIRECT("Table!A" &amp; $BV7):INDIRECT("Table!" &amp; $CH$65 &amp; $BV7),0)))))/1024</f>
        <v>37.190136718749997</v>
      </c>
      <c r="X7" s="709">
        <f ca="1">IF(ISERROR(MATCH(X$1,INDIRECT("Table!A"&amp;$BV7):INDIRECT("Table!" &amp; $CH$65 &amp; $BV7),0)),"",INDIRECT(CONCATENATE("Table!",ADDRESS($BR7,MATCH(X$1,INDIRECT("Table!A" &amp; $BV7):INDIRECT("Table!" &amp; $CH$65 &amp; $BV7),0)))))/1024</f>
        <v>73.478613281250006</v>
      </c>
      <c r="Y7" s="709">
        <f ca="1">IF(ISERROR(MATCH(Y$1,INDIRECT("Table!A"&amp;$BV7):INDIRECT("Table!" &amp; $CH$65 &amp; $BV7),0)),"",INDIRECT(CONCATENATE("Table!",ADDRESS($BR7,MATCH(Y$1,INDIRECT("Table!A" &amp; $BV7):INDIRECT("Table!" &amp; $CH$65 &amp; $BV7),0)))))/1024</f>
        <v>28.71435546875</v>
      </c>
      <c r="Z7" s="709">
        <f ca="1">IF(ISERROR(MATCH(Z$1,INDIRECT("Table!A"&amp;$BV7):INDIRECT("Table!" &amp; $CH$65 &amp; $BV7),0)),"",INDIRECT(CONCATENATE("Table!",ADDRESS($BR7,MATCH(Z$1,INDIRECT("Table!A" &amp; $BV7):INDIRECT("Table!" &amp; $CH$65 &amp; $BV7),0)))))/1024</f>
        <v>49.608496093749999</v>
      </c>
      <c r="AA7" s="709">
        <f ca="1">IF(ISERROR(MATCH(AA$1,INDIRECT("Table!A"&amp;$BV7):INDIRECT("Table!" &amp; $CH$65 &amp; $BV7),0)),"",INDIRECT(CONCATENATE("Table!",ADDRESS($BR7,MATCH(AA$1,INDIRECT("Table!A" &amp; $BV7):INDIRECT("Table!" &amp; $CH$65 &amp; $BV7),0)))))/1024</f>
        <v>134.65927734375001</v>
      </c>
      <c r="AB7" s="709">
        <f ca="1">IF(ISERROR(MATCH(AB$1,INDIRECT("Table!A"&amp;$BV7):INDIRECT("Table!" &amp; $CH$65 &amp; $BV7),0)),"",INDIRECT(CONCATENATE("Table!",ADDRESS($BR7,MATCH(AB$1,INDIRECT("Table!A" &amp; $BV7):INDIRECT("Table!" &amp; $CH$65 &amp; $BV7),0)))))/1024</f>
        <v>4.7851562500000003E-3</v>
      </c>
      <c r="AC7" s="709">
        <f ca="1">IF(ISERROR(MATCH(AC$1,INDIRECT("Table!A"&amp;$BV7):INDIRECT("Table!" &amp; $CH$65 &amp; $BV7),0)),"",INDIRECT(CONCATENATE("Table!",ADDRESS($BR7,MATCH(AC$1,INDIRECT("Table!A" &amp; $BV7):INDIRECT("Table!" &amp; $CH$65 &amp; $BV7),0)))))/1024</f>
        <v>44.591210937500001</v>
      </c>
      <c r="AD7" s="709">
        <f ca="1">IF(ISERROR(MATCH(AD$1,INDIRECT("Table!A"&amp;$BV7):INDIRECT("Table!" &amp; $CH$65 &amp; $BV7),0)),"",INDIRECT(CONCATENATE("Table!",ADDRESS($BR7,MATCH(AD$1,INDIRECT("Table!A" &amp; $BV7):INDIRECT("Table!" &amp; $CH$65 &amp; $BV7),0)))))/1024</f>
        <v>74.482226562500003</v>
      </c>
      <c r="AE7" s="709">
        <f ca="1">IF(ISERROR(MATCH(AE$1,INDIRECT("Table!A"&amp;$BV7):INDIRECT("Table!" &amp; $CH$65 &amp; $BV7),0)),"",INDIRECT(CONCATENATE("Table!",ADDRESS($BR7,MATCH(AE$1,INDIRECT("Table!A" &amp; $BV7):INDIRECT("Table!" &amp; $CH$65 &amp; $BV7),0)))))/1024</f>
        <v>24.225781250000001</v>
      </c>
      <c r="AF7" s="709">
        <f ca="1">IF(ISERROR(MATCH(AF$1,INDIRECT("Table!A"&amp;$BV7):INDIRECT("Table!" &amp; $CH$65 &amp; $BV7),0)),"",INDIRECT(CONCATENATE("Table!",ADDRESS($BR7,MATCH(AF$1,INDIRECT("Table!A" &amp; $BV7):INDIRECT("Table!" &amp; $CH$65 &amp; $BV7),0)))))/1024</f>
        <v>24.197558593749999</v>
      </c>
      <c r="AG7" s="709">
        <f ca="1">IF(ISERROR(MATCH(AG$1,INDIRECT("Table!A"&amp;$BV7):INDIRECT("Table!" &amp; $CH$65 &amp; $BV7),0)),"",INDIRECT(CONCATENATE("Table!",ADDRESS($BR7,MATCH(AG$1,INDIRECT("Table!A" &amp; $BV7):INDIRECT("Table!" &amp; $CH$65 &amp; $BV7),0)))))/1024</f>
        <v>13.7763671875</v>
      </c>
      <c r="AH7" s="709">
        <f ca="1">IF(ISERROR(MATCH(AH$1,INDIRECT("Table!A"&amp;$BV7):INDIRECT("Table!" &amp; $CH$65 &amp; $BV7),0)),"",INDIRECT(CONCATENATE("Table!",ADDRESS($BR7,MATCH(AH$1,INDIRECT("Table!A" &amp; $BV7):INDIRECT("Table!" &amp; $CH$65 &amp; $BV7),0)))))/1024</f>
        <v>4.7851562500000003E-3</v>
      </c>
      <c r="AI7" s="709" t="str">
        <f ca="1">IF(ISERROR(MATCH(AI$1,INDIRECT("Table!A"&amp;$BV7):INDIRECT("Table!" &amp; $CH$110 &amp; $BV7),0)),"",INDIRECT(CONCATENATE("Table!",ADDRESS($BR7,MATCH(AI$1,INDIRECT("Table!A" &amp; $BV7):INDIRECT("Table!" &amp; $CH$110 &amp; $BV7),0)))))</f>
        <v/>
      </c>
      <c r="AJ7" s="709">
        <f ca="1">IF(ISERROR(MATCH(AJ$1,INDIRECT("Table!A"&amp;$BV7):INDIRECT("Table!" &amp; $CH$110 &amp; $BV7),0)),"",INDIRECT(CONCATENATE("Table!",ADDRESS($BZ7,MATCH(AJ$1,INDIRECT("Table!A" &amp; $BV7):INDIRECT("Table!" &amp; $CH$110 &amp; $BV7),0)))))/1024</f>
        <v>244.15859374999999</v>
      </c>
      <c r="AK7" s="709">
        <f ca="1">IF(ISERROR(MATCH(AK$1,INDIRECT("Table!A"&amp;$BV7):INDIRECT("Table!" &amp; $CH$110 &amp; $BV7),0)),"",INDIRECT(CONCATENATE("Table!",ADDRESS($BZ7,MATCH(AK$1,INDIRECT("Table!A" &amp; $BV7):INDIRECT("Table!" &amp; $CH$110 &amp; $BV7),0)))))/1024</f>
        <v>146.98896484375001</v>
      </c>
      <c r="AL7" s="709">
        <f ca="1">IF(ISERROR(MATCH(AL$1,INDIRECT("Table!A"&amp;$BV7):INDIRECT("Table!" &amp; $CH$110 &amp; $BV7),0)),"",INDIRECT(CONCATENATE("Table!",ADDRESS($BZ7,MATCH(AL$1,INDIRECT("Table!A" &amp; $BV7):INDIRECT("Table!" &amp; $CH$110 &amp; $BV7),0)))))/1024</f>
        <v>146.98896484375001</v>
      </c>
      <c r="AM7" s="709">
        <f ca="1">IF(ISERROR(MATCH(AM$1,INDIRECT("Table!A"&amp;$BV7):INDIRECT("Table!" &amp; $CH$110 &amp; $BV7),0)),"",INDIRECT(CONCATENATE("Table!",ADDRESS($BZ7,MATCH(AM$1,INDIRECT("Table!A" &amp; $BV7):INDIRECT("Table!" &amp; $CH$110 &amp; $BV7),0)))))/1024</f>
        <v>177.73320312499999</v>
      </c>
      <c r="AN7" s="709">
        <f ca="1">IF(ISERROR(MATCH(AN$1,INDIRECT("Table!A"&amp;$BV7):INDIRECT("Table!" &amp; $CH$110 &amp; $BV7),0)),"",INDIRECT(CONCATENATE("Table!",ADDRESS($BZ7,MATCH(AN$1,INDIRECT("Table!A" &amp; $BV7):INDIRECT("Table!" &amp; $CH$110 &amp; $BV7),0)))))/1024</f>
        <v>161.88056640625001</v>
      </c>
      <c r="AO7" s="709">
        <f ca="1">IF(ISERROR(MATCH(AO$1,INDIRECT("Table!A"&amp;$BV7):INDIRECT("Table!" &amp; $CH$110 &amp; $BV7),0)),"",INDIRECT(CONCATENATE("Table!",ADDRESS($BZ7,MATCH(AO$1,INDIRECT("Table!A" &amp; $BV7):INDIRECT("Table!" &amp; $CH$110 &amp; $BV7),0)))))/1024</f>
        <v>380.3759765625</v>
      </c>
      <c r="AP7" s="709">
        <f ca="1">IF(ISERROR(MATCH(AP$1,INDIRECT("Table!A"&amp;$BV7):INDIRECT("Table!" &amp; $CH$110 &amp; $BV7),0)),"",INDIRECT(CONCATENATE("Table!",ADDRESS($BZ7,MATCH(AP$1,INDIRECT("Table!A" &amp; $BV7):INDIRECT("Table!" &amp; $CH$110 &amp; $BV7),0)))))/1024</f>
        <v>167.94482421875</v>
      </c>
      <c r="AQ7" s="709">
        <f ca="1">IF(ISERROR(MATCH(AQ$1,INDIRECT("Table!A"&amp;$BV7):INDIRECT("Table!" &amp; $CH$110 &amp; $BV7),0)),"",INDIRECT(CONCATENATE("Table!",ADDRESS($BZ7,MATCH(AQ$1,INDIRECT("Table!A" &amp; $BV7):INDIRECT("Table!" &amp; $CH$110 &amp; $BV7),0)))))/1024</f>
        <v>162.185546875</v>
      </c>
      <c r="AR7" s="709">
        <f ca="1">IF(ISERROR(MATCH(AR$1,INDIRECT("Table!A"&amp;$BV7):INDIRECT("Table!" &amp; $CH$110 &amp; $BV7),0)),"",INDIRECT(CONCATENATE("Table!",ADDRESS($BZ7,MATCH(AR$1,INDIRECT("Table!A" &amp; $BV7):INDIRECT("Table!" &amp; $CH$110 &amp; $BV7),0)))))/1024</f>
        <v>121.1125</v>
      </c>
      <c r="AS7" s="709">
        <f ca="1">IF(ISERROR(MATCH(AS$1,INDIRECT("Table!A"&amp;$BV7):INDIRECT("Table!" &amp; $CH$110 &amp; $BV7),0)),"",INDIRECT(CONCATENATE("Table!",ADDRESS($BZ7,MATCH(AS$1,INDIRECT("Table!A" &amp; $BV7):INDIRECT("Table!" &amp; $CH$110 &amp; $BV7),0)))))/1024</f>
        <v>218.81953125000001</v>
      </c>
      <c r="AT7" s="709">
        <f ca="1">IF(ISERROR(MATCH(AT$1,INDIRECT("Table!A"&amp;$BV7):INDIRECT("Table!" &amp; $CH$110 &amp; $BV7),0)),"",INDIRECT(CONCATENATE("Table!",ADDRESS($BZ7,MATCH(AT$1,INDIRECT("Table!A" &amp; $BV7):INDIRECT("Table!" &amp; $CH$110 &amp; $BV7),0)))))/1024</f>
        <v>188.50498046875001</v>
      </c>
      <c r="AU7" s="709">
        <f ca="1">IF(ISERROR(MATCH(AU$1,INDIRECT("Table!A"&amp;$BV7):INDIRECT("Table!" &amp; $CH$110 &amp; $BV7),0)),"",INDIRECT(CONCATENATE("Table!",ADDRESS($BZ7,MATCH(AU$1,INDIRECT("Table!A" &amp; $BV7):INDIRECT("Table!" &amp; $CH$110 &amp; $BV7),0)))))/1024</f>
        <v>427.94912109375002</v>
      </c>
      <c r="AV7" s="709">
        <f ca="1">IF(ISERROR(MATCH(AV$1,INDIRECT("Table!A"&amp;$BV7):INDIRECT("Table!" &amp; $CH$110 &amp; $BV7),0)),"",INDIRECT(CONCATENATE("Table!",ADDRESS($BZ7,MATCH(AV$1,INDIRECT("Table!A" &amp; $BV7):INDIRECT("Table!" &amp; $CH$110 &amp; $BV7),0)))))/1024</f>
        <v>81.092578125000003</v>
      </c>
      <c r="AW7" s="709">
        <f ca="1">IF(ISERROR(MATCH(AW$1,INDIRECT("Table!A"&amp;$BV7):INDIRECT("Table!" &amp; $CH$110 &amp; $BV7),0)),"",INDIRECT(CONCATENATE("Table!",ADDRESS($BZ7,MATCH(AW$1,INDIRECT("Table!A" &amp; $BV7):INDIRECT("Table!" &amp; $CH$110 &amp; $BV7),0)))))/1024</f>
        <v>269.65859375000002</v>
      </c>
      <c r="AX7" s="709">
        <f ca="1">IF(ISERROR(MATCH(AX$1,INDIRECT("Table!A"&amp;$BV7):INDIRECT("Table!" &amp; $CH$110 &amp; $BV7),0)),"",INDIRECT(CONCATENATE("Table!",ADDRESS($BZ7,MATCH(AX$1,INDIRECT("Table!A" &amp; $BV7):INDIRECT("Table!" &amp; $CH$110 &amp; $BV7),0)))))/1024</f>
        <v>81.092578125000003</v>
      </c>
      <c r="AY7" s="709">
        <f ca="1">IF(ISERROR(MATCH(AY$1,INDIRECT("Table!A"&amp;$BV7):INDIRECT("Table!" &amp; $CH$110 &amp; $BV7),0)),"",INDIRECT(CONCATENATE("Table!",ADDRESS($BZ7,MATCH(AY$1,INDIRECT("Table!A" &amp; $BV7):INDIRECT("Table!" &amp; $CH$110 &amp; $BV7),0)))))/1024</f>
        <v>187.12714843750001</v>
      </c>
      <c r="AZ7" s="709">
        <f ca="1">IF(ISERROR(MATCH(AZ$1,INDIRECT("Table!A"&amp;$BV7):INDIRECT("Table!" &amp; $CH$110 &amp; $BV7),0)),"",INDIRECT(CONCATENATE("Table!",ADDRESS($BZ7,MATCH(AZ$1,INDIRECT("Table!A" &amp; $BV7):INDIRECT("Table!" &amp; $CH$110 &amp; $BV7),0)))))/1024</f>
        <v>256.14150390625002</v>
      </c>
      <c r="BA7" s="709">
        <f ca="1">IF(ISERROR(MATCH(BA$1,INDIRECT("Table!A"&amp;$BV7):INDIRECT("Table!" &amp; $CH$110 &amp; $BV7),0)),"",INDIRECT(CONCATENATE("Table!",ADDRESS($BZ7,MATCH(BA$1,INDIRECT("Table!A" &amp; $BV7):INDIRECT("Table!" &amp; $CH$110 &amp; $BV7),0)))))/1024</f>
        <v>58.323925781249997</v>
      </c>
      <c r="BB7" s="709">
        <f ca="1">IF(ISERROR(MATCH(BB$1,INDIRECT("Table!A"&amp;$BV7):INDIRECT("Table!" &amp; $CH$110 &amp; $BV7),0)),"",INDIRECT(CONCATENATE("Table!",ADDRESS($BZ7,MATCH(BB$1,INDIRECT("Table!A" &amp; $BV7):INDIRECT("Table!" &amp; $CH$110 &amp; $BV7),0)))))/1024</f>
        <v>32.31494140625</v>
      </c>
      <c r="BC7" s="709">
        <f ca="1">IF(ISERROR(MATCH(BC$1,INDIRECT("Table!A"&amp;$BV7):INDIRECT("Table!" &amp; $CH$110 &amp; $BV7),0)),"",INDIRECT(CONCATENATE("Table!",ADDRESS($BZ7,MATCH(BC$1,INDIRECT("Table!A" &amp; $BV7):INDIRECT("Table!" &amp; $CH$110 &amp; $BV7),0)))))/1024</f>
        <v>99.80126953125</v>
      </c>
      <c r="BD7" s="709">
        <f ca="1">IF(ISERROR(MATCH(BD$1,INDIRECT("Table!A"&amp;$BV7):INDIRECT("Table!" &amp; $CH$110 &amp; $BV7),0)),"",INDIRECT(CONCATENATE("Table!",ADDRESS($BZ7,MATCH(BD$1,INDIRECT("Table!A" &amp; $BV7):INDIRECT("Table!" &amp; $CH$110 &amp; $BV7),0)))))/1024</f>
        <v>204.58642578125</v>
      </c>
      <c r="BE7" s="905">
        <f ca="1">IF(ISERROR(MATCH(BE$1,INDIRECT("Table!A"&amp;$BV7):INDIRECT("Table!" &amp; $CH$110 &amp; $BV7),0)),"",INDIRECT(CONCATENATE("Table!",ADDRESS($BZ7,MATCH(BE$1,INDIRECT("Table!A" &amp; $BV7):INDIRECT("Table!" &amp; $CH$110 &amp; $BV7),0)))))/1024</f>
        <v>99.80126953125</v>
      </c>
      <c r="BF7" s="905">
        <f ca="1">IF(ISERROR(MATCH(BF$1,INDIRECT("Table!A"&amp;$BV7):INDIRECT("Table!" &amp; $CH$110 &amp; $BV7),0)),"",INDIRECT(CONCATENATE("Table!",ADDRESS($BZ7,MATCH(BF$1,INDIRECT("Table!A" &amp; $BV7):INDIRECT("Table!" &amp; $CH$110 &amp; $BV7),0)))))/1024</f>
        <v>204.58642578125</v>
      </c>
      <c r="BG7" s="905">
        <f ca="1">IF(ISERROR(MATCH(BG$1,INDIRECT("Table!A"&amp;$BV7):INDIRECT("Table!" &amp; $CH$110 &amp; $BV7),0)),"",INDIRECT(CONCATENATE("Table!",ADDRESS($BZ7,MATCH(BG$1,INDIRECT("Table!A" &amp; $BV7):INDIRECT("Table!" &amp; $CH$110 &amp; $BV7),0)))))/1024</f>
        <v>99.80126953125</v>
      </c>
      <c r="BH7" s="905">
        <f ca="1">IF(ISERROR(MATCH(BH$1,INDIRECT("Table!A"&amp;$BV7):INDIRECT("Table!" &amp; $CH$110 &amp; $BV7),0)),"",INDIRECT(CONCATENATE("Table!",ADDRESS($BZ7,MATCH(BH$1,INDIRECT("Table!A" &amp; $BV7):INDIRECT("Table!" &amp; $CH$110 &amp; $BV7),0)))))/1024</f>
        <v>204.58642578125</v>
      </c>
      <c r="BI7" s="905">
        <f ca="1">IF(ISERROR(MATCH(BI$1,INDIRECT("Table!A"&amp;$BV7):INDIRECT("Table!" &amp; $CH$110 &amp; $BV7),0)),"",INDIRECT(CONCATENATE("Table!",ADDRESS($BZ7,MATCH(BI$1,INDIRECT("Table!A" &amp; $BV7):INDIRECT("Table!" &amp; $CH$110 &amp; $BV7),0)))))/1024</f>
        <v>320.99140625000001</v>
      </c>
      <c r="BJ7" s="905">
        <f ca="1">IF(ISERROR(MATCH(BJ$1,INDIRECT("Table!A"&amp;$BV7):INDIRECT("Table!" &amp; $CH$110 &amp; $BV7),0)),"",INDIRECT(CONCATENATE("Table!",ADDRESS($BZ7,MATCH(BJ$1,INDIRECT("Table!A" &amp; $BV7):INDIRECT("Table!" &amp; $CH$110 &amp; $BV7),0)))))/1024</f>
        <v>186.39765625000001</v>
      </c>
      <c r="BK7" s="905">
        <f ca="1">IF(ISERROR(MATCH(BK$1,INDIRECT("Table!A"&amp;$BV7):INDIRECT("Table!" &amp; $CH$110 &amp; $BV7),0)),"",INDIRECT(CONCATENATE("Table!",ADDRESS($BZ7,MATCH(BK$1,INDIRECT("Table!A" &amp; $BV7):INDIRECT("Table!" &amp; $CH$110 &amp; $BV7),0)))))/1024</f>
        <v>218.81953125000001</v>
      </c>
      <c r="BL7" s="905">
        <f ca="1">IF(ISERROR(MATCH(BL$1,INDIRECT("Table!A"&amp;$BV7):INDIRECT("Table!" &amp; $CH$110 &amp; $BV7),0)),"",INDIRECT(CONCATENATE("Table!",ADDRESS($BZ7,MATCH(BL$1,INDIRECT("Table!A" &amp; $BV7):INDIRECT("Table!" &amp; $CH$110 &amp; $BV7),0)))))/1024</f>
        <v>218.81953125000001</v>
      </c>
      <c r="BM7" s="905">
        <f ca="1">IF(ISERROR(MATCH(BM$1,INDIRECT("Table!A"&amp;$BV7):INDIRECT("Table!" &amp; $CH$110 &amp; $BV7),0)),"",INDIRECT(CONCATENATE("Table!",ADDRESS($BZ7,MATCH(BM$1,INDIRECT("Table!A" &amp; $BV7):INDIRECT("Table!" &amp; $CH$110 &amp; $BV7),0)))))/1024</f>
        <v>152.53330078125001</v>
      </c>
      <c r="BN7" s="905">
        <f ca="1">IF(ISERROR(MATCH(BN$1,INDIRECT("Table!A"&amp;$BV7):INDIRECT("Table!" &amp; $CH$110 &amp; $BV7),0)),"",INDIRECT(CONCATENATE("Table!",ADDRESS($BZ7,MATCH(BN$1,INDIRECT("Table!A" &amp; $BV7):INDIRECT("Table!" &amp; $CH$110 &amp; $BV7),0)))))/1024</f>
        <v>152.53330078125001</v>
      </c>
      <c r="BO7" s="905">
        <f ca="1">IF(ISERROR(MATCH(BO$1,INDIRECT("Table!A"&amp;$BV7):INDIRECT("Table!" &amp; $CH$110 &amp; $BV7),0)),"",INDIRECT(CONCATENATE("Table!",ADDRESS($BZ7,MATCH(BO$1,INDIRECT("Table!A" &amp; $BV7):INDIRECT("Table!" &amp; $CH$110 &amp; $BV7),0)))))/1024</f>
        <v>218.81953125000001</v>
      </c>
      <c r="BP7" s="905">
        <f ca="1">IF(ISERROR(MATCH(BP$1,INDIRECT("Table!A"&amp;$BV7):INDIRECT("Table!" &amp; $CH$110 &amp; $BV7),0)),"",INDIRECT(CONCATENATE("Table!",ADDRESS($BZ7,MATCH(BP$1,INDIRECT("Table!A" &amp; $BV7):INDIRECT("Table!" &amp; $CH$110 &amp; $BV7),0)))))/1024</f>
        <v>186.39765625000001</v>
      </c>
      <c r="BR7" s="704">
        <f>MATCH($A7,Table!$A:$A,0)+$BT$2-1</f>
        <v>61</v>
      </c>
      <c r="BS7" s="744"/>
      <c r="BT7" s="744"/>
      <c r="BU7" s="744"/>
      <c r="BV7" s="717">
        <f>MATCH($A7,Table!$A:$A,0)+$BX$2-1</f>
        <v>59</v>
      </c>
      <c r="BW7" s="744"/>
      <c r="BX7" s="744"/>
      <c r="BY7" s="744"/>
      <c r="BZ7" s="704">
        <f>MATCH($A7,Table!$A:$A,0)+$CB$2-1</f>
        <v>60</v>
      </c>
      <c r="CA7" s="744"/>
      <c r="CB7" s="744"/>
      <c r="CC7" s="744"/>
      <c r="CD7" s="717">
        <f>MATCH($A7,Table!$A:$A,0)+$BX$2-1</f>
        <v>59</v>
      </c>
      <c r="CE7" s="744"/>
      <c r="CF7" s="744"/>
      <c r="CG7" s="744"/>
      <c r="CH7" s="711" t="s">
        <v>302</v>
      </c>
      <c r="CI7" s="712">
        <f t="shared" ref="CI7" ca="1" si="20">SUM(AJ7:BP7)</f>
        <v>6078.8690429687504</v>
      </c>
      <c r="CJ7" s="712">
        <f t="shared" ref="CJ7" ca="1" si="21">SUM(B7:AH7)</f>
        <v>2482.9987304687493</v>
      </c>
      <c r="CK7" s="712">
        <f t="shared" ref="CK7" ca="1" si="22">CI7-CJ7</f>
        <v>3595.8703125000011</v>
      </c>
      <c r="CL7" s="718">
        <f t="shared" ref="CL7" ca="1" si="23">CJ7/CI7</f>
        <v>0.4084639285560463</v>
      </c>
      <c r="CM7" s="712">
        <f ca="1">SUMIF('Alloc Feed'!A:I,A:A,'Alloc Feed'!I:I)</f>
        <v>4107.086208984374</v>
      </c>
      <c r="CN7" s="718">
        <f t="shared" ref="CN7" ca="1" si="24">CM7/CI7</f>
        <v>0.67563327651134719</v>
      </c>
    </row>
    <row r="8" spans="1:92" s="947" customFormat="1" x14ac:dyDescent="0.25">
      <c r="A8" s="703">
        <v>41942</v>
      </c>
      <c r="B8" s="709">
        <f ca="1">IF(ISERROR(MATCH(B$1,INDIRECT("Table!A"&amp;$BV8):INDIRECT("Table!" &amp; $CH$110 &amp; $BV8),0)),"",INDIRECT(CONCATENATE("Table!",ADDRESS($BR8,MATCH(B$1,INDIRECT("Table!A" &amp; $BV8):INDIRECT("Table!" &amp; $CH$110 &amp; $BV8),0)))))/1024</f>
        <v>52.872265624999997</v>
      </c>
      <c r="C8" s="709">
        <f ca="1">IF(ISERROR(MATCH(C$1,INDIRECT("Table!A"&amp;$BV8):INDIRECT("Table!" &amp; $CH$110 &amp; $BV8),0)),"",INDIRECT(CONCATENATE("Table!",ADDRESS($BR8,MATCH(C$1,INDIRECT("Table!A" &amp; $BV8):INDIRECT("Table!" &amp; $CH$110 &amp; $BV8),0)))))/1024</f>
        <v>85.0634765625</v>
      </c>
      <c r="D8" s="709">
        <f ca="1">IF(ISERROR(MATCH(D$1,INDIRECT("Table!A"&amp;$BV8):INDIRECT("Table!" &amp; $CH$110 &amp; $BV8),0)),"",INDIRECT(CONCATENATE("Table!",ADDRESS($BR8,MATCH(D$1,INDIRECT("Table!A" &amp; $BV8):INDIRECT("Table!" &amp; $CH$110 &amp; $BV8),0)))))/1024</f>
        <v>84.816601562499997</v>
      </c>
      <c r="E8" s="709">
        <f ca="1">IF(ISERROR(MATCH(E$1,INDIRECT("Table!A"&amp;$BV8):INDIRECT("Table!" &amp; $CH$110 &amp; $BV8),0)),"",INDIRECT(CONCATENATE("Table!",ADDRESS($BR8,MATCH(E$1,INDIRECT("Table!A" &amp; $BV8):INDIRECT("Table!" &amp; $CH$110 &amp; $BV8),0)))))/1024</f>
        <v>99.998828125000003</v>
      </c>
      <c r="F8" s="709">
        <f ca="1">IF(ISERROR(MATCH(F$1,INDIRECT("Table!A"&amp;$BV8):INDIRECT("Table!" &amp; $CH$110 &amp; $BV8),0)),"",INDIRECT(CONCATENATE("Table!",ADDRESS($BR8,MATCH(F$1,INDIRECT("Table!A" &amp; $BV8):INDIRECT("Table!" &amp; $CH$110 &amp; $BV8),0)))))/1024</f>
        <v>116.22958984375001</v>
      </c>
      <c r="G8" s="709">
        <f ca="1">IF(ISERROR(MATCH(G$1,INDIRECT("Table!A"&amp;$BV8):INDIRECT("Table!" &amp; $CH$110 &amp; $BV8),0)),"",INDIRECT(CONCATENATE("Table!",ADDRESS($BR8,MATCH(G$1,INDIRECT("Table!A" &amp; $BV8):INDIRECT("Table!" &amp; $CH$110 &amp; $BV8),0)))))/1024</f>
        <v>203.62363281250001</v>
      </c>
      <c r="H8" s="709">
        <f ca="1">IF(ISERROR(MATCH(H$1,INDIRECT("Table!A"&amp;$BV8):INDIRECT("Table!" &amp; $CH$110 &amp; $BV8),0)),"",INDIRECT(CONCATENATE("Table!",ADDRESS($BR8,MATCH(H$1,INDIRECT("Table!A" &amp; $BV8):INDIRECT("Table!" &amp; $CH$110 &amp; $BV8),0)))))/1024</f>
        <v>95.042285156250003</v>
      </c>
      <c r="I8" s="709">
        <f ca="1">IF(ISERROR(MATCH(I$1,INDIRECT("Table!A"&amp;$BV8):INDIRECT("Table!" &amp; $CH$110 &amp; $BV8),0)),"",INDIRECT(CONCATENATE("Table!",ADDRESS($BR8,MATCH(I$1,INDIRECT("Table!A" &amp; $BV8):INDIRECT("Table!" &amp; $CH$110 &amp; $BV8),0)))))/1024</f>
        <v>26.60595703125</v>
      </c>
      <c r="J8" s="709">
        <f ca="1">IF(ISERROR(MATCH(J$1,INDIRECT("Table!A"&amp;$BV8):INDIRECT("Table!" &amp; $CH$110 &amp; $BV8),0)),"",INDIRECT(CONCATENATE("Table!",ADDRESS($BR8,MATCH(J$1,INDIRECT("Table!A" &amp; $BV8):INDIRECT("Table!" &amp; $CH$110 &amp; $BV8),0)))))/1024</f>
        <v>98.712304687499994</v>
      </c>
      <c r="K8" s="709">
        <f ca="1">IF(ISERROR(MATCH(K$1,INDIRECT("Table!A"&amp;$BV8):INDIRECT("Table!" &amp; $CH$110 &amp; $BV8),0)),"",INDIRECT(CONCATENATE("Table!",ADDRESS($BR8,MATCH(K$1,INDIRECT("Table!A" &amp; $BV8):INDIRECT("Table!" &amp; $CH$110 &amp; $BV8),0)))))/1024</f>
        <v>97.157519531250003</v>
      </c>
      <c r="L8" s="709">
        <f ca="1">IF(ISERROR(MATCH(L$1,INDIRECT("Table!A"&amp;$BV8):INDIRECT("Table!" &amp; $CH$110 &amp; $BV8),0)),"",INDIRECT(CONCATENATE("Table!",ADDRESS($BR8,MATCH(L$1,INDIRECT("Table!A" &amp; $BV8):INDIRECT("Table!" &amp; $CH$110 &amp; $BV8),0)))))/1024</f>
        <v>78.995507812499994</v>
      </c>
      <c r="M8" s="709">
        <f ca="1">IF(ISERROR(MATCH(M$1,INDIRECT("Table!A"&amp;$BV8):INDIRECT("Table!" &amp; $CH$110 &amp; $BV8),0)),"",INDIRECT(CONCATENATE("Table!",ADDRESS($BR8,MATCH(M$1,INDIRECT("Table!A" &amp; $BV8):INDIRECT("Table!" &amp; $CH$110 &amp; $BV8),0)))))/1024</f>
        <v>209.30410156249999</v>
      </c>
      <c r="N8" s="709">
        <f ca="1">IF(ISERROR(MATCH(N$1,INDIRECT("Table!A"&amp;$BV8):INDIRECT("Table!" &amp; $CH$110 &amp; $BV8),0)),"",INDIRECT(CONCATENATE("Table!",ADDRESS($BR8,MATCH(N$1,INDIRECT("Table!A" &amp; $BV8):INDIRECT("Table!" &amp; $CH$110 &amp; $BV8),0)))))/1024</f>
        <v>58.58154296875</v>
      </c>
      <c r="O8" s="709">
        <f ca="1">IF(ISERROR(MATCH(O$1,INDIRECT("Table!A"&amp;$BV8):INDIRECT("Table!" &amp; $CH$110 &amp; $BV8),0)),"",INDIRECT(CONCATENATE("Table!",ADDRESS($BR8,MATCH(O$1,INDIRECT("Table!A" &amp; $BV8):INDIRECT("Table!" &amp; $CH$110 &amp; $BV8),0)))))/1024</f>
        <v>178.93173828125001</v>
      </c>
      <c r="P8" s="709">
        <f ca="1">IF(ISERROR(MATCH(P$1,INDIRECT("Table!A"&amp;$BV8):INDIRECT("Table!" &amp; $CH$110 &amp; $BV8),0)),"",INDIRECT(CONCATENATE("Table!",ADDRESS($BR8,MATCH(P$1,INDIRECT("Table!A" &amp; $BV8):INDIRECT("Table!" &amp; $CH$110 &amp; $BV8),0)))))/1024</f>
        <v>51.48291015625</v>
      </c>
      <c r="Q8" s="709">
        <f ca="1">IF(ISERROR(MATCH(Q$1,INDIRECT("Table!A"&amp;$BV8):INDIRECT("Table!" &amp; $CH$110 &amp; $BV8),0)),"",INDIRECT(CONCATENATE("Table!",ADDRESS($BR8,MATCH(Q$1,INDIRECT("Table!A" &amp; $BV8):INDIRECT("Table!" &amp; $CH$110 &amp; $BV8),0)))))/1024</f>
        <v>150.88681640625001</v>
      </c>
      <c r="R8" s="709">
        <f ca="1">IF(ISERROR(MATCH(R$1,INDIRECT("Table!A"&amp;$BV8):INDIRECT("Table!" &amp; $CH$110 &amp; $BV8),0)),"",INDIRECT(CONCATENATE("Table!",ADDRESS($BR8,MATCH(R$1,INDIRECT("Table!A" &amp; $BV8):INDIRECT("Table!" &amp; $CH$110 &amp; $BV8),0)))))/1024</f>
        <v>181.18544921874999</v>
      </c>
      <c r="S8" s="709">
        <f ca="1">IF(ISERROR(MATCH(S$1,INDIRECT("Table!A"&amp;$BV8):INDIRECT("Table!" &amp; $CH$65 &amp; $BV8),0)),"",INDIRECT(CONCATENATE("Table!",ADDRESS($BR8,MATCH(S$1,INDIRECT("Table!A" &amp; $BV8):INDIRECT("Table!" &amp; $CH$65 &amp; $BV8),0)))))/1024</f>
        <v>39.545996093749999</v>
      </c>
      <c r="T8" s="709">
        <f ca="1">IF(ISERROR(MATCH(T$1,INDIRECT("Table!A"&amp;$BV8):INDIRECT("Table!" &amp; $CH$65 &amp; $BV8),0)),"",INDIRECT(CONCATENATE("Table!",ADDRESS($BR8,MATCH(T$1,INDIRECT("Table!A" &amp; $BV8):INDIRECT("Table!" &amp; $CH$65 &amp; $BV8),0)))))/1024</f>
        <v>13.953906249999999</v>
      </c>
      <c r="U8" s="709">
        <f ca="1">IF(ISERROR(MATCH(U$1,INDIRECT("Table!A"&amp;$BV8):INDIRECT("Table!" &amp; $CH$65 &amp; $BV8),0)),"",INDIRECT(CONCATENATE("Table!",ADDRESS($BR8,MATCH(U$1,INDIRECT("Table!A" &amp; $BV8):INDIRECT("Table!" &amp; $CH$65 &amp; $BV8),0)))))/1024</f>
        <v>15.282421875000001</v>
      </c>
      <c r="V8" s="709">
        <f ca="1">IF(ISERROR(MATCH(V$1,INDIRECT("Table!A"&amp;$BV8):INDIRECT("Table!" &amp; $CH$65 &amp; $BV8),0)),"",INDIRECT(CONCATENATE("Table!",ADDRESS($BR8,MATCH(V$1,INDIRECT("Table!A" &amp; $BV8):INDIRECT("Table!" &amp; $CH$65 &amp; $BV8),0)))))/1024</f>
        <v>30.564550781249999</v>
      </c>
      <c r="W8" s="709">
        <f ca="1">IF(ISERROR(MATCH(W$1,INDIRECT("Table!A"&amp;$BV8):INDIRECT("Table!" &amp; $CH$65 &amp; $BV8),0)),"",INDIRECT(CONCATENATE("Table!",ADDRESS($BR8,MATCH(W$1,INDIRECT("Table!A" &amp; $BV8):INDIRECT("Table!" &amp; $CH$65 &amp; $BV8),0)))))/1024</f>
        <v>36.960253906250003</v>
      </c>
      <c r="X8" s="709">
        <f ca="1">IF(ISERROR(MATCH(X$1,INDIRECT("Table!A"&amp;$BV8):INDIRECT("Table!" &amp; $CH$65 &amp; $BV8),0)),"",INDIRECT(CONCATENATE("Table!",ADDRESS($BR8,MATCH(X$1,INDIRECT("Table!A" &amp; $BV8):INDIRECT("Table!" &amp; $CH$65 &amp; $BV8),0)))))/1024</f>
        <v>73.045605468749997</v>
      </c>
      <c r="Y8" s="709">
        <f ca="1">IF(ISERROR(MATCH(Y$1,INDIRECT("Table!A"&amp;$BV8):INDIRECT("Table!" &amp; $CH$65 &amp; $BV8),0)),"",INDIRECT(CONCATENATE("Table!",ADDRESS($BR8,MATCH(Y$1,INDIRECT("Table!A" &amp; $BV8):INDIRECT("Table!" &amp; $CH$65 &amp; $BV8),0)))))/1024</f>
        <v>21.954980468750001</v>
      </c>
      <c r="Z8" s="709">
        <f ca="1">IF(ISERROR(MATCH(Z$1,INDIRECT("Table!A"&amp;$BV8):INDIRECT("Table!" &amp; $CH$65 &amp; $BV8),0)),"",INDIRECT(CONCATENATE("Table!",ADDRESS($BR8,MATCH(Z$1,INDIRECT("Table!A" &amp; $BV8):INDIRECT("Table!" &amp; $CH$65 &amp; $BV8),0)))))/1024</f>
        <v>38.083886718750001</v>
      </c>
      <c r="AA8" s="709">
        <f ca="1">IF(ISERROR(MATCH(AA$1,INDIRECT("Table!A"&amp;$BV8):INDIRECT("Table!" &amp; $CH$65 &amp; $BV8),0)),"",INDIRECT(CONCATENATE("Table!",ADDRESS($BR8,MATCH(AA$1,INDIRECT("Table!A" &amp; $BV8):INDIRECT("Table!" &amp; $CH$65 &amp; $BV8),0)))))/1024</f>
        <v>133.4736328125</v>
      </c>
      <c r="AB8" s="709">
        <f ca="1">IF(ISERROR(MATCH(AB$1,INDIRECT("Table!A"&amp;$BV8):INDIRECT("Table!" &amp; $CH$65 &amp; $BV8),0)),"",INDIRECT(CONCATENATE("Table!",ADDRESS($BR8,MATCH(AB$1,INDIRECT("Table!A" &amp; $BV8):INDIRECT("Table!" &amp; $CH$65 &amp; $BV8),0)))))/1024</f>
        <v>4.7851562500000003E-3</v>
      </c>
      <c r="AC8" s="709">
        <f ca="1">IF(ISERROR(MATCH(AC$1,INDIRECT("Table!A"&amp;$BV8):INDIRECT("Table!" &amp; $CH$65 &amp; $BV8),0)),"",INDIRECT(CONCATENATE("Table!",ADDRESS($BR8,MATCH(AC$1,INDIRECT("Table!A" &amp; $BV8):INDIRECT("Table!" &amp; $CH$65 &amp; $BV8),0)))))/1024</f>
        <v>39.006250000000001</v>
      </c>
      <c r="AD8" s="709">
        <f ca="1">IF(ISERROR(MATCH(AD$1,INDIRECT("Table!A"&amp;$BV8):INDIRECT("Table!" &amp; $CH$65 &amp; $BV8),0)),"",INDIRECT(CONCATENATE("Table!",ADDRESS($BR8,MATCH(AD$1,INDIRECT("Table!A" &amp; $BV8):INDIRECT("Table!" &amp; $CH$65 &amp; $BV8),0)))))/1024</f>
        <v>74.381738281249994</v>
      </c>
      <c r="AE8" s="709">
        <f ca="1">IF(ISERROR(MATCH(AE$1,INDIRECT("Table!A"&amp;$BV8):INDIRECT("Table!" &amp; $CH$65 &amp; $BV8),0)),"",INDIRECT(CONCATENATE("Table!",ADDRESS($BR8,MATCH(AE$1,INDIRECT("Table!A" &amp; $BV8):INDIRECT("Table!" &amp; $CH$65 &amp; $BV8),0)))))/1024</f>
        <v>24.185449218750001</v>
      </c>
      <c r="AF8" s="709">
        <f ca="1">IF(ISERROR(MATCH(AF$1,INDIRECT("Table!A"&amp;$BV8):INDIRECT("Table!" &amp; $CH$65 &amp; $BV8),0)),"",INDIRECT(CONCATENATE("Table!",ADDRESS($BR8,MATCH(AF$1,INDIRECT("Table!A" &amp; $BV8):INDIRECT("Table!" &amp; $CH$65 &amp; $BV8),0)))))/1024</f>
        <v>24.163281250000001</v>
      </c>
      <c r="AG8" s="709">
        <f ca="1">IF(ISERROR(MATCH(AG$1,INDIRECT("Table!A"&amp;$BV8):INDIRECT("Table!" &amp; $CH$65 &amp; $BV8),0)),"",INDIRECT(CONCATENATE("Table!",ADDRESS($BR8,MATCH(AG$1,INDIRECT("Table!A" &amp; $BV8):INDIRECT("Table!" &amp; $CH$65 &amp; $BV8),0)))))/1024</f>
        <v>3.17431640625</v>
      </c>
      <c r="AH8" s="709">
        <f ca="1">IF(ISERROR(MATCH(AH$1,INDIRECT("Table!A"&amp;$BV8):INDIRECT("Table!" &amp; $CH$65 &amp; $BV8),0)),"",INDIRECT(CONCATENATE("Table!",ADDRESS($BR8,MATCH(AH$1,INDIRECT("Table!A" &amp; $BV8):INDIRECT("Table!" &amp; $CH$65 &amp; $BV8),0)))))/1024</f>
        <v>4.7851562500000003E-3</v>
      </c>
      <c r="AI8" s="709" t="str">
        <f ca="1">IF(ISERROR(MATCH(AI$1,INDIRECT("Table!A"&amp;$BV8):INDIRECT("Table!" &amp; $CH$110 &amp; $BV8),0)),"",INDIRECT(CONCATENATE("Table!",ADDRESS($BR8,MATCH(AI$1,INDIRECT("Table!A" &amp; $BV8):INDIRECT("Table!" &amp; $CH$110 &amp; $BV8),0)))))</f>
        <v/>
      </c>
      <c r="AJ8" s="709">
        <f ca="1">IF(ISERROR(MATCH(AJ$1,INDIRECT("Table!A"&amp;$BV8):INDIRECT("Table!" &amp; $CH$110 &amp; $BV8),0)),"",INDIRECT(CONCATENATE("Table!",ADDRESS($BZ8,MATCH(AJ$1,INDIRECT("Table!A" &amp; $BV8):INDIRECT("Table!" &amp; $CH$110 &amp; $BV8),0)))))/1024</f>
        <v>244.15859374999999</v>
      </c>
      <c r="AK8" s="709">
        <f ca="1">IF(ISERROR(MATCH(AK$1,INDIRECT("Table!A"&amp;$BV8):INDIRECT("Table!" &amp; $CH$110 &amp; $BV8),0)),"",INDIRECT(CONCATENATE("Table!",ADDRESS($BZ8,MATCH(AK$1,INDIRECT("Table!A" &amp; $BV8):INDIRECT("Table!" &amp; $CH$110 &amp; $BV8),0)))))/1024</f>
        <v>146.98896484375001</v>
      </c>
      <c r="AL8" s="709">
        <f ca="1">IF(ISERROR(MATCH(AL$1,INDIRECT("Table!A"&amp;$BV8):INDIRECT("Table!" &amp; $CH$110 &amp; $BV8),0)),"",INDIRECT(CONCATENATE("Table!",ADDRESS($BZ8,MATCH(AL$1,INDIRECT("Table!A" &amp; $BV8):INDIRECT("Table!" &amp; $CH$110 &amp; $BV8),0)))))/1024</f>
        <v>146.98896484375001</v>
      </c>
      <c r="AM8" s="709">
        <f ca="1">IF(ISERROR(MATCH(AM$1,INDIRECT("Table!A"&amp;$BV8):INDIRECT("Table!" &amp; $CH$110 &amp; $BV8),0)),"",INDIRECT(CONCATENATE("Table!",ADDRESS($BZ8,MATCH(AM$1,INDIRECT("Table!A" &amp; $BV8):INDIRECT("Table!" &amp; $CH$110 &amp; $BV8),0)))))/1024</f>
        <v>177.73320312499999</v>
      </c>
      <c r="AN8" s="709">
        <f ca="1">IF(ISERROR(MATCH(AN$1,INDIRECT("Table!A"&amp;$BV8):INDIRECT("Table!" &amp; $CH$110 &amp; $BV8),0)),"",INDIRECT(CONCATENATE("Table!",ADDRESS($BZ8,MATCH(AN$1,INDIRECT("Table!A" &amp; $BV8):INDIRECT("Table!" &amp; $CH$110 &amp; $BV8),0)))))/1024</f>
        <v>161.88056640625001</v>
      </c>
      <c r="AO8" s="709">
        <f ca="1">IF(ISERROR(MATCH(AO$1,INDIRECT("Table!A"&amp;$BV8):INDIRECT("Table!" &amp; $CH$110 &amp; $BV8),0)),"",INDIRECT(CONCATENATE("Table!",ADDRESS($BZ8,MATCH(AO$1,INDIRECT("Table!A" &amp; $BV8):INDIRECT("Table!" &amp; $CH$110 &amp; $BV8),0)))))/1024</f>
        <v>380.3759765625</v>
      </c>
      <c r="AP8" s="709">
        <f ca="1">IF(ISERROR(MATCH(AP$1,INDIRECT("Table!A"&amp;$BV8):INDIRECT("Table!" &amp; $CH$110 &amp; $BV8),0)),"",INDIRECT(CONCATENATE("Table!",ADDRESS($BZ8,MATCH(AP$1,INDIRECT("Table!A" &amp; $BV8):INDIRECT("Table!" &amp; $CH$110 &amp; $BV8),0)))))/1024</f>
        <v>167.94482421875</v>
      </c>
      <c r="AQ8" s="709">
        <f ca="1">IF(ISERROR(MATCH(AQ$1,INDIRECT("Table!A"&amp;$BV8):INDIRECT("Table!" &amp; $CH$110 &amp; $BV8),0)),"",INDIRECT(CONCATENATE("Table!",ADDRESS($BZ8,MATCH(AQ$1,INDIRECT("Table!A" &amp; $BV8):INDIRECT("Table!" &amp; $CH$110 &amp; $BV8),0)))))/1024</f>
        <v>162.185546875</v>
      </c>
      <c r="AR8" s="709">
        <f ca="1">IF(ISERROR(MATCH(AR$1,INDIRECT("Table!A"&amp;$BV8):INDIRECT("Table!" &amp; $CH$110 &amp; $BV8),0)),"",INDIRECT(CONCATENATE("Table!",ADDRESS($BZ8,MATCH(AR$1,INDIRECT("Table!A" &amp; $BV8):INDIRECT("Table!" &amp; $CH$110 &amp; $BV8),0)))))/1024</f>
        <v>121.1125</v>
      </c>
      <c r="AS8" s="709">
        <f ca="1">IF(ISERROR(MATCH(AS$1,INDIRECT("Table!A"&amp;$BV8):INDIRECT("Table!" &amp; $CH$110 &amp; $BV8),0)),"",INDIRECT(CONCATENATE("Table!",ADDRESS($BZ8,MATCH(AS$1,INDIRECT("Table!A" &amp; $BV8):INDIRECT("Table!" &amp; $CH$110 &amp; $BV8),0)))))/1024</f>
        <v>218.81953125000001</v>
      </c>
      <c r="AT8" s="709">
        <f ca="1">IF(ISERROR(MATCH(AT$1,INDIRECT("Table!A"&amp;$BV8):INDIRECT("Table!" &amp; $CH$110 &amp; $BV8),0)),"",INDIRECT(CONCATENATE("Table!",ADDRESS($BZ8,MATCH(AT$1,INDIRECT("Table!A" &amp; $BV8):INDIRECT("Table!" &amp; $CH$110 &amp; $BV8),0)))))/1024</f>
        <v>188.50498046875001</v>
      </c>
      <c r="AU8" s="709">
        <f ca="1">IF(ISERROR(MATCH(AU$1,INDIRECT("Table!A"&amp;$BV8):INDIRECT("Table!" &amp; $CH$110 &amp; $BV8),0)),"",INDIRECT(CONCATENATE("Table!",ADDRESS($BZ8,MATCH(AU$1,INDIRECT("Table!A" &amp; $BV8):INDIRECT("Table!" &amp; $CH$110 &amp; $BV8),0)))))/1024</f>
        <v>427.94912109375002</v>
      </c>
      <c r="AV8" s="709">
        <f ca="1">IF(ISERROR(MATCH(AV$1,INDIRECT("Table!A"&amp;$BV8):INDIRECT("Table!" &amp; $CH$110 &amp; $BV8),0)),"",INDIRECT(CONCATENATE("Table!",ADDRESS($BZ8,MATCH(AV$1,INDIRECT("Table!A" &amp; $BV8):INDIRECT("Table!" &amp; $CH$110 &amp; $BV8),0)))))/1024</f>
        <v>81.092578125000003</v>
      </c>
      <c r="AW8" s="709">
        <f ca="1">IF(ISERROR(MATCH(AW$1,INDIRECT("Table!A"&amp;$BV8):INDIRECT("Table!" &amp; $CH$110 &amp; $BV8),0)),"",INDIRECT(CONCATENATE("Table!",ADDRESS($BZ8,MATCH(AW$1,INDIRECT("Table!A" &amp; $BV8):INDIRECT("Table!" &amp; $CH$110 &amp; $BV8),0)))))/1024</f>
        <v>269.65859375000002</v>
      </c>
      <c r="AX8" s="709">
        <f ca="1">IF(ISERROR(MATCH(AX$1,INDIRECT("Table!A"&amp;$BV8):INDIRECT("Table!" &amp; $CH$110 &amp; $BV8),0)),"",INDIRECT(CONCATENATE("Table!",ADDRESS($BZ8,MATCH(AX$1,INDIRECT("Table!A" &amp; $BV8):INDIRECT("Table!" &amp; $CH$110 &amp; $BV8),0)))))/1024</f>
        <v>81.092578125000003</v>
      </c>
      <c r="AY8" s="709">
        <f ca="1">IF(ISERROR(MATCH(AY$1,INDIRECT("Table!A"&amp;$BV8):INDIRECT("Table!" &amp; $CH$110 &amp; $BV8),0)),"",INDIRECT(CONCATENATE("Table!",ADDRESS($BZ8,MATCH(AY$1,INDIRECT("Table!A" &amp; $BV8):INDIRECT("Table!" &amp; $CH$110 &amp; $BV8),0)))))/1024</f>
        <v>187.12714843750001</v>
      </c>
      <c r="AZ8" s="709">
        <f ca="1">IF(ISERROR(MATCH(AZ$1,INDIRECT("Table!A"&amp;$BV8):INDIRECT("Table!" &amp; $CH$110 &amp; $BV8),0)),"",INDIRECT(CONCATENATE("Table!",ADDRESS($BZ8,MATCH(AZ$1,INDIRECT("Table!A" &amp; $BV8):INDIRECT("Table!" &amp; $CH$110 &amp; $BV8),0)))))/1024</f>
        <v>256.14150390625002</v>
      </c>
      <c r="BA8" s="709">
        <f ca="1">IF(ISERROR(MATCH(BA$1,INDIRECT("Table!A"&amp;$BV8):INDIRECT("Table!" &amp; $CH$110 &amp; $BV8),0)),"",INDIRECT(CONCATENATE("Table!",ADDRESS($BZ8,MATCH(BA$1,INDIRECT("Table!A" &amp; $BV8):INDIRECT("Table!" &amp; $CH$110 &amp; $BV8),0)))))/1024</f>
        <v>58.323925781249997</v>
      </c>
      <c r="BB8" s="709">
        <f ca="1">IF(ISERROR(MATCH(BB$1,INDIRECT("Table!A"&amp;$BV8):INDIRECT("Table!" &amp; $CH$110 &amp; $BV8),0)),"",INDIRECT(CONCATENATE("Table!",ADDRESS($BZ8,MATCH(BB$1,INDIRECT("Table!A" &amp; $BV8):INDIRECT("Table!" &amp; $CH$110 &amp; $BV8),0)))))/1024</f>
        <v>32.31494140625</v>
      </c>
      <c r="BC8" s="709">
        <f ca="1">IF(ISERROR(MATCH(BC$1,INDIRECT("Table!A"&amp;$BV8):INDIRECT("Table!" &amp; $CH$110 &amp; $BV8),0)),"",INDIRECT(CONCATENATE("Table!",ADDRESS($BZ8,MATCH(BC$1,INDIRECT("Table!A" &amp; $BV8):INDIRECT("Table!" &amp; $CH$110 &amp; $BV8),0)))))/1024</f>
        <v>99.80126953125</v>
      </c>
      <c r="BD8" s="709">
        <f ca="1">IF(ISERROR(MATCH(BD$1,INDIRECT("Table!A"&amp;$BV8):INDIRECT("Table!" &amp; $CH$110 &amp; $BV8),0)),"",INDIRECT(CONCATENATE("Table!",ADDRESS($BZ8,MATCH(BD$1,INDIRECT("Table!A" &amp; $BV8):INDIRECT("Table!" &amp; $CH$110 &amp; $BV8),0)))))/1024</f>
        <v>204.58642578125</v>
      </c>
      <c r="BE8" s="905">
        <f ca="1">IF(ISERROR(MATCH(BE$1,INDIRECT("Table!A"&amp;$BV8):INDIRECT("Table!" &amp; $CH$110 &amp; $BV8),0)),"",INDIRECT(CONCATENATE("Table!",ADDRESS($BZ8,MATCH(BE$1,INDIRECT("Table!A" &amp; $BV8):INDIRECT("Table!" &amp; $CH$110 &amp; $BV8),0)))))/1024</f>
        <v>99.80126953125</v>
      </c>
      <c r="BF8" s="905">
        <f ca="1">IF(ISERROR(MATCH(BF$1,INDIRECT("Table!A"&amp;$BV8):INDIRECT("Table!" &amp; $CH$110 &amp; $BV8),0)),"",INDIRECT(CONCATENATE("Table!",ADDRESS($BZ8,MATCH(BF$1,INDIRECT("Table!A" &amp; $BV8):INDIRECT("Table!" &amp; $CH$110 &amp; $BV8),0)))))/1024</f>
        <v>204.58642578125</v>
      </c>
      <c r="BG8" s="905">
        <f ca="1">IF(ISERROR(MATCH(BG$1,INDIRECT("Table!A"&amp;$BV8):INDIRECT("Table!" &amp; $CH$110 &amp; $BV8),0)),"",INDIRECT(CONCATENATE("Table!",ADDRESS($BZ8,MATCH(BG$1,INDIRECT("Table!A" &amp; $BV8):INDIRECT("Table!" &amp; $CH$110 &amp; $BV8),0)))))/1024</f>
        <v>99.80126953125</v>
      </c>
      <c r="BH8" s="905">
        <f ca="1">IF(ISERROR(MATCH(BH$1,INDIRECT("Table!A"&amp;$BV8):INDIRECT("Table!" &amp; $CH$110 &amp; $BV8),0)),"",INDIRECT(CONCATENATE("Table!",ADDRESS($BZ8,MATCH(BH$1,INDIRECT("Table!A" &amp; $BV8):INDIRECT("Table!" &amp; $CH$110 &amp; $BV8),0)))))/1024</f>
        <v>204.58642578125</v>
      </c>
      <c r="BI8" s="905">
        <f ca="1">IF(ISERROR(MATCH(BI$1,INDIRECT("Table!A"&amp;$BV8):INDIRECT("Table!" &amp; $CH$110 &amp; $BV8),0)),"",INDIRECT(CONCATENATE("Table!",ADDRESS($BZ8,MATCH(BI$1,INDIRECT("Table!A" &amp; $BV8):INDIRECT("Table!" &amp; $CH$110 &amp; $BV8),0)))))/1024</f>
        <v>320.99140625000001</v>
      </c>
      <c r="BJ8" s="905">
        <f ca="1">IF(ISERROR(MATCH(BJ$1,INDIRECT("Table!A"&amp;$BV8):INDIRECT("Table!" &amp; $CH$110 &amp; $BV8),0)),"",INDIRECT(CONCATENATE("Table!",ADDRESS($BZ8,MATCH(BJ$1,INDIRECT("Table!A" &amp; $BV8):INDIRECT("Table!" &amp; $CH$110 &amp; $BV8),0)))))/1024</f>
        <v>186.39765625000001</v>
      </c>
      <c r="BK8" s="905">
        <f ca="1">IF(ISERROR(MATCH(BK$1,INDIRECT("Table!A"&amp;$BV8):INDIRECT("Table!" &amp; $CH$110 &amp; $BV8),0)),"",INDIRECT(CONCATENATE("Table!",ADDRESS($BZ8,MATCH(BK$1,INDIRECT("Table!A" &amp; $BV8):INDIRECT("Table!" &amp; $CH$110 &amp; $BV8),0)))))/1024</f>
        <v>218.81953125000001</v>
      </c>
      <c r="BL8" s="905">
        <f ca="1">IF(ISERROR(MATCH(BL$1,INDIRECT("Table!A"&amp;$BV8):INDIRECT("Table!" &amp; $CH$110 &amp; $BV8),0)),"",INDIRECT(CONCATENATE("Table!",ADDRESS($BZ8,MATCH(BL$1,INDIRECT("Table!A" &amp; $BV8):INDIRECT("Table!" &amp; $CH$110 &amp; $BV8),0)))))/1024</f>
        <v>218.81953125000001</v>
      </c>
      <c r="BM8" s="905">
        <f ca="1">IF(ISERROR(MATCH(BM$1,INDIRECT("Table!A"&amp;$BV8):INDIRECT("Table!" &amp; $CH$110 &amp; $BV8),0)),"",INDIRECT(CONCATENATE("Table!",ADDRESS($BZ8,MATCH(BM$1,INDIRECT("Table!A" &amp; $BV8):INDIRECT("Table!" &amp; $CH$110 &amp; $BV8),0)))))/1024</f>
        <v>152.53330078125001</v>
      </c>
      <c r="BN8" s="905">
        <f ca="1">IF(ISERROR(MATCH(BN$1,INDIRECT("Table!A"&amp;$BV8):INDIRECT("Table!" &amp; $CH$110 &amp; $BV8),0)),"",INDIRECT(CONCATENATE("Table!",ADDRESS($BZ8,MATCH(BN$1,INDIRECT("Table!A" &amp; $BV8):INDIRECT("Table!" &amp; $CH$110 &amp; $BV8),0)))))/1024</f>
        <v>152.53330078125001</v>
      </c>
      <c r="BO8" s="905">
        <f ca="1">IF(ISERROR(MATCH(BO$1,INDIRECT("Table!A"&amp;$BV8):INDIRECT("Table!" &amp; $CH$110 &amp; $BV8),0)),"",INDIRECT(CONCATENATE("Table!",ADDRESS($BZ8,MATCH(BO$1,INDIRECT("Table!A" &amp; $BV8):INDIRECT("Table!" &amp; $CH$110 &amp; $BV8),0)))))/1024</f>
        <v>218.81953125000001</v>
      </c>
      <c r="BP8" s="905">
        <f ca="1">IF(ISERROR(MATCH(BP$1,INDIRECT("Table!A"&amp;$BV8):INDIRECT("Table!" &amp; $CH$110 &amp; $BV8),0)),"",INDIRECT(CONCATENATE("Table!",ADDRESS($BZ8,MATCH(BP$1,INDIRECT("Table!A" &amp; $BV8):INDIRECT("Table!" &amp; $CH$110 &amp; $BV8),0)))))/1024</f>
        <v>186.39765625000001</v>
      </c>
      <c r="BR8" s="704">
        <f>MATCH($A8,Table!$A:$A,0)+$BT$2-1</f>
        <v>75</v>
      </c>
      <c r="BS8" s="744"/>
      <c r="BT8" s="744"/>
      <c r="BU8" s="744"/>
      <c r="BV8" s="717">
        <f>MATCH($A8,Table!$A:$A,0)+$BX$2-1</f>
        <v>73</v>
      </c>
      <c r="BW8" s="744"/>
      <c r="BX8" s="744"/>
      <c r="BY8" s="744"/>
      <c r="BZ8" s="704">
        <f>MATCH($A8,Table!$A:$A,0)+$CB$2-1</f>
        <v>74</v>
      </c>
      <c r="CA8" s="744"/>
      <c r="CB8" s="744"/>
      <c r="CC8" s="744"/>
      <c r="CD8" s="717">
        <f>MATCH($A8,Table!$A:$A,0)+$BX$2-1</f>
        <v>73</v>
      </c>
      <c r="CE8" s="744"/>
      <c r="CF8" s="744"/>
      <c r="CG8" s="744"/>
      <c r="CH8" s="711" t="s">
        <v>302</v>
      </c>
      <c r="CI8" s="712">
        <f t="shared" ref="CI8" ca="1" si="25">SUM(AJ8:BP8)</f>
        <v>6078.8690429687504</v>
      </c>
      <c r="CJ8" s="712">
        <f t="shared" ref="CJ8" ca="1" si="26">SUM(B8:AH8)</f>
        <v>2437.2763671875</v>
      </c>
      <c r="CK8" s="712">
        <f t="shared" ref="CK8" ca="1" si="27">CI8-CJ8</f>
        <v>3641.5926757812504</v>
      </c>
      <c r="CL8" s="718">
        <f t="shared" ref="CL8" ca="1" si="28">CJ8/CI8</f>
        <v>0.40094240391748959</v>
      </c>
      <c r="CM8" s="712">
        <f ca="1">SUMIF('Alloc Feed'!A:I,A:A,'Alloc Feed'!I:I)</f>
        <v>0</v>
      </c>
      <c r="CN8" s="718">
        <f t="shared" ref="CN8" ca="1" si="29">CM8/CI8</f>
        <v>0</v>
      </c>
    </row>
    <row r="9" spans="1:92" s="947" customFormat="1" x14ac:dyDescent="0.25">
      <c r="A9" s="703">
        <v>41935</v>
      </c>
      <c r="B9" s="709">
        <f ca="1">IF(ISERROR(MATCH(B$1,INDIRECT("Table!A"&amp;$BV9):INDIRECT("Table!" &amp; $CH$110 &amp; $BV9),0)),"",INDIRECT(CONCATENATE("Table!",ADDRESS($BR9,MATCH(B$1,INDIRECT("Table!A" &amp; $BV9):INDIRECT("Table!" &amp; $CH$110 &amp; $BV9),0)))))/1024</f>
        <v>52.832128906249999</v>
      </c>
      <c r="C9" s="709">
        <f ca="1">IF(ISERROR(MATCH(C$1,INDIRECT("Table!A"&amp;$BV9):INDIRECT("Table!" &amp; $CH$110 &amp; $BV9),0)),"",INDIRECT(CONCATENATE("Table!",ADDRESS($BR9,MATCH(C$1,INDIRECT("Table!A" &amp; $BV9):INDIRECT("Table!" &amp; $CH$110 &amp; $BV9),0)))))/1024</f>
        <v>85.063183593749997</v>
      </c>
      <c r="D9" s="709">
        <f ca="1">IF(ISERROR(MATCH(D$1,INDIRECT("Table!A"&amp;$BV9):INDIRECT("Table!" &amp; $CH$110 &amp; $BV9),0)),"",INDIRECT(CONCATENATE("Table!",ADDRESS($BR9,MATCH(D$1,INDIRECT("Table!A" &amp; $BV9):INDIRECT("Table!" &amp; $CH$110 &amp; $BV9),0)))))/1024</f>
        <v>84.81640625</v>
      </c>
      <c r="E9" s="709">
        <f ca="1">IF(ISERROR(MATCH(E$1,INDIRECT("Table!A"&amp;$BV9):INDIRECT("Table!" &amp; $CH$110 &amp; $BV9),0)),"",INDIRECT(CONCATENATE("Table!",ADDRESS($BR9,MATCH(E$1,INDIRECT("Table!A" &amp; $BV9):INDIRECT("Table!" &amp; $CH$110 &amp; $BV9),0)))))/1024</f>
        <v>99.928515625000003</v>
      </c>
      <c r="F9" s="709">
        <f ca="1">IF(ISERROR(MATCH(F$1,INDIRECT("Table!A"&amp;$BV9):INDIRECT("Table!" &amp; $CH$110 &amp; $BV9),0)),"",INDIRECT(CONCATENATE("Table!",ADDRESS($BR9,MATCH(F$1,INDIRECT("Table!A" &amp; $BV9):INDIRECT("Table!" &amp; $CH$110 &amp; $BV9),0)))))/1024</f>
        <v>116.05507812499999</v>
      </c>
      <c r="G9" s="709">
        <f ca="1">IF(ISERROR(MATCH(G$1,INDIRECT("Table!A"&amp;$BV9):INDIRECT("Table!" &amp; $CH$110 &amp; $BV9),0)),"",INDIRECT(CONCATENATE("Table!",ADDRESS($BR9,MATCH(G$1,INDIRECT("Table!A" &amp; $BV9):INDIRECT("Table!" &amp; $CH$110 &amp; $BV9),0)))))/1024</f>
        <v>203.24541015624999</v>
      </c>
      <c r="H9" s="709">
        <f ca="1">IF(ISERROR(MATCH(H$1,INDIRECT("Table!A"&amp;$BV9):INDIRECT("Table!" &amp; $CH$110 &amp; $BV9),0)),"",INDIRECT(CONCATENATE("Table!",ADDRESS($BR9,MATCH(H$1,INDIRECT("Table!A" &amp; $BV9):INDIRECT("Table!" &amp; $CH$110 &amp; $BV9),0)))))/1024</f>
        <v>94.579687500000006</v>
      </c>
      <c r="I9" s="709">
        <f ca="1">IF(ISERROR(MATCH(I$1,INDIRECT("Table!A"&amp;$BV9):INDIRECT("Table!" &amp; $CH$110 &amp; $BV9),0)),"",INDIRECT(CONCATENATE("Table!",ADDRESS($BR9,MATCH(I$1,INDIRECT("Table!A" &amp; $BV9):INDIRECT("Table!" &amp; $CH$110 &amp; $BV9),0)))))/1024</f>
        <v>26.5615234375</v>
      </c>
      <c r="J9" s="709">
        <f ca="1">IF(ISERROR(MATCH(J$1,INDIRECT("Table!A"&amp;$BV9):INDIRECT("Table!" &amp; $CH$110 &amp; $BV9),0)),"",INDIRECT(CONCATENATE("Table!",ADDRESS($BR9,MATCH(J$1,INDIRECT("Table!A" &amp; $BV9):INDIRECT("Table!" &amp; $CH$110 &amp; $BV9),0)))))/1024</f>
        <v>98.518261718749997</v>
      </c>
      <c r="K9" s="709">
        <f ca="1">IF(ISERROR(MATCH(K$1,INDIRECT("Table!A"&amp;$BV9):INDIRECT("Table!" &amp; $CH$110 &amp; $BV9),0)),"",INDIRECT(CONCATENATE("Table!",ADDRESS($BR9,MATCH(K$1,INDIRECT("Table!A" &amp; $BV9):INDIRECT("Table!" &amp; $CH$110 &amp; $BV9),0)))))/1024</f>
        <v>95.243847656249997</v>
      </c>
      <c r="L9" s="709">
        <f ca="1">IF(ISERROR(MATCH(L$1,INDIRECT("Table!A"&amp;$BV9):INDIRECT("Table!" &amp; $CH$110 &amp; $BV9),0)),"",INDIRECT(CONCATENATE("Table!",ADDRESS($BR9,MATCH(L$1,INDIRECT("Table!A" &amp; $BV9):INDIRECT("Table!" &amp; $CH$110 &amp; $BV9),0)))))/1024</f>
        <v>78.851757812499997</v>
      </c>
      <c r="M9" s="709">
        <f ca="1">IF(ISERROR(MATCH(M$1,INDIRECT("Table!A"&amp;$BV9):INDIRECT("Table!" &amp; $CH$110 &amp; $BV9),0)),"",INDIRECT(CONCATENATE("Table!",ADDRESS($BR9,MATCH(M$1,INDIRECT("Table!A" &amp; $BV9):INDIRECT("Table!" &amp; $CH$110 &amp; $BV9),0)))))/1024</f>
        <v>208.33535156249999</v>
      </c>
      <c r="N9" s="709">
        <f ca="1">IF(ISERROR(MATCH(N$1,INDIRECT("Table!A"&amp;$BV9):INDIRECT("Table!" &amp; $CH$110 &amp; $BV9),0)),"",INDIRECT(CONCATENATE("Table!",ADDRESS($BR9,MATCH(N$1,INDIRECT("Table!A" &amp; $BV9):INDIRECT("Table!" &amp; $CH$110 &amp; $BV9),0)))))/1024</f>
        <v>58.494921875000003</v>
      </c>
      <c r="O9" s="709">
        <f ca="1">IF(ISERROR(MATCH(O$1,INDIRECT("Table!A"&amp;$BV9):INDIRECT("Table!" &amp; $CH$110 &amp; $BV9),0)),"",INDIRECT(CONCATENATE("Table!",ADDRESS($BR9,MATCH(O$1,INDIRECT("Table!A" &amp; $BV9):INDIRECT("Table!" &amp; $CH$110 &amp; $BV9),0)))))/1024</f>
        <v>178.01484375000001</v>
      </c>
      <c r="P9" s="709">
        <f ca="1">IF(ISERROR(MATCH(P$1,INDIRECT("Table!A"&amp;$BV9):INDIRECT("Table!" &amp; $CH$110 &amp; $BV9),0)),"",INDIRECT(CONCATENATE("Table!",ADDRESS($BR9,MATCH(P$1,INDIRECT("Table!A" &amp; $BV9):INDIRECT("Table!" &amp; $CH$110 &amp; $BV9),0)))))/1024</f>
        <v>51.397070312499999</v>
      </c>
      <c r="Q9" s="709">
        <f ca="1">IF(ISERROR(MATCH(Q$1,INDIRECT("Table!A"&amp;$BV9):INDIRECT("Table!" &amp; $CH$110 &amp; $BV9),0)),"",INDIRECT(CONCATENATE("Table!",ADDRESS($BR9,MATCH(Q$1,INDIRECT("Table!A" &amp; $BV9):INDIRECT("Table!" &amp; $CH$110 &amp; $BV9),0)))))/1024</f>
        <v>150.87041015624999</v>
      </c>
      <c r="R9" s="709">
        <f ca="1">IF(ISERROR(MATCH(R$1,INDIRECT("Table!A"&amp;$BV9):INDIRECT("Table!" &amp; $CH$110 &amp; $BV9),0)),"",INDIRECT(CONCATENATE("Table!",ADDRESS($BR9,MATCH(R$1,INDIRECT("Table!A" &amp; $BV9):INDIRECT("Table!" &amp; $CH$110 &amp; $BV9),0)))))/1024</f>
        <v>180.90771484375</v>
      </c>
      <c r="S9" s="709">
        <v>0</v>
      </c>
      <c r="T9" s="709">
        <f ca="1">IF(ISERROR(MATCH(T$1,INDIRECT("Table!A"&amp;$BV9):INDIRECT("Table!" &amp; $CH$65 &amp; $BV9),0)),"",INDIRECT(CONCATENATE("Table!",ADDRESS($BR9,MATCH(T$1,INDIRECT("Table!A" &amp; $BV9):INDIRECT("Table!" &amp; $CH$65 &amp; $BV9),0)))))/1024</f>
        <v>11.2826171875</v>
      </c>
      <c r="U9" s="709">
        <f ca="1">IF(ISERROR(MATCH(U$1,INDIRECT("Table!A"&amp;$BV9):INDIRECT("Table!" &amp; $CH$65 &amp; $BV9),0)),"",INDIRECT(CONCATENATE("Table!",ADDRESS($BR9,MATCH(U$1,INDIRECT("Table!A" &amp; $BV9):INDIRECT("Table!" &amp; $CH$65 &amp; $BV9),0)))))/1024</f>
        <v>15.2552734375</v>
      </c>
      <c r="V9" s="709">
        <f ca="1">IF(ISERROR(MATCH(V$1,INDIRECT("Table!A"&amp;$BV9):INDIRECT("Table!" &amp; $CH$65 &amp; $BV9),0)),"",INDIRECT(CONCATENATE("Table!",ADDRESS($BR9,MATCH(V$1,INDIRECT("Table!A" &amp; $BV9):INDIRECT("Table!" &amp; $CH$65 &amp; $BV9),0)))))/1024</f>
        <v>30.510449218750001</v>
      </c>
      <c r="W9" s="709">
        <f ca="1">IF(ISERROR(MATCH(W$1,INDIRECT("Table!A"&amp;$BV9):INDIRECT("Table!" &amp; $CH$65 &amp; $BV9),0)),"",INDIRECT(CONCATENATE("Table!",ADDRESS($BR9,MATCH(W$1,INDIRECT("Table!A" &amp; $BV9):INDIRECT("Table!" &amp; $CH$65 &amp; $BV9),0)))))/1024</f>
        <v>33.755664062500003</v>
      </c>
      <c r="X9" s="709">
        <f ca="1">IF(ISERROR(MATCH(X$1,INDIRECT("Table!A"&amp;$BV9):INDIRECT("Table!" &amp; $CH$65 &amp; $BV9),0)),"",INDIRECT(CONCATENATE("Table!",ADDRESS($BR9,MATCH(X$1,INDIRECT("Table!A" &amp; $BV9):INDIRECT("Table!" &amp; $CH$65 &amp; $BV9),0)))))/1024</f>
        <v>66.647265625000003</v>
      </c>
      <c r="Y9" s="709">
        <f ca="1">IF(ISERROR(MATCH(Y$1,INDIRECT("Table!A"&amp;$BV9):INDIRECT("Table!" &amp; $CH$65 &amp; $BV9),0)),"",INDIRECT(CONCATENATE("Table!",ADDRESS($BR9,MATCH(Y$1,INDIRECT("Table!A" &amp; $BV9):INDIRECT("Table!" &amp; $CH$65 &amp; $BV9),0)))))/1024</f>
        <v>15.952441406249999</v>
      </c>
      <c r="Z9" s="709">
        <f ca="1">IF(ISERROR(MATCH(Z$1,INDIRECT("Table!A"&amp;$BV9):INDIRECT("Table!" &amp; $CH$65 &amp; $BV9),0)),"",INDIRECT(CONCATENATE("Table!",ADDRESS($BR9,MATCH(Z$1,INDIRECT("Table!A" &amp; $BV9):INDIRECT("Table!" &amp; $CH$65 &amp; $BV9),0)))))/1024</f>
        <v>31.731054687499999</v>
      </c>
      <c r="AA9" s="709">
        <f ca="1">IF(ISERROR(MATCH(AA$1,INDIRECT("Table!A"&amp;$BV9):INDIRECT("Table!" &amp; $CH$65 &amp; $BV9),0)),"",INDIRECT(CONCATENATE("Table!",ADDRESS($BR9,MATCH(AA$1,INDIRECT("Table!A" &amp; $BV9):INDIRECT("Table!" &amp; $CH$65 &amp; $BV9),0)))))/1024</f>
        <v>133.02578124999999</v>
      </c>
      <c r="AB9" s="709">
        <f ca="1">IF(ISERROR(MATCH(AB$1,INDIRECT("Table!A"&amp;$BV9):INDIRECT("Table!" &amp; $CH$65 &amp; $BV9),0)),"",INDIRECT(CONCATENATE("Table!",ADDRESS($BR9,MATCH(AB$1,INDIRECT("Table!A" &amp; $BV9):INDIRECT("Table!" &amp; $CH$65 &amp; $BV9),0)))))/1024</f>
        <v>4.7851562500000003E-3</v>
      </c>
      <c r="AC9" s="709">
        <f ca="1">IF(ISERROR(MATCH(AC$1,INDIRECT("Table!A"&amp;$BV9):INDIRECT("Table!" &amp; $CH$65 &amp; $BV9),0)),"",INDIRECT(CONCATENATE("Table!",ADDRESS($BR9,MATCH(AC$1,INDIRECT("Table!A" &amp; $BV9):INDIRECT("Table!" &amp; $CH$65 &amp; $BV9),0)))))/1024</f>
        <v>35.409277343749999</v>
      </c>
      <c r="AD9" s="709">
        <f ca="1">IF(ISERROR(MATCH(AD$1,INDIRECT("Table!A"&amp;$BV9):INDIRECT("Table!" &amp; $CH$65 &amp; $BV9),0)),"",INDIRECT(CONCATENATE("Table!",ADDRESS($BR9,MATCH(AD$1,INDIRECT("Table!A" &amp; $BV9):INDIRECT("Table!" &amp; $CH$65 &amp; $BV9),0)))))/1024</f>
        <v>70.847949218750003</v>
      </c>
      <c r="AE9" s="709">
        <f ca="1">IF(ISERROR(MATCH(AE$1,INDIRECT("Table!A"&amp;$BV9):INDIRECT("Table!" &amp; $CH$65 &amp; $BV9),0)),"",INDIRECT(CONCATENATE("Table!",ADDRESS($BR9,MATCH(AE$1,INDIRECT("Table!A" &amp; $BV9):INDIRECT("Table!" &amp; $CH$65 &amp; $BV9),0)))))/1024</f>
        <v>20.903417968749999</v>
      </c>
      <c r="AF9" s="709">
        <f ca="1">IF(ISERROR(MATCH(AF$1,INDIRECT("Table!A"&amp;$BV9):INDIRECT("Table!" &amp; $CH$65 &amp; $BV9),0)),"",INDIRECT(CONCATENATE("Table!",ADDRESS($BR9,MATCH(AF$1,INDIRECT("Table!A" &amp; $BV9):INDIRECT("Table!" &amp; $CH$65 &amp; $BV9),0)))))/1024</f>
        <v>20.876660156250001</v>
      </c>
      <c r="AG9" s="709">
        <f ca="1">IF(ISERROR(MATCH(AG$1,INDIRECT("Table!A"&amp;$BV9):INDIRECT("Table!" &amp; $CH$65 &amp; $BV9),0)),"",INDIRECT(CONCATENATE("Table!",ADDRESS($BR9,MATCH(AG$1,INDIRECT("Table!A" &amp; $BV9):INDIRECT("Table!" &amp; $CH$65 &amp; $BV9),0)))))/1024</f>
        <v>2.7487304687499998</v>
      </c>
      <c r="AH9" s="709">
        <f ca="1">IF(ISERROR(MATCH(AH$1,INDIRECT("Table!A"&amp;$BV9):INDIRECT("Table!" &amp; $CH$65 &amp; $BV9),0)),"",INDIRECT(CONCATENATE("Table!",ADDRESS($BR9,MATCH(AH$1,INDIRECT("Table!A" &amp; $BV9):INDIRECT("Table!" &amp; $CH$65 &amp; $BV9),0)))))/1024</f>
        <v>4.7851562500000003E-3</v>
      </c>
      <c r="AI9" s="709" t="str">
        <f ca="1">IF(ISERROR(MATCH(AI$1,INDIRECT("Table!A"&amp;$BV9):INDIRECT("Table!" &amp; $CH$110 &amp; $BV9),0)),"",INDIRECT(CONCATENATE("Table!",ADDRESS($BR9,MATCH(AI$1,INDIRECT("Table!A" &amp; $BV9):INDIRECT("Table!" &amp; $CH$110 &amp; $BV9),0)))))</f>
        <v/>
      </c>
      <c r="AJ9" s="709">
        <f ca="1">IF(ISERROR(MATCH(AJ$1,INDIRECT("Table!A"&amp;$BV9):INDIRECT("Table!" &amp; $CH$110 &amp; $BV9),0)),"",INDIRECT(CONCATENATE("Table!",ADDRESS($BZ9,MATCH(AJ$1,INDIRECT("Table!A" &amp; $BV9):INDIRECT("Table!" &amp; $CH$110 &amp; $BV9),0)))))/1024</f>
        <v>244.15859374999999</v>
      </c>
      <c r="AK9" s="709">
        <f ca="1">IF(ISERROR(MATCH(AK$1,INDIRECT("Table!A"&amp;$BV9):INDIRECT("Table!" &amp; $CH$110 &amp; $BV9),0)),"",INDIRECT(CONCATENATE("Table!",ADDRESS($BZ9,MATCH(AK$1,INDIRECT("Table!A" &amp; $BV9):INDIRECT("Table!" &amp; $CH$110 &amp; $BV9),0)))))/1024</f>
        <v>146.98896484375001</v>
      </c>
      <c r="AL9" s="709">
        <f ca="1">IF(ISERROR(MATCH(AL$1,INDIRECT("Table!A"&amp;$BV9):INDIRECT("Table!" &amp; $CH$110 &amp; $BV9),0)),"",INDIRECT(CONCATENATE("Table!",ADDRESS($BZ9,MATCH(AL$1,INDIRECT("Table!A" &amp; $BV9):INDIRECT("Table!" &amp; $CH$110 &amp; $BV9),0)))))/1024</f>
        <v>146.98896484375001</v>
      </c>
      <c r="AM9" s="709">
        <f ca="1">IF(ISERROR(MATCH(AM$1,INDIRECT("Table!A"&amp;$BV9):INDIRECT("Table!" &amp; $CH$110 &amp; $BV9),0)),"",INDIRECT(CONCATENATE("Table!",ADDRESS($BZ9,MATCH(AM$1,INDIRECT("Table!A" &amp; $BV9):INDIRECT("Table!" &amp; $CH$110 &amp; $BV9),0)))))/1024</f>
        <v>177.73320312499999</v>
      </c>
      <c r="AN9" s="709">
        <f ca="1">IF(ISERROR(MATCH(AN$1,INDIRECT("Table!A"&amp;$BV9):INDIRECT("Table!" &amp; $CH$110 &amp; $BV9),0)),"",INDIRECT(CONCATENATE("Table!",ADDRESS($BZ9,MATCH(AN$1,INDIRECT("Table!A" &amp; $BV9):INDIRECT("Table!" &amp; $CH$110 &amp; $BV9),0)))))/1024</f>
        <v>161.88056640625001</v>
      </c>
      <c r="AO9" s="709">
        <f ca="1">IF(ISERROR(MATCH(AO$1,INDIRECT("Table!A"&amp;$BV9):INDIRECT("Table!" &amp; $CH$110 &amp; $BV9),0)),"",INDIRECT(CONCATENATE("Table!",ADDRESS($BZ9,MATCH(AO$1,INDIRECT("Table!A" &amp; $BV9):INDIRECT("Table!" &amp; $CH$110 &amp; $BV9),0)))))/1024</f>
        <v>380.3759765625</v>
      </c>
      <c r="AP9" s="709">
        <f ca="1">IF(ISERROR(MATCH(AP$1,INDIRECT("Table!A"&amp;$BV9):INDIRECT("Table!" &amp; $CH$110 &amp; $BV9),0)),"",INDIRECT(CONCATENATE("Table!",ADDRESS($BZ9,MATCH(AP$1,INDIRECT("Table!A" &amp; $BV9):INDIRECT("Table!" &amp; $CH$110 &amp; $BV9),0)))))/1024</f>
        <v>167.94482421875</v>
      </c>
      <c r="AQ9" s="709">
        <f ca="1">IF(ISERROR(MATCH(AQ$1,INDIRECT("Table!A"&amp;$BV9):INDIRECT("Table!" &amp; $CH$110 &amp; $BV9),0)),"",INDIRECT(CONCATENATE("Table!",ADDRESS($BZ9,MATCH(AQ$1,INDIRECT("Table!A" &amp; $BV9):INDIRECT("Table!" &amp; $CH$110 &amp; $BV9),0)))))/1024</f>
        <v>162.185546875</v>
      </c>
      <c r="AR9" s="709">
        <f ca="1">IF(ISERROR(MATCH(AR$1,INDIRECT("Table!A"&amp;$BV9):INDIRECT("Table!" &amp; $CH$110 &amp; $BV9),0)),"",INDIRECT(CONCATENATE("Table!",ADDRESS($BZ9,MATCH(AR$1,INDIRECT("Table!A" &amp; $BV9):INDIRECT("Table!" &amp; $CH$110 &amp; $BV9),0)))))/1024</f>
        <v>121.1125</v>
      </c>
      <c r="AS9" s="709">
        <f ca="1">IF(ISERROR(MATCH(AS$1,INDIRECT("Table!A"&amp;$BV9):INDIRECT("Table!" &amp; $CH$110 &amp; $BV9),0)),"",INDIRECT(CONCATENATE("Table!",ADDRESS($BZ9,MATCH(AS$1,INDIRECT("Table!A" &amp; $BV9):INDIRECT("Table!" &amp; $CH$110 &amp; $BV9),0)))))/1024</f>
        <v>218.81953125000001</v>
      </c>
      <c r="AT9" s="709">
        <f ca="1">IF(ISERROR(MATCH(AT$1,INDIRECT("Table!A"&amp;$BV9):INDIRECT("Table!" &amp; $CH$110 &amp; $BV9),0)),"",INDIRECT(CONCATENATE("Table!",ADDRESS($BZ9,MATCH(AT$1,INDIRECT("Table!A" &amp; $BV9):INDIRECT("Table!" &amp; $CH$110 &amp; $BV9),0)))))/1024</f>
        <v>188.50498046875001</v>
      </c>
      <c r="AU9" s="709">
        <f ca="1">IF(ISERROR(MATCH(AU$1,INDIRECT("Table!A"&amp;$BV9):INDIRECT("Table!" &amp; $CH$110 &amp; $BV9),0)),"",INDIRECT(CONCATENATE("Table!",ADDRESS($BZ9,MATCH(AU$1,INDIRECT("Table!A" &amp; $BV9):INDIRECT("Table!" &amp; $CH$110 &amp; $BV9),0)))))/1024</f>
        <v>427.94912109375002</v>
      </c>
      <c r="AV9" s="709">
        <f ca="1">IF(ISERROR(MATCH(AV$1,INDIRECT("Table!A"&amp;$BV9):INDIRECT("Table!" &amp; $CH$110 &amp; $BV9),0)),"",INDIRECT(CONCATENATE("Table!",ADDRESS($BZ9,MATCH(AV$1,INDIRECT("Table!A" &amp; $BV9):INDIRECT("Table!" &amp; $CH$110 &amp; $BV9),0)))))/1024</f>
        <v>81.092578125000003</v>
      </c>
      <c r="AW9" s="709">
        <f ca="1">IF(ISERROR(MATCH(AW$1,INDIRECT("Table!A"&amp;$BV9):INDIRECT("Table!" &amp; $CH$110 &amp; $BV9),0)),"",INDIRECT(CONCATENATE("Table!",ADDRESS($BZ9,MATCH(AW$1,INDIRECT("Table!A" &amp; $BV9):INDIRECT("Table!" &amp; $CH$110 &amp; $BV9),0)))))/1024</f>
        <v>269.65859375000002</v>
      </c>
      <c r="AX9" s="709">
        <f ca="1">IF(ISERROR(MATCH(AX$1,INDIRECT("Table!A"&amp;$BV9):INDIRECT("Table!" &amp; $CH$110 &amp; $BV9),0)),"",INDIRECT(CONCATENATE("Table!",ADDRESS($BZ9,MATCH(AX$1,INDIRECT("Table!A" &amp; $BV9):INDIRECT("Table!" &amp; $CH$110 &amp; $BV9),0)))))/1024</f>
        <v>81.092578125000003</v>
      </c>
      <c r="AY9" s="709">
        <f ca="1">IF(ISERROR(MATCH(AY$1,INDIRECT("Table!A"&amp;$BV9):INDIRECT("Table!" &amp; $CH$110 &amp; $BV9),0)),"",INDIRECT(CONCATENATE("Table!",ADDRESS($BZ9,MATCH(AY$1,INDIRECT("Table!A" &amp; $BV9):INDIRECT("Table!" &amp; $CH$110 &amp; $BV9),0)))))/1024</f>
        <v>187.12714843750001</v>
      </c>
      <c r="AZ9" s="709">
        <f ca="1">IF(ISERROR(MATCH(AZ$1,INDIRECT("Table!A"&amp;$BV9):INDIRECT("Table!" &amp; $CH$110 &amp; $BV9),0)),"",INDIRECT(CONCATENATE("Table!",ADDRESS($BZ9,MATCH(AZ$1,INDIRECT("Table!A" &amp; $BV9):INDIRECT("Table!" &amp; $CH$110 &amp; $BV9),0)))))/1024</f>
        <v>256.14150390625002</v>
      </c>
      <c r="BA9" s="709">
        <v>0</v>
      </c>
      <c r="BB9" s="709">
        <f ca="1">IF(ISERROR(MATCH(BB$1,INDIRECT("Table!A"&amp;$BV9):INDIRECT("Table!" &amp; $CH$110 &amp; $BV9),0)),"",INDIRECT(CONCATENATE("Table!",ADDRESS($BZ9,MATCH(BB$1,INDIRECT("Table!A" &amp; $BV9):INDIRECT("Table!" &amp; $CH$110 &amp; $BV9),0)))))/1024</f>
        <v>32.31494140625</v>
      </c>
      <c r="BC9" s="709">
        <f ca="1">IF(ISERROR(MATCH(BC$1,INDIRECT("Table!A"&amp;$BV9):INDIRECT("Table!" &amp; $CH$110 &amp; $BV9),0)),"",INDIRECT(CONCATENATE("Table!",ADDRESS($BZ9,MATCH(BC$1,INDIRECT("Table!A" &amp; $BV9):INDIRECT("Table!" &amp; $CH$110 &amp; $BV9),0)))))/1024</f>
        <v>99.80126953125</v>
      </c>
      <c r="BD9" s="709">
        <f ca="1">IF(ISERROR(MATCH(BD$1,INDIRECT("Table!A"&amp;$BV9):INDIRECT("Table!" &amp; $CH$110 &amp; $BV9),0)),"",INDIRECT(CONCATENATE("Table!",ADDRESS($BZ9,MATCH(BD$1,INDIRECT("Table!A" &amp; $BV9):INDIRECT("Table!" &amp; $CH$110 &amp; $BV9),0)))))/1024</f>
        <v>204.58642578125</v>
      </c>
      <c r="BE9" s="905">
        <f ca="1">IF(ISERROR(MATCH(BE$1,INDIRECT("Table!A"&amp;$BV9):INDIRECT("Table!" &amp; $CH$110 &amp; $BV9),0)),"",INDIRECT(CONCATENATE("Table!",ADDRESS($BZ9,MATCH(BE$1,INDIRECT("Table!A" &amp; $BV9):INDIRECT("Table!" &amp; $CH$110 &amp; $BV9),0)))))/1024</f>
        <v>99.80126953125</v>
      </c>
      <c r="BF9" s="905">
        <f ca="1">IF(ISERROR(MATCH(BF$1,INDIRECT("Table!A"&amp;$BV9):INDIRECT("Table!" &amp; $CH$110 &amp; $BV9),0)),"",INDIRECT(CONCATENATE("Table!",ADDRESS($BZ9,MATCH(BF$1,INDIRECT("Table!A" &amp; $BV9):INDIRECT("Table!" &amp; $CH$110 &amp; $BV9),0)))))/1024</f>
        <v>204.58642578125</v>
      </c>
      <c r="BG9" s="905">
        <f ca="1">IF(ISERROR(MATCH(BG$1,INDIRECT("Table!A"&amp;$BV9):INDIRECT("Table!" &amp; $CH$110 &amp; $BV9),0)),"",INDIRECT(CONCATENATE("Table!",ADDRESS($BZ9,MATCH(BG$1,INDIRECT("Table!A" &amp; $BV9):INDIRECT("Table!" &amp; $CH$110 &amp; $BV9),0)))))/1024</f>
        <v>99.80126953125</v>
      </c>
      <c r="BH9" s="905">
        <f ca="1">IF(ISERROR(MATCH(BH$1,INDIRECT("Table!A"&amp;$BV9):INDIRECT("Table!" &amp; $CH$110 &amp; $BV9),0)),"",INDIRECT(CONCATENATE("Table!",ADDRESS($BZ9,MATCH(BH$1,INDIRECT("Table!A" &amp; $BV9):INDIRECT("Table!" &amp; $CH$110 &amp; $BV9),0)))))/1024</f>
        <v>204.58642578125</v>
      </c>
      <c r="BI9" s="905">
        <f ca="1">IF(ISERROR(MATCH(BI$1,INDIRECT("Table!A"&amp;$BV9):INDIRECT("Table!" &amp; $CH$110 &amp; $BV9),0)),"",INDIRECT(CONCATENATE("Table!",ADDRESS($BZ9,MATCH(BI$1,INDIRECT("Table!A" &amp; $BV9):INDIRECT("Table!" &amp; $CH$110 &amp; $BV9),0)))))/1024</f>
        <v>320.99140625000001</v>
      </c>
      <c r="BJ9" s="905">
        <f ca="1">IF(ISERROR(MATCH(BJ$1,INDIRECT("Table!A"&amp;$BV9):INDIRECT("Table!" &amp; $CH$110 &amp; $BV9),0)),"",INDIRECT(CONCATENATE("Table!",ADDRESS($BZ9,MATCH(BJ$1,INDIRECT("Table!A" &amp; $BV9):INDIRECT("Table!" &amp; $CH$110 &amp; $BV9),0)))))/1024</f>
        <v>186.39765625000001</v>
      </c>
      <c r="BK9" s="905">
        <f ca="1">IF(ISERROR(MATCH(BK$1,INDIRECT("Table!A"&amp;$BV9):INDIRECT("Table!" &amp; $CH$110 &amp; $BV9),0)),"",INDIRECT(CONCATENATE("Table!",ADDRESS($BZ9,MATCH(BK$1,INDIRECT("Table!A" &amp; $BV9):INDIRECT("Table!" &amp; $CH$110 &amp; $BV9),0)))))/1024</f>
        <v>218.81953125000001</v>
      </c>
      <c r="BL9" s="905">
        <f ca="1">IF(ISERROR(MATCH(BL$1,INDIRECT("Table!A"&amp;$BV9):INDIRECT("Table!" &amp; $CH$110 &amp; $BV9),0)),"",INDIRECT(CONCATENATE("Table!",ADDRESS($BZ9,MATCH(BL$1,INDIRECT("Table!A" &amp; $BV9):INDIRECT("Table!" &amp; $CH$110 &amp; $BV9),0)))))/1024</f>
        <v>218.81953125000001</v>
      </c>
      <c r="BM9" s="905">
        <f ca="1">IF(ISERROR(MATCH(BM$1,INDIRECT("Table!A"&amp;$BV9):INDIRECT("Table!" &amp; $CH$110 &amp; $BV9),0)),"",INDIRECT(CONCATENATE("Table!",ADDRESS($BZ9,MATCH(BM$1,INDIRECT("Table!A" &amp; $BV9):INDIRECT("Table!" &amp; $CH$110 &amp; $BV9),0)))))/1024</f>
        <v>152.53330078125001</v>
      </c>
      <c r="BN9" s="905">
        <f ca="1">IF(ISERROR(MATCH(BN$1,INDIRECT("Table!A"&amp;$BV9):INDIRECT("Table!" &amp; $CH$110 &amp; $BV9),0)),"",INDIRECT(CONCATENATE("Table!",ADDRESS($BZ9,MATCH(BN$1,INDIRECT("Table!A" &amp; $BV9):INDIRECT("Table!" &amp; $CH$110 &amp; $BV9),0)))))/1024</f>
        <v>152.53330078125001</v>
      </c>
      <c r="BO9" s="905">
        <f ca="1">IF(ISERROR(MATCH(BO$1,INDIRECT("Table!A"&amp;$BV9):INDIRECT("Table!" &amp; $CH$110 &amp; $BV9),0)),"",INDIRECT(CONCATENATE("Table!",ADDRESS($BZ9,MATCH(BO$1,INDIRECT("Table!A" &amp; $BV9):INDIRECT("Table!" &amp; $CH$110 &amp; $BV9),0)))))/1024</f>
        <v>218.81953125000001</v>
      </c>
      <c r="BP9" s="905">
        <f ca="1">IF(ISERROR(MATCH(BP$1,INDIRECT("Table!A"&amp;$BV9):INDIRECT("Table!" &amp; $CH$110 &amp; $BV9),0)),"",INDIRECT(CONCATENATE("Table!",ADDRESS($BZ9,MATCH(BP$1,INDIRECT("Table!A" &amp; $BV9):INDIRECT("Table!" &amp; $CH$110 &amp; $BV9),0)))))/1024</f>
        <v>186.39765625000001</v>
      </c>
      <c r="BR9" s="704">
        <f>MATCH($A9,Table!$A:$A,0)+$BT$2-1</f>
        <v>89</v>
      </c>
      <c r="BS9" s="744"/>
      <c r="BT9" s="744"/>
      <c r="BU9" s="744"/>
      <c r="BV9" s="717">
        <f>MATCH($A9,Table!$A:$A,0)+$BX$2-1</f>
        <v>87</v>
      </c>
      <c r="BW9" s="744"/>
      <c r="BX9" s="744"/>
      <c r="BY9" s="744"/>
      <c r="BZ9" s="704">
        <f>MATCH($A9,Table!$A:$A,0)+$CB$2-1</f>
        <v>88</v>
      </c>
      <c r="CA9" s="744"/>
      <c r="CB9" s="744"/>
      <c r="CC9" s="744"/>
      <c r="CD9" s="717">
        <f>MATCH($A9,Table!$A:$A,0)+$BX$2-1</f>
        <v>87</v>
      </c>
      <c r="CE9" s="744"/>
      <c r="CF9" s="744"/>
      <c r="CG9" s="744"/>
      <c r="CH9" s="711" t="s">
        <v>302</v>
      </c>
      <c r="CI9" s="712">
        <f t="shared" ref="CI9" ca="1" si="30">SUM(AJ9:BP9)</f>
        <v>6020.5451171874993</v>
      </c>
      <c r="CJ9" s="712">
        <f t="shared" ref="CJ9" ca="1" si="31">SUM(B9:AH9)</f>
        <v>2352.6722656249999</v>
      </c>
      <c r="CK9" s="712">
        <f t="shared" ref="CK9" ca="1" si="32">CI9-CJ9</f>
        <v>3667.8728515624994</v>
      </c>
      <c r="CL9" s="718">
        <f t="shared" ref="CL9" ca="1" si="33">CJ9/CI9</f>
        <v>0.39077396146547805</v>
      </c>
      <c r="CM9" s="712">
        <f ca="1">SUMIF('Alloc Feed'!A:I,A:A,'Alloc Feed'!I:I)</f>
        <v>4013.5412900390629</v>
      </c>
      <c r="CN9" s="718">
        <f t="shared" ref="CN9" ca="1" si="34">CM9/CI9</f>
        <v>0.66664084595615336</v>
      </c>
    </row>
    <row r="10" spans="1:92" s="947" customFormat="1" x14ac:dyDescent="0.25">
      <c r="A10" s="703">
        <v>41928</v>
      </c>
      <c r="B10" s="709">
        <f ca="1">IF(ISERROR(MATCH(B$1,INDIRECT("Table!A"&amp;$BV10):INDIRECT("Table!" &amp; $CH$110 &amp; $BV10),0)),"",INDIRECT(CONCATENATE("Table!",ADDRESS($BR10,MATCH(B$1,INDIRECT("Table!A" &amp; $BV10):INDIRECT("Table!" &amp; $CH$110 &amp; $BV10),0)))))/1024</f>
        <v>52.522070312499999</v>
      </c>
      <c r="C10" s="709">
        <f ca="1">IF(ISERROR(MATCH(C$1,INDIRECT("Table!A"&amp;$BV10):INDIRECT("Table!" &amp; $CH$110 &amp; $BV10),0)),"",INDIRECT(CONCATENATE("Table!",ADDRESS($BR10,MATCH(C$1,INDIRECT("Table!A" &amp; $BV10):INDIRECT("Table!" &amp; $CH$110 &amp; $BV10),0)))))/1024</f>
        <v>85.0615234375</v>
      </c>
      <c r="D10" s="709">
        <f ca="1">IF(ISERROR(MATCH(D$1,INDIRECT("Table!A"&amp;$BV10):INDIRECT("Table!" &amp; $CH$110 &amp; $BV10),0)),"",INDIRECT(CONCATENATE("Table!",ADDRESS($BR10,MATCH(D$1,INDIRECT("Table!A" &amp; $BV10):INDIRECT("Table!" &amp; $CH$110 &amp; $BV10),0)))))/1024</f>
        <v>84.814746093750003</v>
      </c>
      <c r="E10" s="709">
        <f ca="1">IF(ISERROR(MATCH(E$1,INDIRECT("Table!A"&amp;$BV10):INDIRECT("Table!" &amp; $CH$110 &amp; $BV10),0)),"",INDIRECT(CONCATENATE("Table!",ADDRESS($BR10,MATCH(E$1,INDIRECT("Table!A" &amp; $BV10):INDIRECT("Table!" &amp; $CH$110 &amp; $BV10),0)))))/1024</f>
        <v>99.956347656250003</v>
      </c>
      <c r="F10" s="709">
        <f ca="1">IF(ISERROR(MATCH(F$1,INDIRECT("Table!A"&amp;$BV10):INDIRECT("Table!" &amp; $CH$110 &amp; $BV10),0)),"",INDIRECT(CONCATENATE("Table!",ADDRESS($BR10,MATCH(F$1,INDIRECT("Table!A" &amp; $BV10):INDIRECT("Table!" &amp; $CH$110 &amp; $BV10),0)))))/1024</f>
        <v>116.01865234375001</v>
      </c>
      <c r="G10" s="709">
        <f ca="1">IF(ISERROR(MATCH(G$1,INDIRECT("Table!A"&amp;$BV10):INDIRECT("Table!" &amp; $CH$110 &amp; $BV10),0)),"",INDIRECT(CONCATENATE("Table!",ADDRESS($BR10,MATCH(G$1,INDIRECT("Table!A" &amp; $BV10):INDIRECT("Table!" &amp; $CH$110 &amp; $BV10),0)))))/1024</f>
        <v>202.98847656250001</v>
      </c>
      <c r="H10" s="709">
        <f ca="1">IF(ISERROR(MATCH(H$1,INDIRECT("Table!A"&amp;$BV10):INDIRECT("Table!" &amp; $CH$110 &amp; $BV10),0)),"",INDIRECT(CONCATENATE("Table!",ADDRESS($BR10,MATCH(H$1,INDIRECT("Table!A" &amp; $BV10):INDIRECT("Table!" &amp; $CH$110 &amp; $BV10),0)))))/1024</f>
        <v>94.50830078125</v>
      </c>
      <c r="I10" s="709">
        <f ca="1">IF(ISERROR(MATCH(I$1,INDIRECT("Table!A"&amp;$BV10):INDIRECT("Table!" &amp; $CH$110 &amp; $BV10),0)),"",INDIRECT(CONCATENATE("Table!",ADDRESS($BR10,MATCH(I$1,INDIRECT("Table!A" &amp; $BV10):INDIRECT("Table!" &amp; $CH$110 &amp; $BV10),0)))))/1024</f>
        <v>26.51806640625</v>
      </c>
      <c r="J10" s="709">
        <f ca="1">IF(ISERROR(MATCH(J$1,INDIRECT("Table!A"&amp;$BV10):INDIRECT("Table!" &amp; $CH$110 &amp; $BV10),0)),"",INDIRECT(CONCATENATE("Table!",ADDRESS($BR10,MATCH(J$1,INDIRECT("Table!A" &amp; $BV10):INDIRECT("Table!" &amp; $CH$110 &amp; $BV10),0)))))/1024</f>
        <v>98.346289062500006</v>
      </c>
      <c r="K10" s="709">
        <f ca="1">IF(ISERROR(MATCH(K$1,INDIRECT("Table!A"&amp;$BV10):INDIRECT("Table!" &amp; $CH$110 &amp; $BV10),0)),"",INDIRECT(CONCATENATE("Table!",ADDRESS($BR10,MATCH(K$1,INDIRECT("Table!A" &amp; $BV10):INDIRECT("Table!" &amp; $CH$110 &amp; $BV10),0)))))/1024</f>
        <v>94.208886718749994</v>
      </c>
      <c r="L10" s="709">
        <f ca="1">IF(ISERROR(MATCH(L$1,INDIRECT("Table!A"&amp;$BV10):INDIRECT("Table!" &amp; $CH$110 &amp; $BV10),0)),"",INDIRECT(CONCATENATE("Table!",ADDRESS($BR10,MATCH(L$1,INDIRECT("Table!A" &amp; $BV10):INDIRECT("Table!" &amp; $CH$110 &amp; $BV10),0)))))/1024</f>
        <v>78.841699218749994</v>
      </c>
      <c r="M10" s="709">
        <f ca="1">IF(ISERROR(MATCH(M$1,INDIRECT("Table!A"&amp;$BV10):INDIRECT("Table!" &amp; $CH$110 &amp; $BV10),0)),"",INDIRECT(CONCATENATE("Table!",ADDRESS($BR10,MATCH(M$1,INDIRECT("Table!A" &amp; $BV10):INDIRECT("Table!" &amp; $CH$110 &amp; $BV10),0)))))/1024</f>
        <v>208.03447265624999</v>
      </c>
      <c r="N10" s="709">
        <f ca="1">IF(ISERROR(MATCH(N$1,INDIRECT("Table!A"&amp;$BV10):INDIRECT("Table!" &amp; $CH$110 &amp; $BV10),0)),"",INDIRECT(CONCATENATE("Table!",ADDRESS($BR10,MATCH(N$1,INDIRECT("Table!A" &amp; $BV10):INDIRECT("Table!" &amp; $CH$110 &amp; $BV10),0)))))/1024</f>
        <v>58.4814453125</v>
      </c>
      <c r="O10" s="709">
        <f ca="1">IF(ISERROR(MATCH(O$1,INDIRECT("Table!A"&amp;$BV10):INDIRECT("Table!" &amp; $CH$110 &amp; $BV10),0)),"",INDIRECT(CONCATENATE("Table!",ADDRESS($BR10,MATCH(O$1,INDIRECT("Table!A" &amp; $BV10):INDIRECT("Table!" &amp; $CH$110 &amp; $BV10),0)))))/1024</f>
        <v>177.88398437500001</v>
      </c>
      <c r="P10" s="709">
        <f ca="1">IF(ISERROR(MATCH(P$1,INDIRECT("Table!A"&amp;$BV10):INDIRECT("Table!" &amp; $CH$110 &amp; $BV10),0)),"",INDIRECT(CONCATENATE("Table!",ADDRESS($BR10,MATCH(P$1,INDIRECT("Table!A" &amp; $BV10):INDIRECT("Table!" &amp; $CH$110 &amp; $BV10),0)))))/1024</f>
        <v>51.31689453125</v>
      </c>
      <c r="Q10" s="709">
        <f ca="1">IF(ISERROR(MATCH(Q$1,INDIRECT("Table!A"&amp;$BV10):INDIRECT("Table!" &amp; $CH$110 &amp; $BV10),0)),"",INDIRECT(CONCATENATE("Table!",ADDRESS($BR10,MATCH(Q$1,INDIRECT("Table!A" &amp; $BV10):INDIRECT("Table!" &amp; $CH$110 &amp; $BV10),0)))))/1024</f>
        <v>150.70263671875</v>
      </c>
      <c r="R10" s="709">
        <f ca="1">IF(ISERROR(MATCH(R$1,INDIRECT("Table!A"&amp;$BV10):INDIRECT("Table!" &amp; $CH$110 &amp; $BV10),0)),"",INDIRECT(CONCATENATE("Table!",ADDRESS($BR10,MATCH(R$1,INDIRECT("Table!A" &amp; $BV10):INDIRECT("Table!" &amp; $CH$110 &amp; $BV10),0)))))/1024</f>
        <v>179.16093749999999</v>
      </c>
      <c r="S10" s="709">
        <v>0</v>
      </c>
      <c r="T10" s="709">
        <f ca="1">IF(ISERROR(MATCH(T$1,INDIRECT("Table!A"&amp;$BV10):INDIRECT("Table!" &amp; $CH$65 &amp; $BV10),0)),"",INDIRECT(CONCATENATE("Table!",ADDRESS($BR10,MATCH(T$1,INDIRECT("Table!A" &amp; $BV10):INDIRECT("Table!" &amp; $CH$65 &amp; $BV10),0)))))/1024</f>
        <v>11.2826171875</v>
      </c>
      <c r="U10" s="709">
        <f ca="1">IF(ISERROR(MATCH(U$1,INDIRECT("Table!A"&amp;$BV10):INDIRECT("Table!" &amp; $CH$65 &amp; $BV10),0)),"",INDIRECT(CONCATENATE("Table!",ADDRESS($BR10,MATCH(U$1,INDIRECT("Table!A" &amp; $BV10):INDIRECT("Table!" &amp; $CH$65 &amp; $BV10),0)))))/1024</f>
        <v>15.236328125</v>
      </c>
      <c r="V10" s="709">
        <f ca="1">IF(ISERROR(MATCH(V$1,INDIRECT("Table!A"&amp;$BV10):INDIRECT("Table!" &amp; $CH$65 &amp; $BV10),0)),"",INDIRECT(CONCATENATE("Table!",ADDRESS($BR10,MATCH(V$1,INDIRECT("Table!A" &amp; $BV10):INDIRECT("Table!" &amp; $CH$65 &amp; $BV10),0)))))/1024</f>
        <v>30.472558593750001</v>
      </c>
      <c r="W10" s="709">
        <f ca="1">IF(ISERROR(MATCH(W$1,INDIRECT("Table!A"&amp;$BV10):INDIRECT("Table!" &amp; $CH$65 &amp; $BV10),0)),"",INDIRECT(CONCATENATE("Table!",ADDRESS($BR10,MATCH(W$1,INDIRECT("Table!A" &amp; $BV10):INDIRECT("Table!" &amp; $CH$65 &amp; $BV10),0)))))/1024</f>
        <v>33.734960937499999</v>
      </c>
      <c r="X10" s="709">
        <f ca="1">IF(ISERROR(MATCH(X$1,INDIRECT("Table!A"&amp;$BV10):INDIRECT("Table!" &amp; $CH$65 &amp; $BV10),0)),"",INDIRECT(CONCATENATE("Table!",ADDRESS($BR10,MATCH(X$1,INDIRECT("Table!A" &amp; $BV10):INDIRECT("Table!" &amp; $CH$65 &amp; $BV10),0)))))/1024</f>
        <v>66.602734374999997</v>
      </c>
      <c r="Y10" s="709">
        <f ca="1">IF(ISERROR(MATCH(Y$1,INDIRECT("Table!A"&amp;$BV10):INDIRECT("Table!" &amp; $CH$65 &amp; $BV10),0)),"",INDIRECT(CONCATENATE("Table!",ADDRESS($BR10,MATCH(Y$1,INDIRECT("Table!A" &amp; $BV10):INDIRECT("Table!" &amp; $CH$65 &amp; $BV10),0)))))/1024</f>
        <v>12.7603515625</v>
      </c>
      <c r="Z10" s="709">
        <f ca="1">IF(ISERROR(MATCH(Z$1,INDIRECT("Table!A"&amp;$BV10):INDIRECT("Table!" &amp; $CH$65 &amp; $BV10),0)),"",INDIRECT(CONCATENATE("Table!",ADDRESS($BR10,MATCH(Z$1,INDIRECT("Table!A" &amp; $BV10):INDIRECT("Table!" &amp; $CH$65 &amp; $BV10),0)))))/1024</f>
        <v>25.363671875000001</v>
      </c>
      <c r="AA10" s="709">
        <f ca="1">IF(ISERROR(MATCH(AA$1,INDIRECT("Table!A"&amp;$BV10):INDIRECT("Table!" &amp; $CH$65 &amp; $BV10),0)),"",INDIRECT(CONCATENATE("Table!",ADDRESS($BR10,MATCH(AA$1,INDIRECT("Table!A" &amp; $BV10):INDIRECT("Table!" &amp; $CH$65 &amp; $BV10),0)))))/1024</f>
        <v>132.19570312499999</v>
      </c>
      <c r="AB10" s="709">
        <f ca="1">IF(ISERROR(MATCH(AB$1,INDIRECT("Table!A"&amp;$BV10):INDIRECT("Table!" &amp; $CH$65 &amp; $BV10),0)),"",INDIRECT(CONCATENATE("Table!",ADDRESS($BR10,MATCH(AB$1,INDIRECT("Table!A" &amp; $BV10):INDIRECT("Table!" &amp; $CH$65 &amp; $BV10),0)))))/1024</f>
        <v>4.7851562500000003E-3</v>
      </c>
      <c r="AC10" s="709">
        <f ca="1">IF(ISERROR(MATCH(AC$1,INDIRECT("Table!A"&amp;$BV10):INDIRECT("Table!" &amp; $CH$65 &amp; $BV10),0)),"",INDIRECT(CONCATENATE("Table!",ADDRESS($BR10,MATCH(AC$1,INDIRECT("Table!A" &amp; $BV10):INDIRECT("Table!" &amp; $CH$65 &amp; $BV10),0)))))/1024</f>
        <v>29.870703124999999</v>
      </c>
      <c r="AD10" s="709">
        <f ca="1">IF(ISERROR(MATCH(AD$1,INDIRECT("Table!A"&amp;$BV10):INDIRECT("Table!" &amp; $CH$65 &amp; $BV10),0)),"",INDIRECT(CONCATENATE("Table!",ADDRESS($BR10,MATCH(AD$1,INDIRECT("Table!A" &amp; $BV10):INDIRECT("Table!" &amp; $CH$65 &amp; $BV10),0)))))/1024</f>
        <v>66.129003906250006</v>
      </c>
      <c r="AE10" s="709">
        <f ca="1">IF(ISERROR(MATCH(AE$1,INDIRECT("Table!A"&amp;$BV10):INDIRECT("Table!" &amp; $CH$65 &amp; $BV10),0)),"",INDIRECT(CONCATENATE("Table!",ADDRESS($BR10,MATCH(AE$1,INDIRECT("Table!A" &amp; $BV10):INDIRECT("Table!" &amp; $CH$65 &amp; $BV10),0)))))/1024</f>
        <v>20.121972656250001</v>
      </c>
      <c r="AF10" s="709">
        <f ca="1">IF(ISERROR(MATCH(AF$1,INDIRECT("Table!A"&amp;$BV10):INDIRECT("Table!" &amp; $CH$65 &amp; $BV10),0)),"",INDIRECT(CONCATENATE("Table!",ADDRESS($BR10,MATCH(AF$1,INDIRECT("Table!A" &amp; $BV10):INDIRECT("Table!" &amp; $CH$65 &amp; $BV10),0)))))/1024</f>
        <v>20.092187500000001</v>
      </c>
      <c r="AG10" s="709">
        <f ca="1">IF(ISERROR(MATCH(AG$1,INDIRECT("Table!A"&amp;$BV10):INDIRECT("Table!" &amp; $CH$65 &amp; $BV10),0)),"",INDIRECT(CONCATENATE("Table!",ADDRESS($BR10,MATCH(AG$1,INDIRECT("Table!A" &amp; $BV10):INDIRECT("Table!" &amp; $CH$65 &amp; $BV10),0)))))/1024</f>
        <v>0.71660156249999996</v>
      </c>
      <c r="AH10" s="709">
        <f ca="1">IF(ISERROR(MATCH(AH$1,INDIRECT("Table!A"&amp;$BV10):INDIRECT("Table!" &amp; $CH$65 &amp; $BV10),0)),"",INDIRECT(CONCATENATE("Table!",ADDRESS($BR10,MATCH(AH$1,INDIRECT("Table!A" &amp; $BV10):INDIRECT("Table!" &amp; $CH$65 &amp; $BV10),0)))))/1024</f>
        <v>4.7851562500000003E-3</v>
      </c>
      <c r="AI10" s="709" t="str">
        <f ca="1">IF(ISERROR(MATCH(AI$1,INDIRECT("Table!A"&amp;$BV10):INDIRECT("Table!" &amp; $CH$110 &amp; $BV10),0)),"",INDIRECT(CONCATENATE("Table!",ADDRESS($BR10,MATCH(AI$1,INDIRECT("Table!A" &amp; $BV10):INDIRECT("Table!" &amp; $CH$110 &amp; $BV10),0)))))</f>
        <v/>
      </c>
      <c r="AJ10" s="709">
        <f ca="1">IF(ISERROR(MATCH(AJ$1,INDIRECT("Table!A"&amp;$BV10):INDIRECT("Table!" &amp; $CH$110 &amp; $BV10),0)),"",INDIRECT(CONCATENATE("Table!",ADDRESS($BZ10,MATCH(AJ$1,INDIRECT("Table!A" &amp; $BV10):INDIRECT("Table!" &amp; $CH$110 &amp; $BV10),0)))))/1024</f>
        <v>244.15859374999999</v>
      </c>
      <c r="AK10" s="709">
        <f ca="1">IF(ISERROR(MATCH(AK$1,INDIRECT("Table!A"&amp;$BV10):INDIRECT("Table!" &amp; $CH$110 &amp; $BV10),0)),"",INDIRECT(CONCATENATE("Table!",ADDRESS($BZ10,MATCH(AK$1,INDIRECT("Table!A" &amp; $BV10):INDIRECT("Table!" &amp; $CH$110 &amp; $BV10),0)))))/1024</f>
        <v>146.98896484375001</v>
      </c>
      <c r="AL10" s="709">
        <f ca="1">IF(ISERROR(MATCH(AL$1,INDIRECT("Table!A"&amp;$BV10):INDIRECT("Table!" &amp; $CH$110 &amp; $BV10),0)),"",INDIRECT(CONCATENATE("Table!",ADDRESS($BZ10,MATCH(AL$1,INDIRECT("Table!A" &amp; $BV10):INDIRECT("Table!" &amp; $CH$110 &amp; $BV10),0)))))/1024</f>
        <v>146.98896484375001</v>
      </c>
      <c r="AM10" s="709">
        <f ca="1">IF(ISERROR(MATCH(AM$1,INDIRECT("Table!A"&amp;$BV10):INDIRECT("Table!" &amp; $CH$110 &amp; $BV10),0)),"",INDIRECT(CONCATENATE("Table!",ADDRESS($BZ10,MATCH(AM$1,INDIRECT("Table!A" &amp; $BV10):INDIRECT("Table!" &amp; $CH$110 &amp; $BV10),0)))))/1024</f>
        <v>177.73320312499999</v>
      </c>
      <c r="AN10" s="709">
        <f ca="1">IF(ISERROR(MATCH(AN$1,INDIRECT("Table!A"&amp;$BV10):INDIRECT("Table!" &amp; $CH$110 &amp; $BV10),0)),"",INDIRECT(CONCATENATE("Table!",ADDRESS($BZ10,MATCH(AN$1,INDIRECT("Table!A" &amp; $BV10):INDIRECT("Table!" &amp; $CH$110 &amp; $BV10),0)))))/1024</f>
        <v>161.88056640625001</v>
      </c>
      <c r="AO10" s="709">
        <f ca="1">IF(ISERROR(MATCH(AO$1,INDIRECT("Table!A"&amp;$BV10):INDIRECT("Table!" &amp; $CH$110 &amp; $BV10),0)),"",INDIRECT(CONCATENATE("Table!",ADDRESS($BZ10,MATCH(AO$1,INDIRECT("Table!A" &amp; $BV10):INDIRECT("Table!" &amp; $CH$110 &amp; $BV10),0)))))/1024</f>
        <v>380.3759765625</v>
      </c>
      <c r="AP10" s="709">
        <f ca="1">IF(ISERROR(MATCH(AP$1,INDIRECT("Table!A"&amp;$BV10):INDIRECT("Table!" &amp; $CH$110 &amp; $BV10),0)),"",INDIRECT(CONCATENATE("Table!",ADDRESS($BZ10,MATCH(AP$1,INDIRECT("Table!A" &amp; $BV10):INDIRECT("Table!" &amp; $CH$110 &amp; $BV10),0)))))/1024</f>
        <v>167.94482421875</v>
      </c>
      <c r="AQ10" s="709">
        <f ca="1">IF(ISERROR(MATCH(AQ$1,INDIRECT("Table!A"&amp;$BV10):INDIRECT("Table!" &amp; $CH$110 &amp; $BV10),0)),"",INDIRECT(CONCATENATE("Table!",ADDRESS($BZ10,MATCH(AQ$1,INDIRECT("Table!A" &amp; $BV10):INDIRECT("Table!" &amp; $CH$110 &amp; $BV10),0)))))/1024</f>
        <v>162.185546875</v>
      </c>
      <c r="AR10" s="709">
        <f ca="1">IF(ISERROR(MATCH(AR$1,INDIRECT("Table!A"&amp;$BV10):INDIRECT("Table!" &amp; $CH$110 &amp; $BV10),0)),"",INDIRECT(CONCATENATE("Table!",ADDRESS($BZ10,MATCH(AR$1,INDIRECT("Table!A" &amp; $BV10):INDIRECT("Table!" &amp; $CH$110 &amp; $BV10),0)))))/1024</f>
        <v>121.1125</v>
      </c>
      <c r="AS10" s="709">
        <f ca="1">IF(ISERROR(MATCH(AS$1,INDIRECT("Table!A"&amp;$BV10):INDIRECT("Table!" &amp; $CH$110 &amp; $BV10),0)),"",INDIRECT(CONCATENATE("Table!",ADDRESS($BZ10,MATCH(AS$1,INDIRECT("Table!A" &amp; $BV10):INDIRECT("Table!" &amp; $CH$110 &amp; $BV10),0)))))/1024</f>
        <v>218.81953125000001</v>
      </c>
      <c r="AT10" s="709">
        <f ca="1">IF(ISERROR(MATCH(AT$1,INDIRECT("Table!A"&amp;$BV10):INDIRECT("Table!" &amp; $CH$110 &amp; $BV10),0)),"",INDIRECT(CONCATENATE("Table!",ADDRESS($BZ10,MATCH(AT$1,INDIRECT("Table!A" &amp; $BV10):INDIRECT("Table!" &amp; $CH$110 &amp; $BV10),0)))))/1024</f>
        <v>188.50498046875001</v>
      </c>
      <c r="AU10" s="709">
        <f ca="1">IF(ISERROR(MATCH(AU$1,INDIRECT("Table!A"&amp;$BV10):INDIRECT("Table!" &amp; $CH$110 &amp; $BV10),0)),"",INDIRECT(CONCATENATE("Table!",ADDRESS($BZ10,MATCH(AU$1,INDIRECT("Table!A" &amp; $BV10):INDIRECT("Table!" &amp; $CH$110 &amp; $BV10),0)))))/1024</f>
        <v>427.94912109375002</v>
      </c>
      <c r="AV10" s="709">
        <f ca="1">IF(ISERROR(MATCH(AV$1,INDIRECT("Table!A"&amp;$BV10):INDIRECT("Table!" &amp; $CH$110 &amp; $BV10),0)),"",INDIRECT(CONCATENATE("Table!",ADDRESS($BZ10,MATCH(AV$1,INDIRECT("Table!A" &amp; $BV10):INDIRECT("Table!" &amp; $CH$110 &amp; $BV10),0)))))/1024</f>
        <v>81.092578125000003</v>
      </c>
      <c r="AW10" s="709">
        <f ca="1">IF(ISERROR(MATCH(AW$1,INDIRECT("Table!A"&amp;$BV10):INDIRECT("Table!" &amp; $CH$110 &amp; $BV10),0)),"",INDIRECT(CONCATENATE("Table!",ADDRESS($BZ10,MATCH(AW$1,INDIRECT("Table!A" &amp; $BV10):INDIRECT("Table!" &amp; $CH$110 &amp; $BV10),0)))))/1024</f>
        <v>269.65859375000002</v>
      </c>
      <c r="AX10" s="709">
        <f ca="1">IF(ISERROR(MATCH(AX$1,INDIRECT("Table!A"&amp;$BV10):INDIRECT("Table!" &amp; $CH$110 &amp; $BV10),0)),"",INDIRECT(CONCATENATE("Table!",ADDRESS($BZ10,MATCH(AX$1,INDIRECT("Table!A" &amp; $BV10):INDIRECT("Table!" &amp; $CH$110 &amp; $BV10),0)))))/1024</f>
        <v>81.092578125000003</v>
      </c>
      <c r="AY10" s="709">
        <f ca="1">IF(ISERROR(MATCH(AY$1,INDIRECT("Table!A"&amp;$BV10):INDIRECT("Table!" &amp; $CH$110 &amp; $BV10),0)),"",INDIRECT(CONCATENATE("Table!",ADDRESS($BZ10,MATCH(AY$1,INDIRECT("Table!A" &amp; $BV10):INDIRECT("Table!" &amp; $CH$110 &amp; $BV10),0)))))/1024</f>
        <v>187.12714843750001</v>
      </c>
      <c r="AZ10" s="709">
        <f ca="1">IF(ISERROR(MATCH(AZ$1,INDIRECT("Table!A"&amp;$BV10):INDIRECT("Table!" &amp; $CH$110 &amp; $BV10),0)),"",INDIRECT(CONCATENATE("Table!",ADDRESS($BZ10,MATCH(AZ$1,INDIRECT("Table!A" &amp; $BV10):INDIRECT("Table!" &amp; $CH$110 &amp; $BV10),0)))))/1024</f>
        <v>256.14150390625002</v>
      </c>
      <c r="BA10" s="709">
        <v>0</v>
      </c>
      <c r="BB10" s="709">
        <f ca="1">IF(ISERROR(MATCH(BB$1,INDIRECT("Table!A"&amp;$BV10):INDIRECT("Table!" &amp; $CH$110 &amp; $BV10),0)),"",INDIRECT(CONCATENATE("Table!",ADDRESS($BZ10,MATCH(BB$1,INDIRECT("Table!A" &amp; $BV10):INDIRECT("Table!" &amp; $CH$110 &amp; $BV10),0)))))/1024</f>
        <v>32.31494140625</v>
      </c>
      <c r="BC10" s="709">
        <f ca="1">IF(ISERROR(MATCH(BC$1,INDIRECT("Table!A"&amp;$BV10):INDIRECT("Table!" &amp; $CH$110 &amp; $BV10),0)),"",INDIRECT(CONCATENATE("Table!",ADDRESS($BZ10,MATCH(BC$1,INDIRECT("Table!A" &amp; $BV10):INDIRECT("Table!" &amp; $CH$110 &amp; $BV10),0)))))/1024</f>
        <v>99.80126953125</v>
      </c>
      <c r="BD10" s="709">
        <f ca="1">IF(ISERROR(MATCH(BD$1,INDIRECT("Table!A"&amp;$BV10):INDIRECT("Table!" &amp; $CH$110 &amp; $BV10),0)),"",INDIRECT(CONCATENATE("Table!",ADDRESS($BZ10,MATCH(BD$1,INDIRECT("Table!A" &amp; $BV10):INDIRECT("Table!" &amp; $CH$110 &amp; $BV10),0)))))/1024</f>
        <v>204.58642578125</v>
      </c>
      <c r="BE10" s="905">
        <f ca="1">IF(ISERROR(MATCH(BE$1,INDIRECT("Table!A"&amp;$BV10):INDIRECT("Table!" &amp; $CH$110 &amp; $BV10),0)),"",INDIRECT(CONCATENATE("Table!",ADDRESS($BZ10,MATCH(BE$1,INDIRECT("Table!A" &amp; $BV10):INDIRECT("Table!" &amp; $CH$110 &amp; $BV10),0)))))/1024</f>
        <v>99.80126953125</v>
      </c>
      <c r="BF10" s="905">
        <f ca="1">IF(ISERROR(MATCH(BF$1,INDIRECT("Table!A"&amp;$BV10):INDIRECT("Table!" &amp; $CH$110 &amp; $BV10),0)),"",INDIRECT(CONCATENATE("Table!",ADDRESS($BZ10,MATCH(BF$1,INDIRECT("Table!A" &amp; $BV10):INDIRECT("Table!" &amp; $CH$110 &amp; $BV10),0)))))/1024</f>
        <v>204.58642578125</v>
      </c>
      <c r="BG10" s="905">
        <f ca="1">IF(ISERROR(MATCH(BG$1,INDIRECT("Table!A"&amp;$BV10):INDIRECT("Table!" &amp; $CH$110 &amp; $BV10),0)),"",INDIRECT(CONCATENATE("Table!",ADDRESS($BZ10,MATCH(BG$1,INDIRECT("Table!A" &amp; $BV10):INDIRECT("Table!" &amp; $CH$110 &amp; $BV10),0)))))/1024</f>
        <v>99.80126953125</v>
      </c>
      <c r="BH10" s="905">
        <f ca="1">IF(ISERROR(MATCH(BH$1,INDIRECT("Table!A"&amp;$BV10):INDIRECT("Table!" &amp; $CH$110 &amp; $BV10),0)),"",INDIRECT(CONCATENATE("Table!",ADDRESS($BZ10,MATCH(BH$1,INDIRECT("Table!A" &amp; $BV10):INDIRECT("Table!" &amp; $CH$110 &amp; $BV10),0)))))/1024</f>
        <v>204.58642578125</v>
      </c>
      <c r="BI10" s="905">
        <f ca="1">IF(ISERROR(MATCH(BI$1,INDIRECT("Table!A"&amp;$BV10):INDIRECT("Table!" &amp; $CH$110 &amp; $BV10),0)),"",INDIRECT(CONCATENATE("Table!",ADDRESS($BZ10,MATCH(BI$1,INDIRECT("Table!A" &amp; $BV10):INDIRECT("Table!" &amp; $CH$110 &amp; $BV10),0)))))/1024</f>
        <v>320.99140625000001</v>
      </c>
      <c r="BJ10" s="905">
        <f ca="1">IF(ISERROR(MATCH(BJ$1,INDIRECT("Table!A"&amp;$BV10):INDIRECT("Table!" &amp; $CH$110 &amp; $BV10),0)),"",INDIRECT(CONCATENATE("Table!",ADDRESS($BZ10,MATCH(BJ$1,INDIRECT("Table!A" &amp; $BV10):INDIRECT("Table!" &amp; $CH$110 &amp; $BV10),0)))))/1024</f>
        <v>186.39765625000001</v>
      </c>
      <c r="BK10" s="905">
        <f ca="1">IF(ISERROR(MATCH(BK$1,INDIRECT("Table!A"&amp;$BV10):INDIRECT("Table!" &amp; $CH$110 &amp; $BV10),0)),"",INDIRECT(CONCATENATE("Table!",ADDRESS($BZ10,MATCH(BK$1,INDIRECT("Table!A" &amp; $BV10):INDIRECT("Table!" &amp; $CH$110 &amp; $BV10),0)))))/1024</f>
        <v>218.81953125000001</v>
      </c>
      <c r="BL10" s="905">
        <f ca="1">IF(ISERROR(MATCH(BL$1,INDIRECT("Table!A"&amp;$BV10):INDIRECT("Table!" &amp; $CH$110 &amp; $BV10),0)),"",INDIRECT(CONCATENATE("Table!",ADDRESS($BZ10,MATCH(BL$1,INDIRECT("Table!A" &amp; $BV10):INDIRECT("Table!" &amp; $CH$110 &amp; $BV10),0)))))/1024</f>
        <v>218.81953125000001</v>
      </c>
      <c r="BM10" s="905">
        <f ca="1">IF(ISERROR(MATCH(BM$1,INDIRECT("Table!A"&amp;$BV10):INDIRECT("Table!" &amp; $CH$110 &amp; $BV10),0)),"",INDIRECT(CONCATENATE("Table!",ADDRESS($BZ10,MATCH(BM$1,INDIRECT("Table!A" &amp; $BV10):INDIRECT("Table!" &amp; $CH$110 &amp; $BV10),0)))))/1024</f>
        <v>152.53330078125001</v>
      </c>
      <c r="BN10" s="905">
        <f ca="1">IF(ISERROR(MATCH(BN$1,INDIRECT("Table!A"&amp;$BV10):INDIRECT("Table!" &amp; $CH$110 &amp; $BV10),0)),"",INDIRECT(CONCATENATE("Table!",ADDRESS($BZ10,MATCH(BN$1,INDIRECT("Table!A" &amp; $BV10):INDIRECT("Table!" &amp; $CH$110 &amp; $BV10),0)))))/1024</f>
        <v>152.53330078125001</v>
      </c>
      <c r="BO10" s="905">
        <f ca="1">IF(ISERROR(MATCH(BO$1,INDIRECT("Table!A"&amp;$BV10):INDIRECT("Table!" &amp; $CH$110 &amp; $BV10),0)),"",INDIRECT(CONCATENATE("Table!",ADDRESS($BZ10,MATCH(BO$1,INDIRECT("Table!A" &amp; $BV10):INDIRECT("Table!" &amp; $CH$110 &amp; $BV10),0)))))/1024</f>
        <v>218.81953125000001</v>
      </c>
      <c r="BP10" s="905">
        <f ca="1">IF(ISERROR(MATCH(BP$1,INDIRECT("Table!A"&amp;$BV10):INDIRECT("Table!" &amp; $CH$110 &amp; $BV10),0)),"",INDIRECT(CONCATENATE("Table!",ADDRESS($BZ10,MATCH(BP$1,INDIRECT("Table!A" &amp; $BV10):INDIRECT("Table!" &amp; $CH$110 &amp; $BV10),0)))))/1024</f>
        <v>186.39765625000001</v>
      </c>
      <c r="BR10" s="704">
        <f>MATCH($A10,Table!$A:$A,0)+$BT$2-1</f>
        <v>103</v>
      </c>
      <c r="BS10" s="744"/>
      <c r="BT10" s="744"/>
      <c r="BU10" s="744"/>
      <c r="BV10" s="717">
        <f>MATCH($A10,Table!$A:$A,0)+$BX$2-1</f>
        <v>101</v>
      </c>
      <c r="BW10" s="744"/>
      <c r="BX10" s="744"/>
      <c r="BY10" s="744"/>
      <c r="BZ10" s="704">
        <f>MATCH($A10,Table!$A:$A,0)+$CB$2-1</f>
        <v>102</v>
      </c>
      <c r="CA10" s="744"/>
      <c r="CB10" s="744"/>
      <c r="CC10" s="744"/>
      <c r="CD10" s="717">
        <f>MATCH($A10,Table!$A:$A,0)+$BX$2-1</f>
        <v>101</v>
      </c>
      <c r="CE10" s="744"/>
      <c r="CF10" s="744"/>
      <c r="CG10" s="744"/>
      <c r="CH10" s="711" t="s">
        <v>302</v>
      </c>
      <c r="CI10" s="712">
        <f t="shared" ref="CI10" ca="1" si="35">SUM(AJ10:BP10)</f>
        <v>6020.5451171874993</v>
      </c>
      <c r="CJ10" s="712">
        <f t="shared" ref="CJ10" ca="1" si="36">SUM(B10:AH10)</f>
        <v>2323.9543945312494</v>
      </c>
      <c r="CK10" s="712">
        <f t="shared" ref="CK10" ca="1" si="37">CI10-CJ10</f>
        <v>3696.5907226562499</v>
      </c>
      <c r="CL10" s="718">
        <f t="shared" ref="CL10" ca="1" si="38">CJ10/CI10</f>
        <v>0.38600398291124938</v>
      </c>
      <c r="CM10" s="712">
        <f ca="1">SUMIF('Alloc Feed'!A:I,A:A,'Alloc Feed'!I:I)</f>
        <v>3983.2815996093746</v>
      </c>
      <c r="CN10" s="718">
        <f t="shared" ref="CN10" ca="1" si="39">CM10/CI10</f>
        <v>0.66161477442264671</v>
      </c>
    </row>
    <row r="11" spans="1:92" s="947" customFormat="1" x14ac:dyDescent="0.25">
      <c r="A11" s="703">
        <v>41921</v>
      </c>
      <c r="B11" s="709">
        <f ca="1">IF(ISERROR(MATCH(B$1,INDIRECT("Table!A"&amp;$BV11):INDIRECT("Table!" &amp; $CH$110 &amp; $BV11),0)),"",INDIRECT(CONCATENATE("Table!",ADDRESS($BR11,MATCH(B$1,INDIRECT("Table!A" &amp; $BV11):INDIRECT("Table!" &amp; $CH$110 &amp; $BV11),0)))))/1024</f>
        <v>52.490039062500003</v>
      </c>
      <c r="C11" s="709">
        <f ca="1">IF(ISERROR(MATCH(C$1,INDIRECT("Table!A"&amp;$BV11):INDIRECT("Table!" &amp; $CH$110 &amp; $BV11),0)),"",INDIRECT(CONCATENATE("Table!",ADDRESS($BR11,MATCH(C$1,INDIRECT("Table!A" &amp; $BV11):INDIRECT("Table!" &amp; $CH$110 &amp; $BV11),0)))))/1024</f>
        <v>85.033789062500006</v>
      </c>
      <c r="D11" s="709">
        <f ca="1">IF(ISERROR(MATCH(D$1,INDIRECT("Table!A"&amp;$BV11):INDIRECT("Table!" &amp; $CH$110 &amp; $BV11),0)),"",INDIRECT(CONCATENATE("Table!",ADDRESS($BR11,MATCH(D$1,INDIRECT("Table!A" &amp; $BV11):INDIRECT("Table!" &amp; $CH$110 &amp; $BV11),0)))))/1024</f>
        <v>84.786914062500003</v>
      </c>
      <c r="E11" s="709">
        <f ca="1">IF(ISERROR(MATCH(E$1,INDIRECT("Table!A"&amp;$BV11):INDIRECT("Table!" &amp; $CH$110 &amp; $BV11),0)),"",INDIRECT(CONCATENATE("Table!",ADDRESS($BR11,MATCH(E$1,INDIRECT("Table!A" &amp; $BV11):INDIRECT("Table!" &amp; $CH$110 &amp; $BV11),0)))))/1024</f>
        <v>99.924023437499997</v>
      </c>
      <c r="F11" s="709">
        <f ca="1">IF(ISERROR(MATCH(F$1,INDIRECT("Table!A"&amp;$BV11):INDIRECT("Table!" &amp; $CH$110 &amp; $BV11),0)),"",INDIRECT(CONCATENATE("Table!",ADDRESS($BR11,MATCH(F$1,INDIRECT("Table!A" &amp; $BV11):INDIRECT("Table!" &amp; $CH$110 &amp; $BV11),0)))))/1024</f>
        <v>115.951953125</v>
      </c>
      <c r="G11" s="709">
        <f ca="1">IF(ISERROR(MATCH(G$1,INDIRECT("Table!A"&amp;$BV11):INDIRECT("Table!" &amp; $CH$110 &amp; $BV11),0)),"",INDIRECT(CONCATENATE("Table!",ADDRESS($BR11,MATCH(G$1,INDIRECT("Table!A" &amp; $BV11):INDIRECT("Table!" &amp; $CH$110 &amp; $BV11),0)))))/1024</f>
        <v>202.52470703124999</v>
      </c>
      <c r="H11" s="709">
        <f ca="1">IF(ISERROR(MATCH(H$1,INDIRECT("Table!A"&amp;$BV11):INDIRECT("Table!" &amp; $CH$110 &amp; $BV11),0)),"",INDIRECT(CONCATENATE("Table!",ADDRESS($BR11,MATCH(H$1,INDIRECT("Table!A" &amp; $BV11):INDIRECT("Table!" &amp; $CH$110 &amp; $BV11),0)))))/1024</f>
        <v>94.305371093749997</v>
      </c>
      <c r="I11" s="709">
        <f ca="1">IF(ISERROR(MATCH(I$1,INDIRECT("Table!A"&amp;$BV11):INDIRECT("Table!" &amp; $CH$110 &amp; $BV11),0)),"",INDIRECT(CONCATENATE("Table!",ADDRESS($BR11,MATCH(I$1,INDIRECT("Table!A" &amp; $BV11):INDIRECT("Table!" &amp; $CH$110 &amp; $BV11),0)))))/1024</f>
        <v>26.445507812500001</v>
      </c>
      <c r="J11" s="709">
        <f ca="1">IF(ISERROR(MATCH(J$1,INDIRECT("Table!A"&amp;$BV11):INDIRECT("Table!" &amp; $CH$110 &amp; $BV11),0)),"",INDIRECT(CONCATENATE("Table!",ADDRESS($BR11,MATCH(J$1,INDIRECT("Table!A" &amp; $BV11):INDIRECT("Table!" &amp; $CH$110 &amp; $BV11),0)))))/1024</f>
        <v>97.961230468750003</v>
      </c>
      <c r="K11" s="709">
        <f ca="1">IF(ISERROR(MATCH(K$1,INDIRECT("Table!A"&amp;$BV11):INDIRECT("Table!" &amp; $CH$110 &amp; $BV11),0)),"",INDIRECT(CONCATENATE("Table!",ADDRESS($BR11,MATCH(K$1,INDIRECT("Table!A" &amp; $BV11):INDIRECT("Table!" &amp; $CH$110 &amp; $BV11),0)))))/1024</f>
        <v>93.645703124999997</v>
      </c>
      <c r="L11" s="709">
        <f ca="1">IF(ISERROR(MATCH(L$1,INDIRECT("Table!A"&amp;$BV11):INDIRECT("Table!" &amp; $CH$110 &amp; $BV11),0)),"",INDIRECT(CONCATENATE("Table!",ADDRESS($BR11,MATCH(L$1,INDIRECT("Table!A" &amp; $BV11):INDIRECT("Table!" &amp; $CH$110 &amp; $BV11),0)))))/1024</f>
        <v>78.766796874999997</v>
      </c>
      <c r="M11" s="709">
        <f ca="1">IF(ISERROR(MATCH(M$1,INDIRECT("Table!A"&amp;$BV11):INDIRECT("Table!" &amp; $CH$110 &amp; $BV11),0)),"",INDIRECT(CONCATENATE("Table!",ADDRESS($BR11,MATCH(M$1,INDIRECT("Table!A" &amp; $BV11):INDIRECT("Table!" &amp; $CH$110 &amp; $BV11),0)))))/1024</f>
        <v>207.68613281250001</v>
      </c>
      <c r="N11" s="709">
        <f ca="1">IF(ISERROR(MATCH(N$1,INDIRECT("Table!A"&amp;$BV11):INDIRECT("Table!" &amp; $CH$110 &amp; $BV11),0)),"",INDIRECT(CONCATENATE("Table!",ADDRESS($BR11,MATCH(N$1,INDIRECT("Table!A" &amp; $BV11):INDIRECT("Table!" &amp; $CH$110 &amp; $BV11),0)))))/1024</f>
        <v>58.449511718750003</v>
      </c>
      <c r="O11" s="709">
        <f ca="1">IF(ISERROR(MATCH(O$1,INDIRECT("Table!A"&amp;$BV11):INDIRECT("Table!" &amp; $CH$110 &amp; $BV11),0)),"",INDIRECT(CONCATENATE("Table!",ADDRESS($BR11,MATCH(O$1,INDIRECT("Table!A" &amp; $BV11):INDIRECT("Table!" &amp; $CH$110 &amp; $BV11),0)))))/1024</f>
        <v>177.47812500000001</v>
      </c>
      <c r="P11" s="709">
        <f ca="1">IF(ISERROR(MATCH(P$1,INDIRECT("Table!A"&amp;$BV11):INDIRECT("Table!" &amp; $CH$110 &amp; $BV11),0)),"",INDIRECT(CONCATENATE("Table!",ADDRESS($BR11,MATCH(P$1,INDIRECT("Table!A" &amp; $BV11):INDIRECT("Table!" &amp; $CH$110 &amp; $BV11),0)))))/1024</f>
        <v>51.175585937500003</v>
      </c>
      <c r="Q11" s="709">
        <f ca="1">IF(ISERROR(MATCH(Q$1,INDIRECT("Table!A"&amp;$BV11):INDIRECT("Table!" &amp; $CH$110 &amp; $BV11),0)),"",INDIRECT(CONCATENATE("Table!",ADDRESS($BR11,MATCH(Q$1,INDIRECT("Table!A" &amp; $BV11):INDIRECT("Table!" &amp; $CH$110 &amp; $BV11),0)))))/1024</f>
        <v>150.35273437500001</v>
      </c>
      <c r="R11" s="709">
        <f ca="1">IF(ISERROR(MATCH(R$1,INDIRECT("Table!A"&amp;$BV11):INDIRECT("Table!" &amp; $CH$110 &amp; $BV11),0)),"",INDIRECT(CONCATENATE("Table!",ADDRESS($BR11,MATCH(R$1,INDIRECT("Table!A" &amp; $BV11):INDIRECT("Table!" &amp; $CH$110 &amp; $BV11),0)))))/1024</f>
        <v>177.86464843749999</v>
      </c>
      <c r="S11" s="709">
        <v>0</v>
      </c>
      <c r="T11" s="709">
        <f ca="1">IF(ISERROR(MATCH(T$1,INDIRECT("Table!A"&amp;$BV11):INDIRECT("Table!" &amp; $CH$65 &amp; $BV11),0)),"",INDIRECT(CONCATENATE("Table!",ADDRESS($BR11,MATCH(T$1,INDIRECT("Table!A" &amp; $BV11):INDIRECT("Table!" &amp; $CH$65 &amp; $BV11),0)))))/1024</f>
        <v>11.2826171875</v>
      </c>
      <c r="U11" s="709">
        <f ca="1">IF(ISERROR(MATCH(U$1,INDIRECT("Table!A"&amp;$BV11):INDIRECT("Table!" &amp; $CH$65 &amp; $BV11),0)),"",INDIRECT(CONCATENATE("Table!",ADDRESS($BR11,MATCH(U$1,INDIRECT("Table!A" &amp; $BV11):INDIRECT("Table!" &amp; $CH$65 &amp; $BV11),0)))))/1024</f>
        <v>15.2142578125</v>
      </c>
      <c r="V11" s="709">
        <f ca="1">IF(ISERROR(MATCH(V$1,INDIRECT("Table!A"&amp;$BV11):INDIRECT("Table!" &amp; $CH$65 &amp; $BV11),0)),"",INDIRECT(CONCATENATE("Table!",ADDRESS($BR11,MATCH(V$1,INDIRECT("Table!A" &amp; $BV11):INDIRECT("Table!" &amp; $CH$65 &amp; $BV11),0)))))/1024</f>
        <v>30.428417968750001</v>
      </c>
      <c r="W11" s="709">
        <f ca="1">IF(ISERROR(MATCH(W$1,INDIRECT("Table!A"&amp;$BV11):INDIRECT("Table!" &amp; $CH$65 &amp; $BV11),0)),"",INDIRECT(CONCATENATE("Table!",ADDRESS($BR11,MATCH(W$1,INDIRECT("Table!A" &amp; $BV11):INDIRECT("Table!" &amp; $CH$65 &amp; $BV11),0)))))/1024</f>
        <v>26.403222656250001</v>
      </c>
      <c r="X11" s="709">
        <f ca="1">IF(ISERROR(MATCH(X$1,INDIRECT("Table!A"&amp;$BV11):INDIRECT("Table!" &amp; $CH$65 &amp; $BV11),0)),"",INDIRECT(CONCATENATE("Table!",ADDRESS($BR11,MATCH(X$1,INDIRECT("Table!A" &amp; $BV11):INDIRECT("Table!" &amp; $CH$65 &amp; $BV11),0)))))/1024</f>
        <v>51.9345703125</v>
      </c>
      <c r="Y11" s="709">
        <f ca="1">IF(ISERROR(MATCH(Y$1,INDIRECT("Table!A"&amp;$BV11):INDIRECT("Table!" &amp; $CH$65 &amp; $BV11),0)),"",INDIRECT(CONCATENATE("Table!",ADDRESS($BR11,MATCH(Y$1,INDIRECT("Table!A" &amp; $BV11):INDIRECT("Table!" &amp; $CH$65 &amp; $BV11),0)))))/1024</f>
        <v>9.6945312500000007</v>
      </c>
      <c r="Z11" s="709">
        <f ca="1">IF(ISERROR(MATCH(Z$1,INDIRECT("Table!A"&amp;$BV11):INDIRECT("Table!" &amp; $CH$65 &amp; $BV11),0)),"",INDIRECT(CONCATENATE("Table!",ADDRESS($BR11,MATCH(Z$1,INDIRECT("Table!A" &amp; $BV11):INDIRECT("Table!" &amp; $CH$65 &amp; $BV11),0)))))/1024</f>
        <v>19.233105468750001</v>
      </c>
      <c r="AA11" s="709">
        <f ca="1">IF(ISERROR(MATCH(AA$1,INDIRECT("Table!A"&amp;$BV11):INDIRECT("Table!" &amp; $CH$65 &amp; $BV11),0)),"",INDIRECT(CONCATENATE("Table!",ADDRESS($BR11,MATCH(AA$1,INDIRECT("Table!A" &amp; $BV11):INDIRECT("Table!" &amp; $CH$65 &amp; $BV11),0)))))/1024</f>
        <v>131.68320312500001</v>
      </c>
      <c r="AB11" s="709">
        <f ca="1">IF(ISERROR(MATCH(AB$1,INDIRECT("Table!A"&amp;$BV11):INDIRECT("Table!" &amp; $CH$65 &amp; $BV11),0)),"",INDIRECT(CONCATENATE("Table!",ADDRESS($BR11,MATCH(AB$1,INDIRECT("Table!A" &amp; $BV11):INDIRECT("Table!" &amp; $CH$65 &amp; $BV11),0)))))/1024</f>
        <v>4.7851562500000003E-3</v>
      </c>
      <c r="AC11" s="709">
        <f ca="1">IF(ISERROR(MATCH(AC$1,INDIRECT("Table!A"&amp;$BV11):INDIRECT("Table!" &amp; $CH$65 &amp; $BV11),0)),"",INDIRECT(CONCATENATE("Table!",ADDRESS($BR11,MATCH(AC$1,INDIRECT("Table!A" &amp; $BV11):INDIRECT("Table!" &amp; $CH$65 &amp; $BV11),0)))))/1024</f>
        <v>25.888671875</v>
      </c>
      <c r="AD11" s="709">
        <f ca="1">IF(ISERROR(MATCH(AD$1,INDIRECT("Table!A"&amp;$BV11):INDIRECT("Table!" &amp; $CH$65 &amp; $BV11),0)),"",INDIRECT(CONCATENATE("Table!",ADDRESS($BR11,MATCH(AD$1,INDIRECT("Table!A" &amp; $BV11):INDIRECT("Table!" &amp; $CH$65 &amp; $BV11),0)))))/1024</f>
        <v>65.796972656250006</v>
      </c>
      <c r="AE11" s="709">
        <f ca="1">IF(ISERROR(MATCH(AE$1,INDIRECT("Table!A"&amp;$BV11):INDIRECT("Table!" &amp; $CH$65 &amp; $BV11),0)),"",INDIRECT(CONCATENATE("Table!",ADDRESS($BR11,MATCH(AE$1,INDIRECT("Table!A" &amp; $BV11):INDIRECT("Table!" &amp; $CH$65 &amp; $BV11),0)))))/1024</f>
        <v>18.481640625000001</v>
      </c>
      <c r="AF11" s="709">
        <f ca="1">IF(ISERROR(MATCH(AF$1,INDIRECT("Table!A"&amp;$BV11):INDIRECT("Table!" &amp; $CH$65 &amp; $BV11),0)),"",INDIRECT(CONCATENATE("Table!",ADDRESS($BR11,MATCH(AF$1,INDIRECT("Table!A" &amp; $BV11):INDIRECT("Table!" &amp; $CH$65 &amp; $BV11),0)))))/1024</f>
        <v>18.451953124999999</v>
      </c>
      <c r="AG11" s="709">
        <f ca="1">IF(ISERROR(MATCH(AG$1,INDIRECT("Table!A"&amp;$BV11):INDIRECT("Table!" &amp; $CH$65 &amp; $BV11),0)),"",INDIRECT(CONCATENATE("Table!",ADDRESS($BR11,MATCH(AG$1,INDIRECT("Table!A" &amp; $BV11):INDIRECT("Table!" &amp; $CH$65 &amp; $BV11),0)))))/1024</f>
        <v>0.46816406249999998</v>
      </c>
      <c r="AH11" s="709">
        <f ca="1">IF(ISERROR(MATCH(AH$1,INDIRECT("Table!A"&amp;$BV11):INDIRECT("Table!" &amp; $CH$65 &amp; $BV11),0)),"",INDIRECT(CONCATENATE("Table!",ADDRESS($BR11,MATCH(AH$1,INDIRECT("Table!A" &amp; $BV11):INDIRECT("Table!" &amp; $CH$65 &amp; $BV11),0)))))/1024</f>
        <v>0</v>
      </c>
      <c r="AI11" s="709" t="str">
        <f ca="1">IF(ISERROR(MATCH(AI$1,INDIRECT("Table!A"&amp;$BV11):INDIRECT("Table!" &amp; $CH$110 &amp; $BV11),0)),"",INDIRECT(CONCATENATE("Table!",ADDRESS($BR11,MATCH(AI$1,INDIRECT("Table!A" &amp; $BV11):INDIRECT("Table!" &amp; $CH$110 &amp; $BV11),0)))))</f>
        <v/>
      </c>
      <c r="AJ11" s="709">
        <f ca="1">IF(ISERROR(MATCH(AJ$1,INDIRECT("Table!A"&amp;$BV11):INDIRECT("Table!" &amp; $CH$110 &amp; $BV11),0)),"",INDIRECT(CONCATENATE("Table!",ADDRESS($BZ11,MATCH(AJ$1,INDIRECT("Table!A" &amp; $BV11):INDIRECT("Table!" &amp; $CH$110 &amp; $BV11),0)))))/1024</f>
        <v>244.15859374999999</v>
      </c>
      <c r="AK11" s="709">
        <f ca="1">IF(ISERROR(MATCH(AK$1,INDIRECT("Table!A"&amp;$BV11):INDIRECT("Table!" &amp; $CH$110 &amp; $BV11),0)),"",INDIRECT(CONCATENATE("Table!",ADDRESS($BZ11,MATCH(AK$1,INDIRECT("Table!A" &amp; $BV11):INDIRECT("Table!" &amp; $CH$110 &amp; $BV11),0)))))/1024</f>
        <v>146.98896484375001</v>
      </c>
      <c r="AL11" s="709">
        <f ca="1">IF(ISERROR(MATCH(AL$1,INDIRECT("Table!A"&amp;$BV11):INDIRECT("Table!" &amp; $CH$110 &amp; $BV11),0)),"",INDIRECT(CONCATENATE("Table!",ADDRESS($BZ11,MATCH(AL$1,INDIRECT("Table!A" &amp; $BV11):INDIRECT("Table!" &amp; $CH$110 &amp; $BV11),0)))))/1024</f>
        <v>146.98896484375001</v>
      </c>
      <c r="AM11" s="709">
        <f ca="1">IF(ISERROR(MATCH(AM$1,INDIRECT("Table!A"&amp;$BV11):INDIRECT("Table!" &amp; $CH$110 &amp; $BV11),0)),"",INDIRECT(CONCATENATE("Table!",ADDRESS($BZ11,MATCH(AM$1,INDIRECT("Table!A" &amp; $BV11):INDIRECT("Table!" &amp; $CH$110 &amp; $BV11),0)))))/1024</f>
        <v>177.73320312499999</v>
      </c>
      <c r="AN11" s="709">
        <f ca="1">IF(ISERROR(MATCH(AN$1,INDIRECT("Table!A"&amp;$BV11):INDIRECT("Table!" &amp; $CH$110 &amp; $BV11),0)),"",INDIRECT(CONCATENATE("Table!",ADDRESS($BZ11,MATCH(AN$1,INDIRECT("Table!A" &amp; $BV11):INDIRECT("Table!" &amp; $CH$110 &amp; $BV11),0)))))/1024</f>
        <v>161.88056640625001</v>
      </c>
      <c r="AO11" s="709">
        <f ca="1">IF(ISERROR(MATCH(AO$1,INDIRECT("Table!A"&amp;$BV11):INDIRECT("Table!" &amp; $CH$110 &amp; $BV11),0)),"",INDIRECT(CONCATENATE("Table!",ADDRESS($BZ11,MATCH(AO$1,INDIRECT("Table!A" &amp; $BV11):INDIRECT("Table!" &amp; $CH$110 &amp; $BV11),0)))))/1024</f>
        <v>380.3759765625</v>
      </c>
      <c r="AP11" s="709">
        <f ca="1">IF(ISERROR(MATCH(AP$1,INDIRECT("Table!A"&amp;$BV11):INDIRECT("Table!" &amp; $CH$110 &amp; $BV11),0)),"",INDIRECT(CONCATENATE("Table!",ADDRESS($BZ11,MATCH(AP$1,INDIRECT("Table!A" &amp; $BV11):INDIRECT("Table!" &amp; $CH$110 &amp; $BV11),0)))))/1024</f>
        <v>167.94482421875</v>
      </c>
      <c r="AQ11" s="709">
        <f ca="1">IF(ISERROR(MATCH(AQ$1,INDIRECT("Table!A"&amp;$BV11):INDIRECT("Table!" &amp; $CH$110 &amp; $BV11),0)),"",INDIRECT(CONCATENATE("Table!",ADDRESS($BZ11,MATCH(AQ$1,INDIRECT("Table!A" &amp; $BV11):INDIRECT("Table!" &amp; $CH$110 &amp; $BV11),0)))))/1024</f>
        <v>162.185546875</v>
      </c>
      <c r="AR11" s="709">
        <f ca="1">IF(ISERROR(MATCH(AR$1,INDIRECT("Table!A"&amp;$BV11):INDIRECT("Table!" &amp; $CH$110 &amp; $BV11),0)),"",INDIRECT(CONCATENATE("Table!",ADDRESS($BZ11,MATCH(AR$1,INDIRECT("Table!A" &amp; $BV11):INDIRECT("Table!" &amp; $CH$110 &amp; $BV11),0)))))/1024</f>
        <v>121.1125</v>
      </c>
      <c r="AS11" s="709">
        <f ca="1">IF(ISERROR(MATCH(AS$1,INDIRECT("Table!A"&amp;$BV11):INDIRECT("Table!" &amp; $CH$110 &amp; $BV11),0)),"",INDIRECT(CONCATENATE("Table!",ADDRESS($BZ11,MATCH(AS$1,INDIRECT("Table!A" &amp; $BV11):INDIRECT("Table!" &amp; $CH$110 &amp; $BV11),0)))))/1024</f>
        <v>218.81953125000001</v>
      </c>
      <c r="AT11" s="709">
        <f ca="1">IF(ISERROR(MATCH(AT$1,INDIRECT("Table!A"&amp;$BV11):INDIRECT("Table!" &amp; $CH$110 &amp; $BV11),0)),"",INDIRECT(CONCATENATE("Table!",ADDRESS($BZ11,MATCH(AT$1,INDIRECT("Table!A" &amp; $BV11):INDIRECT("Table!" &amp; $CH$110 &amp; $BV11),0)))))/1024</f>
        <v>188.50498046875001</v>
      </c>
      <c r="AU11" s="709">
        <f ca="1">IF(ISERROR(MATCH(AU$1,INDIRECT("Table!A"&amp;$BV11):INDIRECT("Table!" &amp; $CH$110 &amp; $BV11),0)),"",INDIRECT(CONCATENATE("Table!",ADDRESS($BZ11,MATCH(AU$1,INDIRECT("Table!A" &amp; $BV11):INDIRECT("Table!" &amp; $CH$110 &amp; $BV11),0)))))/1024</f>
        <v>427.94912109375002</v>
      </c>
      <c r="AV11" s="709">
        <f ca="1">IF(ISERROR(MATCH(AV$1,INDIRECT("Table!A"&amp;$BV11):INDIRECT("Table!" &amp; $CH$110 &amp; $BV11),0)),"",INDIRECT(CONCATENATE("Table!",ADDRESS($BZ11,MATCH(AV$1,INDIRECT("Table!A" &amp; $BV11):INDIRECT("Table!" &amp; $CH$110 &amp; $BV11),0)))))/1024</f>
        <v>81.092578125000003</v>
      </c>
      <c r="AW11" s="709">
        <f ca="1">IF(ISERROR(MATCH(AW$1,INDIRECT("Table!A"&amp;$BV11):INDIRECT("Table!" &amp; $CH$110 &amp; $BV11),0)),"",INDIRECT(CONCATENATE("Table!",ADDRESS($BZ11,MATCH(AW$1,INDIRECT("Table!A" &amp; $BV11):INDIRECT("Table!" &amp; $CH$110 &amp; $BV11),0)))))/1024</f>
        <v>269.65859375000002</v>
      </c>
      <c r="AX11" s="709">
        <f ca="1">IF(ISERROR(MATCH(AX$1,INDIRECT("Table!A"&amp;$BV11):INDIRECT("Table!" &amp; $CH$110 &amp; $BV11),0)),"",INDIRECT(CONCATENATE("Table!",ADDRESS($BZ11,MATCH(AX$1,INDIRECT("Table!A" &amp; $BV11):INDIRECT("Table!" &amp; $CH$110 &amp; $BV11),0)))))/1024</f>
        <v>81.092578125000003</v>
      </c>
      <c r="AY11" s="709">
        <f ca="1">IF(ISERROR(MATCH(AY$1,INDIRECT("Table!A"&amp;$BV11):INDIRECT("Table!" &amp; $CH$110 &amp; $BV11),0)),"",INDIRECT(CONCATENATE("Table!",ADDRESS($BZ11,MATCH(AY$1,INDIRECT("Table!A" &amp; $BV11):INDIRECT("Table!" &amp; $CH$110 &amp; $BV11),0)))))/1024</f>
        <v>187.12714843750001</v>
      </c>
      <c r="AZ11" s="709">
        <f ca="1">IF(ISERROR(MATCH(AZ$1,INDIRECT("Table!A"&amp;$BV11):INDIRECT("Table!" &amp; $CH$110 &amp; $BV11),0)),"",INDIRECT(CONCATENATE("Table!",ADDRESS($BZ11,MATCH(AZ$1,INDIRECT("Table!A" &amp; $BV11):INDIRECT("Table!" &amp; $CH$110 &amp; $BV11),0)))))/1024</f>
        <v>256.14150390625002</v>
      </c>
      <c r="BA11" s="709"/>
      <c r="BB11" s="709">
        <f ca="1">IF(ISERROR(MATCH(BB$1,INDIRECT("Table!A"&amp;$BV11):INDIRECT("Table!" &amp; $CH$110 &amp; $BV11),0)),"",INDIRECT(CONCATENATE("Table!",ADDRESS($BZ11,MATCH(BB$1,INDIRECT("Table!A" &amp; $BV11):INDIRECT("Table!" &amp; $CH$110 &amp; $BV11),0)))))/1024</f>
        <v>32.31494140625</v>
      </c>
      <c r="BC11" s="709">
        <f ca="1">IF(ISERROR(MATCH(BC$1,INDIRECT("Table!A"&amp;$BV11):INDIRECT("Table!" &amp; $CH$110 &amp; $BV11),0)),"",INDIRECT(CONCATENATE("Table!",ADDRESS($BZ11,MATCH(BC$1,INDIRECT("Table!A" &amp; $BV11):INDIRECT("Table!" &amp; $CH$110 &amp; $BV11),0)))))/1024</f>
        <v>99.80126953125</v>
      </c>
      <c r="BD11" s="709">
        <f ca="1">IF(ISERROR(MATCH(BD$1,INDIRECT("Table!A"&amp;$BV11):INDIRECT("Table!" &amp; $CH$110 &amp; $BV11),0)),"",INDIRECT(CONCATENATE("Table!",ADDRESS($BZ11,MATCH(BD$1,INDIRECT("Table!A" &amp; $BV11):INDIRECT("Table!" &amp; $CH$110 &amp; $BV11),0)))))/1024</f>
        <v>204.58642578125</v>
      </c>
      <c r="BE11" s="905">
        <f ca="1">IF(ISERROR(MATCH(BE$1,INDIRECT("Table!A"&amp;$BV11):INDIRECT("Table!" &amp; $CH$110 &amp; $BV11),0)),"",INDIRECT(CONCATENATE("Table!",ADDRESS($BZ11,MATCH(BE$1,INDIRECT("Table!A" &amp; $BV11):INDIRECT("Table!" &amp; $CH$110 &amp; $BV11),0)))))/1024</f>
        <v>99.80126953125</v>
      </c>
      <c r="BF11" s="905">
        <f ca="1">IF(ISERROR(MATCH(BF$1,INDIRECT("Table!A"&amp;$BV11):INDIRECT("Table!" &amp; $CH$110 &amp; $BV11),0)),"",INDIRECT(CONCATENATE("Table!",ADDRESS($BZ11,MATCH(BF$1,INDIRECT("Table!A" &amp; $BV11):INDIRECT("Table!" &amp; $CH$110 &amp; $BV11),0)))))/1024</f>
        <v>204.58642578125</v>
      </c>
      <c r="BG11" s="905">
        <f ca="1">IF(ISERROR(MATCH(BG$1,INDIRECT("Table!A"&amp;$BV11):INDIRECT("Table!" &amp; $CH$110 &amp; $BV11),0)),"",INDIRECT(CONCATENATE("Table!",ADDRESS($BZ11,MATCH(BG$1,INDIRECT("Table!A" &amp; $BV11):INDIRECT("Table!" &amp; $CH$110 &amp; $BV11),0)))))/1024</f>
        <v>99.80126953125</v>
      </c>
      <c r="BH11" s="905">
        <f ca="1">IF(ISERROR(MATCH(BH$1,INDIRECT("Table!A"&amp;$BV11):INDIRECT("Table!" &amp; $CH$110 &amp; $BV11),0)),"",INDIRECT(CONCATENATE("Table!",ADDRESS($BZ11,MATCH(BH$1,INDIRECT("Table!A" &amp; $BV11):INDIRECT("Table!" &amp; $CH$110 &amp; $BV11),0)))))/1024</f>
        <v>204.58642578125</v>
      </c>
      <c r="BI11" s="905">
        <f ca="1">IF(ISERROR(MATCH(BI$1,INDIRECT("Table!A"&amp;$BV11):INDIRECT("Table!" &amp; $CH$110 &amp; $BV11),0)),"",INDIRECT(CONCATENATE("Table!",ADDRESS($BZ11,MATCH(BI$1,INDIRECT("Table!A" &amp; $BV11):INDIRECT("Table!" &amp; $CH$110 &amp; $BV11),0)))))/1024</f>
        <v>320.99140625000001</v>
      </c>
      <c r="BJ11" s="905">
        <f ca="1">IF(ISERROR(MATCH(BJ$1,INDIRECT("Table!A"&amp;$BV11):INDIRECT("Table!" &amp; $CH$110 &amp; $BV11),0)),"",INDIRECT(CONCATENATE("Table!",ADDRESS($BZ11,MATCH(BJ$1,INDIRECT("Table!A" &amp; $BV11):INDIRECT("Table!" &amp; $CH$110 &amp; $BV11),0)))))/1024</f>
        <v>186.39765625000001</v>
      </c>
      <c r="BK11" s="905">
        <f ca="1">IF(ISERROR(MATCH(BK$1,INDIRECT("Table!A"&amp;$BV11):INDIRECT("Table!" &amp; $CH$110 &amp; $BV11),0)),"",INDIRECT(CONCATENATE("Table!",ADDRESS($BZ11,MATCH(BK$1,INDIRECT("Table!A" &amp; $BV11):INDIRECT("Table!" &amp; $CH$110 &amp; $BV11),0)))))/1024</f>
        <v>218.81953125000001</v>
      </c>
      <c r="BL11" s="905">
        <f ca="1">IF(ISERROR(MATCH(BL$1,INDIRECT("Table!A"&amp;$BV11):INDIRECT("Table!" &amp; $CH$110 &amp; $BV11),0)),"",INDIRECT(CONCATENATE("Table!",ADDRESS($BZ11,MATCH(BL$1,INDIRECT("Table!A" &amp; $BV11):INDIRECT("Table!" &amp; $CH$110 &amp; $BV11),0)))))/1024</f>
        <v>218.81953125000001</v>
      </c>
      <c r="BM11" s="905">
        <f ca="1">IF(ISERROR(MATCH(BM$1,INDIRECT("Table!A"&amp;$BV11):INDIRECT("Table!" &amp; $CH$110 &amp; $BV11),0)),"",INDIRECT(CONCATENATE("Table!",ADDRESS($BZ11,MATCH(BM$1,INDIRECT("Table!A" &amp; $BV11):INDIRECT("Table!" &amp; $CH$110 &amp; $BV11),0)))))/1024</f>
        <v>152.53330078125001</v>
      </c>
      <c r="BN11" s="905">
        <f ca="1">IF(ISERROR(MATCH(BN$1,INDIRECT("Table!A"&amp;$BV11):INDIRECT("Table!" &amp; $CH$110 &amp; $BV11),0)),"",INDIRECT(CONCATENATE("Table!",ADDRESS($BZ11,MATCH(BN$1,INDIRECT("Table!A" &amp; $BV11):INDIRECT("Table!" &amp; $CH$110 &amp; $BV11),0)))))/1024</f>
        <v>152.53330078125001</v>
      </c>
      <c r="BO11" s="905">
        <f ca="1">IF(ISERROR(MATCH(BO$1,INDIRECT("Table!A"&amp;$BV11):INDIRECT("Table!" &amp; $CH$110 &amp; $BV11),0)),"",INDIRECT(CONCATENATE("Table!",ADDRESS($BZ11,MATCH(BO$1,INDIRECT("Table!A" &amp; $BV11):INDIRECT("Table!" &amp; $CH$110 &amp; $BV11),0)))))/1024</f>
        <v>218.81953125000001</v>
      </c>
      <c r="BP11" s="905">
        <f ca="1">IF(ISERROR(MATCH(BP$1,INDIRECT("Table!A"&amp;$BV11):INDIRECT("Table!" &amp; $CH$110 &amp; $BV11),0)),"",INDIRECT(CONCATENATE("Table!",ADDRESS($BZ11,MATCH(BP$1,INDIRECT("Table!A" &amp; $BV11):INDIRECT("Table!" &amp; $CH$110 &amp; $BV11),0)))))/1024</f>
        <v>0</v>
      </c>
      <c r="BR11" s="704">
        <f>MATCH($A11,Table!$A:$A,0)+$BT$2-1</f>
        <v>117</v>
      </c>
      <c r="BS11" s="744"/>
      <c r="BT11" s="744"/>
      <c r="BU11" s="744"/>
      <c r="BV11" s="717">
        <f>MATCH($A11,Table!$A:$A,0)+$BX$2-1</f>
        <v>115</v>
      </c>
      <c r="BW11" s="744"/>
      <c r="BX11" s="744"/>
      <c r="BY11" s="744"/>
      <c r="BZ11" s="704">
        <f>MATCH($A11,Table!$A:$A,0)+$CB$2-1</f>
        <v>116</v>
      </c>
      <c r="CA11" s="744"/>
      <c r="CB11" s="744"/>
      <c r="CC11" s="744"/>
      <c r="CD11" s="717">
        <f>MATCH($A11,Table!$A:$A,0)+$BX$2-1</f>
        <v>115</v>
      </c>
      <c r="CE11" s="744"/>
      <c r="CF11" s="744"/>
      <c r="CG11" s="744"/>
      <c r="CH11" s="711" t="s">
        <v>302</v>
      </c>
      <c r="CI11" s="712">
        <f t="shared" ref="CI11" ca="1" si="40">SUM(AJ11:BP11)</f>
        <v>5834.1474609374991</v>
      </c>
      <c r="CJ11" s="712">
        <f t="shared" ref="CJ11" ca="1" si="41">SUM(B11:AH11)</f>
        <v>2279.8088867187494</v>
      </c>
      <c r="CK11" s="712">
        <f t="shared" ref="CK11" ca="1" si="42">CI11-CJ11</f>
        <v>3554.3385742187497</v>
      </c>
      <c r="CL11" s="718">
        <f t="shared" ref="CL11" ca="1" si="43">CJ11/CI11</f>
        <v>0.39076984289190436</v>
      </c>
      <c r="CM11" s="712">
        <f ca="1">SUMIF('Alloc Feed'!A:I,A:A,'Alloc Feed'!I:I)</f>
        <v>3912.7524843749998</v>
      </c>
      <c r="CN11" s="718">
        <f t="shared" ref="CN11" ca="1" si="44">CM11/CI11</f>
        <v>0.67066396771298831</v>
      </c>
    </row>
    <row r="12" spans="1:92" s="947" customFormat="1" x14ac:dyDescent="0.25">
      <c r="A12" s="703">
        <v>41914</v>
      </c>
      <c r="B12" s="709">
        <f ca="1">IF(ISERROR(MATCH(B$1,INDIRECT("Table!A"&amp;$BV12):INDIRECT("Table!" &amp; $CH$110 &amp; $BV12),0)),"",INDIRECT(CONCATENATE("Table!",ADDRESS($BR12,MATCH(B$1,INDIRECT("Table!A" &amp; $BV12):INDIRECT("Table!" &amp; $CH$110 &amp; $BV12),0)))))/1024</f>
        <v>52.358789062500001</v>
      </c>
      <c r="C12" s="709">
        <f ca="1">IF(ISERROR(MATCH(C$1,INDIRECT("Table!A"&amp;$BV12):INDIRECT("Table!" &amp; $CH$110 &amp; $BV12),0)),"",INDIRECT(CONCATENATE("Table!",ADDRESS($BR12,MATCH(C$1,INDIRECT("Table!A" &amp; $BV12):INDIRECT("Table!" &amp; $CH$110 &amp; $BV12),0)))))/1024</f>
        <v>84.97998046875</v>
      </c>
      <c r="D12" s="709">
        <f ca="1">IF(ISERROR(MATCH(D$1,INDIRECT("Table!A"&amp;$BV12):INDIRECT("Table!" &amp; $CH$110 &amp; $BV12),0)),"",INDIRECT(CONCATENATE("Table!",ADDRESS($BR12,MATCH(D$1,INDIRECT("Table!A" &amp; $BV12):INDIRECT("Table!" &amp; $CH$110 &amp; $BV12),0)))))/1024</f>
        <v>84.733105468749997</v>
      </c>
      <c r="E12" s="709">
        <f ca="1">IF(ISERROR(MATCH(E$1,INDIRECT("Table!A"&amp;$BV12):INDIRECT("Table!" &amp; $CH$110 &amp; $BV12),0)),"",INDIRECT(CONCATENATE("Table!",ADDRESS($BR12,MATCH(E$1,INDIRECT("Table!A" &amp; $BV12):INDIRECT("Table!" &amp; $CH$110 &amp; $BV12),0)))))/1024</f>
        <v>99.875390624999994</v>
      </c>
      <c r="F12" s="709">
        <f ca="1">IF(ISERROR(MATCH(F$1,INDIRECT("Table!A"&amp;$BV12):INDIRECT("Table!" &amp; $CH$110 &amp; $BV12),0)),"",INDIRECT(CONCATENATE("Table!",ADDRESS($BR12,MATCH(F$1,INDIRECT("Table!A" &amp; $BV12):INDIRECT("Table!" &amp; $CH$110 &amp; $BV12),0)))))/1024</f>
        <v>115.8916015625</v>
      </c>
      <c r="G12" s="709">
        <f ca="1">IF(ISERROR(MATCH(G$1,INDIRECT("Table!A"&amp;$BV12):INDIRECT("Table!" &amp; $CH$110 &amp; $BV12),0)),"",INDIRECT(CONCATENATE("Table!",ADDRESS($BR12,MATCH(G$1,INDIRECT("Table!A" &amp; $BV12):INDIRECT("Table!" &amp; $CH$110 &amp; $BV12),0)))))/1024</f>
        <v>202.20400390624999</v>
      </c>
      <c r="H12" s="709">
        <f ca="1">IF(ISERROR(MATCH(H$1,INDIRECT("Table!A"&amp;$BV12):INDIRECT("Table!" &amp; $CH$110 &amp; $BV12),0)),"",INDIRECT(CONCATENATE("Table!",ADDRESS($BR12,MATCH(H$1,INDIRECT("Table!A" &amp; $BV12):INDIRECT("Table!" &amp; $CH$110 &amp; $BV12),0)))))/1024</f>
        <v>93.7744140625</v>
      </c>
      <c r="I12" s="709">
        <f ca="1">IF(ISERROR(MATCH(I$1,INDIRECT("Table!A"&amp;$BV12):INDIRECT("Table!" &amp; $CH$110 &amp; $BV12),0)),"",INDIRECT(CONCATENATE("Table!",ADDRESS($BR12,MATCH(I$1,INDIRECT("Table!A" &amp; $BV12):INDIRECT("Table!" &amp; $CH$110 &amp; $BV12),0)))))/1024</f>
        <v>26.427441406250001</v>
      </c>
      <c r="J12" s="709">
        <f ca="1">IF(ISERROR(MATCH(J$1,INDIRECT("Table!A"&amp;$BV12):INDIRECT("Table!" &amp; $CH$110 &amp; $BV12),0)),"",INDIRECT(CONCATENATE("Table!",ADDRESS($BR12,MATCH(J$1,INDIRECT("Table!A" &amp; $BV12):INDIRECT("Table!" &amp; $CH$110 &amp; $BV12),0)))))/1024</f>
        <v>95.734570312499997</v>
      </c>
      <c r="K12" s="709">
        <f ca="1">IF(ISERROR(MATCH(K$1,INDIRECT("Table!A"&amp;$BV12):INDIRECT("Table!" &amp; $CH$110 &amp; $BV12),0)),"",INDIRECT(CONCATENATE("Table!",ADDRESS($BR12,MATCH(K$1,INDIRECT("Table!A" &amp; $BV12):INDIRECT("Table!" &amp; $CH$110 &amp; $BV12),0)))))/1024</f>
        <v>92.472851562499997</v>
      </c>
      <c r="L12" s="709">
        <f ca="1">IF(ISERROR(MATCH(L$1,INDIRECT("Table!A"&amp;$BV12):INDIRECT("Table!" &amp; $CH$110 &amp; $BV12),0)),"",INDIRECT(CONCATENATE("Table!",ADDRESS($BR12,MATCH(L$1,INDIRECT("Table!A" &amp; $BV12):INDIRECT("Table!" &amp; $CH$110 &amp; $BV12),0)))))/1024</f>
        <v>79.282421874999997</v>
      </c>
      <c r="M12" s="709">
        <f ca="1">IF(ISERROR(MATCH(M$1,INDIRECT("Table!A"&amp;$BV12):INDIRECT("Table!" &amp; $CH$110 &amp; $BV12),0)),"",INDIRECT(CONCATENATE("Table!",ADDRESS($BR12,MATCH(M$1,INDIRECT("Table!A" &amp; $BV12):INDIRECT("Table!" &amp; $CH$110 &amp; $BV12),0)))))/1024</f>
        <v>207.32988281249999</v>
      </c>
      <c r="N12" s="709">
        <f ca="1">IF(ISERROR(MATCH(N$1,INDIRECT("Table!A"&amp;$BV12):INDIRECT("Table!" &amp; $CH$110 &amp; $BV12),0)),"",INDIRECT(CONCATENATE("Table!",ADDRESS($BR12,MATCH(N$1,INDIRECT("Table!A" &amp; $BV12):INDIRECT("Table!" &amp; $CH$110 &amp; $BV12),0)))))/1024</f>
        <v>58.42236328125</v>
      </c>
      <c r="O12" s="709">
        <f ca="1">IF(ISERROR(MATCH(O$1,INDIRECT("Table!A"&amp;$BV12):INDIRECT("Table!" &amp; $CH$110 &amp; $BV12),0)),"",INDIRECT(CONCATENATE("Table!",ADDRESS($BR12,MATCH(O$1,INDIRECT("Table!A" &amp; $BV12):INDIRECT("Table!" &amp; $CH$110 &amp; $BV12),0)))))/1024</f>
        <v>176.79902343750001</v>
      </c>
      <c r="P12" s="709">
        <f ca="1">IF(ISERROR(MATCH(P$1,INDIRECT("Table!A"&amp;$BV12):INDIRECT("Table!" &amp; $CH$110 &amp; $BV12),0)),"",INDIRECT(CONCATENATE("Table!",ADDRESS($BR12,MATCH(P$1,INDIRECT("Table!A" &amp; $BV12):INDIRECT("Table!" &amp; $CH$110 &amp; $BV12),0)))))/1024</f>
        <v>51.139746093749999</v>
      </c>
      <c r="Q12" s="709">
        <f ca="1">IF(ISERROR(MATCH(Q$1,INDIRECT("Table!A"&amp;$BV12):INDIRECT("Table!" &amp; $CH$110 &amp; $BV12),0)),"",INDIRECT(CONCATENATE("Table!",ADDRESS($BR12,MATCH(Q$1,INDIRECT("Table!A" &amp; $BV12):INDIRECT("Table!" &amp; $CH$110 &amp; $BV12),0)))))/1024</f>
        <v>147.59365234374999</v>
      </c>
      <c r="R12" s="709">
        <f ca="1">IF(ISERROR(MATCH(R$1,INDIRECT("Table!A"&amp;$BV12):INDIRECT("Table!" &amp; $CH$110 &amp; $BV12),0)),"",INDIRECT(CONCATENATE("Table!",ADDRESS($BR12,MATCH(R$1,INDIRECT("Table!A" &amp; $BV12):INDIRECT("Table!" &amp; $CH$110 &amp; $BV12),0)))))/1024</f>
        <v>176.07470703125</v>
      </c>
      <c r="S12" s="709">
        <v>0</v>
      </c>
      <c r="T12" s="709">
        <f ca="1">IF(ISERROR(MATCH(T$1,INDIRECT("Table!A"&amp;$BV12):INDIRECT("Table!" &amp; $CH$65 &amp; $BV12),0)),"",INDIRECT(CONCATENATE("Table!",ADDRESS($BR12,MATCH(T$1,INDIRECT("Table!A" &amp; $BV12):INDIRECT("Table!" &amp; $CH$65 &amp; $BV12),0)))))/1024</f>
        <v>11.2826171875</v>
      </c>
      <c r="U12" s="709">
        <f ca="1">IF(ISERROR(MATCH(U$1,INDIRECT("Table!A"&amp;$BV12):INDIRECT("Table!" &amp; $CH$65 &amp; $BV12),0)),"",INDIRECT(CONCATENATE("Table!",ADDRESS($BR12,MATCH(U$1,INDIRECT("Table!A" &amp; $BV12):INDIRECT("Table!" &amp; $CH$65 &amp; $BV12),0)))))/1024</f>
        <v>15.200976562499999</v>
      </c>
      <c r="V12" s="709">
        <f ca="1">IF(ISERROR(MATCH(V$1,INDIRECT("Table!A"&amp;$BV12):INDIRECT("Table!" &amp; $CH$65 &amp; $BV12),0)),"",INDIRECT(CONCATENATE("Table!",ADDRESS($BR12,MATCH(V$1,INDIRECT("Table!A" &amp; $BV12):INDIRECT("Table!" &amp; $CH$65 &amp; $BV12),0)))))/1024</f>
        <v>30.40185546875</v>
      </c>
      <c r="W12" s="709">
        <f ca="1">IF(ISERROR(MATCH(W$1,INDIRECT("Table!A"&amp;$BV12):INDIRECT("Table!" &amp; $CH$65 &amp; $BV12),0)),"",INDIRECT(CONCATENATE("Table!",ADDRESS($BR12,MATCH(W$1,INDIRECT("Table!A" &amp; $BV12):INDIRECT("Table!" &amp; $CH$65 &amp; $BV12),0)))))/1024</f>
        <v>26.386523437499999</v>
      </c>
      <c r="X12" s="709">
        <f ca="1">IF(ISERROR(MATCH(X$1,INDIRECT("Table!A"&amp;$BV12):INDIRECT("Table!" &amp; $CH$65 &amp; $BV12),0)),"",INDIRECT(CONCATENATE("Table!",ADDRESS($BR12,MATCH(X$1,INDIRECT("Table!A" &amp; $BV12):INDIRECT("Table!" &amp; $CH$65 &amp; $BV12),0)))))/1024</f>
        <v>51.89599609375</v>
      </c>
      <c r="Y12" s="709">
        <f ca="1">IF(ISERROR(MATCH(Y$1,INDIRECT("Table!A"&amp;$BV12):INDIRECT("Table!" &amp; $CH$65 &amp; $BV12),0)),"",INDIRECT(CONCATENATE("Table!",ADDRESS($BR12,MATCH(Y$1,INDIRECT("Table!A" &amp; $BV12):INDIRECT("Table!" &amp; $CH$65 &amp; $BV12),0)))))/1024</f>
        <v>9.2637695312500004</v>
      </c>
      <c r="Z12" s="709">
        <f ca="1">IF(ISERROR(MATCH(Z$1,INDIRECT("Table!A"&amp;$BV12):INDIRECT("Table!" &amp; $CH$65 &amp; $BV12),0)),"",INDIRECT(CONCATENATE("Table!",ADDRESS($BR12,MATCH(Z$1,INDIRECT("Table!A" &amp; $BV12):INDIRECT("Table!" &amp; $CH$65 &amp; $BV12),0)))))/1024</f>
        <v>18.43115234375</v>
      </c>
      <c r="AA12" s="709">
        <f ca="1">IF(ISERROR(MATCH(AA$1,INDIRECT("Table!A"&amp;$BV12):INDIRECT("Table!" &amp; $CH$65 &amp; $BV12),0)),"",INDIRECT(CONCATENATE("Table!",ADDRESS($BR12,MATCH(AA$1,INDIRECT("Table!A" &amp; $BV12):INDIRECT("Table!" &amp; $CH$65 &amp; $BV12),0)))))/1024</f>
        <v>125.44970703125</v>
      </c>
      <c r="AB12" s="709">
        <f ca="1">IF(ISERROR(MATCH(AB$1,INDIRECT("Table!A"&amp;$BV12):INDIRECT("Table!" &amp; $CH$65 &amp; $BV12),0)),"",INDIRECT(CONCATENATE("Table!",ADDRESS($BR12,MATCH(AB$1,INDIRECT("Table!A" &amp; $BV12):INDIRECT("Table!" &amp; $CH$65 &amp; $BV12),0)))))/1024</f>
        <v>4.7851562500000003E-3</v>
      </c>
      <c r="AC12" s="709">
        <f ca="1">IF(ISERROR(MATCH(AC$1,INDIRECT("Table!A"&amp;$BV12):INDIRECT("Table!" &amp; $CH$65 &amp; $BV12),0)),"",INDIRECT(CONCATENATE("Table!",ADDRESS($BR12,MATCH(AC$1,INDIRECT("Table!A" &amp; $BV12):INDIRECT("Table!" &amp; $CH$65 &amp; $BV12),0)))))/1024</f>
        <v>23.660058593750001</v>
      </c>
      <c r="AD12" s="709">
        <f ca="1">IF(ISERROR(MATCH(AD$1,INDIRECT("Table!A"&amp;$BV12):INDIRECT("Table!" &amp; $CH$65 &amp; $BV12),0)),"",INDIRECT(CONCATENATE("Table!",ADDRESS($BR12,MATCH(AD$1,INDIRECT("Table!A" &amp; $BV12):INDIRECT("Table!" &amp; $CH$65 &amp; $BV12),0)))))/1024</f>
        <v>62.258203125000001</v>
      </c>
      <c r="AE12" s="709">
        <f ca="1">IF(ISERROR(MATCH(AE$1,INDIRECT("Table!A"&amp;$BV12):INDIRECT("Table!" &amp; $CH$65 &amp; $BV12),0)),"",INDIRECT(CONCATENATE("Table!",ADDRESS($BR12,MATCH(AE$1,INDIRECT("Table!A" &amp; $BV12):INDIRECT("Table!" &amp; $CH$65 &amp; $BV12),0)))))/1024</f>
        <v>17.796093750000001</v>
      </c>
      <c r="AF12" s="709">
        <f ca="1">IF(ISERROR(MATCH(AF$1,INDIRECT("Table!A"&amp;$BV12):INDIRECT("Table!" &amp; $CH$65 &amp; $BV12),0)),"",INDIRECT(CONCATENATE("Table!",ADDRESS($BR12,MATCH(AF$1,INDIRECT("Table!A" &amp; $BV12):INDIRECT("Table!" &amp; $CH$65 &amp; $BV12),0)))))/1024</f>
        <v>17.7958984375</v>
      </c>
      <c r="AG12" s="709">
        <f ca="1">IF(ISERROR(MATCH(AG$1,INDIRECT("Table!A"&amp;$BV12):INDIRECT("Table!" &amp; $CH$65 &amp; $BV12),0)),"",INDIRECT(CONCATENATE("Table!",ADDRESS($BR12,MATCH(AG$1,INDIRECT("Table!A" &amp; $BV12):INDIRECT("Table!" &amp; $CH$65 &amp; $BV12),0)))))/1024</f>
        <v>0.44990234374999999</v>
      </c>
      <c r="AH12" s="709">
        <f ca="1">IF(ISERROR(MATCH(AH$1,INDIRECT("Table!A"&amp;$BV12):INDIRECT("Table!" &amp; $CH$65 &amp; $BV12),0)),"",INDIRECT(CONCATENATE("Table!",ADDRESS($BR12,MATCH(AH$1,INDIRECT("Table!A" &amp; $BV12):INDIRECT("Table!" &amp; $CH$65 &amp; $BV12),0)))))/1024</f>
        <v>0</v>
      </c>
      <c r="AI12" s="709" t="str">
        <f ca="1">IF(ISERROR(MATCH(AI$1,INDIRECT("Table!A"&amp;$BV12):INDIRECT("Table!" &amp; $CH$110 &amp; $BV12),0)),"",INDIRECT(CONCATENATE("Table!",ADDRESS($BR12,MATCH(AI$1,INDIRECT("Table!A" &amp; $BV12):INDIRECT("Table!" &amp; $CH$110 &amp; $BV12),0)))))</f>
        <v/>
      </c>
      <c r="AJ12" s="709">
        <f ca="1">IF(ISERROR(MATCH(AJ$1,INDIRECT("Table!A"&amp;$BV12):INDIRECT("Table!" &amp; $CH$110 &amp; $BV12),0)),"",INDIRECT(CONCATENATE("Table!",ADDRESS($BZ12,MATCH(AJ$1,INDIRECT("Table!A" &amp; $BV12):INDIRECT("Table!" &amp; $CH$110 &amp; $BV12),0)))))/1024</f>
        <v>244.15859374999999</v>
      </c>
      <c r="AK12" s="709">
        <f ca="1">IF(ISERROR(MATCH(AK$1,INDIRECT("Table!A"&amp;$BV12):INDIRECT("Table!" &amp; $CH$110 &amp; $BV12),0)),"",INDIRECT(CONCATENATE("Table!",ADDRESS($BZ12,MATCH(AK$1,INDIRECT("Table!A" &amp; $BV12):INDIRECT("Table!" &amp; $CH$110 &amp; $BV12),0)))))/1024</f>
        <v>146.98896484375001</v>
      </c>
      <c r="AL12" s="709">
        <f ca="1">IF(ISERROR(MATCH(AL$1,INDIRECT("Table!A"&amp;$BV12):INDIRECT("Table!" &amp; $CH$110 &amp; $BV12),0)),"",INDIRECT(CONCATENATE("Table!",ADDRESS($BZ12,MATCH(AL$1,INDIRECT("Table!A" &amp; $BV12):INDIRECT("Table!" &amp; $CH$110 &amp; $BV12),0)))))/1024</f>
        <v>146.98896484375001</v>
      </c>
      <c r="AM12" s="709">
        <f ca="1">IF(ISERROR(MATCH(AM$1,INDIRECT("Table!A"&amp;$BV12):INDIRECT("Table!" &amp; $CH$110 &amp; $BV12),0)),"",INDIRECT(CONCATENATE("Table!",ADDRESS($BZ12,MATCH(AM$1,INDIRECT("Table!A" &amp; $BV12):INDIRECT("Table!" &amp; $CH$110 &amp; $BV12),0)))))/1024</f>
        <v>177.73320312499999</v>
      </c>
      <c r="AN12" s="709">
        <f ca="1">IF(ISERROR(MATCH(AN$1,INDIRECT("Table!A"&amp;$BV12):INDIRECT("Table!" &amp; $CH$110 &amp; $BV12),0)),"",INDIRECT(CONCATENATE("Table!",ADDRESS($BZ12,MATCH(AN$1,INDIRECT("Table!A" &amp; $BV12):INDIRECT("Table!" &amp; $CH$110 &amp; $BV12),0)))))/1024</f>
        <v>161.88056640625001</v>
      </c>
      <c r="AO12" s="709">
        <f ca="1">IF(ISERROR(MATCH(AO$1,INDIRECT("Table!A"&amp;$BV12):INDIRECT("Table!" &amp; $CH$110 &amp; $BV12),0)),"",INDIRECT(CONCATENATE("Table!",ADDRESS($BZ12,MATCH(AO$1,INDIRECT("Table!A" &amp; $BV12):INDIRECT("Table!" &amp; $CH$110 &amp; $BV12),0)))))/1024</f>
        <v>380.3759765625</v>
      </c>
      <c r="AP12" s="709">
        <f ca="1">IF(ISERROR(MATCH(AP$1,INDIRECT("Table!A"&amp;$BV12):INDIRECT("Table!" &amp; $CH$110 &amp; $BV12),0)),"",INDIRECT(CONCATENATE("Table!",ADDRESS($BZ12,MATCH(AP$1,INDIRECT("Table!A" &amp; $BV12):INDIRECT("Table!" &amp; $CH$110 &amp; $BV12),0)))))/1024</f>
        <v>167.94482421875</v>
      </c>
      <c r="AQ12" s="709">
        <f ca="1">IF(ISERROR(MATCH(AQ$1,INDIRECT("Table!A"&amp;$BV12):INDIRECT("Table!" &amp; $CH$110 &amp; $BV12),0)),"",INDIRECT(CONCATENATE("Table!",ADDRESS($BZ12,MATCH(AQ$1,INDIRECT("Table!A" &amp; $BV12):INDIRECT("Table!" &amp; $CH$110 &amp; $BV12),0)))))/1024</f>
        <v>162.185546875</v>
      </c>
      <c r="AR12" s="709">
        <f ca="1">IF(ISERROR(MATCH(AR$1,INDIRECT("Table!A"&amp;$BV12):INDIRECT("Table!" &amp; $CH$110 &amp; $BV12),0)),"",INDIRECT(CONCATENATE("Table!",ADDRESS($BZ12,MATCH(AR$1,INDIRECT("Table!A" &amp; $BV12):INDIRECT("Table!" &amp; $CH$110 &amp; $BV12),0)))))/1024</f>
        <v>121.1125</v>
      </c>
      <c r="AS12" s="709">
        <f ca="1">IF(ISERROR(MATCH(AS$1,INDIRECT("Table!A"&amp;$BV12):INDIRECT("Table!" &amp; $CH$110 &amp; $BV12),0)),"",INDIRECT(CONCATENATE("Table!",ADDRESS($BZ12,MATCH(AS$1,INDIRECT("Table!A" &amp; $BV12):INDIRECT("Table!" &amp; $CH$110 &amp; $BV12),0)))))/1024</f>
        <v>218.81953125000001</v>
      </c>
      <c r="AT12" s="709">
        <f ca="1">IF(ISERROR(MATCH(AT$1,INDIRECT("Table!A"&amp;$BV12):INDIRECT("Table!" &amp; $CH$110 &amp; $BV12),0)),"",INDIRECT(CONCATENATE("Table!",ADDRESS($BZ12,MATCH(AT$1,INDIRECT("Table!A" &amp; $BV12):INDIRECT("Table!" &amp; $CH$110 &amp; $BV12),0)))))/1024</f>
        <v>188.50498046875001</v>
      </c>
      <c r="AU12" s="709">
        <f ca="1">IF(ISERROR(MATCH(AU$1,INDIRECT("Table!A"&amp;$BV12):INDIRECT("Table!" &amp; $CH$110 &amp; $BV12),0)),"",INDIRECT(CONCATENATE("Table!",ADDRESS($BZ12,MATCH(AU$1,INDIRECT("Table!A" &amp; $BV12):INDIRECT("Table!" &amp; $CH$110 &amp; $BV12),0)))))/1024</f>
        <v>427.94912109375002</v>
      </c>
      <c r="AV12" s="709">
        <f ca="1">IF(ISERROR(MATCH(AV$1,INDIRECT("Table!A"&amp;$BV12):INDIRECT("Table!" &amp; $CH$110 &amp; $BV12),0)),"",INDIRECT(CONCATENATE("Table!",ADDRESS($BZ12,MATCH(AV$1,INDIRECT("Table!A" &amp; $BV12):INDIRECT("Table!" &amp; $CH$110 &amp; $BV12),0)))))/1024</f>
        <v>81.092578125000003</v>
      </c>
      <c r="AW12" s="709">
        <f ca="1">IF(ISERROR(MATCH(AW$1,INDIRECT("Table!A"&amp;$BV12):INDIRECT("Table!" &amp; $CH$110 &amp; $BV12),0)),"",INDIRECT(CONCATENATE("Table!",ADDRESS($BZ12,MATCH(AW$1,INDIRECT("Table!A" &amp; $BV12):INDIRECT("Table!" &amp; $CH$110 &amp; $BV12),0)))))/1024</f>
        <v>269.65859375000002</v>
      </c>
      <c r="AX12" s="709">
        <f ca="1">IF(ISERROR(MATCH(AX$1,INDIRECT("Table!A"&amp;$BV12):INDIRECT("Table!" &amp; $CH$110 &amp; $BV12),0)),"",INDIRECT(CONCATENATE("Table!",ADDRESS($BZ12,MATCH(AX$1,INDIRECT("Table!A" &amp; $BV12):INDIRECT("Table!" &amp; $CH$110 &amp; $BV12),0)))))/1024</f>
        <v>81.092578125000003</v>
      </c>
      <c r="AY12" s="709">
        <f ca="1">IF(ISERROR(MATCH(AY$1,INDIRECT("Table!A"&amp;$BV12):INDIRECT("Table!" &amp; $CH$110 &amp; $BV12),0)),"",INDIRECT(CONCATENATE("Table!",ADDRESS($BZ12,MATCH(AY$1,INDIRECT("Table!A" &amp; $BV12):INDIRECT("Table!" &amp; $CH$110 &amp; $BV12),0)))))/1024</f>
        <v>187.12714843750001</v>
      </c>
      <c r="AZ12" s="709">
        <f ca="1">IF(ISERROR(MATCH(AZ$1,INDIRECT("Table!A"&amp;$BV12):INDIRECT("Table!" &amp; $CH$110 &amp; $BV12),0)),"",INDIRECT(CONCATENATE("Table!",ADDRESS($BZ12,MATCH(AZ$1,INDIRECT("Table!A" &amp; $BV12):INDIRECT("Table!" &amp; $CH$110 &amp; $BV12),0)))))/1024</f>
        <v>256.14150390625002</v>
      </c>
      <c r="BA12" s="709"/>
      <c r="BB12" s="709">
        <f ca="1">IF(ISERROR(MATCH(BB$1,INDIRECT("Table!A"&amp;$BV12):INDIRECT("Table!" &amp; $CH$110 &amp; $BV12),0)),"",INDIRECT(CONCATENATE("Table!",ADDRESS($BZ12,MATCH(BB$1,INDIRECT("Table!A" &amp; $BV12):INDIRECT("Table!" &amp; $CH$110 &amp; $BV12),0)))))/1024</f>
        <v>32.31494140625</v>
      </c>
      <c r="BC12" s="709">
        <f ca="1">IF(ISERROR(MATCH(BC$1,INDIRECT("Table!A"&amp;$BV12):INDIRECT("Table!" &amp; $CH$110 &amp; $BV12),0)),"",INDIRECT(CONCATENATE("Table!",ADDRESS($BZ12,MATCH(BC$1,INDIRECT("Table!A" &amp; $BV12):INDIRECT("Table!" &amp; $CH$110 &amp; $BV12),0)))))/1024</f>
        <v>99.80126953125</v>
      </c>
      <c r="BD12" s="709">
        <f ca="1">IF(ISERROR(MATCH(BD$1,INDIRECT("Table!A"&amp;$BV12):INDIRECT("Table!" &amp; $CH$110 &amp; $BV12),0)),"",INDIRECT(CONCATENATE("Table!",ADDRESS($BZ12,MATCH(BD$1,INDIRECT("Table!A" &amp; $BV12):INDIRECT("Table!" &amp; $CH$110 &amp; $BV12),0)))))/1024</f>
        <v>204.58642578125</v>
      </c>
      <c r="BE12" s="905">
        <f ca="1">IF(ISERROR(MATCH(BE$1,INDIRECT("Table!A"&amp;$BV12):INDIRECT("Table!" &amp; $CH$110 &amp; $BV12),0)),"",INDIRECT(CONCATENATE("Table!",ADDRESS($BZ12,MATCH(BE$1,INDIRECT("Table!A" &amp; $BV12):INDIRECT("Table!" &amp; $CH$110 &amp; $BV12),0)))))/1024</f>
        <v>99.80126953125</v>
      </c>
      <c r="BF12" s="905">
        <f ca="1">IF(ISERROR(MATCH(BF$1,INDIRECT("Table!A"&amp;$BV12):INDIRECT("Table!" &amp; $CH$110 &amp; $BV12),0)),"",INDIRECT(CONCATENATE("Table!",ADDRESS($BZ12,MATCH(BF$1,INDIRECT("Table!A" &amp; $BV12):INDIRECT("Table!" &amp; $CH$110 &amp; $BV12),0)))))/1024</f>
        <v>204.58642578125</v>
      </c>
      <c r="BG12" s="905">
        <f ca="1">IF(ISERROR(MATCH(BG$1,INDIRECT("Table!A"&amp;$BV12):INDIRECT("Table!" &amp; $CH$110 &amp; $BV12),0)),"",INDIRECT(CONCATENATE("Table!",ADDRESS($BZ12,MATCH(BG$1,INDIRECT("Table!A" &amp; $BV12):INDIRECT("Table!" &amp; $CH$110 &amp; $BV12),0)))))/1024</f>
        <v>99.80126953125</v>
      </c>
      <c r="BH12" s="905">
        <f ca="1">IF(ISERROR(MATCH(BH$1,INDIRECT("Table!A"&amp;$BV12):INDIRECT("Table!" &amp; $CH$110 &amp; $BV12),0)),"",INDIRECT(CONCATENATE("Table!",ADDRESS($BZ12,MATCH(BH$1,INDIRECT("Table!A" &amp; $BV12):INDIRECT("Table!" &amp; $CH$110 &amp; $BV12),0)))))/1024</f>
        <v>204.58642578125</v>
      </c>
      <c r="BI12" s="905">
        <f ca="1">IF(ISERROR(MATCH(BI$1,INDIRECT("Table!A"&amp;$BV12):INDIRECT("Table!" &amp; $CH$110 &amp; $BV12),0)),"",INDIRECT(CONCATENATE("Table!",ADDRESS($BZ12,MATCH(BI$1,INDIRECT("Table!A" &amp; $BV12):INDIRECT("Table!" &amp; $CH$110 &amp; $BV12),0)))))/1024</f>
        <v>320.99140625000001</v>
      </c>
      <c r="BJ12" s="905">
        <f ca="1">IF(ISERROR(MATCH(BJ$1,INDIRECT("Table!A"&amp;$BV12):INDIRECT("Table!" &amp; $CH$110 &amp; $BV12),0)),"",INDIRECT(CONCATENATE("Table!",ADDRESS($BZ12,MATCH(BJ$1,INDIRECT("Table!A" &amp; $BV12):INDIRECT("Table!" &amp; $CH$110 &amp; $BV12),0)))))/1024</f>
        <v>186.39765625000001</v>
      </c>
      <c r="BK12" s="905">
        <f ca="1">IF(ISERROR(MATCH(BK$1,INDIRECT("Table!A"&amp;$BV12):INDIRECT("Table!" &amp; $CH$110 &amp; $BV12),0)),"",INDIRECT(CONCATENATE("Table!",ADDRESS($BZ12,MATCH(BK$1,INDIRECT("Table!A" &amp; $BV12):INDIRECT("Table!" &amp; $CH$110 &amp; $BV12),0)))))/1024</f>
        <v>218.81953125000001</v>
      </c>
      <c r="BL12" s="905">
        <f ca="1">IF(ISERROR(MATCH(BL$1,INDIRECT("Table!A"&amp;$BV12):INDIRECT("Table!" &amp; $CH$110 &amp; $BV12),0)),"",INDIRECT(CONCATENATE("Table!",ADDRESS($BZ12,MATCH(BL$1,INDIRECT("Table!A" &amp; $BV12):INDIRECT("Table!" &amp; $CH$110 &amp; $BV12),0)))))/1024</f>
        <v>218.81953125000001</v>
      </c>
      <c r="BM12" s="905">
        <f ca="1">IF(ISERROR(MATCH(BM$1,INDIRECT("Table!A"&amp;$BV12):INDIRECT("Table!" &amp; $CH$110 &amp; $BV12),0)),"",INDIRECT(CONCATENATE("Table!",ADDRESS($BZ12,MATCH(BM$1,INDIRECT("Table!A" &amp; $BV12):INDIRECT("Table!" &amp; $CH$110 &amp; $BV12),0)))))/1024</f>
        <v>152.53330078125001</v>
      </c>
      <c r="BN12" s="905">
        <f ca="1">IF(ISERROR(MATCH(BN$1,INDIRECT("Table!A"&amp;$BV12):INDIRECT("Table!" &amp; $CH$110 &amp; $BV12),0)),"",INDIRECT(CONCATENATE("Table!",ADDRESS($BZ12,MATCH(BN$1,INDIRECT("Table!A" &amp; $BV12):INDIRECT("Table!" &amp; $CH$110 &amp; $BV12),0)))))/1024</f>
        <v>152.53330078125001</v>
      </c>
      <c r="BO12" s="905">
        <f ca="1">IF(ISERROR(MATCH(BO$1,INDIRECT("Table!A"&amp;$BV12):INDIRECT("Table!" &amp; $CH$110 &amp; $BV12),0)),"",INDIRECT(CONCATENATE("Table!",ADDRESS($BZ12,MATCH(BO$1,INDIRECT("Table!A" &amp; $BV12):INDIRECT("Table!" &amp; $CH$110 &amp; $BV12),0)))))/1024</f>
        <v>218.81953125000001</v>
      </c>
      <c r="BP12" s="905">
        <f ca="1">IF(ISERROR(MATCH(BP$1,INDIRECT("Table!A"&amp;$BV12):INDIRECT("Table!" &amp; $CH$110 &amp; $BV12),0)),"",INDIRECT(CONCATENATE("Table!",ADDRESS($BZ12,MATCH(BP$1,INDIRECT("Table!A" &amp; $BV12):INDIRECT("Table!" &amp; $CH$110 &amp; $BV12),0)))))/1024</f>
        <v>0</v>
      </c>
      <c r="BR12" s="704">
        <f>MATCH($A12,Table!$A:$A,0)+$BT$2-1</f>
        <v>131</v>
      </c>
      <c r="BS12" s="744"/>
      <c r="BT12" s="744"/>
      <c r="BU12" s="744"/>
      <c r="BV12" s="717">
        <f>MATCH($A12,Table!$A:$A,0)+$BX$2-1</f>
        <v>129</v>
      </c>
      <c r="BW12" s="744"/>
      <c r="BX12" s="744"/>
      <c r="BY12" s="744"/>
      <c r="BZ12" s="704">
        <f>MATCH($A12,Table!$A:$A,0)+$CB$2-1</f>
        <v>130</v>
      </c>
      <c r="CA12" s="744"/>
      <c r="CB12" s="744"/>
      <c r="CC12" s="744"/>
      <c r="CD12" s="717">
        <f>MATCH($A12,Table!$A:$A,0)+$BX$2-1</f>
        <v>129</v>
      </c>
      <c r="CE12" s="744"/>
      <c r="CF12" s="744"/>
      <c r="CG12" s="744"/>
      <c r="CH12" s="711" t="s">
        <v>302</v>
      </c>
      <c r="CI12" s="712">
        <f t="shared" ref="CI12" ca="1" si="45">SUM(AJ12:BP12)</f>
        <v>5834.1474609374991</v>
      </c>
      <c r="CJ12" s="712">
        <f t="shared" ref="CJ12" ca="1" si="46">SUM(B12:AH12)</f>
        <v>2255.3714843749999</v>
      </c>
      <c r="CK12" s="712">
        <f t="shared" ref="CK12" ca="1" si="47">CI12-CJ12</f>
        <v>3578.7759765624992</v>
      </c>
      <c r="CL12" s="718">
        <f t="shared" ref="CL12" ca="1" si="48">CJ12/CI12</f>
        <v>0.38658115851130381</v>
      </c>
      <c r="CM12" s="712">
        <f ca="1">SUMIF('Alloc Feed'!A:I,A:A,'Alloc Feed'!I:I)</f>
        <v>3901.6232402343749</v>
      </c>
      <c r="CN12" s="718">
        <f t="shared" ref="CN12" ca="1" si="49">CM12/CI12</f>
        <v>0.66875636352314904</v>
      </c>
    </row>
    <row r="13" spans="1:92" s="947" customFormat="1" x14ac:dyDescent="0.25">
      <c r="A13" s="703">
        <v>41907</v>
      </c>
      <c r="B13" s="709">
        <f ca="1">IF(ISERROR(MATCH(B$1,INDIRECT("Table!A"&amp;$BV13):INDIRECT("Table!" &amp; $CH$110 &amp; $BV13),0)),"",INDIRECT(CONCATENATE("Table!",ADDRESS($BR13,MATCH(B$1,INDIRECT("Table!A" &amp; $BV13):INDIRECT("Table!" &amp; $CH$110 &amp; $BV13),0)))))/1024</f>
        <v>52.32275390625</v>
      </c>
      <c r="C13" s="709">
        <f ca="1">IF(ISERROR(MATCH(C$1,INDIRECT("Table!A"&amp;$BV13):INDIRECT("Table!" &amp; $CH$110 &amp; $BV13),0)),"",INDIRECT(CONCATENATE("Table!",ADDRESS($BR13,MATCH(C$1,INDIRECT("Table!A" &amp; $BV13):INDIRECT("Table!" &amp; $CH$110 &amp; $BV13),0)))))/1024</f>
        <v>84.936132812500006</v>
      </c>
      <c r="D13" s="709">
        <f ca="1">IF(ISERROR(MATCH(D$1,INDIRECT("Table!A"&amp;$BV13):INDIRECT("Table!" &amp; $CH$110 &amp; $BV13),0)),"",INDIRECT(CONCATENATE("Table!",ADDRESS($BR13,MATCH(D$1,INDIRECT("Table!A" &amp; $BV13):INDIRECT("Table!" &amp; $CH$110 &amp; $BV13),0)))))/1024</f>
        <v>84.689355468749994</v>
      </c>
      <c r="E13" s="709">
        <f ca="1">IF(ISERROR(MATCH(E$1,INDIRECT("Table!A"&amp;$BV13):INDIRECT("Table!" &amp; $CH$110 &amp; $BV13),0)),"",INDIRECT(CONCATENATE("Table!",ADDRESS($BR13,MATCH(E$1,INDIRECT("Table!A" &amp; $BV13):INDIRECT("Table!" &amp; $CH$110 &amp; $BV13),0)))))/1024</f>
        <v>99.839160156250003</v>
      </c>
      <c r="F13" s="709">
        <f ca="1">IF(ISERROR(MATCH(F$1,INDIRECT("Table!A"&amp;$BV13):INDIRECT("Table!" &amp; $CH$110 &amp; $BV13),0)),"",INDIRECT(CONCATENATE("Table!",ADDRESS($BR13,MATCH(F$1,INDIRECT("Table!A" &amp; $BV13):INDIRECT("Table!" &amp; $CH$110 &amp; $BV13),0)))))/1024</f>
        <v>115.79296875</v>
      </c>
      <c r="G13" s="709">
        <f ca="1">IF(ISERROR(MATCH(G$1,INDIRECT("Table!A"&amp;$BV13):INDIRECT("Table!" &amp; $CH$110 &amp; $BV13),0)),"",INDIRECT(CONCATENATE("Table!",ADDRESS($BR13,MATCH(G$1,INDIRECT("Table!A" &amp; $BV13):INDIRECT("Table!" &amp; $CH$110 &amp; $BV13),0)))))/1024</f>
        <v>201.90146484375001</v>
      </c>
      <c r="H13" s="709">
        <f ca="1">IF(ISERROR(MATCH(H$1,INDIRECT("Table!A"&amp;$BV13):INDIRECT("Table!" &amp; $CH$110 &amp; $BV13),0)),"",INDIRECT(CONCATENATE("Table!",ADDRESS($BR13,MATCH(H$1,INDIRECT("Table!A" &amp; $BV13):INDIRECT("Table!" &amp; $CH$110 &amp; $BV13),0)))))/1024</f>
        <v>93.715136718750003</v>
      </c>
      <c r="I13" s="709">
        <f ca="1">IF(ISERROR(MATCH(I$1,INDIRECT("Table!A"&amp;$BV13):INDIRECT("Table!" &amp; $CH$110 &amp; $BV13),0)),"",INDIRECT(CONCATENATE("Table!",ADDRESS($BR13,MATCH(I$1,INDIRECT("Table!A" &amp; $BV13):INDIRECT("Table!" &amp; $CH$110 &amp; $BV13),0)))))/1024</f>
        <v>26.316796875000001</v>
      </c>
      <c r="J13" s="709">
        <f ca="1">IF(ISERROR(MATCH(J$1,INDIRECT("Table!A"&amp;$BV13):INDIRECT("Table!" &amp; $CH$110 &amp; $BV13),0)),"",INDIRECT(CONCATENATE("Table!",ADDRESS($BR13,MATCH(J$1,INDIRECT("Table!A" &amp; $BV13):INDIRECT("Table!" &amp; $CH$110 &amp; $BV13),0)))))/1024</f>
        <v>95.606640624999997</v>
      </c>
      <c r="K13" s="709">
        <f ca="1">IF(ISERROR(MATCH(K$1,INDIRECT("Table!A"&amp;$BV13):INDIRECT("Table!" &amp; $CH$110 &amp; $BV13),0)),"",INDIRECT(CONCATENATE("Table!",ADDRESS($BR13,MATCH(K$1,INDIRECT("Table!A" &amp; $BV13):INDIRECT("Table!" &amp; $CH$110 &amp; $BV13),0)))))/1024</f>
        <v>91.490527343750003</v>
      </c>
      <c r="L13" s="709">
        <f ca="1">IF(ISERROR(MATCH(L$1,INDIRECT("Table!A"&amp;$BV13):INDIRECT("Table!" &amp; $CH$110 &amp; $BV13),0)),"",INDIRECT(CONCATENATE("Table!",ADDRESS($BR13,MATCH(L$1,INDIRECT("Table!A" &amp; $BV13):INDIRECT("Table!" &amp; $CH$110 &amp; $BV13),0)))))/1024</f>
        <v>79.248242187499997</v>
      </c>
      <c r="M13" s="709">
        <f ca="1">IF(ISERROR(MATCH(M$1,INDIRECT("Table!A"&amp;$BV13):INDIRECT("Table!" &amp; $CH$110 &amp; $BV13),0)),"",INDIRECT(CONCATENATE("Table!",ADDRESS($BR13,MATCH(M$1,INDIRECT("Table!A" &amp; $BV13):INDIRECT("Table!" &amp; $CH$110 &amp; $BV13),0)))))/1024</f>
        <v>207.00048828125</v>
      </c>
      <c r="N13" s="709">
        <f ca="1">IF(ISERROR(MATCH(N$1,INDIRECT("Table!A"&amp;$BV13):INDIRECT("Table!" &amp; $CH$110 &amp; $BV13),0)),"",INDIRECT(CONCATENATE("Table!",ADDRESS($BR13,MATCH(N$1,INDIRECT("Table!A" &amp; $BV13):INDIRECT("Table!" &amp; $CH$110 &amp; $BV13),0)))))/1024</f>
        <v>58.377148437499997</v>
      </c>
      <c r="O13" s="709">
        <f ca="1">IF(ISERROR(MATCH(O$1,INDIRECT("Table!A"&amp;$BV13):INDIRECT("Table!" &amp; $CH$110 &amp; $BV13),0)),"",INDIRECT(CONCATENATE("Table!",ADDRESS($BR13,MATCH(O$1,INDIRECT("Table!A" &amp; $BV13):INDIRECT("Table!" &amp; $CH$110 &amp; $BV13),0)))))/1024</f>
        <v>176.68916015625001</v>
      </c>
      <c r="P13" s="709">
        <f ca="1">IF(ISERROR(MATCH(P$1,INDIRECT("Table!A"&amp;$BV13):INDIRECT("Table!" &amp; $CH$110 &amp; $BV13),0)),"",INDIRECT(CONCATENATE("Table!",ADDRESS($BR13,MATCH(P$1,INDIRECT("Table!A" &amp; $BV13):INDIRECT("Table!" &amp; $CH$110 &amp; $BV13),0)))))/1024</f>
        <v>50.923046874999997</v>
      </c>
      <c r="Q13" s="709">
        <f ca="1">IF(ISERROR(MATCH(Q$1,INDIRECT("Table!A"&amp;$BV13):INDIRECT("Table!" &amp; $CH$110 &amp; $BV13),0)),"",INDIRECT(CONCATENATE("Table!",ADDRESS($BR13,MATCH(Q$1,INDIRECT("Table!A" &amp; $BV13):INDIRECT("Table!" &amp; $CH$110 &amp; $BV13),0)))))/1024</f>
        <v>147.44169921874999</v>
      </c>
      <c r="R13" s="709">
        <f ca="1">IF(ISERROR(MATCH(R$1,INDIRECT("Table!A"&amp;$BV13):INDIRECT("Table!" &amp; $CH$110 &amp; $BV13),0)),"",INDIRECT(CONCATENATE("Table!",ADDRESS($BR13,MATCH(R$1,INDIRECT("Table!A" &amp; $BV13):INDIRECT("Table!" &amp; $CH$110 &amp; $BV13),0)))))/1024</f>
        <v>174.85761718750001</v>
      </c>
      <c r="S13" s="709">
        <v>0</v>
      </c>
      <c r="T13" s="709">
        <f ca="1">IF(ISERROR(MATCH(T$1,INDIRECT("Table!A"&amp;$BV13):INDIRECT("Table!" &amp; $CH$65 &amp; $BV13),0)),"",INDIRECT(CONCATENATE("Table!",ADDRESS($BR13,MATCH(T$1,INDIRECT("Table!A" &amp; $BV13):INDIRECT("Table!" &amp; $CH$65 &amp; $BV13),0)))))/1024</f>
        <v>11.2826171875</v>
      </c>
      <c r="U13" s="709">
        <f ca="1">IF(ISERROR(MATCH(U$1,INDIRECT("Table!A"&amp;$BV13):INDIRECT("Table!" &amp; $CH$65 &amp; $BV13),0)),"",INDIRECT(CONCATENATE("Table!",ADDRESS($BR13,MATCH(U$1,INDIRECT("Table!A" &amp; $BV13):INDIRECT("Table!" &amp; $CH$65 &amp; $BV13),0)))))/1024</f>
        <v>15.165234375000001</v>
      </c>
      <c r="V13" s="709">
        <f ca="1">IF(ISERROR(MATCH(V$1,INDIRECT("Table!A"&amp;$BV13):INDIRECT("Table!" &amp; $CH$65 &amp; $BV13),0)),"",INDIRECT(CONCATENATE("Table!",ADDRESS($BR13,MATCH(V$1,INDIRECT("Table!A" &amp; $BV13):INDIRECT("Table!" &amp; $CH$65 &amp; $BV13),0)))))/1024</f>
        <v>30.330273437500001</v>
      </c>
      <c r="W13" s="709">
        <f ca="1">IF(ISERROR(MATCH(W$1,INDIRECT("Table!A"&amp;$BV13):INDIRECT("Table!" &amp; $CH$65 &amp; $BV13),0)),"",INDIRECT(CONCATENATE("Table!",ADDRESS($BR13,MATCH(W$1,INDIRECT("Table!A" &amp; $BV13):INDIRECT("Table!" &amp; $CH$65 &amp; $BV13),0)))))/1024</f>
        <v>26.167871093750001</v>
      </c>
      <c r="X13" s="709">
        <f ca="1">IF(ISERROR(MATCH(X$1,INDIRECT("Table!A"&amp;$BV13):INDIRECT("Table!" &amp; $CH$65 &amp; $BV13),0)),"",INDIRECT(CONCATENATE("Table!",ADDRESS($BR13,MATCH(X$1,INDIRECT("Table!A" &amp; $BV13):INDIRECT("Table!" &amp; $CH$65 &amp; $BV13),0)))))/1024</f>
        <v>51.441992187499999</v>
      </c>
      <c r="Y13" s="709">
        <f ca="1">IF(ISERROR(MATCH(Y$1,INDIRECT("Table!A"&amp;$BV13):INDIRECT("Table!" &amp; $CH$65 &amp; $BV13),0)),"",INDIRECT(CONCATENATE("Table!",ADDRESS($BR13,MATCH(Y$1,INDIRECT("Table!A" &amp; $BV13):INDIRECT("Table!" &amp; $CH$65 &amp; $BV13),0)))))/1024</f>
        <v>9.0939453125000007</v>
      </c>
      <c r="Z13" s="709">
        <f ca="1">IF(ISERROR(MATCH(Z$1,INDIRECT("Table!A"&amp;$BV13):INDIRECT("Table!" &amp; $CH$65 &amp; $BV13),0)),"",INDIRECT(CONCATENATE("Table!",ADDRESS($BR13,MATCH(Z$1,INDIRECT("Table!A" &amp; $BV13):INDIRECT("Table!" &amp; $CH$65 &amp; $BV13),0)))))/1024</f>
        <v>18.091406249999999</v>
      </c>
      <c r="AA13" s="709">
        <f ca="1">IF(ISERROR(MATCH(AA$1,INDIRECT("Table!A"&amp;$BV13):INDIRECT("Table!" &amp; $CH$65 &amp; $BV13),0)),"",INDIRECT(CONCATENATE("Table!",ADDRESS($BR13,MATCH(AA$1,INDIRECT("Table!A" &amp; $BV13):INDIRECT("Table!" &amp; $CH$65 &amp; $BV13),0)))))/1024</f>
        <v>117.44892578125</v>
      </c>
      <c r="AB13" s="709">
        <f ca="1">IF(ISERROR(MATCH(AB$1,INDIRECT("Table!A"&amp;$BV13):INDIRECT("Table!" &amp; $CH$65 &amp; $BV13),0)),"",INDIRECT(CONCATENATE("Table!",ADDRESS($BR13,MATCH(AB$1,INDIRECT("Table!A" &amp; $BV13):INDIRECT("Table!" &amp; $CH$65 &amp; $BV13),0)))))/1024</f>
        <v>4.7851562500000003E-3</v>
      </c>
      <c r="AC13" s="709">
        <f ca="1">IF(ISERROR(MATCH(AC$1,INDIRECT("Table!A"&amp;$BV13):INDIRECT("Table!" &amp; $CH$65 &amp; $BV13),0)),"",INDIRECT(CONCATENATE("Table!",ADDRESS($BR13,MATCH(AC$1,INDIRECT("Table!A" &amp; $BV13):INDIRECT("Table!" &amp; $CH$65 &amp; $BV13),0)))))/1024</f>
        <v>21.928027343749999</v>
      </c>
      <c r="AD13" s="709">
        <f ca="1">IF(ISERROR(MATCH(AD$1,INDIRECT("Table!A"&amp;$BV13):INDIRECT("Table!" &amp; $CH$65 &amp; $BV13),0)),"",INDIRECT(CONCATENATE("Table!",ADDRESS($BR13,MATCH(AD$1,INDIRECT("Table!A" &amp; $BV13):INDIRECT("Table!" &amp; $CH$65 &amp; $BV13),0)))))/1024</f>
        <v>62.137988281250003</v>
      </c>
      <c r="AE13" s="709">
        <f ca="1">IF(ISERROR(MATCH(AE$1,INDIRECT("Table!A"&amp;$BV13):INDIRECT("Table!" &amp; $CH$65 &amp; $BV13),0)),"",INDIRECT(CONCATENATE("Table!",ADDRESS($BR13,MATCH(AE$1,INDIRECT("Table!A" &amp; $BV13):INDIRECT("Table!" &amp; $CH$65 &amp; $BV13),0)))))/1024</f>
        <v>17.794140625000001</v>
      </c>
      <c r="AF13" s="709">
        <f ca="1">IF(ISERROR(MATCH(AF$1,INDIRECT("Table!A"&amp;$BV13):INDIRECT("Table!" &amp; $CH$65 &amp; $BV13),0)),"",INDIRECT(CONCATENATE("Table!",ADDRESS($BR13,MATCH(AF$1,INDIRECT("Table!A" &amp; $BV13):INDIRECT("Table!" &amp; $CH$65 &amp; $BV13),0)))))/1024</f>
        <v>17.7939453125</v>
      </c>
      <c r="AG13" s="709">
        <f ca="1">IF(ISERROR(MATCH(AG$1,INDIRECT("Table!A"&amp;$BV13):INDIRECT("Table!" &amp; $CH$65 &amp; $BV13),0)),"",INDIRECT(CONCATENATE("Table!",ADDRESS($BR13,MATCH(AG$1,INDIRECT("Table!A" &amp; $BV13):INDIRECT("Table!" &amp; $CH$65 &amp; $BV13),0)))))/1024</f>
        <v>0.40263671875000001</v>
      </c>
      <c r="AH13" s="709">
        <f ca="1">IF(ISERROR(MATCH(AH$1,INDIRECT("Table!A"&amp;$BV13):INDIRECT("Table!" &amp; $CH$65 &amp; $BV13),0)),"",INDIRECT(CONCATENATE("Table!",ADDRESS($BR13,MATCH(AH$1,INDIRECT("Table!A" &amp; $BV13):INDIRECT("Table!" &amp; $CH$65 &amp; $BV13),0)))))/1024</f>
        <v>0</v>
      </c>
      <c r="AI13" s="709" t="str">
        <f ca="1">IF(ISERROR(MATCH(AI$1,INDIRECT("Table!A"&amp;$BV13):INDIRECT("Table!" &amp; $CH$110 &amp; $BV13),0)),"",INDIRECT(CONCATENATE("Table!",ADDRESS($BR13,MATCH(AI$1,INDIRECT("Table!A" &amp; $BV13):INDIRECT("Table!" &amp; $CH$110 &amp; $BV13),0)))))</f>
        <v/>
      </c>
      <c r="AJ13" s="709">
        <f ca="1">IF(ISERROR(MATCH(AJ$1,INDIRECT("Table!A"&amp;$BV13):INDIRECT("Table!" &amp; $CH$110 &amp; $BV13),0)),"",INDIRECT(CONCATENATE("Table!",ADDRESS($BZ13,MATCH(AJ$1,INDIRECT("Table!A" &amp; $BV13):INDIRECT("Table!" &amp; $CH$110 &amp; $BV13),0)))))/1024</f>
        <v>244.15859374999999</v>
      </c>
      <c r="AK13" s="709">
        <f ca="1">IF(ISERROR(MATCH(AK$1,INDIRECT("Table!A"&amp;$BV13):INDIRECT("Table!" &amp; $CH$110 &amp; $BV13),0)),"",INDIRECT(CONCATENATE("Table!",ADDRESS($BZ13,MATCH(AK$1,INDIRECT("Table!A" &amp; $BV13):INDIRECT("Table!" &amp; $CH$110 &amp; $BV13),0)))))/1024</f>
        <v>146.98896484375001</v>
      </c>
      <c r="AL13" s="709">
        <f ca="1">IF(ISERROR(MATCH(AL$1,INDIRECT("Table!A"&amp;$BV13):INDIRECT("Table!" &amp; $CH$110 &amp; $BV13),0)),"",INDIRECT(CONCATENATE("Table!",ADDRESS($BZ13,MATCH(AL$1,INDIRECT("Table!A" &amp; $BV13):INDIRECT("Table!" &amp; $CH$110 &amp; $BV13),0)))))/1024</f>
        <v>146.98896484375001</v>
      </c>
      <c r="AM13" s="709">
        <f ca="1">IF(ISERROR(MATCH(AM$1,INDIRECT("Table!A"&amp;$BV13):INDIRECT("Table!" &amp; $CH$110 &amp; $BV13),0)),"",INDIRECT(CONCATENATE("Table!",ADDRESS($BZ13,MATCH(AM$1,INDIRECT("Table!A" &amp; $BV13):INDIRECT("Table!" &amp; $CH$110 &amp; $BV13),0)))))/1024</f>
        <v>177.73320312499999</v>
      </c>
      <c r="AN13" s="709">
        <f ca="1">IF(ISERROR(MATCH(AN$1,INDIRECT("Table!A"&amp;$BV13):INDIRECT("Table!" &amp; $CH$110 &amp; $BV13),0)),"",INDIRECT(CONCATENATE("Table!",ADDRESS($BZ13,MATCH(AN$1,INDIRECT("Table!A" &amp; $BV13):INDIRECT("Table!" &amp; $CH$110 &amp; $BV13),0)))))/1024</f>
        <v>161.88056640625001</v>
      </c>
      <c r="AO13" s="709">
        <f ca="1">IF(ISERROR(MATCH(AO$1,INDIRECT("Table!A"&amp;$BV13):INDIRECT("Table!" &amp; $CH$110 &amp; $BV13),0)),"",INDIRECT(CONCATENATE("Table!",ADDRESS($BZ13,MATCH(AO$1,INDIRECT("Table!A" &amp; $BV13):INDIRECT("Table!" &amp; $CH$110 &amp; $BV13),0)))))/1024</f>
        <v>380.3759765625</v>
      </c>
      <c r="AP13" s="709">
        <f ca="1">IF(ISERROR(MATCH(AP$1,INDIRECT("Table!A"&amp;$BV13):INDIRECT("Table!" &amp; $CH$110 &amp; $BV13),0)),"",INDIRECT(CONCATENATE("Table!",ADDRESS($BZ13,MATCH(AP$1,INDIRECT("Table!A" &amp; $BV13):INDIRECT("Table!" &amp; $CH$110 &amp; $BV13),0)))))/1024</f>
        <v>167.94482421875</v>
      </c>
      <c r="AQ13" s="709">
        <f ca="1">IF(ISERROR(MATCH(AQ$1,INDIRECT("Table!A"&amp;$BV13):INDIRECT("Table!" &amp; $CH$110 &amp; $BV13),0)),"",INDIRECT(CONCATENATE("Table!",ADDRESS($BZ13,MATCH(AQ$1,INDIRECT("Table!A" &amp; $BV13):INDIRECT("Table!" &amp; $CH$110 &amp; $BV13),0)))))/1024</f>
        <v>162.185546875</v>
      </c>
      <c r="AR13" s="709">
        <f ca="1">IF(ISERROR(MATCH(AR$1,INDIRECT("Table!A"&amp;$BV13):INDIRECT("Table!" &amp; $CH$110 &amp; $BV13),0)),"",INDIRECT(CONCATENATE("Table!",ADDRESS($BZ13,MATCH(AR$1,INDIRECT("Table!A" &amp; $BV13):INDIRECT("Table!" &amp; $CH$110 &amp; $BV13),0)))))/1024</f>
        <v>121.1125</v>
      </c>
      <c r="AS13" s="709">
        <f ca="1">IF(ISERROR(MATCH(AS$1,INDIRECT("Table!A"&amp;$BV13):INDIRECT("Table!" &amp; $CH$110 &amp; $BV13),0)),"",INDIRECT(CONCATENATE("Table!",ADDRESS($BZ13,MATCH(AS$1,INDIRECT("Table!A" &amp; $BV13):INDIRECT("Table!" &amp; $CH$110 &amp; $BV13),0)))))/1024</f>
        <v>218.81953125000001</v>
      </c>
      <c r="AT13" s="709">
        <f ca="1">IF(ISERROR(MATCH(AT$1,INDIRECT("Table!A"&amp;$BV13):INDIRECT("Table!" &amp; $CH$110 &amp; $BV13),0)),"",INDIRECT(CONCATENATE("Table!",ADDRESS($BZ13,MATCH(AT$1,INDIRECT("Table!A" &amp; $BV13):INDIRECT("Table!" &amp; $CH$110 &amp; $BV13),0)))))/1024</f>
        <v>188.50498046875001</v>
      </c>
      <c r="AU13" s="709">
        <f ca="1">IF(ISERROR(MATCH(AU$1,INDIRECT("Table!A"&amp;$BV13):INDIRECT("Table!" &amp; $CH$110 &amp; $BV13),0)),"",INDIRECT(CONCATENATE("Table!",ADDRESS($BZ13,MATCH(AU$1,INDIRECT("Table!A" &amp; $BV13):INDIRECT("Table!" &amp; $CH$110 &amp; $BV13),0)))))/1024</f>
        <v>427.94912109375002</v>
      </c>
      <c r="AV13" s="709">
        <f ca="1">IF(ISERROR(MATCH(AV$1,INDIRECT("Table!A"&amp;$BV13):INDIRECT("Table!" &amp; $CH$110 &amp; $BV13),0)),"",INDIRECT(CONCATENATE("Table!",ADDRESS($BZ13,MATCH(AV$1,INDIRECT("Table!A" &amp; $BV13):INDIRECT("Table!" &amp; $CH$110 &amp; $BV13),0)))))/1024</f>
        <v>81.092578125000003</v>
      </c>
      <c r="AW13" s="709">
        <f ca="1">IF(ISERROR(MATCH(AW$1,INDIRECT("Table!A"&amp;$BV13):INDIRECT("Table!" &amp; $CH$110 &amp; $BV13),0)),"",INDIRECT(CONCATENATE("Table!",ADDRESS($BZ13,MATCH(AW$1,INDIRECT("Table!A" &amp; $BV13):INDIRECT("Table!" &amp; $CH$110 &amp; $BV13),0)))))/1024</f>
        <v>269.65859375000002</v>
      </c>
      <c r="AX13" s="709">
        <f ca="1">IF(ISERROR(MATCH(AX$1,INDIRECT("Table!A"&amp;$BV13):INDIRECT("Table!" &amp; $CH$110 &amp; $BV13),0)),"",INDIRECT(CONCATENATE("Table!",ADDRESS($BZ13,MATCH(AX$1,INDIRECT("Table!A" &amp; $BV13):INDIRECT("Table!" &amp; $CH$110 &amp; $BV13),0)))))/1024</f>
        <v>81.092578125000003</v>
      </c>
      <c r="AY13" s="709">
        <f ca="1">IF(ISERROR(MATCH(AY$1,INDIRECT("Table!A"&amp;$BV13):INDIRECT("Table!" &amp; $CH$110 &amp; $BV13),0)),"",INDIRECT(CONCATENATE("Table!",ADDRESS($BZ13,MATCH(AY$1,INDIRECT("Table!A" &amp; $BV13):INDIRECT("Table!" &amp; $CH$110 &amp; $BV13),0)))))/1024</f>
        <v>187.12714843750001</v>
      </c>
      <c r="AZ13" s="709">
        <f ca="1">IF(ISERROR(MATCH(AZ$1,INDIRECT("Table!A"&amp;$BV13):INDIRECT("Table!" &amp; $CH$110 &amp; $BV13),0)),"",INDIRECT(CONCATENATE("Table!",ADDRESS($BZ13,MATCH(AZ$1,INDIRECT("Table!A" &amp; $BV13):INDIRECT("Table!" &amp; $CH$110 &amp; $BV13),0)))))/1024</f>
        <v>256.14150390625002</v>
      </c>
      <c r="BA13" s="709"/>
      <c r="BB13" s="709">
        <f ca="1">IF(ISERROR(MATCH(BB$1,INDIRECT("Table!A"&amp;$BV13):INDIRECT("Table!" &amp; $CH$110 &amp; $BV13),0)),"",INDIRECT(CONCATENATE("Table!",ADDRESS($BZ13,MATCH(BB$1,INDIRECT("Table!A" &amp; $BV13):INDIRECT("Table!" &amp; $CH$110 &amp; $BV13),0)))))/1024</f>
        <v>32.31494140625</v>
      </c>
      <c r="BC13" s="709">
        <f ca="1">IF(ISERROR(MATCH(BC$1,INDIRECT("Table!A"&amp;$BV13):INDIRECT("Table!" &amp; $CH$110 &amp; $BV13),0)),"",INDIRECT(CONCATENATE("Table!",ADDRESS($BZ13,MATCH(BC$1,INDIRECT("Table!A" &amp; $BV13):INDIRECT("Table!" &amp; $CH$110 &amp; $BV13),0)))))/1024</f>
        <v>99.80126953125</v>
      </c>
      <c r="BD13" s="709">
        <f ca="1">IF(ISERROR(MATCH(BD$1,INDIRECT("Table!A"&amp;$BV13):INDIRECT("Table!" &amp; $CH$110 &amp; $BV13),0)),"",INDIRECT(CONCATENATE("Table!",ADDRESS($BZ13,MATCH(BD$1,INDIRECT("Table!A" &amp; $BV13):INDIRECT("Table!" &amp; $CH$110 &amp; $BV13),0)))))/1024</f>
        <v>204.58642578125</v>
      </c>
      <c r="BE13" s="905">
        <f ca="1">IF(ISERROR(MATCH(BE$1,INDIRECT("Table!A"&amp;$BV13):INDIRECT("Table!" &amp; $CH$110 &amp; $BV13),0)),"",INDIRECT(CONCATENATE("Table!",ADDRESS($BZ13,MATCH(BE$1,INDIRECT("Table!A" &amp; $BV13):INDIRECT("Table!" &amp; $CH$110 &amp; $BV13),0)))))/1024</f>
        <v>99.80126953125</v>
      </c>
      <c r="BF13" s="905">
        <f ca="1">IF(ISERROR(MATCH(BF$1,INDIRECT("Table!A"&amp;$BV13):INDIRECT("Table!" &amp; $CH$110 &amp; $BV13),0)),"",INDIRECT(CONCATENATE("Table!",ADDRESS($BZ13,MATCH(BF$1,INDIRECT("Table!A" &amp; $BV13):INDIRECT("Table!" &amp; $CH$110 &amp; $BV13),0)))))/1024</f>
        <v>204.58642578125</v>
      </c>
      <c r="BG13" s="905">
        <f ca="1">IF(ISERROR(MATCH(BG$1,INDIRECT("Table!A"&amp;$BV13):INDIRECT("Table!" &amp; $CH$110 &amp; $BV13),0)),"",INDIRECT(CONCATENATE("Table!",ADDRESS($BZ13,MATCH(BG$1,INDIRECT("Table!A" &amp; $BV13):INDIRECT("Table!" &amp; $CH$110 &amp; $BV13),0)))))/1024</f>
        <v>99.80126953125</v>
      </c>
      <c r="BH13" s="905">
        <f ca="1">IF(ISERROR(MATCH(BH$1,INDIRECT("Table!A"&amp;$BV13):INDIRECT("Table!" &amp; $CH$110 &amp; $BV13),0)),"",INDIRECT(CONCATENATE("Table!",ADDRESS($BZ13,MATCH(BH$1,INDIRECT("Table!A" &amp; $BV13):INDIRECT("Table!" &amp; $CH$110 &amp; $BV13),0)))))/1024</f>
        <v>204.58642578125</v>
      </c>
      <c r="BI13" s="905">
        <f ca="1">IF(ISERROR(MATCH(BI$1,INDIRECT("Table!A"&amp;$BV13):INDIRECT("Table!" &amp; $CH$110 &amp; $BV13),0)),"",INDIRECT(CONCATENATE("Table!",ADDRESS($BZ13,MATCH(BI$1,INDIRECT("Table!A" &amp; $BV13):INDIRECT("Table!" &amp; $CH$110 &amp; $BV13),0)))))/1024</f>
        <v>320.99140625000001</v>
      </c>
      <c r="BJ13" s="905">
        <f ca="1">IF(ISERROR(MATCH(BJ$1,INDIRECT("Table!A"&amp;$BV13):INDIRECT("Table!" &amp; $CH$110 &amp; $BV13),0)),"",INDIRECT(CONCATENATE("Table!",ADDRESS($BZ13,MATCH(BJ$1,INDIRECT("Table!A" &amp; $BV13):INDIRECT("Table!" &amp; $CH$110 &amp; $BV13),0)))))/1024</f>
        <v>186.39765625000001</v>
      </c>
      <c r="BK13" s="905">
        <f ca="1">IF(ISERROR(MATCH(BK$1,INDIRECT("Table!A"&amp;$BV13):INDIRECT("Table!" &amp; $CH$110 &amp; $BV13),0)),"",INDIRECT(CONCATENATE("Table!",ADDRESS($BZ13,MATCH(BK$1,INDIRECT("Table!A" &amp; $BV13):INDIRECT("Table!" &amp; $CH$110 &amp; $BV13),0)))))/1024</f>
        <v>218.81953125000001</v>
      </c>
      <c r="BL13" s="905">
        <f ca="1">IF(ISERROR(MATCH(BL$1,INDIRECT("Table!A"&amp;$BV13):INDIRECT("Table!" &amp; $CH$110 &amp; $BV13),0)),"",INDIRECT(CONCATENATE("Table!",ADDRESS($BZ13,MATCH(BL$1,INDIRECT("Table!A" &amp; $BV13):INDIRECT("Table!" &amp; $CH$110 &amp; $BV13),0)))))/1024</f>
        <v>218.81953125000001</v>
      </c>
      <c r="BM13" s="905">
        <f ca="1">IF(ISERROR(MATCH(BM$1,INDIRECT("Table!A"&amp;$BV13):INDIRECT("Table!" &amp; $CH$110 &amp; $BV13),0)),"",INDIRECT(CONCATENATE("Table!",ADDRESS($BZ13,MATCH(BM$1,INDIRECT("Table!A" &amp; $BV13):INDIRECT("Table!" &amp; $CH$110 &amp; $BV13),0)))))/1024</f>
        <v>152.53330078125001</v>
      </c>
      <c r="BN13" s="905">
        <f ca="1">IF(ISERROR(MATCH(BN$1,INDIRECT("Table!A"&amp;$BV13):INDIRECT("Table!" &amp; $CH$110 &amp; $BV13),0)),"",INDIRECT(CONCATENATE("Table!",ADDRESS($BZ13,MATCH(BN$1,INDIRECT("Table!A" &amp; $BV13):INDIRECT("Table!" &amp; $CH$110 &amp; $BV13),0)))))/1024</f>
        <v>152.53330078125001</v>
      </c>
      <c r="BO13" s="905">
        <f ca="1">IF(ISERROR(MATCH(BO$1,INDIRECT("Table!A"&amp;$BV13):INDIRECT("Table!" &amp; $CH$110 &amp; $BV13),0)),"",INDIRECT(CONCATENATE("Table!",ADDRESS($BZ13,MATCH(BO$1,INDIRECT("Table!A" &amp; $BV13):INDIRECT("Table!" &amp; $CH$110 &amp; $BV13),0)))))/1024</f>
        <v>218.81953125000001</v>
      </c>
      <c r="BP13" s="905">
        <f ca="1">IF(ISERROR(MATCH(BP$1,INDIRECT("Table!A"&amp;$BV13):INDIRECT("Table!" &amp; $CH$110 &amp; $BV13),0)),"",INDIRECT(CONCATENATE("Table!",ADDRESS($BZ13,MATCH(BP$1,INDIRECT("Table!A" &amp; $BV13):INDIRECT("Table!" &amp; $CH$110 &amp; $BV13),0)))))/1024</f>
        <v>0</v>
      </c>
      <c r="BR13" s="704">
        <f>MATCH($A13,Table!$A:$A,0)+$BT$2-1</f>
        <v>145</v>
      </c>
      <c r="BS13" s="744"/>
      <c r="BT13" s="744"/>
      <c r="BU13" s="744"/>
      <c r="BV13" s="717">
        <f>MATCH($A13,Table!$A:$A,0)+$BX$2-1</f>
        <v>143</v>
      </c>
      <c r="BW13" s="744"/>
      <c r="BX13" s="744"/>
      <c r="BY13" s="744"/>
      <c r="BZ13" s="704">
        <f>MATCH($A13,Table!$A:$A,0)+$CB$2-1</f>
        <v>144</v>
      </c>
      <c r="CA13" s="744"/>
      <c r="CB13" s="744"/>
      <c r="CC13" s="744"/>
      <c r="CD13" s="717">
        <f>MATCH($A13,Table!$A:$A,0)+$BX$2-1</f>
        <v>143</v>
      </c>
      <c r="CE13" s="744"/>
      <c r="CF13" s="744"/>
      <c r="CG13" s="744"/>
      <c r="CH13" s="711" t="s">
        <v>302</v>
      </c>
      <c r="CI13" s="712">
        <f t="shared" ref="CI13" ca="1" si="50">SUM(AJ13:BP13)</f>
        <v>5834.1474609374991</v>
      </c>
      <c r="CJ13" s="712">
        <f t="shared" ref="CJ13" ca="1" si="51">SUM(B13:AH13)</f>
        <v>2240.2321289062493</v>
      </c>
      <c r="CK13" s="712">
        <f t="shared" ref="CK13" ca="1" si="52">CI13-CJ13</f>
        <v>3593.9153320312498</v>
      </c>
      <c r="CL13" s="718">
        <f t="shared" ref="CL13" ca="1" si="53">CJ13/CI13</f>
        <v>0.38398620259527388</v>
      </c>
      <c r="CM13" s="712">
        <f ca="1">SUMIF('Alloc Feed'!A:I,A:A,'Alloc Feed'!I:I)</f>
        <v>3895.301302734375</v>
      </c>
      <c r="CN13" s="718">
        <f t="shared" ref="CN13" ca="1" si="54">CM13/CI13</f>
        <v>0.66767275404253024</v>
      </c>
    </row>
    <row r="14" spans="1:92" s="947" customFormat="1" x14ac:dyDescent="0.25">
      <c r="A14" s="703">
        <v>41900</v>
      </c>
      <c r="B14" s="709">
        <f ca="1">IF(ISERROR(MATCH(B$1,INDIRECT("Table!A"&amp;$BV14):INDIRECT("Table!" &amp; $CH$110 &amp; $BV14),0)),"",INDIRECT(CONCATENATE("Table!",ADDRESS($BR14,MATCH(B$1,INDIRECT("Table!A" &amp; $BV14):INDIRECT("Table!" &amp; $CH$110 &amp; $BV14),0)))))/1024</f>
        <v>52.273144531249997</v>
      </c>
      <c r="C14" s="709">
        <f ca="1">IF(ISERROR(MATCH(C$1,INDIRECT("Table!A"&amp;$BV14):INDIRECT("Table!" &amp; $CH$110 &amp; $BV14),0)),"",INDIRECT(CONCATENATE("Table!",ADDRESS($BR14,MATCH(C$1,INDIRECT("Table!A" &amp; $BV14):INDIRECT("Table!" &amp; $CH$110 &amp; $BV14),0)))))/1024</f>
        <v>84.779589843750003</v>
      </c>
      <c r="D14" s="709">
        <f ca="1">IF(ISERROR(MATCH(D$1,INDIRECT("Table!A"&amp;$BV14):INDIRECT("Table!" &amp; $CH$110 &amp; $BV14),0)),"",INDIRECT(CONCATENATE("Table!",ADDRESS($BR14,MATCH(D$1,INDIRECT("Table!A" &amp; $BV14):INDIRECT("Table!" &amp; $CH$110 &amp; $BV14),0)))))/1024</f>
        <v>84.53271484375</v>
      </c>
      <c r="E14" s="709">
        <f ca="1">IF(ISERROR(MATCH(E$1,INDIRECT("Table!A"&amp;$BV14):INDIRECT("Table!" &amp; $CH$110 &amp; $BV14),0)),"",INDIRECT(CONCATENATE("Table!",ADDRESS($BR14,MATCH(E$1,INDIRECT("Table!A" &amp; $BV14):INDIRECT("Table!" &amp; $CH$110 &amp; $BV14),0)))))/1024</f>
        <v>99.803906249999997</v>
      </c>
      <c r="F14" s="709">
        <f ca="1">IF(ISERROR(MATCH(F$1,INDIRECT("Table!A"&amp;$BV14):INDIRECT("Table!" &amp; $CH$110 &amp; $BV14),0)),"",INDIRECT(CONCATENATE("Table!",ADDRESS($BR14,MATCH(F$1,INDIRECT("Table!A" &amp; $BV14):INDIRECT("Table!" &amp; $CH$110 &amp; $BV14),0)))))/1024</f>
        <v>115.68232421875</v>
      </c>
      <c r="G14" s="709">
        <f ca="1">IF(ISERROR(MATCH(G$1,INDIRECT("Table!A"&amp;$BV14):INDIRECT("Table!" &amp; $CH$110 &amp; $BV14),0)),"",INDIRECT(CONCATENATE("Table!",ADDRESS($BR14,MATCH(G$1,INDIRECT("Table!A" &amp; $BV14):INDIRECT("Table!" &amp; $CH$110 &amp; $BV14),0)))))/1024</f>
        <v>201.22958984375001</v>
      </c>
      <c r="H14" s="709">
        <f ca="1">IF(ISERROR(MATCH(H$1,INDIRECT("Table!A"&amp;$BV14):INDIRECT("Table!" &amp; $CH$110 &amp; $BV14),0)),"",INDIRECT(CONCATENATE("Table!",ADDRESS($BR14,MATCH(H$1,INDIRECT("Table!A" &amp; $BV14):INDIRECT("Table!" &amp; $CH$110 &amp; $BV14),0)))))/1024</f>
        <v>93.583105468750006</v>
      </c>
      <c r="I14" s="709">
        <f ca="1">IF(ISERROR(MATCH(I$1,INDIRECT("Table!A"&amp;$BV14):INDIRECT("Table!" &amp; $CH$110 &amp; $BV14),0)),"",INDIRECT(CONCATENATE("Table!",ADDRESS($BR14,MATCH(I$1,INDIRECT("Table!A" &amp; $BV14):INDIRECT("Table!" &amp; $CH$110 &amp; $BV14),0)))))/1024</f>
        <v>26.27197265625</v>
      </c>
      <c r="J14" s="709">
        <f ca="1">IF(ISERROR(MATCH(J$1,INDIRECT("Table!A"&amp;$BV14):INDIRECT("Table!" &amp; $CH$110 &amp; $BV14),0)),"",INDIRECT(CONCATENATE("Table!",ADDRESS($BR14,MATCH(J$1,INDIRECT("Table!A" &amp; $BV14):INDIRECT("Table!" &amp; $CH$110 &amp; $BV14),0)))))/1024</f>
        <v>95.156054687500003</v>
      </c>
      <c r="K14" s="709">
        <f ca="1">IF(ISERROR(MATCH(K$1,INDIRECT("Table!A"&amp;$BV14):INDIRECT("Table!" &amp; $CH$110 &amp; $BV14),0)),"",INDIRECT(CONCATENATE("Table!",ADDRESS($BR14,MATCH(K$1,INDIRECT("Table!A" &amp; $BV14):INDIRECT("Table!" &amp; $CH$110 &amp; $BV14),0)))))/1024</f>
        <v>89.42041015625</v>
      </c>
      <c r="L14" s="709">
        <f ca="1">IF(ISERROR(MATCH(L$1,INDIRECT("Table!A"&amp;$BV14):INDIRECT("Table!" &amp; $CH$110 &amp; $BV14),0)),"",INDIRECT(CONCATENATE("Table!",ADDRESS($BR14,MATCH(L$1,INDIRECT("Table!A" &amp; $BV14):INDIRECT("Table!" &amp; $CH$110 &amp; $BV14),0)))))/1024</f>
        <v>79.232128906249997</v>
      </c>
      <c r="M14" s="709">
        <f ca="1">IF(ISERROR(MATCH(M$1,INDIRECT("Table!A"&amp;$BV14):INDIRECT("Table!" &amp; $CH$110 &amp; $BV14),0)),"",INDIRECT(CONCATENATE("Table!",ADDRESS($BR14,MATCH(M$1,INDIRECT("Table!A" &amp; $BV14):INDIRECT("Table!" &amp; $CH$110 &amp; $BV14),0)))))/1024</f>
        <v>206.38994140624999</v>
      </c>
      <c r="N14" s="709">
        <f ca="1">IF(ISERROR(MATCH(N$1,INDIRECT("Table!A"&amp;$BV14):INDIRECT("Table!" &amp; $CH$110 &amp; $BV14),0)),"",INDIRECT(CONCATENATE("Table!",ADDRESS($BR14,MATCH(N$1,INDIRECT("Table!A" &amp; $BV14):INDIRECT("Table!" &amp; $CH$110 &amp; $BV14),0)))))/1024</f>
        <v>58.339648437500003</v>
      </c>
      <c r="O14" s="709">
        <f ca="1">IF(ISERROR(MATCH(O$1,INDIRECT("Table!A"&amp;$BV14):INDIRECT("Table!" &amp; $CH$110 &amp; $BV14),0)),"",INDIRECT(CONCATENATE("Table!",ADDRESS($BR14,MATCH(O$1,INDIRECT("Table!A" &amp; $BV14):INDIRECT("Table!" &amp; $CH$110 &amp; $BV14),0)))))/1024</f>
        <v>176.40390625000001</v>
      </c>
      <c r="P14" s="709">
        <f ca="1">IF(ISERROR(MATCH(P$1,INDIRECT("Table!A"&amp;$BV14):INDIRECT("Table!" &amp; $CH$110 &amp; $BV14),0)),"",INDIRECT(CONCATENATE("Table!",ADDRESS($BR14,MATCH(P$1,INDIRECT("Table!A" &amp; $BV14):INDIRECT("Table!" &amp; $CH$110 &amp; $BV14),0)))))/1024</f>
        <v>50.838574218749997</v>
      </c>
      <c r="Q14" s="709">
        <f ca="1">IF(ISERROR(MATCH(Q$1,INDIRECT("Table!A"&amp;$BV14):INDIRECT("Table!" &amp; $CH$110 &amp; $BV14),0)),"",INDIRECT(CONCATENATE("Table!",ADDRESS($BR14,MATCH(Q$1,INDIRECT("Table!A" &amp; $BV14):INDIRECT("Table!" &amp; $CH$110 &amp; $BV14),0)))))/1024</f>
        <v>147.14960937500001</v>
      </c>
      <c r="R14" s="709">
        <f ca="1">IF(ISERROR(MATCH(R$1,INDIRECT("Table!A"&amp;$BV14):INDIRECT("Table!" &amp; $CH$110 &amp; $BV14),0)),"",INDIRECT(CONCATENATE("Table!",ADDRESS($BR14,MATCH(R$1,INDIRECT("Table!A" &amp; $BV14):INDIRECT("Table!" &amp; $CH$110 &amp; $BV14),0)))))/1024</f>
        <v>173.73886718750001</v>
      </c>
      <c r="S14" s="709">
        <v>0</v>
      </c>
      <c r="T14" s="709">
        <f ca="1">IF(ISERROR(MATCH(T$1,INDIRECT("Table!A"&amp;$BV14):INDIRECT("Table!" &amp; $CH$65 &amp; $BV14),0)),"",INDIRECT(CONCATENATE("Table!",ADDRESS($BR14,MATCH(T$1,INDIRECT("Table!A" &amp; $BV14):INDIRECT("Table!" &amp; $CH$65 &amp; $BV14),0)))))/1024</f>
        <v>11.2826171875</v>
      </c>
      <c r="U14" s="709">
        <f ca="1">IF(ISERROR(MATCH(U$1,INDIRECT("Table!A"&amp;$BV14):INDIRECT("Table!" &amp; $CH$65 &amp; $BV14),0)),"",INDIRECT(CONCATENATE("Table!",ADDRESS($BR14,MATCH(U$1,INDIRECT("Table!A" &amp; $BV14):INDIRECT("Table!" &amp; $CH$65 &amp; $BV14),0)))))/1024</f>
        <v>15.14404296875</v>
      </c>
      <c r="V14" s="709">
        <f ca="1">IF(ISERROR(MATCH(V$1,INDIRECT("Table!A"&amp;$BV14):INDIRECT("Table!" &amp; $CH$65 &amp; $BV14),0)),"",INDIRECT(CONCATENATE("Table!",ADDRESS($BR14,MATCH(V$1,INDIRECT("Table!A" &amp; $BV14):INDIRECT("Table!" &amp; $CH$65 &amp; $BV14),0)))))/1024</f>
        <v>30.287988281250001</v>
      </c>
      <c r="W14" s="709">
        <f ca="1">IF(ISERROR(MATCH(W$1,INDIRECT("Table!A"&amp;$BV14):INDIRECT("Table!" &amp; $CH$65 &amp; $BV14),0)),"",INDIRECT(CONCATENATE("Table!",ADDRESS($BR14,MATCH(W$1,INDIRECT("Table!A" &amp; $BV14):INDIRECT("Table!" &amp; $CH$65 &amp; $BV14),0)))))/1024</f>
        <v>26.069628906249999</v>
      </c>
      <c r="X14" s="709">
        <f ca="1">IF(ISERROR(MATCH(X$1,INDIRECT("Table!A"&amp;$BV14):INDIRECT("Table!" &amp; $CH$65 &amp; $BV14),0)),"",INDIRECT(CONCATENATE("Table!",ADDRESS($BR14,MATCH(X$1,INDIRECT("Table!A" &amp; $BV14):INDIRECT("Table!" &amp; $CH$65 &amp; $BV14),0)))))/1024</f>
        <v>51.257226562500001</v>
      </c>
      <c r="Y14" s="709">
        <f ca="1">IF(ISERROR(MATCH(Y$1,INDIRECT("Table!A"&amp;$BV14):INDIRECT("Table!" &amp; $CH$65 &amp; $BV14),0)),"",INDIRECT(CONCATENATE("Table!",ADDRESS($BR14,MATCH(Y$1,INDIRECT("Table!A" &amp; $BV14):INDIRECT("Table!" &amp; $CH$65 &amp; $BV14),0)))))/1024</f>
        <v>8.4722656250000004</v>
      </c>
      <c r="Z14" s="709">
        <f ca="1">IF(ISERROR(MATCH(Z$1,INDIRECT("Table!A"&amp;$BV14):INDIRECT("Table!" &amp; $CH$65 &amp; $BV14),0)),"",INDIRECT(CONCATENATE("Table!",ADDRESS($BR14,MATCH(Z$1,INDIRECT("Table!A" &amp; $BV14):INDIRECT("Table!" &amp; $CH$65 &amp; $BV14),0)))))/1024</f>
        <v>16.850878906249999</v>
      </c>
      <c r="AA14" s="709">
        <f ca="1">IF(ISERROR(MATCH(AA$1,INDIRECT("Table!A"&amp;$BV14):INDIRECT("Table!" &amp; $CH$65 &amp; $BV14),0)),"",INDIRECT(CONCATENATE("Table!",ADDRESS($BR14,MATCH(AA$1,INDIRECT("Table!A" &amp; $BV14):INDIRECT("Table!" &amp; $CH$65 &amp; $BV14),0)))))/1024</f>
        <v>99.619921875000003</v>
      </c>
      <c r="AB14" s="709">
        <f ca="1">IF(ISERROR(MATCH(AB$1,INDIRECT("Table!A"&amp;$BV14):INDIRECT("Table!" &amp; $CH$65 &amp; $BV14),0)),"",INDIRECT(CONCATENATE("Table!",ADDRESS($BR14,MATCH(AB$1,INDIRECT("Table!A" &amp; $BV14):INDIRECT("Table!" &amp; $CH$65 &amp; $BV14),0)))))/1024</f>
        <v>4.7851562500000003E-3</v>
      </c>
      <c r="AC14" s="709">
        <f ca="1">IF(ISERROR(MATCH(AC$1,INDIRECT("Table!A"&amp;$BV14):INDIRECT("Table!" &amp; $CH$65 &amp; $BV14),0)),"",INDIRECT(CONCATENATE("Table!",ADDRESS($BR14,MATCH(AC$1,INDIRECT("Table!A" &amp; $BV14):INDIRECT("Table!" &amp; $CH$65 &amp; $BV14),0)))))/1024</f>
        <v>17.860742187500001</v>
      </c>
      <c r="AD14" s="709">
        <f ca="1">IF(ISERROR(MATCH(AD$1,INDIRECT("Table!A"&amp;$BV14):INDIRECT("Table!" &amp; $CH$65 &amp; $BV14),0)),"",INDIRECT(CONCATENATE("Table!",ADDRESS($BR14,MATCH(AD$1,INDIRECT("Table!A" &amp; $BV14):INDIRECT("Table!" &amp; $CH$65 &amp; $BV14),0)))))/1024</f>
        <v>58.938281250000003</v>
      </c>
      <c r="AE14" s="709">
        <f ca="1">IF(ISERROR(MATCH(AE$1,INDIRECT("Table!A"&amp;$BV14):INDIRECT("Table!" &amp; $CH$65 &amp; $BV14),0)),"",INDIRECT(CONCATENATE("Table!",ADDRESS($BR14,MATCH(AE$1,INDIRECT("Table!A" &amp; $BV14):INDIRECT("Table!" &amp; $CH$65 &amp; $BV14),0)))))/1024</f>
        <v>13.22275390625</v>
      </c>
      <c r="AF14" s="709">
        <f ca="1">IF(ISERROR(MATCH(AF$1,INDIRECT("Table!A"&amp;$BV14):INDIRECT("Table!" &amp; $CH$65 &amp; $BV14),0)),"",INDIRECT(CONCATENATE("Table!",ADDRESS($BR14,MATCH(AF$1,INDIRECT("Table!A" &amp; $BV14):INDIRECT("Table!" &amp; $CH$65 &amp; $BV14),0)))))/1024</f>
        <v>13.22255859375</v>
      </c>
      <c r="AG14" s="709">
        <f ca="1">IF(ISERROR(MATCH(AG$1,INDIRECT("Table!A"&amp;$BV14):INDIRECT("Table!" &amp; $CH$65 &amp; $BV14),0)),"",INDIRECT(CONCATENATE("Table!",ADDRESS($BR14,MATCH(AG$1,INDIRECT("Table!A" &amp; $BV14):INDIRECT("Table!" &amp; $CH$65 &amp; $BV14),0)))))/1024</f>
        <v>9.8632812499999997E-3</v>
      </c>
      <c r="AH14" s="709">
        <f ca="1">IF(ISERROR(MATCH(AH$1,INDIRECT("Table!A"&amp;$BV14):INDIRECT("Table!" &amp; $CH$65 &amp; $BV14),0)),"",INDIRECT(CONCATENATE("Table!",ADDRESS($BR14,MATCH(AH$1,INDIRECT("Table!A" &amp; $BV14):INDIRECT("Table!" &amp; $CH$65 &amp; $BV14),0)))))/1024</f>
        <v>0</v>
      </c>
      <c r="AI14" s="709" t="str">
        <f ca="1">IF(ISERROR(MATCH(AI$1,INDIRECT("Table!A"&amp;$BV14):INDIRECT("Table!" &amp; $CH$110 &amp; $BV14),0)),"",INDIRECT(CONCATENATE("Table!",ADDRESS($BR14,MATCH(AI$1,INDIRECT("Table!A" &amp; $BV14):INDIRECT("Table!" &amp; $CH$110 &amp; $BV14),0)))))</f>
        <v/>
      </c>
      <c r="AJ14" s="709">
        <f ca="1">IF(ISERROR(MATCH(AJ$1,INDIRECT("Table!A"&amp;$BV14):INDIRECT("Table!" &amp; $CH$110 &amp; $BV14),0)),"",INDIRECT(CONCATENATE("Table!",ADDRESS($BZ14,MATCH(AJ$1,INDIRECT("Table!A" &amp; $BV14):INDIRECT("Table!" &amp; $CH$110 &amp; $BV14),0)))))/1024</f>
        <v>244.15859374999999</v>
      </c>
      <c r="AK14" s="709">
        <f ca="1">IF(ISERROR(MATCH(AK$1,INDIRECT("Table!A"&amp;$BV14):INDIRECT("Table!" &amp; $CH$110 &amp; $BV14),0)),"",INDIRECT(CONCATENATE("Table!",ADDRESS($BZ14,MATCH(AK$1,INDIRECT("Table!A" &amp; $BV14):INDIRECT("Table!" &amp; $CH$110 &amp; $BV14),0)))))/1024</f>
        <v>146.98896484375001</v>
      </c>
      <c r="AL14" s="709">
        <f ca="1">IF(ISERROR(MATCH(AL$1,INDIRECT("Table!A"&amp;$BV14):INDIRECT("Table!" &amp; $CH$110 &amp; $BV14),0)),"",INDIRECT(CONCATENATE("Table!",ADDRESS($BZ14,MATCH(AL$1,INDIRECT("Table!A" &amp; $BV14):INDIRECT("Table!" &amp; $CH$110 &amp; $BV14),0)))))/1024</f>
        <v>146.98896484375001</v>
      </c>
      <c r="AM14" s="709">
        <f ca="1">IF(ISERROR(MATCH(AM$1,INDIRECT("Table!A"&amp;$BV14):INDIRECT("Table!" &amp; $CH$110 &amp; $BV14),0)),"",INDIRECT(CONCATENATE("Table!",ADDRESS($BZ14,MATCH(AM$1,INDIRECT("Table!A" &amp; $BV14):INDIRECT("Table!" &amp; $CH$110 &amp; $BV14),0)))))/1024</f>
        <v>177.73320312499999</v>
      </c>
      <c r="AN14" s="709">
        <f ca="1">IF(ISERROR(MATCH(AN$1,INDIRECT("Table!A"&amp;$BV14):INDIRECT("Table!" &amp; $CH$110 &amp; $BV14),0)),"",INDIRECT(CONCATENATE("Table!",ADDRESS($BZ14,MATCH(AN$1,INDIRECT("Table!A" &amp; $BV14):INDIRECT("Table!" &amp; $CH$110 &amp; $BV14),0)))))/1024</f>
        <v>161.88056640625001</v>
      </c>
      <c r="AO14" s="709">
        <f ca="1">IF(ISERROR(MATCH(AO$1,INDIRECT("Table!A"&amp;$BV14):INDIRECT("Table!" &amp; $CH$110 &amp; $BV14),0)),"",INDIRECT(CONCATENATE("Table!",ADDRESS($BZ14,MATCH(AO$1,INDIRECT("Table!A" &amp; $BV14):INDIRECT("Table!" &amp; $CH$110 &amp; $BV14),0)))))/1024</f>
        <v>380.3759765625</v>
      </c>
      <c r="AP14" s="709">
        <f ca="1">IF(ISERROR(MATCH(AP$1,INDIRECT("Table!A"&amp;$BV14):INDIRECT("Table!" &amp; $CH$110 &amp; $BV14),0)),"",INDIRECT(CONCATENATE("Table!",ADDRESS($BZ14,MATCH(AP$1,INDIRECT("Table!A" &amp; $BV14):INDIRECT("Table!" &amp; $CH$110 &amp; $BV14),0)))))/1024</f>
        <v>167.94482421875</v>
      </c>
      <c r="AQ14" s="709">
        <f ca="1">IF(ISERROR(MATCH(AQ$1,INDIRECT("Table!A"&amp;$BV14):INDIRECT("Table!" &amp; $CH$110 &amp; $BV14),0)),"",INDIRECT(CONCATENATE("Table!",ADDRESS($BZ14,MATCH(AQ$1,INDIRECT("Table!A" &amp; $BV14):INDIRECT("Table!" &amp; $CH$110 &amp; $BV14),0)))))/1024</f>
        <v>162.185546875</v>
      </c>
      <c r="AR14" s="709">
        <f ca="1">IF(ISERROR(MATCH(AR$1,INDIRECT("Table!A"&amp;$BV14):INDIRECT("Table!" &amp; $CH$110 &amp; $BV14),0)),"",INDIRECT(CONCATENATE("Table!",ADDRESS($BZ14,MATCH(AR$1,INDIRECT("Table!A" &amp; $BV14):INDIRECT("Table!" &amp; $CH$110 &amp; $BV14),0)))))/1024</f>
        <v>121.1125</v>
      </c>
      <c r="AS14" s="709">
        <f ca="1">IF(ISERROR(MATCH(AS$1,INDIRECT("Table!A"&amp;$BV14):INDIRECT("Table!" &amp; $CH$110 &amp; $BV14),0)),"",INDIRECT(CONCATENATE("Table!",ADDRESS($BZ14,MATCH(AS$1,INDIRECT("Table!A" &amp; $BV14):INDIRECT("Table!" &amp; $CH$110 &amp; $BV14),0)))))/1024</f>
        <v>218.81953125000001</v>
      </c>
      <c r="AT14" s="709">
        <f ca="1">IF(ISERROR(MATCH(AT$1,INDIRECT("Table!A"&amp;$BV14):INDIRECT("Table!" &amp; $CH$110 &amp; $BV14),0)),"",INDIRECT(CONCATENATE("Table!",ADDRESS($BZ14,MATCH(AT$1,INDIRECT("Table!A" &amp; $BV14):INDIRECT("Table!" &amp; $CH$110 &amp; $BV14),0)))))/1024</f>
        <v>188.50498046875001</v>
      </c>
      <c r="AU14" s="709">
        <f ca="1">IF(ISERROR(MATCH(AU$1,INDIRECT("Table!A"&amp;$BV14):INDIRECT("Table!" &amp; $CH$110 &amp; $BV14),0)),"",INDIRECT(CONCATENATE("Table!",ADDRESS($BZ14,MATCH(AU$1,INDIRECT("Table!A" &amp; $BV14):INDIRECT("Table!" &amp; $CH$110 &amp; $BV14),0)))))/1024</f>
        <v>427.94912109375002</v>
      </c>
      <c r="AV14" s="709">
        <f ca="1">IF(ISERROR(MATCH(AV$1,INDIRECT("Table!A"&amp;$BV14):INDIRECT("Table!" &amp; $CH$110 &amp; $BV14),0)),"",INDIRECT(CONCATENATE("Table!",ADDRESS($BZ14,MATCH(AV$1,INDIRECT("Table!A" &amp; $BV14):INDIRECT("Table!" &amp; $CH$110 &amp; $BV14),0)))))/1024</f>
        <v>81.092578125000003</v>
      </c>
      <c r="AW14" s="709">
        <f ca="1">IF(ISERROR(MATCH(AW$1,INDIRECT("Table!A"&amp;$BV14):INDIRECT("Table!" &amp; $CH$110 &amp; $BV14),0)),"",INDIRECT(CONCATENATE("Table!",ADDRESS($BZ14,MATCH(AW$1,INDIRECT("Table!A" &amp; $BV14):INDIRECT("Table!" &amp; $CH$110 &amp; $BV14),0)))))/1024</f>
        <v>269.65859375000002</v>
      </c>
      <c r="AX14" s="709">
        <f ca="1">IF(ISERROR(MATCH(AX$1,INDIRECT("Table!A"&amp;$BV14):INDIRECT("Table!" &amp; $CH$110 &amp; $BV14),0)),"",INDIRECT(CONCATENATE("Table!",ADDRESS($BZ14,MATCH(AX$1,INDIRECT("Table!A" &amp; $BV14):INDIRECT("Table!" &amp; $CH$110 &amp; $BV14),0)))))/1024</f>
        <v>81.092578125000003</v>
      </c>
      <c r="AY14" s="709">
        <f ca="1">IF(ISERROR(MATCH(AY$1,INDIRECT("Table!A"&amp;$BV14):INDIRECT("Table!" &amp; $CH$110 &amp; $BV14),0)),"",INDIRECT(CONCATENATE("Table!",ADDRESS($BZ14,MATCH(AY$1,INDIRECT("Table!A" &amp; $BV14):INDIRECT("Table!" &amp; $CH$110 &amp; $BV14),0)))))/1024</f>
        <v>187.12714843750001</v>
      </c>
      <c r="AZ14" s="709">
        <f ca="1">IF(ISERROR(MATCH(AZ$1,INDIRECT("Table!A"&amp;$BV14):INDIRECT("Table!" &amp; $CH$110 &amp; $BV14),0)),"",INDIRECT(CONCATENATE("Table!",ADDRESS($BZ14,MATCH(AZ$1,INDIRECT("Table!A" &amp; $BV14):INDIRECT("Table!" &amp; $CH$110 &amp; $BV14),0)))))/1024</f>
        <v>256.14150390625002</v>
      </c>
      <c r="BA14" s="709"/>
      <c r="BB14" s="709">
        <f ca="1">IF(ISERROR(MATCH(BB$1,INDIRECT("Table!A"&amp;$BV14):INDIRECT("Table!" &amp; $CH$110 &amp; $BV14),0)),"",INDIRECT(CONCATENATE("Table!",ADDRESS($BZ14,MATCH(BB$1,INDIRECT("Table!A" &amp; $BV14):INDIRECT("Table!" &amp; $CH$110 &amp; $BV14),0)))))/1024</f>
        <v>32.31494140625</v>
      </c>
      <c r="BC14" s="709">
        <f ca="1">IF(ISERROR(MATCH(BC$1,INDIRECT("Table!A"&amp;$BV14):INDIRECT("Table!" &amp; $CH$110 &amp; $BV14),0)),"",INDIRECT(CONCATENATE("Table!",ADDRESS($BZ14,MATCH(BC$1,INDIRECT("Table!A" &amp; $BV14):INDIRECT("Table!" &amp; $CH$110 &amp; $BV14),0)))))/1024</f>
        <v>99.80126953125</v>
      </c>
      <c r="BD14" s="709">
        <f ca="1">IF(ISERROR(MATCH(BD$1,INDIRECT("Table!A"&amp;$BV14):INDIRECT("Table!" &amp; $CH$110 &amp; $BV14),0)),"",INDIRECT(CONCATENATE("Table!",ADDRESS($BZ14,MATCH(BD$1,INDIRECT("Table!A" &amp; $BV14):INDIRECT("Table!" &amp; $CH$110 &amp; $BV14),0)))))/1024</f>
        <v>204.58642578125</v>
      </c>
      <c r="BE14" s="905">
        <f ca="1">IF(ISERROR(MATCH(BE$1,INDIRECT("Table!A"&amp;$BV14):INDIRECT("Table!" &amp; $CH$110 &amp; $BV14),0)),"",INDIRECT(CONCATENATE("Table!",ADDRESS($BZ14,MATCH(BE$1,INDIRECT("Table!A" &amp; $BV14):INDIRECT("Table!" &amp; $CH$110 &amp; $BV14),0)))))/1024</f>
        <v>99.80126953125</v>
      </c>
      <c r="BF14" s="905">
        <f ca="1">IF(ISERROR(MATCH(BF$1,INDIRECT("Table!A"&amp;$BV14):INDIRECT("Table!" &amp; $CH$110 &amp; $BV14),0)),"",INDIRECT(CONCATENATE("Table!",ADDRESS($BZ14,MATCH(BF$1,INDIRECT("Table!A" &amp; $BV14):INDIRECT("Table!" &amp; $CH$110 &amp; $BV14),0)))))/1024</f>
        <v>204.58642578125</v>
      </c>
      <c r="BG14" s="905">
        <f ca="1">IF(ISERROR(MATCH(BG$1,INDIRECT("Table!A"&amp;$BV14):INDIRECT("Table!" &amp; $CH$110 &amp; $BV14),0)),"",INDIRECT(CONCATENATE("Table!",ADDRESS($BZ14,MATCH(BG$1,INDIRECT("Table!A" &amp; $BV14):INDIRECT("Table!" &amp; $CH$110 &amp; $BV14),0)))))/1024</f>
        <v>99.80126953125</v>
      </c>
      <c r="BH14" s="905">
        <f ca="1">IF(ISERROR(MATCH(BH$1,INDIRECT("Table!A"&amp;$BV14):INDIRECT("Table!" &amp; $CH$110 &amp; $BV14),0)),"",INDIRECT(CONCATENATE("Table!",ADDRESS($BZ14,MATCH(BH$1,INDIRECT("Table!A" &amp; $BV14):INDIRECT("Table!" &amp; $CH$110 &amp; $BV14),0)))))/1024</f>
        <v>204.58642578125</v>
      </c>
      <c r="BI14" s="905">
        <f ca="1">IF(ISERROR(MATCH(BI$1,INDIRECT("Table!A"&amp;$BV14):INDIRECT("Table!" &amp; $CH$110 &amp; $BV14),0)),"",INDIRECT(CONCATENATE("Table!",ADDRESS($BZ14,MATCH(BI$1,INDIRECT("Table!A" &amp; $BV14):INDIRECT("Table!" &amp; $CH$110 &amp; $BV14),0)))))/1024</f>
        <v>320.99140625000001</v>
      </c>
      <c r="BJ14" s="905">
        <f ca="1">IF(ISERROR(MATCH(BJ$1,INDIRECT("Table!A"&amp;$BV14):INDIRECT("Table!" &amp; $CH$110 &amp; $BV14),0)),"",INDIRECT(CONCATENATE("Table!",ADDRESS($BZ14,MATCH(BJ$1,INDIRECT("Table!A" &amp; $BV14):INDIRECT("Table!" &amp; $CH$110 &amp; $BV14),0)))))/1024</f>
        <v>186.39765625000001</v>
      </c>
      <c r="BK14" s="905">
        <f ca="1">IF(ISERROR(MATCH(BK$1,INDIRECT("Table!A"&amp;$BV14):INDIRECT("Table!" &amp; $CH$110 &amp; $BV14),0)),"",INDIRECT(CONCATENATE("Table!",ADDRESS($BZ14,MATCH(BK$1,INDIRECT("Table!A" &amp; $BV14):INDIRECT("Table!" &amp; $CH$110 &amp; $BV14),0)))))/1024</f>
        <v>218.81953125000001</v>
      </c>
      <c r="BL14" s="905">
        <f ca="1">IF(ISERROR(MATCH(BL$1,INDIRECT("Table!A"&amp;$BV14):INDIRECT("Table!" &amp; $CH$110 &amp; $BV14),0)),"",INDIRECT(CONCATENATE("Table!",ADDRESS($BZ14,MATCH(BL$1,INDIRECT("Table!A" &amp; $BV14):INDIRECT("Table!" &amp; $CH$110 &amp; $BV14),0)))))/1024</f>
        <v>218.81953125000001</v>
      </c>
      <c r="BM14" s="905">
        <f ca="1">IF(ISERROR(MATCH(BM$1,INDIRECT("Table!A"&amp;$BV14):INDIRECT("Table!" &amp; $CH$110 &amp; $BV14),0)),"",INDIRECT(CONCATENATE("Table!",ADDRESS($BZ14,MATCH(BM$1,INDIRECT("Table!A" &amp; $BV14):INDIRECT("Table!" &amp; $CH$110 &amp; $BV14),0)))))/1024</f>
        <v>152.53330078125001</v>
      </c>
      <c r="BN14" s="905">
        <f ca="1">IF(ISERROR(MATCH(BN$1,INDIRECT("Table!A"&amp;$BV14):INDIRECT("Table!" &amp; $CH$110 &amp; $BV14),0)),"",INDIRECT(CONCATENATE("Table!",ADDRESS($BZ14,MATCH(BN$1,INDIRECT("Table!A" &amp; $BV14):INDIRECT("Table!" &amp; $CH$110 &amp; $BV14),0)))))/1024</f>
        <v>152.53330078125001</v>
      </c>
      <c r="BO14" s="905">
        <f ca="1">IF(ISERROR(MATCH(BO$1,INDIRECT("Table!A"&amp;$BV14):INDIRECT("Table!" &amp; $CH$110 &amp; $BV14),0)),"",INDIRECT(CONCATENATE("Table!",ADDRESS($BZ14,MATCH(BO$1,INDIRECT("Table!A" &amp; $BV14):INDIRECT("Table!" &amp; $CH$110 &amp; $BV14),0)))))/1024</f>
        <v>218.81953125000001</v>
      </c>
      <c r="BP14" s="905">
        <f ca="1">IF(ISERROR(MATCH(BP$1,INDIRECT("Table!A"&amp;$BV14):INDIRECT("Table!" &amp; $CH$110 &amp; $BV14),0)),"",INDIRECT(CONCATENATE("Table!",ADDRESS($BZ14,MATCH(BP$1,INDIRECT("Table!A" &amp; $BV14):INDIRECT("Table!" &amp; $CH$110 &amp; $BV14),0)))))/1024</f>
        <v>0</v>
      </c>
      <c r="BR14" s="704">
        <f>MATCH($A14,Table!$A:$A,0)+$BT$2-1</f>
        <v>159</v>
      </c>
      <c r="BS14" s="744"/>
      <c r="BT14" s="744"/>
      <c r="BU14" s="744"/>
      <c r="BV14" s="717">
        <f>MATCH($A14,Table!$A:$A,0)+$BX$2-1</f>
        <v>157</v>
      </c>
      <c r="BW14" s="744"/>
      <c r="BX14" s="744"/>
      <c r="BY14" s="744"/>
      <c r="BZ14" s="704">
        <f>MATCH($A14,Table!$A:$A,0)+$CB$2-1</f>
        <v>158</v>
      </c>
      <c r="CA14" s="744"/>
      <c r="CB14" s="744"/>
      <c r="CC14" s="744"/>
      <c r="CD14" s="717">
        <f>MATCH($A14,Table!$A:$A,0)+$BX$2-1</f>
        <v>157</v>
      </c>
      <c r="CE14" s="744"/>
      <c r="CF14" s="744"/>
      <c r="CG14" s="744"/>
      <c r="CH14" s="711" t="s">
        <v>302</v>
      </c>
      <c r="CI14" s="712">
        <f t="shared" ref="CI14" ca="1" si="55">SUM(AJ14:BP14)</f>
        <v>5834.1474609374991</v>
      </c>
      <c r="CJ14" s="712">
        <f t="shared" ref="CJ14" ca="1" si="56">SUM(B14:AH14)</f>
        <v>2197.0690429687497</v>
      </c>
      <c r="CK14" s="712">
        <f t="shared" ref="CK14" ca="1" si="57">CI14-CJ14</f>
        <v>3637.0784179687494</v>
      </c>
      <c r="CL14" s="718">
        <f t="shared" ref="CL14" ca="1" si="58">CJ14/CI14</f>
        <v>0.37658784898379977</v>
      </c>
      <c r="CM14" s="712">
        <f ca="1">SUMIF('Alloc Feed'!A:I,A:A,'Alloc Feed'!I:I)</f>
        <v>3864.2842968749997</v>
      </c>
      <c r="CN14" s="718">
        <f t="shared" ref="CN14" ca="1" si="59">CM14/CI14</f>
        <v>0.66235629502824411</v>
      </c>
    </row>
    <row r="15" spans="1:92" s="947" customFormat="1" x14ac:dyDescent="0.25">
      <c r="A15" s="703">
        <v>41893</v>
      </c>
      <c r="B15" s="709">
        <f ca="1">IF(ISERROR(MATCH(B$1,INDIRECT("Table!A"&amp;$BV15):INDIRECT("Table!" &amp; $CH$110 &amp; $BV15),0)),"",INDIRECT(CONCATENATE("Table!",ADDRESS($BR15,MATCH(B$1,INDIRECT("Table!A" &amp; $BV15):INDIRECT("Table!" &amp; $CH$110 &amp; $BV15),0)))))/1024</f>
        <v>52.177539062500003</v>
      </c>
      <c r="C15" s="709">
        <f ca="1">IF(ISERROR(MATCH(C$1,INDIRECT("Table!A"&amp;$BV15):INDIRECT("Table!" &amp; $CH$110 &amp; $BV15),0)),"",INDIRECT(CONCATENATE("Table!",ADDRESS($BR15,MATCH(C$1,INDIRECT("Table!A" &amp; $BV15):INDIRECT("Table!" &amp; $CH$110 &amp; $BV15),0)))))/1024</f>
        <v>84.741113281249994</v>
      </c>
      <c r="D15" s="709">
        <f ca="1">IF(ISERROR(MATCH(D$1,INDIRECT("Table!A"&amp;$BV15):INDIRECT("Table!" &amp; $CH$110 &amp; $BV15),0)),"",INDIRECT(CONCATENATE("Table!",ADDRESS($BR15,MATCH(D$1,INDIRECT("Table!A" &amp; $BV15):INDIRECT("Table!" &amp; $CH$110 &amp; $BV15),0)))))/1024</f>
        <v>84.494335937499997</v>
      </c>
      <c r="E15" s="709">
        <f ca="1">IF(ISERROR(MATCH(E$1,INDIRECT("Table!A"&amp;$BV15):INDIRECT("Table!" &amp; $CH$110 &amp; $BV15),0)),"",INDIRECT(CONCATENATE("Table!",ADDRESS($BR15,MATCH(E$1,INDIRECT("Table!A" &amp; $BV15):INDIRECT("Table!" &amp; $CH$110 &amp; $BV15),0)))))/1024</f>
        <v>99.744433593750003</v>
      </c>
      <c r="F15" s="709">
        <f ca="1">IF(ISERROR(MATCH(F$1,INDIRECT("Table!A"&amp;$BV15):INDIRECT("Table!" &amp; $CH$110 &amp; $BV15),0)),"",INDIRECT(CONCATENATE("Table!",ADDRESS($BR15,MATCH(F$1,INDIRECT("Table!A" &amp; $BV15):INDIRECT("Table!" &amp; $CH$110 &amp; $BV15),0)))))/1024</f>
        <v>115.55048828125</v>
      </c>
      <c r="G15" s="709">
        <f ca="1">IF(ISERROR(MATCH(G$1,INDIRECT("Table!A"&amp;$BV15):INDIRECT("Table!" &amp; $CH$110 &amp; $BV15),0)),"",INDIRECT(CONCATENATE("Table!",ADDRESS($BR15,MATCH(G$1,INDIRECT("Table!A" &amp; $BV15):INDIRECT("Table!" &amp; $CH$110 &amp; $BV15),0)))))/1024</f>
        <v>200.85957031250001</v>
      </c>
      <c r="H15" s="709">
        <f ca="1">IF(ISERROR(MATCH(H$1,INDIRECT("Table!A"&amp;$BV15):INDIRECT("Table!" &amp; $CH$110 &amp; $BV15),0)),"",INDIRECT(CONCATENATE("Table!",ADDRESS($BR15,MATCH(H$1,INDIRECT("Table!A" &amp; $BV15):INDIRECT("Table!" &amp; $CH$110 &amp; $BV15),0)))))/1024</f>
        <v>93.382421875000006</v>
      </c>
      <c r="I15" s="709">
        <f ca="1">IF(ISERROR(MATCH(I$1,INDIRECT("Table!A"&amp;$BV15):INDIRECT("Table!" &amp; $CH$110 &amp; $BV15),0)),"",INDIRECT(CONCATENATE("Table!",ADDRESS($BR15,MATCH(I$1,INDIRECT("Table!A" &amp; $BV15):INDIRECT("Table!" &amp; $CH$110 &amp; $BV15),0)))))/1024</f>
        <v>26.236230468750001</v>
      </c>
      <c r="J15" s="709">
        <f ca="1">IF(ISERROR(MATCH(J$1,INDIRECT("Table!A"&amp;$BV15):INDIRECT("Table!" &amp; $CH$110 &amp; $BV15),0)),"",INDIRECT(CONCATENATE("Table!",ADDRESS($BR15,MATCH(J$1,INDIRECT("Table!A" &amp; $BV15):INDIRECT("Table!" &amp; $CH$110 &amp; $BV15),0)))))/1024</f>
        <v>94.621875000000003</v>
      </c>
      <c r="K15" s="709">
        <f ca="1">IF(ISERROR(MATCH(K$1,INDIRECT("Table!A"&amp;$BV15):INDIRECT("Table!" &amp; $CH$110 &amp; $BV15),0)),"",INDIRECT(CONCATENATE("Table!",ADDRESS($BR15,MATCH(K$1,INDIRECT("Table!A" &amp; $BV15):INDIRECT("Table!" &amp; $CH$110 &amp; $BV15),0)))))/1024</f>
        <v>85.059375000000003</v>
      </c>
      <c r="L15" s="709">
        <f ca="1">IF(ISERROR(MATCH(L$1,INDIRECT("Table!A"&amp;$BV15):INDIRECT("Table!" &amp; $CH$110 &amp; $BV15),0)),"",INDIRECT(CONCATENATE("Table!",ADDRESS($BR15,MATCH(L$1,INDIRECT("Table!A" &amp; $BV15):INDIRECT("Table!" &amp; $CH$110 &amp; $BV15),0)))))/1024</f>
        <v>79.216113281250003</v>
      </c>
      <c r="M15" s="709">
        <f ca="1">IF(ISERROR(MATCH(M$1,INDIRECT("Table!A"&amp;$BV15):INDIRECT("Table!" &amp; $CH$110 &amp; $BV15),0)),"",INDIRECT(CONCATENATE("Table!",ADDRESS($BR15,MATCH(M$1,INDIRECT("Table!A" &amp; $BV15):INDIRECT("Table!" &amp; $CH$110 &amp; $BV15),0)))))/1024</f>
        <v>206.15732421875001</v>
      </c>
      <c r="N15" s="709">
        <f ca="1">IF(ISERROR(MATCH(N$1,INDIRECT("Table!A"&amp;$BV15):INDIRECT("Table!" &amp; $CH$110 &amp; $BV15),0)),"",INDIRECT(CONCATENATE("Table!",ADDRESS($BR15,MATCH(N$1,INDIRECT("Table!A" &amp; $BV15):INDIRECT("Table!" &amp; $CH$110 &amp; $BV15),0)))))/1024</f>
        <v>58.276757812500001</v>
      </c>
      <c r="O15" s="709">
        <f ca="1">IF(ISERROR(MATCH(O$1,INDIRECT("Table!A"&amp;$BV15):INDIRECT("Table!" &amp; $CH$110 &amp; $BV15),0)),"",INDIRECT(CONCATENATE("Table!",ADDRESS($BR15,MATCH(O$1,INDIRECT("Table!A" &amp; $BV15):INDIRECT("Table!" &amp; $CH$110 &amp; $BV15),0)))))/1024</f>
        <v>176.01455078124999</v>
      </c>
      <c r="P15" s="709">
        <f ca="1">IF(ISERROR(MATCH(P$1,INDIRECT("Table!A"&amp;$BV15):INDIRECT("Table!" &amp; $CH$110 &amp; $BV15),0)),"",INDIRECT(CONCATENATE("Table!",ADDRESS($BR15,MATCH(P$1,INDIRECT("Table!A" &amp; $BV15):INDIRECT("Table!" &amp; $CH$110 &amp; $BV15),0)))))/1024</f>
        <v>50.771191406249997</v>
      </c>
      <c r="Q15" s="709">
        <f ca="1">IF(ISERROR(MATCH(Q$1,INDIRECT("Table!A"&amp;$BV15):INDIRECT("Table!" &amp; $CH$110 &amp; $BV15),0)),"",INDIRECT(CONCATENATE("Table!",ADDRESS($BR15,MATCH(Q$1,INDIRECT("Table!A" &amp; $BV15):INDIRECT("Table!" &amp; $CH$110 &amp; $BV15),0)))))/1024</f>
        <v>146.14716796875001</v>
      </c>
      <c r="R15" s="709">
        <f ca="1">IF(ISERROR(MATCH(R$1,INDIRECT("Table!A"&amp;$BV15):INDIRECT("Table!" &amp; $CH$110 &amp; $BV15),0)),"",INDIRECT(CONCATENATE("Table!",ADDRESS($BR15,MATCH(R$1,INDIRECT("Table!A" &amp; $BV15):INDIRECT("Table!" &amp; $CH$110 &amp; $BV15),0)))))/1024</f>
        <v>172.01962890625001</v>
      </c>
      <c r="S15" s="709">
        <v>0</v>
      </c>
      <c r="T15" s="709">
        <f ca="1">IF(ISERROR(MATCH(T$1,INDIRECT("Table!A"&amp;$BV15):INDIRECT("Table!" &amp; $CH$65 &amp; $BV15),0)),"",INDIRECT(CONCATENATE("Table!",ADDRESS($BR15,MATCH(T$1,INDIRECT("Table!A" &amp; $BV15):INDIRECT("Table!" &amp; $CH$65 &amp; $BV15),0)))))/1024</f>
        <v>11.2826171875</v>
      </c>
      <c r="U15" s="709">
        <f ca="1">IF(ISERROR(MATCH(U$1,INDIRECT("Table!A"&amp;$BV15):INDIRECT("Table!" &amp; $CH$65 &amp; $BV15),0)),"",INDIRECT(CONCATENATE("Table!",ADDRESS($BR15,MATCH(U$1,INDIRECT("Table!A" &amp; $BV15):INDIRECT("Table!" &amp; $CH$65 &amp; $BV15),0)))))/1024</f>
        <v>15.12548828125</v>
      </c>
      <c r="V15" s="709">
        <f ca="1">IF(ISERROR(MATCH(V$1,INDIRECT("Table!A"&amp;$BV15):INDIRECT("Table!" &amp; $CH$65 &amp; $BV15),0)),"",INDIRECT(CONCATENATE("Table!",ADDRESS($BR15,MATCH(V$1,INDIRECT("Table!A" &amp; $BV15):INDIRECT("Table!" &amp; $CH$65 &amp; $BV15),0)))))/1024</f>
        <v>30.250683593750001</v>
      </c>
      <c r="W15" s="709">
        <f ca="1">IF(ISERROR(MATCH(W$1,INDIRECT("Table!A"&amp;$BV15):INDIRECT("Table!" &amp; $CH$65 &amp; $BV15),0)),"",INDIRECT(CONCATENATE("Table!",ADDRESS($BR15,MATCH(W$1,INDIRECT("Table!A" &amp; $BV15):INDIRECT("Table!" &amp; $CH$65 &amp; $BV15),0)))))/1024</f>
        <v>26.057031250000001</v>
      </c>
      <c r="X15" s="709">
        <f ca="1">IF(ISERROR(MATCH(X$1,INDIRECT("Table!A"&amp;$BV15):INDIRECT("Table!" &amp; $CH$65 &amp; $BV15),0)),"",INDIRECT(CONCATENATE("Table!",ADDRESS($BR15,MATCH(X$1,INDIRECT("Table!A" &amp; $BV15):INDIRECT("Table!" &amp; $CH$65 &amp; $BV15),0)))))/1024</f>
        <v>51.227929687500001</v>
      </c>
      <c r="Y15" s="709">
        <f ca="1">IF(ISERROR(MATCH(Y$1,INDIRECT("Table!A"&amp;$BV15):INDIRECT("Table!" &amp; $CH$65 &amp; $BV15),0)),"",INDIRECT(CONCATENATE("Table!",ADDRESS($BR15,MATCH(Y$1,INDIRECT("Table!A" &amp; $BV15):INDIRECT("Table!" &amp; $CH$65 &amp; $BV15),0)))))/1024</f>
        <v>7.7374999999999998</v>
      </c>
      <c r="Z15" s="709">
        <f ca="1">IF(ISERROR(MATCH(Z$1,INDIRECT("Table!A"&amp;$BV15):INDIRECT("Table!" &amp; $CH$65 &amp; $BV15),0)),"",INDIRECT(CONCATENATE("Table!",ADDRESS($BR15,MATCH(Z$1,INDIRECT("Table!A" &amp; $BV15):INDIRECT("Table!" &amp; $CH$65 &amp; $BV15),0)))))/1024</f>
        <v>15.473046875</v>
      </c>
      <c r="AA15" s="709">
        <f ca="1">IF(ISERROR(MATCH(AA$1,INDIRECT("Table!A"&amp;$BV15):INDIRECT("Table!" &amp; $CH$65 &amp; $BV15),0)),"",INDIRECT(CONCATENATE("Table!",ADDRESS($BR15,MATCH(AA$1,INDIRECT("Table!A" &amp; $BV15):INDIRECT("Table!" &amp; $CH$65 &amp; $BV15),0)))))/1024</f>
        <v>94.108789062499994</v>
      </c>
      <c r="AB15" s="709">
        <f ca="1">IF(ISERROR(MATCH(AB$1,INDIRECT("Table!A"&amp;$BV15):INDIRECT("Table!" &amp; $CH$65 &amp; $BV15),0)),"",INDIRECT(CONCATENATE("Table!",ADDRESS($BR15,MATCH(AB$1,INDIRECT("Table!A" &amp; $BV15):INDIRECT("Table!" &amp; $CH$65 &amp; $BV15),0)))))/1024</f>
        <v>4.7851562500000003E-3</v>
      </c>
      <c r="AC15" s="709">
        <f ca="1">IF(ISERROR(MATCH(AC$1,INDIRECT("Table!A"&amp;$BV15):INDIRECT("Table!" &amp; $CH$65 &amp; $BV15),0)),"",INDIRECT(CONCATENATE("Table!",ADDRESS($BR15,MATCH(AC$1,INDIRECT("Table!A" &amp; $BV15):INDIRECT("Table!" &amp; $CH$65 &amp; $BV15),0)))))/1024</f>
        <v>17.27099609375</v>
      </c>
      <c r="AD15" s="709">
        <f ca="1">IF(ISERROR(MATCH(AD$1,INDIRECT("Table!A"&amp;$BV15):INDIRECT("Table!" &amp; $CH$65 &amp; $BV15),0)),"",INDIRECT(CONCATENATE("Table!",ADDRESS($BR15,MATCH(AD$1,INDIRECT("Table!A" &amp; $BV15):INDIRECT("Table!" &amp; $CH$65 &amp; $BV15),0)))))/1024</f>
        <v>57.423828125</v>
      </c>
      <c r="AE15" s="709">
        <f ca="1">IF(ISERROR(MATCH(AE$1,INDIRECT("Table!A"&amp;$BV15):INDIRECT("Table!" &amp; $CH$65 &amp; $BV15),0)),"",INDIRECT(CONCATENATE("Table!",ADDRESS($BR15,MATCH(AE$1,INDIRECT("Table!A" &amp; $BV15):INDIRECT("Table!" &amp; $CH$65 &amp; $BV15),0)))))/1024</f>
        <v>12.6015625</v>
      </c>
      <c r="AF15" s="709">
        <f ca="1">IF(ISERROR(MATCH(AF$1,INDIRECT("Table!A"&amp;$BV15):INDIRECT("Table!" &amp; $CH$65 &amp; $BV15),0)),"",INDIRECT(CONCATENATE("Table!",ADDRESS($BR15,MATCH(AF$1,INDIRECT("Table!A" &amp; $BV15):INDIRECT("Table!" &amp; $CH$65 &amp; $BV15),0)))))/1024</f>
        <v>12.60146484375</v>
      </c>
      <c r="AG15" s="709">
        <f ca="1">IF(ISERROR(MATCH(AG$1,INDIRECT("Table!A"&amp;$BV15):INDIRECT("Table!" &amp; $CH$65 &amp; $BV15),0)),"",INDIRECT(CONCATENATE("Table!",ADDRESS($BR15,MATCH(AG$1,INDIRECT("Table!A" &amp; $BV15):INDIRECT("Table!" &amp; $CH$65 &amp; $BV15),0)))))/1024</f>
        <v>6.2490234375</v>
      </c>
      <c r="AH15" s="709">
        <f ca="1">IF(ISERROR(MATCH(AH$1,INDIRECT("Table!A"&amp;$BV15):INDIRECT("Table!" &amp; $CH$65 &amp; $BV15),0)),"",INDIRECT(CONCATENATE("Table!",ADDRESS($BR15,MATCH(AH$1,INDIRECT("Table!A" &amp; $BV15):INDIRECT("Table!" &amp; $CH$65 &amp; $BV15),0)))))/1024</f>
        <v>0</v>
      </c>
      <c r="AI15" s="709" t="str">
        <f ca="1">IF(ISERROR(MATCH(AI$1,INDIRECT("Table!A"&amp;$BV15):INDIRECT("Table!" &amp; $CH$110 &amp; $BV15),0)),"",INDIRECT(CONCATENATE("Table!",ADDRESS($BR15,MATCH(AI$1,INDIRECT("Table!A" &amp; $BV15):INDIRECT("Table!" &amp; $CH$110 &amp; $BV15),0)))))</f>
        <v/>
      </c>
      <c r="AJ15" s="709">
        <f ca="1">IF(ISERROR(MATCH(AJ$1,INDIRECT("Table!A"&amp;$BV15):INDIRECT("Table!" &amp; $CH$110 &amp; $BV15),0)),"",INDIRECT(CONCATENATE("Table!",ADDRESS($BZ15,MATCH(AJ$1,INDIRECT("Table!A" &amp; $BV15):INDIRECT("Table!" &amp; $CH$110 &amp; $BV15),0)))))/1024</f>
        <v>244.15859374999999</v>
      </c>
      <c r="AK15" s="709">
        <f ca="1">IF(ISERROR(MATCH(AK$1,INDIRECT("Table!A"&amp;$BV15):INDIRECT("Table!" &amp; $CH$110 &amp; $BV15),0)),"",INDIRECT(CONCATENATE("Table!",ADDRESS($BZ15,MATCH(AK$1,INDIRECT("Table!A" &amp; $BV15):INDIRECT("Table!" &amp; $CH$110 &amp; $BV15),0)))))/1024</f>
        <v>146.98896484375001</v>
      </c>
      <c r="AL15" s="709">
        <f ca="1">IF(ISERROR(MATCH(AL$1,INDIRECT("Table!A"&amp;$BV15):INDIRECT("Table!" &amp; $CH$110 &amp; $BV15),0)),"",INDIRECT(CONCATENATE("Table!",ADDRESS($BZ15,MATCH(AL$1,INDIRECT("Table!A" &amp; $BV15):INDIRECT("Table!" &amp; $CH$110 &amp; $BV15),0)))))/1024</f>
        <v>146.98896484375001</v>
      </c>
      <c r="AM15" s="709">
        <f ca="1">IF(ISERROR(MATCH(AM$1,INDIRECT("Table!A"&amp;$BV15):INDIRECT("Table!" &amp; $CH$110 &amp; $BV15),0)),"",INDIRECT(CONCATENATE("Table!",ADDRESS($BZ15,MATCH(AM$1,INDIRECT("Table!A" &amp; $BV15):INDIRECT("Table!" &amp; $CH$110 &amp; $BV15),0)))))/1024</f>
        <v>177.73320312499999</v>
      </c>
      <c r="AN15" s="709">
        <f ca="1">IF(ISERROR(MATCH(AN$1,INDIRECT("Table!A"&amp;$BV15):INDIRECT("Table!" &amp; $CH$110 &amp; $BV15),0)),"",INDIRECT(CONCATENATE("Table!",ADDRESS($BZ15,MATCH(AN$1,INDIRECT("Table!A" &amp; $BV15):INDIRECT("Table!" &amp; $CH$110 &amp; $BV15),0)))))/1024</f>
        <v>161.88056640625001</v>
      </c>
      <c r="AO15" s="709">
        <f ca="1">IF(ISERROR(MATCH(AO$1,INDIRECT("Table!A"&amp;$BV15):INDIRECT("Table!" &amp; $CH$110 &amp; $BV15),0)),"",INDIRECT(CONCATENATE("Table!",ADDRESS($BZ15,MATCH(AO$1,INDIRECT("Table!A" &amp; $BV15):INDIRECT("Table!" &amp; $CH$110 &amp; $BV15),0)))))/1024</f>
        <v>380.3759765625</v>
      </c>
      <c r="AP15" s="709">
        <f ca="1">IF(ISERROR(MATCH(AP$1,INDIRECT("Table!A"&amp;$BV15):INDIRECT("Table!" &amp; $CH$110 &amp; $BV15),0)),"",INDIRECT(CONCATENATE("Table!",ADDRESS($BZ15,MATCH(AP$1,INDIRECT("Table!A" &amp; $BV15):INDIRECT("Table!" &amp; $CH$110 &amp; $BV15),0)))))/1024</f>
        <v>167.94482421875</v>
      </c>
      <c r="AQ15" s="709">
        <f ca="1">IF(ISERROR(MATCH(AQ$1,INDIRECT("Table!A"&amp;$BV15):INDIRECT("Table!" &amp; $CH$110 &amp; $BV15),0)),"",INDIRECT(CONCATENATE("Table!",ADDRESS($BZ15,MATCH(AQ$1,INDIRECT("Table!A" &amp; $BV15):INDIRECT("Table!" &amp; $CH$110 &amp; $BV15),0)))))/1024</f>
        <v>162.185546875</v>
      </c>
      <c r="AR15" s="709">
        <f ca="1">IF(ISERROR(MATCH(AR$1,INDIRECT("Table!A"&amp;$BV15):INDIRECT("Table!" &amp; $CH$110 &amp; $BV15),0)),"",INDIRECT(CONCATENATE("Table!",ADDRESS($BZ15,MATCH(AR$1,INDIRECT("Table!A" &amp; $BV15):INDIRECT("Table!" &amp; $CH$110 &amp; $BV15),0)))))/1024</f>
        <v>121.1125</v>
      </c>
      <c r="AS15" s="709">
        <f ca="1">IF(ISERROR(MATCH(AS$1,INDIRECT("Table!A"&amp;$BV15):INDIRECT("Table!" &amp; $CH$110 &amp; $BV15),0)),"",INDIRECT(CONCATENATE("Table!",ADDRESS($BZ15,MATCH(AS$1,INDIRECT("Table!A" &amp; $BV15):INDIRECT("Table!" &amp; $CH$110 &amp; $BV15),0)))))/1024</f>
        <v>218.81953125000001</v>
      </c>
      <c r="AT15" s="709">
        <f ca="1">IF(ISERROR(MATCH(AT$1,INDIRECT("Table!A"&amp;$BV15):INDIRECT("Table!" &amp; $CH$110 &amp; $BV15),0)),"",INDIRECT(CONCATENATE("Table!",ADDRESS($BZ15,MATCH(AT$1,INDIRECT("Table!A" &amp; $BV15):INDIRECT("Table!" &amp; $CH$110 &amp; $BV15),0)))))/1024</f>
        <v>188.50498046875001</v>
      </c>
      <c r="AU15" s="709">
        <f ca="1">IF(ISERROR(MATCH(AU$1,INDIRECT("Table!A"&amp;$BV15):INDIRECT("Table!" &amp; $CH$110 &amp; $BV15),0)),"",INDIRECT(CONCATENATE("Table!",ADDRESS($BZ15,MATCH(AU$1,INDIRECT("Table!A" &amp; $BV15):INDIRECT("Table!" &amp; $CH$110 &amp; $BV15),0)))))/1024</f>
        <v>427.94912109375002</v>
      </c>
      <c r="AV15" s="709">
        <f ca="1">IF(ISERROR(MATCH(AV$1,INDIRECT("Table!A"&amp;$BV15):INDIRECT("Table!" &amp; $CH$110 &amp; $BV15),0)),"",INDIRECT(CONCATENATE("Table!",ADDRESS($BZ15,MATCH(AV$1,INDIRECT("Table!A" &amp; $BV15):INDIRECT("Table!" &amp; $CH$110 &amp; $BV15),0)))))/1024</f>
        <v>81.092578125000003</v>
      </c>
      <c r="AW15" s="709">
        <f ca="1">IF(ISERROR(MATCH(AW$1,INDIRECT("Table!A"&amp;$BV15):INDIRECT("Table!" &amp; $CH$110 &amp; $BV15),0)),"",INDIRECT(CONCATENATE("Table!",ADDRESS($BZ15,MATCH(AW$1,INDIRECT("Table!A" &amp; $BV15):INDIRECT("Table!" &amp; $CH$110 &amp; $BV15),0)))))/1024</f>
        <v>269.65859375000002</v>
      </c>
      <c r="AX15" s="709">
        <f ca="1">IF(ISERROR(MATCH(AX$1,INDIRECT("Table!A"&amp;$BV15):INDIRECT("Table!" &amp; $CH$110 &amp; $BV15),0)),"",INDIRECT(CONCATENATE("Table!",ADDRESS($BZ15,MATCH(AX$1,INDIRECT("Table!A" &amp; $BV15):INDIRECT("Table!" &amp; $CH$110 &amp; $BV15),0)))))/1024</f>
        <v>81.092578125000003</v>
      </c>
      <c r="AY15" s="709">
        <f ca="1">IF(ISERROR(MATCH(AY$1,INDIRECT("Table!A"&amp;$BV15):INDIRECT("Table!" &amp; $CH$110 &amp; $BV15),0)),"",INDIRECT(CONCATENATE("Table!",ADDRESS($BZ15,MATCH(AY$1,INDIRECT("Table!A" &amp; $BV15):INDIRECT("Table!" &amp; $CH$110 &amp; $BV15),0)))))/1024</f>
        <v>187.12714843750001</v>
      </c>
      <c r="AZ15" s="709">
        <f ca="1">IF(ISERROR(MATCH(AZ$1,INDIRECT("Table!A"&amp;$BV15):INDIRECT("Table!" &amp; $CH$110 &amp; $BV15),0)),"",INDIRECT(CONCATENATE("Table!",ADDRESS($BZ15,MATCH(AZ$1,INDIRECT("Table!A" &amp; $BV15):INDIRECT("Table!" &amp; $CH$110 &amp; $BV15),0)))))/1024</f>
        <v>256.14150390625002</v>
      </c>
      <c r="BA15" s="709"/>
      <c r="BB15" s="709">
        <f ca="1">IF(ISERROR(MATCH(BB$1,INDIRECT("Table!A"&amp;$BV15):INDIRECT("Table!" &amp; $CH$110 &amp; $BV15),0)),"",INDIRECT(CONCATENATE("Table!",ADDRESS($BZ15,MATCH(BB$1,INDIRECT("Table!A" &amp; $BV15):INDIRECT("Table!" &amp; $CH$110 &amp; $BV15),0)))))/1024</f>
        <v>32.31494140625</v>
      </c>
      <c r="BC15" s="709">
        <f ca="1">IF(ISERROR(MATCH(BC$1,INDIRECT("Table!A"&amp;$BV15):INDIRECT("Table!" &amp; $CH$110 &amp; $BV15),0)),"",INDIRECT(CONCATENATE("Table!",ADDRESS($BZ15,MATCH(BC$1,INDIRECT("Table!A" &amp; $BV15):INDIRECT("Table!" &amp; $CH$110 &amp; $BV15),0)))))/1024</f>
        <v>99.80126953125</v>
      </c>
      <c r="BD15" s="709">
        <f ca="1">IF(ISERROR(MATCH(BD$1,INDIRECT("Table!A"&amp;$BV15):INDIRECT("Table!" &amp; $CH$110 &amp; $BV15),0)),"",INDIRECT(CONCATENATE("Table!",ADDRESS($BZ15,MATCH(BD$1,INDIRECT("Table!A" &amp; $BV15):INDIRECT("Table!" &amp; $CH$110 &amp; $BV15),0)))))/1024</f>
        <v>204.58642578125</v>
      </c>
      <c r="BE15" s="905">
        <f ca="1">IF(ISERROR(MATCH(BE$1,INDIRECT("Table!A"&amp;$BV15):INDIRECT("Table!" &amp; $CH$110 &amp; $BV15),0)),"",INDIRECT(CONCATENATE("Table!",ADDRESS($BZ15,MATCH(BE$1,INDIRECT("Table!A" &amp; $BV15):INDIRECT("Table!" &amp; $CH$110 &amp; $BV15),0)))))/1024</f>
        <v>99.80126953125</v>
      </c>
      <c r="BF15" s="905">
        <f ca="1">IF(ISERROR(MATCH(BF$1,INDIRECT("Table!A"&amp;$BV15):INDIRECT("Table!" &amp; $CH$110 &amp; $BV15),0)),"",INDIRECT(CONCATENATE("Table!",ADDRESS($BZ15,MATCH(BF$1,INDIRECT("Table!A" &amp; $BV15):INDIRECT("Table!" &amp; $CH$110 &amp; $BV15),0)))))/1024</f>
        <v>204.58642578125</v>
      </c>
      <c r="BG15" s="905">
        <f ca="1">IF(ISERROR(MATCH(BG$1,INDIRECT("Table!A"&amp;$BV15):INDIRECT("Table!" &amp; $CH$110 &amp; $BV15),0)),"",INDIRECT(CONCATENATE("Table!",ADDRESS($BZ15,MATCH(BG$1,INDIRECT("Table!A" &amp; $BV15):INDIRECT("Table!" &amp; $CH$110 &amp; $BV15),0)))))/1024</f>
        <v>99.80126953125</v>
      </c>
      <c r="BH15" s="905">
        <f ca="1">IF(ISERROR(MATCH(BH$1,INDIRECT("Table!A"&amp;$BV15):INDIRECT("Table!" &amp; $CH$110 &amp; $BV15),0)),"",INDIRECT(CONCATENATE("Table!",ADDRESS($BZ15,MATCH(BH$1,INDIRECT("Table!A" &amp; $BV15):INDIRECT("Table!" &amp; $CH$110 &amp; $BV15),0)))))/1024</f>
        <v>204.58642578125</v>
      </c>
      <c r="BI15" s="905">
        <f ca="1">IF(ISERROR(MATCH(BI$1,INDIRECT("Table!A"&amp;$BV15):INDIRECT("Table!" &amp; $CH$110 &amp; $BV15),0)),"",INDIRECT(CONCATENATE("Table!",ADDRESS($BZ15,MATCH(BI$1,INDIRECT("Table!A" &amp; $BV15):INDIRECT("Table!" &amp; $CH$110 &amp; $BV15),0)))))/1024</f>
        <v>320.99140625000001</v>
      </c>
      <c r="BJ15" s="905">
        <f ca="1">IF(ISERROR(MATCH(BJ$1,INDIRECT("Table!A"&amp;$BV15):INDIRECT("Table!" &amp; $CH$110 &amp; $BV15),0)),"",INDIRECT(CONCATENATE("Table!",ADDRESS($BZ15,MATCH(BJ$1,INDIRECT("Table!A" &amp; $BV15):INDIRECT("Table!" &amp; $CH$110 &amp; $BV15),0)))))/1024</f>
        <v>186.39765625000001</v>
      </c>
      <c r="BK15" s="905">
        <f ca="1">IF(ISERROR(MATCH(BK$1,INDIRECT("Table!A"&amp;$BV15):INDIRECT("Table!" &amp; $CH$110 &amp; $BV15),0)),"",INDIRECT(CONCATENATE("Table!",ADDRESS($BZ15,MATCH(BK$1,INDIRECT("Table!A" &amp; $BV15):INDIRECT("Table!" &amp; $CH$110 &amp; $BV15),0)))))/1024</f>
        <v>218.81953125000001</v>
      </c>
      <c r="BL15" s="905">
        <f ca="1">IF(ISERROR(MATCH(BL$1,INDIRECT("Table!A"&amp;$BV15):INDIRECT("Table!" &amp; $CH$110 &amp; $BV15),0)),"",INDIRECT(CONCATENATE("Table!",ADDRESS($BZ15,MATCH(BL$1,INDIRECT("Table!A" &amp; $BV15):INDIRECT("Table!" &amp; $CH$110 &amp; $BV15),0)))))/1024</f>
        <v>218.81953125000001</v>
      </c>
      <c r="BM15" s="905">
        <f ca="1">IF(ISERROR(MATCH(BM$1,INDIRECT("Table!A"&amp;$BV15):INDIRECT("Table!" &amp; $CH$110 &amp; $BV15),0)),"",INDIRECT(CONCATENATE("Table!",ADDRESS($BZ15,MATCH(BM$1,INDIRECT("Table!A" &amp; $BV15):INDIRECT("Table!" &amp; $CH$110 &amp; $BV15),0)))))/1024</f>
        <v>152.53330078125001</v>
      </c>
      <c r="BN15" s="905">
        <f ca="1">IF(ISERROR(MATCH(BN$1,INDIRECT("Table!A"&amp;$BV15):INDIRECT("Table!" &amp; $CH$110 &amp; $BV15),0)),"",INDIRECT(CONCATENATE("Table!",ADDRESS($BZ15,MATCH(BN$1,INDIRECT("Table!A" &amp; $BV15):INDIRECT("Table!" &amp; $CH$110 &amp; $BV15),0)))))/1024</f>
        <v>152.53330078125001</v>
      </c>
      <c r="BO15" s="905">
        <f ca="1">IF(ISERROR(MATCH(BO$1,INDIRECT("Table!A"&amp;$BV15):INDIRECT("Table!" &amp; $CH$110 &amp; $BV15),0)),"",INDIRECT(CONCATENATE("Table!",ADDRESS($BZ15,MATCH(BO$1,INDIRECT("Table!A" &amp; $BV15):INDIRECT("Table!" &amp; $CH$110 &amp; $BV15),0)))))/1024</f>
        <v>218.81455078125001</v>
      </c>
      <c r="BP15" s="905">
        <f ca="1">IF(ISERROR(MATCH(BP$1,INDIRECT("Table!A"&amp;$BV15):INDIRECT("Table!" &amp; $CH$110 &amp; $BV15),0)),"",INDIRECT(CONCATENATE("Table!",ADDRESS($BZ15,MATCH(BP$1,INDIRECT("Table!A" &amp; $BV15):INDIRECT("Table!" &amp; $CH$110 &amp; $BV15),0)))))/1024</f>
        <v>0</v>
      </c>
      <c r="BR15" s="704">
        <f>MATCH($A15,Table!$A:$A,0)+$BT$2-1</f>
        <v>173</v>
      </c>
      <c r="BS15" s="744"/>
      <c r="BT15" s="744"/>
      <c r="BU15" s="744"/>
      <c r="BV15" s="717">
        <f>MATCH($A15,Table!$A:$A,0)+$BX$2-1</f>
        <v>171</v>
      </c>
      <c r="BW15" s="744"/>
      <c r="BX15" s="744"/>
      <c r="BY15" s="744"/>
      <c r="BZ15" s="704">
        <f>MATCH($A15,Table!$A:$A,0)+$CB$2-1</f>
        <v>172</v>
      </c>
      <c r="CA15" s="744"/>
      <c r="CB15" s="744"/>
      <c r="CC15" s="744"/>
      <c r="CD15" s="717">
        <f>MATCH($A15,Table!$A:$A,0)+$BX$2-1</f>
        <v>171</v>
      </c>
      <c r="CE15" s="744"/>
      <c r="CF15" s="744"/>
      <c r="CG15" s="744"/>
      <c r="CH15" s="711" t="s">
        <v>302</v>
      </c>
      <c r="CI15" s="712">
        <f t="shared" ref="CI15" ca="1" si="60">SUM(AJ15:BP15)</f>
        <v>5834.1424804687485</v>
      </c>
      <c r="CJ15" s="712">
        <f t="shared" ref="CJ15" ca="1" si="61">SUM(B15:AH15)</f>
        <v>2182.8848632812496</v>
      </c>
      <c r="CK15" s="712">
        <f t="shared" ref="CK15" ca="1" si="62">CI15-CJ15</f>
        <v>3651.2576171874989</v>
      </c>
      <c r="CL15" s="718">
        <f t="shared" ref="CL15" ca="1" si="63">CJ15/CI15</f>
        <v>0.37415693404626349</v>
      </c>
      <c r="CM15" s="712">
        <f ca="1">SUMIF('Alloc Feed'!A:I,A:A,'Alloc Feed'!I:I)</f>
        <v>3947.2267998046868</v>
      </c>
      <c r="CN15" s="718">
        <f t="shared" ref="CN15" ca="1" si="64">CM15/CI15</f>
        <v>0.67657360323629667</v>
      </c>
    </row>
    <row r="16" spans="1:92" s="947" customFormat="1" x14ac:dyDescent="0.25">
      <c r="A16" s="703">
        <v>41886</v>
      </c>
      <c r="B16" s="709">
        <f ca="1">IF(ISERROR(MATCH(B$1,INDIRECT("Table!A"&amp;$BV16):INDIRECT("Table!" &amp; $CH$110 &amp; $BV16),0)),"",INDIRECT(CONCATENATE("Table!",ADDRESS($BR16,MATCH(B$1,INDIRECT("Table!A" &amp; $BV16):INDIRECT("Table!" &amp; $CH$110 &amp; $BV16),0)))))/1024</f>
        <v>56.238671875000001</v>
      </c>
      <c r="C16" s="709">
        <f ca="1">IF(ISERROR(MATCH(C$1,INDIRECT("Table!A"&amp;$BV16):INDIRECT("Table!" &amp; $CH$110 &amp; $BV16),0)),"",INDIRECT(CONCATENATE("Table!",ADDRESS($BR16,MATCH(C$1,INDIRECT("Table!A" &amp; $BV16):INDIRECT("Table!" &amp; $CH$110 &amp; $BV16),0)))))/1024</f>
        <v>84.225878906250003</v>
      </c>
      <c r="D16" s="709">
        <f ca="1">IF(ISERROR(MATCH(D$1,INDIRECT("Table!A"&amp;$BV16):INDIRECT("Table!" &amp; $CH$110 &amp; $BV16),0)),"",INDIRECT(CONCATENATE("Table!",ADDRESS($BR16,MATCH(D$1,INDIRECT("Table!A" &amp; $BV16):INDIRECT("Table!" &amp; $CH$110 &amp; $BV16),0)))))/1024</f>
        <v>83.97900390625</v>
      </c>
      <c r="E16" s="709">
        <f ca="1">IF(ISERROR(MATCH(E$1,INDIRECT("Table!A"&amp;$BV16):INDIRECT("Table!" &amp; $CH$110 &amp; $BV16),0)),"",INDIRECT(CONCATENATE("Table!",ADDRESS($BR16,MATCH(E$1,INDIRECT("Table!A" &amp; $BV16):INDIRECT("Table!" &amp; $CH$110 &amp; $BV16),0)))))/1024</f>
        <v>99.843652343749994</v>
      </c>
      <c r="F16" s="709">
        <f ca="1">IF(ISERROR(MATCH(F$1,INDIRECT("Table!A"&amp;$BV16):INDIRECT("Table!" &amp; $CH$110 &amp; $BV16),0)),"",INDIRECT(CONCATENATE("Table!",ADDRESS($BR16,MATCH(F$1,INDIRECT("Table!A" &amp; $BV16):INDIRECT("Table!" &amp; $CH$110 &amp; $BV16),0)))))/1024</f>
        <v>115.4568359375</v>
      </c>
      <c r="G16" s="709">
        <f ca="1">IF(ISERROR(MATCH(G$1,INDIRECT("Table!A"&amp;$BV16):INDIRECT("Table!" &amp; $CH$110 &amp; $BV16),0)),"",INDIRECT(CONCATENATE("Table!",ADDRESS($BR16,MATCH(G$1,INDIRECT("Table!A" &amp; $BV16):INDIRECT("Table!" &amp; $CH$110 &amp; $BV16),0)))))/1024</f>
        <v>200.24130859375001</v>
      </c>
      <c r="H16" s="709">
        <f ca="1">IF(ISERROR(MATCH(H$1,INDIRECT("Table!A"&amp;$BV16):INDIRECT("Table!" &amp; $CH$110 &amp; $BV16),0)),"",INDIRECT(CONCATENATE("Table!",ADDRESS($BR16,MATCH(H$1,INDIRECT("Table!A" &amp; $BV16):INDIRECT("Table!" &amp; $CH$110 &amp; $BV16),0)))))/1024</f>
        <v>101.17998046875</v>
      </c>
      <c r="I16" s="709">
        <f ca="1">IF(ISERROR(MATCH(I$1,INDIRECT("Table!A"&amp;$BV16):INDIRECT("Table!" &amp; $CH$110 &amp; $BV16),0)),"",INDIRECT(CONCATENATE("Table!",ADDRESS($BR16,MATCH(I$1,INDIRECT("Table!A" &amp; $BV16):INDIRECT("Table!" &amp; $CH$110 &amp; $BV16),0)))))/1024</f>
        <v>26.125585937499999</v>
      </c>
      <c r="J16" s="709">
        <f ca="1">IF(ISERROR(MATCH(J$1,INDIRECT("Table!A"&amp;$BV16):INDIRECT("Table!" &amp; $CH$110 &amp; $BV16),0)),"",INDIRECT(CONCATENATE("Table!",ADDRESS($BR16,MATCH(J$1,INDIRECT("Table!A" &amp; $BV16):INDIRECT("Table!" &amp; $CH$110 &amp; $BV16),0)))))/1024</f>
        <v>88.789160156250006</v>
      </c>
      <c r="K16" s="709">
        <f ca="1">IF(ISERROR(MATCH(K$1,INDIRECT("Table!A"&amp;$BV16):INDIRECT("Table!" &amp; $CH$110 &amp; $BV16),0)),"",INDIRECT(CONCATENATE("Table!",ADDRESS($BR16,MATCH(K$1,INDIRECT("Table!A" &amp; $BV16):INDIRECT("Table!" &amp; $CH$110 &amp; $BV16),0)))))/1024</f>
        <v>84.00244140625</v>
      </c>
      <c r="L16" s="709">
        <f ca="1">IF(ISERROR(MATCH(L$1,INDIRECT("Table!A"&amp;$BV16):INDIRECT("Table!" &amp; $CH$110 &amp; $BV16),0)),"",INDIRECT(CONCATENATE("Table!",ADDRESS($BR16,MATCH(L$1,INDIRECT("Table!A" &amp; $BV16):INDIRECT("Table!" &amp; $CH$110 &amp; $BV16),0)))))/1024</f>
        <v>92.79345703125</v>
      </c>
      <c r="M16" s="709">
        <f ca="1">IF(ISERROR(MATCH(M$1,INDIRECT("Table!A"&amp;$BV16):INDIRECT("Table!" &amp; $CH$110 &amp; $BV16),0)),"",INDIRECT(CONCATENATE("Table!",ADDRESS($BR16,MATCH(M$1,INDIRECT("Table!A" &amp; $BV16):INDIRECT("Table!" &amp; $CH$110 &amp; $BV16),0)))))/1024</f>
        <v>205.68320312500001</v>
      </c>
      <c r="N16" s="709">
        <f ca="1">IF(ISERROR(MATCH(N$1,INDIRECT("Table!A"&amp;$BV16):INDIRECT("Table!" &amp; $CH$110 &amp; $BV16),0)),"",INDIRECT(CONCATENATE("Table!",ADDRESS($BR16,MATCH(N$1,INDIRECT("Table!A" &amp; $BV16):INDIRECT("Table!" &amp; $CH$110 &amp; $BV16),0)))))/1024</f>
        <v>58.233496093749999</v>
      </c>
      <c r="O16" s="709">
        <f ca="1">IF(ISERROR(MATCH(O$1,INDIRECT("Table!A"&amp;$BV16):INDIRECT("Table!" &amp; $CH$110 &amp; $BV16),0)),"",INDIRECT(CONCATENATE("Table!",ADDRESS($BR16,MATCH(O$1,INDIRECT("Table!A" &amp; $BV16):INDIRECT("Table!" &amp; $CH$110 &amp; $BV16),0)))))/1024</f>
        <v>184.50205078125001</v>
      </c>
      <c r="P16" s="709">
        <f ca="1">IF(ISERROR(MATCH(P$1,INDIRECT("Table!A"&amp;$BV16):INDIRECT("Table!" &amp; $CH$110 &amp; $BV16),0)),"",INDIRECT(CONCATENATE("Table!",ADDRESS($BR16,MATCH(P$1,INDIRECT("Table!A" &amp; $BV16):INDIRECT("Table!" &amp; $CH$110 &amp; $BV16),0)))))/1024</f>
        <v>50.55</v>
      </c>
      <c r="Q16" s="709">
        <f ca="1">IF(ISERROR(MATCH(Q$1,INDIRECT("Table!A"&amp;$BV16):INDIRECT("Table!" &amp; $CH$110 &amp; $BV16),0)),"",INDIRECT(CONCATENATE("Table!",ADDRESS($BR16,MATCH(Q$1,INDIRECT("Table!A" &amp; $BV16):INDIRECT("Table!" &amp; $CH$110 &amp; $BV16),0)))))/1024</f>
        <v>142.95634765624999</v>
      </c>
      <c r="R16" s="709">
        <f ca="1">IF(ISERROR(MATCH(R$1,INDIRECT("Table!A"&amp;$BV16):INDIRECT("Table!" &amp; $CH$110 &amp; $BV16),0)),"",INDIRECT(CONCATENATE("Table!",ADDRESS($BR16,MATCH(R$1,INDIRECT("Table!A" &amp; $BV16):INDIRECT("Table!" &amp; $CH$110 &amp; $BV16),0)))))/1024</f>
        <v>168.1015625</v>
      </c>
      <c r="S16" s="709">
        <v>0</v>
      </c>
      <c r="T16" s="709">
        <f ca="1">IF(ISERROR(MATCH(T$1,INDIRECT("Table!A"&amp;$BV16):INDIRECT("Table!" &amp; $CH$65 &amp; $BV16),0)),"",INDIRECT(CONCATENATE("Table!",ADDRESS($BR16,MATCH(T$1,INDIRECT("Table!A" &amp; $BV16):INDIRECT("Table!" &amp; $CH$65 &amp; $BV16),0)))))/1024</f>
        <v>11.2826171875</v>
      </c>
      <c r="U16" s="709">
        <f ca="1">IF(ISERROR(MATCH(U$1,INDIRECT("Table!A"&amp;$BV16):INDIRECT("Table!" &amp; $CH$65 &amp; $BV16),0)),"",INDIRECT(CONCATENATE("Table!",ADDRESS($BR16,MATCH(U$1,INDIRECT("Table!A" &amp; $BV16):INDIRECT("Table!" &amp; $CH$65 &amp; $BV16),0)))))/1024</f>
        <v>15.105761718749999</v>
      </c>
      <c r="V16" s="709">
        <f ca="1">IF(ISERROR(MATCH(V$1,INDIRECT("Table!A"&amp;$BV16):INDIRECT("Table!" &amp; $CH$65 &amp; $BV16),0)),"",INDIRECT(CONCATENATE("Table!",ADDRESS($BR16,MATCH(V$1,INDIRECT("Table!A" &amp; $BV16):INDIRECT("Table!" &amp; $CH$65 &amp; $BV16),0)))))/1024</f>
        <v>30.211328125000001</v>
      </c>
      <c r="W16" s="709">
        <f ca="1">IF(ISERROR(MATCH(W$1,INDIRECT("Table!A"&amp;$BV16):INDIRECT("Table!" &amp; $CH$65 &amp; $BV16),0)),"",INDIRECT(CONCATENATE("Table!",ADDRESS($BR16,MATCH(W$1,INDIRECT("Table!A" &amp; $BV16):INDIRECT("Table!" &amp; $CH$65 &amp; $BV16),0)))))/1024</f>
        <v>26.037011718750001</v>
      </c>
      <c r="X16" s="709">
        <f ca="1">IF(ISERROR(MATCH(X$1,INDIRECT("Table!A"&amp;$BV16):INDIRECT("Table!" &amp; $CH$65 &amp; $BV16),0)),"",INDIRECT(CONCATENATE("Table!",ADDRESS($BR16,MATCH(X$1,INDIRECT("Table!A" &amp; $BV16):INDIRECT("Table!" &amp; $CH$65 &amp; $BV16),0)))))/1024</f>
        <v>51.183984375000001</v>
      </c>
      <c r="Y16" s="709">
        <f ca="1">IF(ISERROR(MATCH(Y$1,INDIRECT("Table!A"&amp;$BV16):INDIRECT("Table!" &amp; $CH$65 &amp; $BV16),0)),"",INDIRECT(CONCATENATE("Table!",ADDRESS($BR16,MATCH(Y$1,INDIRECT("Table!A" &amp; $BV16):INDIRECT("Table!" &amp; $CH$65 &amp; $BV16),0)))))/1024</f>
        <v>7.4873046875</v>
      </c>
      <c r="Z16" s="709">
        <f ca="1">IF(ISERROR(MATCH(Z$1,INDIRECT("Table!A"&amp;$BV16):INDIRECT("Table!" &amp; $CH$65 &amp; $BV16),0)),"",INDIRECT(CONCATENATE("Table!",ADDRESS($BR16,MATCH(Z$1,INDIRECT("Table!A" &amp; $BV16):INDIRECT("Table!" &amp; $CH$65 &amp; $BV16),0)))))/1024</f>
        <v>14.972851562500001</v>
      </c>
      <c r="AA16" s="709">
        <f ca="1">IF(ISERROR(MATCH(AA$1,INDIRECT("Table!A"&amp;$BV16):INDIRECT("Table!" &amp; $CH$65 &amp; $BV16),0)),"",INDIRECT(CONCATENATE("Table!",ADDRESS($BR16,MATCH(AA$1,INDIRECT("Table!A" &amp; $BV16):INDIRECT("Table!" &amp; $CH$65 &amp; $BV16),0)))))/1024</f>
        <v>75.639453125000003</v>
      </c>
      <c r="AB16" s="709">
        <f ca="1">IF(ISERROR(MATCH(AB$1,INDIRECT("Table!A"&amp;$BV16):INDIRECT("Table!" &amp; $CH$65 &amp; $BV16),0)),"",INDIRECT(CONCATENATE("Table!",ADDRESS($BR16,MATCH(AB$1,INDIRECT("Table!A" &amp; $BV16):INDIRECT("Table!" &amp; $CH$65 &amp; $BV16),0)))))/1024</f>
        <v>4.7851562500000003E-3</v>
      </c>
      <c r="AC16" s="709">
        <f ca="1">IF(ISERROR(MATCH(AC$1,INDIRECT("Table!A"&amp;$BV16):INDIRECT("Table!" &amp; $CH$65 &amp; $BV16),0)),"",INDIRECT(CONCATENATE("Table!",ADDRESS($BR16,MATCH(AC$1,INDIRECT("Table!A" &amp; $BV16):INDIRECT("Table!" &amp; $CH$65 &amp; $BV16),0)))))/1024</f>
        <v>10.769140625</v>
      </c>
      <c r="AD16" s="709">
        <f ca="1">IF(ISERROR(MATCH(AD$1,INDIRECT("Table!A"&amp;$BV16):INDIRECT("Table!" &amp; $CH$65 &amp; $BV16),0)),"",INDIRECT(CONCATENATE("Table!",ADDRESS($BR16,MATCH(AD$1,INDIRECT("Table!A" &amp; $BV16):INDIRECT("Table!" &amp; $CH$65 &amp; $BV16),0)))))/1024</f>
        <v>55.006250000000001</v>
      </c>
      <c r="AE16" s="709">
        <f ca="1">IF(ISERROR(MATCH(AE$1,INDIRECT("Table!A"&amp;$BV16):INDIRECT("Table!" &amp; $CH$65 &amp; $BV16),0)),"",INDIRECT(CONCATENATE("Table!",ADDRESS($BR16,MATCH(AE$1,INDIRECT("Table!A" &amp; $BV16):INDIRECT("Table!" &amp; $CH$65 &amp; $BV16),0)))))/1024</f>
        <v>8.0720703124999993</v>
      </c>
      <c r="AF16" s="709">
        <f ca="1">IF(ISERROR(MATCH(AF$1,INDIRECT("Table!A"&amp;$BV16):INDIRECT("Table!" &amp; $CH$65 &amp; $BV16),0)),"",INDIRECT(CONCATENATE("Table!",ADDRESS($BR16,MATCH(AF$1,INDIRECT("Table!A" &amp; $BV16):INDIRECT("Table!" &amp; $CH$65 &amp; $BV16),0)))))/1024</f>
        <v>8.0720703124999993</v>
      </c>
      <c r="AG16" s="709">
        <f ca="1">IF(ISERROR(MATCH(AG$1,INDIRECT("Table!A"&amp;$BV16):INDIRECT("Table!" &amp; $CH$65 &amp; $BV16),0)),"",INDIRECT(CONCATENATE("Table!",ADDRESS($BR16,MATCH(AG$1,INDIRECT("Table!A" &amp; $BV16):INDIRECT("Table!" &amp; $CH$65 &amp; $BV16),0)))))/1024</f>
        <v>6.2490234375</v>
      </c>
      <c r="AH16" s="709">
        <f ca="1">IF(ISERROR(MATCH(AH$1,INDIRECT("Table!A"&amp;$BV16):INDIRECT("Table!" &amp; $CH$65 &amp; $BV16),0)),"",INDIRECT(CONCATENATE("Table!",ADDRESS($BR16,MATCH(AH$1,INDIRECT("Table!A" &amp; $BV16):INDIRECT("Table!" &amp; $CH$65 &amp; $BV16),0)))))/1024</f>
        <v>0</v>
      </c>
      <c r="AI16" s="709" t="str">
        <f ca="1">IF(ISERROR(MATCH(AI$1,INDIRECT("Table!A"&amp;$BV16):INDIRECT("Table!" &amp; $CH$110 &amp; $BV16),0)),"",INDIRECT(CONCATENATE("Table!",ADDRESS($BR16,MATCH(AI$1,INDIRECT("Table!A" &amp; $BV16):INDIRECT("Table!" &amp; $CH$110 &amp; $BV16),0)))))</f>
        <v/>
      </c>
      <c r="AJ16" s="709">
        <f ca="1">IF(ISERROR(MATCH(AJ$1,INDIRECT("Table!A"&amp;$BV16):INDIRECT("Table!" &amp; $CH$110 &amp; $BV16),0)),"",INDIRECT(CONCATENATE("Table!",ADDRESS($BZ16,MATCH(AJ$1,INDIRECT("Table!A" &amp; $BV16):INDIRECT("Table!" &amp; $CH$110 &amp; $BV16),0)))))/1024</f>
        <v>244.15859374999999</v>
      </c>
      <c r="AK16" s="709">
        <f ca="1">IF(ISERROR(MATCH(AK$1,INDIRECT("Table!A"&amp;$BV16):INDIRECT("Table!" &amp; $CH$110 &amp; $BV16),0)),"",INDIRECT(CONCATENATE("Table!",ADDRESS($BZ16,MATCH(AK$1,INDIRECT("Table!A" &amp; $BV16):INDIRECT("Table!" &amp; $CH$110 &amp; $BV16),0)))))/1024</f>
        <v>146.98896484375001</v>
      </c>
      <c r="AL16" s="709">
        <f ca="1">IF(ISERROR(MATCH(AL$1,INDIRECT("Table!A"&amp;$BV16):INDIRECT("Table!" &amp; $CH$110 &amp; $BV16),0)),"",INDIRECT(CONCATENATE("Table!",ADDRESS($BZ16,MATCH(AL$1,INDIRECT("Table!A" &amp; $BV16):INDIRECT("Table!" &amp; $CH$110 &amp; $BV16),0)))))/1024</f>
        <v>146.98896484375001</v>
      </c>
      <c r="AM16" s="709">
        <f ca="1">IF(ISERROR(MATCH(AM$1,INDIRECT("Table!A"&amp;$BV16):INDIRECT("Table!" &amp; $CH$110 &amp; $BV16),0)),"",INDIRECT(CONCATENATE("Table!",ADDRESS($BZ16,MATCH(AM$1,INDIRECT("Table!A" &amp; $BV16):INDIRECT("Table!" &amp; $CH$110 &amp; $BV16),0)))))/1024</f>
        <v>177.73320312499999</v>
      </c>
      <c r="AN16" s="709">
        <f ca="1">IF(ISERROR(MATCH(AN$1,INDIRECT("Table!A"&amp;$BV16):INDIRECT("Table!" &amp; $CH$110 &amp; $BV16),0)),"",INDIRECT(CONCATENATE("Table!",ADDRESS($BZ16,MATCH(AN$1,INDIRECT("Table!A" &amp; $BV16):INDIRECT("Table!" &amp; $CH$110 &amp; $BV16),0)))))/1024</f>
        <v>161.88056640625001</v>
      </c>
      <c r="AO16" s="709">
        <f ca="1">IF(ISERROR(MATCH(AO$1,INDIRECT("Table!A"&amp;$BV16):INDIRECT("Table!" &amp; $CH$110 &amp; $BV16),0)),"",INDIRECT(CONCATENATE("Table!",ADDRESS($BZ16,MATCH(AO$1,INDIRECT("Table!A" &amp; $BV16):INDIRECT("Table!" &amp; $CH$110 &amp; $BV16),0)))))/1024</f>
        <v>380.3759765625</v>
      </c>
      <c r="AP16" s="709">
        <f ca="1">IF(ISERROR(MATCH(AP$1,INDIRECT("Table!A"&amp;$BV16):INDIRECT("Table!" &amp; $CH$110 &amp; $BV16),0)),"",INDIRECT(CONCATENATE("Table!",ADDRESS($BZ16,MATCH(AP$1,INDIRECT("Table!A" &amp; $BV16):INDIRECT("Table!" &amp; $CH$110 &amp; $BV16),0)))))/1024</f>
        <v>167.94482421875</v>
      </c>
      <c r="AQ16" s="709">
        <f ca="1">IF(ISERROR(MATCH(AQ$1,INDIRECT("Table!A"&amp;$BV16):INDIRECT("Table!" &amp; $CH$110 &amp; $BV16),0)),"",INDIRECT(CONCATENATE("Table!",ADDRESS($BZ16,MATCH(AQ$1,INDIRECT("Table!A" &amp; $BV16):INDIRECT("Table!" &amp; $CH$110 &amp; $BV16),0)))))/1024</f>
        <v>162.185546875</v>
      </c>
      <c r="AR16" s="709">
        <f ca="1">IF(ISERROR(MATCH(AR$1,INDIRECT("Table!A"&amp;$BV16):INDIRECT("Table!" &amp; $CH$110 &amp; $BV16),0)),"",INDIRECT(CONCATENATE("Table!",ADDRESS($BZ16,MATCH(AR$1,INDIRECT("Table!A" &amp; $BV16):INDIRECT("Table!" &amp; $CH$110 &amp; $BV16),0)))))/1024</f>
        <v>121.1125</v>
      </c>
      <c r="AS16" s="709">
        <f ca="1">IF(ISERROR(MATCH(AS$1,INDIRECT("Table!A"&amp;$BV16):INDIRECT("Table!" &amp; $CH$110 &amp; $BV16),0)),"",INDIRECT(CONCATENATE("Table!",ADDRESS($BZ16,MATCH(AS$1,INDIRECT("Table!A" &amp; $BV16):INDIRECT("Table!" &amp; $CH$110 &amp; $BV16),0)))))/1024</f>
        <v>218.81953125000001</v>
      </c>
      <c r="AT16" s="709">
        <f ca="1">IF(ISERROR(MATCH(AT$1,INDIRECT("Table!A"&amp;$BV16):INDIRECT("Table!" &amp; $CH$110 &amp; $BV16),0)),"",INDIRECT(CONCATENATE("Table!",ADDRESS($BZ16,MATCH(AT$1,INDIRECT("Table!A" &amp; $BV16):INDIRECT("Table!" &amp; $CH$110 &amp; $BV16),0)))))/1024</f>
        <v>188.50498046875001</v>
      </c>
      <c r="AU16" s="709">
        <f ca="1">IF(ISERROR(MATCH(AU$1,INDIRECT("Table!A"&amp;$BV16):INDIRECT("Table!" &amp; $CH$110 &amp; $BV16),0)),"",INDIRECT(CONCATENATE("Table!",ADDRESS($BZ16,MATCH(AU$1,INDIRECT("Table!A" &amp; $BV16):INDIRECT("Table!" &amp; $CH$110 &amp; $BV16),0)))))/1024</f>
        <v>427.94912109375002</v>
      </c>
      <c r="AV16" s="709">
        <f ca="1">IF(ISERROR(MATCH(AV$1,INDIRECT("Table!A"&amp;$BV16):INDIRECT("Table!" &amp; $CH$110 &amp; $BV16),0)),"",INDIRECT(CONCATENATE("Table!",ADDRESS($BZ16,MATCH(AV$1,INDIRECT("Table!A" &amp; $BV16):INDIRECT("Table!" &amp; $CH$110 &amp; $BV16),0)))))/1024</f>
        <v>81.092578125000003</v>
      </c>
      <c r="AW16" s="709">
        <f ca="1">IF(ISERROR(MATCH(AW$1,INDIRECT("Table!A"&amp;$BV16):INDIRECT("Table!" &amp; $CH$110 &amp; $BV16),0)),"",INDIRECT(CONCATENATE("Table!",ADDRESS($BZ16,MATCH(AW$1,INDIRECT("Table!A" &amp; $BV16):INDIRECT("Table!" &amp; $CH$110 &amp; $BV16),0)))))/1024</f>
        <v>269.65859375000002</v>
      </c>
      <c r="AX16" s="709">
        <f ca="1">IF(ISERROR(MATCH(AX$1,INDIRECT("Table!A"&amp;$BV16):INDIRECT("Table!" &amp; $CH$110 &amp; $BV16),0)),"",INDIRECT(CONCATENATE("Table!",ADDRESS($BZ16,MATCH(AX$1,INDIRECT("Table!A" &amp; $BV16):INDIRECT("Table!" &amp; $CH$110 &amp; $BV16),0)))))/1024</f>
        <v>81.092578125000003</v>
      </c>
      <c r="AY16" s="709">
        <f ca="1">IF(ISERROR(MATCH(AY$1,INDIRECT("Table!A"&amp;$BV16):INDIRECT("Table!" &amp; $CH$110 &amp; $BV16),0)),"",INDIRECT(CONCATENATE("Table!",ADDRESS($BZ16,MATCH(AY$1,INDIRECT("Table!A" &amp; $BV16):INDIRECT("Table!" &amp; $CH$110 &amp; $BV16),0)))))/1024</f>
        <v>187.12714843750001</v>
      </c>
      <c r="AZ16" s="709">
        <f ca="1">IF(ISERROR(MATCH(AZ$1,INDIRECT("Table!A"&amp;$BV16):INDIRECT("Table!" &amp; $CH$110 &amp; $BV16),0)),"",INDIRECT(CONCATENATE("Table!",ADDRESS($BZ16,MATCH(AZ$1,INDIRECT("Table!A" &amp; $BV16):INDIRECT("Table!" &amp; $CH$110 &amp; $BV16),0)))))/1024</f>
        <v>256.14150390625002</v>
      </c>
      <c r="BA16" s="709"/>
      <c r="BB16" s="709">
        <f ca="1">IF(ISERROR(MATCH(BB$1,INDIRECT("Table!A"&amp;$BV16):INDIRECT("Table!" &amp; $CH$110 &amp; $BV16),0)),"",INDIRECT(CONCATENATE("Table!",ADDRESS($BZ16,MATCH(BB$1,INDIRECT("Table!A" &amp; $BV16):INDIRECT("Table!" &amp; $CH$110 &amp; $BV16),0)))))/1024</f>
        <v>32.31494140625</v>
      </c>
      <c r="BC16" s="709">
        <f ca="1">IF(ISERROR(MATCH(BC$1,INDIRECT("Table!A"&amp;$BV16):INDIRECT("Table!" &amp; $CH$110 &amp; $BV16),0)),"",INDIRECT(CONCATENATE("Table!",ADDRESS($BZ16,MATCH(BC$1,INDIRECT("Table!A" &amp; $BV16):INDIRECT("Table!" &amp; $CH$110 &amp; $BV16),0)))))/1024</f>
        <v>99.80126953125</v>
      </c>
      <c r="BD16" s="709">
        <f ca="1">IF(ISERROR(MATCH(BD$1,INDIRECT("Table!A"&amp;$BV16):INDIRECT("Table!" &amp; $CH$110 &amp; $BV16),0)),"",INDIRECT(CONCATENATE("Table!",ADDRESS($BZ16,MATCH(BD$1,INDIRECT("Table!A" &amp; $BV16):INDIRECT("Table!" &amp; $CH$110 &amp; $BV16),0)))))/1024</f>
        <v>204.58642578125</v>
      </c>
      <c r="BE16" s="905">
        <f ca="1">IF(ISERROR(MATCH(BE$1,INDIRECT("Table!A"&amp;$BV16):INDIRECT("Table!" &amp; $CH$110 &amp; $BV16),0)),"",INDIRECT(CONCATENATE("Table!",ADDRESS($BZ16,MATCH(BE$1,INDIRECT("Table!A" &amp; $BV16):INDIRECT("Table!" &amp; $CH$110 &amp; $BV16),0)))))/1024</f>
        <v>99.80126953125</v>
      </c>
      <c r="BF16" s="905">
        <f ca="1">IF(ISERROR(MATCH(BF$1,INDIRECT("Table!A"&amp;$BV16):INDIRECT("Table!" &amp; $CH$110 &amp; $BV16),0)),"",INDIRECT(CONCATENATE("Table!",ADDRESS($BZ16,MATCH(BF$1,INDIRECT("Table!A" &amp; $BV16):INDIRECT("Table!" &amp; $CH$110 &amp; $BV16),0)))))/1024</f>
        <v>204.58642578125</v>
      </c>
      <c r="BG16" s="905">
        <f ca="1">IF(ISERROR(MATCH(BG$1,INDIRECT("Table!A"&amp;$BV16):INDIRECT("Table!" &amp; $CH$110 &amp; $BV16),0)),"",INDIRECT(CONCATENATE("Table!",ADDRESS($BZ16,MATCH(BG$1,INDIRECT("Table!A" &amp; $BV16):INDIRECT("Table!" &amp; $CH$110 &amp; $BV16),0)))))/1024</f>
        <v>99.80126953125</v>
      </c>
      <c r="BH16" s="905">
        <f ca="1">IF(ISERROR(MATCH(BH$1,INDIRECT("Table!A"&amp;$BV16):INDIRECT("Table!" &amp; $CH$110 &amp; $BV16),0)),"",INDIRECT(CONCATENATE("Table!",ADDRESS($BZ16,MATCH(BH$1,INDIRECT("Table!A" &amp; $BV16):INDIRECT("Table!" &amp; $CH$110 &amp; $BV16),0)))))/1024</f>
        <v>204.58642578125</v>
      </c>
      <c r="BI16" s="905">
        <f ca="1">IF(ISERROR(MATCH(BI$1,INDIRECT("Table!A"&amp;$BV16):INDIRECT("Table!" &amp; $CH$110 &amp; $BV16),0)),"",INDIRECT(CONCATENATE("Table!",ADDRESS($BZ16,MATCH(BI$1,INDIRECT("Table!A" &amp; $BV16):INDIRECT("Table!" &amp; $CH$110 &amp; $BV16),0)))))/1024</f>
        <v>320.99140625000001</v>
      </c>
      <c r="BJ16" s="905">
        <f ca="1">IF(ISERROR(MATCH(BJ$1,INDIRECT("Table!A"&amp;$BV16):INDIRECT("Table!" &amp; $CH$110 &amp; $BV16),0)),"",INDIRECT(CONCATENATE("Table!",ADDRESS($BZ16,MATCH(BJ$1,INDIRECT("Table!A" &amp; $BV16):INDIRECT("Table!" &amp; $CH$110 &amp; $BV16),0)))))/1024</f>
        <v>186.39765625000001</v>
      </c>
      <c r="BK16" s="905">
        <f ca="1">IF(ISERROR(MATCH(BK$1,INDIRECT("Table!A"&amp;$BV16):INDIRECT("Table!" &amp; $CH$110 &amp; $BV16),0)),"",INDIRECT(CONCATENATE("Table!",ADDRESS($BZ16,MATCH(BK$1,INDIRECT("Table!A" &amp; $BV16):INDIRECT("Table!" &amp; $CH$110 &amp; $BV16),0)))))/1024</f>
        <v>218.81953125000001</v>
      </c>
      <c r="BL16" s="905">
        <f ca="1">IF(ISERROR(MATCH(BL$1,INDIRECT("Table!A"&amp;$BV16):INDIRECT("Table!" &amp; $CH$110 &amp; $BV16),0)),"",INDIRECT(CONCATENATE("Table!",ADDRESS($BZ16,MATCH(BL$1,INDIRECT("Table!A" &amp; $BV16):INDIRECT("Table!" &amp; $CH$110 &amp; $BV16),0)))))/1024</f>
        <v>218.81953125000001</v>
      </c>
      <c r="BM16" s="905">
        <f ca="1">IF(ISERROR(MATCH(BM$1,INDIRECT("Table!A"&amp;$BV16):INDIRECT("Table!" &amp; $CH$110 &amp; $BV16),0)),"",INDIRECT(CONCATENATE("Table!",ADDRESS($BZ16,MATCH(BM$1,INDIRECT("Table!A" &amp; $BV16):INDIRECT("Table!" &amp; $CH$110 &amp; $BV16),0)))))/1024</f>
        <v>152.53330078125001</v>
      </c>
      <c r="BN16" s="905">
        <f ca="1">IF(ISERROR(MATCH(BN$1,INDIRECT("Table!A"&amp;$BV16):INDIRECT("Table!" &amp; $CH$110 &amp; $BV16),0)),"",INDIRECT(CONCATENATE("Table!",ADDRESS($BZ16,MATCH(BN$1,INDIRECT("Table!A" &amp; $BV16):INDIRECT("Table!" &amp; $CH$110 &amp; $BV16),0)))))/1024</f>
        <v>152.53330078125001</v>
      </c>
      <c r="BO16" s="905">
        <f ca="1">IF(ISERROR(MATCH(BO$1,INDIRECT("Table!A"&amp;$BV16):INDIRECT("Table!" &amp; $CH$110 &amp; $BV16),0)),"",INDIRECT(CONCATENATE("Table!",ADDRESS($BZ16,MATCH(BO$1,INDIRECT("Table!A" &amp; $BV16):INDIRECT("Table!" &amp; $CH$110 &amp; $BV16),0)))))/1024</f>
        <v>218.81455078125001</v>
      </c>
      <c r="BP16" s="905">
        <f ca="1">IF(ISERROR(MATCH(BP$1,INDIRECT("Table!A"&amp;$BV16):INDIRECT("Table!" &amp; $CH$110 &amp; $BV16),0)),"",INDIRECT(CONCATENATE("Table!",ADDRESS($BZ16,MATCH(BP$1,INDIRECT("Table!A" &amp; $BV16):INDIRECT("Table!" &amp; $CH$110 &amp; $BV16),0)))))/1024</f>
        <v>0</v>
      </c>
      <c r="BR16" s="704">
        <f>MATCH($A16,Table!$A:$A,0)+$BT$2-1</f>
        <v>187</v>
      </c>
      <c r="BS16" s="744"/>
      <c r="BT16" s="744"/>
      <c r="BU16" s="744"/>
      <c r="BV16" s="717">
        <f>MATCH($A16,Table!$A:$A,0)+$BX$2-1</f>
        <v>185</v>
      </c>
      <c r="BW16" s="744"/>
      <c r="BX16" s="744"/>
      <c r="BY16" s="744"/>
      <c r="BZ16" s="704">
        <f>MATCH($A16,Table!$A:$A,0)+$CB$2-1</f>
        <v>186</v>
      </c>
      <c r="CA16" s="744"/>
      <c r="CB16" s="744"/>
      <c r="CC16" s="744"/>
      <c r="CD16" s="717">
        <f>MATCH($A16,Table!$A:$A,0)+$BX$2-1</f>
        <v>185</v>
      </c>
      <c r="CE16" s="744"/>
      <c r="CF16" s="744"/>
      <c r="CG16" s="744"/>
      <c r="CH16" s="711" t="s">
        <v>302</v>
      </c>
      <c r="CI16" s="712">
        <f t="shared" ref="CI16" ca="1" si="65">SUM(AJ16:BP16)</f>
        <v>5834.1424804687485</v>
      </c>
      <c r="CJ16" s="712">
        <f t="shared" ca="1" si="1"/>
        <v>2162.9962890624993</v>
      </c>
      <c r="CK16" s="712">
        <f t="shared" ref="CK16" ca="1" si="66">CI16-CJ16</f>
        <v>3671.1461914062493</v>
      </c>
      <c r="CL16" s="718">
        <f t="shared" ref="CL16" ca="1" si="67">CJ16/CI16</f>
        <v>0.37074793704536191</v>
      </c>
      <c r="CM16" s="712">
        <f ca="1">SUMIF('Alloc Feed'!A:I,A:A,'Alloc Feed'!I:I)</f>
        <v>3933.6939023437494</v>
      </c>
      <c r="CN16" s="718">
        <f t="shared" ref="CN16" ca="1" si="68">CM16/CI16</f>
        <v>0.67425399971165834</v>
      </c>
    </row>
    <row r="17" spans="1:92" s="947" customFormat="1" x14ac:dyDescent="0.25">
      <c r="A17" s="703">
        <v>41878</v>
      </c>
      <c r="B17" s="709">
        <f ca="1">IF(ISERROR(MATCH(B$1,INDIRECT("Table!A"&amp;$BV17):INDIRECT("Table!" &amp; $CH$110 &amp; $BV17),0)),"",INDIRECT(CONCATENATE("Table!",ADDRESS($BR17,MATCH(B$1,INDIRECT("Table!A" &amp; $BV17):INDIRECT("Table!" &amp; $CH$110 &amp; $BV17),0)))))/1024</f>
        <v>55.53271484375</v>
      </c>
      <c r="C17" s="709">
        <f ca="1">IF(ISERROR(MATCH(C$1,INDIRECT("Table!A"&amp;$BV17):INDIRECT("Table!" &amp; $CH$110 &amp; $BV17),0)),"",INDIRECT(CONCATENATE("Table!",ADDRESS($BR17,MATCH(C$1,INDIRECT("Table!A" &amp; $BV17):INDIRECT("Table!" &amp; $CH$110 &amp; $BV17),0)))))/1024</f>
        <v>84.204980468749994</v>
      </c>
      <c r="D17" s="709">
        <f ca="1">IF(ISERROR(MATCH(D$1,INDIRECT("Table!A"&amp;$BV17):INDIRECT("Table!" &amp; $CH$110 &amp; $BV17),0)),"",INDIRECT(CONCATENATE("Table!",ADDRESS($BR17,MATCH(D$1,INDIRECT("Table!A" &amp; $BV17):INDIRECT("Table!" &amp; $CH$110 &amp; $BV17),0)))))/1024</f>
        <v>83.958105468750006</v>
      </c>
      <c r="E17" s="709">
        <f ca="1">IF(ISERROR(MATCH(E$1,INDIRECT("Table!A"&amp;$BV17):INDIRECT("Table!" &amp; $CH$110 &amp; $BV17),0)),"",INDIRECT(CONCATENATE("Table!",ADDRESS($BR17,MATCH(E$1,INDIRECT("Table!A" &amp; $BV17):INDIRECT("Table!" &amp; $CH$110 &amp; $BV17),0)))))/1024</f>
        <v>99.614843750000006</v>
      </c>
      <c r="F17" s="709">
        <f ca="1">IF(ISERROR(MATCH(F$1,INDIRECT("Table!A"&amp;$BV17):INDIRECT("Table!" &amp; $CH$110 &amp; $BV17),0)),"",INDIRECT(CONCATENATE("Table!",ADDRESS($BR17,MATCH(F$1,INDIRECT("Table!A" &amp; $BV17):INDIRECT("Table!" &amp; $CH$110 &amp; $BV17),0)))))/1024</f>
        <v>115.29189453124999</v>
      </c>
      <c r="G17" s="709">
        <f ca="1">IF(ISERROR(MATCH(G$1,INDIRECT("Table!A"&amp;$BV17):INDIRECT("Table!" &amp; $CH$110 &amp; $BV17),0)),"",INDIRECT(CONCATENATE("Table!",ADDRESS($BR17,MATCH(G$1,INDIRECT("Table!A" &amp; $BV17):INDIRECT("Table!" &amp; $CH$110 &amp; $BV17),0)))))/1024</f>
        <v>199.84306640624999</v>
      </c>
      <c r="H17" s="709">
        <f ca="1">IF(ISERROR(MATCH(H$1,INDIRECT("Table!A"&amp;$BV17):INDIRECT("Table!" &amp; $CH$110 &amp; $BV17),0)),"",INDIRECT(CONCATENATE("Table!",ADDRESS($BR17,MATCH(H$1,INDIRECT("Table!A" &amp; $BV17):INDIRECT("Table!" &amp; $CH$110 &amp; $BV17),0)))))/1024</f>
        <v>100.97304687499999</v>
      </c>
      <c r="I17" s="709">
        <f ca="1">IF(ISERROR(MATCH(I$1,INDIRECT("Table!A"&amp;$BV17):INDIRECT("Table!" &amp; $CH$110 &amp; $BV17),0)),"",INDIRECT(CONCATENATE("Table!",ADDRESS($BR17,MATCH(I$1,INDIRECT("Table!A" &amp; $BV17):INDIRECT("Table!" &amp; $CH$110 &amp; $BV17),0)))))/1024</f>
        <v>26.042675781250001</v>
      </c>
      <c r="J17" s="709">
        <f ca="1">IF(ISERROR(MATCH(J$1,INDIRECT("Table!A"&amp;$BV17):INDIRECT("Table!" &amp; $CH$110 &amp; $BV17),0)),"",INDIRECT(CONCATENATE("Table!",ADDRESS($BR17,MATCH(J$1,INDIRECT("Table!A" &amp; $BV17):INDIRECT("Table!" &amp; $CH$110 &amp; $BV17),0)))))/1024</f>
        <v>88.200292968750006</v>
      </c>
      <c r="K17" s="709">
        <f ca="1">IF(ISERROR(MATCH(K$1,INDIRECT("Table!A"&amp;$BV17):INDIRECT("Table!" &amp; $CH$110 &amp; $BV17),0)),"",INDIRECT(CONCATENATE("Table!",ADDRESS($BR17,MATCH(K$1,INDIRECT("Table!A" &amp; $BV17):INDIRECT("Table!" &amp; $CH$110 &amp; $BV17),0)))))/1024</f>
        <v>82.44287109375</v>
      </c>
      <c r="L17" s="709">
        <f ca="1">IF(ISERROR(MATCH(L$1,INDIRECT("Table!A"&amp;$BV17):INDIRECT("Table!" &amp; $CH$110 &amp; $BV17),0)),"",INDIRECT(CONCATENATE("Table!",ADDRESS($BR17,MATCH(L$1,INDIRECT("Table!A" &amp; $BV17):INDIRECT("Table!" &amp; $CH$110 &amp; $BV17),0)))))/1024</f>
        <v>92.755566406249997</v>
      </c>
      <c r="M17" s="709">
        <f ca="1">IF(ISERROR(MATCH(M$1,INDIRECT("Table!A"&amp;$BV17):INDIRECT("Table!" &amp; $CH$110 &amp; $BV17),0)),"",INDIRECT(CONCATENATE("Table!",ADDRESS($BR17,MATCH(M$1,INDIRECT("Table!A" &amp; $BV17):INDIRECT("Table!" &amp; $CH$110 &amp; $BV17),0)))))/1024</f>
        <v>205.43769531250001</v>
      </c>
      <c r="N17" s="709">
        <f ca="1">IF(ISERROR(MATCH(N$1,INDIRECT("Table!A"&amp;$BV17):INDIRECT("Table!" &amp; $CH$110 &amp; $BV17),0)),"",INDIRECT(CONCATENATE("Table!",ADDRESS($BR17,MATCH(N$1,INDIRECT("Table!A" &amp; $BV17):INDIRECT("Table!" &amp; $CH$110 &amp; $BV17),0)))))/1024</f>
        <v>58.153027343749997</v>
      </c>
      <c r="O17" s="709">
        <f ca="1">IF(ISERROR(MATCH(O$1,INDIRECT("Table!A"&amp;$BV17):INDIRECT("Table!" &amp; $CH$110 &amp; $BV17),0)),"",INDIRECT(CONCATENATE("Table!",ADDRESS($BR17,MATCH(O$1,INDIRECT("Table!A" &amp; $BV17):INDIRECT("Table!" &amp; $CH$110 &amp; $BV17),0)))))/1024</f>
        <v>184.19482421875</v>
      </c>
      <c r="P17" s="709">
        <f ca="1">IF(ISERROR(MATCH(P$1,INDIRECT("Table!A"&amp;$BV17):INDIRECT("Table!" &amp; $CH$110 &amp; $BV17),0)),"",INDIRECT(CONCATENATE("Table!",ADDRESS($BR17,MATCH(P$1,INDIRECT("Table!A" &amp; $BV17):INDIRECT("Table!" &amp; $CH$110 &amp; $BV17),0)))))/1024</f>
        <v>50.384082031250003</v>
      </c>
      <c r="Q17" s="709">
        <f ca="1">IF(ISERROR(MATCH(Q$1,INDIRECT("Table!A"&amp;$BV17):INDIRECT("Table!" &amp; $CH$110 &amp; $BV17),0)),"",INDIRECT(CONCATENATE("Table!",ADDRESS($BR17,MATCH(Q$1,INDIRECT("Table!A" &amp; $BV17):INDIRECT("Table!" &amp; $CH$110 &amp; $BV17),0)))))/1024</f>
        <v>141.95488281249999</v>
      </c>
      <c r="R17" s="709">
        <f ca="1">IF(ISERROR(MATCH(R$1,INDIRECT("Table!A"&amp;$BV17):INDIRECT("Table!" &amp; $CH$110 &amp; $BV17),0)),"",INDIRECT(CONCATENATE("Table!",ADDRESS($BR17,MATCH(R$1,INDIRECT("Table!A" &amp; $BV17):INDIRECT("Table!" &amp; $CH$110 &amp; $BV17),0)))))/1024</f>
        <v>166.86953124999999</v>
      </c>
      <c r="S17" s="709">
        <v>0</v>
      </c>
      <c r="T17" s="709">
        <f ca="1">IF(ISERROR(MATCH(T$1,INDIRECT("Table!A"&amp;$BV17):INDIRECT("Table!" &amp; $CH$65 &amp; $BV17),0)),"",INDIRECT(CONCATENATE("Table!",ADDRESS($BR17,MATCH(T$1,INDIRECT("Table!A" &amp; $BV17):INDIRECT("Table!" &amp; $CH$65 &amp; $BV17),0)))))/1024</f>
        <v>11.2826171875</v>
      </c>
      <c r="U17" s="709">
        <f ca="1">IF(ISERROR(MATCH(U$1,INDIRECT("Table!A"&amp;$BV17):INDIRECT("Table!" &amp; $CH$65 &amp; $BV17),0)),"",INDIRECT(CONCATENATE("Table!",ADDRESS($BR17,MATCH(U$1,INDIRECT("Table!A" &amp; $BV17):INDIRECT("Table!" &amp; $CH$65 &amp; $BV17),0)))))/1024</f>
        <v>15.02646484375</v>
      </c>
      <c r="V17" s="709">
        <f ca="1">IF(ISERROR(MATCH(V$1,INDIRECT("Table!A"&amp;$BV17):INDIRECT("Table!" &amp; $CH$65 &amp; $BV17),0)),"",INDIRECT(CONCATENATE("Table!",ADDRESS($BR17,MATCH(V$1,INDIRECT("Table!A" &amp; $BV17):INDIRECT("Table!" &amp; $CH$65 &amp; $BV17),0)))))/1024</f>
        <v>30.052734375</v>
      </c>
      <c r="W17" s="709">
        <f ca="1">IF(ISERROR(MATCH(W$1,INDIRECT("Table!A"&amp;$BV17):INDIRECT("Table!" &amp; $CH$65 &amp; $BV17),0)),"",INDIRECT(CONCATENATE("Table!",ADDRESS($BR17,MATCH(W$1,INDIRECT("Table!A" &amp; $BV17):INDIRECT("Table!" &amp; $CH$65 &amp; $BV17),0)))))/1024</f>
        <v>25.363183593750001</v>
      </c>
      <c r="X17" s="709">
        <f ca="1">IF(ISERROR(MATCH(X$1,INDIRECT("Table!A"&amp;$BV17):INDIRECT("Table!" &amp; $CH$65 &amp; $BV17),0)),"",INDIRECT(CONCATENATE("Table!",ADDRESS($BR17,MATCH(X$1,INDIRECT("Table!A" &amp; $BV17):INDIRECT("Table!" &amp; $CH$65 &amp; $BV17),0)))))/1024</f>
        <v>49.836035156249999</v>
      </c>
      <c r="Y17" s="709">
        <f ca="1">IF(ISERROR(MATCH(Y$1,INDIRECT("Table!A"&amp;$BV17):INDIRECT("Table!" &amp; $CH$65 &amp; $BV17),0)),"",INDIRECT(CONCATENATE("Table!",ADDRESS($BR17,MATCH(Y$1,INDIRECT("Table!A" &amp; $BV17):INDIRECT("Table!" &amp; $CH$65 &amp; $BV17),0)))))/1024</f>
        <v>7.4336914062500004</v>
      </c>
      <c r="Z17" s="709">
        <f ca="1">IF(ISERROR(MATCH(Z$1,INDIRECT("Table!A"&amp;$BV17):INDIRECT("Table!" &amp; $CH$65 &amp; $BV17),0)),"",INDIRECT(CONCATENATE("Table!",ADDRESS($BR17,MATCH(Z$1,INDIRECT("Table!A" &amp; $BV17):INDIRECT("Table!" &amp; $CH$65 &amp; $BV17),0)))))/1024</f>
        <v>14.865527343749999</v>
      </c>
      <c r="AA17" s="709">
        <f ca="1">IF(ISERROR(MATCH(AA$1,INDIRECT("Table!A"&amp;$BV17):INDIRECT("Table!" &amp; $CH$65 &amp; $BV17),0)),"",INDIRECT(CONCATENATE("Table!",ADDRESS($BR17,MATCH(AA$1,INDIRECT("Table!A" &amp; $BV17):INDIRECT("Table!" &amp; $CH$65 &amp; $BV17),0)))))/1024</f>
        <v>59.3193359375</v>
      </c>
      <c r="AB17" s="709">
        <f ca="1">IF(ISERROR(MATCH(AB$1,INDIRECT("Table!A"&amp;$BV17):INDIRECT("Table!" &amp; $CH$65 &amp; $BV17),0)),"",INDIRECT(CONCATENATE("Table!",ADDRESS($BR17,MATCH(AB$1,INDIRECT("Table!A" &amp; $BV17):INDIRECT("Table!" &amp; $CH$65 &amp; $BV17),0)))))/1024</f>
        <v>4.7851562500000003E-3</v>
      </c>
      <c r="AC17" s="709">
        <f ca="1">IF(ISERROR(MATCH(AC$1,INDIRECT("Table!A"&amp;$BV17):INDIRECT("Table!" &amp; $CH$65 &amp; $BV17),0)),"",INDIRECT(CONCATENATE("Table!",ADDRESS($BR17,MATCH(AC$1,INDIRECT("Table!A" &amp; $BV17):INDIRECT("Table!" &amp; $CH$65 &amp; $BV17),0)))))/1024</f>
        <v>10.6787109375</v>
      </c>
      <c r="AD17" s="709">
        <f ca="1">IF(ISERROR(MATCH(AD$1,INDIRECT("Table!A"&amp;$BV17):INDIRECT("Table!" &amp; $CH$65 &amp; $BV17),0)),"",INDIRECT(CONCATENATE("Table!",ADDRESS($BR17,MATCH(AD$1,INDIRECT("Table!A" &amp; $BV17):INDIRECT("Table!" &amp; $CH$65 &amp; $BV17),0)))))/1024</f>
        <v>54.867773437499999</v>
      </c>
      <c r="AE17" s="709">
        <f ca="1">IF(ISERROR(MATCH(AE$1,INDIRECT("Table!A"&amp;$BV17):INDIRECT("Table!" &amp; $CH$65 &amp; $BV17),0)),"",INDIRECT(CONCATENATE("Table!",ADDRESS($BR17,MATCH(AE$1,INDIRECT("Table!A" &amp; $BV17):INDIRECT("Table!" &amp; $CH$65 &amp; $BV17),0)))))/1024</f>
        <v>7.92529296875</v>
      </c>
      <c r="AF17" s="709">
        <f ca="1">IF(ISERROR(MATCH(AF$1,INDIRECT("Table!A"&amp;$BV17):INDIRECT("Table!" &amp; $CH$65 &amp; $BV17),0)),"",INDIRECT(CONCATENATE("Table!",ADDRESS($BR17,MATCH(AF$1,INDIRECT("Table!A" &amp; $BV17):INDIRECT("Table!" &amp; $CH$65 &amp; $BV17),0)))))/1024</f>
        <v>7.92529296875</v>
      </c>
      <c r="AG17" s="709">
        <f ca="1">IF(ISERROR(MATCH(AG$1,INDIRECT("Table!A"&amp;$BV17):INDIRECT("Table!" &amp; $CH$65 &amp; $BV17),0)),"",INDIRECT(CONCATENATE("Table!",ADDRESS($BR17,MATCH(AG$1,INDIRECT("Table!A" &amp; $BV17):INDIRECT("Table!" &amp; $CH$65 &amp; $BV17),0)))))/1024</f>
        <v>6.2490234375</v>
      </c>
      <c r="AH17" s="709">
        <f ca="1">IF(ISERROR(MATCH(AH$1,INDIRECT("Table!A"&amp;$BV17):INDIRECT("Table!" &amp; $CH$65 &amp; $BV17),0)),"",INDIRECT(CONCATENATE("Table!",ADDRESS($BR17,MATCH(AH$1,INDIRECT("Table!A" &amp; $BV17):INDIRECT("Table!" &amp; $CH$65 &amp; $BV17),0)))))/1024</f>
        <v>0</v>
      </c>
      <c r="AI17" s="709" t="str">
        <f ca="1">IF(ISERROR(MATCH(AI$1,INDIRECT("Table!A"&amp;$BV17):INDIRECT("Table!" &amp; $CH$110 &amp; $BV17),0)),"",INDIRECT(CONCATENATE("Table!",ADDRESS($BR17,MATCH(AI$1,INDIRECT("Table!A" &amp; $BV17):INDIRECT("Table!" &amp; $CH$110 &amp; $BV17),0)))))</f>
        <v/>
      </c>
      <c r="AJ17" s="709">
        <f ca="1">IF(ISERROR(MATCH(AJ$1,INDIRECT("Table!A"&amp;$BV17):INDIRECT("Table!" &amp; $CH$110 &amp; $BV17),0)),"",INDIRECT(CONCATENATE("Table!",ADDRESS($BZ17,MATCH(AJ$1,INDIRECT("Table!A" &amp; $BV17):INDIRECT("Table!" &amp; $CH$110 &amp; $BV17),0)))))/1024</f>
        <v>244.15859374999999</v>
      </c>
      <c r="AK17" s="709">
        <f ca="1">IF(ISERROR(MATCH(AK$1,INDIRECT("Table!A"&amp;$BV17):INDIRECT("Table!" &amp; $CH$110 &amp; $BV17),0)),"",INDIRECT(CONCATENATE("Table!",ADDRESS($BZ17,MATCH(AK$1,INDIRECT("Table!A" &amp; $BV17):INDIRECT("Table!" &amp; $CH$110 &amp; $BV17),0)))))/1024</f>
        <v>146.98896484375001</v>
      </c>
      <c r="AL17" s="709">
        <f ca="1">IF(ISERROR(MATCH(AL$1,INDIRECT("Table!A"&amp;$BV17):INDIRECT("Table!" &amp; $CH$110 &amp; $BV17),0)),"",INDIRECT(CONCATENATE("Table!",ADDRESS($BZ17,MATCH(AL$1,INDIRECT("Table!A" &amp; $BV17):INDIRECT("Table!" &amp; $CH$110 &amp; $BV17),0)))))/1024</f>
        <v>146.98896484375001</v>
      </c>
      <c r="AM17" s="709">
        <f ca="1">IF(ISERROR(MATCH(AM$1,INDIRECT("Table!A"&amp;$BV17):INDIRECT("Table!" &amp; $CH$110 &amp; $BV17),0)),"",INDIRECT(CONCATENATE("Table!",ADDRESS($BZ17,MATCH(AM$1,INDIRECT("Table!A" &amp; $BV17):INDIRECT("Table!" &amp; $CH$110 &amp; $BV17),0)))))/1024</f>
        <v>177.73320312499999</v>
      </c>
      <c r="AN17" s="709">
        <f ca="1">IF(ISERROR(MATCH(AN$1,INDIRECT("Table!A"&amp;$BV17):INDIRECT("Table!" &amp; $CH$110 &amp; $BV17),0)),"",INDIRECT(CONCATENATE("Table!",ADDRESS($BZ17,MATCH(AN$1,INDIRECT("Table!A" &amp; $BV17):INDIRECT("Table!" &amp; $CH$110 &amp; $BV17),0)))))/1024</f>
        <v>161.88056640625001</v>
      </c>
      <c r="AO17" s="709">
        <f ca="1">IF(ISERROR(MATCH(AO$1,INDIRECT("Table!A"&amp;$BV17):INDIRECT("Table!" &amp; $CH$110 &amp; $BV17),0)),"",INDIRECT(CONCATENATE("Table!",ADDRESS($BZ17,MATCH(AO$1,INDIRECT("Table!A" &amp; $BV17):INDIRECT("Table!" &amp; $CH$110 &amp; $BV17),0)))))/1024</f>
        <v>380.3759765625</v>
      </c>
      <c r="AP17" s="709">
        <f ca="1">IF(ISERROR(MATCH(AP$1,INDIRECT("Table!A"&amp;$BV17):INDIRECT("Table!" &amp; $CH$110 &amp; $BV17),0)),"",INDIRECT(CONCATENATE("Table!",ADDRESS($BZ17,MATCH(AP$1,INDIRECT("Table!A" &amp; $BV17):INDIRECT("Table!" &amp; $CH$110 &amp; $BV17),0)))))/1024</f>
        <v>167.94482421875</v>
      </c>
      <c r="AQ17" s="709">
        <f ca="1">IF(ISERROR(MATCH(AQ$1,INDIRECT("Table!A"&amp;$BV17):INDIRECT("Table!" &amp; $CH$110 &amp; $BV17),0)),"",INDIRECT(CONCATENATE("Table!",ADDRESS($BZ17,MATCH(AQ$1,INDIRECT("Table!A" &amp; $BV17):INDIRECT("Table!" &amp; $CH$110 &amp; $BV17),0)))))/1024</f>
        <v>162.185546875</v>
      </c>
      <c r="AR17" s="709">
        <f ca="1">IF(ISERROR(MATCH(AR$1,INDIRECT("Table!A"&amp;$BV17):INDIRECT("Table!" &amp; $CH$110 &amp; $BV17),0)),"",INDIRECT(CONCATENATE("Table!",ADDRESS($BZ17,MATCH(AR$1,INDIRECT("Table!A" &amp; $BV17):INDIRECT("Table!" &amp; $CH$110 &amp; $BV17),0)))))/1024</f>
        <v>121.1125</v>
      </c>
      <c r="AS17" s="709">
        <f ca="1">IF(ISERROR(MATCH(AS$1,INDIRECT("Table!A"&amp;$BV17):INDIRECT("Table!" &amp; $CH$110 &amp; $BV17),0)),"",INDIRECT(CONCATENATE("Table!",ADDRESS($BZ17,MATCH(AS$1,INDIRECT("Table!A" &amp; $BV17):INDIRECT("Table!" &amp; $CH$110 &amp; $BV17),0)))))/1024</f>
        <v>218.81953125000001</v>
      </c>
      <c r="AT17" s="709">
        <f ca="1">IF(ISERROR(MATCH(AT$1,INDIRECT("Table!A"&amp;$BV17):INDIRECT("Table!" &amp; $CH$110 &amp; $BV17),0)),"",INDIRECT(CONCATENATE("Table!",ADDRESS($BZ17,MATCH(AT$1,INDIRECT("Table!A" &amp; $BV17):INDIRECT("Table!" &amp; $CH$110 &amp; $BV17),0)))))/1024</f>
        <v>188.50498046875001</v>
      </c>
      <c r="AU17" s="709">
        <f ca="1">IF(ISERROR(MATCH(AU$1,INDIRECT("Table!A"&amp;$BV17):INDIRECT("Table!" &amp; $CH$110 &amp; $BV17),0)),"",INDIRECT(CONCATENATE("Table!",ADDRESS($BZ17,MATCH(AU$1,INDIRECT("Table!A" &amp; $BV17):INDIRECT("Table!" &amp; $CH$110 &amp; $BV17),0)))))/1024</f>
        <v>427.94912109375002</v>
      </c>
      <c r="AV17" s="709">
        <f ca="1">IF(ISERROR(MATCH(AV$1,INDIRECT("Table!A"&amp;$BV17):INDIRECT("Table!" &amp; $CH$110 &amp; $BV17),0)),"",INDIRECT(CONCATENATE("Table!",ADDRESS($BZ17,MATCH(AV$1,INDIRECT("Table!A" &amp; $BV17):INDIRECT("Table!" &amp; $CH$110 &amp; $BV17),0)))))/1024</f>
        <v>81.092578125000003</v>
      </c>
      <c r="AW17" s="709">
        <f ca="1">IF(ISERROR(MATCH(AW$1,INDIRECT("Table!A"&amp;$BV17):INDIRECT("Table!" &amp; $CH$110 &amp; $BV17),0)),"",INDIRECT(CONCATENATE("Table!",ADDRESS($BZ17,MATCH(AW$1,INDIRECT("Table!A" &amp; $BV17):INDIRECT("Table!" &amp; $CH$110 &amp; $BV17),0)))))/1024</f>
        <v>269.65859375000002</v>
      </c>
      <c r="AX17" s="709">
        <f ca="1">IF(ISERROR(MATCH(AX$1,INDIRECT("Table!A"&amp;$BV17):INDIRECT("Table!" &amp; $CH$110 &amp; $BV17),0)),"",INDIRECT(CONCATENATE("Table!",ADDRESS($BZ17,MATCH(AX$1,INDIRECT("Table!A" &amp; $BV17):INDIRECT("Table!" &amp; $CH$110 &amp; $BV17),0)))))/1024</f>
        <v>81.092578125000003</v>
      </c>
      <c r="AY17" s="709">
        <f ca="1">IF(ISERROR(MATCH(AY$1,INDIRECT("Table!A"&amp;$BV17):INDIRECT("Table!" &amp; $CH$110 &amp; $BV17),0)),"",INDIRECT(CONCATENATE("Table!",ADDRESS($BZ17,MATCH(AY$1,INDIRECT("Table!A" &amp; $BV17):INDIRECT("Table!" &amp; $CH$110 &amp; $BV17),0)))))/1024</f>
        <v>187.12714843750001</v>
      </c>
      <c r="AZ17" s="709">
        <f ca="1">IF(ISERROR(MATCH(AZ$1,INDIRECT("Table!A"&amp;$BV17):INDIRECT("Table!" &amp; $CH$110 &amp; $BV17),0)),"",INDIRECT(CONCATENATE("Table!",ADDRESS($BZ17,MATCH(AZ$1,INDIRECT("Table!A" &amp; $BV17):INDIRECT("Table!" &amp; $CH$110 &amp; $BV17),0)))))/1024</f>
        <v>256.14150390625002</v>
      </c>
      <c r="BA17" s="709"/>
      <c r="BB17" s="709">
        <f ca="1">IF(ISERROR(MATCH(BB$1,INDIRECT("Table!A"&amp;$BV17):INDIRECT("Table!" &amp; $CH$110 &amp; $BV17),0)),"",INDIRECT(CONCATENATE("Table!",ADDRESS($BZ17,MATCH(BB$1,INDIRECT("Table!A" &amp; $BV17):INDIRECT("Table!" &amp; $CH$110 &amp; $BV17),0)))))/1024</f>
        <v>32.31494140625</v>
      </c>
      <c r="BC17" s="709">
        <f ca="1">IF(ISERROR(MATCH(BC$1,INDIRECT("Table!A"&amp;$BV17):INDIRECT("Table!" &amp; $CH$110 &amp; $BV17),0)),"",INDIRECT(CONCATENATE("Table!",ADDRESS($BZ17,MATCH(BC$1,INDIRECT("Table!A" &amp; $BV17):INDIRECT("Table!" &amp; $CH$110 &amp; $BV17),0)))))/1024</f>
        <v>99.80126953125</v>
      </c>
      <c r="BD17" s="709">
        <f ca="1">IF(ISERROR(MATCH(BD$1,INDIRECT("Table!A"&amp;$BV17):INDIRECT("Table!" &amp; $CH$110 &amp; $BV17),0)),"",INDIRECT(CONCATENATE("Table!",ADDRESS($BZ17,MATCH(BD$1,INDIRECT("Table!A" &amp; $BV17):INDIRECT("Table!" &amp; $CH$110 &amp; $BV17),0)))))/1024</f>
        <v>204.58642578125</v>
      </c>
      <c r="BE17" s="905">
        <f ca="1">IF(ISERROR(MATCH(BE$1,INDIRECT("Table!A"&amp;$BV17):INDIRECT("Table!" &amp; $CH$110 &amp; $BV17),0)),"",INDIRECT(CONCATENATE("Table!",ADDRESS($BZ17,MATCH(BE$1,INDIRECT("Table!A" &amp; $BV17):INDIRECT("Table!" &amp; $CH$110 &amp; $BV17),0)))))/1024</f>
        <v>99.80126953125</v>
      </c>
      <c r="BF17" s="905">
        <f ca="1">IF(ISERROR(MATCH(BF$1,INDIRECT("Table!A"&amp;$BV17):INDIRECT("Table!" &amp; $CH$110 &amp; $BV17),0)),"",INDIRECT(CONCATENATE("Table!",ADDRESS($BZ17,MATCH(BF$1,INDIRECT("Table!A" &amp; $BV17):INDIRECT("Table!" &amp; $CH$110 &amp; $BV17),0)))))/1024</f>
        <v>204.58642578125</v>
      </c>
      <c r="BG17" s="905">
        <f ca="1">IF(ISERROR(MATCH(BG$1,INDIRECT("Table!A"&amp;$BV17):INDIRECT("Table!" &amp; $CH$110 &amp; $BV17),0)),"",INDIRECT(CONCATENATE("Table!",ADDRESS($BZ17,MATCH(BG$1,INDIRECT("Table!A" &amp; $BV17):INDIRECT("Table!" &amp; $CH$110 &amp; $BV17),0)))))/1024</f>
        <v>99.80126953125</v>
      </c>
      <c r="BH17" s="905">
        <f ca="1">IF(ISERROR(MATCH(BH$1,INDIRECT("Table!A"&amp;$BV17):INDIRECT("Table!" &amp; $CH$110 &amp; $BV17),0)),"",INDIRECT(CONCATENATE("Table!",ADDRESS($BZ17,MATCH(BH$1,INDIRECT("Table!A" &amp; $BV17):INDIRECT("Table!" &amp; $CH$110 &amp; $BV17),0)))))/1024</f>
        <v>204.58642578125</v>
      </c>
      <c r="BI17" s="905">
        <f ca="1">IF(ISERROR(MATCH(BI$1,INDIRECT("Table!A"&amp;$BV17):INDIRECT("Table!" &amp; $CH$110 &amp; $BV17),0)),"",INDIRECT(CONCATENATE("Table!",ADDRESS($BZ17,MATCH(BI$1,INDIRECT("Table!A" &amp; $BV17):INDIRECT("Table!" &amp; $CH$110 &amp; $BV17),0)))))/1024</f>
        <v>320.99140625000001</v>
      </c>
      <c r="BJ17" s="905">
        <f ca="1">IF(ISERROR(MATCH(BJ$1,INDIRECT("Table!A"&amp;$BV17):INDIRECT("Table!" &amp; $CH$110 &amp; $BV17),0)),"",INDIRECT(CONCATENATE("Table!",ADDRESS($BZ17,MATCH(BJ$1,INDIRECT("Table!A" &amp; $BV17):INDIRECT("Table!" &amp; $CH$110 &amp; $BV17),0)))))/1024</f>
        <v>186.39765625000001</v>
      </c>
      <c r="BK17" s="905">
        <f ca="1">IF(ISERROR(MATCH(BK$1,INDIRECT("Table!A"&amp;$BV17):INDIRECT("Table!" &amp; $CH$110 &amp; $BV17),0)),"",INDIRECT(CONCATENATE("Table!",ADDRESS($BZ17,MATCH(BK$1,INDIRECT("Table!A" &amp; $BV17):INDIRECT("Table!" &amp; $CH$110 &amp; $BV17),0)))))/1024</f>
        <v>218.81953125000001</v>
      </c>
      <c r="BL17" s="905">
        <f ca="1">IF(ISERROR(MATCH(BL$1,INDIRECT("Table!A"&amp;$BV17):INDIRECT("Table!" &amp; $CH$110 &amp; $BV17),0)),"",INDIRECT(CONCATENATE("Table!",ADDRESS($BZ17,MATCH(BL$1,INDIRECT("Table!A" &amp; $BV17):INDIRECT("Table!" &amp; $CH$110 &amp; $BV17),0)))))/1024</f>
        <v>218.81953125000001</v>
      </c>
      <c r="BM17" s="905">
        <f ca="1">IF(ISERROR(MATCH(BM$1,INDIRECT("Table!A"&amp;$BV17):INDIRECT("Table!" &amp; $CH$110 &amp; $BV17),0)),"",INDIRECT(CONCATENATE("Table!",ADDRESS($BZ17,MATCH(BM$1,INDIRECT("Table!A" &amp; $BV17):INDIRECT("Table!" &amp; $CH$110 &amp; $BV17),0)))))/1024</f>
        <v>152.53330078125001</v>
      </c>
      <c r="BN17" s="905">
        <f ca="1">IF(ISERROR(MATCH(BN$1,INDIRECT("Table!A"&amp;$BV17):INDIRECT("Table!" &amp; $CH$110 &amp; $BV17),0)),"",INDIRECT(CONCATENATE("Table!",ADDRESS($BZ17,MATCH(BN$1,INDIRECT("Table!A" &amp; $BV17):INDIRECT("Table!" &amp; $CH$110 &amp; $BV17),0)))))/1024</f>
        <v>152.53330078125001</v>
      </c>
      <c r="BO17" s="905">
        <f ca="1">IF(ISERROR(MATCH(BO$1,INDIRECT("Table!A"&amp;$BV17):INDIRECT("Table!" &amp; $CH$110 &amp; $BV17),0)),"",INDIRECT(CONCATENATE("Table!",ADDRESS($BZ17,MATCH(BO$1,INDIRECT("Table!A" &amp; $BV17):INDIRECT("Table!" &amp; $CH$110 &amp; $BV17),0)))))/1024</f>
        <v>218.81455078125001</v>
      </c>
      <c r="BP17" s="905">
        <f ca="1">IF(ISERROR(MATCH(BP$1,INDIRECT("Table!A"&amp;$BV17):INDIRECT("Table!" &amp; $CH$110 &amp; $BV17),0)),"",INDIRECT(CONCATENATE("Table!",ADDRESS($BZ17,MATCH(BP$1,INDIRECT("Table!A" &amp; $BV17):INDIRECT("Table!" &amp; $CH$110 &amp; $BV17),0)))))/1024</f>
        <v>0</v>
      </c>
      <c r="BR17" s="704">
        <f>MATCH($A17,Table!$A:$A,0)+$BT$2-1</f>
        <v>201</v>
      </c>
      <c r="BS17" s="744"/>
      <c r="BT17" s="744"/>
      <c r="BU17" s="744"/>
      <c r="BV17" s="717">
        <f>MATCH($A17,Table!$A:$A,0)+$BX$2-1</f>
        <v>199</v>
      </c>
      <c r="BW17" s="744"/>
      <c r="BX17" s="744"/>
      <c r="BY17" s="744"/>
      <c r="BZ17" s="704">
        <f>MATCH($A17,Table!$A:$A,0)+$CB$2-1</f>
        <v>200</v>
      </c>
      <c r="CA17" s="744"/>
      <c r="CB17" s="744"/>
      <c r="CC17" s="744"/>
      <c r="CD17" s="717">
        <f>MATCH($A17,Table!$A:$A,0)+$BX$2-1</f>
        <v>199</v>
      </c>
      <c r="CE17" s="744"/>
      <c r="CF17" s="744"/>
      <c r="CG17" s="744"/>
      <c r="CH17" s="711" t="s">
        <v>302</v>
      </c>
      <c r="CI17" s="712">
        <f t="shared" ref="CI17" ca="1" si="69">SUM(AJ17:BP17)</f>
        <v>5834.1424804687485</v>
      </c>
      <c r="CJ17" s="712">
        <f t="shared" ca="1" si="1"/>
        <v>2136.6845703125</v>
      </c>
      <c r="CK17" s="712">
        <f t="shared" ref="CK17" ca="1" si="70">CI17-CJ17</f>
        <v>3697.4579101562485</v>
      </c>
      <c r="CL17" s="718">
        <f t="shared" ref="CL17" ca="1" si="71">CJ17/CI17</f>
        <v>0.36623798226827442</v>
      </c>
      <c r="CM17" s="712">
        <f ca="1">SUMIF('Alloc Feed'!A:I,A:A,'Alloc Feed'!I:I)</f>
        <v>3862.1769843749998</v>
      </c>
      <c r="CN17" s="718">
        <f t="shared" ref="CN17" ca="1" si="72">CM17/CI17</f>
        <v>0.66199565699751139</v>
      </c>
    </row>
    <row r="18" spans="1:92" s="947" customFormat="1" x14ac:dyDescent="0.25">
      <c r="A18" s="703">
        <v>41871</v>
      </c>
      <c r="B18" s="709">
        <f ca="1">IF(ISERROR(MATCH(B$1,INDIRECT("Table!A"&amp;$BV18):INDIRECT("Table!" &amp; $CH$110 &amp; $BV18),0)),"",INDIRECT(CONCATENATE("Table!",ADDRESS($BR18,MATCH(B$1,INDIRECT("Table!A" &amp; $BV18):INDIRECT("Table!" &amp; $CH$110 &amp; $BV18),0)))))/1024</f>
        <v>73.549609375000003</v>
      </c>
      <c r="C18" s="709">
        <f ca="1">IF(ISERROR(MATCH(C$1,INDIRECT("Table!A"&amp;$BV18):INDIRECT("Table!" &amp; $CH$110 &amp; $BV18),0)),"",INDIRECT(CONCATENATE("Table!",ADDRESS($BR18,MATCH(C$1,INDIRECT("Table!A" &amp; $BV18):INDIRECT("Table!" &amp; $CH$110 &amp; $BV18),0)))))/1024</f>
        <v>84.179589843749994</v>
      </c>
      <c r="D18" s="709">
        <f ca="1">IF(ISERROR(MATCH(D$1,INDIRECT("Table!A"&amp;$BV18):INDIRECT("Table!" &amp; $CH$110 &amp; $BV18),0)),"",INDIRECT(CONCATENATE("Table!",ADDRESS($BR18,MATCH(D$1,INDIRECT("Table!A" &amp; $BV18):INDIRECT("Table!" &amp; $CH$110 &amp; $BV18),0)))))/1024</f>
        <v>83.932812499999997</v>
      </c>
      <c r="E18" s="709">
        <f ca="1">IF(ISERROR(MATCH(E$1,INDIRECT("Table!A"&amp;$BV18):INDIRECT("Table!" &amp; $CH$110 &amp; $BV18),0)),"",INDIRECT(CONCATENATE("Table!",ADDRESS($BR18,MATCH(E$1,INDIRECT("Table!A" &amp; $BV18):INDIRECT("Table!" &amp; $CH$110 &amp; $BV18),0)))))/1024</f>
        <v>126.61826171875001</v>
      </c>
      <c r="F18" s="709">
        <f ca="1">IF(ISERROR(MATCH(F$1,INDIRECT("Table!A"&amp;$BV18):INDIRECT("Table!" &amp; $CH$110 &amp; $BV18),0)),"",INDIRECT(CONCATENATE("Table!",ADDRESS($BR18,MATCH(F$1,INDIRECT("Table!A" &amp; $BV18):INDIRECT("Table!" &amp; $CH$110 &amp; $BV18),0)))))/1024</f>
        <v>115.10859375</v>
      </c>
      <c r="G18" s="709">
        <f ca="1">IF(ISERROR(MATCH(G$1,INDIRECT("Table!A"&amp;$BV18):INDIRECT("Table!" &amp; $CH$110 &amp; $BV18),0)),"",INDIRECT(CONCATENATE("Table!",ADDRESS($BR18,MATCH(G$1,INDIRECT("Table!A" &amp; $BV18):INDIRECT("Table!" &amp; $CH$110 &amp; $BV18),0)))))/1024</f>
        <v>214.12666015625001</v>
      </c>
      <c r="H18" s="709">
        <f ca="1">IF(ISERROR(MATCH(H$1,INDIRECT("Table!A"&amp;$BV18):INDIRECT("Table!" &amp; $CH$110 &amp; $BV18),0)),"",INDIRECT(CONCATENATE("Table!",ADDRESS($BR18,MATCH(H$1,INDIRECT("Table!A" &amp; $BV18):INDIRECT("Table!" &amp; $CH$110 &amp; $BV18),0)))))/1024</f>
        <v>100.74179687500001</v>
      </c>
      <c r="I18" s="709">
        <f ca="1">IF(ISERROR(MATCH(I$1,INDIRECT("Table!A"&amp;$BV18):INDIRECT("Table!" &amp; $CH$110 &amp; $BV18),0)),"",INDIRECT(CONCATENATE("Table!",ADDRESS($BR18,MATCH(I$1,INDIRECT("Table!A" &amp; $BV18):INDIRECT("Table!" &amp; $CH$110 &amp; $BV18),0)))))/1024</f>
        <v>25.972265624999999</v>
      </c>
      <c r="J18" s="709">
        <f ca="1">IF(ISERROR(MATCH(J$1,INDIRECT("Table!A"&amp;$BV18):INDIRECT("Table!" &amp; $CH$110 &amp; $BV18),0)),"",INDIRECT(CONCATENATE("Table!",ADDRESS($BR18,MATCH(J$1,INDIRECT("Table!A" &amp; $BV18):INDIRECT("Table!" &amp; $CH$110 &amp; $BV18),0)))))/1024</f>
        <v>87.72119140625</v>
      </c>
      <c r="K18" s="709">
        <f ca="1">IF(ISERROR(MATCH(K$1,INDIRECT("Table!A"&amp;$BV18):INDIRECT("Table!" &amp; $CH$110 &amp; $BV18),0)),"",INDIRECT(CONCATENATE("Table!",ADDRESS($BR18,MATCH(K$1,INDIRECT("Table!A" &amp; $BV18):INDIRECT("Table!" &amp; $CH$110 &amp; $BV18),0)))))/1024</f>
        <v>81.724511718749994</v>
      </c>
      <c r="L18" s="709">
        <f ca="1">IF(ISERROR(MATCH(L$1,INDIRECT("Table!A"&amp;$BV18):INDIRECT("Table!" &amp; $CH$110 &amp; $BV18),0)),"",INDIRECT(CONCATENATE("Table!",ADDRESS($BR18,MATCH(L$1,INDIRECT("Table!A" &amp; $BV18):INDIRECT("Table!" &amp; $CH$110 &amp; $BV18),0)))))/1024</f>
        <v>99.873046875</v>
      </c>
      <c r="M18" s="709">
        <f ca="1">IF(ISERROR(MATCH(M$1,INDIRECT("Table!A"&amp;$BV18):INDIRECT("Table!" &amp; $CH$110 &amp; $BV18),0)),"",INDIRECT(CONCATENATE("Table!",ADDRESS($BR18,MATCH(M$1,INDIRECT("Table!A" &amp; $BV18):INDIRECT("Table!" &amp; $CH$110 &amp; $BV18),0)))))/1024</f>
        <v>205.33662109375001</v>
      </c>
      <c r="N18" s="709">
        <f ca="1">IF(ISERROR(MATCH(N$1,INDIRECT("Table!A"&amp;$BV18):INDIRECT("Table!" &amp; $CH$110 &amp; $BV18),0)),"",INDIRECT(CONCATENATE("Table!",ADDRESS($BR18,MATCH(N$1,INDIRECT("Table!A" &amp; $BV18):INDIRECT("Table!" &amp; $CH$110 &amp; $BV18),0)))))/1024</f>
        <v>58.06298828125</v>
      </c>
      <c r="O18" s="709">
        <f ca="1">IF(ISERROR(MATCH(O$1,INDIRECT("Table!A"&amp;$BV18):INDIRECT("Table!" &amp; $CH$110 &amp; $BV18),0)),"",INDIRECT(CONCATENATE("Table!",ADDRESS($BR18,MATCH(O$1,INDIRECT("Table!A" &amp; $BV18):INDIRECT("Table!" &amp; $CH$110 &amp; $BV18),0)))))/1024</f>
        <v>183.71503906250001</v>
      </c>
      <c r="P18" s="709">
        <f ca="1">IF(ISERROR(MATCH(P$1,INDIRECT("Table!A"&amp;$BV18):INDIRECT("Table!" &amp; $CH$110 &amp; $BV18),0)),"",INDIRECT(CONCATENATE("Table!",ADDRESS($BR18,MATCH(P$1,INDIRECT("Table!A" &amp; $BV18):INDIRECT("Table!" &amp; $CH$110 &amp; $BV18),0)))))/1024</f>
        <v>50.254199218750003</v>
      </c>
      <c r="Q18" s="709">
        <f ca="1">IF(ISERROR(MATCH(Q$1,INDIRECT("Table!A"&amp;$BV18):INDIRECT("Table!" &amp; $CH$110 &amp; $BV18),0)),"",INDIRECT(CONCATENATE("Table!",ADDRESS($BR18,MATCH(Q$1,INDIRECT("Table!A" &amp; $BV18):INDIRECT("Table!" &amp; $CH$110 &amp; $BV18),0)))))/1024</f>
        <v>141.17324218749999</v>
      </c>
      <c r="R18" s="709">
        <f ca="1">IF(ISERROR(MATCH(R$1,INDIRECT("Table!A"&amp;$BV18):INDIRECT("Table!" &amp; $CH$110 &amp; $BV18),0)),"",INDIRECT(CONCATENATE("Table!",ADDRESS($BR18,MATCH(R$1,INDIRECT("Table!A" &amp; $BV18):INDIRECT("Table!" &amp; $CH$110 &amp; $BV18),0)))))/1024</f>
        <v>165.54931640625</v>
      </c>
      <c r="S18" s="709">
        <v>0</v>
      </c>
      <c r="T18" s="709">
        <f ca="1">IF(ISERROR(MATCH(T$1,INDIRECT("Table!A"&amp;$BV18):INDIRECT("Table!" &amp; $CH$65 &amp; $BV18),0)),"",INDIRECT(CONCATENATE("Table!",ADDRESS($BR18,MATCH(T$1,INDIRECT("Table!A" &amp; $BV18):INDIRECT("Table!" &amp; $CH$65 &amp; $BV18),0)))))/1024</f>
        <v>11.2826171875</v>
      </c>
      <c r="U18" s="709">
        <f ca="1">IF(ISERROR(MATCH(U$1,INDIRECT("Table!A"&amp;$BV18):INDIRECT("Table!" &amp; $CH$65 &amp; $BV18),0)),"",INDIRECT(CONCATENATE("Table!",ADDRESS($BR18,MATCH(U$1,INDIRECT("Table!A" &amp; $BV18):INDIRECT("Table!" &amp; $CH$65 &amp; $BV18),0)))))/1024</f>
        <v>15.008203125</v>
      </c>
      <c r="V18" s="709">
        <f ca="1">IF(ISERROR(MATCH(V$1,INDIRECT("Table!A"&amp;$BV18):INDIRECT("Table!" &amp; $CH$65 &amp; $BV18),0)),"",INDIRECT(CONCATENATE("Table!",ADDRESS($BR18,MATCH(V$1,INDIRECT("Table!A" &amp; $BV18):INDIRECT("Table!" &amp; $CH$65 &amp; $BV18),0)))))/1024</f>
        <v>30.016308593750001</v>
      </c>
      <c r="W18" s="709">
        <f ca="1">IF(ISERROR(MATCH(W$1,INDIRECT("Table!A"&amp;$BV18):INDIRECT("Table!" &amp; $CH$65 &amp; $BV18),0)),"",INDIRECT(CONCATENATE("Table!",ADDRESS($BR18,MATCH(W$1,INDIRECT("Table!A" &amp; $BV18):INDIRECT("Table!" &amp; $CH$65 &amp; $BV18),0)))))/1024</f>
        <v>25.360058593750001</v>
      </c>
      <c r="X18" s="709">
        <f ca="1">IF(ISERROR(MATCH(X$1,INDIRECT("Table!A"&amp;$BV18):INDIRECT("Table!" &amp; $CH$65 &amp; $BV18),0)),"",INDIRECT(CONCATENATE("Table!",ADDRESS($BR18,MATCH(X$1,INDIRECT("Table!A" &amp; $BV18):INDIRECT("Table!" &amp; $CH$65 &amp; $BV18),0)))))/1024</f>
        <v>49.830273437499997</v>
      </c>
      <c r="Y18" s="709">
        <f ca="1">IF(ISERROR(MATCH(Y$1,INDIRECT("Table!A"&amp;$BV18):INDIRECT("Table!" &amp; $CH$65 &amp; $BV18),0)),"",INDIRECT(CONCATENATE("Table!",ADDRESS($BR18,MATCH(Y$1,INDIRECT("Table!A" &amp; $BV18):INDIRECT("Table!" &amp; $CH$65 &amp; $BV18),0)))))/1024</f>
        <v>6.9217773437499996</v>
      </c>
      <c r="Z18" s="709">
        <f ca="1">IF(ISERROR(MATCH(Z$1,INDIRECT("Table!A"&amp;$BV18):INDIRECT("Table!" &amp; $CH$65 &amp; $BV18),0)),"",INDIRECT(CONCATENATE("Table!",ADDRESS($BR18,MATCH(Z$1,INDIRECT("Table!A" &amp; $BV18):INDIRECT("Table!" &amp; $CH$65 &amp; $BV18),0)))))/1024</f>
        <v>13.84169921875</v>
      </c>
      <c r="AA18" s="709">
        <f ca="1">IF(ISERROR(MATCH(AA$1,INDIRECT("Table!A"&amp;$BV18):INDIRECT("Table!" &amp; $CH$65 &amp; $BV18),0)),"",INDIRECT(CONCATENATE("Table!",ADDRESS($BR18,MATCH(AA$1,INDIRECT("Table!A" &amp; $BV18):INDIRECT("Table!" &amp; $CH$65 &amp; $BV18),0)))))/1024</f>
        <v>53.439746093750003</v>
      </c>
      <c r="AB18" s="709">
        <f ca="1">IF(ISERROR(MATCH(AB$1,INDIRECT("Table!A"&amp;$BV18):INDIRECT("Table!" &amp; $CH$65 &amp; $BV18),0)),"",INDIRECT(CONCATENATE("Table!",ADDRESS($BR18,MATCH(AB$1,INDIRECT("Table!A" &amp; $BV18):INDIRECT("Table!" &amp; $CH$65 &amp; $BV18),0)))))/1024</f>
        <v>4.7851562500000003E-3</v>
      </c>
      <c r="AC18" s="709">
        <f ca="1">IF(ISERROR(MATCH(AC$1,INDIRECT("Table!A"&amp;$BV18):INDIRECT("Table!" &amp; $CH$65 &amp; $BV18),0)),"",INDIRECT(CONCATENATE("Table!",ADDRESS($BR18,MATCH(AC$1,INDIRECT("Table!A" &amp; $BV18):INDIRECT("Table!" &amp; $CH$65 &amp; $BV18),0)))))/1024</f>
        <v>10.539843749999999</v>
      </c>
      <c r="AD18" s="709">
        <f ca="1">IF(ISERROR(MATCH(AD$1,INDIRECT("Table!A"&amp;$BV18):INDIRECT("Table!" &amp; $CH$65 &amp; $BV18),0)),"",INDIRECT(CONCATENATE("Table!",ADDRESS($BR18,MATCH(AD$1,INDIRECT("Table!A" &amp; $BV18):INDIRECT("Table!" &amp; $CH$65 &amp; $BV18),0)))))/1024</f>
        <v>53.931835937499997</v>
      </c>
      <c r="AE18" s="709">
        <f ca="1">IF(ISERROR(MATCH(AE$1,INDIRECT("Table!A"&amp;$BV18):INDIRECT("Table!" &amp; $CH$65 &amp; $BV18),0)),"",INDIRECT(CONCATENATE("Table!",ADDRESS($BR18,MATCH(AE$1,INDIRECT("Table!A" &amp; $BV18):INDIRECT("Table!" &amp; $CH$65 &amp; $BV18),0)))))/1024</f>
        <v>6.3778320312499996</v>
      </c>
      <c r="AF18" s="709">
        <f ca="1">IF(ISERROR(MATCH(AF$1,INDIRECT("Table!A"&amp;$BV18):INDIRECT("Table!" &amp; $CH$65 &amp; $BV18),0)),"",INDIRECT(CONCATENATE("Table!",ADDRESS($BR18,MATCH(AF$1,INDIRECT("Table!A" &amp; $BV18):INDIRECT("Table!" &amp; $CH$65 &amp; $BV18),0)))))/1024</f>
        <v>6.3778320312499996</v>
      </c>
      <c r="AG18" s="709">
        <f ca="1">IF(ISERROR(MATCH(AG$1,INDIRECT("Table!A"&amp;$BV18):INDIRECT("Table!" &amp; $CH$65 &amp; $BV18),0)),"",INDIRECT(CONCATENATE("Table!",ADDRESS($BR18,MATCH(AG$1,INDIRECT("Table!A" &amp; $BV18):INDIRECT("Table!" &amp; $CH$65 &amp; $BV18),0)))))/1024</f>
        <v>6.2490234375</v>
      </c>
      <c r="AH18" s="709">
        <f ca="1">IF(ISERROR(MATCH(AH$1,INDIRECT("Table!A"&amp;$BV18):INDIRECT("Table!" &amp; $CH$65 &amp; $BV18),0)),"",INDIRECT(CONCATENATE("Table!",ADDRESS($BR18,MATCH(AH$1,INDIRECT("Table!A" &amp; $BV18):INDIRECT("Table!" &amp; $CH$65 &amp; $BV18),0)))))/1024</f>
        <v>0</v>
      </c>
      <c r="AI18" s="709" t="str">
        <f ca="1">IF(ISERROR(MATCH(AI$1,INDIRECT("Table!A"&amp;$BV18):INDIRECT("Table!" &amp; $CH$110 &amp; $BV18),0)),"",INDIRECT(CONCATENATE("Table!",ADDRESS($BR18,MATCH(AI$1,INDIRECT("Table!A" &amp; $BV18):INDIRECT("Table!" &amp; $CH$110 &amp; $BV18),0)))))</f>
        <v/>
      </c>
      <c r="AJ18" s="709">
        <f ca="1">IF(ISERROR(MATCH(AJ$1,INDIRECT("Table!A"&amp;$BV18):INDIRECT("Table!" &amp; $CH$110 &amp; $BV18),0)),"",INDIRECT(CONCATENATE("Table!",ADDRESS($BZ18,MATCH(AJ$1,INDIRECT("Table!A" &amp; $BV18):INDIRECT("Table!" &amp; $CH$110 &amp; $BV18),0)))))/1024</f>
        <v>244.15859374999999</v>
      </c>
      <c r="AK18" s="709">
        <f ca="1">IF(ISERROR(MATCH(AK$1,INDIRECT("Table!A"&amp;$BV18):INDIRECT("Table!" &amp; $CH$110 &amp; $BV18),0)),"",INDIRECT(CONCATENATE("Table!",ADDRESS($BZ18,MATCH(AK$1,INDIRECT("Table!A" &amp; $BV18):INDIRECT("Table!" &amp; $CH$110 &amp; $BV18),0)))))/1024</f>
        <v>146.98896484375001</v>
      </c>
      <c r="AL18" s="709">
        <f ca="1">IF(ISERROR(MATCH(AL$1,INDIRECT("Table!A"&amp;$BV18):INDIRECT("Table!" &amp; $CH$110 &amp; $BV18),0)),"",INDIRECT(CONCATENATE("Table!",ADDRESS($BZ18,MATCH(AL$1,INDIRECT("Table!A" &amp; $BV18):INDIRECT("Table!" &amp; $CH$110 &amp; $BV18),0)))))/1024</f>
        <v>146.98896484375001</v>
      </c>
      <c r="AM18" s="709">
        <f ca="1">IF(ISERROR(MATCH(AM$1,INDIRECT("Table!A"&amp;$BV18):INDIRECT("Table!" &amp; $CH$110 &amp; $BV18),0)),"",INDIRECT(CONCATENATE("Table!",ADDRESS($BZ18,MATCH(AM$1,INDIRECT("Table!A" &amp; $BV18):INDIRECT("Table!" &amp; $CH$110 &amp; $BV18),0)))))/1024</f>
        <v>177.73320312499999</v>
      </c>
      <c r="AN18" s="709">
        <f ca="1">IF(ISERROR(MATCH(AN$1,INDIRECT("Table!A"&amp;$BV18):INDIRECT("Table!" &amp; $CH$110 &amp; $BV18),0)),"",INDIRECT(CONCATENATE("Table!",ADDRESS($BZ18,MATCH(AN$1,INDIRECT("Table!A" &amp; $BV18):INDIRECT("Table!" &amp; $CH$110 &amp; $BV18),0)))))/1024</f>
        <v>161.88056640625001</v>
      </c>
      <c r="AO18" s="709">
        <f ca="1">IF(ISERROR(MATCH(AO$1,INDIRECT("Table!A"&amp;$BV18):INDIRECT("Table!" &amp; $CH$110 &amp; $BV18),0)),"",INDIRECT(CONCATENATE("Table!",ADDRESS($BZ18,MATCH(AO$1,INDIRECT("Table!A" &amp; $BV18):INDIRECT("Table!" &amp; $CH$110 &amp; $BV18),0)))))/1024</f>
        <v>380.3759765625</v>
      </c>
      <c r="AP18" s="709">
        <f ca="1">IF(ISERROR(MATCH(AP$1,INDIRECT("Table!A"&amp;$BV18):INDIRECT("Table!" &amp; $CH$110 &amp; $BV18),0)),"",INDIRECT(CONCATENATE("Table!",ADDRESS($BZ18,MATCH(AP$1,INDIRECT("Table!A" &amp; $BV18):INDIRECT("Table!" &amp; $CH$110 &amp; $BV18),0)))))/1024</f>
        <v>167.94482421875</v>
      </c>
      <c r="AQ18" s="709">
        <f ca="1">IF(ISERROR(MATCH(AQ$1,INDIRECT("Table!A"&amp;$BV18):INDIRECT("Table!" &amp; $CH$110 &amp; $BV18),0)),"",INDIRECT(CONCATENATE("Table!",ADDRESS($BZ18,MATCH(AQ$1,INDIRECT("Table!A" &amp; $BV18):INDIRECT("Table!" &amp; $CH$110 &amp; $BV18),0)))))/1024</f>
        <v>162.185546875</v>
      </c>
      <c r="AR18" s="709">
        <f ca="1">IF(ISERROR(MATCH(AR$1,INDIRECT("Table!A"&amp;$BV18):INDIRECT("Table!" &amp; $CH$110 &amp; $BV18),0)),"",INDIRECT(CONCATENATE("Table!",ADDRESS($BZ18,MATCH(AR$1,INDIRECT("Table!A" &amp; $BV18):INDIRECT("Table!" &amp; $CH$110 &amp; $BV18),0)))))/1024</f>
        <v>121.1125</v>
      </c>
      <c r="AS18" s="709">
        <f ca="1">IF(ISERROR(MATCH(AS$1,INDIRECT("Table!A"&amp;$BV18):INDIRECT("Table!" &amp; $CH$110 &amp; $BV18),0)),"",INDIRECT(CONCATENATE("Table!",ADDRESS($BZ18,MATCH(AS$1,INDIRECT("Table!A" &amp; $BV18):INDIRECT("Table!" &amp; $CH$110 &amp; $BV18),0)))))/1024</f>
        <v>218.81953125000001</v>
      </c>
      <c r="AT18" s="709">
        <f ca="1">IF(ISERROR(MATCH(AT$1,INDIRECT("Table!A"&amp;$BV18):INDIRECT("Table!" &amp; $CH$110 &amp; $BV18),0)),"",INDIRECT(CONCATENATE("Table!",ADDRESS($BZ18,MATCH(AT$1,INDIRECT("Table!A" &amp; $BV18):INDIRECT("Table!" &amp; $CH$110 &amp; $BV18),0)))))/1024</f>
        <v>188.50498046875001</v>
      </c>
      <c r="AU18" s="709">
        <f ca="1">IF(ISERROR(MATCH(AU$1,INDIRECT("Table!A"&amp;$BV18):INDIRECT("Table!" &amp; $CH$110 &amp; $BV18),0)),"",INDIRECT(CONCATENATE("Table!",ADDRESS($BZ18,MATCH(AU$1,INDIRECT("Table!A" &amp; $BV18):INDIRECT("Table!" &amp; $CH$110 &amp; $BV18),0)))))/1024</f>
        <v>427.94912109375002</v>
      </c>
      <c r="AV18" s="709">
        <f ca="1">IF(ISERROR(MATCH(AV$1,INDIRECT("Table!A"&amp;$BV18):INDIRECT("Table!" &amp; $CH$110 &amp; $BV18),0)),"",INDIRECT(CONCATENATE("Table!",ADDRESS($BZ18,MATCH(AV$1,INDIRECT("Table!A" &amp; $BV18):INDIRECT("Table!" &amp; $CH$110 &amp; $BV18),0)))))/1024</f>
        <v>81.092578125000003</v>
      </c>
      <c r="AW18" s="709">
        <f ca="1">IF(ISERROR(MATCH(AW$1,INDIRECT("Table!A"&amp;$BV18):INDIRECT("Table!" &amp; $CH$110 &amp; $BV18),0)),"",INDIRECT(CONCATENATE("Table!",ADDRESS($BZ18,MATCH(AW$1,INDIRECT("Table!A" &amp; $BV18):INDIRECT("Table!" &amp; $CH$110 &amp; $BV18),0)))))/1024</f>
        <v>269.65859375000002</v>
      </c>
      <c r="AX18" s="709">
        <f ca="1">IF(ISERROR(MATCH(AX$1,INDIRECT("Table!A"&amp;$BV18):INDIRECT("Table!" &amp; $CH$110 &amp; $BV18),0)),"",INDIRECT(CONCATENATE("Table!",ADDRESS($BZ18,MATCH(AX$1,INDIRECT("Table!A" &amp; $BV18):INDIRECT("Table!" &amp; $CH$110 &amp; $BV18),0)))))/1024</f>
        <v>81.092578125000003</v>
      </c>
      <c r="AY18" s="709">
        <f ca="1">IF(ISERROR(MATCH(AY$1,INDIRECT("Table!A"&amp;$BV18):INDIRECT("Table!" &amp; $CH$110 &amp; $BV18),0)),"",INDIRECT(CONCATENATE("Table!",ADDRESS($BZ18,MATCH(AY$1,INDIRECT("Table!A" &amp; $BV18):INDIRECT("Table!" &amp; $CH$110 &amp; $BV18),0)))))/1024</f>
        <v>187.12714843750001</v>
      </c>
      <c r="AZ18" s="709">
        <f ca="1">IF(ISERROR(MATCH(AZ$1,INDIRECT("Table!A"&amp;$BV18):INDIRECT("Table!" &amp; $CH$110 &amp; $BV18),0)),"",INDIRECT(CONCATENATE("Table!",ADDRESS($BZ18,MATCH(AZ$1,INDIRECT("Table!A" &amp; $BV18):INDIRECT("Table!" &amp; $CH$110 &amp; $BV18),0)))))/1024</f>
        <v>256.14150390625002</v>
      </c>
      <c r="BA18" s="709"/>
      <c r="BB18" s="709">
        <f ca="1">IF(ISERROR(MATCH(BB$1,INDIRECT("Table!A"&amp;$BV18):INDIRECT("Table!" &amp; $CH$110 &amp; $BV18),0)),"",INDIRECT(CONCATENATE("Table!",ADDRESS($BZ18,MATCH(BB$1,INDIRECT("Table!A" &amp; $BV18):INDIRECT("Table!" &amp; $CH$110 &amp; $BV18),0)))))/1024</f>
        <v>32.31494140625</v>
      </c>
      <c r="BC18" s="709">
        <f ca="1">IF(ISERROR(MATCH(BC$1,INDIRECT("Table!A"&amp;$BV18):INDIRECT("Table!" &amp; $CH$110 &amp; $BV18),0)),"",INDIRECT(CONCATENATE("Table!",ADDRESS($BZ18,MATCH(BC$1,INDIRECT("Table!A" &amp; $BV18):INDIRECT("Table!" &amp; $CH$110 &amp; $BV18),0)))))/1024</f>
        <v>99.80126953125</v>
      </c>
      <c r="BD18" s="709">
        <f ca="1">IF(ISERROR(MATCH(BD$1,INDIRECT("Table!A"&amp;$BV18):INDIRECT("Table!" &amp; $CH$110 &amp; $BV18),0)),"",INDIRECT(CONCATENATE("Table!",ADDRESS($BZ18,MATCH(BD$1,INDIRECT("Table!A" &amp; $BV18):INDIRECT("Table!" &amp; $CH$110 &amp; $BV18),0)))))/1024</f>
        <v>204.58642578125</v>
      </c>
      <c r="BE18" s="905">
        <f ca="1">IF(ISERROR(MATCH(BE$1,INDIRECT("Table!A"&amp;$BV18):INDIRECT("Table!" &amp; $CH$110 &amp; $BV18),0)),"",INDIRECT(CONCATENATE("Table!",ADDRESS($BZ18,MATCH(BE$1,INDIRECT("Table!A" &amp; $BV18):INDIRECT("Table!" &amp; $CH$110 &amp; $BV18),0)))))/1024</f>
        <v>99.80126953125</v>
      </c>
      <c r="BF18" s="905">
        <f ca="1">IF(ISERROR(MATCH(BF$1,INDIRECT("Table!A"&amp;$BV18):INDIRECT("Table!" &amp; $CH$110 &amp; $BV18),0)),"",INDIRECT(CONCATENATE("Table!",ADDRESS($BZ18,MATCH(BF$1,INDIRECT("Table!A" &amp; $BV18):INDIRECT("Table!" &amp; $CH$110 &amp; $BV18),0)))))/1024</f>
        <v>204.58642578125</v>
      </c>
      <c r="BG18" s="905">
        <f ca="1">IF(ISERROR(MATCH(BG$1,INDIRECT("Table!A"&amp;$BV18):INDIRECT("Table!" &amp; $CH$110 &amp; $BV18),0)),"",INDIRECT(CONCATENATE("Table!",ADDRESS($BZ18,MATCH(BG$1,INDIRECT("Table!A" &amp; $BV18):INDIRECT("Table!" &amp; $CH$110 &amp; $BV18),0)))))/1024</f>
        <v>99.80126953125</v>
      </c>
      <c r="BH18" s="905">
        <f ca="1">IF(ISERROR(MATCH(BH$1,INDIRECT("Table!A"&amp;$BV18):INDIRECT("Table!" &amp; $CH$110 &amp; $BV18),0)),"",INDIRECT(CONCATENATE("Table!",ADDRESS($BZ18,MATCH(BH$1,INDIRECT("Table!A" &amp; $BV18):INDIRECT("Table!" &amp; $CH$110 &amp; $BV18),0)))))/1024</f>
        <v>204.58642578125</v>
      </c>
      <c r="BI18" s="905">
        <f ca="1">IF(ISERROR(MATCH(BI$1,INDIRECT("Table!A"&amp;$BV18):INDIRECT("Table!" &amp; $CH$110 &amp; $BV18),0)),"",INDIRECT(CONCATENATE("Table!",ADDRESS($BZ18,MATCH(BI$1,INDIRECT("Table!A" &amp; $BV18):INDIRECT("Table!" &amp; $CH$110 &amp; $BV18),0)))))/1024</f>
        <v>320.99140625000001</v>
      </c>
      <c r="BJ18" s="905">
        <f ca="1">IF(ISERROR(MATCH(BJ$1,INDIRECT("Table!A"&amp;$BV18):INDIRECT("Table!" &amp; $CH$110 &amp; $BV18),0)),"",INDIRECT(CONCATENATE("Table!",ADDRESS($BZ18,MATCH(BJ$1,INDIRECT("Table!A" &amp; $BV18):INDIRECT("Table!" &amp; $CH$110 &amp; $BV18),0)))))/1024</f>
        <v>186.39765625000001</v>
      </c>
      <c r="BK18" s="905">
        <f ca="1">IF(ISERROR(MATCH(BK$1,INDIRECT("Table!A"&amp;$BV18):INDIRECT("Table!" &amp; $CH$110 &amp; $BV18),0)),"",INDIRECT(CONCATENATE("Table!",ADDRESS($BZ18,MATCH(BK$1,INDIRECT("Table!A" &amp; $BV18):INDIRECT("Table!" &amp; $CH$110 &amp; $BV18),0)))))/1024</f>
        <v>218.81953125000001</v>
      </c>
      <c r="BL18" s="905">
        <f ca="1">IF(ISERROR(MATCH(BL$1,INDIRECT("Table!A"&amp;$BV18):INDIRECT("Table!" &amp; $CH$110 &amp; $BV18),0)),"",INDIRECT(CONCATENATE("Table!",ADDRESS($BZ18,MATCH(BL$1,INDIRECT("Table!A" &amp; $BV18):INDIRECT("Table!" &amp; $CH$110 &amp; $BV18),0)))))/1024</f>
        <v>218.81953125000001</v>
      </c>
      <c r="BM18" s="905">
        <f ca="1">IF(ISERROR(MATCH(BM$1,INDIRECT("Table!A"&amp;$BV18):INDIRECT("Table!" &amp; $CH$110 &amp; $BV18),0)),"",INDIRECT(CONCATENATE("Table!",ADDRESS($BZ18,MATCH(BM$1,INDIRECT("Table!A" &amp; $BV18):INDIRECT("Table!" &amp; $CH$110 &amp; $BV18),0)))))/1024</f>
        <v>152.53330078125001</v>
      </c>
      <c r="BN18" s="905">
        <f ca="1">IF(ISERROR(MATCH(BN$1,INDIRECT("Table!A"&amp;$BV18):INDIRECT("Table!" &amp; $CH$110 &amp; $BV18),0)),"",INDIRECT(CONCATENATE("Table!",ADDRESS($BZ18,MATCH(BN$1,INDIRECT("Table!A" &amp; $BV18):INDIRECT("Table!" &amp; $CH$110 &amp; $BV18),0)))))/1024</f>
        <v>152.53330078125001</v>
      </c>
      <c r="BO18" s="905">
        <f ca="1">IF(ISERROR(MATCH(BO$1,INDIRECT("Table!A"&amp;$BV18):INDIRECT("Table!" &amp; $CH$110 &amp; $BV18),0)),"",INDIRECT(CONCATENATE("Table!",ADDRESS($BZ18,MATCH(BO$1,INDIRECT("Table!A" &amp; $BV18):INDIRECT("Table!" &amp; $CH$110 &amp; $BV18),0)))))/1024</f>
        <v>218.81455078125001</v>
      </c>
      <c r="BP18" s="905">
        <f ca="1">IF(ISERROR(MATCH(BP$1,INDIRECT("Table!A"&amp;$BV18):INDIRECT("Table!" &amp; $CH$110 &amp; $BV18),0)),"",INDIRECT(CONCATENATE("Table!",ADDRESS($BZ18,MATCH(BP$1,INDIRECT("Table!A" &amp; $BV18):INDIRECT("Table!" &amp; $CH$110 &amp; $BV18),0)))))/1024</f>
        <v>0</v>
      </c>
      <c r="BR18" s="704">
        <f>MATCH($A18,Table!$A:$A,0)+$BT$2-1</f>
        <v>215</v>
      </c>
      <c r="BS18" s="744"/>
      <c r="BT18" s="744"/>
      <c r="BU18" s="744"/>
      <c r="BV18" s="717">
        <f>MATCH($A18,Table!$A:$A,0)+$BX$2-1</f>
        <v>213</v>
      </c>
      <c r="BW18" s="744"/>
      <c r="BX18" s="744"/>
      <c r="BY18" s="744"/>
      <c r="BZ18" s="704">
        <f>MATCH($A18,Table!$A:$A,0)+$CB$2-1</f>
        <v>214</v>
      </c>
      <c r="CA18" s="744"/>
      <c r="CB18" s="744"/>
      <c r="CC18" s="744"/>
      <c r="CD18" s="717">
        <f>MATCH($A18,Table!$A:$A,0)+$BX$2-1</f>
        <v>213</v>
      </c>
      <c r="CE18" s="744"/>
      <c r="CF18" s="744"/>
      <c r="CG18" s="744"/>
      <c r="CH18" s="711" t="s">
        <v>302</v>
      </c>
      <c r="CI18" s="712">
        <f t="shared" ref="CI18" ca="1" si="73">SUM(AJ18:BP18)</f>
        <v>5834.1424804687485</v>
      </c>
      <c r="CJ18" s="712">
        <f t="shared" ca="1" si="1"/>
        <v>2186.8215820312489</v>
      </c>
      <c r="CK18" s="712">
        <f t="shared" ref="CK18" ca="1" si="74">CI18-CJ18</f>
        <v>3647.3208984374996</v>
      </c>
      <c r="CL18" s="718">
        <f t="shared" ref="CL18" ca="1" si="75">CJ18/CI18</f>
        <v>0.37483170651936959</v>
      </c>
      <c r="CM18" s="712">
        <f ca="1">SUMIF('Alloc Feed'!A:I,A:A,'Alloc Feed'!I:I)</f>
        <v>3895.1037421874998</v>
      </c>
      <c r="CN18" s="718">
        <f t="shared" ref="CN18" ca="1" si="76">CM18/CI18</f>
        <v>0.66763946119371165</v>
      </c>
    </row>
    <row r="19" spans="1:92" s="947" customFormat="1" x14ac:dyDescent="0.25">
      <c r="A19" s="703">
        <v>41864</v>
      </c>
      <c r="B19" s="709">
        <f ca="1">IF(ISERROR(MATCH(B$1,INDIRECT("Table!A"&amp;$BV19):INDIRECT("Table!" &amp; $CH$110 &amp; $BV19),0)),"",INDIRECT(CONCATENATE("Table!",ADDRESS($BR19,MATCH(B$1,INDIRECT("Table!A" &amp; $BV19):INDIRECT("Table!" &amp; $CH$110 &amp; $BV19),0)))))/1024</f>
        <v>73.514746093750006</v>
      </c>
      <c r="C19" s="709">
        <f ca="1">IF(ISERROR(MATCH(C$1,INDIRECT("Table!A"&amp;$BV19):INDIRECT("Table!" &amp; $CH$110 &amp; $BV19),0)),"",INDIRECT(CONCATENATE("Table!",ADDRESS($BR19,MATCH(C$1,INDIRECT("Table!A" &amp; $BV19):INDIRECT("Table!" &amp; $CH$110 &amp; $BV19),0)))))/1024</f>
        <v>84.035937500000003</v>
      </c>
      <c r="D19" s="709">
        <f ca="1">IF(ISERROR(MATCH(D$1,INDIRECT("Table!A"&amp;$BV19):INDIRECT("Table!" &amp; $CH$110 &amp; $BV19),0)),"",INDIRECT(CONCATENATE("Table!",ADDRESS($BR19,MATCH(D$1,INDIRECT("Table!A" &amp; $BV19):INDIRECT("Table!" &amp; $CH$110 &amp; $BV19),0)))))/1024</f>
        <v>83.788964843749994</v>
      </c>
      <c r="E19" s="709">
        <f ca="1">IF(ISERROR(MATCH(E$1,INDIRECT("Table!A"&amp;$BV19):INDIRECT("Table!" &amp; $CH$110 &amp; $BV19),0)),"",INDIRECT(CONCATENATE("Table!",ADDRESS($BR19,MATCH(E$1,INDIRECT("Table!A" &amp; $BV19):INDIRECT("Table!" &amp; $CH$110 &amp; $BV19),0)))))/1024</f>
        <v>126.57939453125</v>
      </c>
      <c r="F19" s="709">
        <f ca="1">IF(ISERROR(MATCH(F$1,INDIRECT("Table!A"&amp;$BV19):INDIRECT("Table!" &amp; $CH$110 &amp; $BV19),0)),"",INDIRECT(CONCATENATE("Table!",ADDRESS($BR19,MATCH(F$1,INDIRECT("Table!A" &amp; $BV19):INDIRECT("Table!" &amp; $CH$110 &amp; $BV19),0)))))/1024</f>
        <v>114.98476562499999</v>
      </c>
      <c r="G19" s="709">
        <f ca="1">IF(ISERROR(MATCH(G$1,INDIRECT("Table!A"&amp;$BV19):INDIRECT("Table!" &amp; $CH$110 &amp; $BV19),0)),"",INDIRECT(CONCATENATE("Table!",ADDRESS($BR19,MATCH(G$1,INDIRECT("Table!A" &amp; $BV19):INDIRECT("Table!" &amp; $CH$110 &amp; $BV19),0)))))/1024</f>
        <v>213.6552734375</v>
      </c>
      <c r="H19" s="709">
        <f ca="1">IF(ISERROR(MATCH(H$1,INDIRECT("Table!A"&amp;$BV19):INDIRECT("Table!" &amp; $CH$110 &amp; $BV19),0)),"",INDIRECT(CONCATENATE("Table!",ADDRESS($BR19,MATCH(H$1,INDIRECT("Table!A" &amp; $BV19):INDIRECT("Table!" &amp; $CH$110 &amp; $BV19),0)))))/1024</f>
        <v>107.59072265624999</v>
      </c>
      <c r="I19" s="709">
        <f ca="1">IF(ISERROR(MATCH(I$1,INDIRECT("Table!A"&amp;$BV19):INDIRECT("Table!" &amp; $CH$110 &amp; $BV19),0)),"",INDIRECT(CONCATENATE("Table!",ADDRESS($BR19,MATCH(I$1,INDIRECT("Table!A" &amp; $BV19):INDIRECT("Table!" &amp; $CH$110 &amp; $BV19),0)))))/1024</f>
        <v>25.907128906250001</v>
      </c>
      <c r="J19" s="709">
        <f ca="1">IF(ISERROR(MATCH(J$1,INDIRECT("Table!A"&amp;$BV19):INDIRECT("Table!" &amp; $CH$110 &amp; $BV19),0)),"",INDIRECT(CONCATENATE("Table!",ADDRESS($BR19,MATCH(J$1,INDIRECT("Table!A" &amp; $BV19):INDIRECT("Table!" &amp; $CH$110 &amp; $BV19),0)))))/1024</f>
        <v>87.36572265625</v>
      </c>
      <c r="K19" s="709">
        <f ca="1">IF(ISERROR(MATCH(K$1,INDIRECT("Table!A"&amp;$BV19):INDIRECT("Table!" &amp; $CH$110 &amp; $BV19),0)),"",INDIRECT(CONCATENATE("Table!",ADDRESS($BR19,MATCH(K$1,INDIRECT("Table!A" &amp; $BV19):INDIRECT("Table!" &amp; $CH$110 &amp; $BV19),0)))))/1024</f>
        <v>81.06787109375</v>
      </c>
      <c r="L19" s="709">
        <f ca="1">IF(ISERROR(MATCH(L$1,INDIRECT("Table!A"&amp;$BV19):INDIRECT("Table!" &amp; $CH$110 &amp; $BV19),0)),"",INDIRECT(CONCATENATE("Table!",ADDRESS($BR19,MATCH(L$1,INDIRECT("Table!A" &amp; $BV19):INDIRECT("Table!" &amp; $CH$110 &amp; $BV19),0)))))/1024</f>
        <v>99.854589843750006</v>
      </c>
      <c r="M19" s="709">
        <f ca="1">IF(ISERROR(MATCH(M$1,INDIRECT("Table!A"&amp;$BV19):INDIRECT("Table!" &amp; $CH$110 &amp; $BV19),0)),"",INDIRECT(CONCATENATE("Table!",ADDRESS($BR19,MATCH(M$1,INDIRECT("Table!A" &amp; $BV19):INDIRECT("Table!" &amp; $CH$110 &amp; $BV19),0)))))/1024</f>
        <v>205.54287109374999</v>
      </c>
      <c r="N19" s="709">
        <f ca="1">IF(ISERROR(MATCH(N$1,INDIRECT("Table!A"&amp;$BV19):INDIRECT("Table!" &amp; $CH$110 &amp; $BV19),0)),"",INDIRECT(CONCATENATE("Table!",ADDRESS($BR19,MATCH(N$1,INDIRECT("Table!A" &amp; $BV19):INDIRECT("Table!" &amp; $CH$110 &amp; $BV19),0)))))/1024</f>
        <v>58.005664062500003</v>
      </c>
      <c r="O19" s="709">
        <f ca="1">IF(ISERROR(MATCH(O$1,INDIRECT("Table!A"&amp;$BV19):INDIRECT("Table!" &amp; $CH$110 &amp; $BV19),0)),"",INDIRECT(CONCATENATE("Table!",ADDRESS($BR19,MATCH(O$1,INDIRECT("Table!A" &amp; $BV19):INDIRECT("Table!" &amp; $CH$110 &amp; $BV19),0)))))/1024</f>
        <v>197.42099609375001</v>
      </c>
      <c r="P19" s="709">
        <f ca="1">IF(ISERROR(MATCH(P$1,INDIRECT("Table!A"&amp;$BV19):INDIRECT("Table!" &amp; $CH$110 &amp; $BV19),0)),"",INDIRECT(CONCATENATE("Table!",ADDRESS($BR19,MATCH(P$1,INDIRECT("Table!A" &amp; $BV19):INDIRECT("Table!" &amp; $CH$110 &amp; $BV19),0)))))/1024</f>
        <v>50.124121093749999</v>
      </c>
      <c r="Q19" s="709">
        <f ca="1">IF(ISERROR(MATCH(Q$1,INDIRECT("Table!A"&amp;$BV19):INDIRECT("Table!" &amp; $CH$110 &amp; $BV19),0)),"",INDIRECT(CONCATENATE("Table!",ADDRESS($BR19,MATCH(Q$1,INDIRECT("Table!A" &amp; $BV19):INDIRECT("Table!" &amp; $CH$110 &amp; $BV19),0)))))/1024</f>
        <v>140.45625000000001</v>
      </c>
      <c r="R19" s="709">
        <f ca="1">IF(ISERROR(MATCH(R$1,INDIRECT("Table!A"&amp;$BV19):INDIRECT("Table!" &amp; $CH$110 &amp; $BV19),0)),"",INDIRECT(CONCATENATE("Table!",ADDRESS($BR19,MATCH(R$1,INDIRECT("Table!A" &amp; $BV19):INDIRECT("Table!" &amp; $CH$110 &amp; $BV19),0)))))/1024</f>
        <v>176.24648437499999</v>
      </c>
      <c r="S19" s="709">
        <v>0</v>
      </c>
      <c r="T19" s="709">
        <f ca="1">IF(ISERROR(MATCH(T$1,INDIRECT("Table!A"&amp;$BV19):INDIRECT("Table!" &amp; $CH$65 &amp; $BV19),0)),"",INDIRECT(CONCATENATE("Table!",ADDRESS($BR19,MATCH(T$1,INDIRECT("Table!A" &amp; $BV19):INDIRECT("Table!" &amp; $CH$65 &amp; $BV19),0)))))/1024</f>
        <v>11.2826171875</v>
      </c>
      <c r="U19" s="709">
        <f ca="1">IF(ISERROR(MATCH(U$1,INDIRECT("Table!A"&amp;$BV19):INDIRECT("Table!" &amp; $CH$65 &amp; $BV19),0)),"",INDIRECT(CONCATENATE("Table!",ADDRESS($BR19,MATCH(U$1,INDIRECT("Table!A" &amp; $BV19):INDIRECT("Table!" &amp; $CH$65 &amp; $BV19),0)))))/1024</f>
        <v>14.97353515625</v>
      </c>
      <c r="V19" s="709">
        <f ca="1">IF(ISERROR(MATCH(V$1,INDIRECT("Table!A"&amp;$BV19):INDIRECT("Table!" &amp; $CH$65 &amp; $BV19),0)),"",INDIRECT(CONCATENATE("Table!",ADDRESS($BR19,MATCH(V$1,INDIRECT("Table!A" &amp; $BV19):INDIRECT("Table!" &amp; $CH$65 &amp; $BV19),0)))))/1024</f>
        <v>29.946874999999999</v>
      </c>
      <c r="W19" s="709">
        <f ca="1">IF(ISERROR(MATCH(W$1,INDIRECT("Table!A"&amp;$BV19):INDIRECT("Table!" &amp; $CH$65 &amp; $BV19),0)),"",INDIRECT(CONCATENATE("Table!",ADDRESS($BR19,MATCH(W$1,INDIRECT("Table!A" &amp; $BV19):INDIRECT("Table!" &amp; $CH$65 &amp; $BV19),0)))))/1024</f>
        <v>24.894238281250001</v>
      </c>
      <c r="X19" s="709">
        <f ca="1">IF(ISERROR(MATCH(X$1,INDIRECT("Table!A"&amp;$BV19):INDIRECT("Table!" &amp; $CH$65 &amp; $BV19),0)),"",INDIRECT(CONCATENATE("Table!",ADDRESS($BR19,MATCH(X$1,INDIRECT("Table!A" &amp; $BV19):INDIRECT("Table!" &amp; $CH$65 &amp; $BV19),0)))))/1024</f>
        <v>48.898632812499997</v>
      </c>
      <c r="Y19" s="709">
        <f ca="1">IF(ISERROR(MATCH(Y$1,INDIRECT("Table!A"&amp;$BV19):INDIRECT("Table!" &amp; $CH$65 &amp; $BV19),0)),"",INDIRECT(CONCATENATE("Table!",ADDRESS($BR19,MATCH(Y$1,INDIRECT("Table!A" &amp; $BV19):INDIRECT("Table!" &amp; $CH$65 &amp; $BV19),0)))))/1024</f>
        <v>6.0684570312500004</v>
      </c>
      <c r="Z19" s="709">
        <f ca="1">IF(ISERROR(MATCH(Z$1,INDIRECT("Table!A"&amp;$BV19):INDIRECT("Table!" &amp; $CH$65 &amp; $BV19),0)),"",INDIRECT(CONCATENATE("Table!",ADDRESS($BR19,MATCH(Z$1,INDIRECT("Table!A" &amp; $BV19):INDIRECT("Table!" &amp; $CH$65 &amp; $BV19),0)))))/1024</f>
        <v>12.134960937500001</v>
      </c>
      <c r="AA19" s="709">
        <f ca="1">IF(ISERROR(MATCH(AA$1,INDIRECT("Table!A"&amp;$BV19):INDIRECT("Table!" &amp; $CH$65 &amp; $BV19),0)),"",INDIRECT(CONCATENATE("Table!",ADDRESS($BR19,MATCH(AA$1,INDIRECT("Table!A" &amp; $BV19):INDIRECT("Table!" &amp; $CH$65 &amp; $BV19),0)))))/1024</f>
        <v>50.081249999999997</v>
      </c>
      <c r="AB19" s="709">
        <f ca="1">IF(ISERROR(MATCH(AB$1,INDIRECT("Table!A"&amp;$BV19):INDIRECT("Table!" &amp; $CH$65 &amp; $BV19),0)),"",INDIRECT(CONCATENATE("Table!",ADDRESS($BR19,MATCH(AB$1,INDIRECT("Table!A" &amp; $BV19):INDIRECT("Table!" &amp; $CH$65 &amp; $BV19),0)))))/1024</f>
        <v>4.7851562500000003E-3</v>
      </c>
      <c r="AC19" s="709">
        <f ca="1">IF(ISERROR(MATCH(AC$1,INDIRECT("Table!A"&amp;$BV19):INDIRECT("Table!" &amp; $CH$65 &amp; $BV19),0)),"",INDIRECT(CONCATENATE("Table!",ADDRESS($BR19,MATCH(AC$1,INDIRECT("Table!A" &amp; $BV19):INDIRECT("Table!" &amp; $CH$65 &amp; $BV19),0)))))/1024</f>
        <v>8.7931640625000007</v>
      </c>
      <c r="AD19" s="709">
        <f ca="1">IF(ISERROR(MATCH(AD$1,INDIRECT("Table!A"&amp;$BV19):INDIRECT("Table!" &amp; $CH$65 &amp; $BV19),0)),"",INDIRECT(CONCATENATE("Table!",ADDRESS($BR19,MATCH(AD$1,INDIRECT("Table!A" &amp; $BV19):INDIRECT("Table!" &amp; $CH$65 &amp; $BV19),0)))))/1024</f>
        <v>53.654003906249997</v>
      </c>
      <c r="AE19" s="709">
        <f ca="1">IF(ISERROR(MATCH(AE$1,INDIRECT("Table!A"&amp;$BV19):INDIRECT("Table!" &amp; $CH$65 &amp; $BV19),0)),"",INDIRECT(CONCATENATE("Table!",ADDRESS($BR19,MATCH(AE$1,INDIRECT("Table!A" &amp; $BV19):INDIRECT("Table!" &amp; $CH$65 &amp; $BV19),0)))))/1024</f>
        <v>5.58154296875</v>
      </c>
      <c r="AF19" s="709">
        <f ca="1">IF(ISERROR(MATCH(AF$1,INDIRECT("Table!A"&amp;$BV19):INDIRECT("Table!" &amp; $CH$65 &amp; $BV19),0)),"",INDIRECT(CONCATENATE("Table!",ADDRESS($BR19,MATCH(AF$1,INDIRECT("Table!A" &amp; $BV19):INDIRECT("Table!" &amp; $CH$65 &amp; $BV19),0)))))/1024</f>
        <v>5.58154296875</v>
      </c>
      <c r="AG19" s="709">
        <f ca="1">IF(ISERROR(MATCH(AG$1,INDIRECT("Table!A"&amp;$BV19):INDIRECT("Table!" &amp; $CH$65 &amp; $BV19),0)),"",INDIRECT(CONCATENATE("Table!",ADDRESS($BR19,MATCH(AG$1,INDIRECT("Table!A" &amp; $BV19):INDIRECT("Table!" &amp; $CH$65 &amp; $BV19),0)))))/1024</f>
        <v>6.2490234375</v>
      </c>
      <c r="AH19" s="709">
        <f ca="1">IF(ISERROR(MATCH(AH$1,INDIRECT("Table!A"&amp;$BV19):INDIRECT("Table!" &amp; $CH$65 &amp; $BV19),0)),"",INDIRECT(CONCATENATE("Table!",ADDRESS($BR19,MATCH(AH$1,INDIRECT("Table!A" &amp; $BV19):INDIRECT("Table!" &amp; $CH$65 &amp; $BV19),0)))))/1024</f>
        <v>0</v>
      </c>
      <c r="AI19" s="709" t="str">
        <f ca="1">IF(ISERROR(MATCH(AI$1,INDIRECT("Table!A"&amp;$BV19):INDIRECT("Table!" &amp; $CH$110 &amp; $BV19),0)),"",INDIRECT(CONCATENATE("Table!",ADDRESS($BR19,MATCH(AI$1,INDIRECT("Table!A" &amp; $BV19):INDIRECT("Table!" &amp; $CH$110 &amp; $BV19),0)))))</f>
        <v/>
      </c>
      <c r="AJ19" s="709">
        <f ca="1">IF(ISERROR(MATCH(AJ$1,INDIRECT("Table!A"&amp;$BV19):INDIRECT("Table!" &amp; $CH$110 &amp; $BV19),0)),"",INDIRECT(CONCATENATE("Table!",ADDRESS($BZ19,MATCH(AJ$1,INDIRECT("Table!A" &amp; $BV19):INDIRECT("Table!" &amp; $CH$110 &amp; $BV19),0)))))/1024</f>
        <v>244.15859374999999</v>
      </c>
      <c r="AK19" s="709">
        <f ca="1">IF(ISERROR(MATCH(AK$1,INDIRECT("Table!A"&amp;$BV19):INDIRECT("Table!" &amp; $CH$110 &amp; $BV19),0)),"",INDIRECT(CONCATENATE("Table!",ADDRESS($BZ19,MATCH(AK$1,INDIRECT("Table!A" &amp; $BV19):INDIRECT("Table!" &amp; $CH$110 &amp; $BV19),0)))))/1024</f>
        <v>146.98896484375001</v>
      </c>
      <c r="AL19" s="709">
        <f ca="1">IF(ISERROR(MATCH(AL$1,INDIRECT("Table!A"&amp;$BV19):INDIRECT("Table!" &amp; $CH$110 &amp; $BV19),0)),"",INDIRECT(CONCATENATE("Table!",ADDRESS($BZ19,MATCH(AL$1,INDIRECT("Table!A" &amp; $BV19):INDIRECT("Table!" &amp; $CH$110 &amp; $BV19),0)))))/1024</f>
        <v>146.98896484375001</v>
      </c>
      <c r="AM19" s="709">
        <f ca="1">IF(ISERROR(MATCH(AM$1,INDIRECT("Table!A"&amp;$BV19):INDIRECT("Table!" &amp; $CH$110 &amp; $BV19),0)),"",INDIRECT(CONCATENATE("Table!",ADDRESS($BZ19,MATCH(AM$1,INDIRECT("Table!A" &amp; $BV19):INDIRECT("Table!" &amp; $CH$110 &amp; $BV19),0)))))/1024</f>
        <v>177.73320312499999</v>
      </c>
      <c r="AN19" s="709">
        <f ca="1">IF(ISERROR(MATCH(AN$1,INDIRECT("Table!A"&amp;$BV19):INDIRECT("Table!" &amp; $CH$110 &amp; $BV19),0)),"",INDIRECT(CONCATENATE("Table!",ADDRESS($BZ19,MATCH(AN$1,INDIRECT("Table!A" &amp; $BV19):INDIRECT("Table!" &amp; $CH$110 &amp; $BV19),0)))))/1024</f>
        <v>161.88056640625001</v>
      </c>
      <c r="AO19" s="709">
        <f ca="1">IF(ISERROR(MATCH(AO$1,INDIRECT("Table!A"&amp;$BV19):INDIRECT("Table!" &amp; $CH$110 &amp; $BV19),0)),"",INDIRECT(CONCATENATE("Table!",ADDRESS($BZ19,MATCH(AO$1,INDIRECT("Table!A" &amp; $BV19):INDIRECT("Table!" &amp; $CH$110 &amp; $BV19),0)))))/1024</f>
        <v>380.3759765625</v>
      </c>
      <c r="AP19" s="709">
        <f ca="1">IF(ISERROR(MATCH(AP$1,INDIRECT("Table!A"&amp;$BV19):INDIRECT("Table!" &amp; $CH$110 &amp; $BV19),0)),"",INDIRECT(CONCATENATE("Table!",ADDRESS($BZ19,MATCH(AP$1,INDIRECT("Table!A" &amp; $BV19):INDIRECT("Table!" &amp; $CH$110 &amp; $BV19),0)))))/1024</f>
        <v>167.94482421875</v>
      </c>
      <c r="AQ19" s="709">
        <f ca="1">IF(ISERROR(MATCH(AQ$1,INDIRECT("Table!A"&amp;$BV19):INDIRECT("Table!" &amp; $CH$110 &amp; $BV19),0)),"",INDIRECT(CONCATENATE("Table!",ADDRESS($BZ19,MATCH(AQ$1,INDIRECT("Table!A" &amp; $BV19):INDIRECT("Table!" &amp; $CH$110 &amp; $BV19),0)))))/1024</f>
        <v>162.185546875</v>
      </c>
      <c r="AR19" s="709">
        <f ca="1">IF(ISERROR(MATCH(AR$1,INDIRECT("Table!A"&amp;$BV19):INDIRECT("Table!" &amp; $CH$110 &amp; $BV19),0)),"",INDIRECT(CONCATENATE("Table!",ADDRESS($BZ19,MATCH(AR$1,INDIRECT("Table!A" &amp; $BV19):INDIRECT("Table!" &amp; $CH$110 &amp; $BV19),0)))))/1024</f>
        <v>121.1125</v>
      </c>
      <c r="AS19" s="709">
        <f ca="1">IF(ISERROR(MATCH(AS$1,INDIRECT("Table!A"&amp;$BV19):INDIRECT("Table!" &amp; $CH$110 &amp; $BV19),0)),"",INDIRECT(CONCATENATE("Table!",ADDRESS($BZ19,MATCH(AS$1,INDIRECT("Table!A" &amp; $BV19):INDIRECT("Table!" &amp; $CH$110 &amp; $BV19),0)))))/1024</f>
        <v>218.81953125000001</v>
      </c>
      <c r="AT19" s="709">
        <f ca="1">IF(ISERROR(MATCH(AT$1,INDIRECT("Table!A"&amp;$BV19):INDIRECT("Table!" &amp; $CH$110 &amp; $BV19),0)),"",INDIRECT(CONCATENATE("Table!",ADDRESS($BZ19,MATCH(AT$1,INDIRECT("Table!A" &amp; $BV19):INDIRECT("Table!" &amp; $CH$110 &amp; $BV19),0)))))/1024</f>
        <v>188.50498046875001</v>
      </c>
      <c r="AU19" s="709">
        <f ca="1">IF(ISERROR(MATCH(AU$1,INDIRECT("Table!A"&amp;$BV19):INDIRECT("Table!" &amp; $CH$110 &amp; $BV19),0)),"",INDIRECT(CONCATENATE("Table!",ADDRESS($BZ19,MATCH(AU$1,INDIRECT("Table!A" &amp; $BV19):INDIRECT("Table!" &amp; $CH$110 &amp; $BV19),0)))))/1024</f>
        <v>427.94912109375002</v>
      </c>
      <c r="AV19" s="709">
        <f ca="1">IF(ISERROR(MATCH(AV$1,INDIRECT("Table!A"&amp;$BV19):INDIRECT("Table!" &amp; $CH$110 &amp; $BV19),0)),"",INDIRECT(CONCATENATE("Table!",ADDRESS($BZ19,MATCH(AV$1,INDIRECT("Table!A" &amp; $BV19):INDIRECT("Table!" &amp; $CH$110 &amp; $BV19),0)))))/1024</f>
        <v>81.092578125000003</v>
      </c>
      <c r="AW19" s="709">
        <f ca="1">IF(ISERROR(MATCH(AW$1,INDIRECT("Table!A"&amp;$BV19):INDIRECT("Table!" &amp; $CH$110 &amp; $BV19),0)),"",INDIRECT(CONCATENATE("Table!",ADDRESS($BZ19,MATCH(AW$1,INDIRECT("Table!A" &amp; $BV19):INDIRECT("Table!" &amp; $CH$110 &amp; $BV19),0)))))/1024</f>
        <v>269.65859375000002</v>
      </c>
      <c r="AX19" s="709">
        <f ca="1">IF(ISERROR(MATCH(AX$1,INDIRECT("Table!A"&amp;$BV19):INDIRECT("Table!" &amp; $CH$110 &amp; $BV19),0)),"",INDIRECT(CONCATENATE("Table!",ADDRESS($BZ19,MATCH(AX$1,INDIRECT("Table!A" &amp; $BV19):INDIRECT("Table!" &amp; $CH$110 &amp; $BV19),0)))))/1024</f>
        <v>81.092578125000003</v>
      </c>
      <c r="AY19" s="709">
        <f ca="1">IF(ISERROR(MATCH(AY$1,INDIRECT("Table!A"&amp;$BV19):INDIRECT("Table!" &amp; $CH$110 &amp; $BV19),0)),"",INDIRECT(CONCATENATE("Table!",ADDRESS($BZ19,MATCH(AY$1,INDIRECT("Table!A" &amp; $BV19):INDIRECT("Table!" &amp; $CH$110 &amp; $BV19),0)))))/1024</f>
        <v>187.12714843750001</v>
      </c>
      <c r="AZ19" s="709">
        <f ca="1">IF(ISERROR(MATCH(AZ$1,INDIRECT("Table!A"&amp;$BV19):INDIRECT("Table!" &amp; $CH$110 &amp; $BV19),0)),"",INDIRECT(CONCATENATE("Table!",ADDRESS($BZ19,MATCH(AZ$1,INDIRECT("Table!A" &amp; $BV19):INDIRECT("Table!" &amp; $CH$110 &amp; $BV19),0)))))/1024</f>
        <v>256.14150390625002</v>
      </c>
      <c r="BA19" s="709"/>
      <c r="BB19" s="709">
        <f ca="1">IF(ISERROR(MATCH(BB$1,INDIRECT("Table!A"&amp;$BV19):INDIRECT("Table!" &amp; $CH$110 &amp; $BV19),0)),"",INDIRECT(CONCATENATE("Table!",ADDRESS($BZ19,MATCH(BB$1,INDIRECT("Table!A" &amp; $BV19):INDIRECT("Table!" &amp; $CH$110 &amp; $BV19),0)))))/1024</f>
        <v>32.31494140625</v>
      </c>
      <c r="BC19" s="709">
        <f ca="1">IF(ISERROR(MATCH(BC$1,INDIRECT("Table!A"&amp;$BV19):INDIRECT("Table!" &amp; $CH$110 &amp; $BV19),0)),"",INDIRECT(CONCATENATE("Table!",ADDRESS($BZ19,MATCH(BC$1,INDIRECT("Table!A" &amp; $BV19):INDIRECT("Table!" &amp; $CH$110 &amp; $BV19),0)))))/1024</f>
        <v>99.80126953125</v>
      </c>
      <c r="BD19" s="709">
        <f ca="1">IF(ISERROR(MATCH(BD$1,INDIRECT("Table!A"&amp;$BV19):INDIRECT("Table!" &amp; $CH$110 &amp; $BV19),0)),"",INDIRECT(CONCATENATE("Table!",ADDRESS($BZ19,MATCH(BD$1,INDIRECT("Table!A" &amp; $BV19):INDIRECT("Table!" &amp; $CH$110 &amp; $BV19),0)))))/1024</f>
        <v>204.58642578125</v>
      </c>
      <c r="BE19" s="905">
        <f ca="1">IF(ISERROR(MATCH(BE$1,INDIRECT("Table!A"&amp;$BV19):INDIRECT("Table!" &amp; $CH$110 &amp; $BV19),0)),"",INDIRECT(CONCATENATE("Table!",ADDRESS($BZ19,MATCH(BE$1,INDIRECT("Table!A" &amp; $BV19):INDIRECT("Table!" &amp; $CH$110 &amp; $BV19),0)))))/1024</f>
        <v>99.80126953125</v>
      </c>
      <c r="BF19" s="905">
        <f ca="1">IF(ISERROR(MATCH(BF$1,INDIRECT("Table!A"&amp;$BV19):INDIRECT("Table!" &amp; $CH$110 &amp; $BV19),0)),"",INDIRECT(CONCATENATE("Table!",ADDRESS($BZ19,MATCH(BF$1,INDIRECT("Table!A" &amp; $BV19):INDIRECT("Table!" &amp; $CH$110 &amp; $BV19),0)))))/1024</f>
        <v>204.58642578125</v>
      </c>
      <c r="BG19" s="905">
        <f ca="1">IF(ISERROR(MATCH(BG$1,INDIRECT("Table!A"&amp;$BV19):INDIRECT("Table!" &amp; $CH$110 &amp; $BV19),0)),"",INDIRECT(CONCATENATE("Table!",ADDRESS($BZ19,MATCH(BG$1,INDIRECT("Table!A" &amp; $BV19):INDIRECT("Table!" &amp; $CH$110 &amp; $BV19),0)))))/1024</f>
        <v>99.80126953125</v>
      </c>
      <c r="BH19" s="905">
        <f ca="1">IF(ISERROR(MATCH(BH$1,INDIRECT("Table!A"&amp;$BV19):INDIRECT("Table!" &amp; $CH$110 &amp; $BV19),0)),"",INDIRECT(CONCATENATE("Table!",ADDRESS($BZ19,MATCH(BH$1,INDIRECT("Table!A" &amp; $BV19):INDIRECT("Table!" &amp; $CH$110 &amp; $BV19),0)))))/1024</f>
        <v>204.58642578125</v>
      </c>
      <c r="BI19" s="905">
        <f ca="1">IF(ISERROR(MATCH(BI$1,INDIRECT("Table!A"&amp;$BV19):INDIRECT("Table!" &amp; $CH$110 &amp; $BV19),0)),"",INDIRECT(CONCATENATE("Table!",ADDRESS($BZ19,MATCH(BI$1,INDIRECT("Table!A" &amp; $BV19):INDIRECT("Table!" &amp; $CH$110 &amp; $BV19),0)))))/1024</f>
        <v>320.99140625000001</v>
      </c>
      <c r="BJ19" s="905">
        <f ca="1">IF(ISERROR(MATCH(BJ$1,INDIRECT("Table!A"&amp;$BV19):INDIRECT("Table!" &amp; $CH$110 &amp; $BV19),0)),"",INDIRECT(CONCATENATE("Table!",ADDRESS($BZ19,MATCH(BJ$1,INDIRECT("Table!A" &amp; $BV19):INDIRECT("Table!" &amp; $CH$110 &amp; $BV19),0)))))/1024</f>
        <v>186.39765625000001</v>
      </c>
      <c r="BK19" s="905">
        <f ca="1">IF(ISERROR(MATCH(BK$1,INDIRECT("Table!A"&amp;$BV19):INDIRECT("Table!" &amp; $CH$110 &amp; $BV19),0)),"",INDIRECT(CONCATENATE("Table!",ADDRESS($BZ19,MATCH(BK$1,INDIRECT("Table!A" &amp; $BV19):INDIRECT("Table!" &amp; $CH$110 &amp; $BV19),0)))))/1024</f>
        <v>218.81953125000001</v>
      </c>
      <c r="BL19" s="905">
        <f ca="1">IF(ISERROR(MATCH(BL$1,INDIRECT("Table!A"&amp;$BV19):INDIRECT("Table!" &amp; $CH$110 &amp; $BV19),0)),"",INDIRECT(CONCATENATE("Table!",ADDRESS($BZ19,MATCH(BL$1,INDIRECT("Table!A" &amp; $BV19):INDIRECT("Table!" &amp; $CH$110 &amp; $BV19),0)))))/1024</f>
        <v>218.81953125000001</v>
      </c>
      <c r="BM19" s="905">
        <f ca="1">IF(ISERROR(MATCH(BM$1,INDIRECT("Table!A"&amp;$BV19):INDIRECT("Table!" &amp; $CH$110 &amp; $BV19),0)),"",INDIRECT(CONCATENATE("Table!",ADDRESS($BZ19,MATCH(BM$1,INDIRECT("Table!A" &amp; $BV19):INDIRECT("Table!" &amp; $CH$110 &amp; $BV19),0)))))/1024</f>
        <v>152.53330078125001</v>
      </c>
      <c r="BN19" s="905">
        <f ca="1">IF(ISERROR(MATCH(BN$1,INDIRECT("Table!A"&amp;$BV19):INDIRECT("Table!" &amp; $CH$110 &amp; $BV19),0)),"",INDIRECT(CONCATENATE("Table!",ADDRESS($BZ19,MATCH(BN$1,INDIRECT("Table!A" &amp; $BV19):INDIRECT("Table!" &amp; $CH$110 &amp; $BV19),0)))))/1024</f>
        <v>152.53330078125001</v>
      </c>
      <c r="BO19" s="905">
        <f ca="1">IF(ISERROR(MATCH(BO$1,INDIRECT("Table!A"&amp;$BV19):INDIRECT("Table!" &amp; $CH$110 &amp; $BV19),0)),"",INDIRECT(CONCATENATE("Table!",ADDRESS($BZ19,MATCH(BO$1,INDIRECT("Table!A" &amp; $BV19):INDIRECT("Table!" &amp; $CH$110 &amp; $BV19),0)))))/1024</f>
        <v>218.81455078125001</v>
      </c>
      <c r="BP19" s="905">
        <f ca="1">IF(ISERROR(MATCH(BP$1,INDIRECT("Table!A"&amp;$BV19):INDIRECT("Table!" &amp; $CH$110 &amp; $BV19),0)),"",INDIRECT(CONCATENATE("Table!",ADDRESS($BZ19,MATCH(BP$1,INDIRECT("Table!A" &amp; $BV19):INDIRECT("Table!" &amp; $CH$110 &amp; $BV19),0)))))/1024</f>
        <v>0</v>
      </c>
      <c r="BR19" s="704">
        <f>MATCH($A19,Table!$A:$A,0)+$BT$2-1</f>
        <v>229</v>
      </c>
      <c r="BS19" s="744"/>
      <c r="BT19" s="744"/>
      <c r="BU19" s="744"/>
      <c r="BV19" s="717">
        <f>MATCH($A19,Table!$A:$A,0)+$BX$2-1</f>
        <v>227</v>
      </c>
      <c r="BW19" s="744"/>
      <c r="BX19" s="744"/>
      <c r="BY19" s="744"/>
      <c r="BZ19" s="704">
        <f>MATCH($A19,Table!$A:$A,0)+$CB$2-1</f>
        <v>228</v>
      </c>
      <c r="CA19" s="744"/>
      <c r="CB19" s="744"/>
      <c r="CC19" s="744"/>
      <c r="CD19" s="717">
        <f>MATCH($A19,Table!$A:$A,0)+$BX$2-1</f>
        <v>227</v>
      </c>
      <c r="CE19" s="744"/>
      <c r="CF19" s="744"/>
      <c r="CG19" s="744"/>
      <c r="CH19" s="711" t="s">
        <v>302</v>
      </c>
      <c r="CI19" s="712">
        <f t="shared" ref="CI19" ca="1" si="77">SUM(AJ19:BP19)</f>
        <v>5834.1424804687485</v>
      </c>
      <c r="CJ19" s="712">
        <f t="shared" ca="1" si="1"/>
        <v>2204.2861328125009</v>
      </c>
      <c r="CK19" s="712">
        <f t="shared" ref="CK19" ca="1" si="78">CI19-CJ19</f>
        <v>3629.8563476562476</v>
      </c>
      <c r="CL19" s="718">
        <f t="shared" ref="CL19" ca="1" si="79">CJ19/CI19</f>
        <v>0.37782521427817373</v>
      </c>
      <c r="CM19" s="712">
        <f ca="1">SUMIF('Alloc Feed'!A:I,A:A,'Alloc Feed'!I:I)</f>
        <v>3877.8501210937493</v>
      </c>
      <c r="CN19" s="718">
        <f t="shared" ref="CN19" ca="1" si="80">CM19/CI19</f>
        <v>0.66468210779490267</v>
      </c>
    </row>
    <row r="20" spans="1:92" s="947" customFormat="1" x14ac:dyDescent="0.25">
      <c r="A20" s="703">
        <v>41857</v>
      </c>
      <c r="B20" s="709">
        <f ca="1">IF(ISERROR(MATCH(B$1,INDIRECT("Table!A"&amp;$BV20):INDIRECT("Table!" &amp; $CH$110 &amp; $BV20),0)),"",INDIRECT(CONCATENATE("Table!",ADDRESS($BR20,MATCH(B$1,INDIRECT("Table!A" &amp; $BV20):INDIRECT("Table!" &amp; $CH$110 &amp; $BV20),0)))))/1024</f>
        <v>88.147070312500006</v>
      </c>
      <c r="C20" s="709">
        <f ca="1">IF(ISERROR(MATCH(C$1,INDIRECT("Table!A"&amp;$BV20):INDIRECT("Table!" &amp; $CH$110 &amp; $BV20),0)),"",INDIRECT(CONCATENATE("Table!",ADDRESS($BR20,MATCH(C$1,INDIRECT("Table!A" &amp; $BV20):INDIRECT("Table!" &amp; $CH$110 &amp; $BV20),0)))))/1024</f>
        <v>83.31640625</v>
      </c>
      <c r="D20" s="709">
        <f ca="1">IF(ISERROR(MATCH(D$1,INDIRECT("Table!A"&amp;$BV20):INDIRECT("Table!" &amp; $CH$110 &amp; $BV20),0)),"",INDIRECT(CONCATENATE("Table!",ADDRESS($BR20,MATCH(D$1,INDIRECT("Table!A" &amp; $BV20):INDIRECT("Table!" &amp; $CH$110 &amp; $BV20),0)))))/1024</f>
        <v>84.013378906249997</v>
      </c>
      <c r="E20" s="709">
        <f ca="1">IF(ISERROR(MATCH(E$1,INDIRECT("Table!A"&amp;$BV20):INDIRECT("Table!" &amp; $CH$110 &amp; $BV20),0)),"",INDIRECT(CONCATENATE("Table!",ADDRESS($BR20,MATCH(E$1,INDIRECT("Table!A" &amp; $BV20):INDIRECT("Table!" &amp; $CH$110 &amp; $BV20),0)))))/1024</f>
        <v>126.51718750000001</v>
      </c>
      <c r="F20" s="709">
        <f ca="1">IF(ISERROR(MATCH(F$1,INDIRECT("Table!A"&amp;$BV20):INDIRECT("Table!" &amp; $CH$110 &amp; $BV20),0)),"",INDIRECT(CONCATENATE("Table!",ADDRESS($BR20,MATCH(F$1,INDIRECT("Table!A" &amp; $BV20):INDIRECT("Table!" &amp; $CH$110 &amp; $BV20),0)))))/1024</f>
        <v>114.717578125</v>
      </c>
      <c r="G20" s="709">
        <f ca="1">IF(ISERROR(MATCH(G$1,INDIRECT("Table!A"&amp;$BV20):INDIRECT("Table!" &amp; $CH$110 &amp; $BV20),0)),"",INDIRECT(CONCATENATE("Table!",ADDRESS($BR20,MATCH(G$1,INDIRECT("Table!A" &amp; $BV20):INDIRECT("Table!" &amp; $CH$110 &amp; $BV20),0)))))/1024</f>
        <v>213.1826171875</v>
      </c>
      <c r="H20" s="709">
        <f ca="1">IF(ISERROR(MATCH(H$1,INDIRECT("Table!A"&amp;$BV20):INDIRECT("Table!" &amp; $CH$110 &amp; $BV20),0)),"",INDIRECT(CONCATENATE("Table!",ADDRESS($BR20,MATCH(H$1,INDIRECT("Table!A" &amp; $BV20):INDIRECT("Table!" &amp; $CH$110 &amp; $BV20),0)))))/1024</f>
        <v>119.1150390625</v>
      </c>
      <c r="I20" s="709">
        <f ca="1">IF(ISERROR(MATCH(I$1,INDIRECT("Table!A"&amp;$BV20):INDIRECT("Table!" &amp; $CH$110 &amp; $BV20),0)),"",INDIRECT(CONCATENATE("Table!",ADDRESS($BR20,MATCH(I$1,INDIRECT("Table!A" &amp; $BV20):INDIRECT("Table!" &amp; $CH$110 &amp; $BV20),0)))))/1024</f>
        <v>25.7509765625</v>
      </c>
      <c r="J20" s="709">
        <f ca="1">IF(ISERROR(MATCH(J$1,INDIRECT("Table!A"&amp;$BV20):INDIRECT("Table!" &amp; $CH$110 &amp; $BV20),0)),"",INDIRECT(CONCATENATE("Table!",ADDRESS($BR20,MATCH(J$1,INDIRECT("Table!A" &amp; $BV20):INDIRECT("Table!" &amp; $CH$110 &amp; $BV20),0)))))/1024</f>
        <v>85.753710937500003</v>
      </c>
      <c r="K20" s="709">
        <f ca="1">IF(ISERROR(MATCH(K$1,INDIRECT("Table!A"&amp;$BV20):INDIRECT("Table!" &amp; $CH$110 &amp; $BV20),0)),"",INDIRECT(CONCATENATE("Table!",ADDRESS($BR20,MATCH(K$1,INDIRECT("Table!A" &amp; $BV20):INDIRECT("Table!" &amp; $CH$110 &amp; $BV20),0)))))/1024</f>
        <v>80.636523437500003</v>
      </c>
      <c r="L20" s="709">
        <f ca="1">IF(ISERROR(MATCH(L$1,INDIRECT("Table!A"&amp;$BV20):INDIRECT("Table!" &amp; $CH$110 &amp; $BV20),0)),"",INDIRECT(CONCATENATE("Table!",ADDRESS($BR20,MATCH(L$1,INDIRECT("Table!A" &amp; $BV20):INDIRECT("Table!" &amp; $CH$110 &amp; $BV20),0)))))/1024</f>
        <v>127.489453125</v>
      </c>
      <c r="M20" s="709">
        <f ca="1">IF(ISERROR(MATCH(M$1,INDIRECT("Table!A"&amp;$BV20):INDIRECT("Table!" &amp; $CH$110 &amp; $BV20),0)),"",INDIRECT(CONCATENATE("Table!",ADDRESS($BR20,MATCH(M$1,INDIRECT("Table!A" &amp; $BV20):INDIRECT("Table!" &amp; $CH$110 &amp; $BV20),0)))))/1024</f>
        <v>209.14335937499999</v>
      </c>
      <c r="N20" s="709">
        <f ca="1">IF(ISERROR(MATCH(N$1,INDIRECT("Table!A"&amp;$BV20):INDIRECT("Table!" &amp; $CH$110 &amp; $BV20),0)),"",INDIRECT(CONCATENATE("Table!",ADDRESS($BR20,MATCH(N$1,INDIRECT("Table!A" &amp; $BV20):INDIRECT("Table!" &amp; $CH$110 &amp; $BV20),0)))))/1024</f>
        <v>57.875</v>
      </c>
      <c r="O20" s="709">
        <f ca="1">IF(ISERROR(MATCH(O$1,INDIRECT("Table!A"&amp;$BV20):INDIRECT("Table!" &amp; $CH$110 &amp; $BV20),0)),"",INDIRECT(CONCATENATE("Table!",ADDRESS($BR20,MATCH(O$1,INDIRECT("Table!A" &amp; $BV20):INDIRECT("Table!" &amp; $CH$110 &amp; $BV20),0)))))/1024</f>
        <v>220.15957031249999</v>
      </c>
      <c r="P20" s="709">
        <f ca="1">IF(ISERROR(MATCH(P$1,INDIRECT("Table!A"&amp;$BV20):INDIRECT("Table!" &amp; $CH$110 &amp; $BV20),0)),"",INDIRECT(CONCATENATE("Table!",ADDRESS($BR20,MATCH(P$1,INDIRECT("Table!A" &amp; $BV20):INDIRECT("Table!" &amp; $CH$110 &amp; $BV20),0)))))/1024</f>
        <v>49.816015624999999</v>
      </c>
      <c r="Q20" s="709">
        <f ca="1">IF(ISERROR(MATCH(Q$1,INDIRECT("Table!A"&amp;$BV20):INDIRECT("Table!" &amp; $CH$110 &amp; $BV20),0)),"",INDIRECT(CONCATENATE("Table!",ADDRESS($BR20,MATCH(Q$1,INDIRECT("Table!A" &amp; $BV20):INDIRECT("Table!" &amp; $CH$110 &amp; $BV20),0)))))/1024</f>
        <v>137.138671875</v>
      </c>
      <c r="R20" s="709">
        <f ca="1">IF(ISERROR(MATCH(R$1,INDIRECT("Table!A"&amp;$BV20):INDIRECT("Table!" &amp; $CH$110 &amp; $BV20),0)),"",INDIRECT(CONCATENATE("Table!",ADDRESS($BR20,MATCH(R$1,INDIRECT("Table!A" &amp; $BV20):INDIRECT("Table!" &amp; $CH$110 &amp; $BV20),0)))))/1024</f>
        <v>174.58730468749999</v>
      </c>
      <c r="S20" s="709">
        <v>0</v>
      </c>
      <c r="T20" s="709">
        <f ca="1">IF(ISERROR(MATCH(T$1,INDIRECT("Table!A"&amp;$BV20):INDIRECT("Table!" &amp; $CH$65 &amp; $BV20),0)),"",INDIRECT(CONCATENATE("Table!",ADDRESS($BR20,MATCH(T$1,INDIRECT("Table!A" &amp; $BV20):INDIRECT("Table!" &amp; $CH$65 &amp; $BV20),0)))))/1024</f>
        <v>11.2826171875</v>
      </c>
      <c r="U20" s="709">
        <f ca="1">IF(ISERROR(MATCH(U$1,INDIRECT("Table!A"&amp;$BV20):INDIRECT("Table!" &amp; $CH$65 &amp; $BV20),0)),"",INDIRECT(CONCATENATE("Table!",ADDRESS($BR20,MATCH(U$1,INDIRECT("Table!A" &amp; $BV20):INDIRECT("Table!" &amp; $CH$65 &amp; $BV20),0)))))/1024</f>
        <v>14.83603515625</v>
      </c>
      <c r="V20" s="709">
        <f ca="1">IF(ISERROR(MATCH(V$1,INDIRECT("Table!A"&amp;$BV20):INDIRECT("Table!" &amp; $CH$65 &amp; $BV20),0)),"",INDIRECT(CONCATENATE("Table!",ADDRESS($BR20,MATCH(V$1,INDIRECT("Table!A" &amp; $BV20):INDIRECT("Table!" &amp; $CH$65 &amp; $BV20),0)))))/1024</f>
        <v>29.671875</v>
      </c>
      <c r="W20" s="709">
        <f ca="1">IF(ISERROR(MATCH(W$1,INDIRECT("Table!A"&amp;$BV20):INDIRECT("Table!" &amp; $CH$65 &amp; $BV20),0)),"",INDIRECT(CONCATENATE("Table!",ADDRESS($BR20,MATCH(W$1,INDIRECT("Table!A" &amp; $BV20):INDIRECT("Table!" &amp; $CH$65 &amp; $BV20),0)))))/1024</f>
        <v>20.707812499999999</v>
      </c>
      <c r="X20" s="709">
        <f ca="1">IF(ISERROR(MATCH(X$1,INDIRECT("Table!A"&amp;$BV20):INDIRECT("Table!" &amp; $CH$65 &amp; $BV20),0)),"",INDIRECT(CONCATENATE("Table!",ADDRESS($BR20,MATCH(X$1,INDIRECT("Table!A" &amp; $BV20):INDIRECT("Table!" &amp; $CH$65 &amp; $BV20),0)))))/1024</f>
        <v>40.523144531249997</v>
      </c>
      <c r="Y20" s="709">
        <f ca="1">IF(ISERROR(MATCH(Y$1,INDIRECT("Table!A"&amp;$BV20):INDIRECT("Table!" &amp; $CH$65 &amp; $BV20),0)),"",INDIRECT(CONCATENATE("Table!",ADDRESS($BR20,MATCH(Y$1,INDIRECT("Table!A" &amp; $BV20):INDIRECT("Table!" &amp; $CH$65 &amp; $BV20),0)))))/1024</f>
        <v>3.0135742187500001</v>
      </c>
      <c r="Z20" s="709">
        <f ca="1">IF(ISERROR(MATCH(Z$1,INDIRECT("Table!A"&amp;$BV20):INDIRECT("Table!" &amp; $CH$65 &amp; $BV20),0)),"",INDIRECT(CONCATENATE("Table!",ADDRESS($BR20,MATCH(Z$1,INDIRECT("Table!A" &amp; $BV20):INDIRECT("Table!" &amp; $CH$65 &amp; $BV20),0)))))/1024</f>
        <v>5.947265625</v>
      </c>
      <c r="AA20" s="709">
        <f ca="1">IF(ISERROR(MATCH(AA$1,INDIRECT("Table!A"&amp;$BV20):INDIRECT("Table!" &amp; $CH$65 &amp; $BV20),0)),"",INDIRECT(CONCATENATE("Table!",ADDRESS($BR20,MATCH(AA$1,INDIRECT("Table!A" &amp; $BV20):INDIRECT("Table!" &amp; $CH$65 &amp; $BV20),0)))))/1024</f>
        <v>35.745996093750001</v>
      </c>
      <c r="AB20" s="709">
        <f ca="1">IF(ISERROR(MATCH(AB$1,INDIRECT("Table!A"&amp;$BV20):INDIRECT("Table!" &amp; $CH$65 &amp; $BV20),0)),"",INDIRECT(CONCATENATE("Table!",ADDRESS($BR20,MATCH(AB$1,INDIRECT("Table!A" &amp; $BV20):INDIRECT("Table!" &amp; $CH$65 &amp; $BV20),0)))))/1024</f>
        <v>4.7851562500000003E-3</v>
      </c>
      <c r="AC20" s="709">
        <f ca="1">IF(ISERROR(MATCH(AC$1,INDIRECT("Table!A"&amp;$BV20):INDIRECT("Table!" &amp; $CH$65 &amp; $BV20),0)),"",INDIRECT(CONCATENATE("Table!",ADDRESS($BR20,MATCH(AC$1,INDIRECT("Table!A" &amp; $BV20):INDIRECT("Table!" &amp; $CH$65 &amp; $BV20),0)))))/1024</f>
        <v>4.95068359375</v>
      </c>
      <c r="AD20" s="709">
        <f ca="1">IF(ISERROR(MATCH(AD$1,INDIRECT("Table!A"&amp;$BV20):INDIRECT("Table!" &amp; $CH$65 &amp; $BV20),0)),"",INDIRECT(CONCATENATE("Table!",ADDRESS($BR20,MATCH(AD$1,INDIRECT("Table!A" &amp; $BV20):INDIRECT("Table!" &amp; $CH$65 &amp; $BV20),0)))))/1024</f>
        <v>42.606152343749997</v>
      </c>
      <c r="AE20" s="709">
        <f ca="1">IF(ISERROR(MATCH(AE$1,INDIRECT("Table!A"&amp;$BV20):INDIRECT("Table!" &amp; $CH$65 &amp; $BV20),0)),"",INDIRECT(CONCATENATE("Table!",ADDRESS($BR20,MATCH(AE$1,INDIRECT("Table!A" &amp; $BV20):INDIRECT("Table!" &amp; $CH$65 &amp; $BV20),0)))))/1024</f>
        <v>4.5577148437500004</v>
      </c>
      <c r="AF20" s="709">
        <f ca="1">IF(ISERROR(MATCH(AF$1,INDIRECT("Table!A"&amp;$BV20):INDIRECT("Table!" &amp; $CH$65 &amp; $BV20),0)),"",INDIRECT(CONCATENATE("Table!",ADDRESS($BR20,MATCH(AF$1,INDIRECT("Table!A" &amp; $BV20):INDIRECT("Table!" &amp; $CH$65 &amp; $BV20),0)))))/1024</f>
        <v>4.5577148437500004</v>
      </c>
      <c r="AG20" s="709">
        <f ca="1">IF(ISERROR(MATCH(AG$1,INDIRECT("Table!A"&amp;$BV20):INDIRECT("Table!" &amp; $CH$65 &amp; $BV20),0)),"",INDIRECT(CONCATENATE("Table!",ADDRESS($BR20,MATCH(AG$1,INDIRECT("Table!A" &amp; $BV20):INDIRECT("Table!" &amp; $CH$65 &amp; $BV20),0)))))/1024</f>
        <v>6.2490234375</v>
      </c>
      <c r="AH20" s="709">
        <f ca="1">IF(ISERROR(MATCH(AH$1,INDIRECT("Table!A"&amp;$BV20):INDIRECT("Table!" &amp; $CH$65 &amp; $BV20),0)),"",INDIRECT(CONCATENATE("Table!",ADDRESS($BR20,MATCH(AH$1,INDIRECT("Table!A" &amp; $BV20):INDIRECT("Table!" &amp; $CH$65 &amp; $BV20),0)))))/1024</f>
        <v>0</v>
      </c>
      <c r="AI20" s="709" t="str">
        <f ca="1">IF(ISERROR(MATCH(AI$1,INDIRECT("Table!A"&amp;$BV20):INDIRECT("Table!" &amp; $CH$110 &amp; $BV20),0)),"",INDIRECT(CONCATENATE("Table!",ADDRESS($BR20,MATCH(AI$1,INDIRECT("Table!A" &amp; $BV20):INDIRECT("Table!" &amp; $CH$110 &amp; $BV20),0)))))</f>
        <v/>
      </c>
      <c r="AJ20" s="709">
        <f ca="1">IF(ISERROR(MATCH(AJ$1,INDIRECT("Table!A"&amp;$BV20):INDIRECT("Table!" &amp; $CH$110 &amp; $BV20),0)),"",INDIRECT(CONCATENATE("Table!",ADDRESS($BZ20,MATCH(AJ$1,INDIRECT("Table!A" &amp; $BV20):INDIRECT("Table!" &amp; $CH$110 &amp; $BV20),0)))))/1024</f>
        <v>244.15859374999999</v>
      </c>
      <c r="AK20" s="709">
        <f ca="1">IF(ISERROR(MATCH(AK$1,INDIRECT("Table!A"&amp;$BV20):INDIRECT("Table!" &amp; $CH$110 &amp; $BV20),0)),"",INDIRECT(CONCATENATE("Table!",ADDRESS($BZ20,MATCH(AK$1,INDIRECT("Table!A" &amp; $BV20):INDIRECT("Table!" &amp; $CH$110 &amp; $BV20),0)))))/1024</f>
        <v>146.98896484375001</v>
      </c>
      <c r="AL20" s="709">
        <f ca="1">IF(ISERROR(MATCH(AL$1,INDIRECT("Table!A"&amp;$BV20):INDIRECT("Table!" &amp; $CH$110 &amp; $BV20),0)),"",INDIRECT(CONCATENATE("Table!",ADDRESS($BZ20,MATCH(AL$1,INDIRECT("Table!A" &amp; $BV20):INDIRECT("Table!" &amp; $CH$110 &amp; $BV20),0)))))/1024</f>
        <v>146.98896484375001</v>
      </c>
      <c r="AM20" s="709">
        <f ca="1">IF(ISERROR(MATCH(AM$1,INDIRECT("Table!A"&amp;$BV20):INDIRECT("Table!" &amp; $CH$110 &amp; $BV20),0)),"",INDIRECT(CONCATENATE("Table!",ADDRESS($BZ20,MATCH(AM$1,INDIRECT("Table!A" &amp; $BV20):INDIRECT("Table!" &amp; $CH$110 &amp; $BV20),0)))))/1024</f>
        <v>177.73320312499999</v>
      </c>
      <c r="AN20" s="709">
        <f ca="1">IF(ISERROR(MATCH(AN$1,INDIRECT("Table!A"&amp;$BV20):INDIRECT("Table!" &amp; $CH$110 &amp; $BV20),0)),"",INDIRECT(CONCATENATE("Table!",ADDRESS($BZ20,MATCH(AN$1,INDIRECT("Table!A" &amp; $BV20):INDIRECT("Table!" &amp; $CH$110 &amp; $BV20),0)))))/1024</f>
        <v>161.88056640625001</v>
      </c>
      <c r="AO20" s="709">
        <f ca="1">IF(ISERROR(MATCH(AO$1,INDIRECT("Table!A"&amp;$BV20):INDIRECT("Table!" &amp; $CH$110 &amp; $BV20),0)),"",INDIRECT(CONCATENATE("Table!",ADDRESS($BZ20,MATCH(AO$1,INDIRECT("Table!A" &amp; $BV20):INDIRECT("Table!" &amp; $CH$110 &amp; $BV20),0)))))/1024</f>
        <v>380.3759765625</v>
      </c>
      <c r="AP20" s="709">
        <f ca="1">IF(ISERROR(MATCH(AP$1,INDIRECT("Table!A"&amp;$BV20):INDIRECT("Table!" &amp; $CH$110 &amp; $BV20),0)),"",INDIRECT(CONCATENATE("Table!",ADDRESS($BZ20,MATCH(AP$1,INDIRECT("Table!A" &amp; $BV20):INDIRECT("Table!" &amp; $CH$110 &amp; $BV20),0)))))/1024</f>
        <v>167.94482421875</v>
      </c>
      <c r="AQ20" s="709">
        <f ca="1">IF(ISERROR(MATCH(AQ$1,INDIRECT("Table!A"&amp;$BV20):INDIRECT("Table!" &amp; $CH$110 &amp; $BV20),0)),"",INDIRECT(CONCATENATE("Table!",ADDRESS($BZ20,MATCH(AQ$1,INDIRECT("Table!A" &amp; $BV20):INDIRECT("Table!" &amp; $CH$110 &amp; $BV20),0)))))/1024</f>
        <v>162.185546875</v>
      </c>
      <c r="AR20" s="709">
        <f ca="1">IF(ISERROR(MATCH(AR$1,INDIRECT("Table!A"&amp;$BV20):INDIRECT("Table!" &amp; $CH$110 &amp; $BV20),0)),"",INDIRECT(CONCATENATE("Table!",ADDRESS($BZ20,MATCH(AR$1,INDIRECT("Table!A" &amp; $BV20):INDIRECT("Table!" &amp; $CH$110 &amp; $BV20),0)))))/1024</f>
        <v>121.1125</v>
      </c>
      <c r="AS20" s="709">
        <f ca="1">IF(ISERROR(MATCH(AS$1,INDIRECT("Table!A"&amp;$BV20):INDIRECT("Table!" &amp; $CH$110 &amp; $BV20),0)),"",INDIRECT(CONCATENATE("Table!",ADDRESS($BZ20,MATCH(AS$1,INDIRECT("Table!A" &amp; $BV20):INDIRECT("Table!" &amp; $CH$110 &amp; $BV20),0)))))/1024</f>
        <v>218.81953125000001</v>
      </c>
      <c r="AT20" s="709">
        <f ca="1">IF(ISERROR(MATCH(AT$1,INDIRECT("Table!A"&amp;$BV20):INDIRECT("Table!" &amp; $CH$110 &amp; $BV20),0)),"",INDIRECT(CONCATENATE("Table!",ADDRESS($BZ20,MATCH(AT$1,INDIRECT("Table!A" &amp; $BV20):INDIRECT("Table!" &amp; $CH$110 &amp; $BV20),0)))))/1024</f>
        <v>188.50498046875001</v>
      </c>
      <c r="AU20" s="709">
        <f ca="1">IF(ISERROR(MATCH(AU$1,INDIRECT("Table!A"&amp;$BV20):INDIRECT("Table!" &amp; $CH$110 &amp; $BV20),0)),"",INDIRECT(CONCATENATE("Table!",ADDRESS($BZ20,MATCH(AU$1,INDIRECT("Table!A" &amp; $BV20):INDIRECT("Table!" &amp; $CH$110 &amp; $BV20),0)))))/1024</f>
        <v>427.94912109375002</v>
      </c>
      <c r="AV20" s="709">
        <f ca="1">IF(ISERROR(MATCH(AV$1,INDIRECT("Table!A"&amp;$BV20):INDIRECT("Table!" &amp; $CH$110 &amp; $BV20),0)),"",INDIRECT(CONCATENATE("Table!",ADDRESS($BZ20,MATCH(AV$1,INDIRECT("Table!A" &amp; $BV20):INDIRECT("Table!" &amp; $CH$110 &amp; $BV20),0)))))/1024</f>
        <v>81.092578125000003</v>
      </c>
      <c r="AW20" s="709">
        <f ca="1">IF(ISERROR(MATCH(AW$1,INDIRECT("Table!A"&amp;$BV20):INDIRECT("Table!" &amp; $CH$110 &amp; $BV20),0)),"",INDIRECT(CONCATENATE("Table!",ADDRESS($BZ20,MATCH(AW$1,INDIRECT("Table!A" &amp; $BV20):INDIRECT("Table!" &amp; $CH$110 &amp; $BV20),0)))))/1024</f>
        <v>269.65859375000002</v>
      </c>
      <c r="AX20" s="709">
        <f ca="1">IF(ISERROR(MATCH(AX$1,INDIRECT("Table!A"&amp;$BV20):INDIRECT("Table!" &amp; $CH$110 &amp; $BV20),0)),"",INDIRECT(CONCATENATE("Table!",ADDRESS($BZ20,MATCH(AX$1,INDIRECT("Table!A" &amp; $BV20):INDIRECT("Table!" &amp; $CH$110 &amp; $BV20),0)))))/1024</f>
        <v>81.092578125000003</v>
      </c>
      <c r="AY20" s="709">
        <f ca="1">IF(ISERROR(MATCH(AY$1,INDIRECT("Table!A"&amp;$BV20):INDIRECT("Table!" &amp; $CH$110 &amp; $BV20),0)),"",INDIRECT(CONCATENATE("Table!",ADDRESS($BZ20,MATCH(AY$1,INDIRECT("Table!A" &amp; $BV20):INDIRECT("Table!" &amp; $CH$110 &amp; $BV20),0)))))/1024</f>
        <v>187.12714843750001</v>
      </c>
      <c r="AZ20" s="709">
        <f ca="1">IF(ISERROR(MATCH(AZ$1,INDIRECT("Table!A"&amp;$BV20):INDIRECT("Table!" &amp; $CH$110 &amp; $BV20),0)),"",INDIRECT(CONCATENATE("Table!",ADDRESS($BZ20,MATCH(AZ$1,INDIRECT("Table!A" &amp; $BV20):INDIRECT("Table!" &amp; $CH$110 &amp; $BV20),0)))))/1024</f>
        <v>256.14150390625002</v>
      </c>
      <c r="BA20" s="709"/>
      <c r="BB20" s="709">
        <f ca="1">IF(ISERROR(MATCH(BB$1,INDIRECT("Table!A"&amp;$BV20):INDIRECT("Table!" &amp; $CH$110 &amp; $BV20),0)),"",INDIRECT(CONCATENATE("Table!",ADDRESS($BZ20,MATCH(BB$1,INDIRECT("Table!A" &amp; $BV20):INDIRECT("Table!" &amp; $CH$110 &amp; $BV20),0)))))/1024</f>
        <v>32.31494140625</v>
      </c>
      <c r="BC20" s="709">
        <f ca="1">IF(ISERROR(MATCH(BC$1,INDIRECT("Table!A"&amp;$BV20):INDIRECT("Table!" &amp; $CH$110 &amp; $BV20),0)),"",INDIRECT(CONCATENATE("Table!",ADDRESS($BZ20,MATCH(BC$1,INDIRECT("Table!A" &amp; $BV20):INDIRECT("Table!" &amp; $CH$110 &amp; $BV20),0)))))/1024</f>
        <v>99.80126953125</v>
      </c>
      <c r="BD20" s="709">
        <f ca="1">IF(ISERROR(MATCH(BD$1,INDIRECT("Table!A"&amp;$BV20):INDIRECT("Table!" &amp; $CH$110 &amp; $BV20),0)),"",INDIRECT(CONCATENATE("Table!",ADDRESS($BZ20,MATCH(BD$1,INDIRECT("Table!A" &amp; $BV20):INDIRECT("Table!" &amp; $CH$110 &amp; $BV20),0)))))/1024</f>
        <v>204.58642578125</v>
      </c>
      <c r="BE20" s="905">
        <f ca="1">IF(ISERROR(MATCH(BE$1,INDIRECT("Table!A"&amp;$BV20):INDIRECT("Table!" &amp; $CH$110 &amp; $BV20),0)),"",INDIRECT(CONCATENATE("Table!",ADDRESS($BZ20,MATCH(BE$1,INDIRECT("Table!A" &amp; $BV20):INDIRECT("Table!" &amp; $CH$110 &amp; $BV20),0)))))/1024</f>
        <v>99.80126953125</v>
      </c>
      <c r="BF20" s="905">
        <f ca="1">IF(ISERROR(MATCH(BF$1,INDIRECT("Table!A"&amp;$BV20):INDIRECT("Table!" &amp; $CH$110 &amp; $BV20),0)),"",INDIRECT(CONCATENATE("Table!",ADDRESS($BZ20,MATCH(BF$1,INDIRECT("Table!A" &amp; $BV20):INDIRECT("Table!" &amp; $CH$110 &amp; $BV20),0)))))/1024</f>
        <v>204.58642578125</v>
      </c>
      <c r="BG20" s="905">
        <f ca="1">IF(ISERROR(MATCH(BG$1,INDIRECT("Table!A"&amp;$BV20):INDIRECT("Table!" &amp; $CH$110 &amp; $BV20),0)),"",INDIRECT(CONCATENATE("Table!",ADDRESS($BZ20,MATCH(BG$1,INDIRECT("Table!A" &amp; $BV20):INDIRECT("Table!" &amp; $CH$110 &amp; $BV20),0)))))/1024</f>
        <v>99.80126953125</v>
      </c>
      <c r="BH20" s="905">
        <f ca="1">IF(ISERROR(MATCH(BH$1,INDIRECT("Table!A"&amp;$BV20):INDIRECT("Table!" &amp; $CH$110 &amp; $BV20),0)),"",INDIRECT(CONCATENATE("Table!",ADDRESS($BZ20,MATCH(BH$1,INDIRECT("Table!A" &amp; $BV20):INDIRECT("Table!" &amp; $CH$110 &amp; $BV20),0)))))/1024</f>
        <v>204.58642578125</v>
      </c>
      <c r="BI20" s="905">
        <f ca="1">IF(ISERROR(MATCH(BI$1,INDIRECT("Table!A"&amp;$BV20):INDIRECT("Table!" &amp; $CH$110 &amp; $BV20),0)),"",INDIRECT(CONCATENATE("Table!",ADDRESS($BZ20,MATCH(BI$1,INDIRECT("Table!A" &amp; $BV20):INDIRECT("Table!" &amp; $CH$110 &amp; $BV20),0)))))/1024</f>
        <v>320.99140625000001</v>
      </c>
      <c r="BJ20" s="905">
        <f ca="1">IF(ISERROR(MATCH(BJ$1,INDIRECT("Table!A"&amp;$BV20):INDIRECT("Table!" &amp; $CH$110 &amp; $BV20),0)),"",INDIRECT(CONCATENATE("Table!",ADDRESS($BZ20,MATCH(BJ$1,INDIRECT("Table!A" &amp; $BV20):INDIRECT("Table!" &amp; $CH$110 &amp; $BV20),0)))))/1024</f>
        <v>186.39765625000001</v>
      </c>
      <c r="BK20" s="905">
        <f ca="1">IF(ISERROR(MATCH(BK$1,INDIRECT("Table!A"&amp;$BV20):INDIRECT("Table!" &amp; $CH$110 &amp; $BV20),0)),"",INDIRECT(CONCATENATE("Table!",ADDRESS($BZ20,MATCH(BK$1,INDIRECT("Table!A" &amp; $BV20):INDIRECT("Table!" &amp; $CH$110 &amp; $BV20),0)))))/1024</f>
        <v>218.81953125000001</v>
      </c>
      <c r="BL20" s="905">
        <f ca="1">IF(ISERROR(MATCH(BL$1,INDIRECT("Table!A"&amp;$BV20):INDIRECT("Table!" &amp; $CH$110 &amp; $BV20),0)),"",INDIRECT(CONCATENATE("Table!",ADDRESS($BZ20,MATCH(BL$1,INDIRECT("Table!A" &amp; $BV20):INDIRECT("Table!" &amp; $CH$110 &amp; $BV20),0)))))/1024</f>
        <v>218.81953125000001</v>
      </c>
      <c r="BM20" s="905">
        <f ca="1">IF(ISERROR(MATCH(BM$1,INDIRECT("Table!A"&amp;$BV20):INDIRECT("Table!" &amp; $CH$110 &amp; $BV20),0)),"",INDIRECT(CONCATENATE("Table!",ADDRESS($BZ20,MATCH(BM$1,INDIRECT("Table!A" &amp; $BV20):INDIRECT("Table!" &amp; $CH$110 &amp; $BV20),0)))))/1024</f>
        <v>152.53330078125001</v>
      </c>
      <c r="BN20" s="905">
        <f ca="1">IF(ISERROR(MATCH(BN$1,INDIRECT("Table!A"&amp;$BV20):INDIRECT("Table!" &amp; $CH$110 &amp; $BV20),0)),"",INDIRECT(CONCATENATE("Table!",ADDRESS($BZ20,MATCH(BN$1,INDIRECT("Table!A" &amp; $BV20):INDIRECT("Table!" &amp; $CH$110 &amp; $BV20),0)))))/1024</f>
        <v>152.53330078125001</v>
      </c>
      <c r="BO20" s="905">
        <f ca="1">IF(ISERROR(MATCH(BO$1,INDIRECT("Table!A"&amp;$BV20):INDIRECT("Table!" &amp; $CH$110 &amp; $BV20),0)),"",INDIRECT(CONCATENATE("Table!",ADDRESS($BZ20,MATCH(BO$1,INDIRECT("Table!A" &amp; $BV20):INDIRECT("Table!" &amp; $CH$110 &amp; $BV20),0)))))/1024</f>
        <v>218.81455078125001</v>
      </c>
      <c r="BP20" s="905">
        <f ca="1">IF(ISERROR(MATCH(BP$1,INDIRECT("Table!A"&amp;$BV20):INDIRECT("Table!" &amp; $CH$110 &amp; $BV20),0)),"",INDIRECT(CONCATENATE("Table!",ADDRESS($BZ20,MATCH(BP$1,INDIRECT("Table!A" &amp; $BV20):INDIRECT("Table!" &amp; $CH$110 &amp; $BV20),0)))))/1024</f>
        <v>0</v>
      </c>
      <c r="BR20" s="704">
        <f>MATCH($A20,Table!$A:$A,0)+$BT$2-1</f>
        <v>243</v>
      </c>
      <c r="BS20" s="744"/>
      <c r="BT20" s="744"/>
      <c r="BU20" s="744"/>
      <c r="BV20" s="717">
        <f>MATCH($A20,Table!$A:$A,0)+$BX$2-1</f>
        <v>241</v>
      </c>
      <c r="BW20" s="744"/>
      <c r="BX20" s="744"/>
      <c r="BY20" s="744"/>
      <c r="BZ20" s="704">
        <f>MATCH($A20,Table!$A:$A,0)+$CB$2-1</f>
        <v>242</v>
      </c>
      <c r="CA20" s="744"/>
      <c r="CB20" s="744"/>
      <c r="CC20" s="744"/>
      <c r="CD20" s="717">
        <f>MATCH($A20,Table!$A:$A,0)+$BX$2-1</f>
        <v>241</v>
      </c>
      <c r="CE20" s="744"/>
      <c r="CF20" s="744"/>
      <c r="CG20" s="744"/>
      <c r="CH20" s="711" t="s">
        <v>302</v>
      </c>
      <c r="CI20" s="712">
        <f t="shared" ref="CI20" ca="1" si="81">SUM(AJ20:BP20)</f>
        <v>5834.1424804687485</v>
      </c>
      <c r="CJ20" s="712">
        <f t="shared" ca="1" si="1"/>
        <v>2222.0142578125001</v>
      </c>
      <c r="CK20" s="712">
        <f t="shared" ref="CK20" ca="1" si="82">CI20-CJ20</f>
        <v>3612.1282226562485</v>
      </c>
      <c r="CL20" s="718">
        <f t="shared" ref="CL20" ca="1" si="83">CJ20/CI20</f>
        <v>0.38086389992209629</v>
      </c>
      <c r="CM20" s="712">
        <f ca="1">SUMIF('Alloc Feed'!A:I,A:A,'Alloc Feed'!I:I)</f>
        <v>3940.1475468749995</v>
      </c>
      <c r="CN20" s="718">
        <f t="shared" ref="CN20" ca="1" si="84">CM20/CI20</f>
        <v>0.67536018533411368</v>
      </c>
    </row>
    <row r="21" spans="1:92" s="947" customFormat="1" x14ac:dyDescent="0.25">
      <c r="A21" s="703">
        <v>41850</v>
      </c>
      <c r="B21" s="709">
        <f ca="1">IF(ISERROR(MATCH(B$1,INDIRECT("Table!A"&amp;$BV21):INDIRECT("Table!" &amp; $CH$110 &amp; $BV21),0)),"",INDIRECT(CONCATENATE("Table!",ADDRESS($BR21,MATCH(B$1,INDIRECT("Table!A" &amp; $BV21):INDIRECT("Table!" &amp; $CH$110 &amp; $BV21),0)))))/1024</f>
        <v>101.16074218750001</v>
      </c>
      <c r="C21" s="709">
        <f ca="1">IF(ISERROR(MATCH(C$1,INDIRECT("Table!A"&amp;$BV21):INDIRECT("Table!" &amp; $CH$110 &amp; $BV21),0)),"",INDIRECT(CONCATENATE("Table!",ADDRESS($BR21,MATCH(C$1,INDIRECT("Table!A" &amp; $BV21):INDIRECT("Table!" &amp; $CH$110 &amp; $BV21),0)))))/1024</f>
        <v>83.013574218749994</v>
      </c>
      <c r="D21" s="709">
        <f ca="1">IF(ISERROR(MATCH(D$1,INDIRECT("Table!A"&amp;$BV21):INDIRECT("Table!" &amp; $CH$110 &amp; $BV21),0)),"",INDIRECT(CONCATENATE("Table!",ADDRESS($BR21,MATCH(D$1,INDIRECT("Table!A" &amp; $BV21):INDIRECT("Table!" &amp; $CH$110 &amp; $BV21),0)))))/1024</f>
        <v>83.704785156249997</v>
      </c>
      <c r="E21" s="709">
        <f ca="1">IF(ISERROR(MATCH(E$1,INDIRECT("Table!A"&amp;$BV21):INDIRECT("Table!" &amp; $CH$110 &amp; $BV21),0)),"",INDIRECT(CONCATENATE("Table!",ADDRESS($BR21,MATCH(E$1,INDIRECT("Table!A" &amp; $BV21):INDIRECT("Table!" &amp; $CH$110 &amp; $BV21),0)))))/1024</f>
        <v>126.41533203125</v>
      </c>
      <c r="F21" s="709">
        <f ca="1">IF(ISERROR(MATCH(F$1,INDIRECT("Table!A"&amp;$BV21):INDIRECT("Table!" &amp; $CH$110 &amp; $BV21),0)),"",INDIRECT(CONCATENATE("Table!",ADDRESS($BR21,MATCH(F$1,INDIRECT("Table!A" &amp; $BV21):INDIRECT("Table!" &amp; $CH$110 &amp; $BV21),0)))))/1024</f>
        <v>114.17353515625</v>
      </c>
      <c r="G21" s="709">
        <f ca="1">IF(ISERROR(MATCH(G$1,INDIRECT("Table!A"&amp;$BV21):INDIRECT("Table!" &amp; $CH$110 &amp; $BV21),0)),"",INDIRECT(CONCATENATE("Table!",ADDRESS($BR21,MATCH(G$1,INDIRECT("Table!A" &amp; $BV21):INDIRECT("Table!" &amp; $CH$110 &amp; $BV21),0)))))/1024</f>
        <v>212.49150390624999</v>
      </c>
      <c r="H21" s="709">
        <f ca="1">IF(ISERROR(MATCH(H$1,INDIRECT("Table!A"&amp;$BV21):INDIRECT("Table!" &amp; $CH$110 &amp; $BV21),0)),"",INDIRECT(CONCATENATE("Table!",ADDRESS($BR21,MATCH(H$1,INDIRECT("Table!A" &amp; $BV21):INDIRECT("Table!" &amp; $CH$110 &amp; $BV21),0)))))/1024</f>
        <v>118.31171875</v>
      </c>
      <c r="I21" s="709">
        <f ca="1">IF(ISERROR(MATCH(I$1,INDIRECT("Table!A"&amp;$BV21):INDIRECT("Table!" &amp; $CH$110 &amp; $BV21),0)),"",INDIRECT(CONCATENATE("Table!",ADDRESS($BR21,MATCH(I$1,INDIRECT("Table!A" &amp; $BV21):INDIRECT("Table!" &amp; $CH$110 &amp; $BV21),0)))))/1024</f>
        <v>25.5908203125</v>
      </c>
      <c r="J21" s="709">
        <f ca="1">IF(ISERROR(MATCH(J$1,INDIRECT("Table!A"&amp;$BV21):INDIRECT("Table!" &amp; $CH$110 &amp; $BV21),0)),"",INDIRECT(CONCATENATE("Table!",ADDRESS($BR21,MATCH(J$1,INDIRECT("Table!A" &amp; $BV21):INDIRECT("Table!" &amp; $CH$110 &amp; $BV21),0)))))/1024</f>
        <v>85.275488281250006</v>
      </c>
      <c r="K21" s="709">
        <f ca="1">IF(ISERROR(MATCH(K$1,INDIRECT("Table!A"&amp;$BV21):INDIRECT("Table!" &amp; $CH$110 &amp; $BV21),0)),"",INDIRECT(CONCATENATE("Table!",ADDRESS($BR21,MATCH(K$1,INDIRECT("Table!A" &amp; $BV21):INDIRECT("Table!" &amp; $CH$110 &amp; $BV21),0)))))/1024</f>
        <v>78.989648437499994</v>
      </c>
      <c r="L21" s="709">
        <f ca="1">IF(ISERROR(MATCH(L$1,INDIRECT("Table!A"&amp;$BV21):INDIRECT("Table!" &amp; $CH$110 &amp; $BV21),0)),"",INDIRECT(CONCATENATE("Table!",ADDRESS($BR21,MATCH(L$1,INDIRECT("Table!A" &amp; $BV21):INDIRECT("Table!" &amp; $CH$110 &amp; $BV21),0)))))/1024</f>
        <v>127.3771484375</v>
      </c>
      <c r="M21" s="709">
        <f ca="1">IF(ISERROR(MATCH(M$1,INDIRECT("Table!A"&amp;$BV21):INDIRECT("Table!" &amp; $CH$110 &amp; $BV21),0)),"",INDIRECT(CONCATENATE("Table!",ADDRESS($BR21,MATCH(M$1,INDIRECT("Table!A" &amp; $BV21):INDIRECT("Table!" &amp; $CH$110 &amp; $BV21),0)))))/1024</f>
        <v>208.78642578124999</v>
      </c>
      <c r="N21" s="709">
        <f ca="1">IF(ISERROR(MATCH(N$1,INDIRECT("Table!A"&amp;$BV21):INDIRECT("Table!" &amp; $CH$110 &amp; $BV21),0)),"",INDIRECT(CONCATENATE("Table!",ADDRESS($BR21,MATCH(N$1,INDIRECT("Table!A" &amp; $BV21):INDIRECT("Table!" &amp; $CH$110 &amp; $BV21),0)))))/1024</f>
        <v>57.606250000000003</v>
      </c>
      <c r="O21" s="709">
        <f ca="1">IF(ISERROR(MATCH(O$1,INDIRECT("Table!A"&amp;$BV21):INDIRECT("Table!" &amp; $CH$110 &amp; $BV21),0)),"",INDIRECT(CONCATENATE("Table!",ADDRESS($BR21,MATCH(O$1,INDIRECT("Table!A" &amp; $BV21):INDIRECT("Table!" &amp; $CH$110 &amp; $BV21),0)))))/1024</f>
        <v>218.58916015624999</v>
      </c>
      <c r="P21" s="709">
        <f ca="1">IF(ISERROR(MATCH(P$1,INDIRECT("Table!A"&amp;$BV21):INDIRECT("Table!" &amp; $CH$110 &amp; $BV21),0)),"",INDIRECT(CONCATENATE("Table!",ADDRESS($BR21,MATCH(P$1,INDIRECT("Table!A" &amp; $BV21):INDIRECT("Table!" &amp; $CH$110 &amp; $BV21),0)))))/1024</f>
        <v>49.505273437500001</v>
      </c>
      <c r="Q21" s="709">
        <f ca="1">IF(ISERROR(MATCH(Q$1,INDIRECT("Table!A"&amp;$BV21):INDIRECT("Table!" &amp; $CH$110 &amp; $BV21),0)),"",INDIRECT(CONCATENATE("Table!",ADDRESS($BR21,MATCH(Q$1,INDIRECT("Table!A" &amp; $BV21):INDIRECT("Table!" &amp; $CH$110 &amp; $BV21),0)))))/1024</f>
        <v>136.27128906249999</v>
      </c>
      <c r="R21" s="709">
        <f ca="1">IF(ISERROR(MATCH(R$1,INDIRECT("Table!A"&amp;$BV21):INDIRECT("Table!" &amp; $CH$110 &amp; $BV21),0)),"",INDIRECT(CONCATENATE("Table!",ADDRESS($BR21,MATCH(R$1,INDIRECT("Table!A" &amp; $BV21):INDIRECT("Table!" &amp; $CH$110 &amp; $BV21),0)))))/1024</f>
        <v>172.23056640625001</v>
      </c>
      <c r="S21" s="709">
        <v>0</v>
      </c>
      <c r="T21" s="709">
        <f ca="1">IF(ISERROR(MATCH(T$1,INDIRECT("Table!A"&amp;$BV21):INDIRECT("Table!" &amp; $CH$65 &amp; $BV21),0)),"",INDIRECT(CONCATENATE("Table!",ADDRESS($BR21,MATCH(T$1,INDIRECT("Table!A" &amp; $BV21):INDIRECT("Table!" &amp; $CH$65 &amp; $BV21),0)))))/1024</f>
        <v>11.2826171875</v>
      </c>
      <c r="U21" s="709">
        <f ca="1">IF(ISERROR(MATCH(U$1,INDIRECT("Table!A"&amp;$BV21):INDIRECT("Table!" &amp; $CH$65 &amp; $BV21),0)),"",INDIRECT(CONCATENATE("Table!",ADDRESS($BR21,MATCH(U$1,INDIRECT("Table!A" &amp; $BV21):INDIRECT("Table!" &amp; $CH$65 &amp; $BV21),0)))))/1024</f>
        <v>14.621289062500001</v>
      </c>
      <c r="V21" s="709">
        <f ca="1">IF(ISERROR(MATCH(V$1,INDIRECT("Table!A"&amp;$BV21):INDIRECT("Table!" &amp; $CH$65 &amp; $BV21),0)),"",INDIRECT(CONCATENATE("Table!",ADDRESS($BR21,MATCH(V$1,INDIRECT("Table!A" &amp; $BV21):INDIRECT("Table!" &amp; $CH$65 &amp; $BV21),0)))))/1024</f>
        <v>29.242382812500001</v>
      </c>
      <c r="W21" s="709">
        <f ca="1">IF(ISERROR(MATCH(W$1,INDIRECT("Table!A"&amp;$BV21):INDIRECT("Table!" &amp; $CH$65 &amp; $BV21),0)),"",INDIRECT(CONCATENATE("Table!",ADDRESS($BR21,MATCH(W$1,INDIRECT("Table!A" &amp; $BV21):INDIRECT("Table!" &amp; $CH$65 &amp; $BV21),0)))))/1024</f>
        <v>20.638378906250001</v>
      </c>
      <c r="X21" s="709">
        <f ca="1">IF(ISERROR(MATCH(X$1,INDIRECT("Table!A"&amp;$BV21):INDIRECT("Table!" &amp; $CH$65 &amp; $BV21),0)),"",INDIRECT(CONCATENATE("Table!",ADDRESS($BR21,MATCH(X$1,INDIRECT("Table!A" &amp; $BV21):INDIRECT("Table!" &amp; $CH$65 &amp; $BV21),0)))))/1024</f>
        <v>40.368847656249997</v>
      </c>
      <c r="Y21" s="709">
        <f ca="1">IF(ISERROR(MATCH(Y$1,INDIRECT("Table!A"&amp;$BV21):INDIRECT("Table!" &amp; $CH$65 &amp; $BV21),0)),"",INDIRECT(CONCATENATE("Table!",ADDRESS($BR21,MATCH(Y$1,INDIRECT("Table!A" &amp; $BV21):INDIRECT("Table!" &amp; $CH$65 &amp; $BV21),0)))))/1024</f>
        <v>0.16005859375000001</v>
      </c>
      <c r="Z21" s="709">
        <f ca="1">IF(ISERROR(MATCH(Z$1,INDIRECT("Table!A"&amp;$BV21):INDIRECT("Table!" &amp; $CH$65 &amp; $BV21),0)),"",INDIRECT(CONCATENATE("Table!",ADDRESS($BR21,MATCH(Z$1,INDIRECT("Table!A" &amp; $BV21):INDIRECT("Table!" &amp; $CH$65 &amp; $BV21),0)))))/1024</f>
        <v>0.31982421875</v>
      </c>
      <c r="AA21" s="709">
        <f ca="1">IF(ISERROR(MATCH(AA$1,INDIRECT("Table!A"&amp;$BV21):INDIRECT("Table!" &amp; $CH$65 &amp; $BV21),0)),"",INDIRECT(CONCATENATE("Table!",ADDRESS($BR21,MATCH(AA$1,INDIRECT("Table!A" &amp; $BV21):INDIRECT("Table!" &amp; $CH$65 &amp; $BV21),0)))))/1024</f>
        <v>34.117382812499997</v>
      </c>
      <c r="AB21" s="709">
        <f ca="1">IF(ISERROR(MATCH(AB$1,INDIRECT("Table!A"&amp;$BV21):INDIRECT("Table!" &amp; $CH$65 &amp; $BV21),0)),"",INDIRECT(CONCATENATE("Table!",ADDRESS($BR21,MATCH(AB$1,INDIRECT("Table!A" &amp; $BV21):INDIRECT("Table!" &amp; $CH$65 &amp; $BV21),0)))))/1024</f>
        <v>4.7851562500000003E-3</v>
      </c>
      <c r="AC21" s="709">
        <f ca="1">IF(ISERROR(MATCH(AC$1,INDIRECT("Table!A"&amp;$BV21):INDIRECT("Table!" &amp; $CH$65 &amp; $BV21),0)),"",INDIRECT(CONCATENATE("Table!",ADDRESS($BR21,MATCH(AC$1,INDIRECT("Table!A" &amp; $BV21):INDIRECT("Table!" &amp; $CH$65 &amp; $BV21),0)))))/1024</f>
        <v>3.7429687500000002</v>
      </c>
      <c r="AD21" s="709">
        <f ca="1">IF(ISERROR(MATCH(AD$1,INDIRECT("Table!A"&amp;$BV21):INDIRECT("Table!" &amp; $CH$65 &amp; $BV21),0)),"",INDIRECT(CONCATENATE("Table!",ADDRESS($BR21,MATCH(AD$1,INDIRECT("Table!A" &amp; $BV21):INDIRECT("Table!" &amp; $CH$65 &amp; $BV21),0)))))/1024</f>
        <v>40.223339843749997</v>
      </c>
      <c r="AE21" s="709">
        <f ca="1">IF(ISERROR(MATCH(AE$1,INDIRECT("Table!A"&amp;$BV21):INDIRECT("Table!" &amp; $CH$65 &amp; $BV21),0)),"",INDIRECT(CONCATENATE("Table!",ADDRESS($BR21,MATCH(AE$1,INDIRECT("Table!A" &amp; $BV21):INDIRECT("Table!" &amp; $CH$65 &amp; $BV21),0)))))/1024</f>
        <v>3.9529296875000002</v>
      </c>
      <c r="AF21" s="709">
        <f ca="1">IF(ISERROR(MATCH(AF$1,INDIRECT("Table!A"&amp;$BV21):INDIRECT("Table!" &amp; $CH$65 &amp; $BV21),0)),"",INDIRECT(CONCATENATE("Table!",ADDRESS($BR21,MATCH(AF$1,INDIRECT("Table!A" &amp; $BV21):INDIRECT("Table!" &amp; $CH$65 &amp; $BV21),0)))))/1024</f>
        <v>3.9529296875000002</v>
      </c>
      <c r="AG21" s="709">
        <f ca="1">IF(ISERROR(MATCH(AG$1,INDIRECT("Table!A"&amp;$BV21):INDIRECT("Table!" &amp; $CH$65 &amp; $BV21),0)),"",INDIRECT(CONCATENATE("Table!",ADDRESS($BR21,MATCH(AG$1,INDIRECT("Table!A" &amp; $BV21):INDIRECT("Table!" &amp; $CH$65 &amp; $BV21),0)))))/1024</f>
        <v>6.2490234375</v>
      </c>
      <c r="AH21" s="709">
        <f ca="1">IF(ISERROR(MATCH(AH$1,INDIRECT("Table!A"&amp;$BV21):INDIRECT("Table!" &amp; $CH$65 &amp; $BV21),0)),"",INDIRECT(CONCATENATE("Table!",ADDRESS($BR21,MATCH(AH$1,INDIRECT("Table!A" &amp; $BV21):INDIRECT("Table!" &amp; $CH$65 &amp; $BV21),0)))))/1024</f>
        <v>0</v>
      </c>
      <c r="AI21" s="709" t="str">
        <f ca="1">IF(ISERROR(MATCH(AI$1,INDIRECT("Table!A"&amp;$BV21):INDIRECT("Table!" &amp; $CH$110 &amp; $BV21),0)),"",INDIRECT(CONCATENATE("Table!",ADDRESS($BR21,MATCH(AI$1,INDIRECT("Table!A" &amp; $BV21):INDIRECT("Table!" &amp; $CH$110 &amp; $BV21),0)))))</f>
        <v/>
      </c>
      <c r="AJ21" s="709">
        <f ca="1">IF(ISERROR(MATCH(AJ$1,INDIRECT("Table!A"&amp;$BV21):INDIRECT("Table!" &amp; $CH$110 &amp; $BV21),0)),"",INDIRECT(CONCATENATE("Table!",ADDRESS($BZ21,MATCH(AJ$1,INDIRECT("Table!A" &amp; $BV21):INDIRECT("Table!" &amp; $CH$110 &amp; $BV21),0)))))/1024</f>
        <v>244.15859374999999</v>
      </c>
      <c r="AK21" s="709">
        <f ca="1">IF(ISERROR(MATCH(AK$1,INDIRECT("Table!A"&amp;$BV21):INDIRECT("Table!" &amp; $CH$110 &amp; $BV21),0)),"",INDIRECT(CONCATENATE("Table!",ADDRESS($BZ21,MATCH(AK$1,INDIRECT("Table!A" &amp; $BV21):INDIRECT("Table!" &amp; $CH$110 &amp; $BV21),0)))))/1024</f>
        <v>146.98896484375001</v>
      </c>
      <c r="AL21" s="709">
        <f ca="1">IF(ISERROR(MATCH(AL$1,INDIRECT("Table!A"&amp;$BV21):INDIRECT("Table!" &amp; $CH$110 &amp; $BV21),0)),"",INDIRECT(CONCATENATE("Table!",ADDRESS($BZ21,MATCH(AL$1,INDIRECT("Table!A" &amp; $BV21):INDIRECT("Table!" &amp; $CH$110 &amp; $BV21),0)))))/1024</f>
        <v>146.98896484375001</v>
      </c>
      <c r="AM21" s="709">
        <f ca="1">IF(ISERROR(MATCH(AM$1,INDIRECT("Table!A"&amp;$BV21):INDIRECT("Table!" &amp; $CH$110 &amp; $BV21),0)),"",INDIRECT(CONCATENATE("Table!",ADDRESS($BZ21,MATCH(AM$1,INDIRECT("Table!A" &amp; $BV21):INDIRECT("Table!" &amp; $CH$110 &amp; $BV21),0)))))/1024</f>
        <v>177.73320312499999</v>
      </c>
      <c r="AN21" s="709">
        <f ca="1">IF(ISERROR(MATCH(AN$1,INDIRECT("Table!A"&amp;$BV21):INDIRECT("Table!" &amp; $CH$110 &amp; $BV21),0)),"",INDIRECT(CONCATENATE("Table!",ADDRESS($BZ21,MATCH(AN$1,INDIRECT("Table!A" &amp; $BV21):INDIRECT("Table!" &amp; $CH$110 &amp; $BV21),0)))))/1024</f>
        <v>161.88056640625001</v>
      </c>
      <c r="AO21" s="709">
        <f ca="1">IF(ISERROR(MATCH(AO$1,INDIRECT("Table!A"&amp;$BV21):INDIRECT("Table!" &amp; $CH$110 &amp; $BV21),0)),"",INDIRECT(CONCATENATE("Table!",ADDRESS($BZ21,MATCH(AO$1,INDIRECT("Table!A" &amp; $BV21):INDIRECT("Table!" &amp; $CH$110 &amp; $BV21),0)))))/1024</f>
        <v>380.3759765625</v>
      </c>
      <c r="AP21" s="709">
        <f ca="1">IF(ISERROR(MATCH(AP$1,INDIRECT("Table!A"&amp;$BV21):INDIRECT("Table!" &amp; $CH$110 &amp; $BV21),0)),"",INDIRECT(CONCATENATE("Table!",ADDRESS($BZ21,MATCH(AP$1,INDIRECT("Table!A" &amp; $BV21):INDIRECT("Table!" &amp; $CH$110 &amp; $BV21),0)))))/1024</f>
        <v>167.94482421875</v>
      </c>
      <c r="AQ21" s="709">
        <f ca="1">IF(ISERROR(MATCH(AQ$1,INDIRECT("Table!A"&amp;$BV21):INDIRECT("Table!" &amp; $CH$110 &amp; $BV21),0)),"",INDIRECT(CONCATENATE("Table!",ADDRESS($BZ21,MATCH(AQ$1,INDIRECT("Table!A" &amp; $BV21):INDIRECT("Table!" &amp; $CH$110 &amp; $BV21),0)))))/1024</f>
        <v>162.185546875</v>
      </c>
      <c r="AR21" s="709">
        <f ca="1">IF(ISERROR(MATCH(AR$1,INDIRECT("Table!A"&amp;$BV21):INDIRECT("Table!" &amp; $CH$110 &amp; $BV21),0)),"",INDIRECT(CONCATENATE("Table!",ADDRESS($BZ21,MATCH(AR$1,INDIRECT("Table!A" &amp; $BV21):INDIRECT("Table!" &amp; $CH$110 &amp; $BV21),0)))))/1024</f>
        <v>121.1125</v>
      </c>
      <c r="AS21" s="709">
        <f ca="1">IF(ISERROR(MATCH(AS$1,INDIRECT("Table!A"&amp;$BV21):INDIRECT("Table!" &amp; $CH$110 &amp; $BV21),0)),"",INDIRECT(CONCATENATE("Table!",ADDRESS($BZ21,MATCH(AS$1,INDIRECT("Table!A" &amp; $BV21):INDIRECT("Table!" &amp; $CH$110 &amp; $BV21),0)))))/1024</f>
        <v>218.81953125000001</v>
      </c>
      <c r="AT21" s="709">
        <f ca="1">IF(ISERROR(MATCH(AT$1,INDIRECT("Table!A"&amp;$BV21):INDIRECT("Table!" &amp; $CH$110 &amp; $BV21),0)),"",INDIRECT(CONCATENATE("Table!",ADDRESS($BZ21,MATCH(AT$1,INDIRECT("Table!A" &amp; $BV21):INDIRECT("Table!" &amp; $CH$110 &amp; $BV21),0)))))/1024</f>
        <v>188.50498046875001</v>
      </c>
      <c r="AU21" s="709">
        <f ca="1">IF(ISERROR(MATCH(AU$1,INDIRECT("Table!A"&amp;$BV21):INDIRECT("Table!" &amp; $CH$110 &amp; $BV21),0)),"",INDIRECT(CONCATENATE("Table!",ADDRESS($BZ21,MATCH(AU$1,INDIRECT("Table!A" &amp; $BV21):INDIRECT("Table!" &amp; $CH$110 &amp; $BV21),0)))))/1024</f>
        <v>427.94912109375002</v>
      </c>
      <c r="AV21" s="709">
        <f ca="1">IF(ISERROR(MATCH(AV$1,INDIRECT("Table!A"&amp;$BV21):INDIRECT("Table!" &amp; $CH$110 &amp; $BV21),0)),"",INDIRECT(CONCATENATE("Table!",ADDRESS($BZ21,MATCH(AV$1,INDIRECT("Table!A" &amp; $BV21):INDIRECT("Table!" &amp; $CH$110 &amp; $BV21),0)))))/1024</f>
        <v>81.092578125000003</v>
      </c>
      <c r="AW21" s="709">
        <f ca="1">IF(ISERROR(MATCH(AW$1,INDIRECT("Table!A"&amp;$BV21):INDIRECT("Table!" &amp; $CH$110 &amp; $BV21),0)),"",INDIRECT(CONCATENATE("Table!",ADDRESS($BZ21,MATCH(AW$1,INDIRECT("Table!A" &amp; $BV21):INDIRECT("Table!" &amp; $CH$110 &amp; $BV21),0)))))/1024</f>
        <v>269.65859375000002</v>
      </c>
      <c r="AX21" s="709">
        <f ca="1">IF(ISERROR(MATCH(AX$1,INDIRECT("Table!A"&amp;$BV21):INDIRECT("Table!" &amp; $CH$110 &amp; $BV21),0)),"",INDIRECT(CONCATENATE("Table!",ADDRESS($BZ21,MATCH(AX$1,INDIRECT("Table!A" &amp; $BV21):INDIRECT("Table!" &amp; $CH$110 &amp; $BV21),0)))))/1024</f>
        <v>81.092578125000003</v>
      </c>
      <c r="AY21" s="709">
        <f ca="1">IF(ISERROR(MATCH(AY$1,INDIRECT("Table!A"&amp;$BV21):INDIRECT("Table!" &amp; $CH$110 &amp; $BV21),0)),"",INDIRECT(CONCATENATE("Table!",ADDRESS($BZ21,MATCH(AY$1,INDIRECT("Table!A" &amp; $BV21):INDIRECT("Table!" &amp; $CH$110 &amp; $BV21),0)))))/1024</f>
        <v>187.12714843750001</v>
      </c>
      <c r="AZ21" s="709">
        <f ca="1">IF(ISERROR(MATCH(AZ$1,INDIRECT("Table!A"&amp;$BV21):INDIRECT("Table!" &amp; $CH$110 &amp; $BV21),0)),"",INDIRECT(CONCATENATE("Table!",ADDRESS($BZ21,MATCH(AZ$1,INDIRECT("Table!A" &amp; $BV21):INDIRECT("Table!" &amp; $CH$110 &amp; $BV21),0)))))/1024</f>
        <v>256.14150390625002</v>
      </c>
      <c r="BA21" s="709"/>
      <c r="BB21" s="709">
        <f ca="1">IF(ISERROR(MATCH(BB$1,INDIRECT("Table!A"&amp;$BV21):INDIRECT("Table!" &amp; $CH$110 &amp; $BV21),0)),"",INDIRECT(CONCATENATE("Table!",ADDRESS($BZ21,MATCH(BB$1,INDIRECT("Table!A" &amp; $BV21):INDIRECT("Table!" &amp; $CH$110 &amp; $BV21),0)))))/1024</f>
        <v>32.31494140625</v>
      </c>
      <c r="BC21" s="709">
        <f ca="1">IF(ISERROR(MATCH(BC$1,INDIRECT("Table!A"&amp;$BV21):INDIRECT("Table!" &amp; $CH$110 &amp; $BV21),0)),"",INDIRECT(CONCATENATE("Table!",ADDRESS($BZ21,MATCH(BC$1,INDIRECT("Table!A" &amp; $BV21):INDIRECT("Table!" &amp; $CH$110 &amp; $BV21),0)))))/1024</f>
        <v>99.80126953125</v>
      </c>
      <c r="BD21" s="709">
        <f ca="1">IF(ISERROR(MATCH(BD$1,INDIRECT("Table!A"&amp;$BV21):INDIRECT("Table!" &amp; $CH$110 &amp; $BV21),0)),"",INDIRECT(CONCATENATE("Table!",ADDRESS($BZ21,MATCH(BD$1,INDIRECT("Table!A" &amp; $BV21):INDIRECT("Table!" &amp; $CH$110 &amp; $BV21),0)))))/1024</f>
        <v>204.58642578125</v>
      </c>
      <c r="BE21" s="905">
        <f ca="1">IF(ISERROR(MATCH(BE$1,INDIRECT("Table!A"&amp;$BV21):INDIRECT("Table!" &amp; $CH$110 &amp; $BV21),0)),"",INDIRECT(CONCATENATE("Table!",ADDRESS($BZ21,MATCH(BE$1,INDIRECT("Table!A" &amp; $BV21):INDIRECT("Table!" &amp; $CH$110 &amp; $BV21),0)))))/1024</f>
        <v>99.80126953125</v>
      </c>
      <c r="BF21" s="905">
        <f ca="1">IF(ISERROR(MATCH(BF$1,INDIRECT("Table!A"&amp;$BV21):INDIRECT("Table!" &amp; $CH$110 &amp; $BV21),0)),"",INDIRECT(CONCATENATE("Table!",ADDRESS($BZ21,MATCH(BF$1,INDIRECT("Table!A" &amp; $BV21):INDIRECT("Table!" &amp; $CH$110 &amp; $BV21),0)))))/1024</f>
        <v>204.58642578125</v>
      </c>
      <c r="BG21" s="905">
        <f ca="1">IF(ISERROR(MATCH(BG$1,INDIRECT("Table!A"&amp;$BV21):INDIRECT("Table!" &amp; $CH$110 &amp; $BV21),0)),"",INDIRECT(CONCATENATE("Table!",ADDRESS($BZ21,MATCH(BG$1,INDIRECT("Table!A" &amp; $BV21):INDIRECT("Table!" &amp; $CH$110 &amp; $BV21),0)))))/1024</f>
        <v>99.80126953125</v>
      </c>
      <c r="BH21" s="905">
        <f ca="1">IF(ISERROR(MATCH(BH$1,INDIRECT("Table!A"&amp;$BV21):INDIRECT("Table!" &amp; $CH$110 &amp; $BV21),0)),"",INDIRECT(CONCATENATE("Table!",ADDRESS($BZ21,MATCH(BH$1,INDIRECT("Table!A" &amp; $BV21):INDIRECT("Table!" &amp; $CH$110 &amp; $BV21),0)))))/1024</f>
        <v>204.58642578125</v>
      </c>
      <c r="BI21" s="905">
        <f ca="1">IF(ISERROR(MATCH(BI$1,INDIRECT("Table!A"&amp;$BV21):INDIRECT("Table!" &amp; $CH$110 &amp; $BV21),0)),"",INDIRECT(CONCATENATE("Table!",ADDRESS($BZ21,MATCH(BI$1,INDIRECT("Table!A" &amp; $BV21):INDIRECT("Table!" &amp; $CH$110 &amp; $BV21),0)))))/1024</f>
        <v>320.99140625000001</v>
      </c>
      <c r="BJ21" s="905">
        <f ca="1">IF(ISERROR(MATCH(BJ$1,INDIRECT("Table!A"&amp;$BV21):INDIRECT("Table!" &amp; $CH$110 &amp; $BV21),0)),"",INDIRECT(CONCATENATE("Table!",ADDRESS($BZ21,MATCH(BJ$1,INDIRECT("Table!A" &amp; $BV21):INDIRECT("Table!" &amp; $CH$110 &amp; $BV21),0)))))/1024</f>
        <v>186.39765625000001</v>
      </c>
      <c r="BK21" s="905">
        <f ca="1">IF(ISERROR(MATCH(BK$1,INDIRECT("Table!A"&amp;$BV21):INDIRECT("Table!" &amp; $CH$110 &amp; $BV21),0)),"",INDIRECT(CONCATENATE("Table!",ADDRESS($BZ21,MATCH(BK$1,INDIRECT("Table!A" &amp; $BV21):INDIRECT("Table!" &amp; $CH$110 &amp; $BV21),0)))))/1024</f>
        <v>218.81953125000001</v>
      </c>
      <c r="BL21" s="905">
        <f ca="1">IF(ISERROR(MATCH(BL$1,INDIRECT("Table!A"&amp;$BV21):INDIRECT("Table!" &amp; $CH$110 &amp; $BV21),0)),"",INDIRECT(CONCATENATE("Table!",ADDRESS($BZ21,MATCH(BL$1,INDIRECT("Table!A" &amp; $BV21):INDIRECT("Table!" &amp; $CH$110 &amp; $BV21),0)))))/1024</f>
        <v>218.81953125000001</v>
      </c>
      <c r="BM21" s="905">
        <f ca="1">IF(ISERROR(MATCH(BM$1,INDIRECT("Table!A"&amp;$BV21):INDIRECT("Table!" &amp; $CH$110 &amp; $BV21),0)),"",INDIRECT(CONCATENATE("Table!",ADDRESS($BZ21,MATCH(BM$1,INDIRECT("Table!A" &amp; $BV21):INDIRECT("Table!" &amp; $CH$110 &amp; $BV21),0)))))/1024</f>
        <v>152.53330078125001</v>
      </c>
      <c r="BN21" s="905">
        <f ca="1">IF(ISERROR(MATCH(BN$1,INDIRECT("Table!A"&amp;$BV21):INDIRECT("Table!" &amp; $CH$110 &amp; $BV21),0)),"",INDIRECT(CONCATENATE("Table!",ADDRESS($BZ21,MATCH(BN$1,INDIRECT("Table!A" &amp; $BV21):INDIRECT("Table!" &amp; $CH$110 &amp; $BV21),0)))))/1024</f>
        <v>152.53330078125001</v>
      </c>
      <c r="BO21" s="905">
        <f ca="1">IF(ISERROR(MATCH(BO$1,INDIRECT("Table!A"&amp;$BV21):INDIRECT("Table!" &amp; $CH$110 &amp; $BV21),0)),"",INDIRECT(CONCATENATE("Table!",ADDRESS($BZ21,MATCH(BO$1,INDIRECT("Table!A" &amp; $BV21):INDIRECT("Table!" &amp; $CH$110 &amp; $BV21),0)))))/1024</f>
        <v>218.81455078125001</v>
      </c>
      <c r="BP21" s="905">
        <f ca="1">IF(ISERROR(MATCH(BP$1,INDIRECT("Table!A"&amp;$BV21):INDIRECT("Table!" &amp; $CH$110 &amp; $BV21),0)),"",INDIRECT(CONCATENATE("Table!",ADDRESS($BZ21,MATCH(BP$1,INDIRECT("Table!A" &amp; $BV21):INDIRECT("Table!" &amp; $CH$110 &amp; $BV21),0)))))/1024</f>
        <v>0</v>
      </c>
      <c r="BR21" s="704">
        <f>MATCH($A21,Table!$A:$A,0)+$BT$2-1</f>
        <v>257</v>
      </c>
      <c r="BS21" s="744"/>
      <c r="BT21" s="744"/>
      <c r="BU21" s="744"/>
      <c r="BV21" s="717">
        <f>MATCH($A21,Table!$A:$A,0)+$BX$2-1</f>
        <v>255</v>
      </c>
      <c r="BW21" s="744"/>
      <c r="BX21" s="744"/>
      <c r="BY21" s="744"/>
      <c r="BZ21" s="704">
        <f>MATCH($A21,Table!$A:$A,0)+$CB$2-1</f>
        <v>256</v>
      </c>
      <c r="CA21" s="744"/>
      <c r="CB21" s="744"/>
      <c r="CC21" s="744"/>
      <c r="CD21" s="717">
        <f>MATCH($A21,Table!$A:$A,0)+$BX$2-1</f>
        <v>255</v>
      </c>
      <c r="CE21" s="744"/>
      <c r="CF21" s="744"/>
      <c r="CG21" s="744"/>
      <c r="CH21" s="711" t="s">
        <v>302</v>
      </c>
      <c r="CI21" s="712">
        <f t="shared" ca="1" si="0"/>
        <v>5834.1424804687485</v>
      </c>
      <c r="CJ21" s="712">
        <f t="shared" ref="CJ21:CJ84" ca="1" si="85">SUM(B21:AH21)</f>
        <v>2208.3700195312499</v>
      </c>
      <c r="CK21" s="712">
        <f t="shared" ref="CK21" ca="1" si="86">CI21-CJ21</f>
        <v>3625.7724609374986</v>
      </c>
      <c r="CL21" s="718">
        <f t="shared" ref="CL21" ca="1" si="87">CJ21/CI21</f>
        <v>0.37852521204689826</v>
      </c>
      <c r="CM21" s="712">
        <f ca="1">SUMIF('Alloc Feed'!A:I,A:A,'Alloc Feed'!I:I)</f>
        <v>3979.5279492187497</v>
      </c>
      <c r="CN21" s="718">
        <f t="shared" ref="CN21" ca="1" si="88">CM21/CI21</f>
        <v>0.68211017515276928</v>
      </c>
    </row>
    <row r="22" spans="1:92" s="947" customFormat="1" x14ac:dyDescent="0.25">
      <c r="A22" s="703">
        <v>41843</v>
      </c>
      <c r="B22" s="709">
        <f ca="1">IF(ISERROR(MATCH(B$1,INDIRECT("Table!A"&amp;$BV22):INDIRECT("Table!" &amp; $CH$110 &amp; $BV22),0)),"",INDIRECT(CONCATENATE("Table!",ADDRESS($BR22,MATCH(B$1,INDIRECT("Table!A" &amp; $BV22):INDIRECT("Table!" &amp; $CH$110 &amp; $BV22),0)))))/1024</f>
        <v>101.16074218750001</v>
      </c>
      <c r="C22" s="709">
        <f ca="1">IF(ISERROR(MATCH(C$1,INDIRECT("Table!A"&amp;$BV22):INDIRECT("Table!" &amp; $CH$110 &amp; $BV22),0)),"",INDIRECT(CONCATENATE("Table!",ADDRESS($BR22,MATCH(C$1,INDIRECT("Table!A" &amp; $BV22):INDIRECT("Table!" &amp; $CH$110 &amp; $BV22),0)))))/1024</f>
        <v>83.013574218749994</v>
      </c>
      <c r="D22" s="709">
        <f ca="1">IF(ISERROR(MATCH(D$1,INDIRECT("Table!A"&amp;$BV22):INDIRECT("Table!" &amp; $CH$110 &amp; $BV22),0)),"",INDIRECT(CONCATENATE("Table!",ADDRESS($BR22,MATCH(D$1,INDIRECT("Table!A" &amp; $BV22):INDIRECT("Table!" &amp; $CH$110 &amp; $BV22),0)))))/1024</f>
        <v>83.704785156249997</v>
      </c>
      <c r="E22" s="709">
        <f ca="1">IF(ISERROR(MATCH(E$1,INDIRECT("Table!A"&amp;$BV22):INDIRECT("Table!" &amp; $CH$110 &amp; $BV22),0)),"",INDIRECT(CONCATENATE("Table!",ADDRESS($BR22,MATCH(E$1,INDIRECT("Table!A" &amp; $BV22):INDIRECT("Table!" &amp; $CH$110 &amp; $BV22),0)))))/1024</f>
        <v>126.41533203125</v>
      </c>
      <c r="F22" s="709">
        <f ca="1">IF(ISERROR(MATCH(F$1,INDIRECT("Table!A"&amp;$BV22):INDIRECT("Table!" &amp; $CH$110 &amp; $BV22),0)),"",INDIRECT(CONCATENATE("Table!",ADDRESS($BR22,MATCH(F$1,INDIRECT("Table!A" &amp; $BV22):INDIRECT("Table!" &amp; $CH$110 &amp; $BV22),0)))))/1024</f>
        <v>114.17353515625</v>
      </c>
      <c r="G22" s="709">
        <f ca="1">IF(ISERROR(MATCH(G$1,INDIRECT("Table!A"&amp;$BV22):INDIRECT("Table!" &amp; $CH$110 &amp; $BV22),0)),"",INDIRECT(CONCATENATE("Table!",ADDRESS($BR22,MATCH(G$1,INDIRECT("Table!A" &amp; $BV22):INDIRECT("Table!" &amp; $CH$110 &amp; $BV22),0)))))/1024</f>
        <v>212.49150390624999</v>
      </c>
      <c r="H22" s="709">
        <f ca="1">IF(ISERROR(MATCH(H$1,INDIRECT("Table!A"&amp;$BV22):INDIRECT("Table!" &amp; $CH$110 &amp; $BV22),0)),"",INDIRECT(CONCATENATE("Table!",ADDRESS($BR22,MATCH(H$1,INDIRECT("Table!A" &amp; $BV22):INDIRECT("Table!" &amp; $CH$110 &amp; $BV22),0)))))/1024</f>
        <v>118.31171875</v>
      </c>
      <c r="I22" s="709">
        <f ca="1">IF(ISERROR(MATCH(I$1,INDIRECT("Table!A"&amp;$BV22):INDIRECT("Table!" &amp; $CH$110 &amp; $BV22),0)),"",INDIRECT(CONCATENATE("Table!",ADDRESS($BR22,MATCH(I$1,INDIRECT("Table!A" &amp; $BV22):INDIRECT("Table!" &amp; $CH$110 &amp; $BV22),0)))))/1024</f>
        <v>25.5908203125</v>
      </c>
      <c r="J22" s="709">
        <f ca="1">IF(ISERROR(MATCH(J$1,INDIRECT("Table!A"&amp;$BV22):INDIRECT("Table!" &amp; $CH$110 &amp; $BV22),0)),"",INDIRECT(CONCATENATE("Table!",ADDRESS($BR22,MATCH(J$1,INDIRECT("Table!A" &amp; $BV22):INDIRECT("Table!" &amp; $CH$110 &amp; $BV22),0)))))/1024</f>
        <v>85.275488281250006</v>
      </c>
      <c r="K22" s="709">
        <f ca="1">IF(ISERROR(MATCH(K$1,INDIRECT("Table!A"&amp;$BV22):INDIRECT("Table!" &amp; $CH$110 &amp; $BV22),0)),"",INDIRECT(CONCATENATE("Table!",ADDRESS($BR22,MATCH(K$1,INDIRECT("Table!A" &amp; $BV22):INDIRECT("Table!" &amp; $CH$110 &amp; $BV22),0)))))/1024</f>
        <v>78.989648437499994</v>
      </c>
      <c r="L22" s="709">
        <f ca="1">IF(ISERROR(MATCH(L$1,INDIRECT("Table!A"&amp;$BV22):INDIRECT("Table!" &amp; $CH$110 &amp; $BV22),0)),"",INDIRECT(CONCATENATE("Table!",ADDRESS($BR22,MATCH(L$1,INDIRECT("Table!A" &amp; $BV22):INDIRECT("Table!" &amp; $CH$110 &amp; $BV22),0)))))/1024</f>
        <v>127.3771484375</v>
      </c>
      <c r="M22" s="709">
        <f ca="1">IF(ISERROR(MATCH(M$1,INDIRECT("Table!A"&amp;$BV22):INDIRECT("Table!" &amp; $CH$110 &amp; $BV22),0)),"",INDIRECT(CONCATENATE("Table!",ADDRESS($BR22,MATCH(M$1,INDIRECT("Table!A" &amp; $BV22):INDIRECT("Table!" &amp; $CH$110 &amp; $BV22),0)))))/1024</f>
        <v>208.78642578124999</v>
      </c>
      <c r="N22" s="709">
        <f ca="1">IF(ISERROR(MATCH(N$1,INDIRECT("Table!A"&amp;$BV22):INDIRECT("Table!" &amp; $CH$110 &amp; $BV22),0)),"",INDIRECT(CONCATENATE("Table!",ADDRESS($BR22,MATCH(N$1,INDIRECT("Table!A" &amp; $BV22):INDIRECT("Table!" &amp; $CH$110 &amp; $BV22),0)))))/1024</f>
        <v>57.606250000000003</v>
      </c>
      <c r="O22" s="709">
        <f ca="1">IF(ISERROR(MATCH(O$1,INDIRECT("Table!A"&amp;$BV22):INDIRECT("Table!" &amp; $CH$110 &amp; $BV22),0)),"",INDIRECT(CONCATENATE("Table!",ADDRESS($BR22,MATCH(O$1,INDIRECT("Table!A" &amp; $BV22):INDIRECT("Table!" &amp; $CH$110 &amp; $BV22),0)))))/1024</f>
        <v>218.58916015624999</v>
      </c>
      <c r="P22" s="709">
        <f ca="1">IF(ISERROR(MATCH(P$1,INDIRECT("Table!A"&amp;$BV22):INDIRECT("Table!" &amp; $CH$110 &amp; $BV22),0)),"",INDIRECT(CONCATENATE("Table!",ADDRESS($BR22,MATCH(P$1,INDIRECT("Table!A" &amp; $BV22):INDIRECT("Table!" &amp; $CH$110 &amp; $BV22),0)))))/1024</f>
        <v>49.505273437500001</v>
      </c>
      <c r="Q22" s="709">
        <f ca="1">IF(ISERROR(MATCH(Q$1,INDIRECT("Table!A"&amp;$BV22):INDIRECT("Table!" &amp; $CH$110 &amp; $BV22),0)),"",INDIRECT(CONCATENATE("Table!",ADDRESS($BR22,MATCH(Q$1,INDIRECT("Table!A" &amp; $BV22):INDIRECT("Table!" &amp; $CH$110 &amp; $BV22),0)))))/1024</f>
        <v>136.27128906249999</v>
      </c>
      <c r="R22" s="709">
        <f ca="1">IF(ISERROR(MATCH(R$1,INDIRECT("Table!A"&amp;$BV22):INDIRECT("Table!" &amp; $CH$110 &amp; $BV22),0)),"",INDIRECT(CONCATENATE("Table!",ADDRESS($BR22,MATCH(R$1,INDIRECT("Table!A" &amp; $BV22):INDIRECT("Table!" &amp; $CH$110 &amp; $BV22),0)))))/1024</f>
        <v>172.23056640625001</v>
      </c>
      <c r="S22" s="709">
        <v>0</v>
      </c>
      <c r="T22" s="709">
        <f ca="1">IF(ISERROR(MATCH(T$1,INDIRECT("Table!A"&amp;$BV22):INDIRECT("Table!" &amp; $CH$65 &amp; $BV22),0)),"",INDIRECT(CONCATENATE("Table!",ADDRESS($BR22,MATCH(T$1,INDIRECT("Table!A" &amp; $BV22):INDIRECT("Table!" &amp; $CH$65 &amp; $BV22),0)))))/1024</f>
        <v>11.2826171875</v>
      </c>
      <c r="U22" s="709">
        <f ca="1">IF(ISERROR(MATCH(U$1,INDIRECT("Table!A"&amp;$BV22):INDIRECT("Table!" &amp; $CH$65 &amp; $BV22),0)),"",INDIRECT(CONCATENATE("Table!",ADDRESS($BR22,MATCH(U$1,INDIRECT("Table!A" &amp; $BV22):INDIRECT("Table!" &amp; $CH$65 &amp; $BV22),0)))))/1024</f>
        <v>14.621289062500001</v>
      </c>
      <c r="V22" s="709">
        <f ca="1">IF(ISERROR(MATCH(V$1,INDIRECT("Table!A"&amp;$BV22):INDIRECT("Table!" &amp; $CH$65 &amp; $BV22),0)),"",INDIRECT(CONCATENATE("Table!",ADDRESS($BR22,MATCH(V$1,INDIRECT("Table!A" &amp; $BV22):INDIRECT("Table!" &amp; $CH$65 &amp; $BV22),0)))))/1024</f>
        <v>29.242382812500001</v>
      </c>
      <c r="W22" s="709">
        <f ca="1">IF(ISERROR(MATCH(W$1,INDIRECT("Table!A"&amp;$BV22):INDIRECT("Table!" &amp; $CH$65 &amp; $BV22),0)),"",INDIRECT(CONCATENATE("Table!",ADDRESS($BR22,MATCH(W$1,INDIRECT("Table!A" &amp; $BV22):INDIRECT("Table!" &amp; $CH$65 &amp; $BV22),0)))))/1024</f>
        <v>20.638378906250001</v>
      </c>
      <c r="X22" s="709">
        <f ca="1">IF(ISERROR(MATCH(X$1,INDIRECT("Table!A"&amp;$BV22):INDIRECT("Table!" &amp; $CH$65 &amp; $BV22),0)),"",INDIRECT(CONCATENATE("Table!",ADDRESS($BR22,MATCH(X$1,INDIRECT("Table!A" &amp; $BV22):INDIRECT("Table!" &amp; $CH$65 &amp; $BV22),0)))))/1024</f>
        <v>40.368847656249997</v>
      </c>
      <c r="Y22" s="709">
        <f ca="1">IF(ISERROR(MATCH(Y$1,INDIRECT("Table!A"&amp;$BV22):INDIRECT("Table!" &amp; $CH$65 &amp; $BV22),0)),"",INDIRECT(CONCATENATE("Table!",ADDRESS($BR22,MATCH(Y$1,INDIRECT("Table!A" &amp; $BV22):INDIRECT("Table!" &amp; $CH$65 &amp; $BV22),0)))))/1024</f>
        <v>0.16005859375000001</v>
      </c>
      <c r="Z22" s="709">
        <f ca="1">IF(ISERROR(MATCH(Z$1,INDIRECT("Table!A"&amp;$BV22):INDIRECT("Table!" &amp; $CH$65 &amp; $BV22),0)),"",INDIRECT(CONCATENATE("Table!",ADDRESS($BR22,MATCH(Z$1,INDIRECT("Table!A" &amp; $BV22):INDIRECT("Table!" &amp; $CH$65 &amp; $BV22),0)))))/1024</f>
        <v>0.31982421875</v>
      </c>
      <c r="AA22" s="709">
        <f ca="1">IF(ISERROR(MATCH(AA$1,INDIRECT("Table!A"&amp;$BV22):INDIRECT("Table!" &amp; $CH$65 &amp; $BV22),0)),"",INDIRECT(CONCATENATE("Table!",ADDRESS($BR22,MATCH(AA$1,INDIRECT("Table!A" &amp; $BV22):INDIRECT("Table!" &amp; $CH$65 &amp; $BV22),0)))))/1024</f>
        <v>34.117382812499997</v>
      </c>
      <c r="AB22" s="709">
        <f ca="1">IF(ISERROR(MATCH(AB$1,INDIRECT("Table!A"&amp;$BV22):INDIRECT("Table!" &amp; $CH$65 &amp; $BV22),0)),"",INDIRECT(CONCATENATE("Table!",ADDRESS($BR22,MATCH(AB$1,INDIRECT("Table!A" &amp; $BV22):INDIRECT("Table!" &amp; $CH$65 &amp; $BV22),0)))))/1024</f>
        <v>4.7851562500000003E-3</v>
      </c>
      <c r="AC22" s="709">
        <f ca="1">IF(ISERROR(MATCH(AC$1,INDIRECT("Table!A"&amp;$BV22):INDIRECT("Table!" &amp; $CH$65 &amp; $BV22),0)),"",INDIRECT(CONCATENATE("Table!",ADDRESS($BR22,MATCH(AC$1,INDIRECT("Table!A" &amp; $BV22):INDIRECT("Table!" &amp; $CH$65 &amp; $BV22),0)))))/1024</f>
        <v>3.7429687500000002</v>
      </c>
      <c r="AD22" s="709">
        <f ca="1">IF(ISERROR(MATCH(AD$1,INDIRECT("Table!A"&amp;$BV22):INDIRECT("Table!" &amp; $CH$65 &amp; $BV22),0)),"",INDIRECT(CONCATENATE("Table!",ADDRESS($BR22,MATCH(AD$1,INDIRECT("Table!A" &amp; $BV22):INDIRECT("Table!" &amp; $CH$65 &amp; $BV22),0)))))/1024</f>
        <v>40.223339843749997</v>
      </c>
      <c r="AE22" s="709">
        <f ca="1">IF(ISERROR(MATCH(AE$1,INDIRECT("Table!A"&amp;$BV22):INDIRECT("Table!" &amp; $CH$65 &amp; $BV22),0)),"",INDIRECT(CONCATENATE("Table!",ADDRESS($BR22,MATCH(AE$1,INDIRECT("Table!A" &amp; $BV22):INDIRECT("Table!" &amp; $CH$65 &amp; $BV22),0)))))/1024</f>
        <v>3.9529296875000002</v>
      </c>
      <c r="AF22" s="709">
        <f ca="1">IF(ISERROR(MATCH(AF$1,INDIRECT("Table!A"&amp;$BV22):INDIRECT("Table!" &amp; $CH$65 &amp; $BV22),0)),"",INDIRECT(CONCATENATE("Table!",ADDRESS($BR22,MATCH(AF$1,INDIRECT("Table!A" &amp; $BV22):INDIRECT("Table!" &amp; $CH$65 &amp; $BV22),0)))))/1024</f>
        <v>3.9529296875000002</v>
      </c>
      <c r="AG22" s="709">
        <f ca="1">IF(ISERROR(MATCH(AG$1,INDIRECT("Table!A"&amp;$BV22):INDIRECT("Table!" &amp; $CH$65 &amp; $BV22),0)),"",INDIRECT(CONCATENATE("Table!",ADDRESS($BR22,MATCH(AG$1,INDIRECT("Table!A" &amp; $BV22):INDIRECT("Table!" &amp; $CH$65 &amp; $BV22),0)))))/1024</f>
        <v>6.2490234375</v>
      </c>
      <c r="AH22" s="709">
        <f ca="1">IF(ISERROR(MATCH(AH$1,INDIRECT("Table!A"&amp;$BV22):INDIRECT("Table!" &amp; $CH$65 &amp; $BV22),0)),"",INDIRECT(CONCATENATE("Table!",ADDRESS($BR22,MATCH(AH$1,INDIRECT("Table!A" &amp; $BV22):INDIRECT("Table!" &amp; $CH$65 &amp; $BV22),0)))))/1024</f>
        <v>0</v>
      </c>
      <c r="AI22" s="709" t="str">
        <f ca="1">IF(ISERROR(MATCH(AI$1,INDIRECT("Table!A"&amp;$BV22):INDIRECT("Table!" &amp; $CH$110 &amp; $BV22),0)),"",INDIRECT(CONCATENATE("Table!",ADDRESS($BR22,MATCH(AI$1,INDIRECT("Table!A" &amp; $BV22):INDIRECT("Table!" &amp; $CH$110 &amp; $BV22),0)))))</f>
        <v/>
      </c>
      <c r="AJ22" s="709">
        <f ca="1">IF(ISERROR(MATCH(AJ$1,INDIRECT("Table!A"&amp;$BV22):INDIRECT("Table!" &amp; $CH$110 &amp; $BV22),0)),"",INDIRECT(CONCATENATE("Table!",ADDRESS($BZ22,MATCH(AJ$1,INDIRECT("Table!A" &amp; $BV22):INDIRECT("Table!" &amp; $CH$110 &amp; $BV22),0)))))/1024</f>
        <v>244.15859374999999</v>
      </c>
      <c r="AK22" s="709">
        <f ca="1">IF(ISERROR(MATCH(AK$1,INDIRECT("Table!A"&amp;$BV22):INDIRECT("Table!" &amp; $CH$110 &amp; $BV22),0)),"",INDIRECT(CONCATENATE("Table!",ADDRESS($BZ22,MATCH(AK$1,INDIRECT("Table!A" &amp; $BV22):INDIRECT("Table!" &amp; $CH$110 &amp; $BV22),0)))))/1024</f>
        <v>146.98896484375001</v>
      </c>
      <c r="AL22" s="709">
        <f ca="1">IF(ISERROR(MATCH(AL$1,INDIRECT("Table!A"&amp;$BV22):INDIRECT("Table!" &amp; $CH$110 &amp; $BV22),0)),"",INDIRECT(CONCATENATE("Table!",ADDRESS($BZ22,MATCH(AL$1,INDIRECT("Table!A" &amp; $BV22):INDIRECT("Table!" &amp; $CH$110 &amp; $BV22),0)))))/1024</f>
        <v>146.98896484375001</v>
      </c>
      <c r="AM22" s="709">
        <f ca="1">IF(ISERROR(MATCH(AM$1,INDIRECT("Table!A"&amp;$BV22):INDIRECT("Table!" &amp; $CH$110 &amp; $BV22),0)),"",INDIRECT(CONCATENATE("Table!",ADDRESS($BZ22,MATCH(AM$1,INDIRECT("Table!A" &amp; $BV22):INDIRECT("Table!" &amp; $CH$110 &amp; $BV22),0)))))/1024</f>
        <v>177.73320312499999</v>
      </c>
      <c r="AN22" s="709">
        <f ca="1">IF(ISERROR(MATCH(AN$1,INDIRECT("Table!A"&amp;$BV22):INDIRECT("Table!" &amp; $CH$110 &amp; $BV22),0)),"",INDIRECT(CONCATENATE("Table!",ADDRESS($BZ22,MATCH(AN$1,INDIRECT("Table!A" &amp; $BV22):INDIRECT("Table!" &amp; $CH$110 &amp; $BV22),0)))))/1024</f>
        <v>161.88056640625001</v>
      </c>
      <c r="AO22" s="709">
        <f ca="1">IF(ISERROR(MATCH(AO$1,INDIRECT("Table!A"&amp;$BV22):INDIRECT("Table!" &amp; $CH$110 &amp; $BV22),0)),"",INDIRECT(CONCATENATE("Table!",ADDRESS($BZ22,MATCH(AO$1,INDIRECT("Table!A" &amp; $BV22):INDIRECT("Table!" &amp; $CH$110 &amp; $BV22),0)))))/1024</f>
        <v>380.3759765625</v>
      </c>
      <c r="AP22" s="709">
        <f ca="1">IF(ISERROR(MATCH(AP$1,INDIRECT("Table!A"&amp;$BV22):INDIRECT("Table!" &amp; $CH$110 &amp; $BV22),0)),"",INDIRECT(CONCATENATE("Table!",ADDRESS($BZ22,MATCH(AP$1,INDIRECT("Table!A" &amp; $BV22):INDIRECT("Table!" &amp; $CH$110 &amp; $BV22),0)))))/1024</f>
        <v>167.94482421875</v>
      </c>
      <c r="AQ22" s="709">
        <f ca="1">IF(ISERROR(MATCH(AQ$1,INDIRECT("Table!A"&amp;$BV22):INDIRECT("Table!" &amp; $CH$110 &amp; $BV22),0)),"",INDIRECT(CONCATENATE("Table!",ADDRESS($BZ22,MATCH(AQ$1,INDIRECT("Table!A" &amp; $BV22):INDIRECT("Table!" &amp; $CH$110 &amp; $BV22),0)))))/1024</f>
        <v>162.185546875</v>
      </c>
      <c r="AR22" s="709">
        <f ca="1">IF(ISERROR(MATCH(AR$1,INDIRECT("Table!A"&amp;$BV22):INDIRECT("Table!" &amp; $CH$110 &amp; $BV22),0)),"",INDIRECT(CONCATENATE("Table!",ADDRESS($BZ22,MATCH(AR$1,INDIRECT("Table!A" &amp; $BV22):INDIRECT("Table!" &amp; $CH$110 &amp; $BV22),0)))))/1024</f>
        <v>121.1125</v>
      </c>
      <c r="AS22" s="709">
        <f ca="1">IF(ISERROR(MATCH(AS$1,INDIRECT("Table!A"&amp;$BV22):INDIRECT("Table!" &amp; $CH$110 &amp; $BV22),0)),"",INDIRECT(CONCATENATE("Table!",ADDRESS($BZ22,MATCH(AS$1,INDIRECT("Table!A" &amp; $BV22):INDIRECT("Table!" &amp; $CH$110 &amp; $BV22),0)))))/1024</f>
        <v>218.81953125000001</v>
      </c>
      <c r="AT22" s="709">
        <f ca="1">IF(ISERROR(MATCH(AT$1,INDIRECT("Table!A"&amp;$BV22):INDIRECT("Table!" &amp; $CH$110 &amp; $BV22),0)),"",INDIRECT(CONCATENATE("Table!",ADDRESS($BZ22,MATCH(AT$1,INDIRECT("Table!A" &amp; $BV22):INDIRECT("Table!" &amp; $CH$110 &amp; $BV22),0)))))/1024</f>
        <v>188.50498046875001</v>
      </c>
      <c r="AU22" s="709">
        <f ca="1">IF(ISERROR(MATCH(AU$1,INDIRECT("Table!A"&amp;$BV22):INDIRECT("Table!" &amp; $CH$110 &amp; $BV22),0)),"",INDIRECT(CONCATENATE("Table!",ADDRESS($BZ22,MATCH(AU$1,INDIRECT("Table!A" &amp; $BV22):INDIRECT("Table!" &amp; $CH$110 &amp; $BV22),0)))))/1024</f>
        <v>427.94912109375002</v>
      </c>
      <c r="AV22" s="709">
        <f ca="1">IF(ISERROR(MATCH(AV$1,INDIRECT("Table!A"&amp;$BV22):INDIRECT("Table!" &amp; $CH$110 &amp; $BV22),0)),"",INDIRECT(CONCATENATE("Table!",ADDRESS($BZ22,MATCH(AV$1,INDIRECT("Table!A" &amp; $BV22):INDIRECT("Table!" &amp; $CH$110 &amp; $BV22),0)))))/1024</f>
        <v>81.092578125000003</v>
      </c>
      <c r="AW22" s="709">
        <f ca="1">IF(ISERROR(MATCH(AW$1,INDIRECT("Table!A"&amp;$BV22):INDIRECT("Table!" &amp; $CH$110 &amp; $BV22),0)),"",INDIRECT(CONCATENATE("Table!",ADDRESS($BZ22,MATCH(AW$1,INDIRECT("Table!A" &amp; $BV22):INDIRECT("Table!" &amp; $CH$110 &amp; $BV22),0)))))/1024</f>
        <v>269.65859375000002</v>
      </c>
      <c r="AX22" s="709">
        <f ca="1">IF(ISERROR(MATCH(AX$1,INDIRECT("Table!A"&amp;$BV22):INDIRECT("Table!" &amp; $CH$110 &amp; $BV22),0)),"",INDIRECT(CONCATENATE("Table!",ADDRESS($BZ22,MATCH(AX$1,INDIRECT("Table!A" &amp; $BV22):INDIRECT("Table!" &amp; $CH$110 &amp; $BV22),0)))))/1024</f>
        <v>81.092578125000003</v>
      </c>
      <c r="AY22" s="709">
        <f ca="1">IF(ISERROR(MATCH(AY$1,INDIRECT("Table!A"&amp;$BV22):INDIRECT("Table!" &amp; $CH$110 &amp; $BV22),0)),"",INDIRECT(CONCATENATE("Table!",ADDRESS($BZ22,MATCH(AY$1,INDIRECT("Table!A" &amp; $BV22):INDIRECT("Table!" &amp; $CH$110 &amp; $BV22),0)))))/1024</f>
        <v>187.12714843750001</v>
      </c>
      <c r="AZ22" s="709">
        <f ca="1">IF(ISERROR(MATCH(AZ$1,INDIRECT("Table!A"&amp;$BV22):INDIRECT("Table!" &amp; $CH$110 &amp; $BV22),0)),"",INDIRECT(CONCATENATE("Table!",ADDRESS($BZ22,MATCH(AZ$1,INDIRECT("Table!A" &amp; $BV22):INDIRECT("Table!" &amp; $CH$110 &amp; $BV22),0)))))/1024</f>
        <v>256.14150390625002</v>
      </c>
      <c r="BA22" s="709"/>
      <c r="BB22" s="709">
        <f ca="1">IF(ISERROR(MATCH(BB$1,INDIRECT("Table!A"&amp;$BV22):INDIRECT("Table!" &amp; $CH$110 &amp; $BV22),0)),"",INDIRECT(CONCATENATE("Table!",ADDRESS($BZ22,MATCH(BB$1,INDIRECT("Table!A" &amp; $BV22):INDIRECT("Table!" &amp; $CH$110 &amp; $BV22),0)))))/1024</f>
        <v>32.31494140625</v>
      </c>
      <c r="BC22" s="709">
        <f ca="1">IF(ISERROR(MATCH(BC$1,INDIRECT("Table!A"&amp;$BV22):INDIRECT("Table!" &amp; $CH$110 &amp; $BV22),0)),"",INDIRECT(CONCATENATE("Table!",ADDRESS($BZ22,MATCH(BC$1,INDIRECT("Table!A" &amp; $BV22):INDIRECT("Table!" &amp; $CH$110 &amp; $BV22),0)))))/1024</f>
        <v>99.80126953125</v>
      </c>
      <c r="BD22" s="709">
        <f ca="1">IF(ISERROR(MATCH(BD$1,INDIRECT("Table!A"&amp;$BV22):INDIRECT("Table!" &amp; $CH$110 &amp; $BV22),0)),"",INDIRECT(CONCATENATE("Table!",ADDRESS($BZ22,MATCH(BD$1,INDIRECT("Table!A" &amp; $BV22):INDIRECT("Table!" &amp; $CH$110 &amp; $BV22),0)))))/1024</f>
        <v>204.58642578125</v>
      </c>
      <c r="BE22" s="905">
        <f ca="1">IF(ISERROR(MATCH(BE$1,INDIRECT("Table!A"&amp;$BV22):INDIRECT("Table!" &amp; $CH$110 &amp; $BV22),0)),"",INDIRECT(CONCATENATE("Table!",ADDRESS($BZ22,MATCH(BE$1,INDIRECT("Table!A" &amp; $BV22):INDIRECT("Table!" &amp; $CH$110 &amp; $BV22),0)))))/1024</f>
        <v>99.80126953125</v>
      </c>
      <c r="BF22" s="905">
        <f ca="1">IF(ISERROR(MATCH(BF$1,INDIRECT("Table!A"&amp;$BV22):INDIRECT("Table!" &amp; $CH$110 &amp; $BV22),0)),"",INDIRECT(CONCATENATE("Table!",ADDRESS($BZ22,MATCH(BF$1,INDIRECT("Table!A" &amp; $BV22):INDIRECT("Table!" &amp; $CH$110 &amp; $BV22),0)))))/1024</f>
        <v>204.58642578125</v>
      </c>
      <c r="BG22" s="905">
        <f ca="1">IF(ISERROR(MATCH(BG$1,INDIRECT("Table!A"&amp;$BV22):INDIRECT("Table!" &amp; $CH$110 &amp; $BV22),0)),"",INDIRECT(CONCATENATE("Table!",ADDRESS($BZ22,MATCH(BG$1,INDIRECT("Table!A" &amp; $BV22):INDIRECT("Table!" &amp; $CH$110 &amp; $BV22),0)))))/1024</f>
        <v>99.80126953125</v>
      </c>
      <c r="BH22" s="905">
        <f ca="1">IF(ISERROR(MATCH(BH$1,INDIRECT("Table!A"&amp;$BV22):INDIRECT("Table!" &amp; $CH$110 &amp; $BV22),0)),"",INDIRECT(CONCATENATE("Table!",ADDRESS($BZ22,MATCH(BH$1,INDIRECT("Table!A" &amp; $BV22):INDIRECT("Table!" &amp; $CH$110 &amp; $BV22),0)))))/1024</f>
        <v>204.58642578125</v>
      </c>
      <c r="BI22" s="905">
        <f ca="1">IF(ISERROR(MATCH(BI$1,INDIRECT("Table!A"&amp;$BV22):INDIRECT("Table!" &amp; $CH$110 &amp; $BV22),0)),"",INDIRECT(CONCATENATE("Table!",ADDRESS($BZ22,MATCH(BI$1,INDIRECT("Table!A" &amp; $BV22):INDIRECT("Table!" &amp; $CH$110 &amp; $BV22),0)))))/1024</f>
        <v>320.99140625000001</v>
      </c>
      <c r="BJ22" s="905">
        <f ca="1">IF(ISERROR(MATCH(BJ$1,INDIRECT("Table!A"&amp;$BV22):INDIRECT("Table!" &amp; $CH$110 &amp; $BV22),0)),"",INDIRECT(CONCATENATE("Table!",ADDRESS($BZ22,MATCH(BJ$1,INDIRECT("Table!A" &amp; $BV22):INDIRECT("Table!" &amp; $CH$110 &amp; $BV22),0)))))/1024</f>
        <v>186.39765625000001</v>
      </c>
      <c r="BK22" s="905">
        <f ca="1">IF(ISERROR(MATCH(BK$1,INDIRECT("Table!A"&amp;$BV22):INDIRECT("Table!" &amp; $CH$110 &amp; $BV22),0)),"",INDIRECT(CONCATENATE("Table!",ADDRESS($BZ22,MATCH(BK$1,INDIRECT("Table!A" &amp; $BV22):INDIRECT("Table!" &amp; $CH$110 &amp; $BV22),0)))))/1024</f>
        <v>218.81953125000001</v>
      </c>
      <c r="BL22" s="905">
        <f ca="1">IF(ISERROR(MATCH(BL$1,INDIRECT("Table!A"&amp;$BV22):INDIRECT("Table!" &amp; $CH$110 &amp; $BV22),0)),"",INDIRECT(CONCATENATE("Table!",ADDRESS($BZ22,MATCH(BL$1,INDIRECT("Table!A" &amp; $BV22):INDIRECT("Table!" &amp; $CH$110 &amp; $BV22),0)))))/1024</f>
        <v>218.81953125000001</v>
      </c>
      <c r="BM22" s="905">
        <f ca="1">IF(ISERROR(MATCH(BM$1,INDIRECT("Table!A"&amp;$BV22):INDIRECT("Table!" &amp; $CH$110 &amp; $BV22),0)),"",INDIRECT(CONCATENATE("Table!",ADDRESS($BZ22,MATCH(BM$1,INDIRECT("Table!A" &amp; $BV22):INDIRECT("Table!" &amp; $CH$110 &amp; $BV22),0)))))/1024</f>
        <v>152.53330078125001</v>
      </c>
      <c r="BN22" s="905">
        <f ca="1">IF(ISERROR(MATCH(BN$1,INDIRECT("Table!A"&amp;$BV22):INDIRECT("Table!" &amp; $CH$110 &amp; $BV22),0)),"",INDIRECT(CONCATENATE("Table!",ADDRESS($BZ22,MATCH(BN$1,INDIRECT("Table!A" &amp; $BV22):INDIRECT("Table!" &amp; $CH$110 &amp; $BV22),0)))))/1024</f>
        <v>152.53330078125001</v>
      </c>
      <c r="BO22" s="905">
        <f ca="1">IF(ISERROR(MATCH(BO$1,INDIRECT("Table!A"&amp;$BV22):INDIRECT("Table!" &amp; $CH$110 &amp; $BV22),0)),"",INDIRECT(CONCATENATE("Table!",ADDRESS($BZ22,MATCH(BO$1,INDIRECT("Table!A" &amp; $BV22):INDIRECT("Table!" &amp; $CH$110 &amp; $BV22),0)))))/1024</f>
        <v>218.81455078125001</v>
      </c>
      <c r="BP22" s="905">
        <f ca="1">IF(ISERROR(MATCH(BP$1,INDIRECT("Table!A"&amp;$BV22):INDIRECT("Table!" &amp; $CH$110 &amp; $BV22),0)),"",INDIRECT(CONCATENATE("Table!",ADDRESS($BZ22,MATCH(BP$1,INDIRECT("Table!A" &amp; $BV22):INDIRECT("Table!" &amp; $CH$110 &amp; $BV22),0)))))/1024</f>
        <v>0</v>
      </c>
      <c r="BR22" s="704">
        <f>MATCH($A22,Table!$A:$A,0)+$BT$2-1</f>
        <v>285</v>
      </c>
      <c r="BS22" s="744"/>
      <c r="BT22" s="744"/>
      <c r="BU22" s="744"/>
      <c r="BV22" s="717">
        <f>MATCH($A22,Table!$A:$A,0)+$BX$2-1</f>
        <v>283</v>
      </c>
      <c r="BW22" s="744"/>
      <c r="BX22" s="744"/>
      <c r="BY22" s="744"/>
      <c r="BZ22" s="704">
        <f>MATCH($A22,Table!$A:$A,0)+$CB$2-1</f>
        <v>284</v>
      </c>
      <c r="CA22" s="744"/>
      <c r="CB22" s="744"/>
      <c r="CC22" s="744"/>
      <c r="CD22" s="717">
        <f>MATCH($A22,Table!$A:$A,0)+$BX$2-1</f>
        <v>283</v>
      </c>
      <c r="CE22" s="744"/>
      <c r="CF22" s="744"/>
      <c r="CG22" s="744"/>
      <c r="CH22" s="711" t="s">
        <v>302</v>
      </c>
      <c r="CI22" s="712">
        <f t="shared" ca="1" si="0"/>
        <v>5834.1424804687485</v>
      </c>
      <c r="CJ22" s="712">
        <f t="shared" ca="1" si="85"/>
        <v>2208.3700195312499</v>
      </c>
      <c r="CK22" s="712">
        <f t="shared" ref="CK22" ca="1" si="89">CI22-CJ22</f>
        <v>3625.7724609374986</v>
      </c>
      <c r="CL22" s="718">
        <f t="shared" ref="CL22" ca="1" si="90">CJ22/CI22</f>
        <v>0.37852521204689826</v>
      </c>
      <c r="CM22" s="712">
        <f ca="1">SUMIF('Alloc Feed'!A:I,A:A,'Alloc Feed'!I:I)</f>
        <v>3979.5279492187497</v>
      </c>
      <c r="CN22" s="718">
        <f t="shared" ref="CN22" ca="1" si="91">CM22/CI22</f>
        <v>0.68211017515276928</v>
      </c>
    </row>
    <row r="23" spans="1:92" s="947" customFormat="1" x14ac:dyDescent="0.25">
      <c r="A23" s="703">
        <v>41836</v>
      </c>
      <c r="B23" s="709">
        <f ca="1">IF(ISERROR(MATCH(B$1,INDIRECT("Table!A"&amp;$BV23):INDIRECT("Table!" &amp; $CH$110 &amp; $BV23),0)),"",INDIRECT(CONCATENATE("Table!",ADDRESS($BR23,MATCH(B$1,INDIRECT("Table!A" &amp; $BV23):INDIRECT("Table!" &amp; $CH$110 &amp; $BV23),0)))))/1024</f>
        <v>101.07470703125</v>
      </c>
      <c r="C23" s="709">
        <f ca="1">IF(ISERROR(MATCH(C$1,INDIRECT("Table!A"&amp;$BV23):INDIRECT("Table!" &amp; $CH$110 &amp; $BV23),0)),"",INDIRECT(CONCATENATE("Table!",ADDRESS($BR23,MATCH(C$1,INDIRECT("Table!A" &amp; $BV23):INDIRECT("Table!" &amp; $CH$110 &amp; $BV23),0)))))/1024</f>
        <v>82.8046875</v>
      </c>
      <c r="D23" s="709">
        <f ca="1">IF(ISERROR(MATCH(D$1,INDIRECT("Table!A"&amp;$BV23):INDIRECT("Table!" &amp; $CH$110 &amp; $BV23),0)),"",INDIRECT(CONCATENATE("Table!",ADDRESS($BR23,MATCH(D$1,INDIRECT("Table!A" &amp; $BV23):INDIRECT("Table!" &amp; $CH$110 &amp; $BV23),0)))))/1024</f>
        <v>83.497265624999997</v>
      </c>
      <c r="E23" s="709">
        <f ca="1">IF(ISERROR(MATCH(E$1,INDIRECT("Table!A"&amp;$BV23):INDIRECT("Table!" &amp; $CH$110 &amp; $BV23),0)),"",INDIRECT(CONCATENATE("Table!",ADDRESS($BR23,MATCH(E$1,INDIRECT("Table!A" &amp; $BV23):INDIRECT("Table!" &amp; $CH$110 &amp; $BV23),0)))))/1024</f>
        <v>129.87451171875</v>
      </c>
      <c r="F23" s="709">
        <f ca="1">IF(ISERROR(MATCH(F$1,INDIRECT("Table!A"&amp;$BV23):INDIRECT("Table!" &amp; $CH$110 &amp; $BV23),0)),"",INDIRECT(CONCATENATE("Table!",ADDRESS($BR23,MATCH(F$1,INDIRECT("Table!A" &amp; $BV23):INDIRECT("Table!" &amp; $CH$110 &amp; $BV23),0)))))/1024</f>
        <v>113.8427734375</v>
      </c>
      <c r="G23" s="709">
        <f ca="1">IF(ISERROR(MATCH(G$1,INDIRECT("Table!A"&amp;$BV23):INDIRECT("Table!" &amp; $CH$110 &amp; $BV23),0)),"",INDIRECT(CONCATENATE("Table!",ADDRESS($BR23,MATCH(G$1,INDIRECT("Table!A" &amp; $BV23):INDIRECT("Table!" &amp; $CH$110 &amp; $BV23),0)))))/1024</f>
        <v>212.02988281250001</v>
      </c>
      <c r="H23" s="709">
        <f ca="1">IF(ISERROR(MATCH(H$1,INDIRECT("Table!A"&amp;$BV23):INDIRECT("Table!" &amp; $CH$110 &amp; $BV23),0)),"",INDIRECT(CONCATENATE("Table!",ADDRESS($BR23,MATCH(H$1,INDIRECT("Table!A" &amp; $BV23):INDIRECT("Table!" &amp; $CH$110 &amp; $BV23),0)))))/1024</f>
        <v>118.32060546875</v>
      </c>
      <c r="I23" s="709">
        <f ca="1">IF(ISERROR(MATCH(I$1,INDIRECT("Table!A"&amp;$BV23):INDIRECT("Table!" &amp; $CH$110 &amp; $BV23),0)),"",INDIRECT(CONCATENATE("Table!",ADDRESS($BR23,MATCH(I$1,INDIRECT("Table!A" &amp; $BV23):INDIRECT("Table!" &amp; $CH$110 &amp; $BV23),0)))))/1024</f>
        <v>25.524511718749999</v>
      </c>
      <c r="J23" s="709">
        <f ca="1">IF(ISERROR(MATCH(J$1,INDIRECT("Table!A"&amp;$BV23):INDIRECT("Table!" &amp; $CH$110 &amp; $BV23),0)),"",INDIRECT(CONCATENATE("Table!",ADDRESS($BR23,MATCH(J$1,INDIRECT("Table!A" &amp; $BV23):INDIRECT("Table!" &amp; $CH$110 &amp; $BV23),0)))))/1024</f>
        <v>83.922753906249994</v>
      </c>
      <c r="K23" s="709">
        <f ca="1">IF(ISERROR(MATCH(K$1,INDIRECT("Table!A"&amp;$BV23):INDIRECT("Table!" &amp; $CH$110 &amp; $BV23),0)),"",INDIRECT(CONCATENATE("Table!",ADDRESS($BR23,MATCH(K$1,INDIRECT("Table!A" &amp; $BV23):INDIRECT("Table!" &amp; $CH$110 &amp; $BV23),0)))))/1024</f>
        <v>77.261914062499997</v>
      </c>
      <c r="L23" s="709">
        <f ca="1">IF(ISERROR(MATCH(L$1,INDIRECT("Table!A"&amp;$BV23):INDIRECT("Table!" &amp; $CH$110 &amp; $BV23),0)),"",INDIRECT(CONCATENATE("Table!",ADDRESS($BR23,MATCH(L$1,INDIRECT("Table!A" &amp; $BV23):INDIRECT("Table!" &amp; $CH$110 &amp; $BV23),0)))))/1024</f>
        <v>127.32939453125</v>
      </c>
      <c r="M23" s="709">
        <f ca="1">IF(ISERROR(MATCH(M$1,INDIRECT("Table!A"&amp;$BV23):INDIRECT("Table!" &amp; $CH$110 &amp; $BV23),0)),"",INDIRECT(CONCATENATE("Table!",ADDRESS($BR23,MATCH(M$1,INDIRECT("Table!A" &amp; $BV23):INDIRECT("Table!" &amp; $CH$110 &amp; $BV23),0)))))/1024</f>
        <v>208.05322265625</v>
      </c>
      <c r="N23" s="709">
        <f ca="1">IF(ISERROR(MATCH(N$1,INDIRECT("Table!A"&amp;$BV23):INDIRECT("Table!" &amp; $CH$110 &amp; $BV23),0)),"",INDIRECT(CONCATENATE("Table!",ADDRESS($BR23,MATCH(N$1,INDIRECT("Table!A" &amp; $BV23):INDIRECT("Table!" &amp; $CH$110 &amp; $BV23),0)))))/1024</f>
        <v>57.445410156249999</v>
      </c>
      <c r="O23" s="709">
        <f ca="1">IF(ISERROR(MATCH(O$1,INDIRECT("Table!A"&amp;$BV23):INDIRECT("Table!" &amp; $CH$110 &amp; $BV23),0)),"",INDIRECT(CONCATENATE("Table!",ADDRESS($BR23,MATCH(O$1,INDIRECT("Table!A" &amp; $BV23):INDIRECT("Table!" &amp; $CH$110 &amp; $BV23),0)))))/1024</f>
        <v>218.62363281250001</v>
      </c>
      <c r="P23" s="709">
        <f ca="1">IF(ISERROR(MATCH(P$1,INDIRECT("Table!A"&amp;$BV23):INDIRECT("Table!" &amp; $CH$110 &amp; $BV23),0)),"",INDIRECT(CONCATENATE("Table!",ADDRESS($BR23,MATCH(P$1,INDIRECT("Table!A" &amp; $BV23):INDIRECT("Table!" &amp; $CH$110 &amp; $BV23),0)))))/1024</f>
        <v>49.372753906249997</v>
      </c>
      <c r="Q23" s="709">
        <f ca="1">IF(ISERROR(MATCH(Q$1,INDIRECT("Table!A"&amp;$BV23):INDIRECT("Table!" &amp; $CH$110 &amp; $BV23),0)),"",INDIRECT(CONCATENATE("Table!",ADDRESS($BR23,MATCH(Q$1,INDIRECT("Table!A" &amp; $BV23):INDIRECT("Table!" &amp; $CH$110 &amp; $BV23),0)))))/1024</f>
        <v>133.58417968750001</v>
      </c>
      <c r="R23" s="709">
        <f ca="1">IF(ISERROR(MATCH(R$1,INDIRECT("Table!A"&amp;$BV23):INDIRECT("Table!" &amp; $CH$110 &amp; $BV23),0)),"",INDIRECT(CONCATENATE("Table!",ADDRESS($BR23,MATCH(R$1,INDIRECT("Table!A" &amp; $BV23):INDIRECT("Table!" &amp; $CH$110 &amp; $BV23),0)))))/1024</f>
        <v>171.43339843749999</v>
      </c>
      <c r="S23" s="709">
        <v>0</v>
      </c>
      <c r="T23" s="709">
        <f ca="1">IF(ISERROR(MATCH(T$1,INDIRECT("Table!A"&amp;$BV23):INDIRECT("Table!" &amp; $CH$65 &amp; $BV23),0)),"",INDIRECT(CONCATENATE("Table!",ADDRESS($BR23,MATCH(T$1,INDIRECT("Table!A" &amp; $BV23):INDIRECT("Table!" &amp; $CH$65 &amp; $BV23),0)))))/1024</f>
        <v>11.2826171875</v>
      </c>
      <c r="U23" s="709">
        <f ca="1">IF(ISERROR(MATCH(U$1,INDIRECT("Table!A"&amp;$BV23):INDIRECT("Table!" &amp; $CH$65 &amp; $BV23),0)),"",INDIRECT(CONCATENATE("Table!",ADDRESS($BR23,MATCH(U$1,INDIRECT("Table!A" &amp; $BV23):INDIRECT("Table!" &amp; $CH$65 &amp; $BV23),0)))))/1024</f>
        <v>14.58505859375</v>
      </c>
      <c r="V23" s="709">
        <f ca="1">IF(ISERROR(MATCH(V$1,INDIRECT("Table!A"&amp;$BV23):INDIRECT("Table!" &amp; $CH$65 &amp; $BV23),0)),"",INDIRECT(CONCATENATE("Table!",ADDRESS($BR23,MATCH(V$1,INDIRECT("Table!A" &amp; $BV23):INDIRECT("Table!" &amp; $CH$65 &amp; $BV23),0)))))/1024</f>
        <v>29.169921875</v>
      </c>
      <c r="W23" s="709">
        <f ca="1">IF(ISERROR(MATCH(W$1,INDIRECT("Table!A"&amp;$BV23):INDIRECT("Table!" &amp; $CH$65 &amp; $BV23),0)),"",INDIRECT(CONCATENATE("Table!",ADDRESS($BR23,MATCH(W$1,INDIRECT("Table!A" &amp; $BV23):INDIRECT("Table!" &amp; $CH$65 &amp; $BV23),0)))))/1024</f>
        <v>20.198339843749999</v>
      </c>
      <c r="X23" s="709">
        <f ca="1">IF(ISERROR(MATCH(X$1,INDIRECT("Table!A"&amp;$BV23):INDIRECT("Table!" &amp; $CH$65 &amp; $BV23),0)),"",INDIRECT(CONCATENATE("Table!",ADDRESS($BR23,MATCH(X$1,INDIRECT("Table!A" &amp; $BV23):INDIRECT("Table!" &amp; $CH$65 &amp; $BV23),0)))))/1024</f>
        <v>39.484960937499999</v>
      </c>
      <c r="Y23" s="709">
        <f ca="1">IF(ISERROR(MATCH(Y$1,INDIRECT("Table!A"&amp;$BV23):INDIRECT("Table!" &amp; $CH$65 &amp; $BV23),0)),"",INDIRECT(CONCATENATE("Table!",ADDRESS($BR23,MATCH(Y$1,INDIRECT("Table!A" &amp; $BV23):INDIRECT("Table!" &amp; $CH$65 &amp; $BV23),0)))))/1024</f>
        <v>3.0273437500000001E-3</v>
      </c>
      <c r="Z23" s="709">
        <f ca="1">IF(ISERROR(MATCH(Z$1,INDIRECT("Table!A"&amp;$BV23):INDIRECT("Table!" &amp; $CH$65 &amp; $BV23),0)),"",INDIRECT(CONCATENATE("Table!",ADDRESS($BR23,MATCH(Z$1,INDIRECT("Table!A" &amp; $BV23):INDIRECT("Table!" &amp; $CH$65 &amp; $BV23),0)))))/1024</f>
        <v>5.859375E-3</v>
      </c>
      <c r="AA23" s="709">
        <f ca="1">IF(ISERROR(MATCH(AA$1,INDIRECT("Table!A"&amp;$BV23):INDIRECT("Table!" &amp; $CH$65 &amp; $BV23),0)),"",INDIRECT(CONCATENATE("Table!",ADDRESS($BR23,MATCH(AA$1,INDIRECT("Table!A" &amp; $BV23):INDIRECT("Table!" &amp; $CH$65 &amp; $BV23),0)))))/1024</f>
        <v>33.397851562500001</v>
      </c>
      <c r="AB23" s="709">
        <f ca="1">IF(ISERROR(MATCH(AB$1,INDIRECT("Table!A"&amp;$BV23):INDIRECT("Table!" &amp; $CH$65 &amp; $BV23),0)),"",INDIRECT(CONCATENATE("Table!",ADDRESS($BR23,MATCH(AB$1,INDIRECT("Table!A" &amp; $BV23):INDIRECT("Table!" &amp; $CH$65 &amp; $BV23),0)))))/1024</f>
        <v>4.7851562500000003E-3</v>
      </c>
      <c r="AC23" s="709">
        <f ca="1">IF(ISERROR(MATCH(AC$1,INDIRECT("Table!A"&amp;$BV23):INDIRECT("Table!" &amp; $CH$65 &amp; $BV23),0)),"",INDIRECT(CONCATENATE("Table!",ADDRESS($BR23,MATCH(AC$1,INDIRECT("Table!A" &amp; $BV23):INDIRECT("Table!" &amp; $CH$65 &amp; $BV23),0)))))/1024</f>
        <v>3.5833007812500002</v>
      </c>
      <c r="AD23" s="709">
        <f ca="1">IF(ISERROR(MATCH(AD$1,INDIRECT("Table!A"&amp;$BV23):INDIRECT("Table!" &amp; $CH$65 &amp; $BV23),0)),"",INDIRECT(CONCATENATE("Table!",ADDRESS($BR23,MATCH(AD$1,INDIRECT("Table!A" &amp; $BV23):INDIRECT("Table!" &amp; $CH$65 &amp; $BV23),0)))))/1024</f>
        <v>1.1060546874999999</v>
      </c>
      <c r="AE23" s="709">
        <f ca="1">IF(ISERROR(MATCH(AE$1,INDIRECT("Table!A"&amp;$BV23):INDIRECT("Table!" &amp; $CH$65 &amp; $BV23),0)),"",INDIRECT(CONCATENATE("Table!",ADDRESS($BR23,MATCH(AE$1,INDIRECT("Table!A" &amp; $BV23):INDIRECT("Table!" &amp; $CH$65 &amp; $BV23),0)))))/1024</f>
        <v>1.8202148437500001</v>
      </c>
      <c r="AF23" s="709">
        <f ca="1">IF(ISERROR(MATCH(AF$1,INDIRECT("Table!A"&amp;$BV23):INDIRECT("Table!" &amp; $CH$65 &amp; $BV23),0)),"",INDIRECT(CONCATENATE("Table!",ADDRESS($BR23,MATCH(AF$1,INDIRECT("Table!A" &amp; $BV23):INDIRECT("Table!" &amp; $CH$65 &amp; $BV23),0)))))/1024</f>
        <v>1.8202148437500001</v>
      </c>
      <c r="AG23" s="709">
        <f ca="1">IF(ISERROR(MATCH(AG$1,INDIRECT("Table!A"&amp;$BV23):INDIRECT("Table!" &amp; $CH$65 &amp; $BV23),0)),"",INDIRECT(CONCATENATE("Table!",ADDRESS($BR23,MATCH(AG$1,INDIRECT("Table!A" &amp; $BV23):INDIRECT("Table!" &amp; $CH$65 &amp; $BV23),0)))))/1024</f>
        <v>0</v>
      </c>
      <c r="AH23" s="709">
        <f ca="1">IF(ISERROR(MATCH(AH$1,INDIRECT("Table!A"&amp;$BV23):INDIRECT("Table!" &amp; $CH$65 &amp; $BV23),0)),"",INDIRECT(CONCATENATE("Table!",ADDRESS($BR23,MATCH(AH$1,INDIRECT("Table!A" &amp; $BV23):INDIRECT("Table!" &amp; $CH$65 &amp; $BV23),0)))))/1024</f>
        <v>0</v>
      </c>
      <c r="AI23" s="709" t="str">
        <f ca="1">IF(ISERROR(MATCH(AI$1,INDIRECT("Table!A"&amp;$BV23):INDIRECT("Table!" &amp; $CH$110 &amp; $BV23),0)),"",INDIRECT(CONCATENATE("Table!",ADDRESS($BR23,MATCH(AI$1,INDIRECT("Table!A" &amp; $BV23):INDIRECT("Table!" &amp; $CH$110 &amp; $BV23),0)))))</f>
        <v/>
      </c>
      <c r="AJ23" s="709">
        <f ca="1">IF(ISERROR(MATCH(AJ$1,INDIRECT("Table!A"&amp;$BV23):INDIRECT("Table!" &amp; $CH$110 &amp; $BV23),0)),"",INDIRECT(CONCATENATE("Table!",ADDRESS($BZ23,MATCH(AJ$1,INDIRECT("Table!A" &amp; $BV23):INDIRECT("Table!" &amp; $CH$110 &amp; $BV23),0)))))/1024</f>
        <v>244.15859374999999</v>
      </c>
      <c r="AK23" s="709">
        <f ca="1">IF(ISERROR(MATCH(AK$1,INDIRECT("Table!A"&amp;$BV23):INDIRECT("Table!" &amp; $CH$110 &amp; $BV23),0)),"",INDIRECT(CONCATENATE("Table!",ADDRESS($BZ23,MATCH(AK$1,INDIRECT("Table!A" &amp; $BV23):INDIRECT("Table!" &amp; $CH$110 &amp; $BV23),0)))))/1024</f>
        <v>146.98896484375001</v>
      </c>
      <c r="AL23" s="709">
        <f ca="1">IF(ISERROR(MATCH(AL$1,INDIRECT("Table!A"&amp;$BV23):INDIRECT("Table!" &amp; $CH$110 &amp; $BV23),0)),"",INDIRECT(CONCATENATE("Table!",ADDRESS($BZ23,MATCH(AL$1,INDIRECT("Table!A" &amp; $BV23):INDIRECT("Table!" &amp; $CH$110 &amp; $BV23),0)))))/1024</f>
        <v>146.98896484375001</v>
      </c>
      <c r="AM23" s="709">
        <f ca="1">IF(ISERROR(MATCH(AM$1,INDIRECT("Table!A"&amp;$BV23):INDIRECT("Table!" &amp; $CH$110 &amp; $BV23),0)),"",INDIRECT(CONCATENATE("Table!",ADDRESS($BZ23,MATCH(AM$1,INDIRECT("Table!A" &amp; $BV23):INDIRECT("Table!" &amp; $CH$110 &amp; $BV23),0)))))/1024</f>
        <v>177.73320312499999</v>
      </c>
      <c r="AN23" s="709">
        <f ca="1">IF(ISERROR(MATCH(AN$1,INDIRECT("Table!A"&amp;$BV23):INDIRECT("Table!" &amp; $CH$110 &amp; $BV23),0)),"",INDIRECT(CONCATENATE("Table!",ADDRESS($BZ23,MATCH(AN$1,INDIRECT("Table!A" &amp; $BV23):INDIRECT("Table!" &amp; $CH$110 &amp; $BV23),0)))))/1024</f>
        <v>161.88056640625001</v>
      </c>
      <c r="AO23" s="709">
        <f ca="1">IF(ISERROR(MATCH(AO$1,INDIRECT("Table!A"&amp;$BV23):INDIRECT("Table!" &amp; $CH$110 &amp; $BV23),0)),"",INDIRECT(CONCATENATE("Table!",ADDRESS($BZ23,MATCH(AO$1,INDIRECT("Table!A" &amp; $BV23):INDIRECT("Table!" &amp; $CH$110 &amp; $BV23),0)))))/1024</f>
        <v>380.3759765625</v>
      </c>
      <c r="AP23" s="709">
        <f ca="1">IF(ISERROR(MATCH(AP$1,INDIRECT("Table!A"&amp;$BV23):INDIRECT("Table!" &amp; $CH$110 &amp; $BV23),0)),"",INDIRECT(CONCATENATE("Table!",ADDRESS($BZ23,MATCH(AP$1,INDIRECT("Table!A" &amp; $BV23):INDIRECT("Table!" &amp; $CH$110 &amp; $BV23),0)))))/1024</f>
        <v>167.94482421875</v>
      </c>
      <c r="AQ23" s="709">
        <f ca="1">IF(ISERROR(MATCH(AQ$1,INDIRECT("Table!A"&amp;$BV23):INDIRECT("Table!" &amp; $CH$110 &amp; $BV23),0)),"",INDIRECT(CONCATENATE("Table!",ADDRESS($BZ23,MATCH(AQ$1,INDIRECT("Table!A" &amp; $BV23):INDIRECT("Table!" &amp; $CH$110 &amp; $BV23),0)))))/1024</f>
        <v>162.185546875</v>
      </c>
      <c r="AR23" s="709">
        <f ca="1">IF(ISERROR(MATCH(AR$1,INDIRECT("Table!A"&amp;$BV23):INDIRECT("Table!" &amp; $CH$110 &amp; $BV23),0)),"",INDIRECT(CONCATENATE("Table!",ADDRESS($BZ23,MATCH(AR$1,INDIRECT("Table!A" &amp; $BV23):INDIRECT("Table!" &amp; $CH$110 &amp; $BV23),0)))))/1024</f>
        <v>121.1125</v>
      </c>
      <c r="AS23" s="709">
        <f ca="1">IF(ISERROR(MATCH(AS$1,INDIRECT("Table!A"&amp;$BV23):INDIRECT("Table!" &amp; $CH$110 &amp; $BV23),0)),"",INDIRECT(CONCATENATE("Table!",ADDRESS($BZ23,MATCH(AS$1,INDIRECT("Table!A" &amp; $BV23):INDIRECT("Table!" &amp; $CH$110 &amp; $BV23),0)))))/1024</f>
        <v>218.81953125000001</v>
      </c>
      <c r="AT23" s="709">
        <f ca="1">IF(ISERROR(MATCH(AT$1,INDIRECT("Table!A"&amp;$BV23):INDIRECT("Table!" &amp; $CH$110 &amp; $BV23),0)),"",INDIRECT(CONCATENATE("Table!",ADDRESS($BZ23,MATCH(AT$1,INDIRECT("Table!A" &amp; $BV23):INDIRECT("Table!" &amp; $CH$110 &amp; $BV23),0)))))/1024</f>
        <v>188.50498046875001</v>
      </c>
      <c r="AU23" s="709">
        <f ca="1">IF(ISERROR(MATCH(AU$1,INDIRECT("Table!A"&amp;$BV23):INDIRECT("Table!" &amp; $CH$110 &amp; $BV23),0)),"",INDIRECT(CONCATENATE("Table!",ADDRESS($BZ23,MATCH(AU$1,INDIRECT("Table!A" &amp; $BV23):INDIRECT("Table!" &amp; $CH$110 &amp; $BV23),0)))))/1024</f>
        <v>427.94912109375002</v>
      </c>
      <c r="AV23" s="709">
        <f ca="1">IF(ISERROR(MATCH(AV$1,INDIRECT("Table!A"&amp;$BV23):INDIRECT("Table!" &amp; $CH$110 &amp; $BV23),0)),"",INDIRECT(CONCATENATE("Table!",ADDRESS($BZ23,MATCH(AV$1,INDIRECT("Table!A" &amp; $BV23):INDIRECT("Table!" &amp; $CH$110 &amp; $BV23),0)))))/1024</f>
        <v>81.092578125000003</v>
      </c>
      <c r="AW23" s="709">
        <f ca="1">IF(ISERROR(MATCH(AW$1,INDIRECT("Table!A"&amp;$BV23):INDIRECT("Table!" &amp; $CH$110 &amp; $BV23),0)),"",INDIRECT(CONCATENATE("Table!",ADDRESS($BZ23,MATCH(AW$1,INDIRECT("Table!A" &amp; $BV23):INDIRECT("Table!" &amp; $CH$110 &amp; $BV23),0)))))/1024</f>
        <v>269.65859375000002</v>
      </c>
      <c r="AX23" s="709">
        <f ca="1">IF(ISERROR(MATCH(AX$1,INDIRECT("Table!A"&amp;$BV23):INDIRECT("Table!" &amp; $CH$110 &amp; $BV23),0)),"",INDIRECT(CONCATENATE("Table!",ADDRESS($BZ23,MATCH(AX$1,INDIRECT("Table!A" &amp; $BV23):INDIRECT("Table!" &amp; $CH$110 &amp; $BV23),0)))))/1024</f>
        <v>81.092578125000003</v>
      </c>
      <c r="AY23" s="709">
        <f ca="1">IF(ISERROR(MATCH(AY$1,INDIRECT("Table!A"&amp;$BV23):INDIRECT("Table!" &amp; $CH$110 &amp; $BV23),0)),"",INDIRECT(CONCATENATE("Table!",ADDRESS($BZ23,MATCH(AY$1,INDIRECT("Table!A" &amp; $BV23):INDIRECT("Table!" &amp; $CH$110 &amp; $BV23),0)))))/1024</f>
        <v>187.12714843750001</v>
      </c>
      <c r="AZ23" s="709">
        <f ca="1">IF(ISERROR(MATCH(AZ$1,INDIRECT("Table!A"&amp;$BV23):INDIRECT("Table!" &amp; $CH$110 &amp; $BV23),0)),"",INDIRECT(CONCATENATE("Table!",ADDRESS($BZ23,MATCH(AZ$1,INDIRECT("Table!A" &amp; $BV23):INDIRECT("Table!" &amp; $CH$110 &amp; $BV23),0)))))/1024</f>
        <v>256.14150390625002</v>
      </c>
      <c r="BA23" s="709"/>
      <c r="BB23" s="709">
        <f ca="1">IF(ISERROR(MATCH(BB$1,INDIRECT("Table!A"&amp;$BV23):INDIRECT("Table!" &amp; $CH$110 &amp; $BV23),0)),"",INDIRECT(CONCATENATE("Table!",ADDRESS($BZ23,MATCH(BB$1,INDIRECT("Table!A" &amp; $BV23):INDIRECT("Table!" &amp; $CH$110 &amp; $BV23),0)))))/1024</f>
        <v>32.31494140625</v>
      </c>
      <c r="BC23" s="709">
        <f ca="1">IF(ISERROR(MATCH(BC$1,INDIRECT("Table!A"&amp;$BV23):INDIRECT("Table!" &amp; $CH$110 &amp; $BV23),0)),"",INDIRECT(CONCATENATE("Table!",ADDRESS($BZ23,MATCH(BC$1,INDIRECT("Table!A" &amp; $BV23):INDIRECT("Table!" &amp; $CH$110 &amp; $BV23),0)))))/1024</f>
        <v>99.80126953125</v>
      </c>
      <c r="BD23" s="709">
        <f ca="1">IF(ISERROR(MATCH(BD$1,INDIRECT("Table!A"&amp;$BV23):INDIRECT("Table!" &amp; $CH$110 &amp; $BV23),0)),"",INDIRECT(CONCATENATE("Table!",ADDRESS($BZ23,MATCH(BD$1,INDIRECT("Table!A" &amp; $BV23):INDIRECT("Table!" &amp; $CH$110 &amp; $BV23),0)))))/1024</f>
        <v>204.58642578125</v>
      </c>
      <c r="BE23" s="905">
        <f ca="1">IF(ISERROR(MATCH(BE$1,INDIRECT("Table!A"&amp;$BV23):INDIRECT("Table!" &amp; $CH$110 &amp; $BV23),0)),"",INDIRECT(CONCATENATE("Table!",ADDRESS($BZ23,MATCH(BE$1,INDIRECT("Table!A" &amp; $BV23):INDIRECT("Table!" &amp; $CH$110 &amp; $BV23),0)))))/1024</f>
        <v>99.80126953125</v>
      </c>
      <c r="BF23" s="905">
        <f ca="1">IF(ISERROR(MATCH(BF$1,INDIRECT("Table!A"&amp;$BV23):INDIRECT("Table!" &amp; $CH$110 &amp; $BV23),0)),"",INDIRECT(CONCATENATE("Table!",ADDRESS($BZ23,MATCH(BF$1,INDIRECT("Table!A" &amp; $BV23):INDIRECT("Table!" &amp; $CH$110 &amp; $BV23),0)))))/1024</f>
        <v>204.58642578125</v>
      </c>
      <c r="BG23" s="905">
        <f ca="1">IF(ISERROR(MATCH(BG$1,INDIRECT("Table!A"&amp;$BV23):INDIRECT("Table!" &amp; $CH$110 &amp; $BV23),0)),"",INDIRECT(CONCATENATE("Table!",ADDRESS($BZ23,MATCH(BG$1,INDIRECT("Table!A" &amp; $BV23):INDIRECT("Table!" &amp; $CH$110 &amp; $BV23),0)))))/1024</f>
        <v>99.80126953125</v>
      </c>
      <c r="BH23" s="905">
        <f ca="1">IF(ISERROR(MATCH(BH$1,INDIRECT("Table!A"&amp;$BV23):INDIRECT("Table!" &amp; $CH$110 &amp; $BV23),0)),"",INDIRECT(CONCATENATE("Table!",ADDRESS($BZ23,MATCH(BH$1,INDIRECT("Table!A" &amp; $BV23):INDIRECT("Table!" &amp; $CH$110 &amp; $BV23),0)))))/1024</f>
        <v>204.58642578125</v>
      </c>
      <c r="BI23" s="905">
        <f ca="1">IF(ISERROR(MATCH(BI$1,INDIRECT("Table!A"&amp;$BV23):INDIRECT("Table!" &amp; $CH$110 &amp; $BV23),0)),"",INDIRECT(CONCATENATE("Table!",ADDRESS($BZ23,MATCH(BI$1,INDIRECT("Table!A" &amp; $BV23):INDIRECT("Table!" &amp; $CH$110 &amp; $BV23),0)))))/1024</f>
        <v>320.99140625000001</v>
      </c>
      <c r="BJ23" s="905">
        <f ca="1">IF(ISERROR(MATCH(BJ$1,INDIRECT("Table!A"&amp;$BV23):INDIRECT("Table!" &amp; $CH$110 &amp; $BV23),0)),"",INDIRECT(CONCATENATE("Table!",ADDRESS($BZ23,MATCH(BJ$1,INDIRECT("Table!A" &amp; $BV23):INDIRECT("Table!" &amp; $CH$110 &amp; $BV23),0)))))/1024</f>
        <v>186.39765625000001</v>
      </c>
      <c r="BK23" s="905">
        <f ca="1">IF(ISERROR(MATCH(BK$1,INDIRECT("Table!A"&amp;$BV23):INDIRECT("Table!" &amp; $CH$110 &amp; $BV23),0)),"",INDIRECT(CONCATENATE("Table!",ADDRESS($BZ23,MATCH(BK$1,INDIRECT("Table!A" &amp; $BV23):INDIRECT("Table!" &amp; $CH$110 &amp; $BV23),0)))))/1024</f>
        <v>218.81953125000001</v>
      </c>
      <c r="BL23" s="905">
        <f ca="1">IF(ISERROR(MATCH(BL$1,INDIRECT("Table!A"&amp;$BV23):INDIRECT("Table!" &amp; $CH$110 &amp; $BV23),0)),"",INDIRECT(CONCATENATE("Table!",ADDRESS($BZ23,MATCH(BL$1,INDIRECT("Table!A" &amp; $BV23):INDIRECT("Table!" &amp; $CH$110 &amp; $BV23),0)))))/1024</f>
        <v>218.81953125000001</v>
      </c>
      <c r="BM23" s="905">
        <f ca="1">IF(ISERROR(MATCH(BM$1,INDIRECT("Table!A"&amp;$BV23):INDIRECT("Table!" &amp; $CH$110 &amp; $BV23),0)),"",INDIRECT(CONCATENATE("Table!",ADDRESS($BZ23,MATCH(BM$1,INDIRECT("Table!A" &amp; $BV23):INDIRECT("Table!" &amp; $CH$110 &amp; $BV23),0)))))/1024</f>
        <v>152.53330078125001</v>
      </c>
      <c r="BN23" s="905">
        <f ca="1">IF(ISERROR(MATCH(BN$1,INDIRECT("Table!A"&amp;$BV23):INDIRECT("Table!" &amp; $CH$110 &amp; $BV23),0)),"",INDIRECT(CONCATENATE("Table!",ADDRESS($BZ23,MATCH(BN$1,INDIRECT("Table!A" &amp; $BV23):INDIRECT("Table!" &amp; $CH$110 &amp; $BV23),0)))))/1024</f>
        <v>152.53330078125001</v>
      </c>
      <c r="BO23" s="905">
        <f ca="1">IF(ISERROR(MATCH(BO$1,INDIRECT("Table!A"&amp;$BV23):INDIRECT("Table!" &amp; $CH$110 &amp; $BV23),0)),"",INDIRECT(CONCATENATE("Table!",ADDRESS($BZ23,MATCH(BO$1,INDIRECT("Table!A" &amp; $BV23):INDIRECT("Table!" &amp; $CH$110 &amp; $BV23),0)))))/1024</f>
        <v>0</v>
      </c>
      <c r="BP23" s="905">
        <f ca="1">IF(ISERROR(MATCH(BP$1,INDIRECT("Table!A"&amp;$BV23):INDIRECT("Table!" &amp; $CH$110 &amp; $BV23),0)),"",INDIRECT(CONCATENATE("Table!",ADDRESS($BZ23,MATCH(BP$1,INDIRECT("Table!A" &amp; $BV23):INDIRECT("Table!" &amp; $CH$110 &amp; $BV23),0)))))/1024</f>
        <v>0</v>
      </c>
      <c r="BR23" s="704">
        <f>MATCH($A23,Table!$A:$A,0)+$BT$2-1</f>
        <v>299</v>
      </c>
      <c r="BS23" s="744"/>
      <c r="BT23" s="744"/>
      <c r="BU23" s="744"/>
      <c r="BV23" s="717">
        <f>MATCH($A23,Table!$A:$A,0)+$BX$2-1</f>
        <v>297</v>
      </c>
      <c r="BW23" s="744"/>
      <c r="BX23" s="744"/>
      <c r="BY23" s="744"/>
      <c r="BZ23" s="704">
        <f>MATCH($A23,Table!$A:$A,0)+$CB$2-1</f>
        <v>298</v>
      </c>
      <c r="CA23" s="744"/>
      <c r="CB23" s="744"/>
      <c r="CC23" s="744"/>
      <c r="CD23" s="717">
        <f>MATCH($A23,Table!$A:$A,0)+$BX$2-1</f>
        <v>297</v>
      </c>
      <c r="CE23" s="744"/>
      <c r="CF23" s="744"/>
      <c r="CG23" s="744"/>
      <c r="CH23" s="711" t="s">
        <v>302</v>
      </c>
      <c r="CI23" s="712">
        <f t="shared" ca="1" si="0"/>
        <v>5615.3279296874989</v>
      </c>
      <c r="CJ23" s="712">
        <f t="shared" ca="1" si="85"/>
        <v>2150.4578124999998</v>
      </c>
      <c r="CK23" s="712">
        <f t="shared" ref="CK23" ca="1" si="92">CI23-CJ23</f>
        <v>3464.8701171874991</v>
      </c>
      <c r="CL23" s="718">
        <f t="shared" ref="CL23" ca="1" si="93">CJ23/CI23</f>
        <v>0.38296210647481738</v>
      </c>
      <c r="CM23" s="712">
        <f ca="1">SUMIF('Alloc Feed'!A:I,A:A,'Alloc Feed'!I:I)</f>
        <v>3672.4200791015624</v>
      </c>
      <c r="CN23" s="718">
        <f t="shared" ref="CN23" ca="1" si="94">CM23/CI23</f>
        <v>0.65399921876084233</v>
      </c>
    </row>
    <row r="24" spans="1:92" s="947" customFormat="1" x14ac:dyDescent="0.25">
      <c r="A24" s="703">
        <v>41829</v>
      </c>
      <c r="B24" s="709">
        <f ca="1">IF(ISERROR(MATCH(B$1,INDIRECT("Table!A"&amp;$BV24):INDIRECT("Table!" &amp; $CH$110 &amp; $BV24),0)),"",INDIRECT(CONCATENATE("Table!",ADDRESS($BR24,MATCH(B$1,INDIRECT("Table!A" &amp; $BV24):INDIRECT("Table!" &amp; $CH$110 &amp; $BV24),0)))))/1024</f>
        <v>100.9640625</v>
      </c>
      <c r="C24" s="709">
        <f ca="1">IF(ISERROR(MATCH(C$1,INDIRECT("Table!A"&amp;$BV24):INDIRECT("Table!" &amp; $CH$110 &amp; $BV24),0)),"",INDIRECT(CONCATENATE("Table!",ADDRESS($BR24,MATCH(C$1,INDIRECT("Table!A" &amp; $BV24):INDIRECT("Table!" &amp; $CH$110 &amp; $BV24),0)))))/1024</f>
        <v>82.715234374999994</v>
      </c>
      <c r="D24" s="709">
        <f ca="1">IF(ISERROR(MATCH(D$1,INDIRECT("Table!A"&amp;$BV24):INDIRECT("Table!" &amp; $CH$110 &amp; $BV24),0)),"",INDIRECT(CONCATENATE("Table!",ADDRESS($BR24,MATCH(D$1,INDIRECT("Table!A" &amp; $BV24):INDIRECT("Table!" &amp; $CH$110 &amp; $BV24),0)))))/1024</f>
        <v>83.407910156249997</v>
      </c>
      <c r="E24" s="709">
        <f ca="1">IF(ISERROR(MATCH(E$1,INDIRECT("Table!A"&amp;$BV24):INDIRECT("Table!" &amp; $CH$110 &amp; $BV24),0)),"",INDIRECT(CONCATENATE("Table!",ADDRESS($BR24,MATCH(E$1,INDIRECT("Table!A" &amp; $BV24):INDIRECT("Table!" &amp; $CH$110 &amp; $BV24),0)))))/1024</f>
        <v>134.81708984375001</v>
      </c>
      <c r="F24" s="709">
        <f ca="1">IF(ISERROR(MATCH(F$1,INDIRECT("Table!A"&amp;$BV24):INDIRECT("Table!" &amp; $CH$110 &amp; $BV24),0)),"",INDIRECT(CONCATENATE("Table!",ADDRESS($BR24,MATCH(F$1,INDIRECT("Table!A" &amp; $BV24):INDIRECT("Table!" &amp; $CH$110 &amp; $BV24),0)))))/1024</f>
        <v>113.59023437499999</v>
      </c>
      <c r="G24" s="709">
        <f ca="1">IF(ISERROR(MATCH(G$1,INDIRECT("Table!A"&amp;$BV24):INDIRECT("Table!" &amp; $CH$110 &amp; $BV24),0)),"",INDIRECT(CONCATENATE("Table!",ADDRESS($BR24,MATCH(G$1,INDIRECT("Table!A" &amp; $BV24):INDIRECT("Table!" &amp; $CH$110 &amp; $BV24),0)))))/1024</f>
        <v>211.53583984375001</v>
      </c>
      <c r="H24" s="709">
        <f ca="1">IF(ISERROR(MATCH(H$1,INDIRECT("Table!A"&amp;$BV24):INDIRECT("Table!" &amp; $CH$110 &amp; $BV24),0)),"",INDIRECT(CONCATENATE("Table!",ADDRESS($BR24,MATCH(H$1,INDIRECT("Table!A" &amp; $BV24):INDIRECT("Table!" &amp; $CH$110 &amp; $BV24),0)))))/1024</f>
        <v>119.978515625</v>
      </c>
      <c r="I24" s="709">
        <f ca="1">IF(ISERROR(MATCH(I$1,INDIRECT("Table!A"&amp;$BV24):INDIRECT("Table!" &amp; $CH$110 &amp; $BV24),0)),"",INDIRECT(CONCATENATE("Table!",ADDRESS($BR24,MATCH(I$1,INDIRECT("Table!A" &amp; $BV24):INDIRECT("Table!" &amp; $CH$110 &amp; $BV24),0)))))/1024</f>
        <v>25.485058593750001</v>
      </c>
      <c r="J24" s="709">
        <f ca="1">IF(ISERROR(MATCH(J$1,INDIRECT("Table!A"&amp;$BV24):INDIRECT("Table!" &amp; $CH$110 &amp; $BV24),0)),"",INDIRECT(CONCATENATE("Table!",ADDRESS($BR24,MATCH(J$1,INDIRECT("Table!A" &amp; $BV24):INDIRECT("Table!" &amp; $CH$110 &amp; $BV24),0)))))/1024</f>
        <v>82.67724609375</v>
      </c>
      <c r="K24" s="709">
        <f ca="1">IF(ISERROR(MATCH(K$1,INDIRECT("Table!A"&amp;$BV24):INDIRECT("Table!" &amp; $CH$110 &amp; $BV24),0)),"",INDIRECT(CONCATENATE("Table!",ADDRESS($BR24,MATCH(K$1,INDIRECT("Table!A" &amp; $BV24):INDIRECT("Table!" &amp; $CH$110 &amp; $BV24),0)))))/1024</f>
        <v>77.061621093750006</v>
      </c>
      <c r="L24" s="709">
        <f ca="1">IF(ISERROR(MATCH(L$1,INDIRECT("Table!A"&amp;$BV24):INDIRECT("Table!" &amp; $CH$110 &amp; $BV24),0)),"",INDIRECT(CONCATENATE("Table!",ADDRESS($BR24,MATCH(L$1,INDIRECT("Table!A" &amp; $BV24):INDIRECT("Table!" &amp; $CH$110 &amp; $BV24),0)))))/1024</f>
        <v>132.40087890625</v>
      </c>
      <c r="M24" s="709">
        <f ca="1">IF(ISERROR(MATCH(M$1,INDIRECT("Table!A"&amp;$BV24):INDIRECT("Table!" &amp; $CH$110 &amp; $BV24),0)),"",INDIRECT(CONCATENATE("Table!",ADDRESS($BR24,MATCH(M$1,INDIRECT("Table!A" &amp; $BV24):INDIRECT("Table!" &amp; $CH$110 &amp; $BV24),0)))))/1024</f>
        <v>207.63330078125</v>
      </c>
      <c r="N24" s="709">
        <f ca="1">IF(ISERROR(MATCH(N$1,INDIRECT("Table!A"&amp;$BV24):INDIRECT("Table!" &amp; $CH$110 &amp; $BV24),0)),"",INDIRECT(CONCATENATE("Table!",ADDRESS($BR24,MATCH(N$1,INDIRECT("Table!A" &amp; $BV24):INDIRECT("Table!" &amp; $CH$110 &amp; $BV24),0)))))/1024</f>
        <v>57.319921874999999</v>
      </c>
      <c r="O24" s="709">
        <f ca="1">IF(ISERROR(MATCH(O$1,INDIRECT("Table!A"&amp;$BV24):INDIRECT("Table!" &amp; $CH$110 &amp; $BV24),0)),"",INDIRECT(CONCATENATE("Table!",ADDRESS($BR24,MATCH(O$1,INDIRECT("Table!A" &amp; $BV24):INDIRECT("Table!" &amp; $CH$110 &amp; $BV24),0)))))/1024</f>
        <v>222.04287109374999</v>
      </c>
      <c r="P24" s="709">
        <f ca="1">IF(ISERROR(MATCH(P$1,INDIRECT("Table!A"&amp;$BV24):INDIRECT("Table!" &amp; $CH$110 &amp; $BV24),0)),"",INDIRECT(CONCATENATE("Table!",ADDRESS($BR24,MATCH(P$1,INDIRECT("Table!A" &amp; $BV24):INDIRECT("Table!" &amp; $CH$110 &amp; $BV24),0)))))/1024</f>
        <v>49.29443359375</v>
      </c>
      <c r="Q24" s="709">
        <f ca="1">IF(ISERROR(MATCH(Q$1,INDIRECT("Table!A"&amp;$BV24):INDIRECT("Table!" &amp; $CH$110 &amp; $BV24),0)),"",INDIRECT(CONCATENATE("Table!",ADDRESS($BR24,MATCH(Q$1,INDIRECT("Table!A" &amp; $BV24):INDIRECT("Table!" &amp; $CH$110 &amp; $BV24),0)))))/1024</f>
        <v>130.98310546875001</v>
      </c>
      <c r="R24" s="709">
        <f ca="1">IF(ISERROR(MATCH(R$1,INDIRECT("Table!A"&amp;$BV24):INDIRECT("Table!" &amp; $CH$110 &amp; $BV24),0)),"",INDIRECT(CONCATENATE("Table!",ADDRESS($BR24,MATCH(R$1,INDIRECT("Table!A" &amp; $BV24):INDIRECT("Table!" &amp; $CH$110 &amp; $BV24),0)))))/1024</f>
        <v>170.73984375000001</v>
      </c>
      <c r="S24" s="709">
        <v>0</v>
      </c>
      <c r="T24" s="709">
        <f ca="1">IF(ISERROR(MATCH(T$1,INDIRECT("Table!A"&amp;$BV24):INDIRECT("Table!" &amp; $CH$65 &amp; $BV24),0)),"",INDIRECT(CONCATENATE("Table!",ADDRESS($BR24,MATCH(T$1,INDIRECT("Table!A" &amp; $BV24):INDIRECT("Table!" &amp; $CH$65 &amp; $BV24),0)))))/1024</f>
        <v>9.9869140625000004</v>
      </c>
      <c r="U24" s="709">
        <f ca="1">IF(ISERROR(MATCH(U$1,INDIRECT("Table!A"&amp;$BV24):INDIRECT("Table!" &amp; $CH$65 &amp; $BV24),0)),"",INDIRECT(CONCATENATE("Table!",ADDRESS($BR24,MATCH(U$1,INDIRECT("Table!A" &amp; $BV24):INDIRECT("Table!" &amp; $CH$65 &amp; $BV24),0)))))/1024</f>
        <v>14.553125</v>
      </c>
      <c r="V24" s="709">
        <f ca="1">IF(ISERROR(MATCH(V$1,INDIRECT("Table!A"&amp;$BV24):INDIRECT("Table!" &amp; $CH$65 &amp; $BV24),0)),"",INDIRECT(CONCATENATE("Table!",ADDRESS($BR24,MATCH(V$1,INDIRECT("Table!A" &amp; $BV24):INDIRECT("Table!" &amp; $CH$65 &amp; $BV24),0)))))/1024</f>
        <v>29.106054687499999</v>
      </c>
      <c r="W24" s="709">
        <f ca="1">IF(ISERROR(MATCH(W$1,INDIRECT("Table!A"&amp;$BV24):INDIRECT("Table!" &amp; $CH$65 &amp; $BV24),0)),"",INDIRECT(CONCATENATE("Table!",ADDRESS($BR24,MATCH(W$1,INDIRECT("Table!A" &amp; $BV24):INDIRECT("Table!" &amp; $CH$65 &amp; $BV24),0)))))/1024</f>
        <v>15.40927734375</v>
      </c>
      <c r="X24" s="709">
        <f ca="1">IF(ISERROR(MATCH(X$1,INDIRECT("Table!A"&amp;$BV24):INDIRECT("Table!" &amp; $CH$65 &amp; $BV24),0)),"",INDIRECT(CONCATENATE("Table!",ADDRESS($BR24,MATCH(X$1,INDIRECT("Table!A" &amp; $BV24):INDIRECT("Table!" &amp; $CH$65 &amp; $BV24),0)))))/1024</f>
        <v>30.743359375000001</v>
      </c>
      <c r="Y24" s="709">
        <f ca="1">IF(ISERROR(MATCH(Y$1,INDIRECT("Table!A"&amp;$BV24):INDIRECT("Table!" &amp; $CH$65 &amp; $BV24),0)),"",INDIRECT(CONCATENATE("Table!",ADDRESS($BR24,MATCH(Y$1,INDIRECT("Table!A" &amp; $BV24):INDIRECT("Table!" &amp; $CH$65 &amp; $BV24),0)))))/1024</f>
        <v>3.0273437500000001E-3</v>
      </c>
      <c r="Z24" s="709">
        <f ca="1">IF(ISERROR(MATCH(Z$1,INDIRECT("Table!A"&amp;$BV24):INDIRECT("Table!" &amp; $CH$65 &amp; $BV24),0)),"",INDIRECT(CONCATENATE("Table!",ADDRESS($BR24,MATCH(Z$1,INDIRECT("Table!A" &amp; $BV24):INDIRECT("Table!" &amp; $CH$65 &amp; $BV24),0)))))/1024</f>
        <v>5.859375E-3</v>
      </c>
      <c r="AA24" s="709">
        <f ca="1">IF(ISERROR(MATCH(AA$1,INDIRECT("Table!A"&amp;$BV24):INDIRECT("Table!" &amp; $CH$65 &amp; $BV24),0)),"",INDIRECT(CONCATENATE("Table!",ADDRESS($BR24,MATCH(AA$1,INDIRECT("Table!A" &amp; $BV24):INDIRECT("Table!" &amp; $CH$65 &amp; $BV24),0)))))/1024</f>
        <v>22.861035156250001</v>
      </c>
      <c r="AB24" s="709">
        <f ca="1">IF(ISERROR(MATCH(AB$1,INDIRECT("Table!A"&amp;$BV24):INDIRECT("Table!" &amp; $CH$65 &amp; $BV24),0)),"",INDIRECT(CONCATENATE("Table!",ADDRESS($BR24,MATCH(AB$1,INDIRECT("Table!A" &amp; $BV24):INDIRECT("Table!" &amp; $CH$65 &amp; $BV24),0)))))/1024</f>
        <v>4.7851562500000003E-3</v>
      </c>
      <c r="AC24" s="709">
        <f ca="1">IF(ISERROR(MATCH(AC$1,INDIRECT("Table!A"&amp;$BV24):INDIRECT("Table!" &amp; $CH$65 &amp; $BV24),0)),"",INDIRECT(CONCATENATE("Table!",ADDRESS($BR24,MATCH(AC$1,INDIRECT("Table!A" &amp; $BV24):INDIRECT("Table!" &amp; $CH$65 &amp; $BV24),0)))))/1024</f>
        <v>4.7851562500000003E-3</v>
      </c>
      <c r="AD24" s="709">
        <f ca="1">IF(ISERROR(MATCH(AD$1,INDIRECT("Table!A"&amp;$BV24):INDIRECT("Table!" &amp; $CH$65 &amp; $BV24),0)),"",INDIRECT(CONCATENATE("Table!",ADDRESS($BR24,MATCH(AD$1,INDIRECT("Table!A" &amp; $BV24):INDIRECT("Table!" &amp; $CH$65 &amp; $BV24),0)))))/1024</f>
        <v>0.28496093750000001</v>
      </c>
      <c r="AE24" s="709">
        <f ca="1">IF(ISERROR(MATCH(AE$1,INDIRECT("Table!A"&amp;$BV24):INDIRECT("Table!" &amp; $CH$65 &amp; $BV24),0)),"",INDIRECT(CONCATENATE("Table!",ADDRESS($BR24,MATCH(AE$1,INDIRECT("Table!A" &amp; $BV24):INDIRECT("Table!" &amp; $CH$65 &amp; $BV24),0)))))/1024</f>
        <v>0.56386718749999998</v>
      </c>
      <c r="AF24" s="709">
        <f ca="1">IF(ISERROR(MATCH(AF$1,INDIRECT("Table!A"&amp;$BV24):INDIRECT("Table!" &amp; $CH$65 &amp; $BV24),0)),"",INDIRECT(CONCATENATE("Table!",ADDRESS($BR24,MATCH(AF$1,INDIRECT("Table!A" &amp; $BV24):INDIRECT("Table!" &amp; $CH$65 &amp; $BV24),0)))))/1024</f>
        <v>0.56386718749999998</v>
      </c>
      <c r="AG24" s="709">
        <f ca="1">IF(ISERROR(MATCH(AG$1,INDIRECT("Table!A"&amp;$BV24):INDIRECT("Table!" &amp; $CH$65 &amp; $BV24),0)),"",INDIRECT(CONCATENATE("Table!",ADDRESS($BR24,MATCH(AG$1,INDIRECT("Table!A" &amp; $BV24):INDIRECT("Table!" &amp; $CH$65 &amp; $BV24),0)))))/1024</f>
        <v>0</v>
      </c>
      <c r="AH24" s="709">
        <f ca="1">IF(ISERROR(MATCH(AH$1,INDIRECT("Table!A"&amp;$BV24):INDIRECT("Table!" &amp; $CH$65 &amp; $BV24),0)),"",INDIRECT(CONCATENATE("Table!",ADDRESS($BR24,MATCH(AH$1,INDIRECT("Table!A" &amp; $BV24):INDIRECT("Table!" &amp; $CH$65 &amp; $BV24),0)))))/1024</f>
        <v>0</v>
      </c>
      <c r="AI24" s="709" t="str">
        <f ca="1">IF(ISERROR(MATCH(AI$1,INDIRECT("Table!A"&amp;$BV24):INDIRECT("Table!" &amp; $CH$110 &amp; $BV24),0)),"",INDIRECT(CONCATENATE("Table!",ADDRESS($BR24,MATCH(AI$1,INDIRECT("Table!A" &amp; $BV24):INDIRECT("Table!" &amp; $CH$110 &amp; $BV24),0)))))</f>
        <v/>
      </c>
      <c r="AJ24" s="709">
        <f ca="1">IF(ISERROR(MATCH(AJ$1,INDIRECT("Table!A"&amp;$BV24):INDIRECT("Table!" &amp; $CH$110 &amp; $BV24),0)),"",INDIRECT(CONCATENATE("Table!",ADDRESS($BZ24,MATCH(AJ$1,INDIRECT("Table!A" &amp; $BV24):INDIRECT("Table!" &amp; $CH$110 &amp; $BV24),0)))))/1024</f>
        <v>244.15859374999999</v>
      </c>
      <c r="AK24" s="709">
        <f ca="1">IF(ISERROR(MATCH(AK$1,INDIRECT("Table!A"&amp;$BV24):INDIRECT("Table!" &amp; $CH$110 &amp; $BV24),0)),"",INDIRECT(CONCATENATE("Table!",ADDRESS($BZ24,MATCH(AK$1,INDIRECT("Table!A" &amp; $BV24):INDIRECT("Table!" &amp; $CH$110 &amp; $BV24),0)))))/1024</f>
        <v>146.98896484375001</v>
      </c>
      <c r="AL24" s="709">
        <f ca="1">IF(ISERROR(MATCH(AL$1,INDIRECT("Table!A"&amp;$BV24):INDIRECT("Table!" &amp; $CH$110 &amp; $BV24),0)),"",INDIRECT(CONCATENATE("Table!",ADDRESS($BZ24,MATCH(AL$1,INDIRECT("Table!A" &amp; $BV24):INDIRECT("Table!" &amp; $CH$110 &amp; $BV24),0)))))/1024</f>
        <v>146.98896484375001</v>
      </c>
      <c r="AM24" s="709">
        <f ca="1">IF(ISERROR(MATCH(AM$1,INDIRECT("Table!A"&amp;$BV24):INDIRECT("Table!" &amp; $CH$110 &amp; $BV24),0)),"",INDIRECT(CONCATENATE("Table!",ADDRESS($BZ24,MATCH(AM$1,INDIRECT("Table!A" &amp; $BV24):INDIRECT("Table!" &amp; $CH$110 &amp; $BV24),0)))))/1024</f>
        <v>177.73320312499999</v>
      </c>
      <c r="AN24" s="709">
        <f ca="1">IF(ISERROR(MATCH(AN$1,INDIRECT("Table!A"&amp;$BV24):INDIRECT("Table!" &amp; $CH$110 &amp; $BV24),0)),"",INDIRECT(CONCATENATE("Table!",ADDRESS($BZ24,MATCH(AN$1,INDIRECT("Table!A" &amp; $BV24):INDIRECT("Table!" &amp; $CH$110 &amp; $BV24),0)))))/1024</f>
        <v>161.88056640625001</v>
      </c>
      <c r="AO24" s="709">
        <f ca="1">IF(ISERROR(MATCH(AO$1,INDIRECT("Table!A"&amp;$BV24):INDIRECT("Table!" &amp; $CH$110 &amp; $BV24),0)),"",INDIRECT(CONCATENATE("Table!",ADDRESS($BZ24,MATCH(AO$1,INDIRECT("Table!A" &amp; $BV24):INDIRECT("Table!" &amp; $CH$110 &amp; $BV24),0)))))/1024</f>
        <v>380.3759765625</v>
      </c>
      <c r="AP24" s="709">
        <f ca="1">IF(ISERROR(MATCH(AP$1,INDIRECT("Table!A"&amp;$BV24):INDIRECT("Table!" &amp; $CH$110 &amp; $BV24),0)),"",INDIRECT(CONCATENATE("Table!",ADDRESS($BZ24,MATCH(AP$1,INDIRECT("Table!A" &amp; $BV24):INDIRECT("Table!" &amp; $CH$110 &amp; $BV24),0)))))/1024</f>
        <v>167.94482421875</v>
      </c>
      <c r="AQ24" s="709">
        <f ca="1">IF(ISERROR(MATCH(AQ$1,INDIRECT("Table!A"&amp;$BV24):INDIRECT("Table!" &amp; $CH$110 &amp; $BV24),0)),"",INDIRECT(CONCATENATE("Table!",ADDRESS($BZ24,MATCH(AQ$1,INDIRECT("Table!A" &amp; $BV24):INDIRECT("Table!" &amp; $CH$110 &amp; $BV24),0)))))/1024</f>
        <v>162.185546875</v>
      </c>
      <c r="AR24" s="709">
        <f ca="1">IF(ISERROR(MATCH(AR$1,INDIRECT("Table!A"&amp;$BV24):INDIRECT("Table!" &amp; $CH$110 &amp; $BV24),0)),"",INDIRECT(CONCATENATE("Table!",ADDRESS($BZ24,MATCH(AR$1,INDIRECT("Table!A" &amp; $BV24):INDIRECT("Table!" &amp; $CH$110 &amp; $BV24),0)))))/1024</f>
        <v>121.1125</v>
      </c>
      <c r="AS24" s="709">
        <f ca="1">IF(ISERROR(MATCH(AS$1,INDIRECT("Table!A"&amp;$BV24):INDIRECT("Table!" &amp; $CH$110 &amp; $BV24),0)),"",INDIRECT(CONCATENATE("Table!",ADDRESS($BZ24,MATCH(AS$1,INDIRECT("Table!A" &amp; $BV24):INDIRECT("Table!" &amp; $CH$110 &amp; $BV24),0)))))/1024</f>
        <v>218.81953125000001</v>
      </c>
      <c r="AT24" s="709">
        <f ca="1">IF(ISERROR(MATCH(AT$1,INDIRECT("Table!A"&amp;$BV24):INDIRECT("Table!" &amp; $CH$110 &amp; $BV24),0)),"",INDIRECT(CONCATENATE("Table!",ADDRESS($BZ24,MATCH(AT$1,INDIRECT("Table!A" &amp; $BV24):INDIRECT("Table!" &amp; $CH$110 &amp; $BV24),0)))))/1024</f>
        <v>188.50498046875001</v>
      </c>
      <c r="AU24" s="709">
        <f ca="1">IF(ISERROR(MATCH(AU$1,INDIRECT("Table!A"&amp;$BV24):INDIRECT("Table!" &amp; $CH$110 &amp; $BV24),0)),"",INDIRECT(CONCATENATE("Table!",ADDRESS($BZ24,MATCH(AU$1,INDIRECT("Table!A" &amp; $BV24):INDIRECT("Table!" &amp; $CH$110 &amp; $BV24),0)))))/1024</f>
        <v>427.94912109375002</v>
      </c>
      <c r="AV24" s="709">
        <f ca="1">IF(ISERROR(MATCH(AV$1,INDIRECT("Table!A"&amp;$BV24):INDIRECT("Table!" &amp; $CH$110 &amp; $BV24),0)),"",INDIRECT(CONCATENATE("Table!",ADDRESS($BZ24,MATCH(AV$1,INDIRECT("Table!A" &amp; $BV24):INDIRECT("Table!" &amp; $CH$110 &amp; $BV24),0)))))/1024</f>
        <v>81.092578125000003</v>
      </c>
      <c r="AW24" s="709">
        <f ca="1">IF(ISERROR(MATCH(AW$1,INDIRECT("Table!A"&amp;$BV24):INDIRECT("Table!" &amp; $CH$110 &amp; $BV24),0)),"",INDIRECT(CONCATENATE("Table!",ADDRESS($BZ24,MATCH(AW$1,INDIRECT("Table!A" &amp; $BV24):INDIRECT("Table!" &amp; $CH$110 &amp; $BV24),0)))))/1024</f>
        <v>269.65859375000002</v>
      </c>
      <c r="AX24" s="709">
        <f ca="1">IF(ISERROR(MATCH(AX$1,INDIRECT("Table!A"&amp;$BV24):INDIRECT("Table!" &amp; $CH$110 &amp; $BV24),0)),"",INDIRECT(CONCATENATE("Table!",ADDRESS($BZ24,MATCH(AX$1,INDIRECT("Table!A" &amp; $BV24):INDIRECT("Table!" &amp; $CH$110 &amp; $BV24),0)))))/1024</f>
        <v>81.092578125000003</v>
      </c>
      <c r="AY24" s="709">
        <f ca="1">IF(ISERROR(MATCH(AY$1,INDIRECT("Table!A"&amp;$BV24):INDIRECT("Table!" &amp; $CH$110 &amp; $BV24),0)),"",INDIRECT(CONCATENATE("Table!",ADDRESS($BZ24,MATCH(AY$1,INDIRECT("Table!A" &amp; $BV24):INDIRECT("Table!" &amp; $CH$110 &amp; $BV24),0)))))/1024</f>
        <v>187.12714843750001</v>
      </c>
      <c r="AZ24" s="709">
        <f ca="1">IF(ISERROR(MATCH(AZ$1,INDIRECT("Table!A"&amp;$BV24):INDIRECT("Table!" &amp; $CH$110 &amp; $BV24),0)),"",INDIRECT(CONCATENATE("Table!",ADDRESS($BZ24,MATCH(AZ$1,INDIRECT("Table!A" &amp; $BV24):INDIRECT("Table!" &amp; $CH$110 &amp; $BV24),0)))))/1024</f>
        <v>256.14150390625002</v>
      </c>
      <c r="BA24" s="709"/>
      <c r="BB24" s="709">
        <f ca="1">IF(ISERROR(MATCH(BB$1,INDIRECT("Table!A"&amp;$BV24):INDIRECT("Table!" &amp; $CH$110 &amp; $BV24),0)),"",INDIRECT(CONCATENATE("Table!",ADDRESS($BZ24,MATCH(BB$1,INDIRECT("Table!A" &amp; $BV24):INDIRECT("Table!" &amp; $CH$110 &amp; $BV24),0)))))/1024</f>
        <v>32.31494140625</v>
      </c>
      <c r="BC24" s="709">
        <f ca="1">IF(ISERROR(MATCH(BC$1,INDIRECT("Table!A"&amp;$BV24):INDIRECT("Table!" &amp; $CH$110 &amp; $BV24),0)),"",INDIRECT(CONCATENATE("Table!",ADDRESS($BZ24,MATCH(BC$1,INDIRECT("Table!A" &amp; $BV24):INDIRECT("Table!" &amp; $CH$110 &amp; $BV24),0)))))/1024</f>
        <v>99.80126953125</v>
      </c>
      <c r="BD24" s="709">
        <f ca="1">IF(ISERROR(MATCH(BD$1,INDIRECT("Table!A"&amp;$BV24):INDIRECT("Table!" &amp; $CH$110 &amp; $BV24),0)),"",INDIRECT(CONCATENATE("Table!",ADDRESS($BZ24,MATCH(BD$1,INDIRECT("Table!A" &amp; $BV24):INDIRECT("Table!" &amp; $CH$110 &amp; $BV24),0)))))/1024</f>
        <v>204.58642578125</v>
      </c>
      <c r="BE24" s="905">
        <f ca="1">IF(ISERROR(MATCH(BE$1,INDIRECT("Table!A"&amp;$BV24):INDIRECT("Table!" &amp; $CH$110 &amp; $BV24),0)),"",INDIRECT(CONCATENATE("Table!",ADDRESS($BZ24,MATCH(BE$1,INDIRECT("Table!A" &amp; $BV24):INDIRECT("Table!" &amp; $CH$110 &amp; $BV24),0)))))/1024</f>
        <v>99.80126953125</v>
      </c>
      <c r="BF24" s="905">
        <f ca="1">IF(ISERROR(MATCH(BF$1,INDIRECT("Table!A"&amp;$BV24):INDIRECT("Table!" &amp; $CH$110 &amp; $BV24),0)),"",INDIRECT(CONCATENATE("Table!",ADDRESS($BZ24,MATCH(BF$1,INDIRECT("Table!A" &amp; $BV24):INDIRECT("Table!" &amp; $CH$110 &amp; $BV24),0)))))/1024</f>
        <v>204.58642578125</v>
      </c>
      <c r="BG24" s="905">
        <f ca="1">IF(ISERROR(MATCH(BG$1,INDIRECT("Table!A"&amp;$BV24):INDIRECT("Table!" &amp; $CH$110 &amp; $BV24),0)),"",INDIRECT(CONCATENATE("Table!",ADDRESS($BZ24,MATCH(BG$1,INDIRECT("Table!A" &amp; $BV24):INDIRECT("Table!" &amp; $CH$110 &amp; $BV24),0)))))/1024</f>
        <v>99.80126953125</v>
      </c>
      <c r="BH24" s="905">
        <f ca="1">IF(ISERROR(MATCH(BH$1,INDIRECT("Table!A"&amp;$BV24):INDIRECT("Table!" &amp; $CH$110 &amp; $BV24),0)),"",INDIRECT(CONCATENATE("Table!",ADDRESS($BZ24,MATCH(BH$1,INDIRECT("Table!A" &amp; $BV24):INDIRECT("Table!" &amp; $CH$110 &amp; $BV24),0)))))/1024</f>
        <v>204.58642578125</v>
      </c>
      <c r="BI24" s="905">
        <f ca="1">IF(ISERROR(MATCH(BI$1,INDIRECT("Table!A"&amp;$BV24):INDIRECT("Table!" &amp; $CH$110 &amp; $BV24),0)),"",INDIRECT(CONCATENATE("Table!",ADDRESS($BZ24,MATCH(BI$1,INDIRECT("Table!A" &amp; $BV24):INDIRECT("Table!" &amp; $CH$110 &amp; $BV24),0)))))/1024</f>
        <v>320.99140625000001</v>
      </c>
      <c r="BJ24" s="905">
        <f ca="1">IF(ISERROR(MATCH(BJ$1,INDIRECT("Table!A"&amp;$BV24):INDIRECT("Table!" &amp; $CH$110 &amp; $BV24),0)),"",INDIRECT(CONCATENATE("Table!",ADDRESS($BZ24,MATCH(BJ$1,INDIRECT("Table!A" &amp; $BV24):INDIRECT("Table!" &amp; $CH$110 &amp; $BV24),0)))))/1024</f>
        <v>186.39765625000001</v>
      </c>
      <c r="BK24" s="905">
        <f ca="1">IF(ISERROR(MATCH(BK$1,INDIRECT("Table!A"&amp;$BV24):INDIRECT("Table!" &amp; $CH$110 &amp; $BV24),0)),"",INDIRECT(CONCATENATE("Table!",ADDRESS($BZ24,MATCH(BK$1,INDIRECT("Table!A" &amp; $BV24):INDIRECT("Table!" &amp; $CH$110 &amp; $BV24),0)))))/1024</f>
        <v>218.81953125000001</v>
      </c>
      <c r="BL24" s="905">
        <f ca="1">IF(ISERROR(MATCH(BL$1,INDIRECT("Table!A"&amp;$BV24):INDIRECT("Table!" &amp; $CH$110 &amp; $BV24),0)),"",INDIRECT(CONCATENATE("Table!",ADDRESS($BZ24,MATCH(BL$1,INDIRECT("Table!A" &amp; $BV24):INDIRECT("Table!" &amp; $CH$110 &amp; $BV24),0)))))/1024</f>
        <v>218.81953125000001</v>
      </c>
      <c r="BM24" s="905">
        <f ca="1">IF(ISERROR(MATCH(BM$1,INDIRECT("Table!A"&amp;$BV24):INDIRECT("Table!" &amp; $CH$110 &amp; $BV24),0)),"",INDIRECT(CONCATENATE("Table!",ADDRESS($BZ24,MATCH(BM$1,INDIRECT("Table!A" &amp; $BV24):INDIRECT("Table!" &amp; $CH$110 &amp; $BV24),0)))))/1024</f>
        <v>152.53330078125001</v>
      </c>
      <c r="BN24" s="905">
        <f ca="1">IF(ISERROR(MATCH(BN$1,INDIRECT("Table!A"&amp;$BV24):INDIRECT("Table!" &amp; $CH$110 &amp; $BV24),0)),"",INDIRECT(CONCATENATE("Table!",ADDRESS($BZ24,MATCH(BN$1,INDIRECT("Table!A" &amp; $BV24):INDIRECT("Table!" &amp; $CH$110 &amp; $BV24),0)))))/1024</f>
        <v>152.53330078125001</v>
      </c>
      <c r="BO24" s="905">
        <f ca="1">IF(ISERROR(MATCH(BO$1,INDIRECT("Table!A"&amp;$BV24):INDIRECT("Table!" &amp; $CH$110 &amp; $BV24),0)),"",INDIRECT(CONCATENATE("Table!",ADDRESS($BZ24,MATCH(BO$1,INDIRECT("Table!A" &amp; $BV24):INDIRECT("Table!" &amp; $CH$110 &amp; $BV24),0)))))/1024</f>
        <v>0</v>
      </c>
      <c r="BP24" s="905">
        <f ca="1">IF(ISERROR(MATCH(BP$1,INDIRECT("Table!A"&amp;$BV24):INDIRECT("Table!" &amp; $CH$110 &amp; $BV24),0)),"",INDIRECT(CONCATENATE("Table!",ADDRESS($BZ24,MATCH(BP$1,INDIRECT("Table!A" &amp; $BV24):INDIRECT("Table!" &amp; $CH$110 &amp; $BV24),0)))))/1024</f>
        <v>0</v>
      </c>
      <c r="BR24" s="704">
        <f>MATCH($A24,Table!$A:$A,0)+$BT$2-1</f>
        <v>313</v>
      </c>
      <c r="BS24" s="744"/>
      <c r="BT24" s="744"/>
      <c r="BU24" s="744"/>
      <c r="BV24" s="717">
        <f>MATCH($A24,Table!$A:$A,0)+$BX$2-1</f>
        <v>311</v>
      </c>
      <c r="BW24" s="744"/>
      <c r="BX24" s="744"/>
      <c r="BY24" s="744"/>
      <c r="BZ24" s="704">
        <f>MATCH($A24,Table!$A:$A,0)+$CB$2-1</f>
        <v>312</v>
      </c>
      <c r="CA24" s="744"/>
      <c r="CB24" s="744"/>
      <c r="CC24" s="744"/>
      <c r="CD24" s="717">
        <f>MATCH($A24,Table!$A:$A,0)+$BX$2-1</f>
        <v>311</v>
      </c>
      <c r="CE24" s="744"/>
      <c r="CF24" s="744"/>
      <c r="CG24" s="744"/>
      <c r="CH24" s="711" t="s">
        <v>302</v>
      </c>
      <c r="CI24" s="712">
        <f t="shared" ca="1" si="0"/>
        <v>5615.3279296874989</v>
      </c>
      <c r="CJ24" s="712">
        <f t="shared" ca="1" si="85"/>
        <v>2126.7380859375003</v>
      </c>
      <c r="CK24" s="712">
        <f t="shared" ref="CK24" ca="1" si="95">CI24-CJ24</f>
        <v>3488.5898437499986</v>
      </c>
      <c r="CL24" s="718">
        <f t="shared" ref="CL24" ca="1" si="96">CJ24/CI24</f>
        <v>0.37873800293901205</v>
      </c>
      <c r="CM24" s="712">
        <f ca="1">SUMIF('Alloc Feed'!A:I,A:A,'Alloc Feed'!I:I)</f>
        <v>3661.6859560546868</v>
      </c>
      <c r="CN24" s="718">
        <f t="shared" ref="CN24" ca="1" si="97">CM24/CI24</f>
        <v>0.65208764330500368</v>
      </c>
    </row>
    <row r="25" spans="1:92" s="947" customFormat="1" x14ac:dyDescent="0.25">
      <c r="A25" s="703">
        <v>41822</v>
      </c>
      <c r="B25" s="709">
        <f ca="1">IF(ISERROR(MATCH(B$1,INDIRECT("Table!A"&amp;$BV25):INDIRECT("Table!" &amp; $CH$110 &amp; $BV25),0)),"",INDIRECT(CONCATENATE("Table!",ADDRESS($BR25,MATCH(B$1,INDIRECT("Table!A" &amp; $BV25):INDIRECT("Table!" &amp; $CH$110 &amp; $BV25),0)))))/1024</f>
        <v>100.9640625</v>
      </c>
      <c r="C25" s="709">
        <f ca="1">IF(ISERROR(MATCH(C$1,INDIRECT("Table!A"&amp;$BV25):INDIRECT("Table!" &amp; $CH$110 &amp; $BV25),0)),"",INDIRECT(CONCATENATE("Table!",ADDRESS($BR25,MATCH(C$1,INDIRECT("Table!A" &amp; $BV25):INDIRECT("Table!" &amp; $CH$110 &amp; $BV25),0)))))/1024</f>
        <v>82.715234374999994</v>
      </c>
      <c r="D25" s="709">
        <f ca="1">IF(ISERROR(MATCH(D$1,INDIRECT("Table!A"&amp;$BV25):INDIRECT("Table!" &amp; $CH$110 &amp; $BV25),0)),"",INDIRECT(CONCATENATE("Table!",ADDRESS($BR25,MATCH(D$1,INDIRECT("Table!A" &amp; $BV25):INDIRECT("Table!" &amp; $CH$110 &amp; $BV25),0)))))/1024</f>
        <v>83.407910156249997</v>
      </c>
      <c r="E25" s="709">
        <f ca="1">IF(ISERROR(MATCH(E$1,INDIRECT("Table!A"&amp;$BV25):INDIRECT("Table!" &amp; $CH$110 &amp; $BV25),0)),"",INDIRECT(CONCATENATE("Table!",ADDRESS($BR25,MATCH(E$1,INDIRECT("Table!A" &amp; $BV25):INDIRECT("Table!" &amp; $CH$110 &amp; $BV25),0)))))/1024</f>
        <v>134.81708984375001</v>
      </c>
      <c r="F25" s="709">
        <f ca="1">IF(ISERROR(MATCH(F$1,INDIRECT("Table!A"&amp;$BV25):INDIRECT("Table!" &amp; $CH$110 &amp; $BV25),0)),"",INDIRECT(CONCATENATE("Table!",ADDRESS($BR25,MATCH(F$1,INDIRECT("Table!A" &amp; $BV25):INDIRECT("Table!" &amp; $CH$110 &amp; $BV25),0)))))/1024</f>
        <v>113.59023437499999</v>
      </c>
      <c r="G25" s="709">
        <f ca="1">IF(ISERROR(MATCH(G$1,INDIRECT("Table!A"&amp;$BV25):INDIRECT("Table!" &amp; $CH$110 &amp; $BV25),0)),"",INDIRECT(CONCATENATE("Table!",ADDRESS($BR25,MATCH(G$1,INDIRECT("Table!A" &amp; $BV25):INDIRECT("Table!" &amp; $CH$110 &amp; $BV25),0)))))/1024</f>
        <v>211.53583984375001</v>
      </c>
      <c r="H25" s="709">
        <f ca="1">IF(ISERROR(MATCH(H$1,INDIRECT("Table!A"&amp;$BV25):INDIRECT("Table!" &amp; $CH$110 &amp; $BV25),0)),"",INDIRECT(CONCATENATE("Table!",ADDRESS($BR25,MATCH(H$1,INDIRECT("Table!A" &amp; $BV25):INDIRECT("Table!" &amp; $CH$110 &amp; $BV25),0)))))/1024</f>
        <v>119.978515625</v>
      </c>
      <c r="I25" s="709">
        <f ca="1">IF(ISERROR(MATCH(I$1,INDIRECT("Table!A"&amp;$BV25):INDIRECT("Table!" &amp; $CH$110 &amp; $BV25),0)),"",INDIRECT(CONCATENATE("Table!",ADDRESS($BR25,MATCH(I$1,INDIRECT("Table!A" &amp; $BV25):INDIRECT("Table!" &amp; $CH$110 &amp; $BV25),0)))))/1024</f>
        <v>25.485058593750001</v>
      </c>
      <c r="J25" s="709">
        <f ca="1">IF(ISERROR(MATCH(J$1,INDIRECT("Table!A"&amp;$BV25):INDIRECT("Table!" &amp; $CH$110 &amp; $BV25),0)),"",INDIRECT(CONCATENATE("Table!",ADDRESS($BR25,MATCH(J$1,INDIRECT("Table!A" &amp; $BV25):INDIRECT("Table!" &amp; $CH$110 &amp; $BV25),0)))))/1024</f>
        <v>82.67724609375</v>
      </c>
      <c r="K25" s="709">
        <f ca="1">IF(ISERROR(MATCH(K$1,INDIRECT("Table!A"&amp;$BV25):INDIRECT("Table!" &amp; $CH$110 &amp; $BV25),0)),"",INDIRECT(CONCATENATE("Table!",ADDRESS($BR25,MATCH(K$1,INDIRECT("Table!A" &amp; $BV25):INDIRECT("Table!" &amp; $CH$110 &amp; $BV25),0)))))/1024</f>
        <v>77.061621093750006</v>
      </c>
      <c r="L25" s="709">
        <f ca="1">IF(ISERROR(MATCH(L$1,INDIRECT("Table!A"&amp;$BV25):INDIRECT("Table!" &amp; $CH$110 &amp; $BV25),0)),"",INDIRECT(CONCATENATE("Table!",ADDRESS($BR25,MATCH(L$1,INDIRECT("Table!A" &amp; $BV25):INDIRECT("Table!" &amp; $CH$110 &amp; $BV25),0)))))/1024</f>
        <v>132.40087890625</v>
      </c>
      <c r="M25" s="709">
        <f ca="1">IF(ISERROR(MATCH(M$1,INDIRECT("Table!A"&amp;$BV25):INDIRECT("Table!" &amp; $CH$110 &amp; $BV25),0)),"",INDIRECT(CONCATENATE("Table!",ADDRESS($BR25,MATCH(M$1,INDIRECT("Table!A" &amp; $BV25):INDIRECT("Table!" &amp; $CH$110 &amp; $BV25),0)))))/1024</f>
        <v>207.63330078125</v>
      </c>
      <c r="N25" s="709">
        <f ca="1">IF(ISERROR(MATCH(N$1,INDIRECT("Table!A"&amp;$BV25):INDIRECT("Table!" &amp; $CH$110 &amp; $BV25),0)),"",INDIRECT(CONCATENATE("Table!",ADDRESS($BR25,MATCH(N$1,INDIRECT("Table!A" &amp; $BV25):INDIRECT("Table!" &amp; $CH$110 &amp; $BV25),0)))))/1024</f>
        <v>57.319921874999999</v>
      </c>
      <c r="O25" s="709">
        <f ca="1">IF(ISERROR(MATCH(O$1,INDIRECT("Table!A"&amp;$BV25):INDIRECT("Table!" &amp; $CH$110 &amp; $BV25),0)),"",INDIRECT(CONCATENATE("Table!",ADDRESS($BR25,MATCH(O$1,INDIRECT("Table!A" &amp; $BV25):INDIRECT("Table!" &amp; $CH$110 &amp; $BV25),0)))))/1024</f>
        <v>222.04287109374999</v>
      </c>
      <c r="P25" s="709">
        <f ca="1">IF(ISERROR(MATCH(P$1,INDIRECT("Table!A"&amp;$BV25):INDIRECT("Table!" &amp; $CH$110 &amp; $BV25),0)),"",INDIRECT(CONCATENATE("Table!",ADDRESS($BR25,MATCH(P$1,INDIRECT("Table!A" &amp; $BV25):INDIRECT("Table!" &amp; $CH$110 &amp; $BV25),0)))))/1024</f>
        <v>49.29443359375</v>
      </c>
      <c r="Q25" s="709">
        <f ca="1">IF(ISERROR(MATCH(Q$1,INDIRECT("Table!A"&amp;$BV25):INDIRECT("Table!" &amp; $CH$110 &amp; $BV25),0)),"",INDIRECT(CONCATENATE("Table!",ADDRESS($BR25,MATCH(Q$1,INDIRECT("Table!A" &amp; $BV25):INDIRECT("Table!" &amp; $CH$110 &amp; $BV25),0)))))/1024</f>
        <v>130.98310546875001</v>
      </c>
      <c r="R25" s="709">
        <f ca="1">IF(ISERROR(MATCH(R$1,INDIRECT("Table!A"&amp;$BV25):INDIRECT("Table!" &amp; $CH$110 &amp; $BV25),0)),"",INDIRECT(CONCATENATE("Table!",ADDRESS($BR25,MATCH(R$1,INDIRECT("Table!A" &amp; $BV25):INDIRECT("Table!" &amp; $CH$110 &amp; $BV25),0)))))/1024</f>
        <v>170.73984375000001</v>
      </c>
      <c r="S25" s="709">
        <v>0</v>
      </c>
      <c r="T25" s="709">
        <f ca="1">IF(ISERROR(MATCH(T$1,INDIRECT("Table!A"&amp;$BV25):INDIRECT("Table!" &amp; $CH$65 &amp; $BV25),0)),"",INDIRECT(CONCATENATE("Table!",ADDRESS($BR25,MATCH(T$1,INDIRECT("Table!A" &amp; $BV25):INDIRECT("Table!" &amp; $CH$65 &amp; $BV25),0)))))/1024</f>
        <v>9.9869140625000004</v>
      </c>
      <c r="U25" s="709">
        <f ca="1">IF(ISERROR(MATCH(U$1,INDIRECT("Table!A"&amp;$BV25):INDIRECT("Table!" &amp; $CH$65 &amp; $BV25),0)),"",INDIRECT(CONCATENATE("Table!",ADDRESS($BR25,MATCH(U$1,INDIRECT("Table!A" &amp; $BV25):INDIRECT("Table!" &amp; $CH$65 &amp; $BV25),0)))))/1024</f>
        <v>14.553125</v>
      </c>
      <c r="V25" s="709">
        <f ca="1">IF(ISERROR(MATCH(V$1,INDIRECT("Table!A"&amp;$BV25):INDIRECT("Table!" &amp; $CH$65 &amp; $BV25),0)),"",INDIRECT(CONCATENATE("Table!",ADDRESS($BR25,MATCH(V$1,INDIRECT("Table!A" &amp; $BV25):INDIRECT("Table!" &amp; $CH$65 &amp; $BV25),0)))))/1024</f>
        <v>29.106054687499999</v>
      </c>
      <c r="W25" s="709">
        <f ca="1">IF(ISERROR(MATCH(W$1,INDIRECT("Table!A"&amp;$BV25):INDIRECT("Table!" &amp; $CH$65 &amp; $BV25),0)),"",INDIRECT(CONCATENATE("Table!",ADDRESS($BR25,MATCH(W$1,INDIRECT("Table!A" &amp; $BV25):INDIRECT("Table!" &amp; $CH$65 &amp; $BV25),0)))))/1024</f>
        <v>15.40927734375</v>
      </c>
      <c r="X25" s="709">
        <f ca="1">IF(ISERROR(MATCH(X$1,INDIRECT("Table!A"&amp;$BV25):INDIRECT("Table!" &amp; $CH$65 &amp; $BV25),0)),"",INDIRECT(CONCATENATE("Table!",ADDRESS($BR25,MATCH(X$1,INDIRECT("Table!A" &amp; $BV25):INDIRECT("Table!" &amp; $CH$65 &amp; $BV25),0)))))/1024</f>
        <v>30.743359375000001</v>
      </c>
      <c r="Y25" s="709">
        <f ca="1">IF(ISERROR(MATCH(Y$1,INDIRECT("Table!A"&amp;$BV25):INDIRECT("Table!" &amp; $CH$65 &amp; $BV25),0)),"",INDIRECT(CONCATENATE("Table!",ADDRESS($BR25,MATCH(Y$1,INDIRECT("Table!A" &amp; $BV25):INDIRECT("Table!" &amp; $CH$65 &amp; $BV25),0)))))/1024</f>
        <v>3.0273437500000001E-3</v>
      </c>
      <c r="Z25" s="709">
        <f ca="1">IF(ISERROR(MATCH(Z$1,INDIRECT("Table!A"&amp;$BV25):INDIRECT("Table!" &amp; $CH$65 &amp; $BV25),0)),"",INDIRECT(CONCATENATE("Table!",ADDRESS($BR25,MATCH(Z$1,INDIRECT("Table!A" &amp; $BV25):INDIRECT("Table!" &amp; $CH$65 &amp; $BV25),0)))))/1024</f>
        <v>5.859375E-3</v>
      </c>
      <c r="AA25" s="709">
        <f ca="1">IF(ISERROR(MATCH(AA$1,INDIRECT("Table!A"&amp;$BV25):INDIRECT("Table!" &amp; $CH$65 &amp; $BV25),0)),"",INDIRECT(CONCATENATE("Table!",ADDRESS($BR25,MATCH(AA$1,INDIRECT("Table!A" &amp; $BV25):INDIRECT("Table!" &amp; $CH$65 &amp; $BV25),0)))))/1024</f>
        <v>22.861035156250001</v>
      </c>
      <c r="AB25" s="709">
        <f ca="1">IF(ISERROR(MATCH(AB$1,INDIRECT("Table!A"&amp;$BV25):INDIRECT("Table!" &amp; $CH$65 &amp; $BV25),0)),"",INDIRECT(CONCATENATE("Table!",ADDRESS($BR25,MATCH(AB$1,INDIRECT("Table!A" &amp; $BV25):INDIRECT("Table!" &amp; $CH$65 &amp; $BV25),0)))))/1024</f>
        <v>4.7851562500000003E-3</v>
      </c>
      <c r="AC25" s="709">
        <f ca="1">IF(ISERROR(MATCH(AC$1,INDIRECT("Table!A"&amp;$BV25):INDIRECT("Table!" &amp; $CH$65 &amp; $BV25),0)),"",INDIRECT(CONCATENATE("Table!",ADDRESS($BR25,MATCH(AC$1,INDIRECT("Table!A" &amp; $BV25):INDIRECT("Table!" &amp; $CH$65 &amp; $BV25),0)))))/1024</f>
        <v>4.7851562500000003E-3</v>
      </c>
      <c r="AD25" s="709">
        <f ca="1">IF(ISERROR(MATCH(AD$1,INDIRECT("Table!A"&amp;$BV25):INDIRECT("Table!" &amp; $CH$65 &amp; $BV25),0)),"",INDIRECT(CONCATENATE("Table!",ADDRESS($BR25,MATCH(AD$1,INDIRECT("Table!A" &amp; $BV25):INDIRECT("Table!" &amp; $CH$65 &amp; $BV25),0)))))/1024</f>
        <v>0.28496093750000001</v>
      </c>
      <c r="AE25" s="709">
        <f ca="1">IF(ISERROR(MATCH(AE$1,INDIRECT("Table!A"&amp;$BV25):INDIRECT("Table!" &amp; $CH$65 &amp; $BV25),0)),"",INDIRECT(CONCATENATE("Table!",ADDRESS($BR25,MATCH(AE$1,INDIRECT("Table!A" &amp; $BV25):INDIRECT("Table!" &amp; $CH$65 &amp; $BV25),0)))))/1024</f>
        <v>0.56386718749999998</v>
      </c>
      <c r="AF25" s="709">
        <f ca="1">IF(ISERROR(MATCH(AF$1,INDIRECT("Table!A"&amp;$BV25):INDIRECT("Table!" &amp; $CH$65 &amp; $BV25),0)),"",INDIRECT(CONCATENATE("Table!",ADDRESS($BR25,MATCH(AF$1,INDIRECT("Table!A" &amp; $BV25):INDIRECT("Table!" &amp; $CH$65 &amp; $BV25),0)))))/1024</f>
        <v>0.56386718749999998</v>
      </c>
      <c r="AG25" s="709">
        <f ca="1">IF(ISERROR(MATCH(AG$1,INDIRECT("Table!A"&amp;$BV25):INDIRECT("Table!" &amp; $CH$65 &amp; $BV25),0)),"",INDIRECT(CONCATENATE("Table!",ADDRESS($BR25,MATCH(AG$1,INDIRECT("Table!A" &amp; $BV25):INDIRECT("Table!" &amp; $CH$65 &amp; $BV25),0)))))/1024</f>
        <v>0</v>
      </c>
      <c r="AH25" s="709">
        <f ca="1">IF(ISERROR(MATCH(AH$1,INDIRECT("Table!A"&amp;$BV25):INDIRECT("Table!" &amp; $CH$65 &amp; $BV25),0)),"",INDIRECT(CONCATENATE("Table!",ADDRESS($BR25,MATCH(AH$1,INDIRECT("Table!A" &amp; $BV25):INDIRECT("Table!" &amp; $CH$65 &amp; $BV25),0)))))/1024</f>
        <v>0</v>
      </c>
      <c r="AI25" s="709" t="str">
        <f ca="1">IF(ISERROR(MATCH(AI$1,INDIRECT("Table!A"&amp;$BV25):INDIRECT("Table!" &amp; $CH$110 &amp; $BV25),0)),"",INDIRECT(CONCATENATE("Table!",ADDRESS($BR25,MATCH(AI$1,INDIRECT("Table!A" &amp; $BV25):INDIRECT("Table!" &amp; $CH$110 &amp; $BV25),0)))))</f>
        <v/>
      </c>
      <c r="AJ25" s="709">
        <f ca="1">IF(ISERROR(MATCH(AJ$1,INDIRECT("Table!A"&amp;$BV25):INDIRECT("Table!" &amp; $CH$110 &amp; $BV25),0)),"",INDIRECT(CONCATENATE("Table!",ADDRESS($BZ25,MATCH(AJ$1,INDIRECT("Table!A" &amp; $BV25):INDIRECT("Table!" &amp; $CH$110 &amp; $BV25),0)))))/1024</f>
        <v>244.15859374999999</v>
      </c>
      <c r="AK25" s="709">
        <f ca="1">IF(ISERROR(MATCH(AK$1,INDIRECT("Table!A"&amp;$BV25):INDIRECT("Table!" &amp; $CH$110 &amp; $BV25),0)),"",INDIRECT(CONCATENATE("Table!",ADDRESS($BZ25,MATCH(AK$1,INDIRECT("Table!A" &amp; $BV25):INDIRECT("Table!" &amp; $CH$110 &amp; $BV25),0)))))/1024</f>
        <v>146.98896484375001</v>
      </c>
      <c r="AL25" s="709">
        <f ca="1">IF(ISERROR(MATCH(AL$1,INDIRECT("Table!A"&amp;$BV25):INDIRECT("Table!" &amp; $CH$110 &amp; $BV25),0)),"",INDIRECT(CONCATENATE("Table!",ADDRESS($BZ25,MATCH(AL$1,INDIRECT("Table!A" &amp; $BV25):INDIRECT("Table!" &amp; $CH$110 &amp; $BV25),0)))))/1024</f>
        <v>146.98896484375001</v>
      </c>
      <c r="AM25" s="709">
        <f ca="1">IF(ISERROR(MATCH(AM$1,INDIRECT("Table!A"&amp;$BV25):INDIRECT("Table!" &amp; $CH$110 &amp; $BV25),0)),"",INDIRECT(CONCATENATE("Table!",ADDRESS($BZ25,MATCH(AM$1,INDIRECT("Table!A" &amp; $BV25):INDIRECT("Table!" &amp; $CH$110 &amp; $BV25),0)))))/1024</f>
        <v>177.73320312499999</v>
      </c>
      <c r="AN25" s="709">
        <f ca="1">IF(ISERROR(MATCH(AN$1,INDIRECT("Table!A"&amp;$BV25):INDIRECT("Table!" &amp; $CH$110 &amp; $BV25),0)),"",INDIRECT(CONCATENATE("Table!",ADDRESS($BZ25,MATCH(AN$1,INDIRECT("Table!A" &amp; $BV25):INDIRECT("Table!" &amp; $CH$110 &amp; $BV25),0)))))/1024</f>
        <v>161.88056640625001</v>
      </c>
      <c r="AO25" s="709">
        <f ca="1">IF(ISERROR(MATCH(AO$1,INDIRECT("Table!A"&amp;$BV25):INDIRECT("Table!" &amp; $CH$110 &amp; $BV25),0)),"",INDIRECT(CONCATENATE("Table!",ADDRESS($BZ25,MATCH(AO$1,INDIRECT("Table!A" &amp; $BV25):INDIRECT("Table!" &amp; $CH$110 &amp; $BV25),0)))))/1024</f>
        <v>380.3759765625</v>
      </c>
      <c r="AP25" s="709">
        <f ca="1">IF(ISERROR(MATCH(AP$1,INDIRECT("Table!A"&amp;$BV25):INDIRECT("Table!" &amp; $CH$110 &amp; $BV25),0)),"",INDIRECT(CONCATENATE("Table!",ADDRESS($BZ25,MATCH(AP$1,INDIRECT("Table!A" &amp; $BV25):INDIRECT("Table!" &amp; $CH$110 &amp; $BV25),0)))))/1024</f>
        <v>167.94482421875</v>
      </c>
      <c r="AQ25" s="709">
        <f ca="1">IF(ISERROR(MATCH(AQ$1,INDIRECT("Table!A"&amp;$BV25):INDIRECT("Table!" &amp; $CH$110 &amp; $BV25),0)),"",INDIRECT(CONCATENATE("Table!",ADDRESS($BZ25,MATCH(AQ$1,INDIRECT("Table!A" &amp; $BV25):INDIRECT("Table!" &amp; $CH$110 &amp; $BV25),0)))))/1024</f>
        <v>162.185546875</v>
      </c>
      <c r="AR25" s="709">
        <f ca="1">IF(ISERROR(MATCH(AR$1,INDIRECT("Table!A"&amp;$BV25):INDIRECT("Table!" &amp; $CH$110 &amp; $BV25),0)),"",INDIRECT(CONCATENATE("Table!",ADDRESS($BZ25,MATCH(AR$1,INDIRECT("Table!A" &amp; $BV25):INDIRECT("Table!" &amp; $CH$110 &amp; $BV25),0)))))/1024</f>
        <v>121.1125</v>
      </c>
      <c r="AS25" s="709">
        <f ca="1">IF(ISERROR(MATCH(AS$1,INDIRECT("Table!A"&amp;$BV25):INDIRECT("Table!" &amp; $CH$110 &amp; $BV25),0)),"",INDIRECT(CONCATENATE("Table!",ADDRESS($BZ25,MATCH(AS$1,INDIRECT("Table!A" &amp; $BV25):INDIRECT("Table!" &amp; $CH$110 &amp; $BV25),0)))))/1024</f>
        <v>218.81953125000001</v>
      </c>
      <c r="AT25" s="709">
        <f ca="1">IF(ISERROR(MATCH(AT$1,INDIRECT("Table!A"&amp;$BV25):INDIRECT("Table!" &amp; $CH$110 &amp; $BV25),0)),"",INDIRECT(CONCATENATE("Table!",ADDRESS($BZ25,MATCH(AT$1,INDIRECT("Table!A" &amp; $BV25):INDIRECT("Table!" &amp; $CH$110 &amp; $BV25),0)))))/1024</f>
        <v>188.50498046875001</v>
      </c>
      <c r="AU25" s="709">
        <f ca="1">IF(ISERROR(MATCH(AU$1,INDIRECT("Table!A"&amp;$BV25):INDIRECT("Table!" &amp; $CH$110 &amp; $BV25),0)),"",INDIRECT(CONCATENATE("Table!",ADDRESS($BZ25,MATCH(AU$1,INDIRECT("Table!A" &amp; $BV25):INDIRECT("Table!" &amp; $CH$110 &amp; $BV25),0)))))/1024</f>
        <v>427.94912109375002</v>
      </c>
      <c r="AV25" s="709">
        <f ca="1">IF(ISERROR(MATCH(AV$1,INDIRECT("Table!A"&amp;$BV25):INDIRECT("Table!" &amp; $CH$110 &amp; $BV25),0)),"",INDIRECT(CONCATENATE("Table!",ADDRESS($BZ25,MATCH(AV$1,INDIRECT("Table!A" &amp; $BV25):INDIRECT("Table!" &amp; $CH$110 &amp; $BV25),0)))))/1024</f>
        <v>81.092578125000003</v>
      </c>
      <c r="AW25" s="709">
        <f ca="1">IF(ISERROR(MATCH(AW$1,INDIRECT("Table!A"&amp;$BV25):INDIRECT("Table!" &amp; $CH$110 &amp; $BV25),0)),"",INDIRECT(CONCATENATE("Table!",ADDRESS($BZ25,MATCH(AW$1,INDIRECT("Table!A" &amp; $BV25):INDIRECT("Table!" &amp; $CH$110 &amp; $BV25),0)))))/1024</f>
        <v>269.65859375000002</v>
      </c>
      <c r="AX25" s="709">
        <f ca="1">IF(ISERROR(MATCH(AX$1,INDIRECT("Table!A"&amp;$BV25):INDIRECT("Table!" &amp; $CH$110 &amp; $BV25),0)),"",INDIRECT(CONCATENATE("Table!",ADDRESS($BZ25,MATCH(AX$1,INDIRECT("Table!A" &amp; $BV25):INDIRECT("Table!" &amp; $CH$110 &amp; $BV25),0)))))/1024</f>
        <v>81.092578125000003</v>
      </c>
      <c r="AY25" s="709">
        <f ca="1">IF(ISERROR(MATCH(AY$1,INDIRECT("Table!A"&amp;$BV25):INDIRECT("Table!" &amp; $CH$110 &amp; $BV25),0)),"",INDIRECT(CONCATENATE("Table!",ADDRESS($BZ25,MATCH(AY$1,INDIRECT("Table!A" &amp; $BV25):INDIRECT("Table!" &amp; $CH$110 &amp; $BV25),0)))))/1024</f>
        <v>187.12714843750001</v>
      </c>
      <c r="AZ25" s="709">
        <f ca="1">IF(ISERROR(MATCH(AZ$1,INDIRECT("Table!A"&amp;$BV25):INDIRECT("Table!" &amp; $CH$110 &amp; $BV25),0)),"",INDIRECT(CONCATENATE("Table!",ADDRESS($BZ25,MATCH(AZ$1,INDIRECT("Table!A" &amp; $BV25):INDIRECT("Table!" &amp; $CH$110 &amp; $BV25),0)))))/1024</f>
        <v>256.14150390625002</v>
      </c>
      <c r="BA25" s="709"/>
      <c r="BB25" s="709">
        <f ca="1">IF(ISERROR(MATCH(BB$1,INDIRECT("Table!A"&amp;$BV25):INDIRECT("Table!" &amp; $CH$110 &amp; $BV25),0)),"",INDIRECT(CONCATENATE("Table!",ADDRESS($BZ25,MATCH(BB$1,INDIRECT("Table!A" &amp; $BV25):INDIRECT("Table!" &amp; $CH$110 &amp; $BV25),0)))))/1024</f>
        <v>32.31494140625</v>
      </c>
      <c r="BC25" s="709">
        <f ca="1">IF(ISERROR(MATCH(BC$1,INDIRECT("Table!A"&amp;$BV25):INDIRECT("Table!" &amp; $CH$110 &amp; $BV25),0)),"",INDIRECT(CONCATENATE("Table!",ADDRESS($BZ25,MATCH(BC$1,INDIRECT("Table!A" &amp; $BV25):INDIRECT("Table!" &amp; $CH$110 &amp; $BV25),0)))))/1024</f>
        <v>99.80126953125</v>
      </c>
      <c r="BD25" s="709">
        <f ca="1">IF(ISERROR(MATCH(BD$1,INDIRECT("Table!A"&amp;$BV25):INDIRECT("Table!" &amp; $CH$110 &amp; $BV25),0)),"",INDIRECT(CONCATENATE("Table!",ADDRESS($BZ25,MATCH(BD$1,INDIRECT("Table!A" &amp; $BV25):INDIRECT("Table!" &amp; $CH$110 &amp; $BV25),0)))))/1024</f>
        <v>204.58642578125</v>
      </c>
      <c r="BE25" s="905">
        <f ca="1">IF(ISERROR(MATCH(BE$1,INDIRECT("Table!A"&amp;$BV25):INDIRECT("Table!" &amp; $CH$110 &amp; $BV25),0)),"",INDIRECT(CONCATENATE("Table!",ADDRESS($BZ25,MATCH(BE$1,INDIRECT("Table!A" &amp; $BV25):INDIRECT("Table!" &amp; $CH$110 &amp; $BV25),0)))))/1024</f>
        <v>99.80126953125</v>
      </c>
      <c r="BF25" s="905">
        <f ca="1">IF(ISERROR(MATCH(BF$1,INDIRECT("Table!A"&amp;$BV25):INDIRECT("Table!" &amp; $CH$110 &amp; $BV25),0)),"",INDIRECT(CONCATENATE("Table!",ADDRESS($BZ25,MATCH(BF$1,INDIRECT("Table!A" &amp; $BV25):INDIRECT("Table!" &amp; $CH$110 &amp; $BV25),0)))))/1024</f>
        <v>204.58642578125</v>
      </c>
      <c r="BG25" s="905">
        <f ca="1">IF(ISERROR(MATCH(BG$1,INDIRECT("Table!A"&amp;$BV25):INDIRECT("Table!" &amp; $CH$110 &amp; $BV25),0)),"",INDIRECT(CONCATENATE("Table!",ADDRESS($BZ25,MATCH(BG$1,INDIRECT("Table!A" &amp; $BV25):INDIRECT("Table!" &amp; $CH$110 &amp; $BV25),0)))))/1024</f>
        <v>99.80126953125</v>
      </c>
      <c r="BH25" s="905">
        <f ca="1">IF(ISERROR(MATCH(BH$1,INDIRECT("Table!A"&amp;$BV25):INDIRECT("Table!" &amp; $CH$110 &amp; $BV25),0)),"",INDIRECT(CONCATENATE("Table!",ADDRESS($BZ25,MATCH(BH$1,INDIRECT("Table!A" &amp; $BV25):INDIRECT("Table!" &amp; $CH$110 &amp; $BV25),0)))))/1024</f>
        <v>204.58642578125</v>
      </c>
      <c r="BI25" s="905">
        <f ca="1">IF(ISERROR(MATCH(BI$1,INDIRECT("Table!A"&amp;$BV25):INDIRECT("Table!" &amp; $CH$110 &amp; $BV25),0)),"",INDIRECT(CONCATENATE("Table!",ADDRESS($BZ25,MATCH(BI$1,INDIRECT("Table!A" &amp; $BV25):INDIRECT("Table!" &amp; $CH$110 &amp; $BV25),0)))))/1024</f>
        <v>320.99140625000001</v>
      </c>
      <c r="BJ25" s="905">
        <f ca="1">IF(ISERROR(MATCH(BJ$1,INDIRECT("Table!A"&amp;$BV25):INDIRECT("Table!" &amp; $CH$110 &amp; $BV25),0)),"",INDIRECT(CONCATENATE("Table!",ADDRESS($BZ25,MATCH(BJ$1,INDIRECT("Table!A" &amp; $BV25):INDIRECT("Table!" &amp; $CH$110 &amp; $BV25),0)))))/1024</f>
        <v>186.39765625000001</v>
      </c>
      <c r="BK25" s="905">
        <f ca="1">IF(ISERROR(MATCH(BK$1,INDIRECT("Table!A"&amp;$BV25):INDIRECT("Table!" &amp; $CH$110 &amp; $BV25),0)),"",INDIRECT(CONCATENATE("Table!",ADDRESS($BZ25,MATCH(BK$1,INDIRECT("Table!A" &amp; $BV25):INDIRECT("Table!" &amp; $CH$110 &amp; $BV25),0)))))/1024</f>
        <v>218.81953125000001</v>
      </c>
      <c r="BL25" s="905">
        <f ca="1">IF(ISERROR(MATCH(BL$1,INDIRECT("Table!A"&amp;$BV25):INDIRECT("Table!" &amp; $CH$110 &amp; $BV25),0)),"",INDIRECT(CONCATENATE("Table!",ADDRESS($BZ25,MATCH(BL$1,INDIRECT("Table!A" &amp; $BV25):INDIRECT("Table!" &amp; $CH$110 &amp; $BV25),0)))))/1024</f>
        <v>218.81953125000001</v>
      </c>
      <c r="BM25" s="905">
        <f ca="1">IF(ISERROR(MATCH(BM$1,INDIRECT("Table!A"&amp;$BV25):INDIRECT("Table!" &amp; $CH$110 &amp; $BV25),0)),"",INDIRECT(CONCATENATE("Table!",ADDRESS($BZ25,MATCH(BM$1,INDIRECT("Table!A" &amp; $BV25):INDIRECT("Table!" &amp; $CH$110 &amp; $BV25),0)))))/1024</f>
        <v>152.53330078125001</v>
      </c>
      <c r="BN25" s="905">
        <f ca="1">IF(ISERROR(MATCH(BN$1,INDIRECT("Table!A"&amp;$BV25):INDIRECT("Table!" &amp; $CH$110 &amp; $BV25),0)),"",INDIRECT(CONCATENATE("Table!",ADDRESS($BZ25,MATCH(BN$1,INDIRECT("Table!A" &amp; $BV25):INDIRECT("Table!" &amp; $CH$110 &amp; $BV25),0)))))/1024</f>
        <v>152.53330078125001</v>
      </c>
      <c r="BO25" s="905">
        <f ca="1">IF(ISERROR(MATCH(BO$1,INDIRECT("Table!A"&amp;$BV25):INDIRECT("Table!" &amp; $CH$110 &amp; $BV25),0)),"",INDIRECT(CONCATENATE("Table!",ADDRESS($BZ25,MATCH(BO$1,INDIRECT("Table!A" &amp; $BV25):INDIRECT("Table!" &amp; $CH$110 &amp; $BV25),0)))))/1024</f>
        <v>0</v>
      </c>
      <c r="BP25" s="905">
        <f ca="1">IF(ISERROR(MATCH(BP$1,INDIRECT("Table!A"&amp;$BV25):INDIRECT("Table!" &amp; $CH$110 &amp; $BV25),0)),"",INDIRECT(CONCATENATE("Table!",ADDRESS($BZ25,MATCH(BP$1,INDIRECT("Table!A" &amp; $BV25):INDIRECT("Table!" &amp; $CH$110 &amp; $BV25),0)))))/1024</f>
        <v>0</v>
      </c>
      <c r="BR25" s="704">
        <f>MATCH($A25,Table!$A:$A,0)+$BT$2-1</f>
        <v>327</v>
      </c>
      <c r="BS25" s="744"/>
      <c r="BT25" s="744"/>
      <c r="BU25" s="744"/>
      <c r="BV25" s="717">
        <f>MATCH($A25,Table!$A:$A,0)+$BX$2-1</f>
        <v>325</v>
      </c>
      <c r="BW25" s="744"/>
      <c r="BX25" s="744"/>
      <c r="BY25" s="744"/>
      <c r="BZ25" s="704">
        <f>MATCH($A25,Table!$A:$A,0)+$CB$2-1</f>
        <v>326</v>
      </c>
      <c r="CA25" s="744"/>
      <c r="CB25" s="744"/>
      <c r="CC25" s="744"/>
      <c r="CD25" s="717">
        <f>MATCH($A25,Table!$A:$A,0)+$BX$2-1</f>
        <v>325</v>
      </c>
      <c r="CE25" s="744"/>
      <c r="CF25" s="744"/>
      <c r="CG25" s="744"/>
      <c r="CH25" s="711" t="s">
        <v>302</v>
      </c>
      <c r="CI25" s="712">
        <f t="shared" ca="1" si="0"/>
        <v>5615.3279296874989</v>
      </c>
      <c r="CJ25" s="712">
        <f t="shared" ca="1" si="85"/>
        <v>2126.7380859375003</v>
      </c>
      <c r="CK25" s="712">
        <f t="shared" ref="CK25" ca="1" si="98">CI25-CJ25</f>
        <v>3488.5898437499986</v>
      </c>
      <c r="CL25" s="718">
        <f t="shared" ref="CL25" ca="1" si="99">CJ25/CI25</f>
        <v>0.37873800293901205</v>
      </c>
      <c r="CM25" s="712">
        <f ca="1">SUMIF('Alloc Feed'!A:I,A:A,'Alloc Feed'!I:I)</f>
        <v>3661.6859560546868</v>
      </c>
      <c r="CN25" s="718">
        <f t="shared" ref="CN25" ca="1" si="100">CM25/CI25</f>
        <v>0.65208764330500368</v>
      </c>
    </row>
    <row r="26" spans="1:92" s="743" customFormat="1" x14ac:dyDescent="0.25">
      <c r="A26" s="703">
        <v>41815</v>
      </c>
      <c r="B26" s="709">
        <f ca="1">IF(ISERROR(MATCH(B$1,INDIRECT("Table!A"&amp;$BV26):INDIRECT("Table!" &amp; $CH$110 &amp; $BV26),0)),"",INDIRECT(CONCATENATE("Table!",ADDRESS($BR26,MATCH(B$1,INDIRECT("Table!A" &amp; $BV26):INDIRECT("Table!" &amp; $CH$110 &amp; $BV26),0)))))/1024</f>
        <v>100.90361328125</v>
      </c>
      <c r="C26" s="709">
        <f ca="1">IF(ISERROR(MATCH(C$1,INDIRECT("Table!A"&amp;$BV26):INDIRECT("Table!" &amp; $CH$110 &amp; $BV26),0)),"",INDIRECT(CONCATENATE("Table!",ADDRESS($BR26,MATCH(C$1,INDIRECT("Table!A" &amp; $BV26):INDIRECT("Table!" &amp; $CH$110 &amp; $BV26),0)))))/1024</f>
        <v>81.887597656249994</v>
      </c>
      <c r="D26" s="709">
        <f ca="1">IF(ISERROR(MATCH(D$1,INDIRECT("Table!A"&amp;$BV26):INDIRECT("Table!" &amp; $CH$110 &amp; $BV26),0)),"",INDIRECT(CONCATENATE("Table!",ADDRESS($BR26,MATCH(D$1,INDIRECT("Table!A" &amp; $BV26):INDIRECT("Table!" &amp; $CH$110 &amp; $BV26),0)))))/1024</f>
        <v>82.580078125</v>
      </c>
      <c r="E26" s="709">
        <f ca="1">IF(ISERROR(MATCH(E$1,INDIRECT("Table!A"&amp;$BV26):INDIRECT("Table!" &amp; $CH$110 &amp; $BV26),0)),"",INDIRECT(CONCATENATE("Table!",ADDRESS($BR26,MATCH(E$1,INDIRECT("Table!A" &amp; $BV26):INDIRECT("Table!" &amp; $CH$110 &amp; $BV26),0)))))/1024</f>
        <v>135.03769531250001</v>
      </c>
      <c r="F26" s="709">
        <f ca="1">IF(ISERROR(MATCH(F$1,INDIRECT("Table!A"&amp;$BV26):INDIRECT("Table!" &amp; $CH$110 &amp; $BV26),0)),"",INDIRECT(CONCATENATE("Table!",ADDRESS($BR26,MATCH(F$1,INDIRECT("Table!A" &amp; $BV26):INDIRECT("Table!" &amp; $CH$110 &amp; $BV26),0)))))/1024</f>
        <v>113.27988281250001</v>
      </c>
      <c r="G26" s="709">
        <f ca="1">IF(ISERROR(MATCH(G$1,INDIRECT("Table!A"&amp;$BV26):INDIRECT("Table!" &amp; $CH$110 &amp; $BV26),0)),"",INDIRECT(CONCATENATE("Table!",ADDRESS($BR26,MATCH(G$1,INDIRECT("Table!A" &amp; $BV26):INDIRECT("Table!" &amp; $CH$110 &amp; $BV26),0)))))/1024</f>
        <v>211.29023437500001</v>
      </c>
      <c r="H26" s="709">
        <f ca="1">IF(ISERROR(MATCH(H$1,INDIRECT("Table!A"&amp;$BV26):INDIRECT("Table!" &amp; $CH$110 &amp; $BV26),0)),"",INDIRECT(CONCATENATE("Table!",ADDRESS($BR26,MATCH(H$1,INDIRECT("Table!A" &amp; $BV26):INDIRECT("Table!" &amp; $CH$110 &amp; $BV26),0)))))/1024</f>
        <v>119.53574218750001</v>
      </c>
      <c r="I26" s="709">
        <f ca="1">IF(ISERROR(MATCH(I$1,INDIRECT("Table!A"&amp;$BV26):INDIRECT("Table!" &amp; $CH$110 &amp; $BV26),0)),"",INDIRECT(CONCATENATE("Table!",ADDRESS($BR26,MATCH(I$1,INDIRECT("Table!A" &amp; $BV26):INDIRECT("Table!" &amp; $CH$110 &amp; $BV26),0)))))/1024</f>
        <v>25.433300781250001</v>
      </c>
      <c r="J26" s="709">
        <f ca="1">IF(ISERROR(MATCH(J$1,INDIRECT("Table!A"&amp;$BV26):INDIRECT("Table!" &amp; $CH$110 &amp; $BV26),0)),"",INDIRECT(CONCATENATE("Table!",ADDRESS($BR26,MATCH(J$1,INDIRECT("Table!A" &amp; $BV26):INDIRECT("Table!" &amp; $CH$110 &amp; $BV26),0)))))/1024</f>
        <v>82.284863281249997</v>
      </c>
      <c r="K26" s="709">
        <f ca="1">IF(ISERROR(MATCH(K$1,INDIRECT("Table!A"&amp;$BV26):INDIRECT("Table!" &amp; $CH$110 &amp; $BV26),0)),"",INDIRECT(CONCATENATE("Table!",ADDRESS($BR26,MATCH(K$1,INDIRECT("Table!A" &amp; $BV26):INDIRECT("Table!" &amp; $CH$110 &amp; $BV26),0)))))/1024</f>
        <v>75.314648437499997</v>
      </c>
      <c r="L26" s="709">
        <f ca="1">IF(ISERROR(MATCH(L$1,INDIRECT("Table!A"&amp;$BV26):INDIRECT("Table!" &amp; $CH$110 &amp; $BV26),0)),"",INDIRECT(CONCATENATE("Table!",ADDRESS($BR26,MATCH(L$1,INDIRECT("Table!A" &amp; $BV26):INDIRECT("Table!" &amp; $CH$110 &amp; $BV26),0)))))/1024</f>
        <v>132.5615234375</v>
      </c>
      <c r="M26" s="709">
        <f ca="1">IF(ISERROR(MATCH(M$1,INDIRECT("Table!A"&amp;$BV26):INDIRECT("Table!" &amp; $CH$110 &amp; $BV26),0)),"",INDIRECT(CONCATENATE("Table!",ADDRESS($BR26,MATCH(M$1,INDIRECT("Table!A" &amp; $BV26):INDIRECT("Table!" &amp; $CH$110 &amp; $BV26),0)))))/1024</f>
        <v>207.24658203125</v>
      </c>
      <c r="N26" s="709">
        <f ca="1">IF(ISERROR(MATCH(N$1,INDIRECT("Table!A"&amp;$BV26):INDIRECT("Table!" &amp; $CH$110 &amp; $BV26),0)),"",INDIRECT(CONCATENATE("Table!",ADDRESS($BR26,MATCH(N$1,INDIRECT("Table!A" &amp; $BV26):INDIRECT("Table!" &amp; $CH$110 &amp; $BV26),0)))))/1024</f>
        <v>57.166894531250001</v>
      </c>
      <c r="O26" s="709">
        <f ca="1">IF(ISERROR(MATCH(O$1,INDIRECT("Table!A"&amp;$BV26):INDIRECT("Table!" &amp; $CH$110 &amp; $BV26),0)),"",INDIRECT(CONCATENATE("Table!",ADDRESS($BR26,MATCH(O$1,INDIRECT("Table!A" &amp; $BV26):INDIRECT("Table!" &amp; $CH$110 &amp; $BV26),0)))))/1024</f>
        <v>221.17109375000001</v>
      </c>
      <c r="P26" s="709">
        <f ca="1">IF(ISERROR(MATCH(P$1,INDIRECT("Table!A"&amp;$BV26):INDIRECT("Table!" &amp; $CH$110 &amp; $BV26),0)),"",INDIRECT(CONCATENATE("Table!",ADDRESS($BR26,MATCH(P$1,INDIRECT("Table!A" &amp; $BV26):INDIRECT("Table!" &amp; $CH$110 &amp; $BV26),0)))))/1024</f>
        <v>49.19091796875</v>
      </c>
      <c r="Q26" s="709">
        <f ca="1">IF(ISERROR(MATCH(Q$1,INDIRECT("Table!A"&amp;$BV26):INDIRECT("Table!" &amp; $CH$110 &amp; $BV26),0)),"",INDIRECT(CONCATENATE("Table!",ADDRESS($BR26,MATCH(Q$1,INDIRECT("Table!A" &amp; $BV26):INDIRECT("Table!" &amp; $CH$110 &amp; $BV26),0)))))/1024</f>
        <v>130.12656250000001</v>
      </c>
      <c r="R26" s="709">
        <f ca="1">IF(ISERROR(MATCH(R$1,INDIRECT("Table!A"&amp;$BV26):INDIRECT("Table!" &amp; $CH$110 &amp; $BV26),0)),"",INDIRECT(CONCATENATE("Table!",ADDRESS($BR26,MATCH(R$1,INDIRECT("Table!A" &amp; $BV26):INDIRECT("Table!" &amp; $CH$110 &amp; $BV26),0)))))/1024</f>
        <v>169.24638671874999</v>
      </c>
      <c r="S26" s="709">
        <v>0</v>
      </c>
      <c r="T26" s="709">
        <f ca="1">IF(ISERROR(MATCH(T$1,INDIRECT("Table!A"&amp;$BV26):INDIRECT("Table!" &amp; $CH$65 &amp; $BV26),0)),"",INDIRECT(CONCATENATE("Table!",ADDRESS($BR26,MATCH(T$1,INDIRECT("Table!A" &amp; $BV26):INDIRECT("Table!" &amp; $CH$65 &amp; $BV26),0)))))/1024</f>
        <v>9.9869140625000004</v>
      </c>
      <c r="U26" s="709">
        <f ca="1">IF(ISERROR(MATCH(U$1,INDIRECT("Table!A"&amp;$BV26):INDIRECT("Table!" &amp; $CH$65 &amp; $BV26),0)),"",INDIRECT(CONCATENATE("Table!",ADDRESS($BR26,MATCH(U$1,INDIRECT("Table!A" &amp; $BV26):INDIRECT("Table!" &amp; $CH$65 &amp; $BV26),0)))))/1024</f>
        <v>14.512988281249999</v>
      </c>
      <c r="V26" s="709">
        <f ca="1">IF(ISERROR(MATCH(V$1,INDIRECT("Table!A"&amp;$BV26):INDIRECT("Table!" &amp; $CH$65 &amp; $BV26),0)),"",INDIRECT(CONCATENATE("Table!",ADDRESS($BR26,MATCH(V$1,INDIRECT("Table!A" &amp; $BV26):INDIRECT("Table!" &amp; $CH$65 &amp; $BV26),0)))))/1024</f>
        <v>29.025683593749999</v>
      </c>
      <c r="W26" s="709">
        <f ca="1">IF(ISERROR(MATCH(W$1,INDIRECT("Table!A"&amp;$BV26):INDIRECT("Table!" &amp; $CH$65 &amp; $BV26),0)),"",INDIRECT(CONCATENATE("Table!",ADDRESS($BR26,MATCH(W$1,INDIRECT("Table!A" &amp; $BV26):INDIRECT("Table!" &amp; $CH$65 &amp; $BV26),0)))))/1024</f>
        <v>15.10068359375</v>
      </c>
      <c r="X26" s="709">
        <f ca="1">IF(ISERROR(MATCH(X$1,INDIRECT("Table!A"&amp;$BV26):INDIRECT("Table!" &amp; $CH$65 &amp; $BV26),0)),"",INDIRECT(CONCATENATE("Table!",ADDRESS($BR26,MATCH(X$1,INDIRECT("Table!A" &amp; $BV26):INDIRECT("Table!" &amp; $CH$65 &amp; $BV26),0)))))/1024</f>
        <v>30.193750000000001</v>
      </c>
      <c r="Y26" s="709">
        <f ca="1">IF(ISERROR(MATCH(Y$1,INDIRECT("Table!A"&amp;$BV26):INDIRECT("Table!" &amp; $CH$65 &amp; $BV26),0)),"",INDIRECT(CONCATENATE("Table!",ADDRESS($BR26,MATCH(Y$1,INDIRECT("Table!A" &amp; $BV26):INDIRECT("Table!" &amp; $CH$65 &amp; $BV26),0)))))/1024</f>
        <v>3.0273437500000001E-3</v>
      </c>
      <c r="Z26" s="709">
        <f ca="1">IF(ISERROR(MATCH(Z$1,INDIRECT("Table!A"&amp;$BV26):INDIRECT("Table!" &amp; $CH$65 &amp; $BV26),0)),"",INDIRECT(CONCATENATE("Table!",ADDRESS($BR26,MATCH(Z$1,INDIRECT("Table!A" &amp; $BV26):INDIRECT("Table!" &amp; $CH$65 &amp; $BV26),0)))))/1024</f>
        <v>5.859375E-3</v>
      </c>
      <c r="AA26" s="709">
        <f ca="1">IF(ISERROR(MATCH(AA$1,INDIRECT("Table!A"&amp;$BV26):INDIRECT("Table!" &amp; $CH$65 &amp; $BV26),0)),"",INDIRECT(CONCATENATE("Table!",ADDRESS($BR26,MATCH(AA$1,INDIRECT("Table!A" &amp; $BV26):INDIRECT("Table!" &amp; $CH$65 &amp; $BV26),0)))))/1024</f>
        <v>22.849902343749999</v>
      </c>
      <c r="AB26" s="709">
        <f ca="1">IF(ISERROR(MATCH(AB$1,INDIRECT("Table!A"&amp;$BV26):INDIRECT("Table!" &amp; $CH$65 &amp; $BV26),0)),"",INDIRECT(CONCATENATE("Table!",ADDRESS($BR26,MATCH(AB$1,INDIRECT("Table!A" &amp; $BV26):INDIRECT("Table!" &amp; $CH$65 &amp; $BV26),0)))))/1024</f>
        <v>4.7851562500000003E-3</v>
      </c>
      <c r="AC26" s="709"/>
      <c r="AD26" s="905"/>
      <c r="AE26" s="905"/>
      <c r="AF26" s="905"/>
      <c r="AG26" s="905"/>
      <c r="AH26" s="905"/>
      <c r="AI26" s="709" t="str">
        <f ca="1">IF(ISERROR(MATCH(AI$1,INDIRECT("Table!A"&amp;$BV26):INDIRECT("Table!" &amp; $CH$110 &amp; $BV26),0)),"",INDIRECT(CONCATENATE("Table!",ADDRESS($BR26,MATCH(AI$1,INDIRECT("Table!A" &amp; $BV26):INDIRECT("Table!" &amp; $CH$110 &amp; $BV26),0)))))</f>
        <v/>
      </c>
      <c r="AJ26" s="709">
        <f ca="1">IF(ISERROR(MATCH(AJ$1,INDIRECT("Table!A"&amp;$BV26):INDIRECT("Table!" &amp; $CH$110 &amp; $BV26),0)),"",INDIRECT(CONCATENATE("Table!",ADDRESS($BZ26,MATCH(AJ$1,INDIRECT("Table!A" &amp; $BV26):INDIRECT("Table!" &amp; $CH$110 &amp; $BV26),0)))))/1024</f>
        <v>244.15859374999999</v>
      </c>
      <c r="AK26" s="709">
        <f ca="1">IF(ISERROR(MATCH(AK$1,INDIRECT("Table!A"&amp;$BV26):INDIRECT("Table!" &amp; $CH$110 &amp; $BV26),0)),"",INDIRECT(CONCATENATE("Table!",ADDRESS($BZ26,MATCH(AK$1,INDIRECT("Table!A" &amp; $BV26):INDIRECT("Table!" &amp; $CH$110 &amp; $BV26),0)))))/1024</f>
        <v>146.98896484375001</v>
      </c>
      <c r="AL26" s="709">
        <f ca="1">IF(ISERROR(MATCH(AL$1,INDIRECT("Table!A"&amp;$BV26):INDIRECT("Table!" &amp; $CH$110 &amp; $BV26),0)),"",INDIRECT(CONCATENATE("Table!",ADDRESS($BZ26,MATCH(AL$1,INDIRECT("Table!A" &amp; $BV26):INDIRECT("Table!" &amp; $CH$110 &amp; $BV26),0)))))/1024</f>
        <v>146.98896484375001</v>
      </c>
      <c r="AM26" s="709">
        <f ca="1">IF(ISERROR(MATCH(AM$1,INDIRECT("Table!A"&amp;$BV26):INDIRECT("Table!" &amp; $CH$110 &amp; $BV26),0)),"",INDIRECT(CONCATENATE("Table!",ADDRESS($BZ26,MATCH(AM$1,INDIRECT("Table!A" &amp; $BV26):INDIRECT("Table!" &amp; $CH$110 &amp; $BV26),0)))))/1024</f>
        <v>177.73320312499999</v>
      </c>
      <c r="AN26" s="709">
        <f ca="1">IF(ISERROR(MATCH(AN$1,INDIRECT("Table!A"&amp;$BV26):INDIRECT("Table!" &amp; $CH$110 &amp; $BV26),0)),"",INDIRECT(CONCATENATE("Table!",ADDRESS($BZ26,MATCH(AN$1,INDIRECT("Table!A" &amp; $BV26):INDIRECT("Table!" &amp; $CH$110 &amp; $BV26),0)))))/1024</f>
        <v>161.88056640625001</v>
      </c>
      <c r="AO26" s="709">
        <f ca="1">IF(ISERROR(MATCH(AO$1,INDIRECT("Table!A"&amp;$BV26):INDIRECT("Table!" &amp; $CH$110 &amp; $BV26),0)),"",INDIRECT(CONCATENATE("Table!",ADDRESS($BZ26,MATCH(AO$1,INDIRECT("Table!A" &amp; $BV26):INDIRECT("Table!" &amp; $CH$110 &amp; $BV26),0)))))/1024</f>
        <v>380.3759765625</v>
      </c>
      <c r="AP26" s="709">
        <f ca="1">IF(ISERROR(MATCH(AP$1,INDIRECT("Table!A"&amp;$BV26):INDIRECT("Table!" &amp; $CH$110 &amp; $BV26),0)),"",INDIRECT(CONCATENATE("Table!",ADDRESS($BZ26,MATCH(AP$1,INDIRECT("Table!A" &amp; $BV26):INDIRECT("Table!" &amp; $CH$110 &amp; $BV26),0)))))/1024</f>
        <v>167.94482421875</v>
      </c>
      <c r="AQ26" s="709">
        <f ca="1">IF(ISERROR(MATCH(AQ$1,INDIRECT("Table!A"&amp;$BV26):INDIRECT("Table!" &amp; $CH$110 &amp; $BV26),0)),"",INDIRECT(CONCATENATE("Table!",ADDRESS($BZ26,MATCH(AQ$1,INDIRECT("Table!A" &amp; $BV26):INDIRECT("Table!" &amp; $CH$110 &amp; $BV26),0)))))/1024</f>
        <v>162.185546875</v>
      </c>
      <c r="AR26" s="709">
        <f ca="1">IF(ISERROR(MATCH(AR$1,INDIRECT("Table!A"&amp;$BV26):INDIRECT("Table!" &amp; $CH$110 &amp; $BV26),0)),"",INDIRECT(CONCATENATE("Table!",ADDRESS($BZ26,MATCH(AR$1,INDIRECT("Table!A" &amp; $BV26):INDIRECT("Table!" &amp; $CH$110 &amp; $BV26),0)))))/1024</f>
        <v>121.1125</v>
      </c>
      <c r="AS26" s="709">
        <f ca="1">IF(ISERROR(MATCH(AS$1,INDIRECT("Table!A"&amp;$BV26):INDIRECT("Table!" &amp; $CH$110 &amp; $BV26),0)),"",INDIRECT(CONCATENATE("Table!",ADDRESS($BZ26,MATCH(AS$1,INDIRECT("Table!A" &amp; $BV26):INDIRECT("Table!" &amp; $CH$110 &amp; $BV26),0)))))/1024</f>
        <v>218.81953125000001</v>
      </c>
      <c r="AT26" s="709">
        <f ca="1">IF(ISERROR(MATCH(AT$1,INDIRECT("Table!A"&amp;$BV26):INDIRECT("Table!" &amp; $CH$110 &amp; $BV26),0)),"",INDIRECT(CONCATENATE("Table!",ADDRESS($BZ26,MATCH(AT$1,INDIRECT("Table!A" &amp; $BV26):INDIRECT("Table!" &amp; $CH$110 &amp; $BV26),0)))))/1024</f>
        <v>188.50498046875001</v>
      </c>
      <c r="AU26" s="709">
        <f ca="1">IF(ISERROR(MATCH(AU$1,INDIRECT("Table!A"&amp;$BV26):INDIRECT("Table!" &amp; $CH$110 &amp; $BV26),0)),"",INDIRECT(CONCATENATE("Table!",ADDRESS($BZ26,MATCH(AU$1,INDIRECT("Table!A" &amp; $BV26):INDIRECT("Table!" &amp; $CH$110 &amp; $BV26),0)))))/1024</f>
        <v>427.94912109375002</v>
      </c>
      <c r="AV26" s="709">
        <f ca="1">IF(ISERROR(MATCH(AV$1,INDIRECT("Table!A"&amp;$BV26):INDIRECT("Table!" &amp; $CH$110 &amp; $BV26),0)),"",INDIRECT(CONCATENATE("Table!",ADDRESS($BZ26,MATCH(AV$1,INDIRECT("Table!A" &amp; $BV26):INDIRECT("Table!" &amp; $CH$110 &amp; $BV26),0)))))/1024</f>
        <v>81.092578125000003</v>
      </c>
      <c r="AW26" s="709">
        <f ca="1">IF(ISERROR(MATCH(AW$1,INDIRECT("Table!A"&amp;$BV26):INDIRECT("Table!" &amp; $CH$110 &amp; $BV26),0)),"",INDIRECT(CONCATENATE("Table!",ADDRESS($BZ26,MATCH(AW$1,INDIRECT("Table!A" &amp; $BV26):INDIRECT("Table!" &amp; $CH$110 &amp; $BV26),0)))))/1024</f>
        <v>269.65859375000002</v>
      </c>
      <c r="AX26" s="709">
        <f ca="1">IF(ISERROR(MATCH(AX$1,INDIRECT("Table!A"&amp;$BV26):INDIRECT("Table!" &amp; $CH$110 &amp; $BV26),0)),"",INDIRECT(CONCATENATE("Table!",ADDRESS($BZ26,MATCH(AX$1,INDIRECT("Table!A" &amp; $BV26):INDIRECT("Table!" &amp; $CH$110 &amp; $BV26),0)))))/1024</f>
        <v>81.092578125000003</v>
      </c>
      <c r="AY26" s="709">
        <f ca="1">IF(ISERROR(MATCH(AY$1,INDIRECT("Table!A"&amp;$BV26):INDIRECT("Table!" &amp; $CH$110 &amp; $BV26),0)),"",INDIRECT(CONCATENATE("Table!",ADDRESS($BZ26,MATCH(AY$1,INDIRECT("Table!A" &amp; $BV26):INDIRECT("Table!" &amp; $CH$110 &amp; $BV26),0)))))/1024</f>
        <v>187.12714843750001</v>
      </c>
      <c r="AZ26" s="709">
        <f ca="1">IF(ISERROR(MATCH(AZ$1,INDIRECT("Table!A"&amp;$BV26):INDIRECT("Table!" &amp; $CH$110 &amp; $BV26),0)),"",INDIRECT(CONCATENATE("Table!",ADDRESS($BZ26,MATCH(AZ$1,INDIRECT("Table!A" &amp; $BV26):INDIRECT("Table!" &amp; $CH$110 &amp; $BV26),0)))))/1024</f>
        <v>251.84228515625</v>
      </c>
      <c r="BA26" s="709"/>
      <c r="BB26" s="709">
        <f ca="1">IF(ISERROR(MATCH(BB$1,INDIRECT("Table!A"&amp;$BV26):INDIRECT("Table!" &amp; $CH$110 &amp; $BV26),0)),"",INDIRECT(CONCATENATE("Table!",ADDRESS($BZ26,MATCH(BB$1,INDIRECT("Table!A" &amp; $BV26):INDIRECT("Table!" &amp; $CH$110 &amp; $BV26),0)))))/1024</f>
        <v>32.31494140625</v>
      </c>
      <c r="BC26" s="709">
        <f ca="1">IF(ISERROR(MATCH(BC$1,INDIRECT("Table!A"&amp;$BV26):INDIRECT("Table!" &amp; $CH$110 &amp; $BV26),0)),"",INDIRECT(CONCATENATE("Table!",ADDRESS($BZ26,MATCH(BC$1,INDIRECT("Table!A" &amp; $BV26):INDIRECT("Table!" &amp; $CH$110 &amp; $BV26),0)))))/1024</f>
        <v>99.80126953125</v>
      </c>
      <c r="BD26" s="709">
        <f ca="1">IF(ISERROR(MATCH(BD$1,INDIRECT("Table!A"&amp;$BV26):INDIRECT("Table!" &amp; $CH$110 &amp; $BV26),0)),"",INDIRECT(CONCATENATE("Table!",ADDRESS($BZ26,MATCH(BD$1,INDIRECT("Table!A" &amp; $BV26):INDIRECT("Table!" &amp; $CH$110 &amp; $BV26),0)))))/1024</f>
        <v>204.58642578125</v>
      </c>
      <c r="BE26" s="905">
        <f ca="1">IF(ISERROR(MATCH(BE$1,INDIRECT("Table!A"&amp;$BV26):INDIRECT("Table!" &amp; $CH$110 &amp; $BV26),0)),"",INDIRECT(CONCATENATE("Table!",ADDRESS($BZ26,MATCH(BE$1,INDIRECT("Table!A" &amp; $BV26):INDIRECT("Table!" &amp; $CH$110 &amp; $BV26),0)))))/1024</f>
        <v>99.80126953125</v>
      </c>
      <c r="BF26" s="905">
        <f ca="1">IF(ISERROR(MATCH(BF$1,INDIRECT("Table!A"&amp;$BV26):INDIRECT("Table!" &amp; $CH$110 &amp; $BV26),0)),"",INDIRECT(CONCATENATE("Table!",ADDRESS($BZ26,MATCH(BF$1,INDIRECT("Table!A" &amp; $BV26):INDIRECT("Table!" &amp; $CH$110 &amp; $BV26),0)))))/1024</f>
        <v>204.58642578125</v>
      </c>
      <c r="BG26" s="905">
        <f ca="1">IF(ISERROR(MATCH(BG$1,INDIRECT("Table!A"&amp;$BV26):INDIRECT("Table!" &amp; $CH$110 &amp; $BV26),0)),"",INDIRECT(CONCATENATE("Table!",ADDRESS($BZ26,MATCH(BG$1,INDIRECT("Table!A" &amp; $BV26):INDIRECT("Table!" &amp; $CH$110 &amp; $BV26),0)))))/1024</f>
        <v>99.80126953125</v>
      </c>
      <c r="BH26" s="905">
        <f ca="1">IF(ISERROR(MATCH(BH$1,INDIRECT("Table!A"&amp;$BV26):INDIRECT("Table!" &amp; $CH$110 &amp; $BV26),0)),"",INDIRECT(CONCATENATE("Table!",ADDRESS($BZ26,MATCH(BH$1,INDIRECT("Table!A" &amp; $BV26):INDIRECT("Table!" &amp; $CH$110 &amp; $BV26),0)))))/1024</f>
        <v>204.58642578125</v>
      </c>
      <c r="BI26" s="905">
        <f ca="1">IF(ISERROR(MATCH(BI$1,INDIRECT("Table!A"&amp;$BV26):INDIRECT("Table!" &amp; $CH$110 &amp; $BV26),0)),"",INDIRECT(CONCATENATE("Table!",ADDRESS($BZ26,MATCH(BI$1,INDIRECT("Table!A" &amp; $BV26):INDIRECT("Table!" &amp; $CH$110 &amp; $BV26),0)))))/1024</f>
        <v>320.99140625000001</v>
      </c>
      <c r="BJ26" s="905">
        <f ca="1">IF(ISERROR(MATCH(BJ$1,INDIRECT("Table!A"&amp;$BV26):INDIRECT("Table!" &amp; $CH$110 &amp; $BV26),0)),"",INDIRECT(CONCATENATE("Table!",ADDRESS($BZ26,MATCH(BJ$1,INDIRECT("Table!A" &amp; $BV26):INDIRECT("Table!" &amp; $CH$110 &amp; $BV26),0)))))/1024</f>
        <v>186.39765625000001</v>
      </c>
      <c r="BK26" s="905"/>
      <c r="BL26" s="905"/>
      <c r="BM26" s="905"/>
      <c r="BN26" s="905"/>
      <c r="BO26" s="905"/>
      <c r="BP26" s="905"/>
      <c r="BR26" s="704">
        <f>MATCH($A26,Table!$A:$A,0)+$BT$2-1</f>
        <v>341</v>
      </c>
      <c r="BS26" s="744"/>
      <c r="BT26" s="744"/>
      <c r="BU26" s="744"/>
      <c r="BV26" s="717">
        <f>MATCH($A26,Table!$A:$A,0)+$BX$2-1</f>
        <v>339</v>
      </c>
      <c r="BW26" s="744"/>
      <c r="BX26" s="744"/>
      <c r="BY26" s="744"/>
      <c r="BZ26" s="704">
        <f>MATCH($A26,Table!$A:$A,0)+$CB$2-1</f>
        <v>340</v>
      </c>
      <c r="CA26" s="744"/>
      <c r="CB26" s="744"/>
      <c r="CC26" s="744"/>
      <c r="CD26" s="717">
        <f>MATCH($A26,Table!$A:$A,0)+$BX$2-1</f>
        <v>339</v>
      </c>
      <c r="CE26" s="744"/>
      <c r="CF26" s="744"/>
      <c r="CG26" s="744"/>
      <c r="CH26" s="711" t="s">
        <v>302</v>
      </c>
      <c r="CI26" s="712">
        <f t="shared" ca="1" si="0"/>
        <v>4868.3230468749998</v>
      </c>
      <c r="CJ26" s="712">
        <f t="shared" ca="1" si="85"/>
        <v>2115.9412109374998</v>
      </c>
      <c r="CK26" s="712">
        <f t="shared" ref="CK26" ca="1" si="101">CI26-CJ26</f>
        <v>2752.3818359375</v>
      </c>
      <c r="CL26" s="718">
        <f t="shared" ref="CL26" ca="1" si="102">CJ26/CI26</f>
        <v>0.43463451183580198</v>
      </c>
      <c r="CM26" s="712">
        <f ca="1">SUMIF('Alloc Feed'!A:I,A:A,'Alloc Feed'!I:I)</f>
        <v>3626.0592041015616</v>
      </c>
      <c r="CN26" s="718">
        <f t="shared" ref="CN26" ca="1" si="103">CM26/CI26</f>
        <v>0.74482715489251405</v>
      </c>
    </row>
    <row r="27" spans="1:92" s="743" customFormat="1" x14ac:dyDescent="0.25">
      <c r="A27" s="703">
        <v>41808</v>
      </c>
      <c r="B27" s="709">
        <f ca="1">IF(ISERROR(MATCH(B$1,INDIRECT("Table!A"&amp;$BV27):INDIRECT("Table!" &amp; $CH$110 &amp; $BV27),0)),"",INDIRECT(CONCATENATE("Table!",ADDRESS($BR27,MATCH(B$1,INDIRECT("Table!A" &amp; $BV27):INDIRECT("Table!" &amp; $CH$110 &amp; $BV27),0)))))/1024</f>
        <v>100.29677734374999</v>
      </c>
      <c r="C27" s="709">
        <f ca="1">IF(ISERROR(MATCH(C$1,INDIRECT("Table!A"&amp;$BV27):INDIRECT("Table!" &amp; $CH$110 &amp; $BV27),0)),"",INDIRECT(CONCATENATE("Table!",ADDRESS($BR27,MATCH(C$1,INDIRECT("Table!A" &amp; $BV27):INDIRECT("Table!" &amp; $CH$110 &amp; $BV27),0)))))/1024</f>
        <v>81.599414062500003</v>
      </c>
      <c r="D27" s="709">
        <f ca="1">IF(ISERROR(MATCH(D$1,INDIRECT("Table!A"&amp;$BV27):INDIRECT("Table!" &amp; $CH$110 &amp; $BV27),0)),"",INDIRECT(CONCATENATE("Table!",ADDRESS($BR27,MATCH(D$1,INDIRECT("Table!A" &amp; $BV27):INDIRECT("Table!" &amp; $CH$110 &amp; $BV27),0)))))/1024</f>
        <v>82.333593750000006</v>
      </c>
      <c r="E27" s="709">
        <f ca="1">IF(ISERROR(MATCH(E$1,INDIRECT("Table!A"&amp;$BV27):INDIRECT("Table!" &amp; $CH$110 &amp; $BV27),0)),"",INDIRECT(CONCATENATE("Table!",ADDRESS($BR27,MATCH(E$1,INDIRECT("Table!A" &amp; $BV27):INDIRECT("Table!" &amp; $CH$110 &amp; $BV27),0)))))/1024</f>
        <v>134.88730468750001</v>
      </c>
      <c r="F27" s="709">
        <f ca="1">IF(ISERROR(MATCH(F$1,INDIRECT("Table!A"&amp;$BV27):INDIRECT("Table!" &amp; $CH$110 &amp; $BV27),0)),"",INDIRECT(CONCATENATE("Table!",ADDRESS($BR27,MATCH(F$1,INDIRECT("Table!A" &amp; $BV27):INDIRECT("Table!" &amp; $CH$110 &amp; $BV27),0)))))/1024</f>
        <v>112.77861328125</v>
      </c>
      <c r="G27" s="709">
        <f ca="1">IF(ISERROR(MATCH(G$1,INDIRECT("Table!A"&amp;$BV27):INDIRECT("Table!" &amp; $CH$110 &amp; $BV27),0)),"",INDIRECT(CONCATENATE("Table!",ADDRESS($BR27,MATCH(G$1,INDIRECT("Table!A" &amp; $BV27):INDIRECT("Table!" &amp; $CH$110 &amp; $BV27),0)))))/1024</f>
        <v>209.80800781249999</v>
      </c>
      <c r="H27" s="709">
        <f ca="1">IF(ISERROR(MATCH(H$1,INDIRECT("Table!A"&amp;$BV27):INDIRECT("Table!" &amp; $CH$110 &amp; $BV27),0)),"",INDIRECT(CONCATENATE("Table!",ADDRESS($BR27,MATCH(H$1,INDIRECT("Table!A" &amp; $BV27):INDIRECT("Table!" &amp; $CH$110 &amp; $BV27),0)))))/1024</f>
        <v>119.14951171875001</v>
      </c>
      <c r="I27" s="709">
        <f ca="1">IF(ISERROR(MATCH(I$1,INDIRECT("Table!A"&amp;$BV27):INDIRECT("Table!" &amp; $CH$110 &amp; $BV27),0)),"",INDIRECT(CONCATENATE("Table!",ADDRESS($BR27,MATCH(I$1,INDIRECT("Table!A" &amp; $BV27):INDIRECT("Table!" &amp; $CH$110 &amp; $BV27),0)))))/1024</f>
        <v>25.285351562500001</v>
      </c>
      <c r="J27" s="709">
        <f ca="1">IF(ISERROR(MATCH(J$1,INDIRECT("Table!A"&amp;$BV27):INDIRECT("Table!" &amp; $CH$110 &amp; $BV27),0)),"",INDIRECT(CONCATENATE("Table!",ADDRESS($BR27,MATCH(J$1,INDIRECT("Table!A" &amp; $BV27):INDIRECT("Table!" &amp; $CH$110 &amp; $BV27),0)))))/1024</f>
        <v>81.389062499999994</v>
      </c>
      <c r="K27" s="709">
        <f ca="1">IF(ISERROR(MATCH(K$1,INDIRECT("Table!A"&amp;$BV27):INDIRECT("Table!" &amp; $CH$110 &amp; $BV27),0)),"",INDIRECT(CONCATENATE("Table!",ADDRESS($BR27,MATCH(K$1,INDIRECT("Table!A" &amp; $BV27):INDIRECT("Table!" &amp; $CH$110 &amp; $BV27),0)))))/1024</f>
        <v>70.767871093750003</v>
      </c>
      <c r="L27" s="709">
        <f ca="1">IF(ISERROR(MATCH(L$1,INDIRECT("Table!A"&amp;$BV27):INDIRECT("Table!" &amp; $CH$110 &amp; $BV27),0)),"",INDIRECT(CONCATENATE("Table!",ADDRESS($BR27,MATCH(L$1,INDIRECT("Table!A" &amp; $BV27):INDIRECT("Table!" &amp; $CH$110 &amp; $BV27),0)))))/1024</f>
        <v>132.08085937499999</v>
      </c>
      <c r="M27" s="709">
        <f ca="1">IF(ISERROR(MATCH(M$1,INDIRECT("Table!A"&amp;$BV27):INDIRECT("Table!" &amp; $CH$110 &amp; $BV27),0)),"",INDIRECT(CONCATENATE("Table!",ADDRESS($BR27,MATCH(M$1,INDIRECT("Table!A" &amp; $BV27):INDIRECT("Table!" &amp; $CH$110 &amp; $BV27),0)))))/1024</f>
        <v>206.47998046875</v>
      </c>
      <c r="N27" s="709">
        <f ca="1">IF(ISERROR(MATCH(N$1,INDIRECT("Table!A"&amp;$BV27):INDIRECT("Table!" &amp; $CH$110 &amp; $BV27),0)),"",INDIRECT(CONCATENATE("Table!",ADDRESS($BR27,MATCH(N$1,INDIRECT("Table!A" &amp; $BV27):INDIRECT("Table!" &amp; $CH$110 &amp; $BV27),0)))))/1024</f>
        <v>56.925097656250003</v>
      </c>
      <c r="O27" s="709">
        <f ca="1">IF(ISERROR(MATCH(O$1,INDIRECT("Table!A"&amp;$BV27):INDIRECT("Table!" &amp; $CH$110 &amp; $BV27),0)),"",INDIRECT(CONCATENATE("Table!",ADDRESS($BR27,MATCH(O$1,INDIRECT("Table!A" &amp; $BV27):INDIRECT("Table!" &amp; $CH$110 &amp; $BV27),0)))))/1024</f>
        <v>220.3466796875</v>
      </c>
      <c r="P27" s="709">
        <f ca="1">IF(ISERROR(MATCH(P$1,INDIRECT("Table!A"&amp;$BV27):INDIRECT("Table!" &amp; $CH$110 &amp; $BV27),0)),"",INDIRECT(CONCATENATE("Table!",ADDRESS($BR27,MATCH(P$1,INDIRECT("Table!A" &amp; $BV27):INDIRECT("Table!" &amp; $CH$110 &amp; $BV27),0)))))/1024</f>
        <v>48.896191406249997</v>
      </c>
      <c r="Q27" s="709">
        <f ca="1">IF(ISERROR(MATCH(Q$1,INDIRECT("Table!A"&amp;$BV27):INDIRECT("Table!" &amp; $CH$110 &amp; $BV27),0)),"",INDIRECT(CONCATENATE("Table!",ADDRESS($BR27,MATCH(Q$1,INDIRECT("Table!A" &amp; $BV27):INDIRECT("Table!" &amp; $CH$110 &amp; $BV27),0)))))/1024</f>
        <v>128.63056640625001</v>
      </c>
      <c r="R27" s="709">
        <f ca="1">IF(ISERROR(MATCH(R$1,INDIRECT("Table!A"&amp;$BV27):INDIRECT("Table!" &amp; $CH$110 &amp; $BV27),0)),"",INDIRECT(CONCATENATE("Table!",ADDRESS($BR27,MATCH(R$1,INDIRECT("Table!A" &amp; $BV27):INDIRECT("Table!" &amp; $CH$110 &amp; $BV27),0)))))/1024</f>
        <v>167.44277343749999</v>
      </c>
      <c r="S27" s="709">
        <v>0</v>
      </c>
      <c r="T27" s="709">
        <f ca="1">IF(ISERROR(MATCH(T$1,INDIRECT("Table!A"&amp;$BV27):INDIRECT("Table!" &amp; $CH$65 &amp; $BV27),0)),"",INDIRECT(CONCATENATE("Table!",ADDRESS($BR27,MATCH(T$1,INDIRECT("Table!A" &amp; $BV27):INDIRECT("Table!" &amp; $CH$65 &amp; $BV27),0)))))/1024</f>
        <v>9.9869140625000004</v>
      </c>
      <c r="U27" s="709">
        <f ca="1">IF(ISERROR(MATCH(U$1,INDIRECT("Table!A"&amp;$BV27):INDIRECT("Table!" &amp; $CH$65 &amp; $BV27),0)),"",INDIRECT(CONCATENATE("Table!",ADDRESS($BR27,MATCH(U$1,INDIRECT("Table!A" &amp; $BV27):INDIRECT("Table!" &amp; $CH$65 &amp; $BV27),0)))))/1024</f>
        <v>14.400390625</v>
      </c>
      <c r="V27" s="709">
        <f ca="1">IF(ISERROR(MATCH(V$1,INDIRECT("Table!A"&amp;$BV27):INDIRECT("Table!" &amp; $CH$65 &amp; $BV27),0)),"",INDIRECT(CONCATENATE("Table!",ADDRESS($BR27,MATCH(V$1,INDIRECT("Table!A" &amp; $BV27):INDIRECT("Table!" &amp; $CH$65 &amp; $BV27),0)))))/1024</f>
        <v>28.800683593750001</v>
      </c>
      <c r="W27" s="709">
        <f ca="1">IF(ISERROR(MATCH(W$1,INDIRECT("Table!A"&amp;$BV27):INDIRECT("Table!" &amp; $CH$65 &amp; $BV27),0)),"",INDIRECT(CONCATENATE("Table!",ADDRESS($BR27,MATCH(W$1,INDIRECT("Table!A" &amp; $BV27):INDIRECT("Table!" &amp; $CH$65 &amp; $BV27),0)))))/1024</f>
        <v>14.77138671875</v>
      </c>
      <c r="X27" s="709">
        <f ca="1">IF(ISERROR(MATCH(X$1,INDIRECT("Table!A"&amp;$BV27):INDIRECT("Table!" &amp; $CH$65 &amp; $BV27),0)),"",INDIRECT(CONCATENATE("Table!",ADDRESS($BR27,MATCH(X$1,INDIRECT("Table!A" &amp; $BV27):INDIRECT("Table!" &amp; $CH$65 &amp; $BV27),0)))))/1024</f>
        <v>29.52783203125</v>
      </c>
      <c r="Y27" s="709">
        <f ca="1">IF(ISERROR(MATCH(Y$1,INDIRECT("Table!A"&amp;$BV27):INDIRECT("Table!" &amp; $CH$65 &amp; $BV27),0)),"",INDIRECT(CONCATENATE("Table!",ADDRESS($BR27,MATCH(Y$1,INDIRECT("Table!A" &amp; $BV27):INDIRECT("Table!" &amp; $CH$65 &amp; $BV27),0)))))/1024</f>
        <v>3.0273437500000001E-3</v>
      </c>
      <c r="Z27" s="709">
        <f ca="1">IF(ISERROR(MATCH(Z$1,INDIRECT("Table!A"&amp;$BV27):INDIRECT("Table!" &amp; $CH$65 &amp; $BV27),0)),"",INDIRECT(CONCATENATE("Table!",ADDRESS($BR27,MATCH(Z$1,INDIRECT("Table!A" &amp; $BV27):INDIRECT("Table!" &amp; $CH$65 &amp; $BV27),0)))))/1024</f>
        <v>5.859375E-3</v>
      </c>
      <c r="AA27" s="709">
        <f ca="1">IF(ISERROR(MATCH(AA$1,INDIRECT("Table!A"&amp;$BV27):INDIRECT("Table!" &amp; $CH$65 &amp; $BV27),0)),"",INDIRECT(CONCATENATE("Table!",ADDRESS($BR27,MATCH(AA$1,INDIRECT("Table!A" &amp; $BV27):INDIRECT("Table!" &amp; $CH$65 &amp; $BV27),0)))))/1024</f>
        <v>17.93408203125</v>
      </c>
      <c r="AB27" s="709">
        <f ca="1">IF(ISERROR(MATCH(AB$1,INDIRECT("Table!A"&amp;$BV27):INDIRECT("Table!" &amp; $CH$65 &amp; $BV27),0)),"",INDIRECT(CONCATENATE("Table!",ADDRESS($BR27,MATCH(AB$1,INDIRECT("Table!A" &amp; $BV27):INDIRECT("Table!" &amp; $CH$65 &amp; $BV27),0)))))/1024</f>
        <v>4.7851562500000003E-3</v>
      </c>
      <c r="AC27" s="709"/>
      <c r="AD27" s="905"/>
      <c r="AE27" s="905"/>
      <c r="AF27" s="905"/>
      <c r="AG27" s="905"/>
      <c r="AH27" s="905"/>
      <c r="AI27" s="709" t="str">
        <f ca="1">IF(ISERROR(MATCH(AI$1,INDIRECT("Table!A"&amp;$BV27):INDIRECT("Table!" &amp; $CH$110 &amp; $BV27),0)),"",INDIRECT(CONCATENATE("Table!",ADDRESS($BR27,MATCH(AI$1,INDIRECT("Table!A" &amp; $BV27):INDIRECT("Table!" &amp; $CH$110 &amp; $BV27),0)))))</f>
        <v/>
      </c>
      <c r="AJ27" s="709">
        <f ca="1">IF(ISERROR(MATCH(AJ$1,INDIRECT("Table!A"&amp;$BV27):INDIRECT("Table!" &amp; $CH$110 &amp; $BV27),0)),"",INDIRECT(CONCATENATE("Table!",ADDRESS($BZ27,MATCH(AJ$1,INDIRECT("Table!A" &amp; $BV27):INDIRECT("Table!" &amp; $CH$110 &amp; $BV27),0)))))/1024</f>
        <v>244.15859374999999</v>
      </c>
      <c r="AK27" s="709">
        <f ca="1">IF(ISERROR(MATCH(AK$1,INDIRECT("Table!A"&amp;$BV27):INDIRECT("Table!" &amp; $CH$110 &amp; $BV27),0)),"",INDIRECT(CONCATENATE("Table!",ADDRESS($BZ27,MATCH(AK$1,INDIRECT("Table!A" &amp; $BV27):INDIRECT("Table!" &amp; $CH$110 &amp; $BV27),0)))))/1024</f>
        <v>146.98896484375001</v>
      </c>
      <c r="AL27" s="709">
        <f ca="1">IF(ISERROR(MATCH(AL$1,INDIRECT("Table!A"&amp;$BV27):INDIRECT("Table!" &amp; $CH$110 &amp; $BV27),0)),"",INDIRECT(CONCATENATE("Table!",ADDRESS($BZ27,MATCH(AL$1,INDIRECT("Table!A" &amp; $BV27):INDIRECT("Table!" &amp; $CH$110 &amp; $BV27),0)))))/1024</f>
        <v>146.98896484375001</v>
      </c>
      <c r="AM27" s="709">
        <f ca="1">IF(ISERROR(MATCH(AM$1,INDIRECT("Table!A"&amp;$BV27):INDIRECT("Table!" &amp; $CH$110 &amp; $BV27),0)),"",INDIRECT(CONCATENATE("Table!",ADDRESS($BZ27,MATCH(AM$1,INDIRECT("Table!A" &amp; $BV27):INDIRECT("Table!" &amp; $CH$110 &amp; $BV27),0)))))/1024</f>
        <v>177.73320312499999</v>
      </c>
      <c r="AN27" s="709">
        <f ca="1">IF(ISERROR(MATCH(AN$1,INDIRECT("Table!A"&amp;$BV27):INDIRECT("Table!" &amp; $CH$110 &amp; $BV27),0)),"",INDIRECT(CONCATENATE("Table!",ADDRESS($BZ27,MATCH(AN$1,INDIRECT("Table!A" &amp; $BV27):INDIRECT("Table!" &amp; $CH$110 &amp; $BV27),0)))))/1024</f>
        <v>161.88056640625001</v>
      </c>
      <c r="AO27" s="709">
        <f ca="1">IF(ISERROR(MATCH(AO$1,INDIRECT("Table!A"&amp;$BV27):INDIRECT("Table!" &amp; $CH$110 &amp; $BV27),0)),"",INDIRECT(CONCATENATE("Table!",ADDRESS($BZ27,MATCH(AO$1,INDIRECT("Table!A" &amp; $BV27):INDIRECT("Table!" &amp; $CH$110 &amp; $BV27),0)))))/1024</f>
        <v>380.3759765625</v>
      </c>
      <c r="AP27" s="709">
        <f ca="1">IF(ISERROR(MATCH(AP$1,INDIRECT("Table!A"&amp;$BV27):INDIRECT("Table!" &amp; $CH$110 &amp; $BV27),0)),"",INDIRECT(CONCATENATE("Table!",ADDRESS($BZ27,MATCH(AP$1,INDIRECT("Table!A" &amp; $BV27):INDIRECT("Table!" &amp; $CH$110 &amp; $BV27),0)))))/1024</f>
        <v>167.94482421875</v>
      </c>
      <c r="AQ27" s="709">
        <f ca="1">IF(ISERROR(MATCH(AQ$1,INDIRECT("Table!A"&amp;$BV27):INDIRECT("Table!" &amp; $CH$110 &amp; $BV27),0)),"",INDIRECT(CONCATENATE("Table!",ADDRESS($BZ27,MATCH(AQ$1,INDIRECT("Table!A" &amp; $BV27):INDIRECT("Table!" &amp; $CH$110 &amp; $BV27),0)))))/1024</f>
        <v>162.185546875</v>
      </c>
      <c r="AR27" s="709">
        <f ca="1">IF(ISERROR(MATCH(AR$1,INDIRECT("Table!A"&amp;$BV27):INDIRECT("Table!" &amp; $CH$110 &amp; $BV27),0)),"",INDIRECT(CONCATENATE("Table!",ADDRESS($BZ27,MATCH(AR$1,INDIRECT("Table!A" &amp; $BV27):INDIRECT("Table!" &amp; $CH$110 &amp; $BV27),0)))))/1024</f>
        <v>121.1125</v>
      </c>
      <c r="AS27" s="709">
        <f ca="1">IF(ISERROR(MATCH(AS$1,INDIRECT("Table!A"&amp;$BV27):INDIRECT("Table!" &amp; $CH$110 &amp; $BV27),0)),"",INDIRECT(CONCATENATE("Table!",ADDRESS($BZ27,MATCH(AS$1,INDIRECT("Table!A" &amp; $BV27):INDIRECT("Table!" &amp; $CH$110 &amp; $BV27),0)))))/1024</f>
        <v>218.81953125000001</v>
      </c>
      <c r="AT27" s="709">
        <f ca="1">IF(ISERROR(MATCH(AT$1,INDIRECT("Table!A"&amp;$BV27):INDIRECT("Table!" &amp; $CH$110 &amp; $BV27),0)),"",INDIRECT(CONCATENATE("Table!",ADDRESS($BZ27,MATCH(AT$1,INDIRECT("Table!A" &amp; $BV27):INDIRECT("Table!" &amp; $CH$110 &amp; $BV27),0)))))/1024</f>
        <v>188.50498046875001</v>
      </c>
      <c r="AU27" s="709">
        <f ca="1">IF(ISERROR(MATCH(AU$1,INDIRECT("Table!A"&amp;$BV27):INDIRECT("Table!" &amp; $CH$110 &amp; $BV27),0)),"",INDIRECT(CONCATENATE("Table!",ADDRESS($BZ27,MATCH(AU$1,INDIRECT("Table!A" &amp; $BV27):INDIRECT("Table!" &amp; $CH$110 &amp; $BV27),0)))))/1024</f>
        <v>427.94912109375002</v>
      </c>
      <c r="AV27" s="709">
        <f ca="1">IF(ISERROR(MATCH(AV$1,INDIRECT("Table!A"&amp;$BV27):INDIRECT("Table!" &amp; $CH$110 &amp; $BV27),0)),"",INDIRECT(CONCATENATE("Table!",ADDRESS($BZ27,MATCH(AV$1,INDIRECT("Table!A" &amp; $BV27):INDIRECT("Table!" &amp; $CH$110 &amp; $BV27),0)))))/1024</f>
        <v>81.092578125000003</v>
      </c>
      <c r="AW27" s="709">
        <f ca="1">IF(ISERROR(MATCH(AW$1,INDIRECT("Table!A"&amp;$BV27):INDIRECT("Table!" &amp; $CH$110 &amp; $BV27),0)),"",INDIRECT(CONCATENATE("Table!",ADDRESS($BZ27,MATCH(AW$1,INDIRECT("Table!A" &amp; $BV27):INDIRECT("Table!" &amp; $CH$110 &amp; $BV27),0)))))/1024</f>
        <v>269.65859375000002</v>
      </c>
      <c r="AX27" s="709">
        <f ca="1">IF(ISERROR(MATCH(AX$1,INDIRECT("Table!A"&amp;$BV27):INDIRECT("Table!" &amp; $CH$110 &amp; $BV27),0)),"",INDIRECT(CONCATENATE("Table!",ADDRESS($BZ27,MATCH(AX$1,INDIRECT("Table!A" &amp; $BV27):INDIRECT("Table!" &amp; $CH$110 &amp; $BV27),0)))))/1024</f>
        <v>81.092578125000003</v>
      </c>
      <c r="AY27" s="709">
        <f ca="1">IF(ISERROR(MATCH(AY$1,INDIRECT("Table!A"&amp;$BV27):INDIRECT("Table!" &amp; $CH$110 &amp; $BV27),0)),"",INDIRECT(CONCATENATE("Table!",ADDRESS($BZ27,MATCH(AY$1,INDIRECT("Table!A" &amp; $BV27):INDIRECT("Table!" &amp; $CH$110 &amp; $BV27),0)))))/1024</f>
        <v>187.12714843750001</v>
      </c>
      <c r="AZ27" s="709">
        <f ca="1">IF(ISERROR(MATCH(AZ$1,INDIRECT("Table!A"&amp;$BV27):INDIRECT("Table!" &amp; $CH$110 &amp; $BV27),0)),"",INDIRECT(CONCATENATE("Table!",ADDRESS($BZ27,MATCH(AZ$1,INDIRECT("Table!A" &amp; $BV27):INDIRECT("Table!" &amp; $CH$110 &amp; $BV27),0)))))/1024</f>
        <v>251.84228515625</v>
      </c>
      <c r="BA27" s="709"/>
      <c r="BB27" s="709">
        <f ca="1">IF(ISERROR(MATCH(BB$1,INDIRECT("Table!A"&amp;$BV27):INDIRECT("Table!" &amp; $CH$110 &amp; $BV27),0)),"",INDIRECT(CONCATENATE("Table!",ADDRESS($BZ27,MATCH(BB$1,INDIRECT("Table!A" &amp; $BV27):INDIRECT("Table!" &amp; $CH$110 &amp; $BV27),0)))))/1024</f>
        <v>32.31494140625</v>
      </c>
      <c r="BC27" s="709">
        <f ca="1">IF(ISERROR(MATCH(BC$1,INDIRECT("Table!A"&amp;$BV27):INDIRECT("Table!" &amp; $CH$110 &amp; $BV27),0)),"",INDIRECT(CONCATENATE("Table!",ADDRESS($BZ27,MATCH(BC$1,INDIRECT("Table!A" &amp; $BV27):INDIRECT("Table!" &amp; $CH$110 &amp; $BV27),0)))))/1024</f>
        <v>99.80126953125</v>
      </c>
      <c r="BD27" s="709">
        <f ca="1">IF(ISERROR(MATCH(BD$1,INDIRECT("Table!A"&amp;$BV27):INDIRECT("Table!" &amp; $CH$110 &amp; $BV27),0)),"",INDIRECT(CONCATENATE("Table!",ADDRESS($BZ27,MATCH(BD$1,INDIRECT("Table!A" &amp; $BV27):INDIRECT("Table!" &amp; $CH$110 &amp; $BV27),0)))))/1024</f>
        <v>204.58642578125</v>
      </c>
      <c r="BE27" s="905">
        <f ca="1">IF(ISERROR(MATCH(BE$1,INDIRECT("Table!A"&amp;$BV27):INDIRECT("Table!" &amp; $CH$110 &amp; $BV27),0)),"",INDIRECT(CONCATENATE("Table!",ADDRESS($BZ27,MATCH(BE$1,INDIRECT("Table!A" &amp; $BV27):INDIRECT("Table!" &amp; $CH$110 &amp; $BV27),0)))))/1024</f>
        <v>99.80126953125</v>
      </c>
      <c r="BF27" s="905">
        <f ca="1">IF(ISERROR(MATCH(BF$1,INDIRECT("Table!A"&amp;$BV27):INDIRECT("Table!" &amp; $CH$110 &amp; $BV27),0)),"",INDIRECT(CONCATENATE("Table!",ADDRESS($BZ27,MATCH(BF$1,INDIRECT("Table!A" &amp; $BV27):INDIRECT("Table!" &amp; $CH$110 &amp; $BV27),0)))))/1024</f>
        <v>204.58642578125</v>
      </c>
      <c r="BG27" s="905">
        <f ca="1">IF(ISERROR(MATCH(BG$1,INDIRECT("Table!A"&amp;$BV27):INDIRECT("Table!" &amp; $CH$110 &amp; $BV27),0)),"",INDIRECT(CONCATENATE("Table!",ADDRESS($BZ27,MATCH(BG$1,INDIRECT("Table!A" &amp; $BV27):INDIRECT("Table!" &amp; $CH$110 &amp; $BV27),0)))))/1024</f>
        <v>99.80126953125</v>
      </c>
      <c r="BH27" s="905">
        <f ca="1">IF(ISERROR(MATCH(BH$1,INDIRECT("Table!A"&amp;$BV27):INDIRECT("Table!" &amp; $CH$110 &amp; $BV27),0)),"",INDIRECT(CONCATENATE("Table!",ADDRESS($BZ27,MATCH(BH$1,INDIRECT("Table!A" &amp; $BV27):INDIRECT("Table!" &amp; $CH$110 &amp; $BV27),0)))))/1024</f>
        <v>204.58642578125</v>
      </c>
      <c r="BI27" s="905">
        <f ca="1">IF(ISERROR(MATCH(BI$1,INDIRECT("Table!A"&amp;$BV27):INDIRECT("Table!" &amp; $CH$110 &amp; $BV27),0)),"",INDIRECT(CONCATENATE("Table!",ADDRESS($BZ27,MATCH(BI$1,INDIRECT("Table!A" &amp; $BV27):INDIRECT("Table!" &amp; $CH$110 &amp; $BV27),0)))))/1024</f>
        <v>256.50185546875002</v>
      </c>
      <c r="BJ27" s="905">
        <f ca="1">IF(ISERROR(MATCH(BJ$1,INDIRECT("Table!A"&amp;$BV27):INDIRECT("Table!" &amp; $CH$110 &amp; $BV27),0)),"",INDIRECT(CONCATENATE("Table!",ADDRESS($BZ27,MATCH(BJ$1,INDIRECT("Table!A" &amp; $BV27):INDIRECT("Table!" &amp; $CH$110 &amp; $BV27),0)))))/1024</f>
        <v>186.39765625000001</v>
      </c>
      <c r="BK27" s="905"/>
      <c r="BL27" s="905"/>
      <c r="BM27" s="905"/>
      <c r="BN27" s="905"/>
      <c r="BO27" s="905"/>
      <c r="BP27" s="905"/>
      <c r="BR27" s="704">
        <f>MATCH($A27,Table!$A:$A,0)+$BT$2-1</f>
        <v>355</v>
      </c>
      <c r="BS27" s="744"/>
      <c r="BT27" s="744"/>
      <c r="BU27" s="744"/>
      <c r="BV27" s="717">
        <f>MATCH($A27,Table!$A:$A,0)+$BX$2-1</f>
        <v>353</v>
      </c>
      <c r="BW27" s="744"/>
      <c r="BX27" s="744"/>
      <c r="BY27" s="744"/>
      <c r="BZ27" s="704">
        <f>MATCH($A27,Table!$A:$A,0)+$CB$2-1</f>
        <v>354</v>
      </c>
      <c r="CA27" s="744"/>
      <c r="CB27" s="744"/>
      <c r="CC27" s="744"/>
      <c r="CD27" s="717">
        <f>MATCH($A27,Table!$A:$A,0)+$BX$2-1</f>
        <v>353</v>
      </c>
      <c r="CE27" s="744"/>
      <c r="CF27" s="744"/>
      <c r="CG27" s="744"/>
      <c r="CH27" s="711" t="s">
        <v>302</v>
      </c>
      <c r="CI27" s="712">
        <f t="shared" ca="1" si="0"/>
        <v>4803.83349609375</v>
      </c>
      <c r="CJ27" s="712">
        <f t="shared" ca="1" si="85"/>
        <v>2094.5326171874995</v>
      </c>
      <c r="CK27" s="712">
        <f t="shared" ref="CK27" ca="1" si="104">CI27-CJ27</f>
        <v>2709.3008789062505</v>
      </c>
      <c r="CL27" s="718">
        <f t="shared" ref="CL27" ca="1" si="105">CJ27/CI27</f>
        <v>0.43601274250880556</v>
      </c>
      <c r="CM27" s="712">
        <f ca="1">SUMIF('Alloc Feed'!A:I,A:A,'Alloc Feed'!I:I)</f>
        <v>3587.6666044921876</v>
      </c>
      <c r="CN27" s="718">
        <f t="shared" ref="CN27" ca="1" si="106">CM27/CI27</f>
        <v>0.74683408727831813</v>
      </c>
    </row>
    <row r="28" spans="1:92" s="743" customFormat="1" x14ac:dyDescent="0.25">
      <c r="A28" s="703">
        <v>41801</v>
      </c>
      <c r="B28" s="709">
        <f ca="1">IF(ISERROR(MATCH(B$1,INDIRECT("Table!A"&amp;$BV28):INDIRECT("Table!" &amp; $CH$110 &amp; $BV28),0)),"",INDIRECT(CONCATENATE("Table!",ADDRESS($BR28,MATCH(B$1,INDIRECT("Table!A" &amp; $BV28):INDIRECT("Table!" &amp; $CH$110 &amp; $BV28),0)))))/1024</f>
        <v>100.29677734374999</v>
      </c>
      <c r="C28" s="709">
        <f ca="1">IF(ISERROR(MATCH(C$1,INDIRECT("Table!A"&amp;$BV28):INDIRECT("Table!" &amp; $CH$110 &amp; $BV28),0)),"",INDIRECT(CONCATENATE("Table!",ADDRESS($BR28,MATCH(C$1,INDIRECT("Table!A" &amp; $BV28):INDIRECT("Table!" &amp; $CH$110 &amp; $BV28),0)))))/1024</f>
        <v>81.599414062500003</v>
      </c>
      <c r="D28" s="709">
        <f ca="1">IF(ISERROR(MATCH(D$1,INDIRECT("Table!A"&amp;$BV28):INDIRECT("Table!" &amp; $CH$110 &amp; $BV28),0)),"",INDIRECT(CONCATENATE("Table!",ADDRESS($BR28,MATCH(D$1,INDIRECT("Table!A" &amp; $BV28):INDIRECT("Table!" &amp; $CH$110 &amp; $BV28),0)))))/1024</f>
        <v>82.291894531249994</v>
      </c>
      <c r="E28" s="709">
        <f ca="1">IF(ISERROR(MATCH(E$1,INDIRECT("Table!A"&amp;$BV28):INDIRECT("Table!" &amp; $CH$110 &amp; $BV28),0)),"",INDIRECT(CONCATENATE("Table!",ADDRESS($BR28,MATCH(E$1,INDIRECT("Table!A" &amp; $BV28):INDIRECT("Table!" &amp; $CH$110 &amp; $BV28),0)))))/1024</f>
        <v>144.34707031249999</v>
      </c>
      <c r="F28" s="709">
        <f ca="1">IF(ISERROR(MATCH(F$1,INDIRECT("Table!A"&amp;$BV28):INDIRECT("Table!" &amp; $CH$110 &amp; $BV28),0)),"",INDIRECT(CONCATENATE("Table!",ADDRESS($BR28,MATCH(F$1,INDIRECT("Table!A" &amp; $BV28):INDIRECT("Table!" &amp; $CH$110 &amp; $BV28),0)))))/1024</f>
        <v>112.0361328125</v>
      </c>
      <c r="G28" s="709">
        <f ca="1">IF(ISERROR(MATCH(G$1,INDIRECT("Table!A"&amp;$BV28):INDIRECT("Table!" &amp; $CH$110 &amp; $BV28),0)),"",INDIRECT(CONCATENATE("Table!",ADDRESS($BR28,MATCH(G$1,INDIRECT("Table!A" &amp; $BV28):INDIRECT("Table!" &amp; $CH$110 &amp; $BV28),0)))))/1024</f>
        <v>209.23173828124999</v>
      </c>
      <c r="H28" s="709">
        <f ca="1">IF(ISERROR(MATCH(H$1,INDIRECT("Table!A"&amp;$BV28):INDIRECT("Table!" &amp; $CH$110 &amp; $BV28),0)),"",INDIRECT(CONCATENATE("Table!",ADDRESS($BR28,MATCH(H$1,INDIRECT("Table!A" &amp; $BV28):INDIRECT("Table!" &amp; $CH$110 &amp; $BV28),0)))))/1024</f>
        <v>118.94589843750001</v>
      </c>
      <c r="I28" s="709">
        <f ca="1">IF(ISERROR(MATCH(I$1,INDIRECT("Table!A"&amp;$BV28):INDIRECT("Table!" &amp; $CH$110 &amp; $BV28),0)),"",INDIRECT(CONCATENATE("Table!",ADDRESS($BR28,MATCH(I$1,INDIRECT("Table!A" &amp; $BV28):INDIRECT("Table!" &amp; $CH$110 &amp; $BV28),0)))))/1024</f>
        <v>25.254687499999999</v>
      </c>
      <c r="J28" s="709">
        <f ca="1">IF(ISERROR(MATCH(J$1,INDIRECT("Table!A"&amp;$BV28):INDIRECT("Table!" &amp; $CH$110 &amp; $BV28),0)),"",INDIRECT(CONCATENATE("Table!",ADDRESS($BR28,MATCH(J$1,INDIRECT("Table!A" &amp; $BV28):INDIRECT("Table!" &amp; $CH$110 &amp; $BV28),0)))))/1024</f>
        <v>80.728515625</v>
      </c>
      <c r="K28" s="709">
        <f ca="1">IF(ISERROR(MATCH(K$1,INDIRECT("Table!A"&amp;$BV28):INDIRECT("Table!" &amp; $CH$110 &amp; $BV28),0)),"",INDIRECT(CONCATENATE("Table!",ADDRESS($BR28,MATCH(K$1,INDIRECT("Table!A" &amp; $BV28):INDIRECT("Table!" &amp; $CH$110 &amp; $BV28),0)))))/1024</f>
        <v>69.831738281249997</v>
      </c>
      <c r="L28" s="709">
        <f ca="1">IF(ISERROR(MATCH(L$1,INDIRECT("Table!A"&amp;$BV28):INDIRECT("Table!" &amp; $CH$110 &amp; $BV28),0)),"",INDIRECT(CONCATENATE("Table!",ADDRESS($BR28,MATCH(L$1,INDIRECT("Table!A" &amp; $BV28):INDIRECT("Table!" &amp; $CH$110 &amp; $BV28),0)))))/1024</f>
        <v>143.82548828124999</v>
      </c>
      <c r="M28" s="709">
        <f ca="1">IF(ISERROR(MATCH(M$1,INDIRECT("Table!A"&amp;$BV28):INDIRECT("Table!" &amp; $CH$110 &amp; $BV28),0)),"",INDIRECT(CONCATENATE("Table!",ADDRESS($BR28,MATCH(M$1,INDIRECT("Table!A" &amp; $BV28):INDIRECT("Table!" &amp; $CH$110 &amp; $BV28),0)))))/1024</f>
        <v>206.13134765625</v>
      </c>
      <c r="N28" s="709">
        <f ca="1">IF(ISERROR(MATCH(N$1,INDIRECT("Table!A"&amp;$BV28):INDIRECT("Table!" &amp; $CH$110 &amp; $BV28),0)),"",INDIRECT(CONCATENATE("Table!",ADDRESS($BR28,MATCH(N$1,INDIRECT("Table!A" &amp; $BV28):INDIRECT("Table!" &amp; $CH$110 &amp; $BV28),0)))))/1024</f>
        <v>56.557519531250001</v>
      </c>
      <c r="O28" s="709">
        <f ca="1">IF(ISERROR(MATCH(O$1,INDIRECT("Table!A"&amp;$BV28):INDIRECT("Table!" &amp; $CH$110 &amp; $BV28),0)),"",INDIRECT(CONCATENATE("Table!",ADDRESS($BR28,MATCH(O$1,INDIRECT("Table!A" &amp; $BV28):INDIRECT("Table!" &amp; $CH$110 &amp; $BV28),0)))))/1024</f>
        <v>219.94843750000001</v>
      </c>
      <c r="P28" s="709">
        <f ca="1">IF(ISERROR(MATCH(P$1,INDIRECT("Table!A"&amp;$BV28):INDIRECT("Table!" &amp; $CH$110 &amp; $BV28),0)),"",INDIRECT(CONCATENATE("Table!",ADDRESS($BR28,MATCH(P$1,INDIRECT("Table!A" &amp; $BV28):INDIRECT("Table!" &amp; $CH$110 &amp; $BV28),0)))))/1024</f>
        <v>48.8349609375</v>
      </c>
      <c r="Q28" s="709">
        <f ca="1">IF(ISERROR(MATCH(Q$1,INDIRECT("Table!A"&amp;$BV28):INDIRECT("Table!" &amp; $CH$110 &amp; $BV28),0)),"",INDIRECT(CONCATENATE("Table!",ADDRESS($BR28,MATCH(Q$1,INDIRECT("Table!A" &amp; $BV28):INDIRECT("Table!" &amp; $CH$110 &amp; $BV28),0)))))/1024</f>
        <v>122.9853515625</v>
      </c>
      <c r="R28" s="709">
        <f ca="1">IF(ISERROR(MATCH(R$1,INDIRECT("Table!A"&amp;$BV28):INDIRECT("Table!" &amp; $CH$110 &amp; $BV28),0)),"",INDIRECT(CONCATENATE("Table!",ADDRESS($BR28,MATCH(R$1,INDIRECT("Table!A" &amp; $BV28):INDIRECT("Table!" &amp; $CH$110 &amp; $BV28),0)))))/1024</f>
        <v>163.75712890624999</v>
      </c>
      <c r="S28" s="709">
        <v>0</v>
      </c>
      <c r="T28" s="709">
        <f ca="1">IF(ISERROR(MATCH(T$1,INDIRECT("Table!A"&amp;$BV28):INDIRECT("Table!" &amp; $CH$65 &amp; $BV28),0)),"",INDIRECT(CONCATENATE("Table!",ADDRESS($BR28,MATCH(T$1,INDIRECT("Table!A" &amp; $BV28):INDIRECT("Table!" &amp; $CH$65 &amp; $BV28),0)))))/1024</f>
        <v>9.9869140625000004</v>
      </c>
      <c r="U28" s="709">
        <f ca="1">IF(ISERROR(MATCH(U$1,INDIRECT("Table!A"&amp;$BV28):INDIRECT("Table!" &amp; $CH$65 &amp; $BV28),0)),"",INDIRECT(CONCATENATE("Table!",ADDRESS($BR28,MATCH(U$1,INDIRECT("Table!A" &amp; $BV28):INDIRECT("Table!" &amp; $CH$65 &amp; $BV28),0)))))/1024</f>
        <v>14.09287109375</v>
      </c>
      <c r="V28" s="709">
        <f ca="1">IF(ISERROR(MATCH(V$1,INDIRECT("Table!A"&amp;$BV28):INDIRECT("Table!" &amp; $CH$65 &amp; $BV28),0)),"",INDIRECT(CONCATENATE("Table!",ADDRESS($BR28,MATCH(V$1,INDIRECT("Table!A" &amp; $BV28):INDIRECT("Table!" &amp; $CH$65 &amp; $BV28),0)))))/1024</f>
        <v>28.185742187500001</v>
      </c>
      <c r="W28" s="709">
        <f ca="1">IF(ISERROR(MATCH(W$1,INDIRECT("Table!A"&amp;$BV28):INDIRECT("Table!" &amp; $CH$65 &amp; $BV28),0)),"",INDIRECT(CONCATENATE("Table!",ADDRESS($BR28,MATCH(W$1,INDIRECT("Table!A" &amp; $BV28):INDIRECT("Table!" &amp; $CH$65 &amp; $BV28),0)))))/1024</f>
        <v>7.8489257812500002</v>
      </c>
      <c r="X28" s="709">
        <f ca="1">IF(ISERROR(MATCH(X$1,INDIRECT("Table!A"&amp;$BV28):INDIRECT("Table!" &amp; $CH$65 &amp; $BV28),0)),"",INDIRECT(CONCATENATE("Table!",ADDRESS($BR28,MATCH(X$1,INDIRECT("Table!A" &amp; $BV28):INDIRECT("Table!" &amp; $CH$65 &amp; $BV28),0)))))/1024</f>
        <v>15.682812500000001</v>
      </c>
      <c r="Y28" s="709">
        <f ca="1">IF(ISERROR(MATCH(Y$1,INDIRECT("Table!A"&amp;$BV28):INDIRECT("Table!" &amp; $CH$65 &amp; $BV28),0)),"",INDIRECT(CONCATENATE("Table!",ADDRESS($BR28,MATCH(Y$1,INDIRECT("Table!A" &amp; $BV28):INDIRECT("Table!" &amp; $CH$65 &amp; $BV28),0)))))/1024</f>
        <v>3.0273437500000001E-3</v>
      </c>
      <c r="Z28" s="709">
        <f ca="1">IF(ISERROR(MATCH(Z$1,INDIRECT("Table!A"&amp;$BV28):INDIRECT("Table!" &amp; $CH$65 &amp; $BV28),0)),"",INDIRECT(CONCATENATE("Table!",ADDRESS($BR28,MATCH(Z$1,INDIRECT("Table!A" &amp; $BV28):INDIRECT("Table!" &amp; $CH$65 &amp; $BV28),0)))))/1024</f>
        <v>5.859375E-3</v>
      </c>
      <c r="AA28" s="709">
        <f ca="1">IF(ISERROR(MATCH(AA$1,INDIRECT("Table!A"&amp;$BV28):INDIRECT("Table!" &amp; $CH$65 &amp; $BV28),0)),"",INDIRECT(CONCATENATE("Table!",ADDRESS($BR28,MATCH(AA$1,INDIRECT("Table!A" &amp; $BV28):INDIRECT("Table!" &amp; $CH$65 &amp; $BV28),0)))))/1024</f>
        <v>17.627148437500001</v>
      </c>
      <c r="AB28" s="709"/>
      <c r="AC28" s="905"/>
      <c r="AD28" s="905"/>
      <c r="AE28" s="905"/>
      <c r="AF28" s="905"/>
      <c r="AG28" s="905"/>
      <c r="AH28" s="905"/>
      <c r="AI28" s="709" t="str">
        <f ca="1">IF(ISERROR(MATCH(AI$1,INDIRECT("Table!A"&amp;$BV28):INDIRECT("Table!" &amp; $CH$110 &amp; $BV28),0)),"",INDIRECT(CONCATENATE("Table!",ADDRESS($BR28,MATCH(AI$1,INDIRECT("Table!A" &amp; $BV28):INDIRECT("Table!" &amp; $CH$110 &amp; $BV28),0)))))</f>
        <v/>
      </c>
      <c r="AJ28" s="709">
        <f ca="1">IF(ISERROR(MATCH(AJ$1,INDIRECT("Table!A"&amp;$BV28):INDIRECT("Table!" &amp; $CH$110 &amp; $BV28),0)),"",INDIRECT(CONCATENATE("Table!",ADDRESS($BZ28,MATCH(AJ$1,INDIRECT("Table!A" &amp; $BV28):INDIRECT("Table!" &amp; $CH$110 &amp; $BV28),0)))))/1024</f>
        <v>244.15859374999999</v>
      </c>
      <c r="AK28" s="709">
        <f ca="1">IF(ISERROR(MATCH(AK$1,INDIRECT("Table!A"&amp;$BV28):INDIRECT("Table!" &amp; $CH$110 &amp; $BV28),0)),"",INDIRECT(CONCATENATE("Table!",ADDRESS($BZ28,MATCH(AK$1,INDIRECT("Table!A" &amp; $BV28):INDIRECT("Table!" &amp; $CH$110 &amp; $BV28),0)))))/1024</f>
        <v>146.98896484375001</v>
      </c>
      <c r="AL28" s="709">
        <f ca="1">IF(ISERROR(MATCH(AL$1,INDIRECT("Table!A"&amp;$BV28):INDIRECT("Table!" &amp; $CH$110 &amp; $BV28),0)),"",INDIRECT(CONCATENATE("Table!",ADDRESS($BZ28,MATCH(AL$1,INDIRECT("Table!A" &amp; $BV28):INDIRECT("Table!" &amp; $CH$110 &amp; $BV28),0)))))/1024</f>
        <v>146.98896484375001</v>
      </c>
      <c r="AM28" s="709">
        <f ca="1">IF(ISERROR(MATCH(AM$1,INDIRECT("Table!A"&amp;$BV28):INDIRECT("Table!" &amp; $CH$110 &amp; $BV28),0)),"",INDIRECT(CONCATENATE("Table!",ADDRESS($BZ28,MATCH(AM$1,INDIRECT("Table!A" &amp; $BV28):INDIRECT("Table!" &amp; $CH$110 &amp; $BV28),0)))))/1024</f>
        <v>177.73320312499999</v>
      </c>
      <c r="AN28" s="709">
        <f ca="1">IF(ISERROR(MATCH(AN$1,INDIRECT("Table!A"&amp;$BV28):INDIRECT("Table!" &amp; $CH$110 &amp; $BV28),0)),"",INDIRECT(CONCATENATE("Table!",ADDRESS($BZ28,MATCH(AN$1,INDIRECT("Table!A" &amp; $BV28):INDIRECT("Table!" &amp; $CH$110 &amp; $BV28),0)))))/1024</f>
        <v>161.88056640625001</v>
      </c>
      <c r="AO28" s="709">
        <f ca="1">IF(ISERROR(MATCH(AO$1,INDIRECT("Table!A"&amp;$BV28):INDIRECT("Table!" &amp; $CH$110 &amp; $BV28),0)),"",INDIRECT(CONCATENATE("Table!",ADDRESS($BZ28,MATCH(AO$1,INDIRECT("Table!A" &amp; $BV28):INDIRECT("Table!" &amp; $CH$110 &amp; $BV28),0)))))/1024</f>
        <v>380.3759765625</v>
      </c>
      <c r="AP28" s="709">
        <f ca="1">IF(ISERROR(MATCH(AP$1,INDIRECT("Table!A"&amp;$BV28):INDIRECT("Table!" &amp; $CH$110 &amp; $BV28),0)),"",INDIRECT(CONCATENATE("Table!",ADDRESS($BZ28,MATCH(AP$1,INDIRECT("Table!A" &amp; $BV28):INDIRECT("Table!" &amp; $CH$110 &amp; $BV28),0)))))/1024</f>
        <v>167.94482421875</v>
      </c>
      <c r="AQ28" s="709">
        <f ca="1">IF(ISERROR(MATCH(AQ$1,INDIRECT("Table!A"&amp;$BV28):INDIRECT("Table!" &amp; $CH$110 &amp; $BV28),0)),"",INDIRECT(CONCATENATE("Table!",ADDRESS($BZ28,MATCH(AQ$1,INDIRECT("Table!A" &amp; $BV28):INDIRECT("Table!" &amp; $CH$110 &amp; $BV28),0)))))/1024</f>
        <v>162.185546875</v>
      </c>
      <c r="AR28" s="709">
        <f ca="1">IF(ISERROR(MATCH(AR$1,INDIRECT("Table!A"&amp;$BV28):INDIRECT("Table!" &amp; $CH$110 &amp; $BV28),0)),"",INDIRECT(CONCATENATE("Table!",ADDRESS($BZ28,MATCH(AR$1,INDIRECT("Table!A" &amp; $BV28):INDIRECT("Table!" &amp; $CH$110 &amp; $BV28),0)))))/1024</f>
        <v>121.1125</v>
      </c>
      <c r="AS28" s="709">
        <f ca="1">IF(ISERROR(MATCH(AS$1,INDIRECT("Table!A"&amp;$BV28):INDIRECT("Table!" &amp; $CH$110 &amp; $BV28),0)),"",INDIRECT(CONCATENATE("Table!",ADDRESS($BZ28,MATCH(AS$1,INDIRECT("Table!A" &amp; $BV28):INDIRECT("Table!" &amp; $CH$110 &amp; $BV28),0)))))/1024</f>
        <v>218.81953125000001</v>
      </c>
      <c r="AT28" s="709">
        <f ca="1">IF(ISERROR(MATCH(AT$1,INDIRECT("Table!A"&amp;$BV28):INDIRECT("Table!" &amp; $CH$110 &amp; $BV28),0)),"",INDIRECT(CONCATENATE("Table!",ADDRESS($BZ28,MATCH(AT$1,INDIRECT("Table!A" &amp; $BV28):INDIRECT("Table!" &amp; $CH$110 &amp; $BV28),0)))))/1024</f>
        <v>188.50498046875001</v>
      </c>
      <c r="AU28" s="709">
        <f ca="1">IF(ISERROR(MATCH(AU$1,INDIRECT("Table!A"&amp;$BV28):INDIRECT("Table!" &amp; $CH$110 &amp; $BV28),0)),"",INDIRECT(CONCATENATE("Table!",ADDRESS($BZ28,MATCH(AU$1,INDIRECT("Table!A" &amp; $BV28):INDIRECT("Table!" &amp; $CH$110 &amp; $BV28),0)))))/1024</f>
        <v>427.94912109375002</v>
      </c>
      <c r="AV28" s="709">
        <f ca="1">IF(ISERROR(MATCH(AV$1,INDIRECT("Table!A"&amp;$BV28):INDIRECT("Table!" &amp; $CH$110 &amp; $BV28),0)),"",INDIRECT(CONCATENATE("Table!",ADDRESS($BZ28,MATCH(AV$1,INDIRECT("Table!A" &amp; $BV28):INDIRECT("Table!" &amp; $CH$110 &amp; $BV28),0)))))/1024</f>
        <v>81.092578125000003</v>
      </c>
      <c r="AW28" s="709">
        <f ca="1">IF(ISERROR(MATCH(AW$1,INDIRECT("Table!A"&amp;$BV28):INDIRECT("Table!" &amp; $CH$110 &amp; $BV28),0)),"",INDIRECT(CONCATENATE("Table!",ADDRESS($BZ28,MATCH(AW$1,INDIRECT("Table!A" &amp; $BV28):INDIRECT("Table!" &amp; $CH$110 &amp; $BV28),0)))))/1024</f>
        <v>269.65859375000002</v>
      </c>
      <c r="AX28" s="709">
        <f ca="1">IF(ISERROR(MATCH(AX$1,INDIRECT("Table!A"&amp;$BV28):INDIRECT("Table!" &amp; $CH$110 &amp; $BV28),0)),"",INDIRECT(CONCATENATE("Table!",ADDRESS($BZ28,MATCH(AX$1,INDIRECT("Table!A" &amp; $BV28):INDIRECT("Table!" &amp; $CH$110 &amp; $BV28),0)))))/1024</f>
        <v>81.092578125000003</v>
      </c>
      <c r="AY28" s="709">
        <f ca="1">IF(ISERROR(MATCH(AY$1,INDIRECT("Table!A"&amp;$BV28):INDIRECT("Table!" &amp; $CH$110 &amp; $BV28),0)),"",INDIRECT(CONCATENATE("Table!",ADDRESS($BZ28,MATCH(AY$1,INDIRECT("Table!A" &amp; $BV28):INDIRECT("Table!" &amp; $CH$110 &amp; $BV28),0)))))/1024</f>
        <v>187.12714843750001</v>
      </c>
      <c r="AZ28" s="709">
        <f ca="1">IF(ISERROR(MATCH(AZ$1,INDIRECT("Table!A"&amp;$BV28):INDIRECT("Table!" &amp; $CH$110 &amp; $BV28),0)),"",INDIRECT(CONCATENATE("Table!",ADDRESS($BZ28,MATCH(AZ$1,INDIRECT("Table!A" &amp; $BV28):INDIRECT("Table!" &amp; $CH$110 &amp; $BV28),0)))))/1024</f>
        <v>251.84228515625</v>
      </c>
      <c r="BA28" s="709"/>
      <c r="BB28" s="709">
        <f ca="1">IF(ISERROR(MATCH(BB$1,INDIRECT("Table!A"&amp;$BV28):INDIRECT("Table!" &amp; $CH$110 &amp; $BV28),0)),"",INDIRECT(CONCATENATE("Table!",ADDRESS($BZ28,MATCH(BB$1,INDIRECT("Table!A" &amp; $BV28):INDIRECT("Table!" &amp; $CH$110 &amp; $BV28),0)))))/1024</f>
        <v>32.31494140625</v>
      </c>
      <c r="BC28" s="709">
        <f ca="1">IF(ISERROR(MATCH(BC$1,INDIRECT("Table!A"&amp;$BV28):INDIRECT("Table!" &amp; $CH$110 &amp; $BV28),0)),"",INDIRECT(CONCATENATE("Table!",ADDRESS($BZ28,MATCH(BC$1,INDIRECT("Table!A" &amp; $BV28):INDIRECT("Table!" &amp; $CH$110 &amp; $BV28),0)))))/1024</f>
        <v>99.80126953125</v>
      </c>
      <c r="BD28" s="709">
        <f ca="1">IF(ISERROR(MATCH(BD$1,INDIRECT("Table!A"&amp;$BV28):INDIRECT("Table!" &amp; $CH$110 &amp; $BV28),0)),"",INDIRECT(CONCATENATE("Table!",ADDRESS($BZ28,MATCH(BD$1,INDIRECT("Table!A" &amp; $BV28):INDIRECT("Table!" &amp; $CH$110 &amp; $BV28),0)))))/1024</f>
        <v>204.58642578125</v>
      </c>
      <c r="BE28" s="905">
        <f ca="1">IF(ISERROR(MATCH(BE$1,INDIRECT("Table!A"&amp;$BV28):INDIRECT("Table!" &amp; $CH$110 &amp; $BV28),0)),"",INDIRECT(CONCATENATE("Table!",ADDRESS($BZ28,MATCH(BE$1,INDIRECT("Table!A" &amp; $BV28):INDIRECT("Table!" &amp; $CH$110 &amp; $BV28),0)))))/1024</f>
        <v>99.80126953125</v>
      </c>
      <c r="BF28" s="905">
        <f ca="1">IF(ISERROR(MATCH(BF$1,INDIRECT("Table!A"&amp;$BV28):INDIRECT("Table!" &amp; $CH$110 &amp; $BV28),0)),"",INDIRECT(CONCATENATE("Table!",ADDRESS($BZ28,MATCH(BF$1,INDIRECT("Table!A" &amp; $BV28):INDIRECT("Table!" &amp; $CH$110 &amp; $BV28),0)))))/1024</f>
        <v>204.58642578125</v>
      </c>
      <c r="BG28" s="905">
        <f ca="1">IF(ISERROR(MATCH(BG$1,INDIRECT("Table!A"&amp;$BV28):INDIRECT("Table!" &amp; $CH$110 &amp; $BV28),0)),"",INDIRECT(CONCATENATE("Table!",ADDRESS($BZ28,MATCH(BG$1,INDIRECT("Table!A" &amp; $BV28):INDIRECT("Table!" &amp; $CH$110 &amp; $BV28),0)))))/1024</f>
        <v>99.80126953125</v>
      </c>
      <c r="BH28" s="905">
        <f ca="1">IF(ISERROR(MATCH(BH$1,INDIRECT("Table!A"&amp;$BV28):INDIRECT("Table!" &amp; $CH$110 &amp; $BV28),0)),"",INDIRECT(CONCATENATE("Table!",ADDRESS($BZ28,MATCH(BH$1,INDIRECT("Table!A" &amp; $BV28):INDIRECT("Table!" &amp; $CH$110 &amp; $BV28),0)))))/1024</f>
        <v>204.58642578125</v>
      </c>
      <c r="BI28" s="905">
        <f ca="1">IF(ISERROR(MATCH(BI$1,INDIRECT("Table!A"&amp;$BV28):INDIRECT("Table!" &amp; $CH$110 &amp; $BV28),0)),"",INDIRECT(CONCATENATE("Table!",ADDRESS($BZ28,MATCH(BI$1,INDIRECT("Table!A" &amp; $BV28):INDIRECT("Table!" &amp; $CH$110 &amp; $BV28),0)))))/1024</f>
        <v>223.11875000000001</v>
      </c>
      <c r="BJ28" s="905"/>
      <c r="BK28" s="905"/>
      <c r="BL28" s="905"/>
      <c r="BM28" s="905"/>
      <c r="BN28" s="905"/>
      <c r="BO28" s="905"/>
      <c r="BP28" s="905"/>
      <c r="BQ28" s="905"/>
      <c r="BR28" s="704">
        <f>MATCH($A28,Table!$A:$A,0)+$BT$2-1</f>
        <v>369</v>
      </c>
      <c r="BS28" s="744"/>
      <c r="BT28" s="744"/>
      <c r="BU28" s="744"/>
      <c r="BV28" s="717">
        <f>MATCH($A28,Table!$A:$A,0)+$BX$2-1</f>
        <v>367</v>
      </c>
      <c r="BW28" s="744"/>
      <c r="BX28" s="744"/>
      <c r="BY28" s="744"/>
      <c r="BZ28" s="704">
        <f>MATCH($A28,Table!$A:$A,0)+$CB$2-1</f>
        <v>368</v>
      </c>
      <c r="CA28" s="744"/>
      <c r="CB28" s="744"/>
      <c r="CC28" s="744"/>
      <c r="CD28" s="717">
        <f>MATCH($A28,Table!$A:$A,0)+$BX$2-1</f>
        <v>367</v>
      </c>
      <c r="CE28" s="744"/>
      <c r="CF28" s="744"/>
      <c r="CG28" s="744"/>
      <c r="CH28" s="711" t="s">
        <v>302</v>
      </c>
      <c r="CI28" s="712">
        <f t="shared" ca="1" si="0"/>
        <v>4584.0527343749991</v>
      </c>
      <c r="CJ28" s="712">
        <f t="shared" ca="1" si="85"/>
        <v>2080.0374023437507</v>
      </c>
      <c r="CK28" s="712">
        <f t="shared" ref="CK28" ca="1" si="107">CI28-CJ28</f>
        <v>2504.0153320312484</v>
      </c>
      <c r="CL28" s="718">
        <f t="shared" ref="CL28" ca="1" si="108">CJ28/CI28</f>
        <v>0.45375512082265523</v>
      </c>
      <c r="CM28" s="712">
        <f ca="1">SUMIF('Alloc Feed'!A:I,A:A,'Alloc Feed'!I:I)</f>
        <v>3464.7180908203122</v>
      </c>
      <c r="CN28" s="718">
        <f t="shared" ref="CN28" ca="1" si="109">CM28/CI28</f>
        <v>0.75581985888578573</v>
      </c>
    </row>
    <row r="29" spans="1:92" s="743" customFormat="1" x14ac:dyDescent="0.25">
      <c r="A29" s="703">
        <v>41794</v>
      </c>
      <c r="B29" s="709">
        <f ca="1">IF(ISERROR(MATCH(B$1,INDIRECT("Table!A"&amp;$BV29):INDIRECT("Table!" &amp; $CH$110 &amp; $BV29),0)),"",INDIRECT(CONCATENATE("Table!",ADDRESS($BR29,MATCH(B$1,INDIRECT("Table!A" &amp; $BV29):INDIRECT("Table!" &amp; $CH$110 &amp; $BV29),0)))))/1024</f>
        <v>99.743945312500003</v>
      </c>
      <c r="C29" s="709">
        <f ca="1">IF(ISERROR(MATCH(C$1,INDIRECT("Table!A"&amp;$BV29):INDIRECT("Table!" &amp; $CH$110 &amp; $BV29),0)),"",INDIRECT(CONCATENATE("Table!",ADDRESS($BR29,MATCH(C$1,INDIRECT("Table!A" &amp; $BV29):INDIRECT("Table!" &amp; $CH$110 &amp; $BV29),0)))))/1024</f>
        <v>81.565624999999997</v>
      </c>
      <c r="D29" s="709">
        <f ca="1">IF(ISERROR(MATCH(D$1,INDIRECT("Table!A"&amp;$BV29):INDIRECT("Table!" &amp; $CH$110 &amp; $BV29),0)),"",INDIRECT(CONCATENATE("Table!",ADDRESS($BR29,MATCH(D$1,INDIRECT("Table!A" &amp; $BV29):INDIRECT("Table!" &amp; $CH$110 &amp; $BV29),0)))))/1024</f>
        <v>82.227734374999997</v>
      </c>
      <c r="E29" s="709">
        <f ca="1">IF(ISERROR(MATCH(E$1,INDIRECT("Table!A"&amp;$BV29):INDIRECT("Table!" &amp; $CH$110 &amp; $BV29),0)),"",INDIRECT(CONCATENATE("Table!",ADDRESS($BR29,MATCH(E$1,INDIRECT("Table!A" &amp; $BV29):INDIRECT("Table!" &amp; $CH$110 &amp; $BV29),0)))))/1024</f>
        <v>144.15566406249999</v>
      </c>
      <c r="F29" s="709">
        <f ca="1">IF(ISERROR(MATCH(F$1,INDIRECT("Table!A"&amp;$BV29):INDIRECT("Table!" &amp; $CH$110 &amp; $BV29),0)),"",INDIRECT(CONCATENATE("Table!",ADDRESS($BR29,MATCH(F$1,INDIRECT("Table!A" &amp; $BV29):INDIRECT("Table!" &amp; $CH$110 &amp; $BV29),0)))))/1024</f>
        <v>111.71181640624999</v>
      </c>
      <c r="G29" s="709">
        <f ca="1">IF(ISERROR(MATCH(G$1,INDIRECT("Table!A"&amp;$BV29):INDIRECT("Table!" &amp; $CH$110 &amp; $BV29),0)),"",INDIRECT(CONCATENATE("Table!",ADDRESS($BR29,MATCH(G$1,INDIRECT("Table!A" &amp; $BV29):INDIRECT("Table!" &amp; $CH$110 &amp; $BV29),0)))))/1024</f>
        <v>208.82080078125</v>
      </c>
      <c r="H29" s="709">
        <f ca="1">IF(ISERROR(MATCH(H$1,INDIRECT("Table!A"&amp;$BV29):INDIRECT("Table!" &amp; $CH$110 &amp; $BV29),0)),"",INDIRECT(CONCATENATE("Table!",ADDRESS($BR29,MATCH(H$1,INDIRECT("Table!A" &amp; $BV29):INDIRECT("Table!" &amp; $CH$110 &amp; $BV29),0)))))/1024</f>
        <v>118.0685546875</v>
      </c>
      <c r="I29" s="709">
        <f ca="1">IF(ISERROR(MATCH(I$1,INDIRECT("Table!A"&amp;$BV29):INDIRECT("Table!" &amp; $CH$110 &amp; $BV29),0)),"",INDIRECT(CONCATENATE("Table!",ADDRESS($BR29,MATCH(I$1,INDIRECT("Table!A" &amp; $BV29):INDIRECT("Table!" &amp; $CH$110 &amp; $BV29),0)))))/1024</f>
        <v>24.9248046875</v>
      </c>
      <c r="J29" s="709">
        <f ca="1">IF(ISERROR(MATCH(J$1,INDIRECT("Table!A"&amp;$BV29):INDIRECT("Table!" &amp; $CH$110 &amp; $BV29),0)),"",INDIRECT(CONCATENATE("Table!",ADDRESS($BR29,MATCH(J$1,INDIRECT("Table!A" &amp; $BV29):INDIRECT("Table!" &amp; $CH$110 &amp; $BV29),0)))))/1024</f>
        <v>80.615136718749994</v>
      </c>
      <c r="K29" s="709">
        <f ca="1">IF(ISERROR(MATCH(K$1,INDIRECT("Table!A"&amp;$BV29):INDIRECT("Table!" &amp; $CH$110 &amp; $BV29),0)),"",INDIRECT(CONCATENATE("Table!",ADDRESS($BR29,MATCH(K$1,INDIRECT("Table!A" &amp; $BV29):INDIRECT("Table!" &amp; $CH$110 &amp; $BV29),0)))))/1024</f>
        <v>65.337988281250006</v>
      </c>
      <c r="L29" s="709">
        <f ca="1">IF(ISERROR(MATCH(L$1,INDIRECT("Table!A"&amp;$BV29):INDIRECT("Table!" &amp; $CH$110 &amp; $BV29),0)),"",INDIRECT(CONCATENATE("Table!",ADDRESS($BR29,MATCH(L$1,INDIRECT("Table!A" &amp; $BV29):INDIRECT("Table!" &amp; $CH$110 &amp; $BV29),0)))))/1024</f>
        <v>143.57558593749999</v>
      </c>
      <c r="M29" s="709">
        <f ca="1">IF(ISERROR(MATCH(M$1,INDIRECT("Table!A"&amp;$BV29):INDIRECT("Table!" &amp; $CH$110 &amp; $BV29),0)),"",INDIRECT(CONCATENATE("Table!",ADDRESS($BR29,MATCH(M$1,INDIRECT("Table!A" &amp; $BV29):INDIRECT("Table!" &amp; $CH$110 &amp; $BV29),0)))))/1024</f>
        <v>205.76445312499999</v>
      </c>
      <c r="N29" s="709">
        <f ca="1">IF(ISERROR(MATCH(N$1,INDIRECT("Table!A"&amp;$BV29):INDIRECT("Table!" &amp; $CH$110 &amp; $BV29),0)),"",INDIRECT(CONCATENATE("Table!",ADDRESS($BR29,MATCH(N$1,INDIRECT("Table!A" &amp; $BV29):INDIRECT("Table!" &amp; $CH$110 &amp; $BV29),0)))))/1024</f>
        <v>56.403906249999999</v>
      </c>
      <c r="O29" s="709">
        <f ca="1">IF(ISERROR(MATCH(O$1,INDIRECT("Table!A"&amp;$BV29):INDIRECT("Table!" &amp; $CH$110 &amp; $BV29),0)),"",INDIRECT(CONCATENATE("Table!",ADDRESS($BR29,MATCH(O$1,INDIRECT("Table!A" &amp; $BV29):INDIRECT("Table!" &amp; $CH$110 &amp; $BV29),0)))))/1024</f>
        <v>218.23378906249999</v>
      </c>
      <c r="P29" s="709">
        <f ca="1">IF(ISERROR(MATCH(P$1,INDIRECT("Table!A"&amp;$BV29):INDIRECT("Table!" &amp; $CH$110 &amp; $BV29),0)),"",INDIRECT(CONCATENATE("Table!",ADDRESS($BR29,MATCH(P$1,INDIRECT("Table!A" &amp; $BV29):INDIRECT("Table!" &amp; $CH$110 &amp; $BV29),0)))))/1024</f>
        <v>48.175195312500001</v>
      </c>
      <c r="Q29" s="709">
        <f ca="1">IF(ISERROR(MATCH(Q$1,INDIRECT("Table!A"&amp;$BV29):INDIRECT("Table!" &amp; $CH$110 &amp; $BV29),0)),"",INDIRECT(CONCATENATE("Table!",ADDRESS($BR29,MATCH(Q$1,INDIRECT("Table!A" &amp; $BV29):INDIRECT("Table!" &amp; $CH$110 &amp; $BV29),0)))))/1024</f>
        <v>122.79384765624999</v>
      </c>
      <c r="R29" s="709">
        <f ca="1">IF(ISERROR(MATCH(R$1,INDIRECT("Table!A"&amp;$BV29):INDIRECT("Table!" &amp; $CH$110 &amp; $BV29),0)),"",INDIRECT(CONCATENATE("Table!",ADDRESS($BR29,MATCH(R$1,INDIRECT("Table!A" &amp; $BV29):INDIRECT("Table!" &amp; $CH$110 &amp; $BV29),0)))))/1024</f>
        <v>162.25791015625001</v>
      </c>
      <c r="S29" s="709">
        <v>0</v>
      </c>
      <c r="T29" s="709">
        <f ca="1">IF(ISERROR(MATCH(T$1,INDIRECT("Table!A"&amp;$BV29):INDIRECT("Table!" &amp; $CH$65 &amp; $BV29),0)),"",INDIRECT(CONCATENATE("Table!",ADDRESS($BR29,MATCH(T$1,INDIRECT("Table!A" &amp; $BV29):INDIRECT("Table!" &amp; $CH$65 &amp; $BV29),0)))))/1024</f>
        <v>9.9869140625000004</v>
      </c>
      <c r="U29" s="709">
        <f ca="1">IF(ISERROR(MATCH(U$1,INDIRECT("Table!A"&amp;$BV29):INDIRECT("Table!" &amp; $CH$65 &amp; $BV29),0)),"",INDIRECT(CONCATENATE("Table!",ADDRESS($BR29,MATCH(U$1,INDIRECT("Table!A" &amp; $BV29):INDIRECT("Table!" &amp; $CH$65 &amp; $BV29),0)))))/1024</f>
        <v>12.2201171875</v>
      </c>
      <c r="V29" s="709">
        <f ca="1">IF(ISERROR(MATCH(V$1,INDIRECT("Table!A"&amp;$BV29):INDIRECT("Table!" &amp; $CH$65 &amp; $BV29),0)),"",INDIRECT(CONCATENATE("Table!",ADDRESS($BR29,MATCH(V$1,INDIRECT("Table!A" &amp; $BV29):INDIRECT("Table!" &amp; $CH$65 &amp; $BV29),0)))))/1024</f>
        <v>24.440136718750001</v>
      </c>
      <c r="W29" s="709">
        <f ca="1">IF(ISERROR(MATCH(W$1,INDIRECT("Table!A"&amp;$BV29):INDIRECT("Table!" &amp; $CH$65 &amp; $BV29),0)),"",INDIRECT(CONCATENATE("Table!",ADDRESS($BR29,MATCH(W$1,INDIRECT("Table!A" &amp; $BV29):INDIRECT("Table!" &amp; $CH$65 &amp; $BV29),0)))))/1024</f>
        <v>6.6955078124999998</v>
      </c>
      <c r="X29" s="709">
        <f ca="1">IF(ISERROR(MATCH(X$1,INDIRECT("Table!A"&amp;$BV29):INDIRECT("Table!" &amp; $CH$65 &amp; $BV29),0)),"",INDIRECT(CONCATENATE("Table!",ADDRESS($BR29,MATCH(X$1,INDIRECT("Table!A" &amp; $BV29):INDIRECT("Table!" &amp; $CH$65 &amp; $BV29),0)))))/1024</f>
        <v>13.3755859375</v>
      </c>
      <c r="Y29" s="709">
        <f ca="1">IF(ISERROR(MATCH(Y$1,INDIRECT("Table!A"&amp;$BV29):INDIRECT("Table!" &amp; $CH$65 &amp; $BV29),0)),"",INDIRECT(CONCATENATE("Table!",ADDRESS($BR29,MATCH(Y$1,INDIRECT("Table!A" &amp; $BV29):INDIRECT("Table!" &amp; $CH$65 &amp; $BV29),0)))))/1024</f>
        <v>3.0273437500000001E-3</v>
      </c>
      <c r="Z29" s="709">
        <f ca="1">IF(ISERROR(MATCH(Z$1,INDIRECT("Table!A"&amp;$BV29):INDIRECT("Table!" &amp; $CH$65 &amp; $BV29),0)),"",INDIRECT(CONCATENATE("Table!",ADDRESS($BR29,MATCH(Z$1,INDIRECT("Table!A" &amp; $BV29):INDIRECT("Table!" &amp; $CH$65 &amp; $BV29),0)))))/1024</f>
        <v>5.859375E-3</v>
      </c>
      <c r="AA29" s="709">
        <f ca="1">IF(ISERROR(MATCH(AA$1,INDIRECT("Table!A"&amp;$BV29):INDIRECT("Table!" &amp; $CH$65 &amp; $BV29),0)),"",INDIRECT(CONCATENATE("Table!",ADDRESS($BR29,MATCH(AA$1,INDIRECT("Table!A" &amp; $BV29):INDIRECT("Table!" &amp; $CH$65 &amp; $BV29),0)))))/1024</f>
        <v>14.375195312500001</v>
      </c>
      <c r="AB29" s="709"/>
      <c r="AC29" s="905"/>
      <c r="AD29" s="905"/>
      <c r="AE29" s="905"/>
      <c r="AF29" s="905"/>
      <c r="AG29" s="905"/>
      <c r="AH29" s="905"/>
      <c r="AI29" s="709" t="str">
        <f ca="1">IF(ISERROR(MATCH(AI$1,INDIRECT("Table!A"&amp;$BV29):INDIRECT("Table!" &amp; $CH$110 &amp; $BV29),0)),"",INDIRECT(CONCATENATE("Table!",ADDRESS($BR29,MATCH(AI$1,INDIRECT("Table!A" &amp; $BV29):INDIRECT("Table!" &amp; $CH$110 &amp; $BV29),0)))))</f>
        <v/>
      </c>
      <c r="AJ29" s="709">
        <f ca="1">IF(ISERROR(MATCH(AJ$1,INDIRECT("Table!A"&amp;$BV29):INDIRECT("Table!" &amp; $CH$110 &amp; $BV29),0)),"",INDIRECT(CONCATENATE("Table!",ADDRESS($BZ29,MATCH(AJ$1,INDIRECT("Table!A" &amp; $BV29):INDIRECT("Table!" &amp; $CH$110 &amp; $BV29),0)))))/1024</f>
        <v>244.15859374999999</v>
      </c>
      <c r="AK29" s="709">
        <f ca="1">IF(ISERROR(MATCH(AK$1,INDIRECT("Table!A"&amp;$BV29):INDIRECT("Table!" &amp; $CH$110 &amp; $BV29),0)),"",INDIRECT(CONCATENATE("Table!",ADDRESS($BZ29,MATCH(AK$1,INDIRECT("Table!A" &amp; $BV29):INDIRECT("Table!" &amp; $CH$110 &amp; $BV29),0)))))/1024</f>
        <v>146.98896484375001</v>
      </c>
      <c r="AL29" s="709">
        <f ca="1">IF(ISERROR(MATCH(AL$1,INDIRECT("Table!A"&amp;$BV29):INDIRECT("Table!" &amp; $CH$110 &amp; $BV29),0)),"",INDIRECT(CONCATENATE("Table!",ADDRESS($BZ29,MATCH(AL$1,INDIRECT("Table!A" &amp; $BV29):INDIRECT("Table!" &amp; $CH$110 &amp; $BV29),0)))))/1024</f>
        <v>146.98896484375001</v>
      </c>
      <c r="AM29" s="709">
        <f ca="1">IF(ISERROR(MATCH(AM$1,INDIRECT("Table!A"&amp;$BV29):INDIRECT("Table!" &amp; $CH$110 &amp; $BV29),0)),"",INDIRECT(CONCATENATE("Table!",ADDRESS($BZ29,MATCH(AM$1,INDIRECT("Table!A" &amp; $BV29):INDIRECT("Table!" &amp; $CH$110 &amp; $BV29),0)))))/1024</f>
        <v>177.73320312499999</v>
      </c>
      <c r="AN29" s="709">
        <f ca="1">IF(ISERROR(MATCH(AN$1,INDIRECT("Table!A"&amp;$BV29):INDIRECT("Table!" &amp; $CH$110 &amp; $BV29),0)),"",INDIRECT(CONCATENATE("Table!",ADDRESS($BZ29,MATCH(AN$1,INDIRECT("Table!A" &amp; $BV29):INDIRECT("Table!" &amp; $CH$110 &amp; $BV29),0)))))/1024</f>
        <v>161.88056640625001</v>
      </c>
      <c r="AO29" s="709">
        <f ca="1">IF(ISERROR(MATCH(AO$1,INDIRECT("Table!A"&amp;$BV29):INDIRECT("Table!" &amp; $CH$110 &amp; $BV29),0)),"",INDIRECT(CONCATENATE("Table!",ADDRESS($BZ29,MATCH(AO$1,INDIRECT("Table!A" &amp; $BV29):INDIRECT("Table!" &amp; $CH$110 &amp; $BV29),0)))))/1024</f>
        <v>380.3759765625</v>
      </c>
      <c r="AP29" s="709">
        <f ca="1">IF(ISERROR(MATCH(AP$1,INDIRECT("Table!A"&amp;$BV29):INDIRECT("Table!" &amp; $CH$110 &amp; $BV29),0)),"",INDIRECT(CONCATENATE("Table!",ADDRESS($BZ29,MATCH(AP$1,INDIRECT("Table!A" &amp; $BV29):INDIRECT("Table!" &amp; $CH$110 &amp; $BV29),0)))))/1024</f>
        <v>167.94482421875</v>
      </c>
      <c r="AQ29" s="709">
        <f ca="1">IF(ISERROR(MATCH(AQ$1,INDIRECT("Table!A"&amp;$BV29):INDIRECT("Table!" &amp; $CH$110 &amp; $BV29),0)),"",INDIRECT(CONCATENATE("Table!",ADDRESS($BZ29,MATCH(AQ$1,INDIRECT("Table!A" &amp; $BV29):INDIRECT("Table!" &amp; $CH$110 &amp; $BV29),0)))))/1024</f>
        <v>162.185546875</v>
      </c>
      <c r="AR29" s="709">
        <f ca="1">IF(ISERROR(MATCH(AR$1,INDIRECT("Table!A"&amp;$BV29):INDIRECT("Table!" &amp; $CH$110 &amp; $BV29),0)),"",INDIRECT(CONCATENATE("Table!",ADDRESS($BZ29,MATCH(AR$1,INDIRECT("Table!A" &amp; $BV29):INDIRECT("Table!" &amp; $CH$110 &amp; $BV29),0)))))/1024</f>
        <v>121.1125</v>
      </c>
      <c r="AS29" s="709">
        <f ca="1">IF(ISERROR(MATCH(AS$1,INDIRECT("Table!A"&amp;$BV29):INDIRECT("Table!" &amp; $CH$110 &amp; $BV29),0)),"",INDIRECT(CONCATENATE("Table!",ADDRESS($BZ29,MATCH(AS$1,INDIRECT("Table!A" &amp; $BV29):INDIRECT("Table!" &amp; $CH$110 &amp; $BV29),0)))))/1024</f>
        <v>218.81953125000001</v>
      </c>
      <c r="AT29" s="709">
        <f ca="1">IF(ISERROR(MATCH(AT$1,INDIRECT("Table!A"&amp;$BV29):INDIRECT("Table!" &amp; $CH$110 &amp; $BV29),0)),"",INDIRECT(CONCATENATE("Table!",ADDRESS($BZ29,MATCH(AT$1,INDIRECT("Table!A" &amp; $BV29):INDIRECT("Table!" &amp; $CH$110 &amp; $BV29),0)))))/1024</f>
        <v>188.50498046875001</v>
      </c>
      <c r="AU29" s="709">
        <f ca="1">IF(ISERROR(MATCH(AU$1,INDIRECT("Table!A"&amp;$BV29):INDIRECT("Table!" &amp; $CH$110 &amp; $BV29),0)),"",INDIRECT(CONCATENATE("Table!",ADDRESS($BZ29,MATCH(AU$1,INDIRECT("Table!A" &amp; $BV29):INDIRECT("Table!" &amp; $CH$110 &amp; $BV29),0)))))/1024</f>
        <v>427.94912109375002</v>
      </c>
      <c r="AV29" s="709">
        <f ca="1">IF(ISERROR(MATCH(AV$1,INDIRECT("Table!A"&amp;$BV29):INDIRECT("Table!" &amp; $CH$110 &amp; $BV29),0)),"",INDIRECT(CONCATENATE("Table!",ADDRESS($BZ29,MATCH(AV$1,INDIRECT("Table!A" &amp; $BV29):INDIRECT("Table!" &amp; $CH$110 &amp; $BV29),0)))))/1024</f>
        <v>81.092578125000003</v>
      </c>
      <c r="AW29" s="709">
        <f ca="1">IF(ISERROR(MATCH(AW$1,INDIRECT("Table!A"&amp;$BV29):INDIRECT("Table!" &amp; $CH$110 &amp; $BV29),0)),"",INDIRECT(CONCATENATE("Table!",ADDRESS($BZ29,MATCH(AW$1,INDIRECT("Table!A" &amp; $BV29):INDIRECT("Table!" &amp; $CH$110 &amp; $BV29),0)))))/1024</f>
        <v>269.65859375000002</v>
      </c>
      <c r="AX29" s="709">
        <f ca="1">IF(ISERROR(MATCH(AX$1,INDIRECT("Table!A"&amp;$BV29):INDIRECT("Table!" &amp; $CH$110 &amp; $BV29),0)),"",INDIRECT(CONCATENATE("Table!",ADDRESS($BZ29,MATCH(AX$1,INDIRECT("Table!A" &amp; $BV29):INDIRECT("Table!" &amp; $CH$110 &amp; $BV29),0)))))/1024</f>
        <v>81.092578125000003</v>
      </c>
      <c r="AY29" s="709">
        <f ca="1">IF(ISERROR(MATCH(AY$1,INDIRECT("Table!A"&amp;$BV29):INDIRECT("Table!" &amp; $CH$110 &amp; $BV29),0)),"",INDIRECT(CONCATENATE("Table!",ADDRESS($BZ29,MATCH(AY$1,INDIRECT("Table!A" &amp; $BV29):INDIRECT("Table!" &amp; $CH$110 &amp; $BV29),0)))))/1024</f>
        <v>187.12714843750001</v>
      </c>
      <c r="AZ29" s="709">
        <f ca="1">IF(ISERROR(MATCH(AZ$1,INDIRECT("Table!A"&amp;$BV29):INDIRECT("Table!" &amp; $CH$110 &amp; $BV29),0)),"",INDIRECT(CONCATENATE("Table!",ADDRESS($BZ29,MATCH(AZ$1,INDIRECT("Table!A" &amp; $BV29):INDIRECT("Table!" &amp; $CH$110 &amp; $BV29),0)))))/1024</f>
        <v>251.84228515625</v>
      </c>
      <c r="BA29" s="709"/>
      <c r="BB29" s="709">
        <f ca="1">IF(ISERROR(MATCH(BB$1,INDIRECT("Table!A"&amp;$BV29):INDIRECT("Table!" &amp; $CH$110 &amp; $BV29),0)),"",INDIRECT(CONCATENATE("Table!",ADDRESS($BZ29,MATCH(BB$1,INDIRECT("Table!A" &amp; $BV29):INDIRECT("Table!" &amp; $CH$110 &amp; $BV29),0)))))/1024</f>
        <v>32.31494140625</v>
      </c>
      <c r="BC29" s="709">
        <f ca="1">IF(ISERROR(MATCH(BC$1,INDIRECT("Table!A"&amp;$BV29):INDIRECT("Table!" &amp; $CH$110 &amp; $BV29),0)),"",INDIRECT(CONCATENATE("Table!",ADDRESS($BZ29,MATCH(BC$1,INDIRECT("Table!A" &amp; $BV29):INDIRECT("Table!" &amp; $CH$110 &amp; $BV29),0)))))/1024</f>
        <v>99.80126953125</v>
      </c>
      <c r="BD29" s="709">
        <f ca="1">IF(ISERROR(MATCH(BD$1,INDIRECT("Table!A"&amp;$BV29):INDIRECT("Table!" &amp; $CH$110 &amp; $BV29),0)),"",INDIRECT(CONCATENATE("Table!",ADDRESS($BZ29,MATCH(BD$1,INDIRECT("Table!A" &amp; $BV29):INDIRECT("Table!" &amp; $CH$110 &amp; $BV29),0)))))/1024</f>
        <v>204.58642578125</v>
      </c>
      <c r="BE29" s="905">
        <f ca="1">IF(ISERROR(MATCH(BE$1,INDIRECT("Table!A"&amp;$BV29):INDIRECT("Table!" &amp; $CH$110 &amp; $BV29),0)),"",INDIRECT(CONCATENATE("Table!",ADDRESS($BZ29,MATCH(BE$1,INDIRECT("Table!A" &amp; $BV29):INDIRECT("Table!" &amp; $CH$110 &amp; $BV29),0)))))/1024</f>
        <v>99.80126953125</v>
      </c>
      <c r="BF29" s="905">
        <f ca="1">IF(ISERROR(MATCH(BF$1,INDIRECT("Table!A"&amp;$BV29):INDIRECT("Table!" &amp; $CH$110 &amp; $BV29),0)),"",INDIRECT(CONCATENATE("Table!",ADDRESS($BZ29,MATCH(BF$1,INDIRECT("Table!A" &amp; $BV29):INDIRECT("Table!" &amp; $CH$110 &amp; $BV29),0)))))/1024</f>
        <v>204.58642578125</v>
      </c>
      <c r="BG29" s="905">
        <f ca="1">IF(ISERROR(MATCH(BG$1,INDIRECT("Table!A"&amp;$BV29):INDIRECT("Table!" &amp; $CH$110 &amp; $BV29),0)),"",INDIRECT(CONCATENATE("Table!",ADDRESS($BZ29,MATCH(BG$1,INDIRECT("Table!A" &amp; $BV29):INDIRECT("Table!" &amp; $CH$110 &amp; $BV29),0)))))/1024</f>
        <v>99.80126953125</v>
      </c>
      <c r="BH29" s="905">
        <f ca="1">IF(ISERROR(MATCH(BH$1,INDIRECT("Table!A"&amp;$BV29):INDIRECT("Table!" &amp; $CH$110 &amp; $BV29),0)),"",INDIRECT(CONCATENATE("Table!",ADDRESS($BZ29,MATCH(BH$1,INDIRECT("Table!A" &amp; $BV29):INDIRECT("Table!" &amp; $CH$110 &amp; $BV29),0)))))/1024</f>
        <v>204.58642578125</v>
      </c>
      <c r="BI29" s="905">
        <f ca="1">IF(ISERROR(MATCH(BI$1,INDIRECT("Table!A"&amp;$BV29):INDIRECT("Table!" &amp; $CH$110 &amp; $BV29),0)),"",INDIRECT(CONCATENATE("Table!",ADDRESS($BZ29,MATCH(BI$1,INDIRECT("Table!A" &amp; $BV29):INDIRECT("Table!" &amp; $CH$110 &amp; $BV29),0)))))/1024</f>
        <v>223.11875000000001</v>
      </c>
      <c r="BJ29" s="905"/>
      <c r="BK29" s="905"/>
      <c r="BL29" s="905"/>
      <c r="BM29" s="905"/>
      <c r="BN29" s="905"/>
      <c r="BO29" s="905"/>
      <c r="BP29" s="905"/>
      <c r="BQ29" s="905"/>
      <c r="BR29" s="704">
        <f>MATCH($A29,Table!$A:$A,0)+$BT$2-1</f>
        <v>383</v>
      </c>
      <c r="BS29" s="744"/>
      <c r="BT29" s="744"/>
      <c r="BU29" s="744"/>
      <c r="BV29" s="717">
        <f>MATCH($A29,Table!$A:$A,0)+$BX$2-1</f>
        <v>381</v>
      </c>
      <c r="BW29" s="744"/>
      <c r="BX29" s="744"/>
      <c r="BY29" s="744"/>
      <c r="BZ29" s="704">
        <f>MATCH($A29,Table!$A:$A,0)+$CB$2-1</f>
        <v>382</v>
      </c>
      <c r="CA29" s="744"/>
      <c r="CB29" s="744"/>
      <c r="CC29" s="744"/>
      <c r="CD29" s="717">
        <f>MATCH($A29,Table!$A:$A,0)+$BX$2-1</f>
        <v>381</v>
      </c>
      <c r="CE29" s="744"/>
      <c r="CF29" s="744"/>
      <c r="CG29" s="744"/>
      <c r="CH29" s="711" t="s">
        <v>302</v>
      </c>
      <c r="CI29" s="712">
        <f t="shared" ca="1" si="0"/>
        <v>4584.0527343749991</v>
      </c>
      <c r="CJ29" s="712">
        <f t="shared" ca="1" si="85"/>
        <v>2055.4791015625001</v>
      </c>
      <c r="CK29" s="712">
        <f t="shared" ref="CK29" ca="1" si="110">CI29-CJ29</f>
        <v>2528.573632812499</v>
      </c>
      <c r="CL29" s="718">
        <f t="shared" ref="CL29" ca="1" si="111">CJ29/CI29</f>
        <v>0.44839778699508115</v>
      </c>
      <c r="CM29" s="712">
        <f ca="1">SUMIF('Alloc Feed'!A:I,A:A,'Alloc Feed'!I:I)</f>
        <v>3462.2156572265621</v>
      </c>
      <c r="CN29" s="718">
        <f t="shared" ref="CN29" ca="1" si="112">CM29/CI29</f>
        <v>0.75527395905898298</v>
      </c>
    </row>
    <row r="30" spans="1:92" s="743" customFormat="1" x14ac:dyDescent="0.25">
      <c r="A30" s="703">
        <v>41787</v>
      </c>
      <c r="B30" s="709">
        <f ca="1">IF(ISERROR(MATCH(B$1,INDIRECT("Table!A"&amp;$BV30):INDIRECT("Table!" &amp; $CH$110 &amp; $BV30),0)),"",INDIRECT(CONCATENATE("Table!",ADDRESS($BR30,MATCH(B$1,INDIRECT("Table!A" &amp; $BV30):INDIRECT("Table!" &amp; $CH$110 &amp; $BV30),0)))))/1024</f>
        <v>101.85146484374999</v>
      </c>
      <c r="C30" s="709">
        <f ca="1">IF(ISERROR(MATCH(C$1,INDIRECT("Table!A"&amp;$BV30):INDIRECT("Table!" &amp; $CH$110 &amp; $BV30),0)),"",INDIRECT(CONCATENATE("Table!",ADDRESS($BR30,MATCH(C$1,INDIRECT("Table!A" &amp; $BV30):INDIRECT("Table!" &amp; $CH$110 &amp; $BV30),0)))))/1024</f>
        <v>81.4814453125</v>
      </c>
      <c r="D30" s="709">
        <f ca="1">IF(ISERROR(MATCH(D$1,INDIRECT("Table!A"&amp;$BV30):INDIRECT("Table!" &amp; $CH$110 &amp; $BV30),0)),"",INDIRECT(CONCATENATE("Table!",ADDRESS($BR30,MATCH(D$1,INDIRECT("Table!A" &amp; $BV30):INDIRECT("Table!" &amp; $CH$110 &amp; $BV30),0)))))/1024</f>
        <v>82.790917968749994</v>
      </c>
      <c r="E30" s="709">
        <f ca="1">IF(ISERROR(MATCH(E$1,INDIRECT("Table!A"&amp;$BV30):INDIRECT("Table!" &amp; $CH$110 &amp; $BV30),0)),"",INDIRECT(CONCATENATE("Table!",ADDRESS($BR30,MATCH(E$1,INDIRECT("Table!A" &amp; $BV30):INDIRECT("Table!" &amp; $CH$110 &amp; $BV30),0)))))/1024</f>
        <v>143.88798828124999</v>
      </c>
      <c r="F30" s="709">
        <f ca="1">IF(ISERROR(MATCH(F$1,INDIRECT("Table!A"&amp;$BV30):INDIRECT("Table!" &amp; $CH$110 &amp; $BV30),0)),"",INDIRECT(CONCATENATE("Table!",ADDRESS($BR30,MATCH(F$1,INDIRECT("Table!A" &amp; $BV30):INDIRECT("Table!" &amp; $CH$110 &amp; $BV30),0)))))/1024</f>
        <v>111.25400390625001</v>
      </c>
      <c r="G30" s="709">
        <f ca="1">IF(ISERROR(MATCH(G$1,INDIRECT("Table!A"&amp;$BV30):INDIRECT("Table!" &amp; $CH$110 &amp; $BV30),0)),"",INDIRECT(CONCATENATE("Table!",ADDRESS($BR30,MATCH(G$1,INDIRECT("Table!A" &amp; $BV30):INDIRECT("Table!" &amp; $CH$110 &amp; $BV30),0)))))/1024</f>
        <v>208.16806640625001</v>
      </c>
      <c r="H30" s="709">
        <f ca="1">IF(ISERROR(MATCH(H$1,INDIRECT("Table!A"&amp;$BV30):INDIRECT("Table!" &amp; $CH$110 &amp; $BV30),0)),"",INDIRECT(CONCATENATE("Table!",ADDRESS($BR30,MATCH(H$1,INDIRECT("Table!A" &amp; $BV30):INDIRECT("Table!" &amp; $CH$110 &amp; $BV30),0)))))/1024</f>
        <v>120.56728515624999</v>
      </c>
      <c r="I30" s="709">
        <f ca="1">IF(ISERROR(MATCH(I$1,INDIRECT("Table!A"&amp;$BV30):INDIRECT("Table!" &amp; $CH$110 &amp; $BV30),0)),"",INDIRECT(CONCATENATE("Table!",ADDRESS($BR30,MATCH(I$1,INDIRECT("Table!A" &amp; $BV30):INDIRECT("Table!" &amp; $CH$110 &amp; $BV30),0)))))/1024</f>
        <v>24.855078124999999</v>
      </c>
      <c r="J30" s="709">
        <f ca="1">IF(ISERROR(MATCH(J$1,INDIRECT("Table!A"&amp;$BV30):INDIRECT("Table!" &amp; $CH$110 &amp; $BV30),0)),"",INDIRECT(CONCATENATE("Table!",ADDRESS($BR30,MATCH(J$1,INDIRECT("Table!A" &amp; $BV30):INDIRECT("Table!" &amp; $CH$110 &amp; $BV30),0)))))/1024</f>
        <v>80.408496093750003</v>
      </c>
      <c r="K30" s="709">
        <f ca="1">IF(ISERROR(MATCH(K$1,INDIRECT("Table!A"&amp;$BV30):INDIRECT("Table!" &amp; $CH$110 &amp; $BV30),0)),"",INDIRECT(CONCATENATE("Table!",ADDRESS($BR30,MATCH(K$1,INDIRECT("Table!A" &amp; $BV30):INDIRECT("Table!" &amp; $CH$110 &amp; $BV30),0)))))/1024</f>
        <v>57.51220703125</v>
      </c>
      <c r="L30" s="709">
        <f ca="1">IF(ISERROR(MATCH(L$1,INDIRECT("Table!A"&amp;$BV30):INDIRECT("Table!" &amp; $CH$110 &amp; $BV30),0)),"",INDIRECT(CONCATENATE("Table!",ADDRESS($BR30,MATCH(L$1,INDIRECT("Table!A" &amp; $BV30):INDIRECT("Table!" &amp; $CH$110 &amp; $BV30),0)))))/1024</f>
        <v>150.38232421875</v>
      </c>
      <c r="M30" s="709">
        <f ca="1">IF(ISERROR(MATCH(M$1,INDIRECT("Table!A"&amp;$BV30):INDIRECT("Table!" &amp; $CH$110 &amp; $BV30),0)),"",INDIRECT(CONCATENATE("Table!",ADDRESS($BR30,MATCH(M$1,INDIRECT("Table!A" &amp; $BV30):INDIRECT("Table!" &amp; $CH$110 &amp; $BV30),0)))))/1024</f>
        <v>205.18242187499999</v>
      </c>
      <c r="N30" s="709">
        <f ca="1">IF(ISERROR(MATCH(N$1,INDIRECT("Table!A"&amp;$BV30):INDIRECT("Table!" &amp; $CH$110 &amp; $BV30),0)),"",INDIRECT(CONCATENATE("Table!",ADDRESS($BR30,MATCH(N$1,INDIRECT("Table!A" &amp; $BV30):INDIRECT("Table!" &amp; $CH$110 &amp; $BV30),0)))))/1024</f>
        <v>56.206640624999999</v>
      </c>
      <c r="O30" s="709">
        <f ca="1">IF(ISERROR(MATCH(O$1,INDIRECT("Table!A"&amp;$BV30):INDIRECT("Table!" &amp; $CH$110 &amp; $BV30),0)),"",INDIRECT(CONCATENATE("Table!",ADDRESS($BR30,MATCH(O$1,INDIRECT("Table!A" &amp; $BV30):INDIRECT("Table!" &amp; $CH$110 &amp; $BV30),0)))))/1024</f>
        <v>223.24892578124999</v>
      </c>
      <c r="P30" s="709">
        <f ca="1">IF(ISERROR(MATCH(P$1,INDIRECT("Table!A"&amp;$BV30):INDIRECT("Table!" &amp; $CH$110 &amp; $BV30),0)),"",INDIRECT(CONCATENATE("Table!",ADDRESS($BR30,MATCH(P$1,INDIRECT("Table!A" &amp; $BV30):INDIRECT("Table!" &amp; $CH$110 &amp; $BV30),0)))))/1024</f>
        <v>48.035839843749997</v>
      </c>
      <c r="Q30" s="709">
        <f ca="1">IF(ISERROR(MATCH(Q$1,INDIRECT("Table!A"&amp;$BV30):INDIRECT("Table!" &amp; $CH$110 &amp; $BV30),0)),"",INDIRECT(CONCATENATE("Table!",ADDRESS($BR30,MATCH(Q$1,INDIRECT("Table!A" &amp; $BV30):INDIRECT("Table!" &amp; $CH$110 &amp; $BV30),0)))))/1024</f>
        <v>126.2830078125</v>
      </c>
      <c r="R30" s="709">
        <f ca="1">IF(ISERROR(MATCH(R$1,INDIRECT("Table!A"&amp;$BV30):INDIRECT("Table!" &amp; $CH$110 &amp; $BV30),0)),"",INDIRECT(CONCATENATE("Table!",ADDRESS($BR30,MATCH(R$1,INDIRECT("Table!A" &amp; $BV30):INDIRECT("Table!" &amp; $CH$110 &amp; $BV30),0)))))/1024</f>
        <v>159.52685546875</v>
      </c>
      <c r="S30" s="709">
        <v>0</v>
      </c>
      <c r="T30" s="709">
        <f ca="1">IF(ISERROR(MATCH(T$1,INDIRECT("Table!A"&amp;$BV30):INDIRECT("Table!" &amp; $CH$65 &amp; $BV30),0)),"",INDIRECT(CONCATENATE("Table!",ADDRESS($BR30,MATCH(T$1,INDIRECT("Table!A" &amp; $BV30):INDIRECT("Table!" &amp; $CH$65 &amp; $BV30),0)))))/1024</f>
        <v>9.9869140625000004</v>
      </c>
      <c r="U30" s="709">
        <f ca="1">IF(ISERROR(MATCH(U$1,INDIRECT("Table!A"&amp;$BV30):INDIRECT("Table!" &amp; $CH$65 &amp; $BV30),0)),"",INDIRECT(CONCATENATE("Table!",ADDRESS($BR30,MATCH(U$1,INDIRECT("Table!A" &amp; $BV30):INDIRECT("Table!" &amp; $CH$65 &amp; $BV30),0)))))/1024</f>
        <v>12.15634765625</v>
      </c>
      <c r="V30" s="709">
        <f ca="1">IF(ISERROR(MATCH(V$1,INDIRECT("Table!A"&amp;$BV30):INDIRECT("Table!" &amp; $CH$65 &amp; $BV30),0)),"",INDIRECT(CONCATENATE("Table!",ADDRESS($BR30,MATCH(V$1,INDIRECT("Table!A" &amp; $BV30):INDIRECT("Table!" &amp; $CH$65 &amp; $BV30),0)))))/1024</f>
        <v>24.312695312500001</v>
      </c>
      <c r="W30" s="709">
        <f ca="1">IF(ISERROR(MATCH(W$1,INDIRECT("Table!A"&amp;$BV30):INDIRECT("Table!" &amp; $CH$65 &amp; $BV30),0)),"",INDIRECT(CONCATENATE("Table!",ADDRESS($BR30,MATCH(W$1,INDIRECT("Table!A" &amp; $BV30):INDIRECT("Table!" &amp; $CH$65 &amp; $BV30),0)))))/1024</f>
        <v>6.4512695312500004</v>
      </c>
      <c r="X30" s="709">
        <f ca="1">IF(ISERROR(MATCH(X$1,INDIRECT("Table!A"&amp;$BV30):INDIRECT("Table!" &amp; $CH$65 &amp; $BV30),0)),"",INDIRECT(CONCATENATE("Table!",ADDRESS($BR30,MATCH(X$1,INDIRECT("Table!A" &amp; $BV30):INDIRECT("Table!" &amp; $CH$65 &amp; $BV30),0)))))/1024</f>
        <v>12.8837890625</v>
      </c>
      <c r="Y30" s="709">
        <f ca="1">IF(ISERROR(MATCH(Y$1,INDIRECT("Table!A"&amp;$BV30):INDIRECT("Table!" &amp; $CH$65 &amp; $BV30),0)),"",INDIRECT(CONCATENATE("Table!",ADDRESS($BR30,MATCH(Y$1,INDIRECT("Table!A" &amp; $BV30):INDIRECT("Table!" &amp; $CH$65 &amp; $BV30),0)))))/1024</f>
        <v>3.0273437500000001E-3</v>
      </c>
      <c r="Z30" s="709">
        <f ca="1">IF(ISERROR(MATCH(Z$1,INDIRECT("Table!A"&amp;$BV30):INDIRECT("Table!" &amp; $CH$65 &amp; $BV30),0)),"",INDIRECT(CONCATENATE("Table!",ADDRESS($BR30,MATCH(Z$1,INDIRECT("Table!A" &amp; $BV30):INDIRECT("Table!" &amp; $CH$65 &amp; $BV30),0)))))/1024</f>
        <v>5.859375E-3</v>
      </c>
      <c r="AA30" s="709">
        <f ca="1">IF(ISERROR(MATCH(AA$1,INDIRECT("Table!A"&amp;$BV30):INDIRECT("Table!" &amp; $CH$65 &amp; $BV30),0)),"",INDIRECT(CONCATENATE("Table!",ADDRESS($BR30,MATCH(AA$1,INDIRECT("Table!A" &amp; $BV30):INDIRECT("Table!" &amp; $CH$65 &amp; $BV30),0)))))/1024</f>
        <v>5.8845703125000002</v>
      </c>
      <c r="AB30" s="709"/>
      <c r="AC30" s="905"/>
      <c r="AD30" s="905"/>
      <c r="AE30" s="905"/>
      <c r="AF30" s="905"/>
      <c r="AG30" s="905"/>
      <c r="AH30" s="905"/>
      <c r="AI30" s="709" t="str">
        <f ca="1">IF(ISERROR(MATCH(AI$1,INDIRECT("Table!A"&amp;$BV30):INDIRECT("Table!" &amp; $CH$110 &amp; $BV30),0)),"",INDIRECT(CONCATENATE("Table!",ADDRESS($BR30,MATCH(AI$1,INDIRECT("Table!A" &amp; $BV30):INDIRECT("Table!" &amp; $CH$110 &amp; $BV30),0)))))</f>
        <v/>
      </c>
      <c r="AJ30" s="709">
        <f ca="1">IF(ISERROR(MATCH(AJ$1,INDIRECT("Table!A"&amp;$BV30):INDIRECT("Table!" &amp; $CH$110 &amp; $BV30),0)),"",INDIRECT(CONCATENATE("Table!",ADDRESS($BZ30,MATCH(AJ$1,INDIRECT("Table!A" &amp; $BV30):INDIRECT("Table!" &amp; $CH$110 &amp; $BV30),0)))))/1024</f>
        <v>244.15859374999999</v>
      </c>
      <c r="AK30" s="709">
        <f ca="1">IF(ISERROR(MATCH(AK$1,INDIRECT("Table!A"&amp;$BV30):INDIRECT("Table!" &amp; $CH$110 &amp; $BV30),0)),"",INDIRECT(CONCATENATE("Table!",ADDRESS($BZ30,MATCH(AK$1,INDIRECT("Table!A" &amp; $BV30):INDIRECT("Table!" &amp; $CH$110 &amp; $BV30),0)))))/1024</f>
        <v>146.98896484375001</v>
      </c>
      <c r="AL30" s="709">
        <f ca="1">IF(ISERROR(MATCH(AL$1,INDIRECT("Table!A"&amp;$BV30):INDIRECT("Table!" &amp; $CH$110 &amp; $BV30),0)),"",INDIRECT(CONCATENATE("Table!",ADDRESS($BZ30,MATCH(AL$1,INDIRECT("Table!A" &amp; $BV30):INDIRECT("Table!" &amp; $CH$110 &amp; $BV30),0)))))/1024</f>
        <v>146.98896484375001</v>
      </c>
      <c r="AM30" s="709">
        <f ca="1">IF(ISERROR(MATCH(AM$1,INDIRECT("Table!A"&amp;$BV30):INDIRECT("Table!" &amp; $CH$110 &amp; $BV30),0)),"",INDIRECT(CONCATENATE("Table!",ADDRESS($BZ30,MATCH(AM$1,INDIRECT("Table!A" &amp; $BV30):INDIRECT("Table!" &amp; $CH$110 &amp; $BV30),0)))))/1024</f>
        <v>177.73320312499999</v>
      </c>
      <c r="AN30" s="709">
        <f ca="1">IF(ISERROR(MATCH(AN$1,INDIRECT("Table!A"&amp;$BV30):INDIRECT("Table!" &amp; $CH$110 &amp; $BV30),0)),"",INDIRECT(CONCATENATE("Table!",ADDRESS($BZ30,MATCH(AN$1,INDIRECT("Table!A" &amp; $BV30):INDIRECT("Table!" &amp; $CH$110 &amp; $BV30),0)))))/1024</f>
        <v>161.88056640625001</v>
      </c>
      <c r="AO30" s="709">
        <f ca="1">IF(ISERROR(MATCH(AO$1,INDIRECT("Table!A"&amp;$BV30):INDIRECT("Table!" &amp; $CH$110 &amp; $BV30),0)),"",INDIRECT(CONCATENATE("Table!",ADDRESS($BZ30,MATCH(AO$1,INDIRECT("Table!A" &amp; $BV30):INDIRECT("Table!" &amp; $CH$110 &amp; $BV30),0)))))/1024</f>
        <v>380.3759765625</v>
      </c>
      <c r="AP30" s="709">
        <f ca="1">IF(ISERROR(MATCH(AP$1,INDIRECT("Table!A"&amp;$BV30):INDIRECT("Table!" &amp; $CH$110 &amp; $BV30),0)),"",INDIRECT(CONCATENATE("Table!",ADDRESS($BZ30,MATCH(AP$1,INDIRECT("Table!A" &amp; $BV30):INDIRECT("Table!" &amp; $CH$110 &amp; $BV30),0)))))/1024</f>
        <v>167.94482421875</v>
      </c>
      <c r="AQ30" s="709">
        <f ca="1">IF(ISERROR(MATCH(AQ$1,INDIRECT("Table!A"&amp;$BV30):INDIRECT("Table!" &amp; $CH$110 &amp; $BV30),0)),"",INDIRECT(CONCATENATE("Table!",ADDRESS($BZ30,MATCH(AQ$1,INDIRECT("Table!A" &amp; $BV30):INDIRECT("Table!" &amp; $CH$110 &amp; $BV30),0)))))/1024</f>
        <v>162.185546875</v>
      </c>
      <c r="AR30" s="709">
        <f ca="1">IF(ISERROR(MATCH(AR$1,INDIRECT("Table!A"&amp;$BV30):INDIRECT("Table!" &amp; $CH$110 &amp; $BV30),0)),"",INDIRECT(CONCATENATE("Table!",ADDRESS($BZ30,MATCH(AR$1,INDIRECT("Table!A" &amp; $BV30):INDIRECT("Table!" &amp; $CH$110 &amp; $BV30),0)))))/1024</f>
        <v>121.1125</v>
      </c>
      <c r="AS30" s="709">
        <f ca="1">IF(ISERROR(MATCH(AS$1,INDIRECT("Table!A"&amp;$BV30):INDIRECT("Table!" &amp; $CH$110 &amp; $BV30),0)),"",INDIRECT(CONCATENATE("Table!",ADDRESS($BZ30,MATCH(AS$1,INDIRECT("Table!A" &amp; $BV30):INDIRECT("Table!" &amp; $CH$110 &amp; $BV30),0)))))/1024</f>
        <v>218.81953125000001</v>
      </c>
      <c r="AT30" s="709">
        <f ca="1">IF(ISERROR(MATCH(AT$1,INDIRECT("Table!A"&amp;$BV30):INDIRECT("Table!" &amp; $CH$110 &amp; $BV30),0)),"",INDIRECT(CONCATENATE("Table!",ADDRESS($BZ30,MATCH(AT$1,INDIRECT("Table!A" &amp; $BV30):INDIRECT("Table!" &amp; $CH$110 &amp; $BV30),0)))))/1024</f>
        <v>188.50498046875001</v>
      </c>
      <c r="AU30" s="709">
        <f ca="1">IF(ISERROR(MATCH(AU$1,INDIRECT("Table!A"&amp;$BV30):INDIRECT("Table!" &amp; $CH$110 &amp; $BV30),0)),"",INDIRECT(CONCATENATE("Table!",ADDRESS($BZ30,MATCH(AU$1,INDIRECT("Table!A" &amp; $BV30):INDIRECT("Table!" &amp; $CH$110 &amp; $BV30),0)))))/1024</f>
        <v>427.94912109375002</v>
      </c>
      <c r="AV30" s="709">
        <f ca="1">IF(ISERROR(MATCH(AV$1,INDIRECT("Table!A"&amp;$BV30):INDIRECT("Table!" &amp; $CH$110 &amp; $BV30),0)),"",INDIRECT(CONCATENATE("Table!",ADDRESS($BZ30,MATCH(AV$1,INDIRECT("Table!A" &amp; $BV30):INDIRECT("Table!" &amp; $CH$110 &amp; $BV30),0)))))/1024</f>
        <v>81.092578125000003</v>
      </c>
      <c r="AW30" s="709">
        <f ca="1">IF(ISERROR(MATCH(AW$1,INDIRECT("Table!A"&amp;$BV30):INDIRECT("Table!" &amp; $CH$110 &amp; $BV30),0)),"",INDIRECT(CONCATENATE("Table!",ADDRESS($BZ30,MATCH(AW$1,INDIRECT("Table!A" &amp; $BV30):INDIRECT("Table!" &amp; $CH$110 &amp; $BV30),0)))))/1024</f>
        <v>269.65859375000002</v>
      </c>
      <c r="AX30" s="709">
        <f ca="1">IF(ISERROR(MATCH(AX$1,INDIRECT("Table!A"&amp;$BV30):INDIRECT("Table!" &amp; $CH$110 &amp; $BV30),0)),"",INDIRECT(CONCATENATE("Table!",ADDRESS($BZ30,MATCH(AX$1,INDIRECT("Table!A" &amp; $BV30):INDIRECT("Table!" &amp; $CH$110 &amp; $BV30),0)))))/1024</f>
        <v>81.092578125000003</v>
      </c>
      <c r="AY30" s="709">
        <f ca="1">IF(ISERROR(MATCH(AY$1,INDIRECT("Table!A"&amp;$BV30):INDIRECT("Table!" &amp; $CH$110 &amp; $BV30),0)),"",INDIRECT(CONCATENATE("Table!",ADDRESS($BZ30,MATCH(AY$1,INDIRECT("Table!A" &amp; $BV30):INDIRECT("Table!" &amp; $CH$110 &amp; $BV30),0)))))/1024</f>
        <v>187.12714843750001</v>
      </c>
      <c r="AZ30" s="709">
        <f ca="1">IF(ISERROR(MATCH(AZ$1,INDIRECT("Table!A"&amp;$BV30):INDIRECT("Table!" &amp; $CH$110 &amp; $BV30),0)),"",INDIRECT(CONCATENATE("Table!",ADDRESS($BZ30,MATCH(AZ$1,INDIRECT("Table!A" &amp; $BV30):INDIRECT("Table!" &amp; $CH$110 &amp; $BV30),0)))))/1024</f>
        <v>251.84228515625</v>
      </c>
      <c r="BA30" s="709"/>
      <c r="BB30" s="709">
        <f ca="1">IF(ISERROR(MATCH(BB$1,INDIRECT("Table!A"&amp;$BV30):INDIRECT("Table!" &amp; $CH$110 &amp; $BV30),0)),"",INDIRECT(CONCATENATE("Table!",ADDRESS($BZ30,MATCH(BB$1,INDIRECT("Table!A" &amp; $BV30):INDIRECT("Table!" &amp; $CH$110 &amp; $BV30),0)))))/1024</f>
        <v>32.31494140625</v>
      </c>
      <c r="BC30" s="709">
        <f ca="1">IF(ISERROR(MATCH(BC$1,INDIRECT("Table!A"&amp;$BV30):INDIRECT("Table!" &amp; $CH$110 &amp; $BV30),0)),"",INDIRECT(CONCATENATE("Table!",ADDRESS($BZ30,MATCH(BC$1,INDIRECT("Table!A" &amp; $BV30):INDIRECT("Table!" &amp; $CH$110 &amp; $BV30),0)))))/1024</f>
        <v>99.80126953125</v>
      </c>
      <c r="BD30" s="709">
        <f ca="1">IF(ISERROR(MATCH(BD$1,INDIRECT("Table!A"&amp;$BV30):INDIRECT("Table!" &amp; $CH$110 &amp; $BV30),0)),"",INDIRECT(CONCATENATE("Table!",ADDRESS($BZ30,MATCH(BD$1,INDIRECT("Table!A" &amp; $BV30):INDIRECT("Table!" &amp; $CH$110 &amp; $BV30),0)))))/1024</f>
        <v>204.58642578125</v>
      </c>
      <c r="BE30" s="905">
        <f ca="1">IF(ISERROR(MATCH(BE$1,INDIRECT("Table!A"&amp;$BV30):INDIRECT("Table!" &amp; $CH$110 &amp; $BV30),0)),"",INDIRECT(CONCATENATE("Table!",ADDRESS($BZ30,MATCH(BE$1,INDIRECT("Table!A" &amp; $BV30):INDIRECT("Table!" &amp; $CH$110 &amp; $BV30),0)))))/1024</f>
        <v>99.80126953125</v>
      </c>
      <c r="BF30" s="905">
        <f ca="1">IF(ISERROR(MATCH(BF$1,INDIRECT("Table!A"&amp;$BV30):INDIRECT("Table!" &amp; $CH$110 &amp; $BV30),0)),"",INDIRECT(CONCATENATE("Table!",ADDRESS($BZ30,MATCH(BF$1,INDIRECT("Table!A" &amp; $BV30):INDIRECT("Table!" &amp; $CH$110 &amp; $BV30),0)))))/1024</f>
        <v>204.58642578125</v>
      </c>
      <c r="BG30" s="905">
        <f ca="1">IF(ISERROR(MATCH(BG$1,INDIRECT("Table!A"&amp;$BV30):INDIRECT("Table!" &amp; $CH$110 &amp; $BV30),0)),"",INDIRECT(CONCATENATE("Table!",ADDRESS($BZ30,MATCH(BG$1,INDIRECT("Table!A" &amp; $BV30):INDIRECT("Table!" &amp; $CH$110 &amp; $BV30),0)))))/1024</f>
        <v>99.80126953125</v>
      </c>
      <c r="BH30" s="905">
        <f ca="1">IF(ISERROR(MATCH(BH$1,INDIRECT("Table!A"&amp;$BV30):INDIRECT("Table!" &amp; $CH$110 &amp; $BV30),0)),"",INDIRECT(CONCATENATE("Table!",ADDRESS($BZ30,MATCH(BH$1,INDIRECT("Table!A" &amp; $BV30):INDIRECT("Table!" &amp; $CH$110 &amp; $BV30),0)))))/1024</f>
        <v>204.58642578125</v>
      </c>
      <c r="BI30" s="905">
        <f ca="1">IF(ISERROR(MATCH(BI$1,INDIRECT("Table!A"&amp;$BV30):INDIRECT("Table!" &amp; $CH$110 &amp; $BV30),0)),"",INDIRECT(CONCATENATE("Table!",ADDRESS($BZ30,MATCH(BI$1,INDIRECT("Table!A" &amp; $BV30):INDIRECT("Table!" &amp; $CH$110 &amp; $BV30),0)))))/1024</f>
        <v>223.11875000000001</v>
      </c>
      <c r="BJ30" s="905"/>
      <c r="BK30" s="905"/>
      <c r="BL30" s="905"/>
      <c r="BM30" s="905"/>
      <c r="BN30" s="905"/>
      <c r="BO30" s="905"/>
      <c r="BP30" s="905"/>
      <c r="BQ30" s="905"/>
      <c r="BR30" s="704">
        <f>MATCH($A30,Table!$A:$A,0)+$BT$2-1</f>
        <v>397</v>
      </c>
      <c r="BS30" s="744"/>
      <c r="BT30" s="744"/>
      <c r="BU30" s="744"/>
      <c r="BV30" s="717">
        <f>MATCH($A30,Table!$A:$A,0)+$BX$2-1</f>
        <v>395</v>
      </c>
      <c r="BW30" s="744"/>
      <c r="BX30" s="744"/>
      <c r="BY30" s="744"/>
      <c r="BZ30" s="704">
        <f>MATCH($A30,Table!$A:$A,0)+$CB$2-1</f>
        <v>396</v>
      </c>
      <c r="CA30" s="744"/>
      <c r="CB30" s="744"/>
      <c r="CC30" s="744"/>
      <c r="CD30" s="717">
        <f>MATCH($A30,Table!$A:$A,0)+$BX$2-1</f>
        <v>395</v>
      </c>
      <c r="CE30" s="744"/>
      <c r="CF30" s="744"/>
      <c r="CG30" s="744"/>
      <c r="CH30" s="711" t="s">
        <v>302</v>
      </c>
      <c r="CI30" s="712">
        <f t="shared" ca="1" si="0"/>
        <v>4584.0527343749991</v>
      </c>
      <c r="CJ30" s="712">
        <f t="shared" ca="1" si="85"/>
        <v>2053.3274414062503</v>
      </c>
      <c r="CK30" s="712">
        <f t="shared" ref="CK30" ca="1" si="113">CI30-CJ30</f>
        <v>2530.7252929687488</v>
      </c>
      <c r="CL30" s="718">
        <f t="shared" ref="CL30" ca="1" si="114">CJ30/CI30</f>
        <v>0.4479284075439865</v>
      </c>
      <c r="CM30" s="712">
        <f ca="1">SUMIF('Alloc Feed'!A:I,A:A,'Alloc Feed'!I:I)</f>
        <v>3449.4071484374995</v>
      </c>
      <c r="CN30" s="718">
        <f t="shared" ref="CN30" ca="1" si="115">CM30/CI30</f>
        <v>0.75247981389284779</v>
      </c>
    </row>
    <row r="31" spans="1:92" s="743" customFormat="1" x14ac:dyDescent="0.25">
      <c r="A31" s="703">
        <v>41780</v>
      </c>
      <c r="B31" s="709">
        <f ca="1">IF(ISERROR(MATCH(B$1,INDIRECT("Table!A"&amp;$BV31):INDIRECT("Table!" &amp; $CH$110 &amp; $BV31),0)),"",INDIRECT(CONCATENATE("Table!",ADDRESS($BR31,MATCH(B$1,INDIRECT("Table!A" &amp; $BV31):INDIRECT("Table!" &amp; $CH$110 &amp; $BV31),0)))))/1024</f>
        <v>101.87138671875</v>
      </c>
      <c r="C31" s="709">
        <f ca="1">IF(ISERROR(MATCH(C$1,INDIRECT("Table!A"&amp;$BV31):INDIRECT("Table!" &amp; $CH$110 &amp; $BV31),0)),"",INDIRECT(CONCATENATE("Table!",ADDRESS($BR31,MATCH(C$1,INDIRECT("Table!A" &amp; $BV31):INDIRECT("Table!" &amp; $CH$110 &amp; $BV31),0)))))/1024</f>
        <v>82.491601562499994</v>
      </c>
      <c r="D31" s="709">
        <f ca="1">IF(ISERROR(MATCH(D$1,INDIRECT("Table!A"&amp;$BV31):INDIRECT("Table!" &amp; $CH$110 &amp; $BV31),0)),"",INDIRECT(CONCATENATE("Table!",ADDRESS($BR31,MATCH(D$1,INDIRECT("Table!A" &amp; $BV31):INDIRECT("Table!" &amp; $CH$110 &amp; $BV31),0)))))/1024</f>
        <v>83.798828125</v>
      </c>
      <c r="E31" s="709">
        <f ca="1">IF(ISERROR(MATCH(E$1,INDIRECT("Table!A"&amp;$BV31):INDIRECT("Table!" &amp; $CH$110 &amp; $BV31),0)),"",INDIRECT(CONCATENATE("Table!",ADDRESS($BR31,MATCH(E$1,INDIRECT("Table!A" &amp; $BV31):INDIRECT("Table!" &amp; $CH$110 &amp; $BV31),0)))))/1024</f>
        <v>147.892578125</v>
      </c>
      <c r="F31" s="709">
        <f ca="1">IF(ISERROR(MATCH(F$1,INDIRECT("Table!A"&amp;$BV31):INDIRECT("Table!" &amp; $CH$110 &amp; $BV31),0)),"",INDIRECT(CONCATENATE("Table!",ADDRESS($BR31,MATCH(F$1,INDIRECT("Table!A" &amp; $BV31):INDIRECT("Table!" &amp; $CH$110 &amp; $BV31),0)))))/1024</f>
        <v>111.15078124999999</v>
      </c>
      <c r="G31" s="709">
        <f ca="1">IF(ISERROR(MATCH(G$1,INDIRECT("Table!A"&amp;$BV31):INDIRECT("Table!" &amp; $CH$110 &amp; $BV31),0)),"",INDIRECT(CONCATENATE("Table!",ADDRESS($BR31,MATCH(G$1,INDIRECT("Table!A" &amp; $BV31):INDIRECT("Table!" &amp; $CH$110 &amp; $BV31),0)))))/1024</f>
        <v>207.12187499999999</v>
      </c>
      <c r="H31" s="709">
        <f ca="1">IF(ISERROR(MATCH(H$1,INDIRECT("Table!A"&amp;$BV31):INDIRECT("Table!" &amp; $CH$110 &amp; $BV31),0)),"",INDIRECT(CONCATENATE("Table!",ADDRESS($BR31,MATCH(H$1,INDIRECT("Table!A" &amp; $BV31):INDIRECT("Table!" &amp; $CH$110 &amp; $BV31),0)))))/1024</f>
        <v>122.95839843749999</v>
      </c>
      <c r="I31" s="709">
        <f ca="1">IF(ISERROR(MATCH(I$1,INDIRECT("Table!A"&amp;$BV31):INDIRECT("Table!" &amp; $CH$110 &amp; $BV31),0)),"",INDIRECT(CONCATENATE("Table!",ADDRESS($BR31,MATCH(I$1,INDIRECT("Table!A" &amp; $BV31):INDIRECT("Table!" &amp; $CH$110 &amp; $BV31),0)))))/1024</f>
        <v>24.76611328125</v>
      </c>
      <c r="J31" s="709">
        <f ca="1">IF(ISERROR(MATCH(J$1,INDIRECT("Table!A"&amp;$BV31):INDIRECT("Table!" &amp; $CH$110 &amp; $BV31),0)),"",INDIRECT(CONCATENATE("Table!",ADDRESS($BR31,MATCH(J$1,INDIRECT("Table!A" &amp; $BV31):INDIRECT("Table!" &amp; $CH$110 &amp; $BV31),0)))))/1024</f>
        <v>80.183496093749994</v>
      </c>
      <c r="K31" s="709">
        <f ca="1">IF(ISERROR(MATCH(K$1,INDIRECT("Table!A"&amp;$BV31):INDIRECT("Table!" &amp; $CH$110 &amp; $BV31),0)),"",INDIRECT(CONCATENATE("Table!",ADDRESS($BR31,MATCH(K$1,INDIRECT("Table!A" &amp; $BV31):INDIRECT("Table!" &amp; $CH$110 &amp; $BV31),0)))))/1024</f>
        <v>56.925488281249997</v>
      </c>
      <c r="L31" s="709">
        <f ca="1">IF(ISERROR(MATCH(L$1,INDIRECT("Table!A"&amp;$BV31):INDIRECT("Table!" &amp; $CH$110 &amp; $BV31),0)),"",INDIRECT(CONCATENATE("Table!",ADDRESS($BR31,MATCH(L$1,INDIRECT("Table!A" &amp; $BV31):INDIRECT("Table!" &amp; $CH$110 &amp; $BV31),0)))))/1024</f>
        <v>156.17744140625001</v>
      </c>
      <c r="M31" s="709">
        <f ca="1">IF(ISERROR(MATCH(M$1,INDIRECT("Table!A"&amp;$BV31):INDIRECT("Table!" &amp; $CH$110 &amp; $BV31),0)),"",INDIRECT(CONCATENATE("Table!",ADDRESS($BR31,MATCH(M$1,INDIRECT("Table!A" &amp; $BV31):INDIRECT("Table!" &amp; $CH$110 &amp; $BV31),0)))))/1024</f>
        <v>204.36347656250001</v>
      </c>
      <c r="N31" s="709">
        <f ca="1">IF(ISERROR(MATCH(N$1,INDIRECT("Table!A"&amp;$BV31):INDIRECT("Table!" &amp; $CH$110 &amp; $BV31),0)),"",INDIRECT(CONCATENATE("Table!",ADDRESS($BR31,MATCH(N$1,INDIRECT("Table!A" &amp; $BV31):INDIRECT("Table!" &amp; $CH$110 &amp; $BV31),0)))))/1024</f>
        <v>56.020410156250001</v>
      </c>
      <c r="O31" s="709">
        <f ca="1">IF(ISERROR(MATCH(O$1,INDIRECT("Table!A"&amp;$BV31):INDIRECT("Table!" &amp; $CH$110 &amp; $BV31),0)),"",INDIRECT(CONCATENATE("Table!",ADDRESS($BR31,MATCH(O$1,INDIRECT("Table!A" &amp; $BV31):INDIRECT("Table!" &amp; $CH$110 &amp; $BV31),0)))))/1024</f>
        <v>228.03837890624999</v>
      </c>
      <c r="P31" s="709">
        <f ca="1">IF(ISERROR(MATCH(P$1,INDIRECT("Table!A"&amp;$BV31):INDIRECT("Table!" &amp; $CH$110 &amp; $BV31),0)),"",INDIRECT(CONCATENATE("Table!",ADDRESS($BR31,MATCH(P$1,INDIRECT("Table!A" &amp; $BV31):INDIRECT("Table!" &amp; $CH$110 &amp; $BV31),0)))))/1024</f>
        <v>47.859277343750001</v>
      </c>
      <c r="Q31" s="709">
        <f ca="1">IF(ISERROR(MATCH(Q$1,INDIRECT("Table!A"&amp;$BV31):INDIRECT("Table!" &amp; $CH$110 &amp; $BV31),0)),"",INDIRECT(CONCATENATE("Table!",ADDRESS($BR31,MATCH(Q$1,INDIRECT("Table!A" &amp; $BV31):INDIRECT("Table!" &amp; $CH$110 &amp; $BV31),0)))))/1024</f>
        <v>125.85068359375001</v>
      </c>
      <c r="R31" s="709">
        <f ca="1">IF(ISERROR(MATCH(R$1,INDIRECT("Table!A"&amp;$BV31):INDIRECT("Table!" &amp; $CH$110 &amp; $BV31),0)),"",INDIRECT(CONCATENATE("Table!",ADDRESS($BR31,MATCH(R$1,INDIRECT("Table!A" &amp; $BV31):INDIRECT("Table!" &amp; $CH$110 &amp; $BV31),0)))))/1024</f>
        <v>155.22539062499999</v>
      </c>
      <c r="S31" s="709">
        <v>0</v>
      </c>
      <c r="T31" s="709">
        <f ca="1">IF(ISERROR(MATCH(T$1,INDIRECT("Table!A"&amp;$BV31):INDIRECT("Table!" &amp; $CH$65 &amp; $BV31),0)),"",INDIRECT(CONCATENATE("Table!",ADDRESS($BR31,MATCH(T$1,INDIRECT("Table!A" &amp; $BV31):INDIRECT("Table!" &amp; $CH$65 &amp; $BV31),0)))))/1024</f>
        <v>9.9869140625000004</v>
      </c>
      <c r="U31" s="709">
        <f ca="1">IF(ISERROR(MATCH(U$1,INDIRECT("Table!A"&amp;$BV31):INDIRECT("Table!" &amp; $CH$65 &amp; $BV31),0)),"",INDIRECT(CONCATENATE("Table!",ADDRESS($BR31,MATCH(U$1,INDIRECT("Table!A" &amp; $BV31):INDIRECT("Table!" &amp; $CH$65 &amp; $BV31),0)))))/1024</f>
        <v>11.838085937500001</v>
      </c>
      <c r="V31" s="709">
        <f ca="1">IF(ISERROR(MATCH(V$1,INDIRECT("Table!A"&amp;$BV31):INDIRECT("Table!" &amp; $CH$65 &amp; $BV31),0)),"",INDIRECT(CONCATENATE("Table!",ADDRESS($BR31,MATCH(V$1,INDIRECT("Table!A" &amp; $BV31):INDIRECT("Table!" &amp; $CH$65 &amp; $BV31),0)))))/1024</f>
        <v>23.676855468749999</v>
      </c>
      <c r="W31" s="709">
        <f ca="1">IF(ISERROR(MATCH(W$1,INDIRECT("Table!A"&amp;$BV31):INDIRECT("Table!" &amp; $CH$65 &amp; $BV31),0)),"",INDIRECT(CONCATENATE("Table!",ADDRESS($BR31,MATCH(W$1,INDIRECT("Table!A" &amp; $BV31):INDIRECT("Table!" &amp; $CH$65 &amp; $BV31),0)))))/1024</f>
        <v>3.6841796874999999</v>
      </c>
      <c r="X31" s="709">
        <f ca="1">IF(ISERROR(MATCH(X$1,INDIRECT("Table!A"&amp;$BV31):INDIRECT("Table!" &amp; $CH$65 &amp; $BV31),0)),"",INDIRECT(CONCATENATE("Table!",ADDRESS($BR31,MATCH(X$1,INDIRECT("Table!A" &amp; $BV31):INDIRECT("Table!" &amp; $CH$65 &amp; $BV31),0)))))/1024</f>
        <v>7.35888671875</v>
      </c>
      <c r="Y31" s="709">
        <f ca="1">IF(ISERROR(MATCH(Y$1,INDIRECT("Table!A"&amp;$BV31):INDIRECT("Table!" &amp; $CH$65 &amp; $BV31),0)),"",INDIRECT(CONCATENATE("Table!",ADDRESS($BR31,MATCH(Y$1,INDIRECT("Table!A" &amp; $BV31):INDIRECT("Table!" &amp; $CH$65 &amp; $BV31),0)))))/1024</f>
        <v>3.0273437500000001E-3</v>
      </c>
      <c r="Z31" s="709">
        <f ca="1">IF(ISERROR(MATCH(Z$1,INDIRECT("Table!A"&amp;$BV31):INDIRECT("Table!" &amp; $CH$65 &amp; $BV31),0)),"",INDIRECT(CONCATENATE("Table!",ADDRESS($BR31,MATCH(Z$1,INDIRECT("Table!A" &amp; $BV31):INDIRECT("Table!" &amp; $CH$65 &amp; $BV31),0)))))/1024</f>
        <v>5.859375E-3</v>
      </c>
      <c r="AA31" s="709">
        <f ca="1">IF(ISERROR(MATCH(AA$1,INDIRECT("Table!A"&amp;$BV31):INDIRECT("Table!" &amp; $CH$65 &amp; $BV31),0)),"",INDIRECT(CONCATENATE("Table!",ADDRESS($BR31,MATCH(AA$1,INDIRECT("Table!A" &amp; $BV31):INDIRECT("Table!" &amp; $CH$65 &amp; $BV31),0)))))/1024</f>
        <v>8.7890625E-3</v>
      </c>
      <c r="AB31" s="709"/>
      <c r="AC31" s="905"/>
      <c r="AD31" s="905"/>
      <c r="AE31" s="905"/>
      <c r="AF31" s="905"/>
      <c r="AG31" s="905"/>
      <c r="AH31" s="905"/>
      <c r="AI31" s="709" t="str">
        <f ca="1">IF(ISERROR(MATCH(AI$1,INDIRECT("Table!A"&amp;$BV31):INDIRECT("Table!" &amp; $CH$110 &amp; $BV31),0)),"",INDIRECT(CONCATENATE("Table!",ADDRESS($BR31,MATCH(AI$1,INDIRECT("Table!A" &amp; $BV31):INDIRECT("Table!" &amp; $CH$110 &amp; $BV31),0)))))</f>
        <v/>
      </c>
      <c r="AJ31" s="709">
        <f ca="1">IF(ISERROR(MATCH(AJ$1,INDIRECT("Table!A"&amp;$BV31):INDIRECT("Table!" &amp; $CH$110 &amp; $BV31),0)),"",INDIRECT(CONCATENATE("Table!",ADDRESS($BZ31,MATCH(AJ$1,INDIRECT("Table!A" &amp; $BV31):INDIRECT("Table!" &amp; $CH$110 &amp; $BV31),0)))))/1024</f>
        <v>244.15859374999999</v>
      </c>
      <c r="AK31" s="709">
        <f ca="1">IF(ISERROR(MATCH(AK$1,INDIRECT("Table!A"&amp;$BV31):INDIRECT("Table!" &amp; $CH$110 &amp; $BV31),0)),"",INDIRECT(CONCATENATE("Table!",ADDRESS($BZ31,MATCH(AK$1,INDIRECT("Table!A" &amp; $BV31):INDIRECT("Table!" &amp; $CH$110 &amp; $BV31),0)))))/1024</f>
        <v>146.98896484375001</v>
      </c>
      <c r="AL31" s="709">
        <f ca="1">IF(ISERROR(MATCH(AL$1,INDIRECT("Table!A"&amp;$BV31):INDIRECT("Table!" &amp; $CH$110 &amp; $BV31),0)),"",INDIRECT(CONCATENATE("Table!",ADDRESS($BZ31,MATCH(AL$1,INDIRECT("Table!A" &amp; $BV31):INDIRECT("Table!" &amp; $CH$110 &amp; $BV31),0)))))/1024</f>
        <v>146.98896484375001</v>
      </c>
      <c r="AM31" s="709">
        <f ca="1">IF(ISERROR(MATCH(AM$1,INDIRECT("Table!A"&amp;$BV31):INDIRECT("Table!" &amp; $CH$110 &amp; $BV31),0)),"",INDIRECT(CONCATENATE("Table!",ADDRESS($BZ31,MATCH(AM$1,INDIRECT("Table!A" &amp; $BV31):INDIRECT("Table!" &amp; $CH$110 &amp; $BV31),0)))))/1024</f>
        <v>177.73320312499999</v>
      </c>
      <c r="AN31" s="709">
        <f ca="1">IF(ISERROR(MATCH(AN$1,INDIRECT("Table!A"&amp;$BV31):INDIRECT("Table!" &amp; $CH$110 &amp; $BV31),0)),"",INDIRECT(CONCATENATE("Table!",ADDRESS($BZ31,MATCH(AN$1,INDIRECT("Table!A" &amp; $BV31):INDIRECT("Table!" &amp; $CH$110 &amp; $BV31),0)))))/1024</f>
        <v>161.88056640625001</v>
      </c>
      <c r="AO31" s="709">
        <f ca="1">IF(ISERROR(MATCH(AO$1,INDIRECT("Table!A"&amp;$BV31):INDIRECT("Table!" &amp; $CH$110 &amp; $BV31),0)),"",INDIRECT(CONCATENATE("Table!",ADDRESS($BZ31,MATCH(AO$1,INDIRECT("Table!A" &amp; $BV31):INDIRECT("Table!" &amp; $CH$110 &amp; $BV31),0)))))/1024</f>
        <v>380.3759765625</v>
      </c>
      <c r="AP31" s="709">
        <f ca="1">IF(ISERROR(MATCH(AP$1,INDIRECT("Table!A"&amp;$BV31):INDIRECT("Table!" &amp; $CH$110 &amp; $BV31),0)),"",INDIRECT(CONCATENATE("Table!",ADDRESS($BZ31,MATCH(AP$1,INDIRECT("Table!A" &amp; $BV31):INDIRECT("Table!" &amp; $CH$110 &amp; $BV31),0)))))/1024</f>
        <v>167.94482421875</v>
      </c>
      <c r="AQ31" s="709">
        <f ca="1">IF(ISERROR(MATCH(AQ$1,INDIRECT("Table!A"&amp;$BV31):INDIRECT("Table!" &amp; $CH$110 &amp; $BV31),0)),"",INDIRECT(CONCATENATE("Table!",ADDRESS($BZ31,MATCH(AQ$1,INDIRECT("Table!A" &amp; $BV31):INDIRECT("Table!" &amp; $CH$110 &amp; $BV31),0)))))/1024</f>
        <v>162.185546875</v>
      </c>
      <c r="AR31" s="709">
        <f ca="1">IF(ISERROR(MATCH(AR$1,INDIRECT("Table!A"&amp;$BV31):INDIRECT("Table!" &amp; $CH$110 &amp; $BV31),0)),"",INDIRECT(CONCATENATE("Table!",ADDRESS($BZ31,MATCH(AR$1,INDIRECT("Table!A" &amp; $BV31):INDIRECT("Table!" &amp; $CH$110 &amp; $BV31),0)))))/1024</f>
        <v>121.1125</v>
      </c>
      <c r="AS31" s="709">
        <f ca="1">IF(ISERROR(MATCH(AS$1,INDIRECT("Table!A"&amp;$BV31):INDIRECT("Table!" &amp; $CH$110 &amp; $BV31),0)),"",INDIRECT(CONCATENATE("Table!",ADDRESS($BZ31,MATCH(AS$1,INDIRECT("Table!A" &amp; $BV31):INDIRECT("Table!" &amp; $CH$110 &amp; $BV31),0)))))/1024</f>
        <v>218.81953125000001</v>
      </c>
      <c r="AT31" s="709">
        <f ca="1">IF(ISERROR(MATCH(AT$1,INDIRECT("Table!A"&amp;$BV31):INDIRECT("Table!" &amp; $CH$110 &amp; $BV31),0)),"",INDIRECT(CONCATENATE("Table!",ADDRESS($BZ31,MATCH(AT$1,INDIRECT("Table!A" &amp; $BV31):INDIRECT("Table!" &amp; $CH$110 &amp; $BV31),0)))))/1024</f>
        <v>188.50498046875001</v>
      </c>
      <c r="AU31" s="709">
        <f ca="1">IF(ISERROR(MATCH(AU$1,INDIRECT("Table!A"&amp;$BV31):INDIRECT("Table!" &amp; $CH$110 &amp; $BV31),0)),"",INDIRECT(CONCATENATE("Table!",ADDRESS($BZ31,MATCH(AU$1,INDIRECT("Table!A" &amp; $BV31):INDIRECT("Table!" &amp; $CH$110 &amp; $BV31),0)))))/1024</f>
        <v>427.94912109375002</v>
      </c>
      <c r="AV31" s="709">
        <f ca="1">IF(ISERROR(MATCH(AV$1,INDIRECT("Table!A"&amp;$BV31):INDIRECT("Table!" &amp; $CH$110 &amp; $BV31),0)),"",INDIRECT(CONCATENATE("Table!",ADDRESS($BZ31,MATCH(AV$1,INDIRECT("Table!A" &amp; $BV31):INDIRECT("Table!" &amp; $CH$110 &amp; $BV31),0)))))/1024</f>
        <v>81.092578125000003</v>
      </c>
      <c r="AW31" s="709">
        <f ca="1">IF(ISERROR(MATCH(AW$1,INDIRECT("Table!A"&amp;$BV31):INDIRECT("Table!" &amp; $CH$110 &amp; $BV31),0)),"",INDIRECT(CONCATENATE("Table!",ADDRESS($BZ31,MATCH(AW$1,INDIRECT("Table!A" &amp; $BV31):INDIRECT("Table!" &amp; $CH$110 &amp; $BV31),0)))))/1024</f>
        <v>269.65859375000002</v>
      </c>
      <c r="AX31" s="709">
        <f ca="1">IF(ISERROR(MATCH(AX$1,INDIRECT("Table!A"&amp;$BV31):INDIRECT("Table!" &amp; $CH$110 &amp; $BV31),0)),"",INDIRECT(CONCATENATE("Table!",ADDRESS($BZ31,MATCH(AX$1,INDIRECT("Table!A" &amp; $BV31):INDIRECT("Table!" &amp; $CH$110 &amp; $BV31),0)))))/1024</f>
        <v>81.092578125000003</v>
      </c>
      <c r="AY31" s="709">
        <f ca="1">IF(ISERROR(MATCH(AY$1,INDIRECT("Table!A"&amp;$BV31):INDIRECT("Table!" &amp; $CH$110 &amp; $BV31),0)),"",INDIRECT(CONCATENATE("Table!",ADDRESS($BZ31,MATCH(AY$1,INDIRECT("Table!A" &amp; $BV31):INDIRECT("Table!" &amp; $CH$110 &amp; $BV31),0)))))/1024</f>
        <v>187.12714843750001</v>
      </c>
      <c r="AZ31" s="709">
        <f ca="1">IF(ISERROR(MATCH(AZ$1,INDIRECT("Table!A"&amp;$BV31):INDIRECT("Table!" &amp; $CH$110 &amp; $BV31),0)),"",INDIRECT(CONCATENATE("Table!",ADDRESS($BZ31,MATCH(AZ$1,INDIRECT("Table!A" &amp; $BV31):INDIRECT("Table!" &amp; $CH$110 &amp; $BV31),0)))))/1024</f>
        <v>251.84228515625</v>
      </c>
      <c r="BA31" s="709"/>
      <c r="BB31" s="709">
        <f ca="1">IF(ISERROR(MATCH(BB$1,INDIRECT("Table!A"&amp;$BV31):INDIRECT("Table!" &amp; $CH$110 &amp; $BV31),0)),"",INDIRECT(CONCATENATE("Table!",ADDRESS($BZ31,MATCH(BB$1,INDIRECT("Table!A" &amp; $BV31):INDIRECT("Table!" &amp; $CH$110 &amp; $BV31),0)))))/1024</f>
        <v>32.31494140625</v>
      </c>
      <c r="BC31" s="709">
        <f ca="1">IF(ISERROR(MATCH(BC$1,INDIRECT("Table!A"&amp;$BV31):INDIRECT("Table!" &amp; $CH$110 &amp; $BV31),0)),"",INDIRECT(CONCATENATE("Table!",ADDRESS($BZ31,MATCH(BC$1,INDIRECT("Table!A" &amp; $BV31):INDIRECT("Table!" &amp; $CH$110 &amp; $BV31),0)))))/1024</f>
        <v>99.80126953125</v>
      </c>
      <c r="BD31" s="709">
        <f ca="1">IF(ISERROR(MATCH(BD$1,INDIRECT("Table!A"&amp;$BV31):INDIRECT("Table!" &amp; $CH$110 &amp; $BV31),0)),"",INDIRECT(CONCATENATE("Table!",ADDRESS($BZ31,MATCH(BD$1,INDIRECT("Table!A" &amp; $BV31):INDIRECT("Table!" &amp; $CH$110 &amp; $BV31),0)))))/1024</f>
        <v>204.58642578125</v>
      </c>
      <c r="BE31" s="905">
        <f ca="1">IF(ISERROR(MATCH(BE$1,INDIRECT("Table!A"&amp;$BV31):INDIRECT("Table!" &amp; $CH$110 &amp; $BV31),0)),"",INDIRECT(CONCATENATE("Table!",ADDRESS($BZ31,MATCH(BE$1,INDIRECT("Table!A" &amp; $BV31):INDIRECT("Table!" &amp; $CH$110 &amp; $BV31),0)))))/1024</f>
        <v>99.80126953125</v>
      </c>
      <c r="BF31" s="905">
        <f ca="1">IF(ISERROR(MATCH(BF$1,INDIRECT("Table!A"&amp;$BV31):INDIRECT("Table!" &amp; $CH$110 &amp; $BV31),0)),"",INDIRECT(CONCATENATE("Table!",ADDRESS($BZ31,MATCH(BF$1,INDIRECT("Table!A" &amp; $BV31):INDIRECT("Table!" &amp; $CH$110 &amp; $BV31),0)))))/1024</f>
        <v>204.58642578125</v>
      </c>
      <c r="BG31" s="905">
        <f ca="1">IF(ISERROR(MATCH(BG$1,INDIRECT("Table!A"&amp;$BV31):INDIRECT("Table!" &amp; $CH$110 &amp; $BV31),0)),"",INDIRECT(CONCATENATE("Table!",ADDRESS($BZ31,MATCH(BG$1,INDIRECT("Table!A" &amp; $BV31):INDIRECT("Table!" &amp; $CH$110 &amp; $BV31),0)))))/1024</f>
        <v>99.80126953125</v>
      </c>
      <c r="BH31" s="905">
        <f ca="1">IF(ISERROR(MATCH(BH$1,INDIRECT("Table!A"&amp;$BV31):INDIRECT("Table!" &amp; $CH$110 &amp; $BV31),0)),"",INDIRECT(CONCATENATE("Table!",ADDRESS($BZ31,MATCH(BH$1,INDIRECT("Table!A" &amp; $BV31):INDIRECT("Table!" &amp; $CH$110 &amp; $BV31),0)))))/1024</f>
        <v>204.58642578125</v>
      </c>
      <c r="BI31" s="905">
        <f ca="1">IF(ISERROR(MATCH(BI$1,INDIRECT("Table!A"&amp;$BV31):INDIRECT("Table!" &amp; $CH$110 &amp; $BV31),0)),"",INDIRECT(CONCATENATE("Table!",ADDRESS($BZ31,MATCH(BI$1,INDIRECT("Table!A" &amp; $BV31):INDIRECT("Table!" &amp; $CH$110 &amp; $BV31),0)))))/1024</f>
        <v>223.11875000000001</v>
      </c>
      <c r="BJ31" s="905"/>
      <c r="BK31" s="905"/>
      <c r="BL31" s="905"/>
      <c r="BM31" s="905"/>
      <c r="BN31" s="905"/>
      <c r="BO31" s="905"/>
      <c r="BP31" s="905"/>
      <c r="BQ31" s="905"/>
      <c r="BR31" s="704">
        <f>MATCH($A31,Table!$A:$A,0)+$BT$2-1</f>
        <v>411</v>
      </c>
      <c r="BS31" s="744"/>
      <c r="BT31" s="744"/>
      <c r="BU31" s="744"/>
      <c r="BV31" s="717">
        <f>MATCH($A31,Table!$A:$A,0)+$BX$2-1</f>
        <v>409</v>
      </c>
      <c r="BW31" s="744"/>
      <c r="BX31" s="744"/>
      <c r="BY31" s="744"/>
      <c r="BZ31" s="704">
        <f>MATCH($A31,Table!$A:$A,0)+$CB$2-1</f>
        <v>410</v>
      </c>
      <c r="CA31" s="744"/>
      <c r="CB31" s="744"/>
      <c r="CC31" s="744"/>
      <c r="CD31" s="717">
        <f>MATCH($A31,Table!$A:$A,0)+$BX$2-1</f>
        <v>409</v>
      </c>
      <c r="CE31" s="744"/>
      <c r="CF31" s="744"/>
      <c r="CG31" s="744"/>
      <c r="CH31" s="711" t="s">
        <v>302</v>
      </c>
      <c r="CI31" s="712">
        <f t="shared" ca="1" si="0"/>
        <v>4584.0527343749991</v>
      </c>
      <c r="CJ31" s="712">
        <f t="shared" ca="1" si="85"/>
        <v>2049.2582031249999</v>
      </c>
      <c r="CK31" s="712">
        <f t="shared" ref="CK31" ca="1" si="116">CI31-CJ31</f>
        <v>2534.7945312499992</v>
      </c>
      <c r="CL31" s="718">
        <f t="shared" ref="CL31" ca="1" si="117">CJ31/CI31</f>
        <v>0.44704071306989462</v>
      </c>
      <c r="CM31" s="712">
        <f ca="1">SUMIF('Alloc Feed'!A:I,A:A,'Alloc Feed'!I:I)</f>
        <v>3453.6547001953122</v>
      </c>
      <c r="CN31" s="718">
        <f t="shared" ref="CN31" ca="1" si="118">CM31/CI31</f>
        <v>0.75340640701992101</v>
      </c>
    </row>
    <row r="32" spans="1:92" s="743" customFormat="1" x14ac:dyDescent="0.25">
      <c r="A32" s="703">
        <v>41773</v>
      </c>
      <c r="B32" s="709">
        <f ca="1">IF(ISERROR(MATCH(B$1,INDIRECT("Table!A"&amp;$BV32):INDIRECT("Table!" &amp; $CH$110 &amp; $BV32),0)),"",INDIRECT(CONCATENATE("Table!",ADDRESS($BR32,MATCH(B$1,INDIRECT("Table!A" &amp; $BV32):INDIRECT("Table!" &amp; $CH$110 &amp; $BV32),0)))))/1024</f>
        <v>101.54648437500001</v>
      </c>
      <c r="C32" s="709">
        <f ca="1">IF(ISERROR(MATCH(C$1,INDIRECT("Table!A"&amp;$BV32):INDIRECT("Table!" &amp; $CH$110 &amp; $BV32),0)),"",INDIRECT(CONCATENATE("Table!",ADDRESS($BR32,MATCH(C$1,INDIRECT("Table!A" &amp; $BV32):INDIRECT("Table!" &amp; $CH$110 &amp; $BV32),0)))))/1024</f>
        <v>82.464648437500003</v>
      </c>
      <c r="D32" s="709">
        <f ca="1">IF(ISERROR(MATCH(D$1,INDIRECT("Table!A"&amp;$BV32):INDIRECT("Table!" &amp; $CH$110 &amp; $BV32),0)),"",INDIRECT(CONCATENATE("Table!",ADDRESS($BR32,MATCH(D$1,INDIRECT("Table!A" &amp; $BV32):INDIRECT("Table!" &amp; $CH$110 &amp; $BV32),0)))))/1024</f>
        <v>83.772851562499994</v>
      </c>
      <c r="E32" s="709">
        <f ca="1">IF(ISERROR(MATCH(E$1,INDIRECT("Table!A"&amp;$BV32):INDIRECT("Table!" &amp; $CH$110 &amp; $BV32),0)),"",INDIRECT(CONCATENATE("Table!",ADDRESS($BR32,MATCH(E$1,INDIRECT("Table!A" &amp; $BV32):INDIRECT("Table!" &amp; $CH$110 &amp; $BV32),0)))))/1024</f>
        <v>147.81035156249999</v>
      </c>
      <c r="F32" s="709">
        <f ca="1">IF(ISERROR(MATCH(F$1,INDIRECT("Table!A"&amp;$BV32):INDIRECT("Table!" &amp; $CH$110 &amp; $BV32),0)),"",INDIRECT(CONCATENATE("Table!",ADDRESS($BR32,MATCH(F$1,INDIRECT("Table!A" &amp; $BV32):INDIRECT("Table!" &amp; $CH$110 &amp; $BV32),0)))))/1024</f>
        <v>110.380859375</v>
      </c>
      <c r="G32" s="709">
        <f ca="1">IF(ISERROR(MATCH(G$1,INDIRECT("Table!A"&amp;$BV32):INDIRECT("Table!" &amp; $CH$110 &amp; $BV32),0)),"",INDIRECT(CONCATENATE("Table!",ADDRESS($BR32,MATCH(G$1,INDIRECT("Table!A" &amp; $BV32):INDIRECT("Table!" &amp; $CH$110 &amp; $BV32),0)))))/1024</f>
        <v>205.97675781250001</v>
      </c>
      <c r="H32" s="709">
        <f ca="1">IF(ISERROR(MATCH(H$1,INDIRECT("Table!A"&amp;$BV32):INDIRECT("Table!" &amp; $CH$110 &amp; $BV32),0)),"",INDIRECT(CONCATENATE("Table!",ADDRESS($BR32,MATCH(H$1,INDIRECT("Table!A" &amp; $BV32):INDIRECT("Table!" &amp; $CH$110 &amp; $BV32),0)))))/1024</f>
        <v>122.26035156250001</v>
      </c>
      <c r="I32" s="709">
        <f ca="1">IF(ISERROR(MATCH(I$1,INDIRECT("Table!A"&amp;$BV32):INDIRECT("Table!" &amp; $CH$110 &amp; $BV32),0)),"",INDIRECT(CONCATENATE("Table!",ADDRESS($BR32,MATCH(I$1,INDIRECT("Table!A" &amp; $BV32):INDIRECT("Table!" &amp; $CH$110 &amp; $BV32),0)))))/1024</f>
        <v>24.573437500000001</v>
      </c>
      <c r="J32" s="709">
        <f ca="1">IF(ISERROR(MATCH(J$1,INDIRECT("Table!A"&amp;$BV32):INDIRECT("Table!" &amp; $CH$110 &amp; $BV32),0)),"",INDIRECT(CONCATENATE("Table!",ADDRESS($BR32,MATCH(J$1,INDIRECT("Table!A" &amp; $BV32):INDIRECT("Table!" &amp; $CH$110 &amp; $BV32),0)))))/1024</f>
        <v>79.944628906250003</v>
      </c>
      <c r="K32" s="709">
        <f ca="1">IF(ISERROR(MATCH(K$1,INDIRECT("Table!A"&amp;$BV32):INDIRECT("Table!" &amp; $CH$110 &amp; $BV32),0)),"",INDIRECT(CONCATENATE("Table!",ADDRESS($BR32,MATCH(K$1,INDIRECT("Table!A" &amp; $BV32):INDIRECT("Table!" &amp; $CH$110 &amp; $BV32),0)))))/1024</f>
        <v>53.430859374999997</v>
      </c>
      <c r="L32" s="709">
        <f ca="1">IF(ISERROR(MATCH(L$1,INDIRECT("Table!A"&amp;$BV32):INDIRECT("Table!" &amp; $CH$110 &amp; $BV32),0)),"",INDIRECT(CONCATENATE("Table!",ADDRESS($BR32,MATCH(L$1,INDIRECT("Table!A" &amp; $BV32):INDIRECT("Table!" &amp; $CH$110 &amp; $BV32),0)))))/1024</f>
        <v>156.08037109374999</v>
      </c>
      <c r="M32" s="709">
        <f ca="1">IF(ISERROR(MATCH(M$1,INDIRECT("Table!A"&amp;$BV32):INDIRECT("Table!" &amp; $CH$110 &amp; $BV32),0)),"",INDIRECT(CONCATENATE("Table!",ADDRESS($BR32,MATCH(M$1,INDIRECT("Table!A" &amp; $BV32):INDIRECT("Table!" &amp; $CH$110 &amp; $BV32),0)))))/1024</f>
        <v>203.78359374999999</v>
      </c>
      <c r="N32" s="709">
        <f ca="1">IF(ISERROR(MATCH(N$1,INDIRECT("Table!A"&amp;$BV32):INDIRECT("Table!" &amp; $CH$110 &amp; $BV32),0)),"",INDIRECT(CONCATENATE("Table!",ADDRESS($BR32,MATCH(N$1,INDIRECT("Table!A" &amp; $BV32):INDIRECT("Table!" &amp; $CH$110 &amp; $BV32),0)))))/1024</f>
        <v>55.648242187500003</v>
      </c>
      <c r="O32" s="709">
        <f ca="1">IF(ISERROR(MATCH(O$1,INDIRECT("Table!A"&amp;$BV32):INDIRECT("Table!" &amp; $CH$110 &amp; $BV32),0)),"",INDIRECT(CONCATENATE("Table!",ADDRESS($BR32,MATCH(O$1,INDIRECT("Table!A" &amp; $BV32):INDIRECT("Table!" &amp; $CH$110 &amp; $BV32),0)))))/1024</f>
        <v>226.80322265625</v>
      </c>
      <c r="P32" s="709">
        <f ca="1">IF(ISERROR(MATCH(P$1,INDIRECT("Table!A"&amp;$BV32):INDIRECT("Table!" &amp; $CH$110 &amp; $BV32),0)),"",INDIRECT(CONCATENATE("Table!",ADDRESS($BR32,MATCH(P$1,INDIRECT("Table!A" &amp; $BV32):INDIRECT("Table!" &amp; $CH$110 &amp; $BV32),0)))))/1024</f>
        <v>47.4765625</v>
      </c>
      <c r="Q32" s="709">
        <f ca="1">IF(ISERROR(MATCH(Q$1,INDIRECT("Table!A"&amp;$BV32):INDIRECT("Table!" &amp; $CH$110 &amp; $BV32),0)),"",INDIRECT(CONCATENATE("Table!",ADDRESS($BR32,MATCH(Q$1,INDIRECT("Table!A" &amp; $BV32):INDIRECT("Table!" &amp; $CH$110 &amp; $BV32),0)))))/1024</f>
        <v>123.05703124999999</v>
      </c>
      <c r="R32" s="709">
        <f ca="1">IF(ISERROR(MATCH(R$1,INDIRECT("Table!A"&amp;$BV32):INDIRECT("Table!" &amp; $CH$110 &amp; $BV32),0)),"",INDIRECT(CONCATENATE("Table!",ADDRESS($BR32,MATCH(R$1,INDIRECT("Table!A" &amp; $BV32):INDIRECT("Table!" &amp; $CH$110 &amp; $BV32),0)))))/1024</f>
        <v>149.11757812499999</v>
      </c>
      <c r="S32" s="709">
        <v>0</v>
      </c>
      <c r="T32" s="709">
        <f ca="1">IF(ISERROR(MATCH(T$1,INDIRECT("Table!A"&amp;$BV32):INDIRECT("Table!" &amp; $CH$65 &amp; $BV32),0)),"",INDIRECT(CONCATENATE("Table!",ADDRESS($BR32,MATCH(T$1,INDIRECT("Table!A" &amp; $BV32):INDIRECT("Table!" &amp; $CH$65 &amp; $BV32),0)))))/1024</f>
        <v>9.2347656249999996</v>
      </c>
      <c r="U32" s="709">
        <f ca="1">IF(ISERROR(MATCH(U$1,INDIRECT("Table!A"&amp;$BV32):INDIRECT("Table!" &amp; $CH$65 &amp; $BV32),0)),"",INDIRECT(CONCATENATE("Table!",ADDRESS($BR32,MATCH(U$1,INDIRECT("Table!A" &amp; $BV32):INDIRECT("Table!" &amp; $CH$65 &amp; $BV32),0)))))/1024</f>
        <v>10.99267578125</v>
      </c>
      <c r="V32" s="709">
        <f ca="1">IF(ISERROR(MATCH(V$1,INDIRECT("Table!A"&amp;$BV32):INDIRECT("Table!" &amp; $CH$65 &amp; $BV32),0)),"",INDIRECT(CONCATENATE("Table!",ADDRESS($BR32,MATCH(V$1,INDIRECT("Table!A" &amp; $BV32):INDIRECT("Table!" &amp; $CH$65 &amp; $BV32),0)))))/1024</f>
        <v>21.985156249999999</v>
      </c>
      <c r="W32" s="709">
        <f ca="1">IF(ISERROR(MATCH(W$1,INDIRECT("Table!A"&amp;$BV32):INDIRECT("Table!" &amp; $CH$65 &amp; $BV32),0)),"",INDIRECT(CONCATENATE("Table!",ADDRESS($BR32,MATCH(W$1,INDIRECT("Table!A" &amp; $BV32):INDIRECT("Table!" &amp; $CH$65 &amp; $BV32),0)))))/1024</f>
        <v>1.2718750000000001</v>
      </c>
      <c r="X32" s="709">
        <f ca="1">IF(ISERROR(MATCH(X$1,INDIRECT("Table!A"&amp;$BV32):INDIRECT("Table!" &amp; $CH$65 &amp; $BV32),0)),"",INDIRECT(CONCATENATE("Table!",ADDRESS($BR32,MATCH(X$1,INDIRECT("Table!A" &amp; $BV32):INDIRECT("Table!" &amp; $CH$65 &amp; $BV32),0)))))/1024</f>
        <v>2.533203125</v>
      </c>
      <c r="Y32" s="709">
        <f ca="1">IF(ISERROR(MATCH(Y$1,INDIRECT("Table!A"&amp;$BV32):INDIRECT("Table!" &amp; $CH$65 &amp; $BV32),0)),"",INDIRECT(CONCATENATE("Table!",ADDRESS($BR32,MATCH(Y$1,INDIRECT("Table!A" &amp; $BV32):INDIRECT("Table!" &amp; $CH$65 &amp; $BV32),0)))))/1024</f>
        <v>3.0273437500000001E-3</v>
      </c>
      <c r="Z32" s="709">
        <f ca="1">IF(ISERROR(MATCH(Z$1,INDIRECT("Table!A"&amp;$BV32):INDIRECT("Table!" &amp; $CH$65 &amp; $BV32),0)),"",INDIRECT(CONCATENATE("Table!",ADDRESS($BR32,MATCH(Z$1,INDIRECT("Table!A" &amp; $BV32):INDIRECT("Table!" &amp; $CH$65 &amp; $BV32),0)))))/1024</f>
        <v>5.859375E-3</v>
      </c>
      <c r="AA32" s="709"/>
      <c r="AB32" s="709"/>
      <c r="AC32" s="905"/>
      <c r="AD32" s="905"/>
      <c r="AE32" s="905"/>
      <c r="AF32" s="905"/>
      <c r="AG32" s="905"/>
      <c r="AH32" s="905"/>
      <c r="AI32" s="709" t="str">
        <f ca="1">IF(ISERROR(MATCH(AI$1,INDIRECT("Table!A"&amp;$BV32):INDIRECT("Table!" &amp; $CH$110 &amp; $BV32),0)),"",INDIRECT(CONCATENATE("Table!",ADDRESS($BR32,MATCH(AI$1,INDIRECT("Table!A" &amp; $BV32):INDIRECT("Table!" &amp; $CH$110 &amp; $BV32),0)))))</f>
        <v/>
      </c>
      <c r="AJ32" s="709">
        <f ca="1">IF(ISERROR(MATCH(AJ$1,INDIRECT("Table!A"&amp;$BV32):INDIRECT("Table!" &amp; $CH$110 &amp; $BV32),0)),"",INDIRECT(CONCATENATE("Table!",ADDRESS($BZ32,MATCH(AJ$1,INDIRECT("Table!A" &amp; $BV32):INDIRECT("Table!" &amp; $CH$110 &amp; $BV32),0)))))/1024</f>
        <v>244.15859374999999</v>
      </c>
      <c r="AK32" s="709">
        <f ca="1">IF(ISERROR(MATCH(AK$1,INDIRECT("Table!A"&amp;$BV32):INDIRECT("Table!" &amp; $CH$110 &amp; $BV32),0)),"",INDIRECT(CONCATENATE("Table!",ADDRESS($BZ32,MATCH(AK$1,INDIRECT("Table!A" &amp; $BV32):INDIRECT("Table!" &amp; $CH$110 &amp; $BV32),0)))))/1024</f>
        <v>146.98896484375001</v>
      </c>
      <c r="AL32" s="709">
        <f ca="1">IF(ISERROR(MATCH(AL$1,INDIRECT("Table!A"&amp;$BV32):INDIRECT("Table!" &amp; $CH$110 &amp; $BV32),0)),"",INDIRECT(CONCATENATE("Table!",ADDRESS($BZ32,MATCH(AL$1,INDIRECT("Table!A" &amp; $BV32):INDIRECT("Table!" &amp; $CH$110 &amp; $BV32),0)))))/1024</f>
        <v>146.98896484375001</v>
      </c>
      <c r="AM32" s="709">
        <f ca="1">IF(ISERROR(MATCH(AM$1,INDIRECT("Table!A"&amp;$BV32):INDIRECT("Table!" &amp; $CH$110 &amp; $BV32),0)),"",INDIRECT(CONCATENATE("Table!",ADDRESS($BZ32,MATCH(AM$1,INDIRECT("Table!A" &amp; $BV32):INDIRECT("Table!" &amp; $CH$110 &amp; $BV32),0)))))/1024</f>
        <v>177.73320312499999</v>
      </c>
      <c r="AN32" s="709">
        <f ca="1">IF(ISERROR(MATCH(AN$1,INDIRECT("Table!A"&amp;$BV32):INDIRECT("Table!" &amp; $CH$110 &amp; $BV32),0)),"",INDIRECT(CONCATENATE("Table!",ADDRESS($BZ32,MATCH(AN$1,INDIRECT("Table!A" &amp; $BV32):INDIRECT("Table!" &amp; $CH$110 &amp; $BV32),0)))))/1024</f>
        <v>161.88056640625001</v>
      </c>
      <c r="AO32" s="709">
        <f ca="1">IF(ISERROR(MATCH(AO$1,INDIRECT("Table!A"&amp;$BV32):INDIRECT("Table!" &amp; $CH$110 &amp; $BV32),0)),"",INDIRECT(CONCATENATE("Table!",ADDRESS($BZ32,MATCH(AO$1,INDIRECT("Table!A" &amp; $BV32):INDIRECT("Table!" &amp; $CH$110 &amp; $BV32),0)))))/1024</f>
        <v>380.3759765625</v>
      </c>
      <c r="AP32" s="709">
        <f ca="1">IF(ISERROR(MATCH(AP$1,INDIRECT("Table!A"&amp;$BV32):INDIRECT("Table!" &amp; $CH$110 &amp; $BV32),0)),"",INDIRECT(CONCATENATE("Table!",ADDRESS($BZ32,MATCH(AP$1,INDIRECT("Table!A" &amp; $BV32):INDIRECT("Table!" &amp; $CH$110 &amp; $BV32),0)))))/1024</f>
        <v>167.94482421875</v>
      </c>
      <c r="AQ32" s="709">
        <f ca="1">IF(ISERROR(MATCH(AQ$1,INDIRECT("Table!A"&amp;$BV32):INDIRECT("Table!" &amp; $CH$110 &amp; $BV32),0)),"",INDIRECT(CONCATENATE("Table!",ADDRESS($BZ32,MATCH(AQ$1,INDIRECT("Table!A" &amp; $BV32):INDIRECT("Table!" &amp; $CH$110 &amp; $BV32),0)))))/1024</f>
        <v>162.185546875</v>
      </c>
      <c r="AR32" s="709">
        <f ca="1">IF(ISERROR(MATCH(AR$1,INDIRECT("Table!A"&amp;$BV32):INDIRECT("Table!" &amp; $CH$110 &amp; $BV32),0)),"",INDIRECT(CONCATENATE("Table!",ADDRESS($BZ32,MATCH(AR$1,INDIRECT("Table!A" &amp; $BV32):INDIRECT("Table!" &amp; $CH$110 &amp; $BV32),0)))))/1024</f>
        <v>121.1125</v>
      </c>
      <c r="AS32" s="709">
        <f ca="1">IF(ISERROR(MATCH(AS$1,INDIRECT("Table!A"&amp;$BV32):INDIRECT("Table!" &amp; $CH$110 &amp; $BV32),0)),"",INDIRECT(CONCATENATE("Table!",ADDRESS($BZ32,MATCH(AS$1,INDIRECT("Table!A" &amp; $BV32):INDIRECT("Table!" &amp; $CH$110 &amp; $BV32),0)))))/1024</f>
        <v>218.81953125000001</v>
      </c>
      <c r="AT32" s="709">
        <f ca="1">IF(ISERROR(MATCH(AT$1,INDIRECT("Table!A"&amp;$BV32):INDIRECT("Table!" &amp; $CH$110 &amp; $BV32),0)),"",INDIRECT(CONCATENATE("Table!",ADDRESS($BZ32,MATCH(AT$1,INDIRECT("Table!A" &amp; $BV32):INDIRECT("Table!" &amp; $CH$110 &amp; $BV32),0)))))/1024</f>
        <v>188.50498046875001</v>
      </c>
      <c r="AU32" s="709">
        <f ca="1">IF(ISERROR(MATCH(AU$1,INDIRECT("Table!A"&amp;$BV32):INDIRECT("Table!" &amp; $CH$110 &amp; $BV32),0)),"",INDIRECT(CONCATENATE("Table!",ADDRESS($BZ32,MATCH(AU$1,INDIRECT("Table!A" &amp; $BV32):INDIRECT("Table!" &amp; $CH$110 &amp; $BV32),0)))))/1024</f>
        <v>427.94912109375002</v>
      </c>
      <c r="AV32" s="709">
        <f ca="1">IF(ISERROR(MATCH(AV$1,INDIRECT("Table!A"&amp;$BV32):INDIRECT("Table!" &amp; $CH$110 &amp; $BV32),0)),"",INDIRECT(CONCATENATE("Table!",ADDRESS($BZ32,MATCH(AV$1,INDIRECT("Table!A" &amp; $BV32):INDIRECT("Table!" &amp; $CH$110 &amp; $BV32),0)))))/1024</f>
        <v>81.092578125000003</v>
      </c>
      <c r="AW32" s="709">
        <f ca="1">IF(ISERROR(MATCH(AW$1,INDIRECT("Table!A"&amp;$BV32):INDIRECT("Table!" &amp; $CH$110 &amp; $BV32),0)),"",INDIRECT(CONCATENATE("Table!",ADDRESS($BZ32,MATCH(AW$1,INDIRECT("Table!A" &amp; $BV32):INDIRECT("Table!" &amp; $CH$110 &amp; $BV32),0)))))/1024</f>
        <v>269.65859375000002</v>
      </c>
      <c r="AX32" s="709">
        <f ca="1">IF(ISERROR(MATCH(AX$1,INDIRECT("Table!A"&amp;$BV32):INDIRECT("Table!" &amp; $CH$110 &amp; $BV32),0)),"",INDIRECT(CONCATENATE("Table!",ADDRESS($BZ32,MATCH(AX$1,INDIRECT("Table!A" &amp; $BV32):INDIRECT("Table!" &amp; $CH$110 &amp; $BV32),0)))))/1024</f>
        <v>81.092578125000003</v>
      </c>
      <c r="AY32" s="709">
        <f ca="1">IF(ISERROR(MATCH(AY$1,INDIRECT("Table!A"&amp;$BV32):INDIRECT("Table!" &amp; $CH$110 &amp; $BV32),0)),"",INDIRECT(CONCATENATE("Table!",ADDRESS($BZ32,MATCH(AY$1,INDIRECT("Table!A" &amp; $BV32):INDIRECT("Table!" &amp; $CH$110 &amp; $BV32),0)))))/1024</f>
        <v>187.12714843750001</v>
      </c>
      <c r="AZ32" s="709">
        <f ca="1">IF(ISERROR(MATCH(AZ$1,INDIRECT("Table!A"&amp;$BV32):INDIRECT("Table!" &amp; $CH$110 &amp; $BV32),0)),"",INDIRECT(CONCATENATE("Table!",ADDRESS($BZ32,MATCH(AZ$1,INDIRECT("Table!A" &amp; $BV32):INDIRECT("Table!" &amp; $CH$110 &amp; $BV32),0)))))/1024</f>
        <v>218.81953125000001</v>
      </c>
      <c r="BA32" s="709"/>
      <c r="BB32" s="709">
        <f ca="1">IF(ISERROR(MATCH(BB$1,INDIRECT("Table!A"&amp;$BV32):INDIRECT("Table!" &amp; $CH$110 &amp; $BV32),0)),"",INDIRECT(CONCATENATE("Table!",ADDRESS($BZ32,MATCH(BB$1,INDIRECT("Table!A" &amp; $BV32):INDIRECT("Table!" &amp; $CH$110 &amp; $BV32),0)))))/1024</f>
        <v>32.31494140625</v>
      </c>
      <c r="BC32" s="709">
        <f ca="1">IF(ISERROR(MATCH(BC$1,INDIRECT("Table!A"&amp;$BV32):INDIRECT("Table!" &amp; $CH$110 &amp; $BV32),0)),"",INDIRECT(CONCATENATE("Table!",ADDRESS($BZ32,MATCH(BC$1,INDIRECT("Table!A" &amp; $BV32):INDIRECT("Table!" &amp; $CH$110 &amp; $BV32),0)))))/1024</f>
        <v>99.80126953125</v>
      </c>
      <c r="BD32" s="709">
        <f ca="1">IF(ISERROR(MATCH(BD$1,INDIRECT("Table!A"&amp;$BV32):INDIRECT("Table!" &amp; $CH$110 &amp; $BV32),0)),"",INDIRECT(CONCATENATE("Table!",ADDRESS($BZ32,MATCH(BD$1,INDIRECT("Table!A" &amp; $BV32):INDIRECT("Table!" &amp; $CH$110 &amp; $BV32),0)))))/1024</f>
        <v>204.58642578125</v>
      </c>
      <c r="BE32" s="905">
        <f ca="1">IF(ISERROR(MATCH(BE$1,INDIRECT("Table!A"&amp;$BV32):INDIRECT("Table!" &amp; $CH$110 &amp; $BV32),0)),"",INDIRECT(CONCATENATE("Table!",ADDRESS($BZ32,MATCH(BE$1,INDIRECT("Table!A" &amp; $BV32):INDIRECT("Table!" &amp; $CH$110 &amp; $BV32),0)))))/1024</f>
        <v>99.80126953125</v>
      </c>
      <c r="BF32" s="905">
        <f ca="1">IF(ISERROR(MATCH(BF$1,INDIRECT("Table!A"&amp;$BV32):INDIRECT("Table!" &amp; $CH$110 &amp; $BV32),0)),"",INDIRECT(CONCATENATE("Table!",ADDRESS($BZ32,MATCH(BF$1,INDIRECT("Table!A" &amp; $BV32):INDIRECT("Table!" &amp; $CH$110 &amp; $BV32),0)))))/1024</f>
        <v>204.58642578125</v>
      </c>
      <c r="BG32" s="905">
        <f ca="1">IF(ISERROR(MATCH(BG$1,INDIRECT("Table!A"&amp;$BV32):INDIRECT("Table!" &amp; $CH$110 &amp; $BV32),0)),"",INDIRECT(CONCATENATE("Table!",ADDRESS($BZ32,MATCH(BG$1,INDIRECT("Table!A" &amp; $BV32):INDIRECT("Table!" &amp; $CH$110 &amp; $BV32),0)))))/1024</f>
        <v>99.80126953125</v>
      </c>
      <c r="BH32" s="905">
        <f ca="1">IF(ISERROR(MATCH(BH$1,INDIRECT("Table!A"&amp;$BV32):INDIRECT("Table!" &amp; $CH$110 &amp; $BV32),0)),"",INDIRECT(CONCATENATE("Table!",ADDRESS($BZ32,MATCH(BH$1,INDIRECT("Table!A" &amp; $BV32):INDIRECT("Table!" &amp; $CH$110 &amp; $BV32),0)))))/1024</f>
        <v>204.58642578125</v>
      </c>
      <c r="BI32" s="905"/>
      <c r="BJ32" s="905"/>
      <c r="BK32" s="905"/>
      <c r="BL32" s="905"/>
      <c r="BM32" s="905"/>
      <c r="BN32" s="905"/>
      <c r="BO32" s="905"/>
      <c r="BP32" s="905"/>
      <c r="BQ32" s="905"/>
      <c r="BR32" s="704">
        <f>MATCH($A32,Table!$A:$A,0)+$BT$2-1</f>
        <v>425</v>
      </c>
      <c r="BS32" s="744"/>
      <c r="BT32" s="744"/>
      <c r="BU32" s="744"/>
      <c r="BV32" s="717">
        <f>MATCH($A32,Table!$A:$A,0)+$BX$2-1</f>
        <v>423</v>
      </c>
      <c r="BW32" s="744"/>
      <c r="BX32" s="744"/>
      <c r="BY32" s="744"/>
      <c r="BZ32" s="704">
        <f>MATCH($A32,Table!$A:$A,0)+$CB$2-1</f>
        <v>424</v>
      </c>
      <c r="CA32" s="744"/>
      <c r="CB32" s="744"/>
      <c r="CC32" s="744"/>
      <c r="CD32" s="717">
        <f>MATCH($A32,Table!$A:$A,0)+$BX$2-1</f>
        <v>423</v>
      </c>
      <c r="CE32" s="744"/>
      <c r="CF32" s="744"/>
      <c r="CG32" s="744"/>
      <c r="CH32" s="711" t="s">
        <v>302</v>
      </c>
      <c r="CI32" s="712">
        <f t="shared" ca="1" si="0"/>
        <v>4327.9112304687496</v>
      </c>
      <c r="CJ32" s="712">
        <f t="shared" ca="1" si="85"/>
        <v>2020.1543945312496</v>
      </c>
      <c r="CK32" s="712">
        <f t="shared" ref="CK32" ca="1" si="119">CI32-CJ32</f>
        <v>2307.7568359375</v>
      </c>
      <c r="CL32" s="718">
        <f t="shared" ref="CL32" ca="1" si="120">CJ32/CI32</f>
        <v>0.46677352814199236</v>
      </c>
      <c r="CM32" s="712">
        <f ca="1">SUMIF('Alloc Feed'!A:I,A:A,'Alloc Feed'!I:I)</f>
        <v>3443.2169179687498</v>
      </c>
      <c r="CN32" s="718">
        <f t="shared" ref="CN32" ca="1" si="121">CM32/CI32</f>
        <v>0.79558399759410503</v>
      </c>
    </row>
    <row r="33" spans="1:92" s="743" customFormat="1" x14ac:dyDescent="0.25">
      <c r="A33" s="703">
        <v>41766</v>
      </c>
      <c r="B33" s="709">
        <f ca="1">IF(ISERROR(MATCH(B$1,INDIRECT("Table!A"&amp;$BV33):INDIRECT("Table!" &amp; $CH$110 &amp; $BV33),0)),"",INDIRECT(CONCATENATE("Table!",ADDRESS($BR33,MATCH(B$1,INDIRECT("Table!A" &amp; $BV33):INDIRECT("Table!" &amp; $CH$110 &amp; $BV33),0)))))/1024</f>
        <v>101.45986328124999</v>
      </c>
      <c r="C33" s="709">
        <f ca="1">IF(ISERROR(MATCH(C$1,INDIRECT("Table!A"&amp;$BV33):INDIRECT("Table!" &amp; $CH$110 &amp; $BV33),0)),"",INDIRECT(CONCATENATE("Table!",ADDRESS($BR33,MATCH(C$1,INDIRECT("Table!A" &amp; $BV33):INDIRECT("Table!" &amp; $CH$110 &amp; $BV33),0)))))/1024</f>
        <v>82.121972656249994</v>
      </c>
      <c r="D33" s="709">
        <f ca="1">IF(ISERROR(MATCH(D$1,INDIRECT("Table!A"&amp;$BV33):INDIRECT("Table!" &amp; $CH$110 &amp; $BV33),0)),"",INDIRECT(CONCATENATE("Table!",ADDRESS($BR33,MATCH(D$1,INDIRECT("Table!A" &amp; $BV33):INDIRECT("Table!" &amp; $CH$110 &amp; $BV33),0)))))/1024</f>
        <v>83.432421875000003</v>
      </c>
      <c r="E33" s="709">
        <f ca="1">IF(ISERROR(MATCH(E$1,INDIRECT("Table!A"&amp;$BV33):INDIRECT("Table!" &amp; $CH$110 &amp; $BV33),0)),"",INDIRECT(CONCATENATE("Table!",ADDRESS($BR33,MATCH(E$1,INDIRECT("Table!A" &amp; $BV33):INDIRECT("Table!" &amp; $CH$110 &amp; $BV33),0)))))/1024</f>
        <v>147.59843749999999</v>
      </c>
      <c r="F33" s="709">
        <f ca="1">IF(ISERROR(MATCH(F$1,INDIRECT("Table!A"&amp;$BV33):INDIRECT("Table!" &amp; $CH$110 &amp; $BV33),0)),"",INDIRECT(CONCATENATE("Table!",ADDRESS($BR33,MATCH(F$1,INDIRECT("Table!A" &amp; $BV33):INDIRECT("Table!" &amp; $CH$110 &amp; $BV33),0)))))/1024</f>
        <v>108.61591796875</v>
      </c>
      <c r="G33" s="709">
        <f ca="1">IF(ISERROR(MATCH(G$1,INDIRECT("Table!A"&amp;$BV33):INDIRECT("Table!" &amp; $CH$110 &amp; $BV33),0)),"",INDIRECT(CONCATENATE("Table!",ADDRESS($BR33,MATCH(G$1,INDIRECT("Table!A" &amp; $BV33):INDIRECT("Table!" &amp; $CH$110 &amp; $BV33),0)))))/1024</f>
        <v>205.48037109374999</v>
      </c>
      <c r="H33" s="709">
        <f ca="1">IF(ISERROR(MATCH(H$1,INDIRECT("Table!A"&amp;$BV33):INDIRECT("Table!" &amp; $CH$110 &amp; $BV33),0)),"",INDIRECT(CONCATENATE("Table!",ADDRESS($BR33,MATCH(H$1,INDIRECT("Table!A" &amp; $BV33):INDIRECT("Table!" &amp; $CH$110 &amp; $BV33),0)))))/1024</f>
        <v>122.08271484375</v>
      </c>
      <c r="I33" s="709">
        <f ca="1">IF(ISERROR(MATCH(I$1,INDIRECT("Table!A"&amp;$BV33):INDIRECT("Table!" &amp; $CH$110 &amp; $BV33),0)),"",INDIRECT(CONCATENATE("Table!",ADDRESS($BR33,MATCH(I$1,INDIRECT("Table!A" &amp; $BV33):INDIRECT("Table!" &amp; $CH$110 &amp; $BV33),0)))))/1024</f>
        <v>24.062597656249999</v>
      </c>
      <c r="J33" s="709">
        <f ca="1">IF(ISERROR(MATCH(J$1,INDIRECT("Table!A"&amp;$BV33):INDIRECT("Table!" &amp; $CH$110 &amp; $BV33),0)),"",INDIRECT(CONCATENATE("Table!",ADDRESS($BR33,MATCH(J$1,INDIRECT("Table!A" &amp; $BV33):INDIRECT("Table!" &amp; $CH$110 &amp; $BV33),0)))))/1024</f>
        <v>79.697558593750003</v>
      </c>
      <c r="K33" s="709">
        <f ca="1">IF(ISERROR(MATCH(K$1,INDIRECT("Table!A"&amp;$BV33):INDIRECT("Table!" &amp; $CH$110 &amp; $BV33),0)),"",INDIRECT(CONCATENATE("Table!",ADDRESS($BR33,MATCH(K$1,INDIRECT("Table!A" &amp; $BV33):INDIRECT("Table!" &amp; $CH$110 &amp; $BV33),0)))))/1024</f>
        <v>50.95556640625</v>
      </c>
      <c r="L33" s="709">
        <f ca="1">IF(ISERROR(MATCH(L$1,INDIRECT("Table!A"&amp;$BV33):INDIRECT("Table!" &amp; $CH$110 &amp; $BV33),0)),"",INDIRECT(CONCATENATE("Table!",ADDRESS($BR33,MATCH(L$1,INDIRECT("Table!A" &amp; $BV33):INDIRECT("Table!" &amp; $CH$110 &amp; $BV33),0)))))/1024</f>
        <v>155.88759765624999</v>
      </c>
      <c r="M33" s="709">
        <f ca="1">IF(ISERROR(MATCH(M$1,INDIRECT("Table!A"&amp;$BV33):INDIRECT("Table!" &amp; $CH$110 &amp; $BV33),0)),"",INDIRECT(CONCATENATE("Table!",ADDRESS($BR33,MATCH(M$1,INDIRECT("Table!A" &amp; $BV33):INDIRECT("Table!" &amp; $CH$110 &amp; $BV33),0)))))/1024</f>
        <v>203.29150390625</v>
      </c>
      <c r="N33" s="709">
        <f ca="1">IF(ISERROR(MATCH(N$1,INDIRECT("Table!A"&amp;$BV33):INDIRECT("Table!" &amp; $CH$110 &amp; $BV33),0)),"",INDIRECT(CONCATENATE("Table!",ADDRESS($BR33,MATCH(N$1,INDIRECT("Table!A" &amp; $BV33):INDIRECT("Table!" &amp; $CH$110 &amp; $BV33),0)))))/1024</f>
        <v>54.783398437499997</v>
      </c>
      <c r="O33" s="709">
        <f ca="1">IF(ISERROR(MATCH(O$1,INDIRECT("Table!A"&amp;$BV33):INDIRECT("Table!" &amp; $CH$110 &amp; $BV33),0)),"",INDIRECT(CONCATENATE("Table!",ADDRESS($BR33,MATCH(O$1,INDIRECT("Table!A" &amp; $BV33):INDIRECT("Table!" &amp; $CH$110 &amp; $BV33),0)))))/1024</f>
        <v>226.4677734375</v>
      </c>
      <c r="P33" s="709">
        <f ca="1">IF(ISERROR(MATCH(P$1,INDIRECT("Table!A"&amp;$BV33):INDIRECT("Table!" &amp; $CH$110 &amp; $BV33),0)),"",INDIRECT(CONCATENATE("Table!",ADDRESS($BR33,MATCH(P$1,INDIRECT("Table!A" &amp; $BV33):INDIRECT("Table!" &amp; $CH$110 &amp; $BV33),0)))))/1024</f>
        <v>46.526757812500001</v>
      </c>
      <c r="Q33" s="709">
        <f ca="1">IF(ISERROR(MATCH(Q$1,INDIRECT("Table!A"&amp;$BV33):INDIRECT("Table!" &amp; $CH$110 &amp; $BV33),0)),"",INDIRECT(CONCATENATE("Table!",ADDRESS($BR33,MATCH(Q$1,INDIRECT("Table!A" &amp; $BV33):INDIRECT("Table!" &amp; $CH$110 &amp; $BV33),0)))))/1024</f>
        <v>122.77646484375001</v>
      </c>
      <c r="R33" s="709">
        <f ca="1">IF(ISERROR(MATCH(R$1,INDIRECT("Table!A"&amp;$BV33):INDIRECT("Table!" &amp; $CH$110 &amp; $BV33),0)),"",INDIRECT(CONCATENATE("Table!",ADDRESS($BR33,MATCH(R$1,INDIRECT("Table!A" &amp; $BV33):INDIRECT("Table!" &amp; $CH$110 &amp; $BV33),0)))))/1024</f>
        <v>146.61611328124999</v>
      </c>
      <c r="S33" s="709">
        <v>0</v>
      </c>
      <c r="T33" s="709">
        <f ca="1">IF(ISERROR(MATCH(T$1,INDIRECT("Table!A"&amp;$BV33):INDIRECT("Table!" &amp; $CH$65 &amp; $BV33),0)),"",INDIRECT(CONCATENATE("Table!",ADDRESS($BR33,MATCH(T$1,INDIRECT("Table!A" &amp; $BV33):INDIRECT("Table!" &amp; $CH$65 &amp; $BV33),0)))))/1024</f>
        <v>9.2347656249999996</v>
      </c>
      <c r="U33" s="709">
        <f ca="1">IF(ISERROR(MATCH(U$1,INDIRECT("Table!A"&amp;$BV33):INDIRECT("Table!" &amp; $CH$65 &amp; $BV33),0)),"",INDIRECT(CONCATENATE("Table!",ADDRESS($BR33,MATCH(U$1,INDIRECT("Table!A" &amp; $BV33):INDIRECT("Table!" &amp; $CH$65 &amp; $BV33),0)))))/1024</f>
        <v>9.2943359374999996</v>
      </c>
      <c r="V33" s="709">
        <f ca="1">IF(ISERROR(MATCH(V$1,INDIRECT("Table!A"&amp;$BV33):INDIRECT("Table!" &amp; $CH$65 &amp; $BV33),0)),"",INDIRECT(CONCATENATE("Table!",ADDRESS($BR33,MATCH(V$1,INDIRECT("Table!A" &amp; $BV33):INDIRECT("Table!" &amp; $CH$65 &amp; $BV33),0)))))/1024</f>
        <v>18.588476562499999</v>
      </c>
      <c r="W33" s="709">
        <f ca="1">IF(ISERROR(MATCH(W$1,INDIRECT("Table!A"&amp;$BV33):INDIRECT("Table!" &amp; $CH$65 &amp; $BV33),0)),"",INDIRECT(CONCATENATE("Table!",ADDRESS($BR33,MATCH(W$1,INDIRECT("Table!A" &amp; $BV33):INDIRECT("Table!" &amp; $CH$65 &amp; $BV33),0)))))/1024</f>
        <v>1.2564453124999999</v>
      </c>
      <c r="X33" s="709">
        <f ca="1">IF(ISERROR(MATCH(X$1,INDIRECT("Table!A"&amp;$BV33):INDIRECT("Table!" &amp; $CH$65 &amp; $BV33),0)),"",INDIRECT(CONCATENATE("Table!",ADDRESS($BR33,MATCH(X$1,INDIRECT("Table!A" &amp; $BV33):INDIRECT("Table!" &amp; $CH$65 &amp; $BV33),0)))))/1024</f>
        <v>2.5023437500000001</v>
      </c>
      <c r="Y33" s="709">
        <f ca="1">IF(ISERROR(MATCH(Y$1,INDIRECT("Table!A"&amp;$BV33):INDIRECT("Table!" &amp; $CH$65 &amp; $BV33),0)),"",INDIRECT(CONCATENATE("Table!",ADDRESS($BR33,MATCH(Y$1,INDIRECT("Table!A" &amp; $BV33):INDIRECT("Table!" &amp; $CH$65 &amp; $BV33),0)))))/1024</f>
        <v>3.0273437500000001E-3</v>
      </c>
      <c r="Z33" s="709">
        <f ca="1">IF(ISERROR(MATCH(Z$1,INDIRECT("Table!A"&amp;$BV33):INDIRECT("Table!" &amp; $CH$65 &amp; $BV33),0)),"",INDIRECT(CONCATENATE("Table!",ADDRESS($BR33,MATCH(Z$1,INDIRECT("Table!A" &amp; $BV33):INDIRECT("Table!" &amp; $CH$65 &amp; $BV33),0)))))/1024</f>
        <v>5.859375E-3</v>
      </c>
      <c r="AA33" s="905"/>
      <c r="AB33" s="905"/>
      <c r="AC33" s="905"/>
      <c r="AD33" s="905"/>
      <c r="AE33" s="905"/>
      <c r="AF33" s="905"/>
      <c r="AG33" s="905"/>
      <c r="AH33" s="905"/>
      <c r="AI33" s="709" t="str">
        <f ca="1">IF(ISERROR(MATCH(AI$1,INDIRECT("Table!A"&amp;$BV33):INDIRECT("Table!" &amp; $CH$110 &amp; $BV33),0)),"",INDIRECT(CONCATENATE("Table!",ADDRESS($BR33,MATCH(AI$1,INDIRECT("Table!A" &amp; $BV33):INDIRECT("Table!" &amp; $CH$110 &amp; $BV33),0)))))</f>
        <v/>
      </c>
      <c r="AJ33" s="709">
        <f ca="1">IF(ISERROR(MATCH(AJ$1,INDIRECT("Table!A"&amp;$BV33):INDIRECT("Table!" &amp; $CH$110 &amp; $BV33),0)),"",INDIRECT(CONCATENATE("Table!",ADDRESS($BZ33,MATCH(AJ$1,INDIRECT("Table!A" &amp; $BV33):INDIRECT("Table!" &amp; $CH$110 &amp; $BV33),0)))))/1024</f>
        <v>244.158203125</v>
      </c>
      <c r="AK33" s="709">
        <f ca="1">IF(ISERROR(MATCH(AK$1,INDIRECT("Table!A"&amp;$BV33):INDIRECT("Table!" &amp; $CH$110 &amp; $BV33),0)),"",INDIRECT(CONCATENATE("Table!",ADDRESS($BZ33,MATCH(AK$1,INDIRECT("Table!A" &amp; $BV33):INDIRECT("Table!" &amp; $CH$110 &amp; $BV33),0)))))/1024</f>
        <v>146.9892578125</v>
      </c>
      <c r="AL33" s="709">
        <f ca="1">IF(ISERROR(MATCH(AL$1,INDIRECT("Table!A"&amp;$BV33):INDIRECT("Table!" &amp; $CH$110 &amp; $BV33),0)),"",INDIRECT(CONCATENATE("Table!",ADDRESS($BZ33,MATCH(AL$1,INDIRECT("Table!A" &amp; $BV33):INDIRECT("Table!" &amp; $CH$110 &amp; $BV33),0)))))/1024</f>
        <v>146.9892578125</v>
      </c>
      <c r="AM33" s="709">
        <f ca="1">IF(ISERROR(MATCH(AM$1,INDIRECT("Table!A"&amp;$BV33):INDIRECT("Table!" &amp; $CH$110 &amp; $BV33),0)),"",INDIRECT(CONCATENATE("Table!",ADDRESS($BZ33,MATCH(AM$1,INDIRECT("Table!A" &amp; $BV33):INDIRECT("Table!" &amp; $CH$110 &amp; $BV33),0)))))/1024</f>
        <v>177.7333984375</v>
      </c>
      <c r="AN33" s="709">
        <f ca="1">IF(ISERROR(MATCH(AN$1,INDIRECT("Table!A"&amp;$BV33):INDIRECT("Table!" &amp; $CH$110 &amp; $BV33),0)),"",INDIRECT(CONCATENATE("Table!",ADDRESS($BZ33,MATCH(AN$1,INDIRECT("Table!A" &amp; $BV33):INDIRECT("Table!" &amp; $CH$110 &amp; $BV33),0)))))/1024</f>
        <v>161.880859375</v>
      </c>
      <c r="AO33" s="709">
        <f ca="1">IF(ISERROR(MATCH(AO$1,INDIRECT("Table!A"&amp;$BV33):INDIRECT("Table!" &amp; $CH$110 &amp; $BV33),0)),"",INDIRECT(CONCATENATE("Table!",ADDRESS($BZ33,MATCH(AO$1,INDIRECT("Table!A" &amp; $BV33):INDIRECT("Table!" &amp; $CH$110 &amp; $BV33),0)))))/1024</f>
        <v>380.3759765625</v>
      </c>
      <c r="AP33" s="709">
        <f ca="1">IF(ISERROR(MATCH(AP$1,INDIRECT("Table!A"&amp;$BV33):INDIRECT("Table!" &amp; $CH$110 &amp; $BV33),0)),"",INDIRECT(CONCATENATE("Table!",ADDRESS($BZ33,MATCH(AP$1,INDIRECT("Table!A" &amp; $BV33):INDIRECT("Table!" &amp; $CH$110 &amp; $BV33),0)))))/1024</f>
        <v>167.9453125</v>
      </c>
      <c r="AQ33" s="709">
        <f ca="1">IF(ISERROR(MATCH(AQ$1,INDIRECT("Table!A"&amp;$BV33):INDIRECT("Table!" &amp; $CH$110 &amp; $BV33),0)),"",INDIRECT(CONCATENATE("Table!",ADDRESS($BZ33,MATCH(AQ$1,INDIRECT("Table!A" &amp; $BV33):INDIRECT("Table!" &amp; $CH$110 &amp; $BV33),0)))))/1024</f>
        <v>162.185546875</v>
      </c>
      <c r="AR33" s="709">
        <f ca="1">IF(ISERROR(MATCH(AR$1,INDIRECT("Table!A"&amp;$BV33):INDIRECT("Table!" &amp; $CH$110 &amp; $BV33),0)),"",INDIRECT(CONCATENATE("Table!",ADDRESS($BZ33,MATCH(AR$1,INDIRECT("Table!A" &amp; $BV33):INDIRECT("Table!" &amp; $CH$110 &amp; $BV33),0)))))/1024</f>
        <v>121.1123046875</v>
      </c>
      <c r="AS33" s="709">
        <f ca="1">IF(ISERROR(MATCH(AS$1,INDIRECT("Table!A"&amp;$BV33):INDIRECT("Table!" &amp; $CH$110 &amp; $BV33),0)),"",INDIRECT(CONCATENATE("Table!",ADDRESS($BZ33,MATCH(AS$1,INDIRECT("Table!A" &amp; $BV33):INDIRECT("Table!" &amp; $CH$110 &amp; $BV33),0)))))/1024</f>
        <v>218.8193359375</v>
      </c>
      <c r="AT33" s="709">
        <f ca="1">IF(ISERROR(MATCH(AT$1,INDIRECT("Table!A"&amp;$BV33):INDIRECT("Table!" &amp; $CH$110 &amp; $BV33),0)),"",INDIRECT(CONCATENATE("Table!",ADDRESS($BZ33,MATCH(AT$1,INDIRECT("Table!A" &amp; $BV33):INDIRECT("Table!" &amp; $CH$110 &amp; $BV33),0)))))/1024</f>
        <v>188.5048828125</v>
      </c>
      <c r="AU33" s="709">
        <f ca="1">IF(ISERROR(MATCH(AU$1,INDIRECT("Table!A"&amp;$BV33):INDIRECT("Table!" &amp; $CH$110 &amp; $BV33),0)),"",INDIRECT(CONCATENATE("Table!",ADDRESS($BZ33,MATCH(AU$1,INDIRECT("Table!A" &amp; $BV33):INDIRECT("Table!" &amp; $CH$110 &amp; $BV33),0)))))/1024</f>
        <v>427.94921875</v>
      </c>
      <c r="AV33" s="709">
        <f ca="1">IF(ISERROR(MATCH(AV$1,INDIRECT("Table!A"&amp;$BV33):INDIRECT("Table!" &amp; $CH$110 &amp; $BV33),0)),"",INDIRECT(CONCATENATE("Table!",ADDRESS($BZ33,MATCH(AV$1,INDIRECT("Table!A" &amp; $BV33):INDIRECT("Table!" &amp; $CH$110 &amp; $BV33),0)))))/1024</f>
        <v>81.0927734375</v>
      </c>
      <c r="AW33" s="709">
        <f ca="1">IF(ISERROR(MATCH(AW$1,INDIRECT("Table!A"&amp;$BV33):INDIRECT("Table!" &amp; $CH$110 &amp; $BV33),0)),"",INDIRECT(CONCATENATE("Table!",ADDRESS($BZ33,MATCH(AW$1,INDIRECT("Table!A" &amp; $BV33):INDIRECT("Table!" &amp; $CH$110 &amp; $BV33),0)))))/1024</f>
        <v>269.658203125</v>
      </c>
      <c r="AX33" s="709">
        <f ca="1">IF(ISERROR(MATCH(AX$1,INDIRECT("Table!A"&amp;$BV33):INDIRECT("Table!" &amp; $CH$110 &amp; $BV33),0)),"",INDIRECT(CONCATENATE("Table!",ADDRESS($BZ33,MATCH(AX$1,INDIRECT("Table!A" &amp; $BV33):INDIRECT("Table!" &amp; $CH$110 &amp; $BV33),0)))))/1024</f>
        <v>81.0927734375</v>
      </c>
      <c r="AY33" s="709">
        <f ca="1">IF(ISERROR(MATCH(AY$1,INDIRECT("Table!A"&amp;$BV33):INDIRECT("Table!" &amp; $CH$110 &amp; $BV33),0)),"",INDIRECT(CONCATENATE("Table!",ADDRESS($BZ33,MATCH(AY$1,INDIRECT("Table!A" &amp; $BV33):INDIRECT("Table!" &amp; $CH$110 &amp; $BV33),0)))))/1024</f>
        <v>187.126953125</v>
      </c>
      <c r="AZ33" s="709">
        <f ca="1">IF(ISERROR(MATCH(AZ$1,INDIRECT("Table!A"&amp;$BV33):INDIRECT("Table!" &amp; $CH$110 &amp; $BV33),0)),"",INDIRECT(CONCATENATE("Table!",ADDRESS($BZ33,MATCH(AZ$1,INDIRECT("Table!A" &amp; $BV33):INDIRECT("Table!" &amp; $CH$110 &amp; $BV33),0)))))/1024</f>
        <v>218.8193359375</v>
      </c>
      <c r="BA33" s="709"/>
      <c r="BB33" s="709">
        <f ca="1">IF(ISERROR(MATCH(BB$1,INDIRECT("Table!A"&amp;$BV33):INDIRECT("Table!" &amp; $CH$110 &amp; $BV33),0)),"",INDIRECT(CONCATENATE("Table!",ADDRESS($BZ33,MATCH(BB$1,INDIRECT("Table!A" &amp; $BV33):INDIRECT("Table!" &amp; $CH$110 &amp; $BV33),0)))))/1024</f>
        <v>32.3154296875</v>
      </c>
      <c r="BC33" s="709">
        <f ca="1">IF(ISERROR(MATCH(BC$1,INDIRECT("Table!A"&amp;$BV33):INDIRECT("Table!" &amp; $CH$110 &amp; $BV33),0)),"",INDIRECT(CONCATENATE("Table!",ADDRESS($BZ33,MATCH(BC$1,INDIRECT("Table!A" &amp; $BV33):INDIRECT("Table!" &amp; $CH$110 &amp; $BV33),0)))))/1024</f>
        <v>99.8017578125</v>
      </c>
      <c r="BD33" s="709">
        <f ca="1">IF(ISERROR(MATCH(BD$1,INDIRECT("Table!A"&amp;$BV33):INDIRECT("Table!" &amp; $CH$110 &amp; $BV33),0)),"",INDIRECT(CONCATENATE("Table!",ADDRESS($BZ33,MATCH(BD$1,INDIRECT("Table!A" &amp; $BV33):INDIRECT("Table!" &amp; $CH$110 &amp; $BV33),0)))))/1024</f>
        <v>204.5869140625</v>
      </c>
      <c r="BE33" s="905">
        <f ca="1">IF(ISERROR(MATCH(BE$1,INDIRECT("Table!A"&amp;$BV33):INDIRECT("Table!" &amp; $CH$110 &amp; $BV33),0)),"",INDIRECT(CONCATENATE("Table!",ADDRESS($BZ33,MATCH(BE$1,INDIRECT("Table!A" &amp; $BV33):INDIRECT("Table!" &amp; $CH$110 &amp; $BV33),0)))))/1024</f>
        <v>99.8017578125</v>
      </c>
      <c r="BF33" s="905">
        <f ca="1">IF(ISERROR(MATCH(BF$1,INDIRECT("Table!A"&amp;$BV33):INDIRECT("Table!" &amp; $CH$110 &amp; $BV33),0)),"",INDIRECT(CONCATENATE("Table!",ADDRESS($BZ33,MATCH(BF$1,INDIRECT("Table!A" &amp; $BV33):INDIRECT("Table!" &amp; $CH$110 &amp; $BV33),0)))))/1024</f>
        <v>204.5869140625</v>
      </c>
      <c r="BG33" s="905">
        <f ca="1">IF(ISERROR(MATCH(BG$1,INDIRECT("Table!A"&amp;$BV33):INDIRECT("Table!" &amp; $CH$110 &amp; $BV33),0)),"",INDIRECT(CONCATENATE("Table!",ADDRESS($BZ33,MATCH(BG$1,INDIRECT("Table!A" &amp; $BV33):INDIRECT("Table!" &amp; $CH$110 &amp; $BV33),0)))))/1024</f>
        <v>99.8017578125</v>
      </c>
      <c r="BH33" s="905">
        <f ca="1">IF(ISERROR(MATCH(BH$1,INDIRECT("Table!A"&amp;$BV33):INDIRECT("Table!" &amp; $CH$110 &amp; $BV33),0)),"",INDIRECT(CONCATENATE("Table!",ADDRESS($BZ33,MATCH(BH$1,INDIRECT("Table!A" &amp; $BV33):INDIRECT("Table!" &amp; $CH$110 &amp; $BV33),0)))))/1024</f>
        <v>204.5869140625</v>
      </c>
      <c r="BI33" s="905"/>
      <c r="BJ33" s="905"/>
      <c r="BK33" s="905"/>
      <c r="BL33" s="905"/>
      <c r="BM33" s="905"/>
      <c r="BN33" s="905"/>
      <c r="BO33" s="905"/>
      <c r="BP33" s="905"/>
      <c r="BQ33" s="905"/>
      <c r="BR33" s="704">
        <f>MATCH($A33,Table!$A:$A,0)+$BT$2-1</f>
        <v>439</v>
      </c>
      <c r="BS33" s="744"/>
      <c r="BT33" s="744"/>
      <c r="BU33" s="744"/>
      <c r="BV33" s="717">
        <f>MATCH($A33,Table!$A:$A,0)+$BX$2-1</f>
        <v>437</v>
      </c>
      <c r="BW33" s="744"/>
      <c r="BX33" s="744"/>
      <c r="BY33" s="744"/>
      <c r="BZ33" s="704">
        <f>MATCH($A33,Table!$A:$A,0)+$CB$2-1</f>
        <v>438</v>
      </c>
      <c r="CA33" s="744"/>
      <c r="CB33" s="744"/>
      <c r="CC33" s="744"/>
      <c r="CD33" s="717">
        <f>MATCH($A33,Table!$A:$A,0)+$BX$2-1</f>
        <v>437</v>
      </c>
      <c r="CE33" s="744"/>
      <c r="CF33" s="744"/>
      <c r="CG33" s="744"/>
      <c r="CH33" s="711" t="s">
        <v>302</v>
      </c>
      <c r="CI33" s="712">
        <f t="shared" ca="1" si="0"/>
        <v>4327.9150390625</v>
      </c>
      <c r="CJ33" s="712">
        <f t="shared" ca="1" si="85"/>
        <v>2002.7422851562499</v>
      </c>
      <c r="CK33" s="712">
        <f t="shared" ref="CK33" ca="1" si="122">CI33-CJ33</f>
        <v>2325.1727539062504</v>
      </c>
      <c r="CL33" s="718">
        <f t="shared" ref="CL33" ca="1" si="123">CJ33/CI33</f>
        <v>0.46274990776854019</v>
      </c>
      <c r="CM33" s="712">
        <f ca="1">SUMIF('Alloc Feed'!A:I,A:A,'Alloc Feed'!I:I)</f>
        <v>3371.37109375</v>
      </c>
      <c r="CN33" s="718">
        <f t="shared" ref="CN33" ca="1" si="124">CM33/CI33</f>
        <v>0.77898273494765657</v>
      </c>
    </row>
    <row r="34" spans="1:92" s="743" customFormat="1" x14ac:dyDescent="0.25">
      <c r="A34" s="703">
        <v>41752</v>
      </c>
      <c r="B34" s="709">
        <f ca="1">IF(ISERROR(MATCH(B$1,INDIRECT("Table!A"&amp;$BV34):INDIRECT("Table!" &amp; $CH$110 &amp; $BV34),0)),"",INDIRECT(CONCATENATE("Table!",ADDRESS($BR34,MATCH(B$1,INDIRECT("Table!A" &amp; $BV34):INDIRECT("Table!" &amp; $CH$110 &amp; $BV34),0)))))/1024</f>
        <v>102.39833984374999</v>
      </c>
      <c r="C34" s="709">
        <f ca="1">IF(ISERROR(MATCH(C$1,INDIRECT("Table!A"&amp;$BV34):INDIRECT("Table!" &amp; $CH$110 &amp; $BV34),0)),"",INDIRECT(CONCATENATE("Table!",ADDRESS($BR34,MATCH(C$1,INDIRECT("Table!A" &amp; $BV34):INDIRECT("Table!" &amp; $CH$110 &amp; $BV34),0)))))/1024</f>
        <v>81.948046875000003</v>
      </c>
      <c r="D34" s="709">
        <f ca="1">IF(ISERROR(MATCH(D$1,INDIRECT("Table!A"&amp;$BV34):INDIRECT("Table!" &amp; $CH$110 &amp; $BV34),0)),"",INDIRECT(CONCATENATE("Table!",ADDRESS($BR34,MATCH(D$1,INDIRECT("Table!A" &amp; $BV34):INDIRECT("Table!" &amp; $CH$110 &amp; $BV34),0)))))/1024</f>
        <v>83.258593750000003</v>
      </c>
      <c r="E34" s="709">
        <f ca="1">IF(ISERROR(MATCH(E$1,INDIRECT("Table!A"&amp;$BV34):INDIRECT("Table!" &amp; $CH$110 &amp; $BV34),0)),"",INDIRECT(CONCATENATE("Table!",ADDRESS($BR34,MATCH(E$1,INDIRECT("Table!A" &amp; $BV34):INDIRECT("Table!" &amp; $CH$110 &amp; $BV34),0)))))/1024</f>
        <v>147.25087890624999</v>
      </c>
      <c r="F34" s="709">
        <f ca="1">IF(ISERROR(MATCH(F$1,INDIRECT("Table!A"&amp;$BV34):INDIRECT("Table!" &amp; $CH$110 &amp; $BV34),0)),"",INDIRECT(CONCATENATE("Table!",ADDRESS($BR34,MATCH(F$1,INDIRECT("Table!A" &amp; $BV34):INDIRECT("Table!" &amp; $CH$110 &amp; $BV34),0)))))/1024</f>
        <v>108.8615234375</v>
      </c>
      <c r="G34" s="709">
        <f ca="1">IF(ISERROR(MATCH(G$1,INDIRECT("Table!A"&amp;$BV34):INDIRECT("Table!" &amp; $CH$110 &amp; $BV34),0)),"",INDIRECT(CONCATENATE("Table!",ADDRESS($BR34,MATCH(G$1,INDIRECT("Table!A" &amp; $BV34):INDIRECT("Table!" &amp; $CH$110 &amp; $BV34),0)))))/1024</f>
        <v>204.22695312499999</v>
      </c>
      <c r="H34" s="709">
        <f ca="1">IF(ISERROR(MATCH(H$1,INDIRECT("Table!A"&amp;$BV34):INDIRECT("Table!" &amp; $CH$110 &amp; $BV34),0)),"",INDIRECT(CONCATENATE("Table!",ADDRESS($BR34,MATCH(H$1,INDIRECT("Table!A" &amp; $BV34):INDIRECT("Table!" &amp; $CH$110 &amp; $BV34),0)))))/1024</f>
        <v>121.891796875</v>
      </c>
      <c r="I34" s="709">
        <f ca="1">IF(ISERROR(MATCH(I$1,INDIRECT("Table!A"&amp;$BV34):INDIRECT("Table!" &amp; $CH$110 &amp; $BV34),0)),"",INDIRECT(CONCATENATE("Table!",ADDRESS($BR34,MATCH(I$1,INDIRECT("Table!A" &amp; $BV34):INDIRECT("Table!" &amp; $CH$110 &amp; $BV34),0)))))/1024</f>
        <v>23.130468749999999</v>
      </c>
      <c r="J34" s="709">
        <f ca="1">IF(ISERROR(MATCH(J$1,INDIRECT("Table!A"&amp;$BV34):INDIRECT("Table!" &amp; $CH$110 &amp; $BV34),0)),"",INDIRECT(CONCATENATE("Table!",ADDRESS($BR34,MATCH(J$1,INDIRECT("Table!A" &amp; $BV34):INDIRECT("Table!" &amp; $CH$110 &amp; $BV34),0)))))/1024</f>
        <v>75.938671874999997</v>
      </c>
      <c r="K34" s="709">
        <f ca="1">IF(ISERROR(MATCH(K$1,INDIRECT("Table!A"&amp;$BV34):INDIRECT("Table!" &amp; $CH$110 &amp; $BV34),0)),"",INDIRECT(CONCATENATE("Table!",ADDRESS($BR34,MATCH(K$1,INDIRECT("Table!A" &amp; $BV34):INDIRECT("Table!" &amp; $CH$110 &amp; $BV34),0)))))/1024</f>
        <v>43.984765625000001</v>
      </c>
      <c r="L34" s="709">
        <f ca="1">IF(ISERROR(MATCH(L$1,INDIRECT("Table!A"&amp;$BV34):INDIRECT("Table!" &amp; $CH$110 &amp; $BV34),0)),"",INDIRECT(CONCATENATE("Table!",ADDRESS($BR34,MATCH(L$1,INDIRECT("Table!A" &amp; $BV34):INDIRECT("Table!" &amp; $CH$110 &amp; $BV34),0)))))/1024</f>
        <v>155.51591796874999</v>
      </c>
      <c r="M34" s="709">
        <f ca="1">IF(ISERROR(MATCH(M$1,INDIRECT("Table!A"&amp;$BV34):INDIRECT("Table!" &amp; $CH$110 &amp; $BV34),0)),"",INDIRECT(CONCATENATE("Table!",ADDRESS($BR34,MATCH(M$1,INDIRECT("Table!A" &amp; $BV34):INDIRECT("Table!" &amp; $CH$110 &amp; $BV34),0)))))/1024</f>
        <v>202.10361328125001</v>
      </c>
      <c r="N34" s="709">
        <f ca="1">IF(ISERROR(MATCH(N$1,INDIRECT("Table!A"&amp;$BV34):INDIRECT("Table!" &amp; $CH$110 &amp; $BV34),0)),"",INDIRECT(CONCATENATE("Table!",ADDRESS($BR34,MATCH(N$1,INDIRECT("Table!A" &amp; $BV34):INDIRECT("Table!" &amp; $CH$110 &amp; $BV34),0)))))/1024</f>
        <v>54.786914062500003</v>
      </c>
      <c r="O34" s="709">
        <f ca="1">IF(ISERROR(MATCH(O$1,INDIRECT("Table!A"&amp;$BV34):INDIRECT("Table!" &amp; $CH$110 &amp; $BV34),0)),"",INDIRECT(CONCATENATE("Table!",ADDRESS($BR34,MATCH(O$1,INDIRECT("Table!A" &amp; $BV34):INDIRECT("Table!" &amp; $CH$110 &amp; $BV34),0)))))/1024</f>
        <v>224.7119140625</v>
      </c>
      <c r="P34" s="709">
        <f ca="1">IF(ISERROR(MATCH(P$1,INDIRECT("Table!A"&amp;$BV34):INDIRECT("Table!" &amp; $CH$110 &amp; $BV34),0)),"",INDIRECT(CONCATENATE("Table!",ADDRESS($BR34,MATCH(P$1,INDIRECT("Table!A" &amp; $BV34):INDIRECT("Table!" &amp; $CH$110 &amp; $BV34),0)))))/1024</f>
        <v>44.662695312499999</v>
      </c>
      <c r="Q34" s="709">
        <f ca="1">IF(ISERROR(MATCH(Q$1,INDIRECT("Table!A"&amp;$BV34):INDIRECT("Table!" &amp; $CH$110 &amp; $BV34),0)),"",INDIRECT(CONCATENATE("Table!",ADDRESS($BR34,MATCH(Q$1,INDIRECT("Table!A" &amp; $BV34):INDIRECT("Table!" &amp; $CH$110 &amp; $BV34),0)))))/1024</f>
        <v>116.5197265625</v>
      </c>
      <c r="R34" s="709">
        <f ca="1">IF(ISERROR(MATCH(R$1,INDIRECT("Table!A"&amp;$BV34):INDIRECT("Table!" &amp; $CH$110 &amp; $BV34),0)),"",INDIRECT(CONCATENATE("Table!",ADDRESS($BR34,MATCH(R$1,INDIRECT("Table!A" &amp; $BV34):INDIRECT("Table!" &amp; $CH$110 &amp; $BV34),0)))))/1024</f>
        <v>141.33623046874999</v>
      </c>
      <c r="S34" s="709">
        <v>0</v>
      </c>
      <c r="T34" s="709">
        <f ca="1">IF(ISERROR(MATCH(T$1,INDIRECT("Table!A"&amp;$BV34):INDIRECT("Table!" &amp; $CH$65 &amp; $BV34),0)),"",INDIRECT(CONCATENATE("Table!",ADDRESS($BR34,MATCH(T$1,INDIRECT("Table!A" &amp; $BV34):INDIRECT("Table!" &amp; $CH$65 &amp; $BV34),0)))))/1024</f>
        <v>9.2347656249999996</v>
      </c>
      <c r="U34" s="709">
        <f ca="1">IF(ISERROR(MATCH(U$1,INDIRECT("Table!A"&amp;$BV34):INDIRECT("Table!" &amp; $CH$65 &amp; $BV34),0)),"",INDIRECT(CONCATENATE("Table!",ADDRESS($BR34,MATCH(U$1,INDIRECT("Table!A" &amp; $BV34):INDIRECT("Table!" &amp; $CH$65 &amp; $BV34),0)))))/1024</f>
        <v>7.5431640624999998</v>
      </c>
      <c r="V34" s="709">
        <f ca="1">IF(ISERROR(MATCH(V$1,INDIRECT("Table!A"&amp;$BV34):INDIRECT("Table!" &amp; $CH$65 &amp; $BV34),0)),"",INDIRECT(CONCATENATE("Table!",ADDRESS($BR34,MATCH(V$1,INDIRECT("Table!A" &amp; $BV34):INDIRECT("Table!" &amp; $CH$65 &amp; $BV34),0)))))/1024</f>
        <v>15.08603515625</v>
      </c>
      <c r="W34" s="709">
        <f ca="1">IF(ISERROR(MATCH(W$1,INDIRECT("Table!A"&amp;$BV34):INDIRECT("Table!" &amp; $CH$65 &amp; $BV34),0)),"",INDIRECT(CONCATENATE("Table!",ADDRESS($BR34,MATCH(W$1,INDIRECT("Table!A" &amp; $BV34):INDIRECT("Table!" &amp; $CH$65 &amp; $BV34),0)))))/1024</f>
        <v>1.2494140625000001</v>
      </c>
      <c r="X34" s="709">
        <f ca="1">IF(ISERROR(MATCH(X$1,INDIRECT("Table!A"&amp;$BV34):INDIRECT("Table!" &amp; $CH$65 &amp; $BV34),0)),"",INDIRECT(CONCATENATE("Table!",ADDRESS($BR34,MATCH(X$1,INDIRECT("Table!A" &amp; $BV34):INDIRECT("Table!" &amp; $CH$65 &amp; $BV34),0)))))/1024</f>
        <v>2.4883789062499999</v>
      </c>
      <c r="Y34" s="709"/>
      <c r="Z34" s="905"/>
      <c r="AA34" s="905"/>
      <c r="AB34" s="905"/>
      <c r="AC34" s="905"/>
      <c r="AD34" s="905"/>
      <c r="AE34" s="905"/>
      <c r="AF34" s="905"/>
      <c r="AG34" s="905"/>
      <c r="AH34" s="905"/>
      <c r="AI34" s="709" t="str">
        <f ca="1">IF(ISERROR(MATCH(AI$1,INDIRECT("Table!A"&amp;$BV34):INDIRECT("Table!" &amp; $CH$110 &amp; $BV34),0)),"",INDIRECT(CONCATENATE("Table!",ADDRESS($BR34,MATCH(AI$1,INDIRECT("Table!A" &amp; $BV34):INDIRECT("Table!" &amp; $CH$110 &amp; $BV34),0)))))</f>
        <v/>
      </c>
      <c r="AJ34" s="709">
        <f ca="1">IF(ISERROR(MATCH(AJ$1,INDIRECT("Table!A"&amp;$BV34):INDIRECT("Table!" &amp; $CH$110 &amp; $BV34),0)),"",INDIRECT(CONCATENATE("Table!",ADDRESS($BZ34,MATCH(AJ$1,INDIRECT("Table!A" &amp; $BV34):INDIRECT("Table!" &amp; $CH$110 &amp; $BV34),0)))))/1024</f>
        <v>244.15859374999999</v>
      </c>
      <c r="AK34" s="709">
        <f ca="1">IF(ISERROR(MATCH(AK$1,INDIRECT("Table!A"&amp;$BV34):INDIRECT("Table!" &amp; $CH$110 &amp; $BV34),0)),"",INDIRECT(CONCATENATE("Table!",ADDRESS($BZ34,MATCH(AK$1,INDIRECT("Table!A" &amp; $BV34):INDIRECT("Table!" &amp; $CH$110 &amp; $BV34),0)))))/1024</f>
        <v>146.98896484375001</v>
      </c>
      <c r="AL34" s="709">
        <f ca="1">IF(ISERROR(MATCH(AL$1,INDIRECT("Table!A"&amp;$BV34):INDIRECT("Table!" &amp; $CH$110 &amp; $BV34),0)),"",INDIRECT(CONCATENATE("Table!",ADDRESS($BZ34,MATCH(AL$1,INDIRECT("Table!A" &amp; $BV34):INDIRECT("Table!" &amp; $CH$110 &amp; $BV34),0)))))/1024</f>
        <v>146.98896484375001</v>
      </c>
      <c r="AM34" s="709">
        <f ca="1">IF(ISERROR(MATCH(AM$1,INDIRECT("Table!A"&amp;$BV34):INDIRECT("Table!" &amp; $CH$110 &amp; $BV34),0)),"",INDIRECT(CONCATENATE("Table!",ADDRESS($BZ34,MATCH(AM$1,INDIRECT("Table!A" &amp; $BV34):INDIRECT("Table!" &amp; $CH$110 &amp; $BV34),0)))))/1024</f>
        <v>177.73320312499999</v>
      </c>
      <c r="AN34" s="709">
        <f ca="1">IF(ISERROR(MATCH(AN$1,INDIRECT("Table!A"&amp;$BV34):INDIRECT("Table!" &amp; $CH$110 &amp; $BV34),0)),"",INDIRECT(CONCATENATE("Table!",ADDRESS($BZ34,MATCH(AN$1,INDIRECT("Table!A" &amp; $BV34):INDIRECT("Table!" &amp; $CH$110 &amp; $BV34),0)))))/1024</f>
        <v>161.88056640625001</v>
      </c>
      <c r="AO34" s="709">
        <f ca="1">IF(ISERROR(MATCH(AO$1,INDIRECT("Table!A"&amp;$BV34):INDIRECT("Table!" &amp; $CH$110 &amp; $BV34),0)),"",INDIRECT(CONCATENATE("Table!",ADDRESS($BZ34,MATCH(AO$1,INDIRECT("Table!A" &amp; $BV34):INDIRECT("Table!" &amp; $CH$110 &amp; $BV34),0)))))/1024</f>
        <v>380.3759765625</v>
      </c>
      <c r="AP34" s="709">
        <f ca="1">IF(ISERROR(MATCH(AP$1,INDIRECT("Table!A"&amp;$BV34):INDIRECT("Table!" &amp; $CH$110 &amp; $BV34),0)),"",INDIRECT(CONCATENATE("Table!",ADDRESS($BZ34,MATCH(AP$1,INDIRECT("Table!A" &amp; $BV34):INDIRECT("Table!" &amp; $CH$110 &amp; $BV34),0)))))/1024</f>
        <v>167.94482421875</v>
      </c>
      <c r="AQ34" s="709">
        <f ca="1">IF(ISERROR(MATCH(AQ$1,INDIRECT("Table!A"&amp;$BV34):INDIRECT("Table!" &amp; $CH$110 &amp; $BV34),0)),"",INDIRECT(CONCATENATE("Table!",ADDRESS($BZ34,MATCH(AQ$1,INDIRECT("Table!A" &amp; $BV34):INDIRECT("Table!" &amp; $CH$110 &amp; $BV34),0)))))/1024</f>
        <v>162.18544921874999</v>
      </c>
      <c r="AR34" s="709">
        <f ca="1">IF(ISERROR(MATCH(AR$1,INDIRECT("Table!A"&amp;$BV34):INDIRECT("Table!" &amp; $CH$110 &amp; $BV34),0)),"",INDIRECT(CONCATENATE("Table!",ADDRESS($BZ34,MATCH(AR$1,INDIRECT("Table!A" &amp; $BV34):INDIRECT("Table!" &amp; $CH$110 &amp; $BV34),0)))))/1024</f>
        <v>121.1125</v>
      </c>
      <c r="AS34" s="709">
        <f ca="1">IF(ISERROR(MATCH(AS$1,INDIRECT("Table!A"&amp;$BV34):INDIRECT("Table!" &amp; $CH$110 &amp; $BV34),0)),"",INDIRECT(CONCATENATE("Table!",ADDRESS($BZ34,MATCH(AS$1,INDIRECT("Table!A" &amp; $BV34):INDIRECT("Table!" &amp; $CH$110 &amp; $BV34),0)))))/1024</f>
        <v>218.81953125000001</v>
      </c>
      <c r="AT34" s="709">
        <f ca="1">IF(ISERROR(MATCH(AT$1,INDIRECT("Table!A"&amp;$BV34):INDIRECT("Table!" &amp; $CH$110 &amp; $BV34),0)),"",INDIRECT(CONCATENATE("Table!",ADDRESS($BZ34,MATCH(AT$1,INDIRECT("Table!A" &amp; $BV34):INDIRECT("Table!" &amp; $CH$110 &amp; $BV34),0)))))/1024</f>
        <v>188.50498046875001</v>
      </c>
      <c r="AU34" s="709">
        <f ca="1">IF(ISERROR(MATCH(AU$1,INDIRECT("Table!A"&amp;$BV34):INDIRECT("Table!" &amp; $CH$110 &amp; $BV34),0)),"",INDIRECT(CONCATENATE("Table!",ADDRESS($BZ34,MATCH(AU$1,INDIRECT("Table!A" &amp; $BV34):INDIRECT("Table!" &amp; $CH$110 &amp; $BV34),0)))))/1024</f>
        <v>427.94912109375002</v>
      </c>
      <c r="AV34" s="709">
        <f ca="1">IF(ISERROR(MATCH(AV$1,INDIRECT("Table!A"&amp;$BV34):INDIRECT("Table!" &amp; $CH$110 &amp; $BV34),0)),"",INDIRECT(CONCATENATE("Table!",ADDRESS($BZ34,MATCH(AV$1,INDIRECT("Table!A" &amp; $BV34):INDIRECT("Table!" &amp; $CH$110 &amp; $BV34),0)))))/1024</f>
        <v>81.092578125000003</v>
      </c>
      <c r="AW34" s="709">
        <f ca="1">IF(ISERROR(MATCH(AW$1,INDIRECT("Table!A"&amp;$BV34):INDIRECT("Table!" &amp; $CH$110 &amp; $BV34),0)),"",INDIRECT(CONCATENATE("Table!",ADDRESS($BZ34,MATCH(AW$1,INDIRECT("Table!A" &amp; $BV34):INDIRECT("Table!" &amp; $CH$110 &amp; $BV34),0)))))/1024</f>
        <v>269.65859375000002</v>
      </c>
      <c r="AX34" s="709">
        <f ca="1">IF(ISERROR(MATCH(AX$1,INDIRECT("Table!A"&amp;$BV34):INDIRECT("Table!" &amp; $CH$110 &amp; $BV34),0)),"",INDIRECT(CONCATENATE("Table!",ADDRESS($BZ34,MATCH(AX$1,INDIRECT("Table!A" &amp; $BV34):INDIRECT("Table!" &amp; $CH$110 &amp; $BV34),0)))))/1024</f>
        <v>81.092578125000003</v>
      </c>
      <c r="AY34" s="709">
        <f ca="1">IF(ISERROR(MATCH(AY$1,INDIRECT("Table!A"&amp;$BV34):INDIRECT("Table!" &amp; $CH$110 &amp; $BV34),0)),"",INDIRECT(CONCATENATE("Table!",ADDRESS($BZ34,MATCH(AY$1,INDIRECT("Table!A" &amp; $BV34):INDIRECT("Table!" &amp; $CH$110 &amp; $BV34),0)))))/1024</f>
        <v>187.12714843750001</v>
      </c>
      <c r="AZ34" s="709">
        <f ca="1">IF(ISERROR(MATCH(AZ$1,INDIRECT("Table!A"&amp;$BV34):INDIRECT("Table!" &amp; $CH$110 &amp; $BV34),0)),"",INDIRECT(CONCATENATE("Table!",ADDRESS($BZ34,MATCH(AZ$1,INDIRECT("Table!A" &amp; $BV34):INDIRECT("Table!" &amp; $CH$110 &amp; $BV34),0)))))/1024</f>
        <v>218.81953125000001</v>
      </c>
      <c r="BA34" s="709"/>
      <c r="BB34" s="709">
        <f ca="1">IF(ISERROR(MATCH(BB$1,INDIRECT("Table!A"&amp;$BV34):INDIRECT("Table!" &amp; $CH$110 &amp; $BV34),0)),"",INDIRECT(CONCATENATE("Table!",ADDRESS($BZ34,MATCH(BB$1,INDIRECT("Table!A" &amp; $BV34):INDIRECT("Table!" &amp; $CH$110 &amp; $BV34),0)))))/1024</f>
        <v>32.31494140625</v>
      </c>
      <c r="BC34" s="709">
        <f ca="1">IF(ISERROR(MATCH(BC$1,INDIRECT("Table!A"&amp;$BV34):INDIRECT("Table!" &amp; $CH$110 &amp; $BV34),0)),"",INDIRECT(CONCATENATE("Table!",ADDRESS($BZ34,MATCH(BC$1,INDIRECT("Table!A" &amp; $BV34):INDIRECT("Table!" &amp; $CH$110 &amp; $BV34),0)))))/1024</f>
        <v>99.80126953125</v>
      </c>
      <c r="BD34" s="709">
        <f ca="1">IF(ISERROR(MATCH(BD$1,INDIRECT("Table!A"&amp;$BV34):INDIRECT("Table!" &amp; $CH$110 &amp; $BV34),0)),"",INDIRECT(CONCATENATE("Table!",ADDRESS($BZ34,MATCH(BD$1,INDIRECT("Table!A" &amp; $BV34):INDIRECT("Table!" &amp; $CH$110 &amp; $BV34),0)))))/1024</f>
        <v>204.58642578125</v>
      </c>
      <c r="BE34" s="905">
        <f ca="1">IF(ISERROR(MATCH(BE$1,INDIRECT("Table!A"&amp;$BV34):INDIRECT("Table!" &amp; $CH$110 &amp; $BV34),0)),"",INDIRECT(CONCATENATE("Table!",ADDRESS($BZ34,MATCH(BE$1,INDIRECT("Table!A" &amp; $BV34):INDIRECT("Table!" &amp; $CH$110 &amp; $BV34),0)))))/1024</f>
        <v>99.80126953125</v>
      </c>
      <c r="BF34" s="905">
        <f ca="1">IF(ISERROR(MATCH(BF$1,INDIRECT("Table!A"&amp;$BV34):INDIRECT("Table!" &amp; $CH$110 &amp; $BV34),0)),"",INDIRECT(CONCATENATE("Table!",ADDRESS($BZ34,MATCH(BF$1,INDIRECT("Table!A" &amp; $BV34):INDIRECT("Table!" &amp; $CH$110 &amp; $BV34),0)))))/1024</f>
        <v>204.58642578125</v>
      </c>
      <c r="BG34" s="905"/>
      <c r="BH34" s="905"/>
      <c r="BI34" s="905"/>
      <c r="BJ34" s="905"/>
      <c r="BK34" s="905"/>
      <c r="BL34" s="905"/>
      <c r="BM34" s="905"/>
      <c r="BN34" s="905"/>
      <c r="BO34" s="905"/>
      <c r="BP34" s="905"/>
      <c r="BQ34" s="905"/>
      <c r="BR34" s="704">
        <f>MATCH($A34,Table!$A:$A,0)+$BT$2-1</f>
        <v>453</v>
      </c>
      <c r="BS34" s="744"/>
      <c r="BT34" s="744"/>
      <c r="BU34" s="744"/>
      <c r="BV34" s="717">
        <f>MATCH($A34,Table!$A:$A,0)+$BX$2-1</f>
        <v>451</v>
      </c>
      <c r="BW34" s="744"/>
      <c r="BX34" s="744"/>
      <c r="BY34" s="744"/>
      <c r="BZ34" s="704">
        <f>MATCH($A34,Table!$A:$A,0)+$CB$2-1</f>
        <v>452</v>
      </c>
      <c r="CA34" s="744"/>
      <c r="CB34" s="744"/>
      <c r="CC34" s="744"/>
      <c r="CD34" s="717">
        <f>MATCH($A34,Table!$A:$A,0)+$BX$2-1</f>
        <v>451</v>
      </c>
      <c r="CE34" s="744"/>
      <c r="CF34" s="744"/>
      <c r="CG34" s="744"/>
      <c r="CH34" s="711" t="s">
        <v>302</v>
      </c>
      <c r="CI34" s="712">
        <f t="shared" ca="1" si="0"/>
        <v>4023.5234374999995</v>
      </c>
      <c r="CJ34" s="712">
        <f t="shared" ca="1" si="85"/>
        <v>1968.1288085937501</v>
      </c>
      <c r="CK34" s="712">
        <f t="shared" ref="CK34" ca="1" si="125">CI34-CJ34</f>
        <v>2055.3946289062496</v>
      </c>
      <c r="CL34" s="718">
        <f t="shared" ref="CL34" ca="1" si="126">CJ34/CI34</f>
        <v>0.48915554716307041</v>
      </c>
      <c r="CM34" s="712">
        <f ca="1">SUMIF('Alloc Feed'!A:I,A:A,'Alloc Feed'!I:I)</f>
        <v>3304.5294140624992</v>
      </c>
      <c r="CN34" s="718">
        <f t="shared" ref="CN34" ca="1" si="127">CM34/CI34</f>
        <v>0.82130238965769653</v>
      </c>
    </row>
    <row r="35" spans="1:92" s="743" customFormat="1" x14ac:dyDescent="0.25">
      <c r="A35" s="703">
        <v>41745</v>
      </c>
      <c r="B35" s="709">
        <f ca="1">IF(ISERROR(MATCH(B$1,INDIRECT("Table!A"&amp;$BV35):INDIRECT("Table!" &amp; $CH$110 &amp; $BV35),0)),"",INDIRECT(CONCATENATE("Table!",ADDRESS($BR35,MATCH(B$1,INDIRECT("Table!A" &amp; $BV35):INDIRECT("Table!" &amp; $CH$110 &amp; $BV35),0)))))/1024</f>
        <v>103.059765625</v>
      </c>
      <c r="C35" s="709">
        <f ca="1">IF(ISERROR(MATCH(C$1,INDIRECT("Table!A"&amp;$BV35):INDIRECT("Table!" &amp; $CH$110 &amp; $BV35),0)),"",INDIRECT(CONCATENATE("Table!",ADDRESS($BR35,MATCH(C$1,INDIRECT("Table!A" &amp; $BV35):INDIRECT("Table!" &amp; $CH$110 &amp; $BV35),0)))))/1024</f>
        <v>81.91845703125</v>
      </c>
      <c r="D35" s="709">
        <f ca="1">IF(ISERROR(MATCH(D$1,INDIRECT("Table!A"&amp;$BV35):INDIRECT("Table!" &amp; $CH$110 &amp; $BV35),0)),"",INDIRECT(CONCATENATE("Table!",ADDRESS($BR35,MATCH(D$1,INDIRECT("Table!A" &amp; $BV35):INDIRECT("Table!" &amp; $CH$110 &amp; $BV35),0)))))/1024</f>
        <v>83.229101562500006</v>
      </c>
      <c r="E35" s="709">
        <f ca="1">IF(ISERROR(MATCH(E$1,INDIRECT("Table!A"&amp;$BV35):INDIRECT("Table!" &amp; $CH$110 &amp; $BV35),0)),"",INDIRECT(CONCATENATE("Table!",ADDRESS($BR35,MATCH(E$1,INDIRECT("Table!A" &amp; $BV35):INDIRECT("Table!" &amp; $CH$110 &amp; $BV35),0)))))/1024</f>
        <v>147.00429687499999</v>
      </c>
      <c r="F35" s="709">
        <f ca="1">IF(ISERROR(MATCH(F$1,INDIRECT("Table!A"&amp;$BV35):INDIRECT("Table!" &amp; $CH$110 &amp; $BV35),0)),"",INDIRECT(CONCATENATE("Table!",ADDRESS($BR35,MATCH(F$1,INDIRECT("Table!A" &amp; $BV35):INDIRECT("Table!" &amp; $CH$110 &amp; $BV35),0)))))/1024</f>
        <v>109.981640625</v>
      </c>
      <c r="G35" s="709">
        <f ca="1">IF(ISERROR(MATCH(G$1,INDIRECT("Table!A"&amp;$BV35):INDIRECT("Table!" &amp; $CH$110 &amp; $BV35),0)),"",INDIRECT(CONCATENATE("Table!",ADDRESS($BR35,MATCH(G$1,INDIRECT("Table!A" &amp; $BV35):INDIRECT("Table!" &amp; $CH$110 &amp; $BV35),0)))))/1024</f>
        <v>203.37353515625</v>
      </c>
      <c r="H35" s="709">
        <f ca="1">IF(ISERROR(MATCH(H$1,INDIRECT("Table!A"&amp;$BV35):INDIRECT("Table!" &amp; $CH$110 &amp; $BV35),0)),"",INDIRECT(CONCATENATE("Table!",ADDRESS($BR35,MATCH(H$1,INDIRECT("Table!A" &amp; $BV35):INDIRECT("Table!" &amp; $CH$110 &amp; $BV35),0)))))/1024</f>
        <v>119.61953124999999</v>
      </c>
      <c r="I35" s="709">
        <f ca="1">IF(ISERROR(MATCH(I$1,INDIRECT("Table!A"&amp;$BV35):INDIRECT("Table!" &amp; $CH$110 &amp; $BV35),0)),"",INDIRECT(CONCATENATE("Table!",ADDRESS($BR35,MATCH(I$1,INDIRECT("Table!A" &amp; $BV35):INDIRECT("Table!" &amp; $CH$110 &amp; $BV35),0)))))/1024</f>
        <v>22.621484375000001</v>
      </c>
      <c r="J35" s="709">
        <f ca="1">IF(ISERROR(MATCH(J$1,INDIRECT("Table!A"&amp;$BV35):INDIRECT("Table!" &amp; $CH$110 &amp; $BV35),0)),"",INDIRECT(CONCATENATE("Table!",ADDRESS($BR35,MATCH(J$1,INDIRECT("Table!A" &amp; $BV35):INDIRECT("Table!" &amp; $CH$110 &amp; $BV35),0)))))/1024</f>
        <v>75.297265624999994</v>
      </c>
      <c r="K35" s="709">
        <f ca="1">IF(ISERROR(MATCH(K$1,INDIRECT("Table!A"&amp;$BV35):INDIRECT("Table!" &amp; $CH$110 &amp; $BV35),0)),"",INDIRECT(CONCATENATE("Table!",ADDRESS($BR35,MATCH(K$1,INDIRECT("Table!A" &amp; $BV35):INDIRECT("Table!" &amp; $CH$110 &amp; $BV35),0)))))/1024</f>
        <v>41.207812500000003</v>
      </c>
      <c r="L35" s="709">
        <f ca="1">IF(ISERROR(MATCH(L$1,INDIRECT("Table!A"&amp;$BV35):INDIRECT("Table!" &amp; $CH$110 &amp; $BV35),0)),"",INDIRECT(CONCATENATE("Table!",ADDRESS($BR35,MATCH(L$1,INDIRECT("Table!A" &amp; $BV35):INDIRECT("Table!" &amp; $CH$110 &amp; $BV35),0)))))/1024</f>
        <v>155.06669921874999</v>
      </c>
      <c r="M35" s="709">
        <f ca="1">IF(ISERROR(MATCH(M$1,INDIRECT("Table!A"&amp;$BV35):INDIRECT("Table!" &amp; $CH$110 &amp; $BV35),0)),"",INDIRECT(CONCATENATE("Table!",ADDRESS($BR35,MATCH(M$1,INDIRECT("Table!A" &amp; $BV35):INDIRECT("Table!" &amp; $CH$110 &amp; $BV35),0)))))/1024</f>
        <v>201.490234375</v>
      </c>
      <c r="N35" s="709">
        <f ca="1">IF(ISERROR(MATCH(N$1,INDIRECT("Table!A"&amp;$BV35):INDIRECT("Table!" &amp; $CH$110 &amp; $BV35),0)),"",INDIRECT(CONCATENATE("Table!",ADDRESS($BR35,MATCH(N$1,INDIRECT("Table!A" &amp; $BV35):INDIRECT("Table!" &amp; $CH$110 &amp; $BV35),0)))))/1024</f>
        <v>56.522851562500001</v>
      </c>
      <c r="O35" s="709">
        <f ca="1">IF(ISERROR(MATCH(O$1,INDIRECT("Table!A"&amp;$BV35):INDIRECT("Table!" &amp; $CH$110 &amp; $BV35),0)),"",INDIRECT(CONCATENATE("Table!",ADDRESS($BR35,MATCH(O$1,INDIRECT("Table!A" &amp; $BV35):INDIRECT("Table!" &amp; $CH$110 &amp; $BV35),0)))))/1024</f>
        <v>220.49726562500001</v>
      </c>
      <c r="P35" s="709">
        <f ca="1">IF(ISERROR(MATCH(P$1,INDIRECT("Table!A"&amp;$BV35):INDIRECT("Table!" &amp; $CH$110 &amp; $BV35),0)),"",INDIRECT(CONCATENATE("Table!",ADDRESS($BR35,MATCH(P$1,INDIRECT("Table!A" &amp; $BV35):INDIRECT("Table!" &amp; $CH$110 &amp; $BV35),0)))))/1024</f>
        <v>43.644628906249999</v>
      </c>
      <c r="Q35" s="709">
        <f ca="1">IF(ISERROR(MATCH(Q$1,INDIRECT("Table!A"&amp;$BV35):INDIRECT("Table!" &amp; $CH$110 &amp; $BV35),0)),"",INDIRECT(CONCATENATE("Table!",ADDRESS($BR35,MATCH(Q$1,INDIRECT("Table!A" &amp; $BV35):INDIRECT("Table!" &amp; $CH$110 &amp; $BV35),0)))))/1024</f>
        <v>115.33554687500001</v>
      </c>
      <c r="R35" s="709">
        <f ca="1">IF(ISERROR(MATCH(R$1,INDIRECT("Table!A"&amp;$BV35):INDIRECT("Table!" &amp; $CH$110 &amp; $BV35),0)),"",INDIRECT(CONCATENATE("Table!",ADDRESS($BR35,MATCH(R$1,INDIRECT("Table!A" &amp; $BV35):INDIRECT("Table!" &amp; $CH$110 &amp; $BV35),0)))))/1024</f>
        <v>139.45185546875001</v>
      </c>
      <c r="S35" s="709">
        <v>0</v>
      </c>
      <c r="T35" s="709">
        <f ca="1">IF(ISERROR(MATCH(T$1,INDIRECT("Table!A"&amp;$BV35):INDIRECT("Table!" &amp; $CH$65 &amp; $BV35),0)),"",INDIRECT(CONCATENATE("Table!",ADDRESS($BR35,MATCH(T$1,INDIRECT("Table!A" &amp; $BV35):INDIRECT("Table!" &amp; $CH$65 &amp; $BV35),0)))))/1024</f>
        <v>9.2347656249999996</v>
      </c>
      <c r="U35" s="709">
        <f ca="1">IF(ISERROR(MATCH(U$1,INDIRECT("Table!A"&amp;$BV35):INDIRECT("Table!" &amp; $CH$65 &amp; $BV35),0)),"",INDIRECT(CONCATENATE("Table!",ADDRESS($BR35,MATCH(U$1,INDIRECT("Table!A" &amp; $BV35):INDIRECT("Table!" &amp; $CH$65 &amp; $BV35),0)))))/1024</f>
        <v>7.0036132812499998</v>
      </c>
      <c r="V35" s="709">
        <f ca="1">IF(ISERROR(MATCH(V$1,INDIRECT("Table!A"&amp;$BV35):INDIRECT("Table!" &amp; $CH$65 &amp; $BV35),0)),"",INDIRECT(CONCATENATE("Table!",ADDRESS($BR35,MATCH(V$1,INDIRECT("Table!A" &amp; $BV35):INDIRECT("Table!" &amp; $CH$65 &amp; $BV35),0)))))/1024</f>
        <v>14.007128906249999</v>
      </c>
      <c r="W35" s="709">
        <f ca="1">IF(ISERROR(MATCH(W$1,INDIRECT("Table!A"&amp;$BV35):INDIRECT("Table!" &amp; $CH$65 &amp; $BV35),0)),"",INDIRECT(CONCATENATE("Table!",ADDRESS($BR35,MATCH(W$1,INDIRECT("Table!A" &amp; $BV35):INDIRECT("Table!" &amp; $CH$65 &amp; $BV35),0)))))/1024</f>
        <v>3.0273437500000001E-3</v>
      </c>
      <c r="X35" s="709">
        <f ca="1">IF(ISERROR(MATCH(X$1,INDIRECT("Table!A"&amp;$BV35):INDIRECT("Table!" &amp; $CH$65 &amp; $BV35),0)),"",INDIRECT(CONCATENATE("Table!",ADDRESS($BR35,MATCH(X$1,INDIRECT("Table!A" &amp; $BV35):INDIRECT("Table!" &amp; $CH$65 &amp; $BV35),0)))))/1024</f>
        <v>5.859375E-3</v>
      </c>
      <c r="Y35" s="905"/>
      <c r="Z35" s="905"/>
      <c r="AA35" s="905"/>
      <c r="AB35" s="905"/>
      <c r="AC35" s="905"/>
      <c r="AD35" s="905"/>
      <c r="AE35" s="905"/>
      <c r="AF35" s="905"/>
      <c r="AG35" s="905"/>
      <c r="AH35" s="905"/>
      <c r="AI35" s="709" t="str">
        <f ca="1">IF(ISERROR(MATCH(AI$1,INDIRECT("Table!A"&amp;$BV35):INDIRECT("Table!" &amp; $CH$110 &amp; $BV35),0)),"",INDIRECT(CONCATENATE("Table!",ADDRESS($BR35,MATCH(AI$1,INDIRECT("Table!A" &amp; $BV35):INDIRECT("Table!" &amp; $CH$110 &amp; $BV35),0)))))</f>
        <v/>
      </c>
      <c r="AJ35" s="709">
        <f ca="1">IF(ISERROR(MATCH(AJ$1,INDIRECT("Table!A"&amp;$BV35):INDIRECT("Table!" &amp; $CH$110 &amp; $BV35),0)),"",INDIRECT(CONCATENATE("Table!",ADDRESS($BZ35,MATCH(AJ$1,INDIRECT("Table!A" &amp; $BV35):INDIRECT("Table!" &amp; $CH$110 &amp; $BV35),0)))))/1024</f>
        <v>244.15859374999999</v>
      </c>
      <c r="AK35" s="709">
        <f ca="1">IF(ISERROR(MATCH(AK$1,INDIRECT("Table!A"&amp;$BV35):INDIRECT("Table!" &amp; $CH$110 &amp; $BV35),0)),"",INDIRECT(CONCATENATE("Table!",ADDRESS($BZ35,MATCH(AK$1,INDIRECT("Table!A" &amp; $BV35):INDIRECT("Table!" &amp; $CH$110 &amp; $BV35),0)))))/1024</f>
        <v>146.98896484375001</v>
      </c>
      <c r="AL35" s="709">
        <f ca="1">IF(ISERROR(MATCH(AL$1,INDIRECT("Table!A"&amp;$BV35):INDIRECT("Table!" &amp; $CH$110 &amp; $BV35),0)),"",INDIRECT(CONCATENATE("Table!",ADDRESS($BZ35,MATCH(AL$1,INDIRECT("Table!A" &amp; $BV35):INDIRECT("Table!" &amp; $CH$110 &amp; $BV35),0)))))/1024</f>
        <v>146.98896484375001</v>
      </c>
      <c r="AM35" s="709">
        <f ca="1">IF(ISERROR(MATCH(AM$1,INDIRECT("Table!A"&amp;$BV35):INDIRECT("Table!" &amp; $CH$110 &amp; $BV35),0)),"",INDIRECT(CONCATENATE("Table!",ADDRESS($BZ35,MATCH(AM$1,INDIRECT("Table!A" &amp; $BV35):INDIRECT("Table!" &amp; $CH$110 &amp; $BV35),0)))))/1024</f>
        <v>177.73320312499999</v>
      </c>
      <c r="AN35" s="709">
        <f ca="1">IF(ISERROR(MATCH(AN$1,INDIRECT("Table!A"&amp;$BV35):INDIRECT("Table!" &amp; $CH$110 &amp; $BV35),0)),"",INDIRECT(CONCATENATE("Table!",ADDRESS($BZ35,MATCH(AN$1,INDIRECT("Table!A" &amp; $BV35):INDIRECT("Table!" &amp; $CH$110 &amp; $BV35),0)))))/1024</f>
        <v>161.88056640625001</v>
      </c>
      <c r="AO35" s="709">
        <f ca="1">IF(ISERROR(MATCH(AO$1,INDIRECT("Table!A"&amp;$BV35):INDIRECT("Table!" &amp; $CH$110 &amp; $BV35),0)),"",INDIRECT(CONCATENATE("Table!",ADDRESS($BZ35,MATCH(AO$1,INDIRECT("Table!A" &amp; $BV35):INDIRECT("Table!" &amp; $CH$110 &amp; $BV35),0)))))/1024</f>
        <v>380.3759765625</v>
      </c>
      <c r="AP35" s="709">
        <f ca="1">IF(ISERROR(MATCH(AP$1,INDIRECT("Table!A"&amp;$BV35):INDIRECT("Table!" &amp; $CH$110 &amp; $BV35),0)),"",INDIRECT(CONCATENATE("Table!",ADDRESS($BZ35,MATCH(AP$1,INDIRECT("Table!A" &amp; $BV35):INDIRECT("Table!" &amp; $CH$110 &amp; $BV35),0)))))/1024</f>
        <v>167.94482421875</v>
      </c>
      <c r="AQ35" s="709">
        <f ca="1">IF(ISERROR(MATCH(AQ$1,INDIRECT("Table!A"&amp;$BV35):INDIRECT("Table!" &amp; $CH$110 &amp; $BV35),0)),"",INDIRECT(CONCATENATE("Table!",ADDRESS($BZ35,MATCH(AQ$1,INDIRECT("Table!A" &amp; $BV35):INDIRECT("Table!" &amp; $CH$110 &amp; $BV35),0)))))/1024</f>
        <v>162.18544921874999</v>
      </c>
      <c r="AR35" s="709">
        <f ca="1">IF(ISERROR(MATCH(AR$1,INDIRECT("Table!A"&amp;$BV35):INDIRECT("Table!" &amp; $CH$110 &amp; $BV35),0)),"",INDIRECT(CONCATENATE("Table!",ADDRESS($BZ35,MATCH(AR$1,INDIRECT("Table!A" &amp; $BV35):INDIRECT("Table!" &amp; $CH$110 &amp; $BV35),0)))))/1024</f>
        <v>121.1125</v>
      </c>
      <c r="AS35" s="709">
        <f ca="1">IF(ISERROR(MATCH(AS$1,INDIRECT("Table!A"&amp;$BV35):INDIRECT("Table!" &amp; $CH$110 &amp; $BV35),0)),"",INDIRECT(CONCATENATE("Table!",ADDRESS($BZ35,MATCH(AS$1,INDIRECT("Table!A" &amp; $BV35):INDIRECT("Table!" &amp; $CH$110 &amp; $BV35),0)))))/1024</f>
        <v>218.81953125000001</v>
      </c>
      <c r="AT35" s="709">
        <f ca="1">IF(ISERROR(MATCH(AT$1,INDIRECT("Table!A"&amp;$BV35):INDIRECT("Table!" &amp; $CH$110 &amp; $BV35),0)),"",INDIRECT(CONCATENATE("Table!",ADDRESS($BZ35,MATCH(AT$1,INDIRECT("Table!A" &amp; $BV35):INDIRECT("Table!" &amp; $CH$110 &amp; $BV35),0)))))/1024</f>
        <v>188.50498046875001</v>
      </c>
      <c r="AU35" s="709">
        <f ca="1">IF(ISERROR(MATCH(AU$1,INDIRECT("Table!A"&amp;$BV35):INDIRECT("Table!" &amp; $CH$110 &amp; $BV35),0)),"",INDIRECT(CONCATENATE("Table!",ADDRESS($BZ35,MATCH(AU$1,INDIRECT("Table!A" &amp; $BV35):INDIRECT("Table!" &amp; $CH$110 &amp; $BV35),0)))))/1024</f>
        <v>427.94912109375002</v>
      </c>
      <c r="AV35" s="709">
        <f ca="1">IF(ISERROR(MATCH(AV$1,INDIRECT("Table!A"&amp;$BV35):INDIRECT("Table!" &amp; $CH$110 &amp; $BV35),0)),"",INDIRECT(CONCATENATE("Table!",ADDRESS($BZ35,MATCH(AV$1,INDIRECT("Table!A" &amp; $BV35):INDIRECT("Table!" &amp; $CH$110 &amp; $BV35),0)))))/1024</f>
        <v>81.092578125000003</v>
      </c>
      <c r="AW35" s="709">
        <f ca="1">IF(ISERROR(MATCH(AW$1,INDIRECT("Table!A"&amp;$BV35):INDIRECT("Table!" &amp; $CH$110 &amp; $BV35),0)),"",INDIRECT(CONCATENATE("Table!",ADDRESS($BZ35,MATCH(AW$1,INDIRECT("Table!A" &amp; $BV35):INDIRECT("Table!" &amp; $CH$110 &amp; $BV35),0)))))/1024</f>
        <v>269.65859375000002</v>
      </c>
      <c r="AX35" s="709">
        <f ca="1">IF(ISERROR(MATCH(AX$1,INDIRECT("Table!A"&amp;$BV35):INDIRECT("Table!" &amp; $CH$110 &amp; $BV35),0)),"",INDIRECT(CONCATENATE("Table!",ADDRESS($BZ35,MATCH(AX$1,INDIRECT("Table!A" &amp; $BV35):INDIRECT("Table!" &amp; $CH$110 &amp; $BV35),0)))))/1024</f>
        <v>81.092578125000003</v>
      </c>
      <c r="AY35" s="709">
        <f ca="1">IF(ISERROR(MATCH(AY$1,INDIRECT("Table!A"&amp;$BV35):INDIRECT("Table!" &amp; $CH$110 &amp; $BV35),0)),"",INDIRECT(CONCATENATE("Table!",ADDRESS($BZ35,MATCH(AY$1,INDIRECT("Table!A" &amp; $BV35):INDIRECT("Table!" &amp; $CH$110 &amp; $BV35),0)))))/1024</f>
        <v>187.12714843750001</v>
      </c>
      <c r="AZ35" s="709">
        <f ca="1">IF(ISERROR(MATCH(AZ$1,INDIRECT("Table!A"&amp;$BV35):INDIRECT("Table!" &amp; $CH$110 &amp; $BV35),0)),"",INDIRECT(CONCATENATE("Table!",ADDRESS($BZ35,MATCH(AZ$1,INDIRECT("Table!A" &amp; $BV35):INDIRECT("Table!" &amp; $CH$110 &amp; $BV35),0)))))/1024</f>
        <v>218.81953125000001</v>
      </c>
      <c r="BA35" s="709"/>
      <c r="BB35" s="709">
        <f ca="1">IF(ISERROR(MATCH(BB$1,INDIRECT("Table!A"&amp;$BV35):INDIRECT("Table!" &amp; $CH$110 &amp; $BV35),0)),"",INDIRECT(CONCATENATE("Table!",ADDRESS($BZ35,MATCH(BB$1,INDIRECT("Table!A" &amp; $BV35):INDIRECT("Table!" &amp; $CH$110 &amp; $BV35),0)))))/1024</f>
        <v>32.31494140625</v>
      </c>
      <c r="BC35" s="709">
        <f ca="1">IF(ISERROR(MATCH(BC$1,INDIRECT("Table!A"&amp;$BV35):INDIRECT("Table!" &amp; $CH$110 &amp; $BV35),0)),"",INDIRECT(CONCATENATE("Table!",ADDRESS($BZ35,MATCH(BC$1,INDIRECT("Table!A" &amp; $BV35):INDIRECT("Table!" &amp; $CH$110 &amp; $BV35),0)))))/1024</f>
        <v>99.80126953125</v>
      </c>
      <c r="BD35" s="709">
        <f ca="1">IF(ISERROR(MATCH(BD$1,INDIRECT("Table!A"&amp;$BV35):INDIRECT("Table!" &amp; $CH$110 &amp; $BV35),0)),"",INDIRECT(CONCATENATE("Table!",ADDRESS($BZ35,MATCH(BD$1,INDIRECT("Table!A" &amp; $BV35):INDIRECT("Table!" &amp; $CH$110 &amp; $BV35),0)))))/1024</f>
        <v>204.58642578125</v>
      </c>
      <c r="BE35" s="905">
        <f ca="1">IF(ISERROR(MATCH(BE$1,INDIRECT("Table!A"&amp;$BV35):INDIRECT("Table!" &amp; $CH$110 &amp; $BV35),0)),"",INDIRECT(CONCATENATE("Table!",ADDRESS($BZ35,MATCH(BE$1,INDIRECT("Table!A" &amp; $BV35):INDIRECT("Table!" &amp; $CH$110 &amp; $BV35),0)))))/1024</f>
        <v>99.80126953125</v>
      </c>
      <c r="BF35" s="905">
        <f ca="1">IF(ISERROR(MATCH(BF$1,INDIRECT("Table!A"&amp;$BV35):INDIRECT("Table!" &amp; $CH$110 &amp; $BV35),0)),"",INDIRECT(CONCATENATE("Table!",ADDRESS($BZ35,MATCH(BF$1,INDIRECT("Table!A" &amp; $BV35):INDIRECT("Table!" &amp; $CH$110 &amp; $BV35),0)))))/1024</f>
        <v>204.58642578125</v>
      </c>
      <c r="BG35" s="905"/>
      <c r="BH35" s="905"/>
      <c r="BI35" s="905"/>
      <c r="BJ35" s="905"/>
      <c r="BK35" s="905"/>
      <c r="BL35" s="905"/>
      <c r="BM35" s="905"/>
      <c r="BN35" s="905"/>
      <c r="BO35" s="905"/>
      <c r="BP35" s="905"/>
      <c r="BQ35" s="905"/>
      <c r="BR35" s="704">
        <f>MATCH($A35,Table!$A:$A,0)+$BT$2-1</f>
        <v>467</v>
      </c>
      <c r="BS35" s="744"/>
      <c r="BT35" s="744"/>
      <c r="BU35" s="744"/>
      <c r="BV35" s="717">
        <f>MATCH($A35,Table!$A:$A,0)+$BX$2-1</f>
        <v>465</v>
      </c>
      <c r="BW35" s="744"/>
      <c r="BX35" s="744"/>
      <c r="BY35" s="744"/>
      <c r="BZ35" s="704">
        <f>MATCH($A35,Table!$A:$A,0)+$CB$2-1</f>
        <v>466</v>
      </c>
      <c r="CA35" s="744"/>
      <c r="CB35" s="744"/>
      <c r="CC35" s="744"/>
      <c r="CD35" s="717">
        <f>MATCH($A35,Table!$A:$A,0)+$BX$2-1</f>
        <v>465</v>
      </c>
      <c r="CE35" s="744"/>
      <c r="CF35" s="744"/>
      <c r="CG35" s="744"/>
      <c r="CH35" s="711" t="s">
        <v>302</v>
      </c>
      <c r="CI35" s="712">
        <f t="shared" ca="1" si="0"/>
        <v>4023.5234374999995</v>
      </c>
      <c r="CJ35" s="712">
        <f t="shared" ca="1" si="85"/>
        <v>1949.5763671875002</v>
      </c>
      <c r="CK35" s="712">
        <f t="shared" ref="CK35" ca="1" si="128">CI35-CJ35</f>
        <v>2073.9470703124994</v>
      </c>
      <c r="CL35" s="718">
        <f t="shared" ref="CL35" ca="1" si="129">CJ35/CI35</f>
        <v>0.48454455341730573</v>
      </c>
      <c r="CM35" s="712">
        <f ca="1">SUMIF('Alloc Feed'!A:I,A:A,'Alloc Feed'!I:I)</f>
        <v>3309.5013544921871</v>
      </c>
      <c r="CN35" s="718">
        <f t="shared" ref="CN35" ca="1" si="130">CM35/CI35</f>
        <v>0.82253810768119517</v>
      </c>
    </row>
    <row r="36" spans="1:92" s="591" customFormat="1" x14ac:dyDescent="0.25">
      <c r="A36" s="703">
        <v>41739</v>
      </c>
      <c r="B36" s="709">
        <f ca="1">IF(ISERROR(MATCH(B$1,INDIRECT("Table!A"&amp;$BV36):INDIRECT("Table!" &amp; $CH$110 &amp; $BV36),0)),"",INDIRECT(CONCATENATE("Table!",ADDRESS($BR36,MATCH(B$1,INDIRECT("Table!A" &amp; $BV36):INDIRECT("Table!" &amp; $CH$110 &amp; $BV36),0)))))/1024</f>
        <v>102.97402343749999</v>
      </c>
      <c r="C36" s="709">
        <f ca="1">IF(ISERROR(MATCH(C$1,INDIRECT("Table!A"&amp;$BV36):INDIRECT("Table!" &amp; $CH$110 &amp; $BV36),0)),"",INDIRECT(CONCATENATE("Table!",ADDRESS($BR36,MATCH(C$1,INDIRECT("Table!A" &amp; $BV36):INDIRECT("Table!" &amp; $CH$110 &amp; $BV36),0)))))/1024</f>
        <v>81.835742187500003</v>
      </c>
      <c r="D36" s="709">
        <f ca="1">IF(ISERROR(MATCH(D$1,INDIRECT("Table!A"&amp;$BV36):INDIRECT("Table!" &amp; $CH$110 &amp; $BV36),0)),"",INDIRECT(CONCATENATE("Table!",ADDRESS($BR36,MATCH(D$1,INDIRECT("Table!A" &amp; $BV36):INDIRECT("Table!" &amp; $CH$110 &amp; $BV36),0)))))/1024</f>
        <v>83.146289062500003</v>
      </c>
      <c r="E36" s="709">
        <f ca="1">IF(ISERROR(MATCH(E$1,INDIRECT("Table!A"&amp;$BV36):INDIRECT("Table!" &amp; $CH$110 &amp; $BV36),0)),"",INDIRECT(CONCATENATE("Table!",ADDRESS($BR36,MATCH(E$1,INDIRECT("Table!A" &amp; $BV36):INDIRECT("Table!" &amp; $CH$110 &amp; $BV36),0)))))/1024</f>
        <v>146.87314453125001</v>
      </c>
      <c r="F36" s="709">
        <f ca="1">IF(ISERROR(MATCH(F$1,INDIRECT("Table!A"&amp;$BV36):INDIRECT("Table!" &amp; $CH$110 &amp; $BV36),0)),"",INDIRECT(CONCATENATE("Table!",ADDRESS($BR36,MATCH(F$1,INDIRECT("Table!A" &amp; $BV36):INDIRECT("Table!" &amp; $CH$110 &amp; $BV36),0)))))/1024</f>
        <v>112.54160156250001</v>
      </c>
      <c r="G36" s="709">
        <f ca="1">IF(ISERROR(MATCH(G$1,INDIRECT("Table!A"&amp;$BV36):INDIRECT("Table!" &amp; $CH$110 &amp; $BV36),0)),"",INDIRECT(CONCATENATE("Table!",ADDRESS($BR36,MATCH(G$1,INDIRECT("Table!A" &amp; $BV36):INDIRECT("Table!" &amp; $CH$110 &amp; $BV36),0)))))/1024</f>
        <v>201.76054687499999</v>
      </c>
      <c r="H36" s="709">
        <f ca="1">IF(ISERROR(MATCH(H$1,INDIRECT("Table!A"&amp;$BV36):INDIRECT("Table!" &amp; $CH$110 &amp; $BV36),0)),"",INDIRECT(CONCATENATE("Table!",ADDRESS($BR36,MATCH(H$1,INDIRECT("Table!A" &amp; $BV36):INDIRECT("Table!" &amp; $CH$110 &amp; $BV36),0)))))/1024</f>
        <v>118.52724609374999</v>
      </c>
      <c r="I36" s="709">
        <f ca="1">IF(ISERROR(MATCH(I$1,INDIRECT("Table!A"&amp;$BV36):INDIRECT("Table!" &amp; $CH$110 &amp; $BV36),0)),"",INDIRECT(CONCATENATE("Table!",ADDRESS($BR36,MATCH(I$1,INDIRECT("Table!A" &amp; $BV36):INDIRECT("Table!" &amp; $CH$110 &amp; $BV36),0)))))/1024</f>
        <v>22.577246093749999</v>
      </c>
      <c r="J36" s="709">
        <f ca="1">IF(ISERROR(MATCH(J$1,INDIRECT("Table!A"&amp;$BV36):INDIRECT("Table!" &amp; $CH$110 &amp; $BV36),0)),"",INDIRECT(CONCATENATE("Table!",ADDRESS($BR36,MATCH(J$1,INDIRECT("Table!A" &amp; $BV36):INDIRECT("Table!" &amp; $CH$110 &amp; $BV36),0)))))/1024</f>
        <v>75.006738281249994</v>
      </c>
      <c r="K36" s="709">
        <f ca="1">IF(ISERROR(MATCH(K$1,INDIRECT("Table!A"&amp;$BV36):INDIRECT("Table!" &amp; $CH$110 &amp; $BV36),0)),"",INDIRECT(CONCATENATE("Table!",ADDRESS($BR36,MATCH(K$1,INDIRECT("Table!A" &amp; $BV36):INDIRECT("Table!" &amp; $CH$110 &amp; $BV36),0)))))/1024</f>
        <v>34.381933593749999</v>
      </c>
      <c r="L36" s="709">
        <f ca="1">IF(ISERROR(MATCH(L$1,INDIRECT("Table!A"&amp;$BV36):INDIRECT("Table!" &amp; $CH$110 &amp; $BV36),0)),"",INDIRECT(CONCATENATE("Table!",ADDRESS($BR36,MATCH(L$1,INDIRECT("Table!A" &amp; $BV36):INDIRECT("Table!" &amp; $CH$110 &amp; $BV36),0)))))/1024</f>
        <v>154.78085937500001</v>
      </c>
      <c r="M36" s="709">
        <f ca="1">IF(ISERROR(MATCH(M$1,INDIRECT("Table!A"&amp;$BV36):INDIRECT("Table!" &amp; $CH$110 &amp; $BV36),0)),"",INDIRECT(CONCATENATE("Table!",ADDRESS($BR36,MATCH(M$1,INDIRECT("Table!A" &amp; $BV36):INDIRECT("Table!" &amp; $CH$110 &amp; $BV36),0)))))/1024</f>
        <v>200.07792968749999</v>
      </c>
      <c r="N36" s="709">
        <f ca="1">IF(ISERROR(MATCH(N$1,INDIRECT("Table!A"&amp;$BV36):INDIRECT("Table!" &amp; $CH$110 &amp; $BV36),0)),"",INDIRECT(CONCATENATE("Table!",ADDRESS($BR36,MATCH(N$1,INDIRECT("Table!A" &amp; $BV36):INDIRECT("Table!" &amp; $CH$110 &amp; $BV36),0)))))/1024</f>
        <v>57.801464843749997</v>
      </c>
      <c r="O36" s="709">
        <f ca="1">IF(ISERROR(MATCH(O$1,INDIRECT("Table!A"&amp;$BV36):INDIRECT("Table!" &amp; $CH$110 &amp; $BV36),0)),"",INDIRECT(CONCATENATE("Table!",ADDRESS($BR36,MATCH(O$1,INDIRECT("Table!A" &amp; $BV36):INDIRECT("Table!" &amp; $CH$110 &amp; $BV36),0)))))/1024</f>
        <v>218.34492187500001</v>
      </c>
      <c r="P36" s="709">
        <f ca="1">IF(ISERROR(MATCH(P$1,INDIRECT("Table!A"&amp;$BV36):INDIRECT("Table!" &amp; $CH$110 &amp; $BV36),0)),"",INDIRECT(CONCATENATE("Table!",ADDRESS($BR36,MATCH(P$1,INDIRECT("Table!A" &amp; $BV36):INDIRECT("Table!" &amp; $CH$110 &amp; $BV36),0)))))/1024</f>
        <v>43.575878906249997</v>
      </c>
      <c r="Q36" s="709">
        <f ca="1">IF(ISERROR(MATCH(Q$1,INDIRECT("Table!A"&amp;$BV36):INDIRECT("Table!" &amp; $CH$110 &amp; $BV36),0)),"",INDIRECT(CONCATENATE("Table!",ADDRESS($BR36,MATCH(Q$1,INDIRECT("Table!A" &amp; $BV36):INDIRECT("Table!" &amp; $CH$110 &amp; $BV36),0)))))/1024</f>
        <v>115.23349609375001</v>
      </c>
      <c r="R36" s="709">
        <f ca="1">IF(ISERROR(MATCH(R$1,INDIRECT("Table!A"&amp;$BV36):INDIRECT("Table!" &amp; $CH$110 &amp; $BV36),0)),"",INDIRECT(CONCATENATE("Table!",ADDRESS($BR36,MATCH(R$1,INDIRECT("Table!A" &amp; $BV36):INDIRECT("Table!" &amp; $CH$110 &amp; $BV36),0)))))/1024</f>
        <v>136.74746093749999</v>
      </c>
      <c r="S36" s="709">
        <v>0</v>
      </c>
      <c r="T36" s="709">
        <f ca="1">IF(ISERROR(MATCH(T$1,INDIRECT("Table!A"&amp;$BV36):INDIRECT("Table!" &amp; $CH$65 &amp; $BV36),0)),"",INDIRECT(CONCATENATE("Table!",ADDRESS($BR36,MATCH(T$1,INDIRECT("Table!A" &amp; $BV36):INDIRECT("Table!" &amp; $CH$65 &amp; $BV36),0)))))/1024</f>
        <v>7.14794921875</v>
      </c>
      <c r="U36" s="709">
        <f ca="1">IF(ISERROR(MATCH(U$1,INDIRECT("Table!A"&amp;$BV36):INDIRECT("Table!" &amp; $CH$65 &amp; $BV36),0)),"",INDIRECT(CONCATENATE("Table!",ADDRESS($BR36,MATCH(U$1,INDIRECT("Table!A" &amp; $BV36):INDIRECT("Table!" &amp; $CH$65 &amp; $BV36),0)))))/1024</f>
        <v>6.9729492187500002</v>
      </c>
      <c r="V36" s="709">
        <f ca="1">IF(ISERROR(MATCH(V$1,INDIRECT("Table!A"&amp;$BV36):INDIRECT("Table!" &amp; $CH$65 &amp; $BV36),0)),"",INDIRECT(CONCATENATE("Table!",ADDRESS($BR36,MATCH(V$1,INDIRECT("Table!A" &amp; $BV36):INDIRECT("Table!" &amp; $CH$65 &amp; $BV36),0)))))/1024</f>
        <v>13.94580078125</v>
      </c>
      <c r="W36" s="709"/>
      <c r="X36" s="905"/>
      <c r="Y36" s="905"/>
      <c r="Z36" s="905"/>
      <c r="AA36" s="905"/>
      <c r="AB36" s="905"/>
      <c r="AC36" s="905"/>
      <c r="AD36" s="905"/>
      <c r="AE36" s="905"/>
      <c r="AF36" s="905"/>
      <c r="AG36" s="905"/>
      <c r="AH36" s="905"/>
      <c r="AI36" s="709" t="str">
        <f ca="1">IF(ISERROR(MATCH(AI$1,INDIRECT("Table!A"&amp;$BV36):INDIRECT("Table!" &amp; $CH$110 &amp; $BV36),0)),"",INDIRECT(CONCATENATE("Table!",ADDRESS($BR36,MATCH(AI$1,INDIRECT("Table!A" &amp; $BV36):INDIRECT("Table!" &amp; $CH$110 &amp; $BV36),0)))))</f>
        <v/>
      </c>
      <c r="AJ36" s="709">
        <f ca="1">IF(ISERROR(MATCH(AJ$1,INDIRECT("Table!A"&amp;$BV36):INDIRECT("Table!" &amp; $CH$110 &amp; $BV36),0)),"",INDIRECT(CONCATENATE("Table!",ADDRESS($BZ36,MATCH(AJ$1,INDIRECT("Table!A" &amp; $BV36):INDIRECT("Table!" &amp; $CH$110 &amp; $BV36),0)))))/1024</f>
        <v>244.15859374999999</v>
      </c>
      <c r="AK36" s="709">
        <f ca="1">IF(ISERROR(MATCH(AK$1,INDIRECT("Table!A"&amp;$BV36):INDIRECT("Table!" &amp; $CH$110 &amp; $BV36),0)),"",INDIRECT(CONCATENATE("Table!",ADDRESS($BZ36,MATCH(AK$1,INDIRECT("Table!A" &amp; $BV36):INDIRECT("Table!" &amp; $CH$110 &amp; $BV36),0)))))/1024</f>
        <v>146.98896484375001</v>
      </c>
      <c r="AL36" s="709">
        <f ca="1">IF(ISERROR(MATCH(AL$1,INDIRECT("Table!A"&amp;$BV36):INDIRECT("Table!" &amp; $CH$110 &amp; $BV36),0)),"",INDIRECT(CONCATENATE("Table!",ADDRESS($BZ36,MATCH(AL$1,INDIRECT("Table!A" &amp; $BV36):INDIRECT("Table!" &amp; $CH$110 &amp; $BV36),0)))))/1024</f>
        <v>146.98896484375001</v>
      </c>
      <c r="AM36" s="709">
        <f ca="1">IF(ISERROR(MATCH(AM$1,INDIRECT("Table!A"&amp;$BV36):INDIRECT("Table!" &amp; $CH$110 &amp; $BV36),0)),"",INDIRECT(CONCATENATE("Table!",ADDRESS($BZ36,MATCH(AM$1,INDIRECT("Table!A" &amp; $BV36):INDIRECT("Table!" &amp; $CH$110 &amp; $BV36),0)))))/1024</f>
        <v>177.73320312499999</v>
      </c>
      <c r="AN36" s="709">
        <f ca="1">IF(ISERROR(MATCH(AN$1,INDIRECT("Table!A"&amp;$BV36):INDIRECT("Table!" &amp; $CH$110 &amp; $BV36),0)),"",INDIRECT(CONCATENATE("Table!",ADDRESS($BZ36,MATCH(AN$1,INDIRECT("Table!A" &amp; $BV36):INDIRECT("Table!" &amp; $CH$110 &amp; $BV36),0)))))/1024</f>
        <v>161.88056640625001</v>
      </c>
      <c r="AO36" s="709">
        <f ca="1">IF(ISERROR(MATCH(AO$1,INDIRECT("Table!A"&amp;$BV36):INDIRECT("Table!" &amp; $CH$110 &amp; $BV36),0)),"",INDIRECT(CONCATENATE("Table!",ADDRESS($BZ36,MATCH(AO$1,INDIRECT("Table!A" &amp; $BV36):INDIRECT("Table!" &amp; $CH$110 &amp; $BV36),0)))))/1024</f>
        <v>380.3759765625</v>
      </c>
      <c r="AP36" s="709">
        <f ca="1">IF(ISERROR(MATCH(AP$1,INDIRECT("Table!A"&amp;$BV36):INDIRECT("Table!" &amp; $CH$110 &amp; $BV36),0)),"",INDIRECT(CONCATENATE("Table!",ADDRESS($BZ36,MATCH(AP$1,INDIRECT("Table!A" &amp; $BV36):INDIRECT("Table!" &amp; $CH$110 &amp; $BV36),0)))))/1024</f>
        <v>167.94482421875</v>
      </c>
      <c r="AQ36" s="709">
        <f ca="1">IF(ISERROR(MATCH(AQ$1,INDIRECT("Table!A"&amp;$BV36):INDIRECT("Table!" &amp; $CH$110 &amp; $BV36),0)),"",INDIRECT(CONCATENATE("Table!",ADDRESS($BZ36,MATCH(AQ$1,INDIRECT("Table!A" &amp; $BV36):INDIRECT("Table!" &amp; $CH$110 &amp; $BV36),0)))))/1024</f>
        <v>162.18544921874999</v>
      </c>
      <c r="AR36" s="709">
        <f ca="1">IF(ISERROR(MATCH(AR$1,INDIRECT("Table!A"&amp;$BV36):INDIRECT("Table!" &amp; $CH$110 &amp; $BV36),0)),"",INDIRECT(CONCATENATE("Table!",ADDRESS($BZ36,MATCH(AR$1,INDIRECT("Table!A" &amp; $BV36):INDIRECT("Table!" &amp; $CH$110 &amp; $BV36),0)))))/1024</f>
        <v>121.1125</v>
      </c>
      <c r="AS36" s="709">
        <f ca="1">IF(ISERROR(MATCH(AS$1,INDIRECT("Table!A"&amp;$BV36):INDIRECT("Table!" &amp; $CH$110 &amp; $BV36),0)),"",INDIRECT(CONCATENATE("Table!",ADDRESS($BZ36,MATCH(AS$1,INDIRECT("Table!A" &amp; $BV36):INDIRECT("Table!" &amp; $CH$110 &amp; $BV36),0)))))/1024</f>
        <v>218.81953125000001</v>
      </c>
      <c r="AT36" s="709">
        <f ca="1">IF(ISERROR(MATCH(AT$1,INDIRECT("Table!A"&amp;$BV36):INDIRECT("Table!" &amp; $CH$110 &amp; $BV36),0)),"",INDIRECT(CONCATENATE("Table!",ADDRESS($BZ36,MATCH(AT$1,INDIRECT("Table!A" &amp; $BV36):INDIRECT("Table!" &amp; $CH$110 &amp; $BV36),0)))))/1024</f>
        <v>188.50498046875001</v>
      </c>
      <c r="AU36" s="709">
        <f ca="1">IF(ISERROR(MATCH(AU$1,INDIRECT("Table!A"&amp;$BV36):INDIRECT("Table!" &amp; $CH$110 &amp; $BV36),0)),"",INDIRECT(CONCATENATE("Table!",ADDRESS($BZ36,MATCH(AU$1,INDIRECT("Table!A" &amp; $BV36):INDIRECT("Table!" &amp; $CH$110 &amp; $BV36),0)))))/1024</f>
        <v>427.94912109375002</v>
      </c>
      <c r="AV36" s="709">
        <f ca="1">IF(ISERROR(MATCH(AV$1,INDIRECT("Table!A"&amp;$BV36):INDIRECT("Table!" &amp; $CH$110 &amp; $BV36),0)),"",INDIRECT(CONCATENATE("Table!",ADDRESS($BZ36,MATCH(AV$1,INDIRECT("Table!A" &amp; $BV36):INDIRECT("Table!" &amp; $CH$110 &amp; $BV36),0)))))/1024</f>
        <v>81.092578125000003</v>
      </c>
      <c r="AW36" s="709">
        <f ca="1">IF(ISERROR(MATCH(AW$1,INDIRECT("Table!A"&amp;$BV36):INDIRECT("Table!" &amp; $CH$110 &amp; $BV36),0)),"",INDIRECT(CONCATENATE("Table!",ADDRESS($BZ36,MATCH(AW$1,INDIRECT("Table!A" &amp; $BV36):INDIRECT("Table!" &amp; $CH$110 &amp; $BV36),0)))))/1024</f>
        <v>269.65859375000002</v>
      </c>
      <c r="AX36" s="709">
        <f ca="1">IF(ISERROR(MATCH(AX$1,INDIRECT("Table!A"&amp;$BV36):INDIRECT("Table!" &amp; $CH$110 &amp; $BV36),0)),"",INDIRECT(CONCATENATE("Table!",ADDRESS($BZ36,MATCH(AX$1,INDIRECT("Table!A" &amp; $BV36):INDIRECT("Table!" &amp; $CH$110 &amp; $BV36),0)))))/1024</f>
        <v>81.092578125000003</v>
      </c>
      <c r="AY36" s="709">
        <f ca="1">IF(ISERROR(MATCH(AY$1,INDIRECT("Table!A"&amp;$BV36):INDIRECT("Table!" &amp; $CH$110 &amp; $BV36),0)),"",INDIRECT(CONCATENATE("Table!",ADDRESS($BZ36,MATCH(AY$1,INDIRECT("Table!A" &amp; $BV36):INDIRECT("Table!" &amp; $CH$110 &amp; $BV36),0)))))/1024</f>
        <v>187.12714843750001</v>
      </c>
      <c r="AZ36" s="709">
        <f ca="1">IF(ISERROR(MATCH(AZ$1,INDIRECT("Table!A"&amp;$BV36):INDIRECT("Table!" &amp; $CH$110 &amp; $BV36),0)),"",INDIRECT(CONCATENATE("Table!",ADDRESS($BZ36,MATCH(AZ$1,INDIRECT("Table!A" &amp; $BV36):INDIRECT("Table!" &amp; $CH$110 &amp; $BV36),0)))))/1024</f>
        <v>218.81953125000001</v>
      </c>
      <c r="BA36" s="709"/>
      <c r="BB36" s="709">
        <f ca="1">IF(ISERROR(MATCH(BB$1,INDIRECT("Table!A"&amp;$BV36):INDIRECT("Table!" &amp; $CH$110 &amp; $BV36),0)),"",INDIRECT(CONCATENATE("Table!",ADDRESS($BZ36,MATCH(BB$1,INDIRECT("Table!A" &amp; $BV36):INDIRECT("Table!" &amp; $CH$110 &amp; $BV36),0)))))/1024</f>
        <v>32.31494140625</v>
      </c>
      <c r="BC36" s="709">
        <f ca="1">IF(ISERROR(MATCH(BC$1,INDIRECT("Table!A"&amp;$BV36):INDIRECT("Table!" &amp; $CH$110 &amp; $BV36),0)),"",INDIRECT(CONCATENATE("Table!",ADDRESS($BZ36,MATCH(BC$1,INDIRECT("Table!A" &amp; $BV36):INDIRECT("Table!" &amp; $CH$110 &amp; $BV36),0)))))/1024</f>
        <v>99.80126953125</v>
      </c>
      <c r="BD36" s="709">
        <f ca="1">IF(ISERROR(MATCH(BD$1,INDIRECT("Table!A"&amp;$BV36):INDIRECT("Table!" &amp; $CH$110 &amp; $BV36),0)),"",INDIRECT(CONCATENATE("Table!",ADDRESS($BZ36,MATCH(BD$1,INDIRECT("Table!A" &amp; $BV36):INDIRECT("Table!" &amp; $CH$110 &amp; $BV36),0)))))/1024</f>
        <v>204.58642578125</v>
      </c>
      <c r="BE36" s="905"/>
      <c r="BF36" s="905"/>
      <c r="BG36" s="905"/>
      <c r="BH36" s="905"/>
      <c r="BI36" s="905"/>
      <c r="BJ36" s="905"/>
      <c r="BK36" s="905"/>
      <c r="BL36" s="905"/>
      <c r="BM36" s="905"/>
      <c r="BN36" s="905"/>
      <c r="BO36" s="905"/>
      <c r="BP36" s="905"/>
      <c r="BQ36" s="905"/>
      <c r="BR36" s="704">
        <f>MATCH($A36,Table!$A:$A,0)+$BT$2-1</f>
        <v>481</v>
      </c>
      <c r="BS36" s="705"/>
      <c r="BT36" s="705"/>
      <c r="BU36" s="705"/>
      <c r="BV36" s="717">
        <f>MATCH($A36,Table!$A:$A,0)+$BX$2-1</f>
        <v>479</v>
      </c>
      <c r="BW36" s="705"/>
      <c r="BX36" s="705"/>
      <c r="BY36" s="705"/>
      <c r="BZ36" s="704">
        <f>MATCH($A36,Table!$A:$A,0)+$CB$2-1</f>
        <v>480</v>
      </c>
      <c r="CA36" s="705"/>
      <c r="CB36" s="705"/>
      <c r="CC36" s="705"/>
      <c r="CD36" s="717">
        <f>MATCH($A36,Table!$A:$A,0)+$BX$2-1</f>
        <v>479</v>
      </c>
      <c r="CE36" s="705"/>
      <c r="CF36" s="705"/>
      <c r="CG36" s="705"/>
      <c r="CH36" s="711" t="s">
        <v>302</v>
      </c>
      <c r="CI36" s="712">
        <f t="shared" ca="1" si="0"/>
        <v>3719.1357421874995</v>
      </c>
      <c r="CJ36" s="712">
        <f t="shared" ca="1" si="85"/>
        <v>1934.25322265625</v>
      </c>
      <c r="CK36" s="712">
        <f t="shared" ref="CK36:CK42" ca="1" si="131">CI36-CJ36</f>
        <v>1784.8825195312495</v>
      </c>
      <c r="CL36" s="718">
        <f t="shared" ref="CL36:CL42" ca="1" si="132">CJ36/CI36</f>
        <v>0.52008137286179623</v>
      </c>
      <c r="CM36" s="712">
        <f ca="1">SUMIF('Alloc Feed'!A:I,A:A,'Alloc Feed'!I:I)</f>
        <v>3297.9769892578129</v>
      </c>
      <c r="CN36" s="718">
        <f t="shared" ref="CN36:CN41" ca="1" si="133">CM36/CI36</f>
        <v>0.88675897248053337</v>
      </c>
    </row>
    <row r="37" spans="1:92" s="743" customFormat="1" x14ac:dyDescent="0.25">
      <c r="A37" s="703">
        <v>41732</v>
      </c>
      <c r="B37" s="709">
        <f ca="1">IF(ISERROR(MATCH(B$1,INDIRECT("Table!A"&amp;$BV37):INDIRECT("Table!" &amp; $CH$110 &amp; $BV37),0)),"",INDIRECT(CONCATENATE("Table!",ADDRESS($BR37,MATCH(B$1,INDIRECT("Table!A" &amp; $BV37):INDIRECT("Table!" &amp; $CH$110 &amp; $BV37),0)))))/1024</f>
        <v>102.10400390625</v>
      </c>
      <c r="C37" s="709">
        <f ca="1">IF(ISERROR(MATCH(C$1,INDIRECT("Table!A"&amp;$BV37):INDIRECT("Table!" &amp; $CH$110 &amp; $BV37),0)),"",INDIRECT(CONCATENATE("Table!",ADDRESS($BR37,MATCH(C$1,INDIRECT("Table!A" &amp; $BV37):INDIRECT("Table!" &amp; $CH$110 &amp; $BV37),0)))))/1024</f>
        <v>81.38916015625</v>
      </c>
      <c r="D37" s="709">
        <f ca="1">IF(ISERROR(MATCH(D$1,INDIRECT("Table!A"&amp;$BV37):INDIRECT("Table!" &amp; $CH$110 &amp; $BV37),0)),"",INDIRECT(CONCATENATE("Table!",ADDRESS($BR37,MATCH(D$1,INDIRECT("Table!A" &amp; $BV37):INDIRECT("Table!" &amp; $CH$110 &amp; $BV37),0)))))/1024</f>
        <v>82.705371093750003</v>
      </c>
      <c r="E37" s="709">
        <f ca="1">IF(ISERROR(MATCH(E$1,INDIRECT("Table!A"&amp;$BV37):INDIRECT("Table!" &amp; $CH$110 &amp; $BV37),0)),"",INDIRECT(CONCATENATE("Table!",ADDRESS($BR37,MATCH(E$1,INDIRECT("Table!A" &amp; $BV37):INDIRECT("Table!" &amp; $CH$110 &amp; $BV37),0)))))/1024</f>
        <v>146.6875</v>
      </c>
      <c r="F37" s="709">
        <f ca="1">IF(ISERROR(MATCH(F$1,INDIRECT("Table!A"&amp;$BV37):INDIRECT("Table!" &amp; $CH$110 &amp; $BV37),0)),"",INDIRECT(CONCATENATE("Table!",ADDRESS($BR37,MATCH(F$1,INDIRECT("Table!A" &amp; $BV37):INDIRECT("Table!" &amp; $CH$110 &amp; $BV37),0)))))/1024</f>
        <v>112.30341796875</v>
      </c>
      <c r="G37" s="709">
        <f ca="1">IF(ISERROR(MATCH(G$1,INDIRECT("Table!A"&amp;$BV37):INDIRECT("Table!" &amp; $CH$110 &amp; $BV37),0)),"",INDIRECT(CONCATENATE("Table!",ADDRESS($BR37,MATCH(G$1,INDIRECT("Table!A" &amp; $BV37):INDIRECT("Table!" &amp; $CH$110 &amp; $BV37),0)))))/1024</f>
        <v>201.28740234374999</v>
      </c>
      <c r="H37" s="709">
        <f ca="1">IF(ISERROR(MATCH(H$1,INDIRECT("Table!A"&amp;$BV37):INDIRECT("Table!" &amp; $CH$110 &amp; $BV37),0)),"",INDIRECT(CONCATENATE("Table!",ADDRESS($BR37,MATCH(H$1,INDIRECT("Table!A" &amp; $BV37):INDIRECT("Table!" &amp; $CH$110 &amp; $BV37),0)))))/1024</f>
        <v>118.0486328125</v>
      </c>
      <c r="I37" s="709">
        <f ca="1">IF(ISERROR(MATCH(I$1,INDIRECT("Table!A"&amp;$BV37):INDIRECT("Table!" &amp; $CH$110 &amp; $BV37),0)),"",INDIRECT(CONCATENATE("Table!",ADDRESS($BR37,MATCH(I$1,INDIRECT("Table!A" &amp; $BV37):INDIRECT("Table!" &amp; $CH$110 &amp; $BV37),0)))))/1024</f>
        <v>21.922656249999999</v>
      </c>
      <c r="J37" s="709">
        <f ca="1">IF(ISERROR(MATCH(J$1,INDIRECT("Table!A"&amp;$BV37):INDIRECT("Table!" &amp; $CH$110 &amp; $BV37),0)),"",INDIRECT(CONCATENATE("Table!",ADDRESS($BR37,MATCH(J$1,INDIRECT("Table!A" &amp; $BV37):INDIRECT("Table!" &amp; $CH$110 &amp; $BV37),0)))))/1024</f>
        <v>74.318066406249997</v>
      </c>
      <c r="K37" s="709">
        <f ca="1">IF(ISERROR(MATCH(K$1,INDIRECT("Table!A"&amp;$BV37):INDIRECT("Table!" &amp; $CH$110 &amp; $BV37),0)),"",INDIRECT(CONCATENATE("Table!",ADDRESS($BR37,MATCH(K$1,INDIRECT("Table!A" &amp; $BV37):INDIRECT("Table!" &amp; $CH$110 &amp; $BV37),0)))))/1024</f>
        <v>31.237597656249999</v>
      </c>
      <c r="L37" s="709">
        <f ca="1">IF(ISERROR(MATCH(L$1,INDIRECT("Table!A"&amp;$BV37):INDIRECT("Table!" &amp; $CH$110 &amp; $BV37),0)),"",INDIRECT(CONCATENATE("Table!",ADDRESS($BR37,MATCH(L$1,INDIRECT("Table!A" &amp; $BV37):INDIRECT("Table!" &amp; $CH$110 &amp; $BV37),0)))))/1024</f>
        <v>154.66083984375001</v>
      </c>
      <c r="M37" s="709">
        <f ca="1">IF(ISERROR(MATCH(M$1,INDIRECT("Table!A"&amp;$BV37):INDIRECT("Table!" &amp; $CH$110 &amp; $BV37),0)),"",INDIRECT(CONCATENATE("Table!",ADDRESS($BR37,MATCH(M$1,INDIRECT("Table!A" &amp; $BV37):INDIRECT("Table!" &amp; $CH$110 &amp; $BV37),0)))))/1024</f>
        <v>198.96347656250001</v>
      </c>
      <c r="N37" s="709">
        <f ca="1">IF(ISERROR(MATCH(N$1,INDIRECT("Table!A"&amp;$BV37):INDIRECT("Table!" &amp; $CH$110 &amp; $BV37),0)),"",INDIRECT(CONCATENATE("Table!",ADDRESS($BR37,MATCH(N$1,INDIRECT("Table!A" &amp; $BV37):INDIRECT("Table!" &amp; $CH$110 &amp; $BV37),0)))))/1024</f>
        <v>58.176953124999997</v>
      </c>
      <c r="O37" s="709">
        <f ca="1">IF(ISERROR(MATCH(O$1,INDIRECT("Table!A"&amp;$BV37):INDIRECT("Table!" &amp; $CH$110 &amp; $BV37),0)),"",INDIRECT(CONCATENATE("Table!",ADDRESS($BR37,MATCH(O$1,INDIRECT("Table!A" &amp; $BV37):INDIRECT("Table!" &amp; $CH$110 &amp; $BV37),0)))))/1024</f>
        <v>217.66083984375001</v>
      </c>
      <c r="P37" s="709">
        <f ca="1">IF(ISERROR(MATCH(P$1,INDIRECT("Table!A"&amp;$BV37):INDIRECT("Table!" &amp; $CH$110 &amp; $BV37),0)),"",INDIRECT(CONCATENATE("Table!",ADDRESS($BR37,MATCH(P$1,INDIRECT("Table!A" &amp; $BV37):INDIRECT("Table!" &amp; $CH$110 &amp; $BV37),0)))))/1024</f>
        <v>42.267675781249999</v>
      </c>
      <c r="Q37" s="709">
        <f ca="1">IF(ISERROR(MATCH(Q$1,INDIRECT("Table!A"&amp;$BV37):INDIRECT("Table!" &amp; $CH$110 &amp; $BV37),0)),"",INDIRECT(CONCATENATE("Table!",ADDRESS($BR37,MATCH(Q$1,INDIRECT("Table!A" &amp; $BV37):INDIRECT("Table!" &amp; $CH$110 &amp; $BV37),0)))))/1024</f>
        <v>113.0986328125</v>
      </c>
      <c r="R37" s="709">
        <f ca="1">IF(ISERROR(MATCH(R$1,INDIRECT("Table!A"&amp;$BV37):INDIRECT("Table!" &amp; $CH$110 &amp; $BV37),0)),"",INDIRECT(CONCATENATE("Table!",ADDRESS($BR37,MATCH(R$1,INDIRECT("Table!A" &amp; $BV37):INDIRECT("Table!" &amp; $CH$110 &amp; $BV37),0)))))/1024</f>
        <v>122.33759765625</v>
      </c>
      <c r="S37" s="709">
        <v>0</v>
      </c>
      <c r="T37" s="709">
        <f ca="1">IF(ISERROR(MATCH(T$1,INDIRECT("Table!A"&amp;$BV37):INDIRECT("Table!" &amp; $CH$65 &amp; $BV37),0)),"",INDIRECT(CONCATENATE("Table!",ADDRESS($BR37,MATCH(T$1,INDIRECT("Table!A" &amp; $BV37):INDIRECT("Table!" &amp; $CH$65 &amp; $BV37),0)))))/1024</f>
        <v>7.14794921875</v>
      </c>
      <c r="U37" s="709">
        <f ca="1">IF(ISERROR(MATCH(U$1,INDIRECT("Table!A"&amp;$BV37):INDIRECT("Table!" &amp; $CH$65 &amp; $BV37),0)),"",INDIRECT(CONCATENATE("Table!",ADDRESS($BR37,MATCH(U$1,INDIRECT("Table!A" &amp; $BV37):INDIRECT("Table!" &amp; $CH$65 &amp; $BV37),0)))))/1024</f>
        <v>6.96875</v>
      </c>
      <c r="V37" s="709">
        <f ca="1">IF(ISERROR(MATCH(V$1,INDIRECT("Table!A"&amp;$BV37):INDIRECT("Table!" &amp; $CH$65 &amp; $BV37),0)),"",INDIRECT(CONCATENATE("Table!",ADDRESS($BR37,MATCH(V$1,INDIRECT("Table!A" &amp; $BV37):INDIRECT("Table!" &amp; $CH$65 &amp; $BV37),0)))))/1024</f>
        <v>13.93740234375</v>
      </c>
      <c r="W37" s="905"/>
      <c r="X37" s="905"/>
      <c r="Y37" s="905"/>
      <c r="Z37" s="905"/>
      <c r="AA37" s="905"/>
      <c r="AB37" s="905"/>
      <c r="AC37" s="905"/>
      <c r="AD37" s="905"/>
      <c r="AE37" s="905"/>
      <c r="AF37" s="905"/>
      <c r="AG37" s="905"/>
      <c r="AH37" s="905"/>
      <c r="AI37" s="709" t="str">
        <f ca="1">IF(ISERROR(MATCH(AI$1,INDIRECT("Table!A"&amp;$BV37):INDIRECT("Table!" &amp; $CH$110 &amp; $BV37),0)),"",INDIRECT(CONCATENATE("Table!",ADDRESS($BR37,MATCH(AI$1,INDIRECT("Table!A" &amp; $BV37):INDIRECT("Table!" &amp; $CH$110 &amp; $BV37),0)))))</f>
        <v/>
      </c>
      <c r="AJ37" s="709">
        <f ca="1">IF(ISERROR(MATCH(AJ$1,INDIRECT("Table!A"&amp;$BV37):INDIRECT("Table!" &amp; $CH$110 &amp; $BV37),0)),"",INDIRECT(CONCATENATE("Table!",ADDRESS($BZ37,MATCH(AJ$1,INDIRECT("Table!A" &amp; $BV37):INDIRECT("Table!" &amp; $CH$110 &amp; $BV37),0)))))/1024</f>
        <v>244.15859374999999</v>
      </c>
      <c r="AK37" s="709">
        <f ca="1">IF(ISERROR(MATCH(AK$1,INDIRECT("Table!A"&amp;$BV37):INDIRECT("Table!" &amp; $CH$110 &amp; $BV37),0)),"",INDIRECT(CONCATENATE("Table!",ADDRESS($BZ37,MATCH(AK$1,INDIRECT("Table!A" &amp; $BV37):INDIRECT("Table!" &amp; $CH$110 &amp; $BV37),0)))))/1024</f>
        <v>146.98896484375001</v>
      </c>
      <c r="AL37" s="709">
        <f ca="1">IF(ISERROR(MATCH(AL$1,INDIRECT("Table!A"&amp;$BV37):INDIRECT("Table!" &amp; $CH$110 &amp; $BV37),0)),"",INDIRECT(CONCATENATE("Table!",ADDRESS($BZ37,MATCH(AL$1,INDIRECT("Table!A" &amp; $BV37):INDIRECT("Table!" &amp; $CH$110 &amp; $BV37),0)))))/1024</f>
        <v>146.98896484375001</v>
      </c>
      <c r="AM37" s="709">
        <f ca="1">IF(ISERROR(MATCH(AM$1,INDIRECT("Table!A"&amp;$BV37):INDIRECT("Table!" &amp; $CH$110 &amp; $BV37),0)),"",INDIRECT(CONCATENATE("Table!",ADDRESS($BZ37,MATCH(AM$1,INDIRECT("Table!A" &amp; $BV37):INDIRECT("Table!" &amp; $CH$110 &amp; $BV37),0)))))/1024</f>
        <v>177.73320312499999</v>
      </c>
      <c r="AN37" s="709">
        <f ca="1">IF(ISERROR(MATCH(AN$1,INDIRECT("Table!A"&amp;$BV37):INDIRECT("Table!" &amp; $CH$110 &amp; $BV37),0)),"",INDIRECT(CONCATENATE("Table!",ADDRESS($BZ37,MATCH(AN$1,INDIRECT("Table!A" &amp; $BV37):INDIRECT("Table!" &amp; $CH$110 &amp; $BV37),0)))))/1024</f>
        <v>161.88056640625001</v>
      </c>
      <c r="AO37" s="709">
        <f ca="1">IF(ISERROR(MATCH(AO$1,INDIRECT("Table!A"&amp;$BV37):INDIRECT("Table!" &amp; $CH$110 &amp; $BV37),0)),"",INDIRECT(CONCATENATE("Table!",ADDRESS($BZ37,MATCH(AO$1,INDIRECT("Table!A" &amp; $BV37):INDIRECT("Table!" &amp; $CH$110 &amp; $BV37),0)))))/1024</f>
        <v>380.3759765625</v>
      </c>
      <c r="AP37" s="709">
        <f ca="1">IF(ISERROR(MATCH(AP$1,INDIRECT("Table!A"&amp;$BV37):INDIRECT("Table!" &amp; $CH$110 &amp; $BV37),0)),"",INDIRECT(CONCATENATE("Table!",ADDRESS($BZ37,MATCH(AP$1,INDIRECT("Table!A" &amp; $BV37):INDIRECT("Table!" &amp; $CH$110 &amp; $BV37),0)))))/1024</f>
        <v>167.94482421875</v>
      </c>
      <c r="AQ37" s="709">
        <f ca="1">IF(ISERROR(MATCH(AQ$1,INDIRECT("Table!A"&amp;$BV37):INDIRECT("Table!" &amp; $CH$110 &amp; $BV37),0)),"",INDIRECT(CONCATENATE("Table!",ADDRESS($BZ37,MATCH(AQ$1,INDIRECT("Table!A" &amp; $BV37):INDIRECT("Table!" &amp; $CH$110 &amp; $BV37),0)))))/1024</f>
        <v>162.18544921874999</v>
      </c>
      <c r="AR37" s="709">
        <f ca="1">IF(ISERROR(MATCH(AR$1,INDIRECT("Table!A"&amp;$BV37):INDIRECT("Table!" &amp; $CH$110 &amp; $BV37),0)),"",INDIRECT(CONCATENATE("Table!",ADDRESS($BZ37,MATCH(AR$1,INDIRECT("Table!A" &amp; $BV37):INDIRECT("Table!" &amp; $CH$110 &amp; $BV37),0)))))/1024</f>
        <v>121.1125</v>
      </c>
      <c r="AS37" s="709">
        <f ca="1">IF(ISERROR(MATCH(AS$1,INDIRECT("Table!A"&amp;$BV37):INDIRECT("Table!" &amp; $CH$110 &amp; $BV37),0)),"",INDIRECT(CONCATENATE("Table!",ADDRESS($BZ37,MATCH(AS$1,INDIRECT("Table!A" &amp; $BV37):INDIRECT("Table!" &amp; $CH$110 &amp; $BV37),0)))))/1024</f>
        <v>218.81953125000001</v>
      </c>
      <c r="AT37" s="709">
        <f ca="1">IF(ISERROR(MATCH(AT$1,INDIRECT("Table!A"&amp;$BV37):INDIRECT("Table!" &amp; $CH$110 &amp; $BV37),0)),"",INDIRECT(CONCATENATE("Table!",ADDRESS($BZ37,MATCH(AT$1,INDIRECT("Table!A" &amp; $BV37):INDIRECT("Table!" &amp; $CH$110 &amp; $BV37),0)))))/1024</f>
        <v>188.50498046875001</v>
      </c>
      <c r="AU37" s="709">
        <f ca="1">IF(ISERROR(MATCH(AU$1,INDIRECT("Table!A"&amp;$BV37):INDIRECT("Table!" &amp; $CH$110 &amp; $BV37),0)),"",INDIRECT(CONCATENATE("Table!",ADDRESS($BZ37,MATCH(AU$1,INDIRECT("Table!A" &amp; $BV37):INDIRECT("Table!" &amp; $CH$110 &amp; $BV37),0)))))/1024</f>
        <v>427.94912109375002</v>
      </c>
      <c r="AV37" s="709">
        <f ca="1">IF(ISERROR(MATCH(AV$1,INDIRECT("Table!A"&amp;$BV37):INDIRECT("Table!" &amp; $CH$110 &amp; $BV37),0)),"",INDIRECT(CONCATENATE("Table!",ADDRESS($BZ37,MATCH(AV$1,INDIRECT("Table!A" &amp; $BV37):INDIRECT("Table!" &amp; $CH$110 &amp; $BV37),0)))))/1024</f>
        <v>81.092578125000003</v>
      </c>
      <c r="AW37" s="709">
        <f ca="1">IF(ISERROR(MATCH(AW$1,INDIRECT("Table!A"&amp;$BV37):INDIRECT("Table!" &amp; $CH$110 &amp; $BV37),0)),"",INDIRECT(CONCATENATE("Table!",ADDRESS($BZ37,MATCH(AW$1,INDIRECT("Table!A" &amp; $BV37):INDIRECT("Table!" &amp; $CH$110 &amp; $BV37),0)))))/1024</f>
        <v>269.65859375000002</v>
      </c>
      <c r="AX37" s="709">
        <f ca="1">IF(ISERROR(MATCH(AX$1,INDIRECT("Table!A"&amp;$BV37):INDIRECT("Table!" &amp; $CH$110 &amp; $BV37),0)),"",INDIRECT(CONCATENATE("Table!",ADDRESS($BZ37,MATCH(AX$1,INDIRECT("Table!A" &amp; $BV37):INDIRECT("Table!" &amp; $CH$110 &amp; $BV37),0)))))/1024</f>
        <v>81.092578125000003</v>
      </c>
      <c r="AY37" s="709">
        <f ca="1">IF(ISERROR(MATCH(AY$1,INDIRECT("Table!A"&amp;$BV37):INDIRECT("Table!" &amp; $CH$110 &amp; $BV37),0)),"",INDIRECT(CONCATENATE("Table!",ADDRESS($BZ37,MATCH(AY$1,INDIRECT("Table!A" &amp; $BV37):INDIRECT("Table!" &amp; $CH$110 &amp; $BV37),0)))))/1024</f>
        <v>187.12714843750001</v>
      </c>
      <c r="AZ37" s="709">
        <f ca="1">IF(ISERROR(MATCH(AZ$1,INDIRECT("Table!A"&amp;$BV37):INDIRECT("Table!" &amp; $CH$110 &amp; $BV37),0)),"",INDIRECT(CONCATENATE("Table!",ADDRESS($BZ37,MATCH(AZ$1,INDIRECT("Table!A" &amp; $BV37):INDIRECT("Table!" &amp; $CH$110 &amp; $BV37),0)))))/1024</f>
        <v>218.81953125000001</v>
      </c>
      <c r="BA37" s="709"/>
      <c r="BB37" s="709">
        <f ca="1">IF(ISERROR(MATCH(BB$1,INDIRECT("Table!A"&amp;$BV37):INDIRECT("Table!" &amp; $CH$110 &amp; $BV37),0)),"",INDIRECT(CONCATENATE("Table!",ADDRESS($BZ37,MATCH(BB$1,INDIRECT("Table!A" &amp; $BV37):INDIRECT("Table!" &amp; $CH$110 &amp; $BV37),0)))))/1024</f>
        <v>32.31494140625</v>
      </c>
      <c r="BC37" s="709">
        <f ca="1">IF(ISERROR(MATCH(BC$1,INDIRECT("Table!A"&amp;$BV37):INDIRECT("Table!" &amp; $CH$110 &amp; $BV37),0)),"",INDIRECT(CONCATENATE("Table!",ADDRESS($BZ37,MATCH(BC$1,INDIRECT("Table!A" &amp; $BV37):INDIRECT("Table!" &amp; $CH$110 &amp; $BV37),0)))))/1024</f>
        <v>99.80126953125</v>
      </c>
      <c r="BD37" s="709">
        <f ca="1">IF(ISERROR(MATCH(BD$1,INDIRECT("Table!A"&amp;$BV37):INDIRECT("Table!" &amp; $CH$110 &amp; $BV37),0)),"",INDIRECT(CONCATENATE("Table!",ADDRESS($BZ37,MATCH(BD$1,INDIRECT("Table!A" &amp; $BV37):INDIRECT("Table!" &amp; $CH$110 &amp; $BV37),0)))))/1024</f>
        <v>204.58642578125</v>
      </c>
      <c r="BE37" s="905"/>
      <c r="BF37" s="905"/>
      <c r="BG37" s="905"/>
      <c r="BH37" s="905"/>
      <c r="BI37" s="905"/>
      <c r="BJ37" s="905"/>
      <c r="BK37" s="905"/>
      <c r="BL37" s="905"/>
      <c r="BM37" s="905"/>
      <c r="BN37" s="905"/>
      <c r="BO37" s="905"/>
      <c r="BP37" s="905"/>
      <c r="BQ37" s="905"/>
      <c r="BR37" s="704">
        <f>MATCH($A37,Table!$A:$A,0)+$BT$2-1</f>
        <v>495</v>
      </c>
      <c r="BS37" s="744"/>
      <c r="BT37" s="744"/>
      <c r="BU37" s="744"/>
      <c r="BV37" s="717">
        <f>MATCH($A37,Table!$A:$A,0)+$BX$2-1</f>
        <v>493</v>
      </c>
      <c r="BW37" s="744"/>
      <c r="BX37" s="744"/>
      <c r="BY37" s="744"/>
      <c r="BZ37" s="704">
        <f>MATCH($A37,Table!$A:$A,0)+$CB$2-1</f>
        <v>494</v>
      </c>
      <c r="CA37" s="744"/>
      <c r="CB37" s="744"/>
      <c r="CC37" s="744"/>
      <c r="CD37" s="717">
        <f>MATCH($A37,Table!$A:$A,0)+$BX$2-1</f>
        <v>493</v>
      </c>
      <c r="CE37" s="744"/>
      <c r="CF37" s="744"/>
      <c r="CG37" s="744"/>
      <c r="CH37" s="711" t="s">
        <v>302</v>
      </c>
      <c r="CI37" s="712">
        <f t="shared" ca="1" si="0"/>
        <v>3719.1357421874995</v>
      </c>
      <c r="CJ37" s="712">
        <f t="shared" ca="1" si="85"/>
        <v>1907.22392578125</v>
      </c>
      <c r="CK37" s="712">
        <f t="shared" ref="CK37" ca="1" si="134">CI37-CJ37</f>
        <v>1811.9118164062495</v>
      </c>
      <c r="CL37" s="718">
        <f t="shared" ref="CL37" ca="1" si="135">CJ37/CI37</f>
        <v>0.5128137443726295</v>
      </c>
      <c r="CM37" s="712">
        <f ca="1">SUMIF('Alloc Feed'!A:I,A:A,'Alloc Feed'!I:I)</f>
        <v>3274.6648447265625</v>
      </c>
      <c r="CN37" s="718">
        <f t="shared" ca="1" si="133"/>
        <v>0.88049081069584445</v>
      </c>
    </row>
    <row r="38" spans="1:92" s="743" customFormat="1" x14ac:dyDescent="0.25">
      <c r="A38" s="703">
        <v>41725</v>
      </c>
      <c r="B38" s="709">
        <f ca="1">IF(ISERROR(MATCH(B$1,INDIRECT("Table!A"&amp;$BV38):INDIRECT("Table!" &amp; $CH$110 &amp; $BV38),0)),"",INDIRECT(CONCATENATE("Table!",ADDRESS($BR38,MATCH(B$1,INDIRECT("Table!A" &amp; $BV38):INDIRECT("Table!" &amp; $CH$110 &amp; $BV38),0)))))/1024</f>
        <v>101.59218749999999</v>
      </c>
      <c r="C38" s="709">
        <f ca="1">IF(ISERROR(MATCH(C$1,INDIRECT("Table!A"&amp;$BV38):INDIRECT("Table!" &amp; $CH$110 &amp; $BV38),0)),"",INDIRECT(CONCATENATE("Table!",ADDRESS($BR38,MATCH(C$1,INDIRECT("Table!A" &amp; $BV38):INDIRECT("Table!" &amp; $CH$110 &amp; $BV38),0)))))/1024</f>
        <v>81.294042968750006</v>
      </c>
      <c r="D38" s="709">
        <f ca="1">IF(ISERROR(MATCH(D$1,INDIRECT("Table!A"&amp;$BV38):INDIRECT("Table!" &amp; $CH$110 &amp; $BV38),0)),"",INDIRECT(CONCATENATE("Table!",ADDRESS($BR38,MATCH(D$1,INDIRECT("Table!A" &amp; $BV38):INDIRECT("Table!" &amp; $CH$110 &amp; $BV38),0)))))/1024</f>
        <v>82.604589843750006</v>
      </c>
      <c r="E38" s="709">
        <f ca="1">IF(ISERROR(MATCH(E$1,INDIRECT("Table!A"&amp;$BV38):INDIRECT("Table!" &amp; $CH$110 &amp; $BV38),0)),"",INDIRECT(CONCATENATE("Table!",ADDRESS($BR38,MATCH(E$1,INDIRECT("Table!A" &amp; $BV38):INDIRECT("Table!" &amp; $CH$110 &amp; $BV38),0)))))/1024</f>
        <v>146.44570312499999</v>
      </c>
      <c r="F38" s="709">
        <f ca="1">IF(ISERROR(MATCH(F$1,INDIRECT("Table!A"&amp;$BV38):INDIRECT("Table!" &amp; $CH$110 &amp; $BV38),0)),"",INDIRECT(CONCATENATE("Table!",ADDRESS($BR38,MATCH(F$1,INDIRECT("Table!A" &amp; $BV38):INDIRECT("Table!" &amp; $CH$110 &amp; $BV38),0)))))/1024</f>
        <v>111.87558593750001</v>
      </c>
      <c r="G38" s="709">
        <f ca="1">IF(ISERROR(MATCH(G$1,INDIRECT("Table!A"&amp;$BV38):INDIRECT("Table!" &amp; $CH$110 &amp; $BV38),0)),"",INDIRECT(CONCATENATE("Table!",ADDRESS($BR38,MATCH(G$1,INDIRECT("Table!A" &amp; $BV38):INDIRECT("Table!" &amp; $CH$110 &amp; $BV38),0)))))/1024</f>
        <v>200.751953125</v>
      </c>
      <c r="H38" s="709">
        <f ca="1">IF(ISERROR(MATCH(H$1,INDIRECT("Table!A"&amp;$BV38):INDIRECT("Table!" &amp; $CH$110 &amp; $BV38),0)),"",INDIRECT(CONCATENATE("Table!",ADDRESS($BR38,MATCH(H$1,INDIRECT("Table!A" &amp; $BV38):INDIRECT("Table!" &amp; $CH$110 &amp; $BV38),0)))))/1024</f>
        <v>117.17031249999999</v>
      </c>
      <c r="I38" s="709">
        <f ca="1">IF(ISERROR(MATCH(I$1,INDIRECT("Table!A"&amp;$BV38):INDIRECT("Table!" &amp; $CH$110 &amp; $BV38),0)),"",INDIRECT(CONCATENATE("Table!",ADDRESS($BR38,MATCH(I$1,INDIRECT("Table!A" &amp; $BV38):INDIRECT("Table!" &amp; $CH$110 &amp; $BV38),0)))))/1024</f>
        <v>21.793164062500001</v>
      </c>
      <c r="J38" s="709">
        <f ca="1">IF(ISERROR(MATCH(J$1,INDIRECT("Table!A"&amp;$BV38):INDIRECT("Table!" &amp; $CH$110 &amp; $BV38),0)),"",INDIRECT(CONCATENATE("Table!",ADDRESS($BR38,MATCH(J$1,INDIRECT("Table!A" &amp; $BV38):INDIRECT("Table!" &amp; $CH$110 &amp; $BV38),0)))))/1024</f>
        <v>73.8017578125</v>
      </c>
      <c r="K38" s="709">
        <f ca="1">IF(ISERROR(MATCH(K$1,INDIRECT("Table!A"&amp;$BV38):INDIRECT("Table!" &amp; $CH$110 &amp; $BV38),0)),"",INDIRECT(CONCATENATE("Table!",ADDRESS($BR38,MATCH(K$1,INDIRECT("Table!A" &amp; $BV38):INDIRECT("Table!" &amp; $CH$110 &amp; $BV38),0)))))/1024</f>
        <v>30.833886718750001</v>
      </c>
      <c r="L38" s="709">
        <f ca="1">IF(ISERROR(MATCH(L$1,INDIRECT("Table!A"&amp;$BV38):INDIRECT("Table!" &amp; $CH$110 &amp; $BV38),0)),"",INDIRECT(CONCATENATE("Table!",ADDRESS($BR38,MATCH(L$1,INDIRECT("Table!A" &amp; $BV38):INDIRECT("Table!" &amp; $CH$110 &amp; $BV38),0)))))/1024</f>
        <v>154.52978515625</v>
      </c>
      <c r="M38" s="709">
        <f ca="1">IF(ISERROR(MATCH(M$1,INDIRECT("Table!A"&amp;$BV38):INDIRECT("Table!" &amp; $CH$110 &amp; $BV38),0)),"",INDIRECT(CONCATENATE("Table!",ADDRESS($BR38,MATCH(M$1,INDIRECT("Table!A" &amp; $BV38):INDIRECT("Table!" &amp; $CH$110 &amp; $BV38),0)))))/1024</f>
        <v>198.68447265624999</v>
      </c>
      <c r="N38" s="709">
        <f ca="1">IF(ISERROR(MATCH(N$1,INDIRECT("Table!A"&amp;$BV38):INDIRECT("Table!" &amp; $CH$110 &amp; $BV38),0)),"",INDIRECT(CONCATENATE("Table!",ADDRESS($BR38,MATCH(N$1,INDIRECT("Table!A" &amp; $BV38):INDIRECT("Table!" &amp; $CH$110 &amp; $BV38),0)))))/1024</f>
        <v>57.9677734375</v>
      </c>
      <c r="O38" s="709">
        <f ca="1">IF(ISERROR(MATCH(O$1,INDIRECT("Table!A"&amp;$BV38):INDIRECT("Table!" &amp; $CH$110 &amp; $BV38),0)),"",INDIRECT(CONCATENATE("Table!",ADDRESS($BR38,MATCH(O$1,INDIRECT("Table!A" &amp; $BV38):INDIRECT("Table!" &amp; $CH$110 &amp; $BV38),0)))))/1024</f>
        <v>215.91884765624999</v>
      </c>
      <c r="P38" s="709">
        <f ca="1">IF(ISERROR(MATCH(P$1,INDIRECT("Table!A"&amp;$BV38):INDIRECT("Table!" &amp; $CH$110 &amp; $BV38),0)),"",INDIRECT(CONCATENATE("Table!",ADDRESS($BR38,MATCH(P$1,INDIRECT("Table!A" &amp; $BV38):INDIRECT("Table!" &amp; $CH$110 &amp; $BV38),0)))))/1024</f>
        <v>42.105761718750003</v>
      </c>
      <c r="Q38" s="709">
        <f ca="1">IF(ISERROR(MATCH(Q$1,INDIRECT("Table!A"&amp;$BV38):INDIRECT("Table!" &amp; $CH$110 &amp; $BV38),0)),"",INDIRECT(CONCATENATE("Table!",ADDRESS($BR38,MATCH(Q$1,INDIRECT("Table!A" &amp; $BV38):INDIRECT("Table!" &amp; $CH$110 &amp; $BV38),0)))))/1024</f>
        <v>112.81865234375</v>
      </c>
      <c r="R38" s="709">
        <f ca="1">IF(ISERROR(MATCH(R$1,INDIRECT("Table!A"&amp;$BV38):INDIRECT("Table!" &amp; $CH$110 &amp; $BV38),0)),"",INDIRECT(CONCATENATE("Table!",ADDRESS($BR38,MATCH(R$1,INDIRECT("Table!A" &amp; $BV38):INDIRECT("Table!" &amp; $CH$110 &amp; $BV38),0)))))/1024</f>
        <v>117.219921875</v>
      </c>
      <c r="S38" s="709">
        <v>0</v>
      </c>
      <c r="T38" s="709">
        <f ca="1">IF(ISERROR(MATCH(T$1,INDIRECT("Table!A"&amp;$BV38):INDIRECT("Table!" &amp; $CH$65 &amp; $BV38),0)),"",INDIRECT(CONCATENATE("Table!",ADDRESS($BR38,MATCH(T$1,INDIRECT("Table!A" &amp; $BV38):INDIRECT("Table!" &amp; $CH$65 &amp; $BV38),0)))))/1024</f>
        <v>7.14794921875</v>
      </c>
      <c r="U38" s="709">
        <f ca="1">IF(ISERROR(MATCH(U$1,INDIRECT("Table!A"&amp;$BV38):INDIRECT("Table!" &amp; $CH$65 &amp; $BV38),0)),"",INDIRECT(CONCATENATE("Table!",ADDRESS($BR38,MATCH(U$1,INDIRECT("Table!A" &amp; $BV38):INDIRECT("Table!" &amp; $CH$65 &amp; $BV38),0)))))/1024</f>
        <v>6.1315429687499998</v>
      </c>
      <c r="V38" s="709">
        <f ca="1">IF(ISERROR(MATCH(V$1,INDIRECT("Table!A"&amp;$BV38):INDIRECT("Table!" &amp; $CH$65 &amp; $BV38),0)),"",INDIRECT(CONCATENATE("Table!",ADDRESS($BR38,MATCH(V$1,INDIRECT("Table!A" &amp; $BV38):INDIRECT("Table!" &amp; $CH$65 &amp; $BV38),0)))))/1024</f>
        <v>12.262988281249999</v>
      </c>
      <c r="W38" s="905"/>
      <c r="X38" s="905"/>
      <c r="Y38" s="905"/>
      <c r="Z38" s="905"/>
      <c r="AA38" s="905"/>
      <c r="AB38" s="905"/>
      <c r="AC38" s="905"/>
      <c r="AD38" s="905"/>
      <c r="AE38" s="905"/>
      <c r="AF38" s="905"/>
      <c r="AG38" s="905"/>
      <c r="AH38" s="905"/>
      <c r="AI38" s="709" t="str">
        <f ca="1">IF(ISERROR(MATCH(AI$1,INDIRECT("Table!A"&amp;$BV38):INDIRECT("Table!" &amp; $CH$110 &amp; $BV38),0)),"",INDIRECT(CONCATENATE("Table!",ADDRESS($BR38,MATCH(AI$1,INDIRECT("Table!A" &amp; $BV38):INDIRECT("Table!" &amp; $CH$110 &amp; $BV38),0)))))</f>
        <v/>
      </c>
      <c r="AJ38" s="709">
        <f ca="1">IF(ISERROR(MATCH(AJ$1,INDIRECT("Table!A"&amp;$BV38):INDIRECT("Table!" &amp; $CH$110 &amp; $BV38),0)),"",INDIRECT(CONCATENATE("Table!",ADDRESS($BZ38,MATCH(AJ$1,INDIRECT("Table!A" &amp; $BV38):INDIRECT("Table!" &amp; $CH$110 &amp; $BV38),0)))))/1024</f>
        <v>244.15859374999999</v>
      </c>
      <c r="AK38" s="709">
        <f ca="1">IF(ISERROR(MATCH(AK$1,INDIRECT("Table!A"&amp;$BV38):INDIRECT("Table!" &amp; $CH$110 &amp; $BV38),0)),"",INDIRECT(CONCATENATE("Table!",ADDRESS($BZ38,MATCH(AK$1,INDIRECT("Table!A" &amp; $BV38):INDIRECT("Table!" &amp; $CH$110 &amp; $BV38),0)))))/1024</f>
        <v>146.98896484375001</v>
      </c>
      <c r="AL38" s="709">
        <f ca="1">IF(ISERROR(MATCH(AL$1,INDIRECT("Table!A"&amp;$BV38):INDIRECT("Table!" &amp; $CH$110 &amp; $BV38),0)),"",INDIRECT(CONCATENATE("Table!",ADDRESS($BZ38,MATCH(AL$1,INDIRECT("Table!A" &amp; $BV38):INDIRECT("Table!" &amp; $CH$110 &amp; $BV38),0)))))/1024</f>
        <v>146.98896484375001</v>
      </c>
      <c r="AM38" s="709">
        <f ca="1">IF(ISERROR(MATCH(AM$1,INDIRECT("Table!A"&amp;$BV38):INDIRECT("Table!" &amp; $CH$110 &amp; $BV38),0)),"",INDIRECT(CONCATENATE("Table!",ADDRESS($BZ38,MATCH(AM$1,INDIRECT("Table!A" &amp; $BV38):INDIRECT("Table!" &amp; $CH$110 &amp; $BV38),0)))))/1024</f>
        <v>177.73320312499999</v>
      </c>
      <c r="AN38" s="709">
        <f ca="1">IF(ISERROR(MATCH(AN$1,INDIRECT("Table!A"&amp;$BV38):INDIRECT("Table!" &amp; $CH$110 &amp; $BV38),0)),"",INDIRECT(CONCATENATE("Table!",ADDRESS($BZ38,MATCH(AN$1,INDIRECT("Table!A" &amp; $BV38):INDIRECT("Table!" &amp; $CH$110 &amp; $BV38),0)))))/1024</f>
        <v>161.88056640625001</v>
      </c>
      <c r="AO38" s="709">
        <f ca="1">IF(ISERROR(MATCH(AO$1,INDIRECT("Table!A"&amp;$BV38):INDIRECT("Table!" &amp; $CH$110 &amp; $BV38),0)),"",INDIRECT(CONCATENATE("Table!",ADDRESS($BZ38,MATCH(AO$1,INDIRECT("Table!A" &amp; $BV38):INDIRECT("Table!" &amp; $CH$110 &amp; $BV38),0)))))/1024</f>
        <v>380.3759765625</v>
      </c>
      <c r="AP38" s="709">
        <f ca="1">IF(ISERROR(MATCH(AP$1,INDIRECT("Table!A"&amp;$BV38):INDIRECT("Table!" &amp; $CH$110 &amp; $BV38),0)),"",INDIRECT(CONCATENATE("Table!",ADDRESS($BZ38,MATCH(AP$1,INDIRECT("Table!A" &amp; $BV38):INDIRECT("Table!" &amp; $CH$110 &amp; $BV38),0)))))/1024</f>
        <v>167.94482421875</v>
      </c>
      <c r="AQ38" s="709">
        <f ca="1">IF(ISERROR(MATCH(AQ$1,INDIRECT("Table!A"&amp;$BV38):INDIRECT("Table!" &amp; $CH$110 &amp; $BV38),0)),"",INDIRECT(CONCATENATE("Table!",ADDRESS($BZ38,MATCH(AQ$1,INDIRECT("Table!A" &amp; $BV38):INDIRECT("Table!" &amp; $CH$110 &amp; $BV38),0)))))/1024</f>
        <v>162.18544921874999</v>
      </c>
      <c r="AR38" s="709">
        <f ca="1">IF(ISERROR(MATCH(AR$1,INDIRECT("Table!A"&amp;$BV38):INDIRECT("Table!" &amp; $CH$110 &amp; $BV38),0)),"",INDIRECT(CONCATENATE("Table!",ADDRESS($BZ38,MATCH(AR$1,INDIRECT("Table!A" &amp; $BV38):INDIRECT("Table!" &amp; $CH$110 &amp; $BV38),0)))))/1024</f>
        <v>121.1125</v>
      </c>
      <c r="AS38" s="709">
        <f ca="1">IF(ISERROR(MATCH(AS$1,INDIRECT("Table!A"&amp;$BV38):INDIRECT("Table!" &amp; $CH$110 &amp; $BV38),0)),"",INDIRECT(CONCATENATE("Table!",ADDRESS($BZ38,MATCH(AS$1,INDIRECT("Table!A" &amp; $BV38):INDIRECT("Table!" &amp; $CH$110 &amp; $BV38),0)))))/1024</f>
        <v>218.81953125000001</v>
      </c>
      <c r="AT38" s="709">
        <f ca="1">IF(ISERROR(MATCH(AT$1,INDIRECT("Table!A"&amp;$BV38):INDIRECT("Table!" &amp; $CH$110 &amp; $BV38),0)),"",INDIRECT(CONCATENATE("Table!",ADDRESS($BZ38,MATCH(AT$1,INDIRECT("Table!A" &amp; $BV38):INDIRECT("Table!" &amp; $CH$110 &amp; $BV38),0)))))/1024</f>
        <v>188.50498046875001</v>
      </c>
      <c r="AU38" s="709">
        <f ca="1">IF(ISERROR(MATCH(AU$1,INDIRECT("Table!A"&amp;$BV38):INDIRECT("Table!" &amp; $CH$110 &amp; $BV38),0)),"",INDIRECT(CONCATENATE("Table!",ADDRESS($BZ38,MATCH(AU$1,INDIRECT("Table!A" &amp; $BV38):INDIRECT("Table!" &amp; $CH$110 &amp; $BV38),0)))))/1024</f>
        <v>427.94912109375002</v>
      </c>
      <c r="AV38" s="709">
        <f ca="1">IF(ISERROR(MATCH(AV$1,INDIRECT("Table!A"&amp;$BV38):INDIRECT("Table!" &amp; $CH$110 &amp; $BV38),0)),"",INDIRECT(CONCATENATE("Table!",ADDRESS($BZ38,MATCH(AV$1,INDIRECT("Table!A" &amp; $BV38):INDIRECT("Table!" &amp; $CH$110 &amp; $BV38),0)))))/1024</f>
        <v>81.092578125000003</v>
      </c>
      <c r="AW38" s="709">
        <f ca="1">IF(ISERROR(MATCH(AW$1,INDIRECT("Table!A"&amp;$BV38):INDIRECT("Table!" &amp; $CH$110 &amp; $BV38),0)),"",INDIRECT(CONCATENATE("Table!",ADDRESS($BZ38,MATCH(AW$1,INDIRECT("Table!A" &amp; $BV38):INDIRECT("Table!" &amp; $CH$110 &amp; $BV38),0)))))/1024</f>
        <v>269.65859375000002</v>
      </c>
      <c r="AX38" s="709">
        <f ca="1">IF(ISERROR(MATCH(AX$1,INDIRECT("Table!A"&amp;$BV38):INDIRECT("Table!" &amp; $CH$110 &amp; $BV38),0)),"",INDIRECT(CONCATENATE("Table!",ADDRESS($BZ38,MATCH(AX$1,INDIRECT("Table!A" &amp; $BV38):INDIRECT("Table!" &amp; $CH$110 &amp; $BV38),0)))))/1024</f>
        <v>81.092578125000003</v>
      </c>
      <c r="AY38" s="709">
        <f ca="1">IF(ISERROR(MATCH(AY$1,INDIRECT("Table!A"&amp;$BV38):INDIRECT("Table!" &amp; $CH$110 &amp; $BV38),0)),"",INDIRECT(CONCATENATE("Table!",ADDRESS($BZ38,MATCH(AY$1,INDIRECT("Table!A" &amp; $BV38):INDIRECT("Table!" &amp; $CH$110 &amp; $BV38),0)))))/1024</f>
        <v>187.12714843750001</v>
      </c>
      <c r="AZ38" s="709">
        <f ca="1">IF(ISERROR(MATCH(AZ$1,INDIRECT("Table!A"&amp;$BV38):INDIRECT("Table!" &amp; $CH$110 &amp; $BV38),0)),"",INDIRECT(CONCATENATE("Table!",ADDRESS($BZ38,MATCH(AZ$1,INDIRECT("Table!A" &amp; $BV38):INDIRECT("Table!" &amp; $CH$110 &amp; $BV38),0)))))/1024</f>
        <v>218.81953125000001</v>
      </c>
      <c r="BA38" s="709"/>
      <c r="BB38" s="709">
        <f ca="1">IF(ISERROR(MATCH(BB$1,INDIRECT("Table!A"&amp;$BV38):INDIRECT("Table!" &amp; $CH$110 &amp; $BV38),0)),"",INDIRECT(CONCATENATE("Table!",ADDRESS($BZ38,MATCH(BB$1,INDIRECT("Table!A" &amp; $BV38):INDIRECT("Table!" &amp; $CH$110 &amp; $BV38),0)))))/1024</f>
        <v>32.31494140625</v>
      </c>
      <c r="BC38" s="709">
        <f ca="1">IF(ISERROR(MATCH(BC$1,INDIRECT("Table!A"&amp;$BV38):INDIRECT("Table!" &amp; $CH$110 &amp; $BV38),0)),"",INDIRECT(CONCATENATE("Table!",ADDRESS($BZ38,MATCH(BC$1,INDIRECT("Table!A" &amp; $BV38):INDIRECT("Table!" &amp; $CH$110 &amp; $BV38),0)))))/1024</f>
        <v>99.80126953125</v>
      </c>
      <c r="BD38" s="709">
        <f ca="1">IF(ISERROR(MATCH(BD$1,INDIRECT("Table!A"&amp;$BV38):INDIRECT("Table!" &amp; $CH$110 &amp; $BV38),0)),"",INDIRECT(CONCATENATE("Table!",ADDRESS($BZ38,MATCH(BD$1,INDIRECT("Table!A" &amp; $BV38):INDIRECT("Table!" &amp; $CH$110 &amp; $BV38),0)))))/1024</f>
        <v>204.58642578125</v>
      </c>
      <c r="BE38" s="905"/>
      <c r="BF38" s="905"/>
      <c r="BG38" s="905"/>
      <c r="BH38" s="905"/>
      <c r="BI38" s="905"/>
      <c r="BJ38" s="905"/>
      <c r="BK38" s="905"/>
      <c r="BL38" s="905"/>
      <c r="BM38" s="905"/>
      <c r="BN38" s="905"/>
      <c r="BO38" s="905"/>
      <c r="BP38" s="905"/>
      <c r="BQ38" s="905"/>
      <c r="BR38" s="704">
        <f>MATCH($A38,Table!$A:$A,0)+$BT$2-1</f>
        <v>509</v>
      </c>
      <c r="BS38" s="744"/>
      <c r="BT38" s="744"/>
      <c r="BU38" s="744"/>
      <c r="BV38" s="717">
        <f>MATCH($A38,Table!$A:$A,0)+$BX$2-1</f>
        <v>507</v>
      </c>
      <c r="BW38" s="744"/>
      <c r="BX38" s="744"/>
      <c r="BY38" s="744"/>
      <c r="BZ38" s="704">
        <f>MATCH($A38,Table!$A:$A,0)+$CB$2-1</f>
        <v>508</v>
      </c>
      <c r="CA38" s="744"/>
      <c r="CB38" s="744"/>
      <c r="CC38" s="744"/>
      <c r="CD38" s="717">
        <f>MATCH($A38,Table!$A:$A,0)+$BX$2-1</f>
        <v>507</v>
      </c>
      <c r="CE38" s="744"/>
      <c r="CF38" s="744"/>
      <c r="CG38" s="744"/>
      <c r="CH38" s="711" t="s">
        <v>302</v>
      </c>
      <c r="CI38" s="712">
        <f t="shared" ca="1" si="0"/>
        <v>3719.1357421874995</v>
      </c>
      <c r="CJ38" s="712">
        <f t="shared" ca="1" si="85"/>
        <v>1892.95087890625</v>
      </c>
      <c r="CK38" s="712">
        <f t="shared" ca="1" si="131"/>
        <v>1826.1848632812496</v>
      </c>
      <c r="CL38" s="718">
        <f t="shared" ca="1" si="132"/>
        <v>0.50897601220461641</v>
      </c>
      <c r="CM38" s="712">
        <f ca="1">SUMIF('Alloc Feed'!A:I,A:A,'Alloc Feed'!I:I)</f>
        <v>3274.6648447265625</v>
      </c>
      <c r="CN38" s="718">
        <f t="shared" ca="1" si="133"/>
        <v>0.88049081069584445</v>
      </c>
    </row>
    <row r="39" spans="1:92" s="743" customFormat="1" x14ac:dyDescent="0.25">
      <c r="A39" s="703">
        <v>41709</v>
      </c>
      <c r="B39" s="709">
        <f ca="1">IF(ISERROR(MATCH(B$1,INDIRECT("Table!A"&amp;$BV39):INDIRECT("Table!" &amp; $CH$110 &amp; $BV39),0)),"",INDIRECT(CONCATENATE("Table!",ADDRESS($BR39,MATCH(B$1,INDIRECT("Table!A" &amp; $BV39):INDIRECT("Table!" &amp; $CH$110 &amp; $BV39),0)))))/1024</f>
        <v>98.920605468749997</v>
      </c>
      <c r="C39" s="709">
        <f ca="1">IF(ISERROR(MATCH(C$1,INDIRECT("Table!A"&amp;$BV39):INDIRECT("Table!" &amp; $CH$110 &amp; $BV39),0)),"",INDIRECT(CONCATENATE("Table!",ADDRESS($BR39,MATCH(C$1,INDIRECT("Table!A" &amp; $BV39):INDIRECT("Table!" &amp; $CH$110 &amp; $BV39),0)))))/1024</f>
        <v>81.162011718749994</v>
      </c>
      <c r="D39" s="709">
        <f ca="1">IF(ISERROR(MATCH(D$1,INDIRECT("Table!A"&amp;$BV39):INDIRECT("Table!" &amp; $CH$110 &amp; $BV39),0)),"",INDIRECT(CONCATENATE("Table!",ADDRESS($BR39,MATCH(D$1,INDIRECT("Table!A" &amp; $BV39):INDIRECT("Table!" &amp; $CH$110 &amp; $BV39),0)))))/1024</f>
        <v>82.472753906250006</v>
      </c>
      <c r="E39" s="709">
        <f ca="1">IF(ISERROR(MATCH(E$1,INDIRECT("Table!A"&amp;$BV39):INDIRECT("Table!" &amp; $CH$110 &amp; $BV39),0)),"",INDIRECT(CONCATENATE("Table!",ADDRESS($BR39,MATCH(E$1,INDIRECT("Table!A" &amp; $BV39):INDIRECT("Table!" &amp; $CH$110 &amp; $BV39),0)))))/1024</f>
        <v>143.61767578125</v>
      </c>
      <c r="F39" s="709">
        <f ca="1">IF(ISERROR(MATCH(F$1,INDIRECT("Table!A"&amp;$BV39):INDIRECT("Table!" &amp; $CH$110 &amp; $BV39),0)),"",INDIRECT(CONCATENATE("Table!",ADDRESS($BR39,MATCH(F$1,INDIRECT("Table!A" &amp; $BV39):INDIRECT("Table!" &amp; $CH$110 &amp; $BV39),0)))))/1024</f>
        <v>111.87607421875001</v>
      </c>
      <c r="G39" s="709">
        <f ca="1">IF(ISERROR(MATCH(G$1,INDIRECT("Table!A"&amp;$BV39):INDIRECT("Table!" &amp; $CH$110 &amp; $BV39),0)),"",INDIRECT(CONCATENATE("Table!",ADDRESS($BR39,MATCH(G$1,INDIRECT("Table!A" &amp; $BV39):INDIRECT("Table!" &amp; $CH$110 &amp; $BV39),0)))))/1024</f>
        <v>198.34580078125001</v>
      </c>
      <c r="H39" s="709">
        <f ca="1">IF(ISERROR(MATCH(H$1,INDIRECT("Table!A"&amp;$BV39):INDIRECT("Table!" &amp; $CH$110 &amp; $BV39),0)),"",INDIRECT(CONCATENATE("Table!",ADDRESS($BR39,MATCH(H$1,INDIRECT("Table!A" &amp; $BV39):INDIRECT("Table!" &amp; $CH$110 &amp; $BV39),0)))))/1024</f>
        <v>115.678515625</v>
      </c>
      <c r="I39" s="709">
        <f ca="1">IF(ISERROR(MATCH(I$1,INDIRECT("Table!A"&amp;$BV39):INDIRECT("Table!" &amp; $CH$110 &amp; $BV39),0)),"",INDIRECT(CONCATENATE("Table!",ADDRESS($BR39,MATCH(I$1,INDIRECT("Table!A" &amp; $BV39):INDIRECT("Table!" &amp; $CH$110 &amp; $BV39),0)))))/1024</f>
        <v>20.66943359375</v>
      </c>
      <c r="J39" s="709">
        <f ca="1">IF(ISERROR(MATCH(J$1,INDIRECT("Table!A"&amp;$BV39):INDIRECT("Table!" &amp; $CH$110 &amp; $BV39),0)),"",INDIRECT(CONCATENATE("Table!",ADDRESS($BR39,MATCH(J$1,INDIRECT("Table!A" &amp; $BV39):INDIRECT("Table!" &amp; $CH$110 &amp; $BV39),0)))))/1024</f>
        <v>63.880273437500001</v>
      </c>
      <c r="K39" s="709">
        <f ca="1">IF(ISERROR(MATCH(K$1,INDIRECT("Table!A"&amp;$BV39):INDIRECT("Table!" &amp; $CH$110 &amp; $BV39),0)),"",INDIRECT(CONCATENATE("Table!",ADDRESS($BR39,MATCH(K$1,INDIRECT("Table!A" &amp; $BV39):INDIRECT("Table!" &amp; $CH$110 &amp; $BV39),0)))))/1024</f>
        <v>25.176367187499999</v>
      </c>
      <c r="L39" s="709">
        <f ca="1">IF(ISERROR(MATCH(L$1,INDIRECT("Table!A"&amp;$BV39):INDIRECT("Table!" &amp; $CH$110 &amp; $BV39),0)),"",INDIRECT(CONCATENATE("Table!",ADDRESS($BR39,MATCH(L$1,INDIRECT("Table!A" &amp; $BV39):INDIRECT("Table!" &amp; $CH$110 &amp; $BV39),0)))))/1024</f>
        <v>152.73935546875001</v>
      </c>
      <c r="M39" s="709">
        <f ca="1">IF(ISERROR(MATCH(M$1,INDIRECT("Table!A"&amp;$BV39):INDIRECT("Table!" &amp; $CH$110 &amp; $BV39),0)),"",INDIRECT(CONCATENATE("Table!",ADDRESS($BR39,MATCH(M$1,INDIRECT("Table!A" &amp; $BV39):INDIRECT("Table!" &amp; $CH$110 &amp; $BV39),0)))))/1024</f>
        <v>197.25283203124999</v>
      </c>
      <c r="N39" s="709">
        <f ca="1">IF(ISERROR(MATCH(N$1,INDIRECT("Table!A"&amp;$BV39):INDIRECT("Table!" &amp; $CH$110 &amp; $BV39),0)),"",INDIRECT(CONCATENATE("Table!",ADDRESS($BR39,MATCH(N$1,INDIRECT("Table!A" &amp; $BV39):INDIRECT("Table!" &amp; $CH$110 &amp; $BV39),0)))))/1024</f>
        <v>57.7646484375</v>
      </c>
      <c r="O39" s="709">
        <f ca="1">IF(ISERROR(MATCH(O$1,INDIRECT("Table!A"&amp;$BV39):INDIRECT("Table!" &amp; $CH$110 &amp; $BV39),0)),"",INDIRECT(CONCATENATE("Table!",ADDRESS($BR39,MATCH(O$1,INDIRECT("Table!A" &amp; $BV39):INDIRECT("Table!" &amp; $CH$110 &amp; $BV39),0)))))/1024</f>
        <v>213.25019531250001</v>
      </c>
      <c r="P39" s="709">
        <f ca="1">IF(ISERROR(MATCH(P$1,INDIRECT("Table!A"&amp;$BV39):INDIRECT("Table!" &amp; $CH$110 &amp; $BV39),0)),"",INDIRECT(CONCATENATE("Table!",ADDRESS($BR39,MATCH(P$1,INDIRECT("Table!A" &amp; $BV39):INDIRECT("Table!" &amp; $CH$110 &amp; $BV39),0)))))/1024</f>
        <v>39.866894531249997</v>
      </c>
      <c r="Q39" s="709">
        <f ca="1">IF(ISERROR(MATCH(Q$1,INDIRECT("Table!A"&amp;$BV39):INDIRECT("Table!" &amp; $CH$110 &amp; $BV39),0)),"",INDIRECT(CONCATENATE("Table!",ADDRESS($BR39,MATCH(Q$1,INDIRECT("Table!A" &amp; $BV39):INDIRECT("Table!" &amp; $CH$110 &amp; $BV39),0)))))/1024</f>
        <v>104.95761718750001</v>
      </c>
      <c r="R39" s="709">
        <f ca="1">IF(ISERROR(MATCH(R$1,INDIRECT("Table!A"&amp;$BV39):INDIRECT("Table!" &amp; $CH$110 &amp; $BV39),0)),"",INDIRECT(CONCATENATE("Table!",ADDRESS($BR39,MATCH(R$1,INDIRECT("Table!A" &amp; $BV39):INDIRECT("Table!" &amp; $CH$110 &amp; $BV39),0)))))/1024</f>
        <v>112.92685546875001</v>
      </c>
      <c r="S39" s="709">
        <v>0</v>
      </c>
      <c r="T39" s="709">
        <f ca="1">IF(ISERROR(MATCH(T$1,INDIRECT("Table!A"&amp;$BV39):INDIRECT("Table!" &amp; $CH$65 &amp; $BV39),0)),"",INDIRECT(CONCATENATE("Table!",ADDRESS($BR39,MATCH(T$1,INDIRECT("Table!A" &amp; $BV39):INDIRECT("Table!" &amp; $CH$65 &amp; $BV39),0)))))/1024</f>
        <v>7.14794921875</v>
      </c>
      <c r="U39" s="709">
        <f ca="1">IF(ISERROR(MATCH(U$1,INDIRECT("Table!A"&amp;$BV39):INDIRECT("Table!" &amp; $CH$65 &amp; $BV39),0)),"",INDIRECT(CONCATENATE("Table!",ADDRESS($BR39,MATCH(U$1,INDIRECT("Table!A" &amp; $BV39):INDIRECT("Table!" &amp; $CH$65 &amp; $BV39),0)))))/1024</f>
        <v>3.1356445312500001</v>
      </c>
      <c r="V39" s="709">
        <f ca="1">IF(ISERROR(MATCH(V$1,INDIRECT("Table!A"&amp;$BV39):INDIRECT("Table!" &amp; $CH$65 &amp; $BV39),0)),"",INDIRECT(CONCATENATE("Table!",ADDRESS($BR39,MATCH(V$1,INDIRECT("Table!A" &amp; $BV39):INDIRECT("Table!" &amp; $CH$65 &amp; $BV39),0)))))/1024</f>
        <v>6.2710937500000004</v>
      </c>
      <c r="W39" s="905"/>
      <c r="X39" s="905"/>
      <c r="Y39" s="905"/>
      <c r="Z39" s="905"/>
      <c r="AA39" s="905"/>
      <c r="AB39" s="905"/>
      <c r="AC39" s="905"/>
      <c r="AD39" s="905"/>
      <c r="AE39" s="905"/>
      <c r="AF39" s="905"/>
      <c r="AG39" s="905"/>
      <c r="AH39" s="905"/>
      <c r="AI39" s="709" t="str">
        <f ca="1">IF(ISERROR(MATCH(AI$1,INDIRECT("Table!A"&amp;$BV39):INDIRECT("Table!" &amp; $CH$110 &amp; $BV39),0)),"",INDIRECT(CONCATENATE("Table!",ADDRESS($BR39,MATCH(AI$1,INDIRECT("Table!A" &amp; $BV39):INDIRECT("Table!" &amp; $CH$110 &amp; $BV39),0)))))</f>
        <v/>
      </c>
      <c r="AJ39" s="709">
        <f ca="1">IF(ISERROR(MATCH(AJ$1,INDIRECT("Table!A"&amp;$BV39):INDIRECT("Table!" &amp; $CH$110 &amp; $BV39),0)),"",INDIRECT(CONCATENATE("Table!",ADDRESS($BZ39,MATCH(AJ$1,INDIRECT("Table!A" &amp; $BV39):INDIRECT("Table!" &amp; $CH$110 &amp; $BV39),0)))))/1024</f>
        <v>244.15859374999999</v>
      </c>
      <c r="AK39" s="709">
        <f ca="1">IF(ISERROR(MATCH(AK$1,INDIRECT("Table!A"&amp;$BV39):INDIRECT("Table!" &amp; $CH$110 &amp; $BV39),0)),"",INDIRECT(CONCATENATE("Table!",ADDRESS($BZ39,MATCH(AK$1,INDIRECT("Table!A" &amp; $BV39):INDIRECT("Table!" &amp; $CH$110 &amp; $BV39),0)))))/1024</f>
        <v>146.98896484375001</v>
      </c>
      <c r="AL39" s="709">
        <f ca="1">IF(ISERROR(MATCH(AL$1,INDIRECT("Table!A"&amp;$BV39):INDIRECT("Table!" &amp; $CH$110 &amp; $BV39),0)),"",INDIRECT(CONCATENATE("Table!",ADDRESS($BZ39,MATCH(AL$1,INDIRECT("Table!A" &amp; $BV39):INDIRECT("Table!" &amp; $CH$110 &amp; $BV39),0)))))/1024</f>
        <v>146.98896484375001</v>
      </c>
      <c r="AM39" s="709">
        <f ca="1">IF(ISERROR(MATCH(AM$1,INDIRECT("Table!A"&amp;$BV39):INDIRECT("Table!" &amp; $CH$110 &amp; $BV39),0)),"",INDIRECT(CONCATENATE("Table!",ADDRESS($BZ39,MATCH(AM$1,INDIRECT("Table!A" &amp; $BV39):INDIRECT("Table!" &amp; $CH$110 &amp; $BV39),0)))))/1024</f>
        <v>177.73320312499999</v>
      </c>
      <c r="AN39" s="709">
        <f ca="1">IF(ISERROR(MATCH(AN$1,INDIRECT("Table!A"&amp;$BV39):INDIRECT("Table!" &amp; $CH$110 &amp; $BV39),0)),"",INDIRECT(CONCATENATE("Table!",ADDRESS($BZ39,MATCH(AN$1,INDIRECT("Table!A" &amp; $BV39):INDIRECT("Table!" &amp; $CH$110 &amp; $BV39),0)))))/1024</f>
        <v>161.88056640625001</v>
      </c>
      <c r="AO39" s="709">
        <f ca="1">IF(ISERROR(MATCH(AO$1,INDIRECT("Table!A"&amp;$BV39):INDIRECT("Table!" &amp; $CH$110 &amp; $BV39),0)),"",INDIRECT(CONCATENATE("Table!",ADDRESS($BZ39,MATCH(AO$1,INDIRECT("Table!A" &amp; $BV39):INDIRECT("Table!" &amp; $CH$110 &amp; $BV39),0)))))/1024</f>
        <v>380.3759765625</v>
      </c>
      <c r="AP39" s="709">
        <f ca="1">IF(ISERROR(MATCH(AP$1,INDIRECT("Table!A"&amp;$BV39):INDIRECT("Table!" &amp; $CH$110 &amp; $BV39),0)),"",INDIRECT(CONCATENATE("Table!",ADDRESS($BZ39,MATCH(AP$1,INDIRECT("Table!A" &amp; $BV39):INDIRECT("Table!" &amp; $CH$110 &amp; $BV39),0)))))/1024</f>
        <v>167.94482421875</v>
      </c>
      <c r="AQ39" s="709">
        <f ca="1">IF(ISERROR(MATCH(AQ$1,INDIRECT("Table!A"&amp;$BV39):INDIRECT("Table!" &amp; $CH$110 &amp; $BV39),0)),"",INDIRECT(CONCATENATE("Table!",ADDRESS($BZ39,MATCH(AQ$1,INDIRECT("Table!A" &amp; $BV39):INDIRECT("Table!" &amp; $CH$110 &amp; $BV39),0)))))/1024</f>
        <v>162.18544921874999</v>
      </c>
      <c r="AR39" s="709">
        <f ca="1">IF(ISERROR(MATCH(AR$1,INDIRECT("Table!A"&amp;$BV39):INDIRECT("Table!" &amp; $CH$110 &amp; $BV39),0)),"",INDIRECT(CONCATENATE("Table!",ADDRESS($BZ39,MATCH(AR$1,INDIRECT("Table!A" &amp; $BV39):INDIRECT("Table!" &amp; $CH$110 &amp; $BV39),0)))))/1024</f>
        <v>121.1125</v>
      </c>
      <c r="AS39" s="709">
        <f ca="1">IF(ISERROR(MATCH(AS$1,INDIRECT("Table!A"&amp;$BV39):INDIRECT("Table!" &amp; $CH$110 &amp; $BV39),0)),"",INDIRECT(CONCATENATE("Table!",ADDRESS($BZ39,MATCH(AS$1,INDIRECT("Table!A" &amp; $BV39):INDIRECT("Table!" &amp; $CH$110 &amp; $BV39),0)))))/1024</f>
        <v>218.81953125000001</v>
      </c>
      <c r="AT39" s="709">
        <f ca="1">IF(ISERROR(MATCH(AT$1,INDIRECT("Table!A"&amp;$BV39):INDIRECT("Table!" &amp; $CH$110 &amp; $BV39),0)),"",INDIRECT(CONCATENATE("Table!",ADDRESS($BZ39,MATCH(AT$1,INDIRECT("Table!A" &amp; $BV39):INDIRECT("Table!" &amp; $CH$110 &amp; $BV39),0)))))/1024</f>
        <v>188.50498046875001</v>
      </c>
      <c r="AU39" s="709">
        <f ca="1">IF(ISERROR(MATCH(AU$1,INDIRECT("Table!A"&amp;$BV39):INDIRECT("Table!" &amp; $CH$110 &amp; $BV39),0)),"",INDIRECT(CONCATENATE("Table!",ADDRESS($BZ39,MATCH(AU$1,INDIRECT("Table!A" &amp; $BV39):INDIRECT("Table!" &amp; $CH$110 &amp; $BV39),0)))))/1024</f>
        <v>427.94912109375002</v>
      </c>
      <c r="AV39" s="709">
        <f ca="1">IF(ISERROR(MATCH(AV$1,INDIRECT("Table!A"&amp;$BV39):INDIRECT("Table!" &amp; $CH$110 &amp; $BV39),0)),"",INDIRECT(CONCATENATE("Table!",ADDRESS($BZ39,MATCH(AV$1,INDIRECT("Table!A" &amp; $BV39):INDIRECT("Table!" &amp; $CH$110 &amp; $BV39),0)))))/1024</f>
        <v>81.092578125000003</v>
      </c>
      <c r="AW39" s="709">
        <f ca="1">IF(ISERROR(MATCH(AW$1,INDIRECT("Table!A"&amp;$BV39):INDIRECT("Table!" &amp; $CH$110 &amp; $BV39),0)),"",INDIRECT(CONCATENATE("Table!",ADDRESS($BZ39,MATCH(AW$1,INDIRECT("Table!A" &amp; $BV39):INDIRECT("Table!" &amp; $CH$110 &amp; $BV39),0)))))/1024</f>
        <v>269.65859375000002</v>
      </c>
      <c r="AX39" s="709">
        <f ca="1">IF(ISERROR(MATCH(AX$1,INDIRECT("Table!A"&amp;$BV39):INDIRECT("Table!" &amp; $CH$110 &amp; $BV39),0)),"",INDIRECT(CONCATENATE("Table!",ADDRESS($BZ39,MATCH(AX$1,INDIRECT("Table!A" &amp; $BV39):INDIRECT("Table!" &amp; $CH$110 &amp; $BV39),0)))))/1024</f>
        <v>81.092578125000003</v>
      </c>
      <c r="AY39" s="709">
        <f ca="1">IF(ISERROR(MATCH(AY$1,INDIRECT("Table!A"&amp;$BV39):INDIRECT("Table!" &amp; $CH$110 &amp; $BV39),0)),"",INDIRECT(CONCATENATE("Table!",ADDRESS($BZ39,MATCH(AY$1,INDIRECT("Table!A" &amp; $BV39):INDIRECT("Table!" &amp; $CH$110 &amp; $BV39),0)))))/1024</f>
        <v>187.12714843750001</v>
      </c>
      <c r="AZ39" s="709">
        <f ca="1">IF(ISERROR(MATCH(AZ$1,INDIRECT("Table!A"&amp;$BV39):INDIRECT("Table!" &amp; $CH$110 &amp; $BV39),0)),"",INDIRECT(CONCATENATE("Table!",ADDRESS($BZ39,MATCH(AZ$1,INDIRECT("Table!A" &amp; $BV39):INDIRECT("Table!" &amp; $CH$110 &amp; $BV39),0)))))/1024</f>
        <v>218.81953125000001</v>
      </c>
      <c r="BA39" s="709"/>
      <c r="BB39" s="709">
        <f ca="1">IF(ISERROR(MATCH(BB$1,INDIRECT("Table!A"&amp;$BV39):INDIRECT("Table!" &amp; $CH$110 &amp; $BV39),0)),"",INDIRECT(CONCATENATE("Table!",ADDRESS($BZ39,MATCH(BB$1,INDIRECT("Table!A" &amp; $BV39):INDIRECT("Table!" &amp; $CH$110 &amp; $BV39),0)))))/1024</f>
        <v>32.31494140625</v>
      </c>
      <c r="BC39" s="709">
        <f ca="1">IF(ISERROR(MATCH(BC$1,INDIRECT("Table!A"&amp;$BV39):INDIRECT("Table!" &amp; $CH$110 &amp; $BV39),0)),"",INDIRECT(CONCATENATE("Table!",ADDRESS($BZ39,MATCH(BC$1,INDIRECT("Table!A" &amp; $BV39):INDIRECT("Table!" &amp; $CH$110 &amp; $BV39),0)))))/1024</f>
        <v>99.80126953125</v>
      </c>
      <c r="BD39" s="709">
        <f ca="1">IF(ISERROR(MATCH(BD$1,INDIRECT("Table!A"&amp;$BV39):INDIRECT("Table!" &amp; $CH$110 &amp; $BV39),0)),"",INDIRECT(CONCATENATE("Table!",ADDRESS($BZ39,MATCH(BD$1,INDIRECT("Table!A" &amp; $BV39):INDIRECT("Table!" &amp; $CH$110 &amp; $BV39),0)))))/1024</f>
        <v>204.58642578125</v>
      </c>
      <c r="BE39" s="905"/>
      <c r="BF39" s="905"/>
      <c r="BG39" s="905"/>
      <c r="BH39" s="905"/>
      <c r="BI39" s="905"/>
      <c r="BJ39" s="905"/>
      <c r="BK39" s="905"/>
      <c r="BL39" s="905"/>
      <c r="BM39" s="905"/>
      <c r="BN39" s="905"/>
      <c r="BO39" s="905"/>
      <c r="BP39" s="905"/>
      <c r="BQ39" s="905"/>
      <c r="BR39" s="704">
        <f>MATCH($A39,Table!$A:$A,0)+$BT$2-1</f>
        <v>523</v>
      </c>
      <c r="BS39" s="744"/>
      <c r="BT39" s="744"/>
      <c r="BU39" s="744"/>
      <c r="BV39" s="717">
        <f>MATCH($A39,Table!$A:$A,0)+$BX$2-1</f>
        <v>521</v>
      </c>
      <c r="BW39" s="744"/>
      <c r="BX39" s="744"/>
      <c r="BY39" s="744"/>
      <c r="BZ39" s="704">
        <f>MATCH($A39,Table!$A:$A,0)+$CB$2-1</f>
        <v>522</v>
      </c>
      <c r="CA39" s="744"/>
      <c r="CB39" s="744"/>
      <c r="CC39" s="744"/>
      <c r="CD39" s="717">
        <f>MATCH($A39,Table!$A:$A,0)+$BX$2-1</f>
        <v>521</v>
      </c>
      <c r="CE39" s="744"/>
      <c r="CF39" s="744"/>
      <c r="CG39" s="744"/>
      <c r="CH39" s="711" t="s">
        <v>302</v>
      </c>
      <c r="CI39" s="712">
        <f t="shared" ca="1" si="0"/>
        <v>3719.1357421874995</v>
      </c>
      <c r="CJ39" s="712">
        <f t="shared" ca="1" si="85"/>
        <v>1837.11259765625</v>
      </c>
      <c r="CK39" s="712">
        <f t="shared" ca="1" si="131"/>
        <v>1882.0231445312495</v>
      </c>
      <c r="CL39" s="718">
        <f t="shared" ca="1" si="132"/>
        <v>0.49396223343429457</v>
      </c>
      <c r="CM39" s="712">
        <f ca="1">SUMIF('Alloc Feed'!A:I,A:A,'Alloc Feed'!I:I)</f>
        <v>3241.8368671875</v>
      </c>
      <c r="CN39" s="718">
        <f t="shared" ca="1" si="133"/>
        <v>0.87166403484932642</v>
      </c>
    </row>
    <row r="40" spans="1:92" s="591" customFormat="1" x14ac:dyDescent="0.25">
      <c r="A40" s="703">
        <v>41704</v>
      </c>
      <c r="B40" s="709">
        <f ca="1">IF(ISERROR(MATCH(B$1,INDIRECT("Table!A"&amp;$BV40):INDIRECT("Table!" &amp; $CH$110 &amp; $BV40),0)),"",INDIRECT(CONCATENATE("Table!",ADDRESS($BR40,MATCH(B$1,INDIRECT("Table!A" &amp; $BV40):INDIRECT("Table!" &amp; $CH$110 &amp; $BV40),0)))))/1024</f>
        <v>98.359667968750003</v>
      </c>
      <c r="C40" s="709">
        <f ca="1">IF(ISERROR(MATCH(C$1,INDIRECT("Table!A"&amp;$BV40):INDIRECT("Table!" &amp; $CH$110 &amp; $BV40),0)),"",INDIRECT(CONCATENATE("Table!",ADDRESS($BR40,MATCH(C$1,INDIRECT("Table!A" &amp; $BV40):INDIRECT("Table!" &amp; $CH$110 &amp; $BV40),0)))))/1024</f>
        <v>80.8115234375</v>
      </c>
      <c r="D40" s="709">
        <f ca="1">IF(ISERROR(MATCH(D$1,INDIRECT("Table!A"&amp;$BV40):INDIRECT("Table!" &amp; $CH$110 &amp; $BV40),0)),"",INDIRECT(CONCATENATE("Table!",ADDRESS($BR40,MATCH(D$1,INDIRECT("Table!A" &amp; $BV40):INDIRECT("Table!" &amp; $CH$110 &amp; $BV40),0)))))/1024</f>
        <v>82.1220703125</v>
      </c>
      <c r="E40" s="709">
        <f ca="1">IF(ISERROR(MATCH(E$1,INDIRECT("Table!A"&amp;$BV40):INDIRECT("Table!" &amp; $CH$110 &amp; $BV40),0)),"",INDIRECT(CONCATENATE("Table!",ADDRESS($BR40,MATCH(E$1,INDIRECT("Table!A" &amp; $BV40):INDIRECT("Table!" &amp; $CH$110 &amp; $BV40),0)))))/1024</f>
        <v>153.16572265625001</v>
      </c>
      <c r="F40" s="709">
        <f ca="1">IF(ISERROR(MATCH(F$1,INDIRECT("Table!A"&amp;$BV40):INDIRECT("Table!" &amp; $CH$110 &amp; $BV40),0)),"",INDIRECT(CONCATENATE("Table!",ADDRESS($BR40,MATCH(F$1,INDIRECT("Table!A" &amp; $BV40):INDIRECT("Table!" &amp; $CH$110 &amp; $BV40),0)))))/1024</f>
        <v>111.580078125</v>
      </c>
      <c r="G40" s="709">
        <f ca="1">IF(ISERROR(MATCH(G$1,INDIRECT("Table!A"&amp;$BV40):INDIRECT("Table!" &amp; $CH$110 &amp; $BV40),0)),"",INDIRECT(CONCATENATE("Table!",ADDRESS($BR40,MATCH(G$1,INDIRECT("Table!A" &amp; $BV40):INDIRECT("Table!" &amp; $CH$110 &amp; $BV40),0)))))/1024</f>
        <v>197.80830078125001</v>
      </c>
      <c r="H40" s="709">
        <f ca="1">IF(ISERROR(MATCH(H$1,INDIRECT("Table!A"&amp;$BV40):INDIRECT("Table!" &amp; $CH$110 &amp; $BV40),0)),"",INDIRECT(CONCATENATE("Table!",ADDRESS($BR40,MATCH(H$1,INDIRECT("Table!A" &amp; $BV40):INDIRECT("Table!" &amp; $CH$110 &amp; $BV40),0)))))/1024</f>
        <v>115.51035156250001</v>
      </c>
      <c r="I40" s="709">
        <f ca="1">IF(ISERROR(MATCH(I$1,INDIRECT("Table!A"&amp;$BV40):INDIRECT("Table!" &amp; $CH$110 &amp; $BV40),0)),"",INDIRECT(CONCATENATE("Table!",ADDRESS($BR40,MATCH(I$1,INDIRECT("Table!A" &amp; $BV40):INDIRECT("Table!" &amp; $CH$110 &amp; $BV40),0)))))/1024</f>
        <v>19.685449218750001</v>
      </c>
      <c r="J40" s="709">
        <f ca="1">IF(ISERROR(MATCH(J$1,INDIRECT("Table!A"&amp;$BV40):INDIRECT("Table!" &amp; $CH$110 &amp; $BV40),0)),"",INDIRECT(CONCATENATE("Table!",ADDRESS($BR40,MATCH(J$1,INDIRECT("Table!A" &amp; $BV40):INDIRECT("Table!" &amp; $CH$110 &amp; $BV40),0)))))/1024</f>
        <v>63.6982421875</v>
      </c>
      <c r="K40" s="709">
        <f ca="1">IF(ISERROR(MATCH(K$1,INDIRECT("Table!A"&amp;$BV40):INDIRECT("Table!" &amp; $CH$110 &amp; $BV40),0)),"",INDIRECT(CONCATENATE("Table!",ADDRESS($BR40,MATCH(K$1,INDIRECT("Table!A" &amp; $BV40):INDIRECT("Table!" &amp; $CH$110 &amp; $BV40),0)))))/1024</f>
        <v>23.697070312499999</v>
      </c>
      <c r="L40" s="709">
        <f ca="1">IF(ISERROR(MATCH(L$1,INDIRECT("Table!A"&amp;$BV40):INDIRECT("Table!" &amp; $CH$110 &amp; $BV40),0)),"",INDIRECT(CONCATENATE("Table!",ADDRESS($BR40,MATCH(L$1,INDIRECT("Table!A" &amp; $BV40):INDIRECT("Table!" &amp; $CH$110 &amp; $BV40),0)))))/1024</f>
        <v>164.81494140625</v>
      </c>
      <c r="M40" s="709">
        <f ca="1">IF(ISERROR(MATCH(M$1,INDIRECT("Table!A"&amp;$BV40):INDIRECT("Table!" &amp; $CH$110 &amp; $BV40),0)),"",INDIRECT(CONCATENATE("Table!",ADDRESS($BR40,MATCH(M$1,INDIRECT("Table!A" &amp; $BV40):INDIRECT("Table!" &amp; $CH$110 &amp; $BV40),0)))))/1024</f>
        <v>195.720703125</v>
      </c>
      <c r="N40" s="709">
        <f ca="1">IF(ISERROR(MATCH(N$1,INDIRECT("Table!A"&amp;$BV40):INDIRECT("Table!" &amp; $CH$110 &amp; $BV40),0)),"",INDIRECT(CONCATENATE("Table!",ADDRESS($BR40,MATCH(N$1,INDIRECT("Table!A" &amp; $BV40):INDIRECT("Table!" &amp; $CH$110 &amp; $BV40),0)))))/1024</f>
        <v>57.601464843750001</v>
      </c>
      <c r="O40" s="709">
        <f ca="1">IF(ISERROR(MATCH(O$1,INDIRECT("Table!A"&amp;$BV40):INDIRECT("Table!" &amp; $CH$110 &amp; $BV40),0)),"",INDIRECT(CONCATENATE("Table!",ADDRESS($BR40,MATCH(O$1,INDIRECT("Table!A" &amp; $BV40):INDIRECT("Table!" &amp; $CH$110 &amp; $BV40),0)))))/1024</f>
        <v>212.91005859374999</v>
      </c>
      <c r="P40" s="709">
        <f ca="1">IF(ISERROR(MATCH(P$1,INDIRECT("Table!A"&amp;$BV40):INDIRECT("Table!" &amp; $CH$110 &amp; $BV40),0)),"",INDIRECT(CONCATENATE("Table!",ADDRESS($BR40,MATCH(P$1,INDIRECT("Table!A" &amp; $BV40):INDIRECT("Table!" &amp; $CH$110 &amp; $BV40),0)))))/1024</f>
        <v>37.909374999999997</v>
      </c>
      <c r="Q40" s="709">
        <f ca="1">IF(ISERROR(MATCH(Q$1,INDIRECT("Table!A"&amp;$BV40):INDIRECT("Table!" &amp; $CH$110 &amp; $BV40),0)),"",INDIRECT(CONCATENATE("Table!",ADDRESS($BR40,MATCH(Q$1,INDIRECT("Table!A" &amp; $BV40):INDIRECT("Table!" &amp; $CH$110 &amp; $BV40),0)))))/1024</f>
        <v>104.5927734375</v>
      </c>
      <c r="R40" s="709">
        <f ca="1">IF(ISERROR(MATCH(R$1,INDIRECT("Table!A"&amp;$BV40):INDIRECT("Table!" &amp; $CH$110 &amp; $BV40),0)),"",INDIRECT(CONCATENATE("Table!",ADDRESS($BR40,MATCH(R$1,INDIRECT("Table!A" &amp; $BV40):INDIRECT("Table!" &amp; $CH$110 &amp; $BV40),0)))))/1024</f>
        <v>109.4412109375</v>
      </c>
      <c r="S40" s="709">
        <v>0</v>
      </c>
      <c r="T40" s="709">
        <f ca="1">IF(ISERROR(MATCH(T$1,INDIRECT("Table!A"&amp;$BV40):INDIRECT("Table!" &amp; $CH$65 &amp; $BV40),0)),"",INDIRECT(CONCATENATE("Table!",ADDRESS($BR40,MATCH(T$1,INDIRECT("Table!A" &amp; $BV40):INDIRECT("Table!" &amp; $CH$65 &amp; $BV40),0)))))/1024</f>
        <v>7.14794921875</v>
      </c>
      <c r="U40" s="709">
        <f ca="1">IF(ISERROR(MATCH(U$1,INDIRECT("Table!A"&amp;$BV40):INDIRECT("Table!" &amp; $CH$65 &amp; $BV40),0)),"",INDIRECT(CONCATENATE("Table!",ADDRESS($BR40,MATCH(U$1,INDIRECT("Table!A" &amp; $BV40):INDIRECT("Table!" &amp; $CH$65 &amp; $BV40),0)))))/1024</f>
        <v>3.1247070312499998</v>
      </c>
      <c r="V40" s="709">
        <f ca="1">IF(ISERROR(MATCH(V$1,INDIRECT("Table!A"&amp;$BV40):INDIRECT("Table!" &amp; $CH$65 &amp; $BV40),0)),"",INDIRECT(CONCATENATE("Table!",ADDRESS($BR40,MATCH(V$1,INDIRECT("Table!A" &amp; $BV40):INDIRECT("Table!" &amp; $CH$65 &amp; $BV40),0)))))/1024</f>
        <v>6.2493164062500002</v>
      </c>
      <c r="W40" s="905"/>
      <c r="X40" s="905"/>
      <c r="Y40" s="905"/>
      <c r="Z40" s="905"/>
      <c r="AA40" s="905"/>
      <c r="AB40" s="905"/>
      <c r="AC40" s="905"/>
      <c r="AD40" s="905"/>
      <c r="AE40" s="905"/>
      <c r="AF40" s="905"/>
      <c r="AG40" s="905"/>
      <c r="AH40" s="905"/>
      <c r="AI40" s="709" t="str">
        <f ca="1">IF(ISERROR(MATCH(AI$1,INDIRECT("Table!A"&amp;$BV40):INDIRECT("Table!" &amp; $CH$110 &amp; $BV40),0)),"",INDIRECT(CONCATENATE("Table!",ADDRESS($BR40,MATCH(AI$1,INDIRECT("Table!A" &amp; $BV40):INDIRECT("Table!" &amp; $CH$110 &amp; $BV40),0)))))</f>
        <v/>
      </c>
      <c r="AJ40" s="709">
        <f ca="1">IF(ISERROR(MATCH(AJ$1,INDIRECT("Table!A"&amp;$BV40):INDIRECT("Table!" &amp; $CH$110 &amp; $BV40),0)),"",INDIRECT(CONCATENATE("Table!",ADDRESS($BZ40,MATCH(AJ$1,INDIRECT("Table!A" &amp; $BV40):INDIRECT("Table!" &amp; $CH$110 &amp; $BV40),0)))))/1024</f>
        <v>244.15859374999999</v>
      </c>
      <c r="AK40" s="709">
        <f ca="1">IF(ISERROR(MATCH(AK$1,INDIRECT("Table!A"&amp;$BV40):INDIRECT("Table!" &amp; $CH$110 &amp; $BV40),0)),"",INDIRECT(CONCATENATE("Table!",ADDRESS($BZ40,MATCH(AK$1,INDIRECT("Table!A" &amp; $BV40):INDIRECT("Table!" &amp; $CH$110 &amp; $BV40),0)))))/1024</f>
        <v>146.98896484375001</v>
      </c>
      <c r="AL40" s="709">
        <f ca="1">IF(ISERROR(MATCH(AL$1,INDIRECT("Table!A"&amp;$BV40):INDIRECT("Table!" &amp; $CH$110 &amp; $BV40),0)),"",INDIRECT(CONCATENATE("Table!",ADDRESS($BZ40,MATCH(AL$1,INDIRECT("Table!A" &amp; $BV40):INDIRECT("Table!" &amp; $CH$110 &amp; $BV40),0)))))/1024</f>
        <v>146.98896484375001</v>
      </c>
      <c r="AM40" s="709">
        <f ca="1">IF(ISERROR(MATCH(AM$1,INDIRECT("Table!A"&amp;$BV40):INDIRECT("Table!" &amp; $CH$110 &amp; $BV40),0)),"",INDIRECT(CONCATENATE("Table!",ADDRESS($BZ40,MATCH(AM$1,INDIRECT("Table!A" &amp; $BV40):INDIRECT("Table!" &amp; $CH$110 &amp; $BV40),0)))))/1024</f>
        <v>177.73320312499999</v>
      </c>
      <c r="AN40" s="709">
        <f ca="1">IF(ISERROR(MATCH(AN$1,INDIRECT("Table!A"&amp;$BV40):INDIRECT("Table!" &amp; $CH$110 &amp; $BV40),0)),"",INDIRECT(CONCATENATE("Table!",ADDRESS($BZ40,MATCH(AN$1,INDIRECT("Table!A" &amp; $BV40):INDIRECT("Table!" &amp; $CH$110 &amp; $BV40),0)))))/1024</f>
        <v>161.88056640625001</v>
      </c>
      <c r="AO40" s="709">
        <f ca="1">IF(ISERROR(MATCH(AO$1,INDIRECT("Table!A"&amp;$BV40):INDIRECT("Table!" &amp; $CH$110 &amp; $BV40),0)),"",INDIRECT(CONCATENATE("Table!",ADDRESS($BZ40,MATCH(AO$1,INDIRECT("Table!A" &amp; $BV40):INDIRECT("Table!" &amp; $CH$110 &amp; $BV40),0)))))/1024</f>
        <v>380.3759765625</v>
      </c>
      <c r="AP40" s="709">
        <f ca="1">IF(ISERROR(MATCH(AP$1,INDIRECT("Table!A"&amp;$BV40):INDIRECT("Table!" &amp; $CH$110 &amp; $BV40),0)),"",INDIRECT(CONCATENATE("Table!",ADDRESS($BZ40,MATCH(AP$1,INDIRECT("Table!A" &amp; $BV40):INDIRECT("Table!" &amp; $CH$110 &amp; $BV40),0)))))/1024</f>
        <v>167.94482421875</v>
      </c>
      <c r="AQ40" s="709">
        <f ca="1">IF(ISERROR(MATCH(AQ$1,INDIRECT("Table!A"&amp;$BV40):INDIRECT("Table!" &amp; $CH$110 &amp; $BV40),0)),"",INDIRECT(CONCATENATE("Table!",ADDRESS($BZ40,MATCH(AQ$1,INDIRECT("Table!A" &amp; $BV40):INDIRECT("Table!" &amp; $CH$110 &amp; $BV40),0)))))/1024</f>
        <v>162.18544921874999</v>
      </c>
      <c r="AR40" s="709">
        <f ca="1">IF(ISERROR(MATCH(AR$1,INDIRECT("Table!A"&amp;$BV40):INDIRECT("Table!" &amp; $CH$110 &amp; $BV40),0)),"",INDIRECT(CONCATENATE("Table!",ADDRESS($BZ40,MATCH(AR$1,INDIRECT("Table!A" &amp; $BV40):INDIRECT("Table!" &amp; $CH$110 &amp; $BV40),0)))))/1024</f>
        <v>121.1125</v>
      </c>
      <c r="AS40" s="709">
        <f ca="1">IF(ISERROR(MATCH(AS$1,INDIRECT("Table!A"&amp;$BV40):INDIRECT("Table!" &amp; $CH$110 &amp; $BV40),0)),"",INDIRECT(CONCATENATE("Table!",ADDRESS($BZ40,MATCH(AS$1,INDIRECT("Table!A" &amp; $BV40):INDIRECT("Table!" &amp; $CH$110 &amp; $BV40),0)))))/1024</f>
        <v>218.81953125000001</v>
      </c>
      <c r="AT40" s="709">
        <f ca="1">IF(ISERROR(MATCH(AT$1,INDIRECT("Table!A"&amp;$BV40):INDIRECT("Table!" &amp; $CH$110 &amp; $BV40),0)),"",INDIRECT(CONCATENATE("Table!",ADDRESS($BZ40,MATCH(AT$1,INDIRECT("Table!A" &amp; $BV40):INDIRECT("Table!" &amp; $CH$110 &amp; $BV40),0)))))/1024</f>
        <v>188.50498046875001</v>
      </c>
      <c r="AU40" s="709">
        <f ca="1">IF(ISERROR(MATCH(AU$1,INDIRECT("Table!A"&amp;$BV40):INDIRECT("Table!" &amp; $CH$110 &amp; $BV40),0)),"",INDIRECT(CONCATENATE("Table!",ADDRESS($BZ40,MATCH(AU$1,INDIRECT("Table!A" &amp; $BV40):INDIRECT("Table!" &amp; $CH$110 &amp; $BV40),0)))))/1024</f>
        <v>427.94912109375002</v>
      </c>
      <c r="AV40" s="709">
        <f ca="1">IF(ISERROR(MATCH(AV$1,INDIRECT("Table!A"&amp;$BV40):INDIRECT("Table!" &amp; $CH$110 &amp; $BV40),0)),"",INDIRECT(CONCATENATE("Table!",ADDRESS($BZ40,MATCH(AV$1,INDIRECT("Table!A" &amp; $BV40):INDIRECT("Table!" &amp; $CH$110 &amp; $BV40),0)))))/1024</f>
        <v>81.092578125000003</v>
      </c>
      <c r="AW40" s="709">
        <f ca="1">IF(ISERROR(MATCH(AW$1,INDIRECT("Table!A"&amp;$BV40):INDIRECT("Table!" &amp; $CH$110 &amp; $BV40),0)),"",INDIRECT(CONCATENATE("Table!",ADDRESS($BZ40,MATCH(AW$1,INDIRECT("Table!A" &amp; $BV40):INDIRECT("Table!" &amp; $CH$110 &amp; $BV40),0)))))/1024</f>
        <v>269.65859375000002</v>
      </c>
      <c r="AX40" s="709">
        <f ca="1">IF(ISERROR(MATCH(AX$1,INDIRECT("Table!A"&amp;$BV40):INDIRECT("Table!" &amp; $CH$110 &amp; $BV40),0)),"",INDIRECT(CONCATENATE("Table!",ADDRESS($BZ40,MATCH(AX$1,INDIRECT("Table!A" &amp; $BV40):INDIRECT("Table!" &amp; $CH$110 &amp; $BV40),0)))))/1024</f>
        <v>81.092578125000003</v>
      </c>
      <c r="AY40" s="709">
        <f ca="1">IF(ISERROR(MATCH(AY$1,INDIRECT("Table!A"&amp;$BV40):INDIRECT("Table!" &amp; $CH$110 &amp; $BV40),0)),"",INDIRECT(CONCATENATE("Table!",ADDRESS($BZ40,MATCH(AY$1,INDIRECT("Table!A" &amp; $BV40):INDIRECT("Table!" &amp; $CH$110 &amp; $BV40),0)))))/1024</f>
        <v>187.12714843750001</v>
      </c>
      <c r="AZ40" s="709">
        <f ca="1">IF(ISERROR(MATCH(AZ$1,INDIRECT("Table!A"&amp;$BV40):INDIRECT("Table!" &amp; $CH$110 &amp; $BV40),0)),"",INDIRECT(CONCATENATE("Table!",ADDRESS($BZ40,MATCH(AZ$1,INDIRECT("Table!A" &amp; $BV40):INDIRECT("Table!" &amp; $CH$110 &amp; $BV40),0)))))/1024</f>
        <v>218.81953125000001</v>
      </c>
      <c r="BA40" s="709"/>
      <c r="BB40" s="709">
        <f ca="1">IF(ISERROR(MATCH(BB$1,INDIRECT("Table!A"&amp;$BV40):INDIRECT("Table!" &amp; $CH$110 &amp; $BV40),0)),"",INDIRECT(CONCATENATE("Table!",ADDRESS($BZ40,MATCH(BB$1,INDIRECT("Table!A" &amp; $BV40):INDIRECT("Table!" &amp; $CH$110 &amp; $BV40),0)))))/1024</f>
        <v>32.31494140625</v>
      </c>
      <c r="BC40" s="709">
        <f ca="1">IF(ISERROR(MATCH(BC$1,INDIRECT("Table!A"&amp;$BV40):INDIRECT("Table!" &amp; $CH$110 &amp; $BV40),0)),"",INDIRECT(CONCATENATE("Table!",ADDRESS($BZ40,MATCH(BC$1,INDIRECT("Table!A" &amp; $BV40):INDIRECT("Table!" &amp; $CH$110 &amp; $BV40),0)))))/1024</f>
        <v>99.80126953125</v>
      </c>
      <c r="BD40" s="709">
        <f ca="1">IF(ISERROR(MATCH(BD$1,INDIRECT("Table!A"&amp;$BV40):INDIRECT("Table!" &amp; $CH$110 &amp; $BV40),0)),"",INDIRECT(CONCATENATE("Table!",ADDRESS($BZ40,MATCH(BD$1,INDIRECT("Table!A" &amp; $BV40):INDIRECT("Table!" &amp; $CH$110 &amp; $BV40),0)))))/1024</f>
        <v>204.58642578125</v>
      </c>
      <c r="BE40" s="905"/>
      <c r="BF40" s="905"/>
      <c r="BG40" s="905"/>
      <c r="BH40" s="905"/>
      <c r="BI40" s="905"/>
      <c r="BJ40" s="905"/>
      <c r="BK40" s="905"/>
      <c r="BL40" s="905"/>
      <c r="BM40" s="905"/>
      <c r="BN40" s="905"/>
      <c r="BO40" s="905"/>
      <c r="BP40" s="905"/>
      <c r="BQ40" s="905"/>
      <c r="BR40" s="704">
        <f>MATCH($A40,Table!$A:$A,0)+$BT$2-1</f>
        <v>537</v>
      </c>
      <c r="BS40" s="705"/>
      <c r="BT40" s="705"/>
      <c r="BU40" s="705"/>
      <c r="BV40" s="717">
        <f>MATCH($A40,Table!$A:$A,0)+$BX$2-1</f>
        <v>535</v>
      </c>
      <c r="BW40" s="705"/>
      <c r="BX40" s="705"/>
      <c r="BY40" s="705"/>
      <c r="BZ40" s="704">
        <f>MATCH($A40,Table!$A:$A,0)+$CB$2-1</f>
        <v>536</v>
      </c>
      <c r="CA40" s="705"/>
      <c r="CB40" s="705"/>
      <c r="CC40" s="705"/>
      <c r="CD40" s="717">
        <f>MATCH($A40,Table!$A:$A,0)+$BX$2-1</f>
        <v>535</v>
      </c>
      <c r="CE40" s="705"/>
      <c r="CF40" s="705"/>
      <c r="CG40" s="705"/>
      <c r="CH40" s="711" t="s">
        <v>302</v>
      </c>
      <c r="CI40" s="712">
        <f t="shared" ca="1" si="0"/>
        <v>3719.1357421874995</v>
      </c>
      <c r="CJ40" s="712">
        <f t="shared" ca="1" si="85"/>
        <v>1845.9509765624998</v>
      </c>
      <c r="CK40" s="712">
        <f t="shared" ca="1" si="131"/>
        <v>1873.1847656249997</v>
      </c>
      <c r="CL40" s="718">
        <f t="shared" ca="1" si="132"/>
        <v>0.49633869385922419</v>
      </c>
      <c r="CM40" s="712">
        <f ca="1">SUMIF('Alloc Feed'!A:I,A:A,'Alloc Feed'!I:I)</f>
        <v>3233.4734707031248</v>
      </c>
      <c r="CN40" s="718">
        <f t="shared" ca="1" si="133"/>
        <v>0.86941528754238995</v>
      </c>
    </row>
    <row r="41" spans="1:92" s="591" customFormat="1" x14ac:dyDescent="0.25">
      <c r="A41" s="703">
        <v>41703</v>
      </c>
      <c r="B41" s="709">
        <f ca="1">IF(ISERROR(MATCH(B$1,INDIRECT("Table!A"&amp;$BV41):INDIRECT("Table!" &amp; $CH$110 &amp; $BV41),0)),"",INDIRECT(CONCATENATE("Table!",ADDRESS($BR41,MATCH(B$1,INDIRECT("Table!A" &amp; $BV41):INDIRECT("Table!" &amp; $CH$110 &amp; $BV41),0)))))/1024</f>
        <v>98.325976562500003</v>
      </c>
      <c r="C41" s="709">
        <f ca="1">IF(ISERROR(MATCH(C$1,INDIRECT("Table!A"&amp;$BV41):INDIRECT("Table!" &amp; $CH$110 &amp; $BV41),0)),"",INDIRECT(CONCATENATE("Table!",ADDRESS($BR41,MATCH(C$1,INDIRECT("Table!A" &amp; $BV41):INDIRECT("Table!" &amp; $CH$110 &amp; $BV41),0)))))/1024</f>
        <v>80.810351562500003</v>
      </c>
      <c r="D41" s="709">
        <f ca="1">IF(ISERROR(MATCH(D$1,INDIRECT("Table!A"&amp;$BV41):INDIRECT("Table!" &amp; $CH$110 &amp; $BV41),0)),"",INDIRECT(CONCATENATE("Table!",ADDRESS($BR41,MATCH(D$1,INDIRECT("Table!A" &amp; $BV41):INDIRECT("Table!" &amp; $CH$110 &amp; $BV41),0)))))/1024</f>
        <v>82.120996093749994</v>
      </c>
      <c r="E41" s="709">
        <f ca="1">IF(ISERROR(MATCH(E$1,INDIRECT("Table!A"&amp;$BV41):INDIRECT("Table!" &amp; $CH$110 &amp; $BV41),0)),"",INDIRECT(CONCATENATE("Table!",ADDRESS($BR41,MATCH(E$1,INDIRECT("Table!A" &amp; $BV41):INDIRECT("Table!" &amp; $CH$110 &amp; $BV41),0)))))/1024</f>
        <v>153.13261718749999</v>
      </c>
      <c r="F41" s="709">
        <f ca="1">IF(ISERROR(MATCH(F$1,INDIRECT("Table!A"&amp;$BV41):INDIRECT("Table!" &amp; $CH$110 &amp; $BV41),0)),"",INDIRECT(CONCATENATE("Table!",ADDRESS($BR41,MATCH(F$1,INDIRECT("Table!A" &amp; $BV41):INDIRECT("Table!" &amp; $CH$110 &amp; $BV41),0)))))/1024</f>
        <v>111.35419921875</v>
      </c>
      <c r="G41" s="709">
        <f ca="1">IF(ISERROR(MATCH(G$1,INDIRECT("Table!A"&amp;$BV41):INDIRECT("Table!" &amp; $CH$110 &amp; $BV41),0)),"",INDIRECT(CONCATENATE("Table!",ADDRESS($BR41,MATCH(G$1,INDIRECT("Table!A" &amp; $BV41):INDIRECT("Table!" &amp; $CH$110 &amp; $BV41),0)))))/1024</f>
        <v>197.61572265625</v>
      </c>
      <c r="H41" s="709">
        <f ca="1">IF(ISERROR(MATCH(H$1,INDIRECT("Table!A"&amp;$BV41):INDIRECT("Table!" &amp; $CH$110 &amp; $BV41),0)),"",INDIRECT(CONCATENATE("Table!",ADDRESS($BR41,MATCH(H$1,INDIRECT("Table!A" &amp; $BV41):INDIRECT("Table!" &amp; $CH$110 &amp; $BV41),0)))))/1024</f>
        <v>115.3328125</v>
      </c>
      <c r="I41" s="709">
        <f ca="1">IF(ISERROR(MATCH(I$1,INDIRECT("Table!A"&amp;$BV41):INDIRECT("Table!" &amp; $CH$110 &amp; $BV41),0)),"",INDIRECT(CONCATENATE("Table!",ADDRESS($BR41,MATCH(I$1,INDIRECT("Table!A" &amp; $BV41):INDIRECT("Table!" &amp; $CH$110 &amp; $BV41),0)))))/1024</f>
        <v>19.666210937500001</v>
      </c>
      <c r="J41" s="709">
        <f ca="1">IF(ISERROR(MATCH(J$1,INDIRECT("Table!A"&amp;$BV41):INDIRECT("Table!" &amp; $CH$110 &amp; $BV41),0)),"",INDIRECT(CONCATENATE("Table!",ADDRESS($BR41,MATCH(J$1,INDIRECT("Table!A" &amp; $BV41):INDIRECT("Table!" &amp; $CH$110 &amp; $BV41),0)))))/1024</f>
        <v>63.689843750000001</v>
      </c>
      <c r="K41" s="709">
        <f ca="1">IF(ISERROR(MATCH(K$1,INDIRECT("Table!A"&amp;$BV41):INDIRECT("Table!" &amp; $CH$110 &amp; $BV41),0)),"",INDIRECT(CONCATENATE("Table!",ADDRESS($BR41,MATCH(K$1,INDIRECT("Table!A" &amp; $BV41):INDIRECT("Table!" &amp; $CH$110 &amp; $BV41),0)))))/1024</f>
        <v>22.930761718749999</v>
      </c>
      <c r="L41" s="709">
        <f ca="1">IF(ISERROR(MATCH(L$1,INDIRECT("Table!A"&amp;$BV41):INDIRECT("Table!" &amp; $CH$110 &amp; $BV41),0)),"",INDIRECT(CONCATENATE("Table!",ADDRESS($BR41,MATCH(L$1,INDIRECT("Table!A" &amp; $BV41):INDIRECT("Table!" &amp; $CH$110 &amp; $BV41),0)))))/1024</f>
        <v>164.70625000000001</v>
      </c>
      <c r="M41" s="709">
        <f ca="1">IF(ISERROR(MATCH(M$1,INDIRECT("Table!A"&amp;$BV41):INDIRECT("Table!" &amp; $CH$110 &amp; $BV41),0)),"",INDIRECT(CONCATENATE("Table!",ADDRESS($BR41,MATCH(M$1,INDIRECT("Table!A" &amp; $BV41):INDIRECT("Table!" &amp; $CH$110 &amp; $BV41),0)))))/1024</f>
        <v>195.55</v>
      </c>
      <c r="N41" s="709">
        <f ca="1">IF(ISERROR(MATCH(N$1,INDIRECT("Table!A"&amp;$BV41):INDIRECT("Table!" &amp; $CH$110 &amp; $BV41),0)),"",INDIRECT(CONCATENATE("Table!",ADDRESS($BR41,MATCH(N$1,INDIRECT("Table!A" &amp; $BV41):INDIRECT("Table!" &amp; $CH$110 &amp; $BV41),0)))))/1024</f>
        <v>57.489453124999997</v>
      </c>
      <c r="O41" s="709">
        <f ca="1">IF(ISERROR(MATCH(O$1,INDIRECT("Table!A"&amp;$BV41):INDIRECT("Table!" &amp; $CH$110 &amp; $BV41),0)),"",INDIRECT(CONCATENATE("Table!",ADDRESS($BR41,MATCH(O$1,INDIRECT("Table!A" &amp; $BV41):INDIRECT("Table!" &amp; $CH$110 &amp; $BV41),0)))))/1024</f>
        <v>212.56943359375001</v>
      </c>
      <c r="P41" s="709">
        <f ca="1">IF(ISERROR(MATCH(P$1,INDIRECT("Table!A"&amp;$BV41):INDIRECT("Table!" &amp; $CH$110 &amp; $BV41),0)),"",INDIRECT(CONCATENATE("Table!",ADDRESS($BR41,MATCH(P$1,INDIRECT("Table!A" &amp; $BV41):INDIRECT("Table!" &amp; $CH$110 &amp; $BV41),0)))))/1024</f>
        <v>37.870507812500001</v>
      </c>
      <c r="Q41" s="709">
        <f ca="1">IF(ISERROR(MATCH(Q$1,INDIRECT("Table!A"&amp;$BV41):INDIRECT("Table!" &amp; $CH$110 &amp; $BV41),0)),"",INDIRECT(CONCATENATE("Table!",ADDRESS($BR41,MATCH(Q$1,INDIRECT("Table!A" &amp; $BV41):INDIRECT("Table!" &amp; $CH$110 &amp; $BV41),0)))))/1024</f>
        <v>104.58437499999999</v>
      </c>
      <c r="R41" s="709">
        <f ca="1">IF(ISERROR(MATCH(R$1,INDIRECT("Table!A"&amp;$BV41):INDIRECT("Table!" &amp; $CH$110 &amp; $BV41),0)),"",INDIRECT(CONCATENATE("Table!",ADDRESS($BR41,MATCH(R$1,INDIRECT("Table!A" &amp; $BV41):INDIRECT("Table!" &amp; $CH$110 &amp; $BV41),0)))))/1024</f>
        <v>105.99736328125</v>
      </c>
      <c r="S41" s="709">
        <v>0</v>
      </c>
      <c r="T41" s="709">
        <f ca="1">IF(ISERROR(MATCH(T$1,INDIRECT("Table!A"&amp;$BV41):INDIRECT("Table!" &amp; $CH$65 &amp; $BV41),0)),"",INDIRECT(CONCATENATE("Table!",ADDRESS($BR41,MATCH(T$1,INDIRECT("Table!A" &amp; $BV41):INDIRECT("Table!" &amp; $CH$65 &amp; $BV41),0)))))/1024</f>
        <v>7.14794921875</v>
      </c>
      <c r="U41" s="709">
        <f ca="1">IF(ISERROR(MATCH(U$1,INDIRECT("Table!A"&amp;$BV41):INDIRECT("Table!" &amp; $CH$65 &amp; $BV41),0)),"",INDIRECT(CONCATENATE("Table!",ADDRESS($BR41,MATCH(U$1,INDIRECT("Table!A" &amp; $BV41):INDIRECT("Table!" &amp; $CH$65 &amp; $BV41),0)))))/1024</f>
        <v>3.1237304687499998</v>
      </c>
      <c r="V41" s="709">
        <f ca="1">IF(ISERROR(MATCH(V$1,INDIRECT("Table!A"&amp;$BV41):INDIRECT("Table!" &amp; $CH$65 &amp; $BV41),0)),"",INDIRECT(CONCATENATE("Table!",ADDRESS($BR41,MATCH(V$1,INDIRECT("Table!A" &amp; $BV41):INDIRECT("Table!" &amp; $CH$65 &amp; $BV41),0)))))/1024</f>
        <v>6.2473632812500002</v>
      </c>
      <c r="W41" s="905"/>
      <c r="X41" s="905"/>
      <c r="Y41" s="905"/>
      <c r="Z41" s="905"/>
      <c r="AA41" s="905"/>
      <c r="AB41" s="905"/>
      <c r="AC41" s="905"/>
      <c r="AD41" s="905"/>
      <c r="AE41" s="905"/>
      <c r="AF41" s="905"/>
      <c r="AG41" s="905"/>
      <c r="AH41" s="905"/>
      <c r="AI41" s="709" t="str">
        <f ca="1">IF(ISERROR(MATCH(AI$1,INDIRECT("Table!A"&amp;$BV41):INDIRECT("Table!" &amp; $CH$110 &amp; $BV41),0)),"",INDIRECT(CONCATENATE("Table!",ADDRESS($BR41,MATCH(AI$1,INDIRECT("Table!A" &amp; $BV41):INDIRECT("Table!" &amp; $CH$110 &amp; $BV41),0)))))</f>
        <v/>
      </c>
      <c r="AJ41" s="709">
        <f ca="1">IF(ISERROR(MATCH(AJ$1,INDIRECT("Table!A"&amp;$BV41):INDIRECT("Table!" &amp; $CH$110 &amp; $BV41),0)),"",INDIRECT(CONCATENATE("Table!",ADDRESS($BZ41,MATCH(AJ$1,INDIRECT("Table!A" &amp; $BV41):INDIRECT("Table!" &amp; $CH$110 &amp; $BV41),0)))))/1024</f>
        <v>244.15859374999999</v>
      </c>
      <c r="AK41" s="709">
        <f ca="1">IF(ISERROR(MATCH(AK$1,INDIRECT("Table!A"&amp;$BV41):INDIRECT("Table!" &amp; $CH$110 &amp; $BV41),0)),"",INDIRECT(CONCATENATE("Table!",ADDRESS($BZ41,MATCH(AK$1,INDIRECT("Table!A" &amp; $BV41):INDIRECT("Table!" &amp; $CH$110 &amp; $BV41),0)))))/1024</f>
        <v>146.98896484375001</v>
      </c>
      <c r="AL41" s="709">
        <f ca="1">IF(ISERROR(MATCH(AL$1,INDIRECT("Table!A"&amp;$BV41):INDIRECT("Table!" &amp; $CH$110 &amp; $BV41),0)),"",INDIRECT(CONCATENATE("Table!",ADDRESS($BZ41,MATCH(AL$1,INDIRECT("Table!A" &amp; $BV41):INDIRECT("Table!" &amp; $CH$110 &amp; $BV41),0)))))/1024</f>
        <v>146.98896484375001</v>
      </c>
      <c r="AM41" s="709">
        <f ca="1">IF(ISERROR(MATCH(AM$1,INDIRECT("Table!A"&amp;$BV41):INDIRECT("Table!" &amp; $CH$110 &amp; $BV41),0)),"",INDIRECT(CONCATENATE("Table!",ADDRESS($BZ41,MATCH(AM$1,INDIRECT("Table!A" &amp; $BV41):INDIRECT("Table!" &amp; $CH$110 &amp; $BV41),0)))))/1024</f>
        <v>177.73320312499999</v>
      </c>
      <c r="AN41" s="709">
        <f ca="1">IF(ISERROR(MATCH(AN$1,INDIRECT("Table!A"&amp;$BV41):INDIRECT("Table!" &amp; $CH$110 &amp; $BV41),0)),"",INDIRECT(CONCATENATE("Table!",ADDRESS($BZ41,MATCH(AN$1,INDIRECT("Table!A" &amp; $BV41):INDIRECT("Table!" &amp; $CH$110 &amp; $BV41),0)))))/1024</f>
        <v>161.88056640625001</v>
      </c>
      <c r="AO41" s="709">
        <f ca="1">IF(ISERROR(MATCH(AO$1,INDIRECT("Table!A"&amp;$BV41):INDIRECT("Table!" &amp; $CH$110 &amp; $BV41),0)),"",INDIRECT(CONCATENATE("Table!",ADDRESS($BZ41,MATCH(AO$1,INDIRECT("Table!A" &amp; $BV41):INDIRECT("Table!" &amp; $CH$110 &amp; $BV41),0)))))/1024</f>
        <v>380.3759765625</v>
      </c>
      <c r="AP41" s="709">
        <f ca="1">IF(ISERROR(MATCH(AP$1,INDIRECT("Table!A"&amp;$BV41):INDIRECT("Table!" &amp; $CH$110 &amp; $BV41),0)),"",INDIRECT(CONCATENATE("Table!",ADDRESS($BZ41,MATCH(AP$1,INDIRECT("Table!A" &amp; $BV41):INDIRECT("Table!" &amp; $CH$110 &amp; $BV41),0)))))/1024</f>
        <v>167.94482421875</v>
      </c>
      <c r="AQ41" s="709">
        <f ca="1">IF(ISERROR(MATCH(AQ$1,INDIRECT("Table!A"&amp;$BV41):INDIRECT("Table!" &amp; $CH$110 &amp; $BV41),0)),"",INDIRECT(CONCATENATE("Table!",ADDRESS($BZ41,MATCH(AQ$1,INDIRECT("Table!A" &amp; $BV41):INDIRECT("Table!" &amp; $CH$110 &amp; $BV41),0)))))/1024</f>
        <v>162.18544921874999</v>
      </c>
      <c r="AR41" s="709">
        <f ca="1">IF(ISERROR(MATCH(AR$1,INDIRECT("Table!A"&amp;$BV41):INDIRECT("Table!" &amp; $CH$110 &amp; $BV41),0)),"",INDIRECT(CONCATENATE("Table!",ADDRESS($BZ41,MATCH(AR$1,INDIRECT("Table!A" &amp; $BV41):INDIRECT("Table!" &amp; $CH$110 &amp; $BV41),0)))))/1024</f>
        <v>121.1125</v>
      </c>
      <c r="AS41" s="709">
        <f ca="1">IF(ISERROR(MATCH(AS$1,INDIRECT("Table!A"&amp;$BV41):INDIRECT("Table!" &amp; $CH$110 &amp; $BV41),0)),"",INDIRECT(CONCATENATE("Table!",ADDRESS($BZ41,MATCH(AS$1,INDIRECT("Table!A" &amp; $BV41):INDIRECT("Table!" &amp; $CH$110 &amp; $BV41),0)))))/1024</f>
        <v>218.81953125000001</v>
      </c>
      <c r="AT41" s="709">
        <f ca="1">IF(ISERROR(MATCH(AT$1,INDIRECT("Table!A"&amp;$BV41):INDIRECT("Table!" &amp; $CH$110 &amp; $BV41),0)),"",INDIRECT(CONCATENATE("Table!",ADDRESS($BZ41,MATCH(AT$1,INDIRECT("Table!A" &amp; $BV41):INDIRECT("Table!" &amp; $CH$110 &amp; $BV41),0)))))/1024</f>
        <v>188.50498046875001</v>
      </c>
      <c r="AU41" s="709">
        <f ca="1">IF(ISERROR(MATCH(AU$1,INDIRECT("Table!A"&amp;$BV41):INDIRECT("Table!" &amp; $CH$110 &amp; $BV41),0)),"",INDIRECT(CONCATENATE("Table!",ADDRESS($BZ41,MATCH(AU$1,INDIRECT("Table!A" &amp; $BV41):INDIRECT("Table!" &amp; $CH$110 &amp; $BV41),0)))))/1024</f>
        <v>427.94912109375002</v>
      </c>
      <c r="AV41" s="709">
        <f ca="1">IF(ISERROR(MATCH(AV$1,INDIRECT("Table!A"&amp;$BV41):INDIRECT("Table!" &amp; $CH$110 &amp; $BV41),0)),"",INDIRECT(CONCATENATE("Table!",ADDRESS($BZ41,MATCH(AV$1,INDIRECT("Table!A" &amp; $BV41):INDIRECT("Table!" &amp; $CH$110 &amp; $BV41),0)))))/1024</f>
        <v>81.092578125000003</v>
      </c>
      <c r="AW41" s="709">
        <f ca="1">IF(ISERROR(MATCH(AW$1,INDIRECT("Table!A"&amp;$BV41):INDIRECT("Table!" &amp; $CH$110 &amp; $BV41),0)),"",INDIRECT(CONCATENATE("Table!",ADDRESS($BZ41,MATCH(AW$1,INDIRECT("Table!A" &amp; $BV41):INDIRECT("Table!" &amp; $CH$110 &amp; $BV41),0)))))/1024</f>
        <v>269.65859375000002</v>
      </c>
      <c r="AX41" s="709">
        <f ca="1">IF(ISERROR(MATCH(AX$1,INDIRECT("Table!A"&amp;$BV41):INDIRECT("Table!" &amp; $CH$110 &amp; $BV41),0)),"",INDIRECT(CONCATENATE("Table!",ADDRESS($BZ41,MATCH(AX$1,INDIRECT("Table!A" &amp; $BV41):INDIRECT("Table!" &amp; $CH$110 &amp; $BV41),0)))))/1024</f>
        <v>81.092578125000003</v>
      </c>
      <c r="AY41" s="709">
        <f ca="1">IF(ISERROR(MATCH(AY$1,INDIRECT("Table!A"&amp;$BV41):INDIRECT("Table!" &amp; $CH$110 &amp; $BV41),0)),"",INDIRECT(CONCATENATE("Table!",ADDRESS($BZ41,MATCH(AY$1,INDIRECT("Table!A" &amp; $BV41):INDIRECT("Table!" &amp; $CH$110 &amp; $BV41),0)))))/1024</f>
        <v>187.12714843750001</v>
      </c>
      <c r="AZ41" s="709">
        <f ca="1">IF(ISERROR(MATCH(AZ$1,INDIRECT("Table!A"&amp;$BV41):INDIRECT("Table!" &amp; $CH$110 &amp; $BV41),0)),"",INDIRECT(CONCATENATE("Table!",ADDRESS($BZ41,MATCH(AZ$1,INDIRECT("Table!A" &amp; $BV41):INDIRECT("Table!" &amp; $CH$110 &amp; $BV41),0)))))/1024</f>
        <v>218.81953125000001</v>
      </c>
      <c r="BA41" s="709"/>
      <c r="BB41" s="709">
        <f ca="1">IF(ISERROR(MATCH(BB$1,INDIRECT("Table!A"&amp;$BV41):INDIRECT("Table!" &amp; $CH$110 &amp; $BV41),0)),"",INDIRECT(CONCATENATE("Table!",ADDRESS($BZ41,MATCH(BB$1,INDIRECT("Table!A" &amp; $BV41):INDIRECT("Table!" &amp; $CH$110 &amp; $BV41),0)))))/1024</f>
        <v>32.31494140625</v>
      </c>
      <c r="BC41" s="709">
        <f ca="1">IF(ISERROR(MATCH(BC$1,INDIRECT("Table!A"&amp;$BV41):INDIRECT("Table!" &amp; $CH$110 &amp; $BV41),0)),"",INDIRECT(CONCATENATE("Table!",ADDRESS($BZ41,MATCH(BC$1,INDIRECT("Table!A" &amp; $BV41):INDIRECT("Table!" &amp; $CH$110 &amp; $BV41),0)))))/1024</f>
        <v>99.80126953125</v>
      </c>
      <c r="BD41" s="709">
        <f ca="1">IF(ISERROR(MATCH(BD$1,INDIRECT("Table!A"&amp;$BV41):INDIRECT("Table!" &amp; $CH$110 &amp; $BV41),0)),"",INDIRECT(CONCATENATE("Table!",ADDRESS($BZ41,MATCH(BD$1,INDIRECT("Table!A" &amp; $BV41):INDIRECT("Table!" &amp; $CH$110 &amp; $BV41),0)))))/1024</f>
        <v>204.58642578125</v>
      </c>
      <c r="BE41" s="905"/>
      <c r="BF41" s="905"/>
      <c r="BG41" s="905"/>
      <c r="BH41" s="905"/>
      <c r="BI41" s="905"/>
      <c r="BJ41" s="905"/>
      <c r="BK41" s="905"/>
      <c r="BL41" s="905"/>
      <c r="BM41" s="905"/>
      <c r="BN41" s="905"/>
      <c r="BO41" s="905"/>
      <c r="BP41" s="905"/>
      <c r="BQ41" s="905"/>
      <c r="BR41" s="704">
        <f>MATCH($A41,Table!$A:$A,0)+$BT$2-1</f>
        <v>551</v>
      </c>
      <c r="BS41" s="705"/>
      <c r="BT41" s="705"/>
      <c r="BU41" s="705"/>
      <c r="BV41" s="717">
        <f>MATCH($A41,Table!$A:$A,0)+$BX$2-1</f>
        <v>549</v>
      </c>
      <c r="BW41" s="705"/>
      <c r="BX41" s="705"/>
      <c r="BY41" s="705"/>
      <c r="BZ41" s="704">
        <f>MATCH($A41,Table!$A:$A,0)+$CB$2-1</f>
        <v>550</v>
      </c>
      <c r="CA41" s="705"/>
      <c r="CB41" s="705"/>
      <c r="CC41" s="705"/>
      <c r="CD41" s="717">
        <f>MATCH($A41,Table!$A:$A,0)+$BX$2-1</f>
        <v>549</v>
      </c>
      <c r="CE41" s="705"/>
      <c r="CF41" s="705"/>
      <c r="CG41" s="705"/>
      <c r="CH41" s="711" t="s">
        <v>302</v>
      </c>
      <c r="CI41" s="712">
        <f t="shared" ca="1" si="0"/>
        <v>3719.1357421874995</v>
      </c>
      <c r="CJ41" s="712">
        <f t="shared" ca="1" si="85"/>
        <v>1840.2659179687498</v>
      </c>
      <c r="CK41" s="712">
        <f t="shared" ca="1" si="131"/>
        <v>1878.8698242187497</v>
      </c>
      <c r="CL41" s="718">
        <f t="shared" ca="1" si="132"/>
        <v>0.49481009716691676</v>
      </c>
      <c r="CM41" s="712">
        <f ca="1">SUMIF('Alloc Feed'!A:I,A:A,'Alloc Feed'!I:I)</f>
        <v>3209.766205078125</v>
      </c>
      <c r="CN41" s="718">
        <f t="shared" ca="1" si="133"/>
        <v>0.86304088572745219</v>
      </c>
    </row>
    <row r="42" spans="1:92" s="591" customFormat="1" x14ac:dyDescent="0.25">
      <c r="A42" s="703">
        <v>41702</v>
      </c>
      <c r="B42" s="709">
        <f ca="1">IF(ISERROR(MATCH(B$1,INDIRECT("Table!A"&amp;$BV42):INDIRECT("Table!" &amp; $CH$110 &amp; $BV42),0)),"",INDIRECT(CONCATENATE("Table!",ADDRESS($BR42,MATCH(B$1,INDIRECT("Table!A" &amp; $BV42):INDIRECT("Table!" &amp; $CH$110 &amp; $BV42),0)))))/1024</f>
        <v>98.328808593749997</v>
      </c>
      <c r="C42" s="709">
        <f ca="1">IF(ISERROR(MATCH(C$1,INDIRECT("Table!A"&amp;$BV42):INDIRECT("Table!" &amp; $CH$110 &amp; $BV42),0)),"",INDIRECT(CONCATENATE("Table!",ADDRESS($BR42,MATCH(C$1,INDIRECT("Table!A" &amp; $BV42):INDIRECT("Table!" &amp; $CH$110 &amp; $BV42),0)))))/1024</f>
        <v>80.810351562500003</v>
      </c>
      <c r="D42" s="709">
        <f ca="1">IF(ISERROR(MATCH(D$1,INDIRECT("Table!A"&amp;$BV42):INDIRECT("Table!" &amp; $CH$110 &amp; $BV42),0)),"",INDIRECT(CONCATENATE("Table!",ADDRESS($BR42,MATCH(D$1,INDIRECT("Table!A" &amp; $BV42):INDIRECT("Table!" &amp; $CH$110 &amp; $BV42),0)))))/1024</f>
        <v>82.120996093749994</v>
      </c>
      <c r="E42" s="709">
        <f ca="1">IF(ISERROR(MATCH(E$1,INDIRECT("Table!A"&amp;$BV42):INDIRECT("Table!" &amp; $CH$110 &amp; $BV42),0)),"",INDIRECT(CONCATENATE("Table!",ADDRESS($BR42,MATCH(E$1,INDIRECT("Table!A" &amp; $BV42):INDIRECT("Table!" &amp; $CH$110 &amp; $BV42),0)))))/1024</f>
        <v>153.13261718749999</v>
      </c>
      <c r="F42" s="709">
        <f ca="1">IF(ISERROR(MATCH(F$1,INDIRECT("Table!A"&amp;$BV42):INDIRECT("Table!" &amp; $CH$110 &amp; $BV42),0)),"",INDIRECT(CONCATENATE("Table!",ADDRESS($BR42,MATCH(F$1,INDIRECT("Table!A" &amp; $BV42):INDIRECT("Table!" &amp; $CH$110 &amp; $BV42),0)))))/1024</f>
        <v>111.35419921875</v>
      </c>
      <c r="G42" s="709">
        <f ca="1">IF(ISERROR(MATCH(G$1,INDIRECT("Table!A"&amp;$BV42):INDIRECT("Table!" &amp; $CH$110 &amp; $BV42),0)),"",INDIRECT(CONCATENATE("Table!",ADDRESS($BR42,MATCH(G$1,INDIRECT("Table!A" &amp; $BV42):INDIRECT("Table!" &amp; $CH$110 &amp; $BV42),0)))))/1024</f>
        <v>197.62080078125001</v>
      </c>
      <c r="H42" s="709">
        <f ca="1">IF(ISERROR(MATCH(H$1,INDIRECT("Table!A"&amp;$BV42):INDIRECT("Table!" &amp; $CH$110 &amp; $BV42),0)),"",INDIRECT(CONCATENATE("Table!",ADDRESS($BR42,MATCH(H$1,INDIRECT("Table!A" &amp; $BV42):INDIRECT("Table!" &amp; $CH$110 &amp; $BV42),0)))))/1024</f>
        <v>115.3328125</v>
      </c>
      <c r="I42" s="709">
        <f ca="1">IF(ISERROR(MATCH(I$1,INDIRECT("Table!A"&amp;$BV42):INDIRECT("Table!" &amp; $CH$110 &amp; $BV42),0)),"",INDIRECT(CONCATENATE("Table!",ADDRESS($BR42,MATCH(I$1,INDIRECT("Table!A" &amp; $BV42):INDIRECT("Table!" &amp; $CH$110 &amp; $BV42),0)))))/1024</f>
        <v>19.666210937500001</v>
      </c>
      <c r="J42" s="709">
        <f ca="1">IF(ISERROR(MATCH(J$1,INDIRECT("Table!A"&amp;$BV42):INDIRECT("Table!" &amp; $CH$110 &amp; $BV42),0)),"",INDIRECT(CONCATENATE("Table!",ADDRESS($BR42,MATCH(J$1,INDIRECT("Table!A" &amp; $BV42):INDIRECT("Table!" &amp; $CH$110 &amp; $BV42),0)))))/1024</f>
        <v>63.689843750000001</v>
      </c>
      <c r="K42" s="709">
        <f ca="1">IF(ISERROR(MATCH(K$1,INDIRECT("Table!A"&amp;$BV42):INDIRECT("Table!" &amp; $CH$110 &amp; $BV42),0)),"",INDIRECT(CONCATENATE("Table!",ADDRESS($BR42,MATCH(K$1,INDIRECT("Table!A" &amp; $BV42):INDIRECT("Table!" &amp; $CH$110 &amp; $BV42),0)))))/1024</f>
        <v>22.948339843749999</v>
      </c>
      <c r="L42" s="709">
        <f ca="1">IF(ISERROR(MATCH(L$1,INDIRECT("Table!A"&amp;$BV42):INDIRECT("Table!" &amp; $CH$110 &amp; $BV42),0)),"",INDIRECT(CONCATENATE("Table!",ADDRESS($BR42,MATCH(L$1,INDIRECT("Table!A" &amp; $BV42):INDIRECT("Table!" &amp; $CH$110 &amp; $BV42),0)))))/1024</f>
        <v>164.70625000000001</v>
      </c>
      <c r="M42" s="709">
        <f ca="1">IF(ISERROR(MATCH(M$1,INDIRECT("Table!A"&amp;$BV42):INDIRECT("Table!" &amp; $CH$110 &amp; $BV42),0)),"",INDIRECT(CONCATENATE("Table!",ADDRESS($BR42,MATCH(M$1,INDIRECT("Table!A" &amp; $BV42):INDIRECT("Table!" &amp; $CH$110 &amp; $BV42),0)))))/1024</f>
        <v>195.5537109375</v>
      </c>
      <c r="N42" s="709">
        <f ca="1">IF(ISERROR(MATCH(N$1,INDIRECT("Table!A"&amp;$BV42):INDIRECT("Table!" &amp; $CH$110 &amp; $BV42),0)),"",INDIRECT(CONCATENATE("Table!",ADDRESS($BR42,MATCH(N$1,INDIRECT("Table!A" &amp; $BV42):INDIRECT("Table!" &amp; $CH$110 &amp; $BV42),0)))))/1024</f>
        <v>57.489453124999997</v>
      </c>
      <c r="O42" s="709">
        <f ca="1">IF(ISERROR(MATCH(O$1,INDIRECT("Table!A"&amp;$BV42):INDIRECT("Table!" &amp; $CH$110 &amp; $BV42),0)),"",INDIRECT(CONCATENATE("Table!",ADDRESS($BR42,MATCH(O$1,INDIRECT("Table!A" &amp; $BV42):INDIRECT("Table!" &amp; $CH$110 &amp; $BV42),0)))))/1024</f>
        <v>212.56943359375001</v>
      </c>
      <c r="P42" s="709">
        <f ca="1">IF(ISERROR(MATCH(P$1,INDIRECT("Table!A"&amp;$BV42):INDIRECT("Table!" &amp; $CH$110 &amp; $BV42),0)),"",INDIRECT(CONCATENATE("Table!",ADDRESS($BR42,MATCH(P$1,INDIRECT("Table!A" &amp; $BV42):INDIRECT("Table!" &amp; $CH$110 &amp; $BV42),0)))))/1024</f>
        <v>37.870507812500001</v>
      </c>
      <c r="Q42" s="709">
        <f ca="1">IF(ISERROR(MATCH(Q$1,INDIRECT("Table!A"&amp;$BV42):INDIRECT("Table!" &amp; $CH$110 &amp; $BV42),0)),"",INDIRECT(CONCATENATE("Table!",ADDRESS($BR42,MATCH(Q$1,INDIRECT("Table!A" &amp; $BV42):INDIRECT("Table!" &amp; $CH$110 &amp; $BV42),0)))))/1024</f>
        <v>104.58437499999999</v>
      </c>
      <c r="R42" s="709">
        <f ca="1">IF(ISERROR(MATCH(R$1,INDIRECT("Table!A"&amp;$BV42):INDIRECT("Table!" &amp; $CH$110 &amp; $BV42),0)),"",INDIRECT(CONCATENATE("Table!",ADDRESS($BR42,MATCH(R$1,INDIRECT("Table!A" &amp; $BV42):INDIRECT("Table!" &amp; $CH$110 &amp; $BV42),0)))))/1024</f>
        <v>106.02890625000001</v>
      </c>
      <c r="S42" s="709">
        <v>0</v>
      </c>
      <c r="T42" s="709">
        <f ca="1">IF(ISERROR(MATCH(T$1,INDIRECT("Table!A"&amp;$BV42):INDIRECT("Table!" &amp; $CH$65 &amp; $BV42),0)),"",INDIRECT(CONCATENATE("Table!",ADDRESS($BR42,MATCH(T$1,INDIRECT("Table!A" &amp; $BV42):INDIRECT("Table!" &amp; $CH$65 &amp; $BV42),0)))))/1024</f>
        <v>7.14794921875</v>
      </c>
      <c r="U42" s="709">
        <f ca="1">IF(ISERROR(MATCH(U$1,INDIRECT("Table!A"&amp;$BV42):INDIRECT("Table!" &amp; $CH$65 &amp; $BV42),0)),"",INDIRECT(CONCATENATE("Table!",ADDRESS($BR42,MATCH(U$1,INDIRECT("Table!A" &amp; $BV42):INDIRECT("Table!" &amp; $CH$65 &amp; $BV42),0)))))/1024</f>
        <v>3.1237304687499998</v>
      </c>
      <c r="V42" s="709">
        <f ca="1">IF(ISERROR(MATCH(V$1,INDIRECT("Table!A"&amp;$BV42):INDIRECT("Table!" &amp; $CH$65 &amp; $BV42),0)),"",INDIRECT(CONCATENATE("Table!",ADDRESS($BR42,MATCH(V$1,INDIRECT("Table!A" &amp; $BV42):INDIRECT("Table!" &amp; $CH$65 &amp; $BV42),0)))))/1024</f>
        <v>6.2473632812500002</v>
      </c>
      <c r="W42" s="905"/>
      <c r="X42" s="905"/>
      <c r="Y42" s="905"/>
      <c r="Z42" s="905"/>
      <c r="AA42" s="905"/>
      <c r="AB42" s="905"/>
      <c r="AC42" s="905"/>
      <c r="AD42" s="905"/>
      <c r="AE42" s="905"/>
      <c r="AF42" s="905"/>
      <c r="AG42" s="905"/>
      <c r="AH42" s="905"/>
      <c r="AI42" s="709" t="str">
        <f ca="1">IF(ISERROR(MATCH(AI$1,INDIRECT("Table!A"&amp;$BV42):INDIRECT("Table!" &amp; $CH$110 &amp; $BV42),0)),"",INDIRECT(CONCATENATE("Table!",ADDRESS($BR42,MATCH(AI$1,INDIRECT("Table!A" &amp; $BV42):INDIRECT("Table!" &amp; $CH$110 &amp; $BV42),0)))))</f>
        <v/>
      </c>
      <c r="AJ42" s="709">
        <f ca="1">IF(ISERROR(MATCH(AJ$1,INDIRECT("Table!A"&amp;$BV42):INDIRECT("Table!" &amp; $CH$110 &amp; $BV42),0)),"",INDIRECT(CONCATENATE("Table!",ADDRESS($BZ42,MATCH(AJ$1,INDIRECT("Table!A" &amp; $BV42):INDIRECT("Table!" &amp; $CH$110 &amp; $BV42),0)))))/1024</f>
        <v>244.15859374999999</v>
      </c>
      <c r="AK42" s="709">
        <f ca="1">IF(ISERROR(MATCH(AK$1,INDIRECT("Table!A"&amp;$BV42):INDIRECT("Table!" &amp; $CH$110 &amp; $BV42),0)),"",INDIRECT(CONCATENATE("Table!",ADDRESS($BZ42,MATCH(AK$1,INDIRECT("Table!A" &amp; $BV42):INDIRECT("Table!" &amp; $CH$110 &amp; $BV42),0)))))/1024</f>
        <v>146.98896484375001</v>
      </c>
      <c r="AL42" s="709">
        <f ca="1">IF(ISERROR(MATCH(AL$1,INDIRECT("Table!A"&amp;$BV42):INDIRECT("Table!" &amp; $CH$110 &amp; $BV42),0)),"",INDIRECT(CONCATENATE("Table!",ADDRESS($BZ42,MATCH(AL$1,INDIRECT("Table!A" &amp; $BV42):INDIRECT("Table!" &amp; $CH$110 &amp; $BV42),0)))))/1024</f>
        <v>146.98896484375001</v>
      </c>
      <c r="AM42" s="709">
        <f ca="1">IF(ISERROR(MATCH(AM$1,INDIRECT("Table!A"&amp;$BV42):INDIRECT("Table!" &amp; $CH$110 &amp; $BV42),0)),"",INDIRECT(CONCATENATE("Table!",ADDRESS($BZ42,MATCH(AM$1,INDIRECT("Table!A" &amp; $BV42):INDIRECT("Table!" &amp; $CH$110 &amp; $BV42),0)))))/1024</f>
        <v>177.73320312499999</v>
      </c>
      <c r="AN42" s="709">
        <f ca="1">IF(ISERROR(MATCH(AN$1,INDIRECT("Table!A"&amp;$BV42):INDIRECT("Table!" &amp; $CH$110 &amp; $BV42),0)),"",INDIRECT(CONCATENATE("Table!",ADDRESS($BZ42,MATCH(AN$1,INDIRECT("Table!A" &amp; $BV42):INDIRECT("Table!" &amp; $CH$110 &amp; $BV42),0)))))/1024</f>
        <v>161.57568359375</v>
      </c>
      <c r="AO42" s="709">
        <f ca="1">IF(ISERROR(MATCH(AO$1,INDIRECT("Table!A"&amp;$BV42):INDIRECT("Table!" &amp; $CH$110 &amp; $BV42),0)),"",INDIRECT(CONCATENATE("Table!",ADDRESS($BZ42,MATCH(AO$1,INDIRECT("Table!A" &amp; $BV42):INDIRECT("Table!" &amp; $CH$110 &amp; $BV42),0)))))/1024</f>
        <v>380.3759765625</v>
      </c>
      <c r="AP42" s="709">
        <f ca="1">IF(ISERROR(MATCH(AP$1,INDIRECT("Table!A"&amp;$BV42):INDIRECT("Table!" &amp; $CH$110 &amp; $BV42),0)),"",INDIRECT(CONCATENATE("Table!",ADDRESS($BZ42,MATCH(AP$1,INDIRECT("Table!A" &amp; $BV42):INDIRECT("Table!" &amp; $CH$110 &amp; $BV42),0)))))/1024</f>
        <v>166.96152343750001</v>
      </c>
      <c r="AQ42" s="709">
        <f ca="1">IF(ISERROR(MATCH(AQ$1,INDIRECT("Table!A"&amp;$BV42):INDIRECT("Table!" &amp; $CH$110 &amp; $BV42),0)),"",INDIRECT(CONCATENATE("Table!",ADDRESS($BZ42,MATCH(AQ$1,INDIRECT("Table!A" &amp; $BV42):INDIRECT("Table!" &amp; $CH$110 &amp; $BV42),0)))))/1024</f>
        <v>161.57568359375</v>
      </c>
      <c r="AR42" s="709">
        <f ca="1">IF(ISERROR(MATCH(AR$1,INDIRECT("Table!A"&amp;$BV42):INDIRECT("Table!" &amp; $CH$110 &amp; $BV42),0)),"",INDIRECT(CONCATENATE("Table!",ADDRESS($BZ42,MATCH(AR$1,INDIRECT("Table!A" &amp; $BV42):INDIRECT("Table!" &amp; $CH$110 &amp; $BV42),0)))))/1024</f>
        <v>118.53769531250001</v>
      </c>
      <c r="AS42" s="709">
        <f ca="1">IF(ISERROR(MATCH(AS$1,INDIRECT("Table!A"&amp;$BV42):INDIRECT("Table!" &amp; $CH$110 &amp; $BV42),0)),"",INDIRECT(CONCATENATE("Table!",ADDRESS($BZ42,MATCH(AS$1,INDIRECT("Table!A" &amp; $BV42):INDIRECT("Table!" &amp; $CH$110 &amp; $BV42),0)))))/1024</f>
        <v>218.81953125000001</v>
      </c>
      <c r="AT42" s="709">
        <f ca="1">IF(ISERROR(MATCH(AT$1,INDIRECT("Table!A"&amp;$BV42):INDIRECT("Table!" &amp; $CH$110 &amp; $BV42),0)),"",INDIRECT(CONCATENATE("Table!",ADDRESS($BZ42,MATCH(AT$1,INDIRECT("Table!A" &amp; $BV42):INDIRECT("Table!" &amp; $CH$110 &amp; $BV42),0)))))/1024</f>
        <v>188.50498046875001</v>
      </c>
      <c r="AU42" s="709">
        <f ca="1">IF(ISERROR(MATCH(AU$1,INDIRECT("Table!A"&amp;$BV42):INDIRECT("Table!" &amp; $CH$110 &amp; $BV42),0)),"",INDIRECT(CONCATENATE("Table!",ADDRESS($BZ42,MATCH(AU$1,INDIRECT("Table!A" &amp; $BV42):INDIRECT("Table!" &amp; $CH$110 &amp; $BV42),0)))))/1024</f>
        <v>427.94912109375002</v>
      </c>
      <c r="AV42" s="709">
        <f ca="1">IF(ISERROR(MATCH(AV$1,INDIRECT("Table!A"&amp;$BV42):INDIRECT("Table!" &amp; $CH$110 &amp; $BV42),0)),"",INDIRECT(CONCATENATE("Table!",ADDRESS($BZ42,MATCH(AV$1,INDIRECT("Table!A" &amp; $BV42):INDIRECT("Table!" &amp; $CH$110 &amp; $BV42),0)))))/1024</f>
        <v>80.787695312500006</v>
      </c>
      <c r="AW42" s="709">
        <f ca="1">IF(ISERROR(MATCH(AW$1,INDIRECT("Table!A"&amp;$BV42):INDIRECT("Table!" &amp; $CH$110 &amp; $BV42),0)),"",INDIRECT(CONCATENATE("Table!",ADDRESS($BZ42,MATCH(AW$1,INDIRECT("Table!A" &amp; $BV42):INDIRECT("Table!" &amp; $CH$110 &amp; $BV42),0)))))/1024</f>
        <v>269.2919921875</v>
      </c>
      <c r="AX42" s="709">
        <f ca="1">IF(ISERROR(MATCH(AX$1,INDIRECT("Table!A"&amp;$BV42):INDIRECT("Table!" &amp; $CH$110 &amp; $BV42),0)),"",INDIRECT(CONCATENATE("Table!",ADDRESS($BZ42,MATCH(AX$1,INDIRECT("Table!A" &amp; $BV42):INDIRECT("Table!" &amp; $CH$110 &amp; $BV42),0)))))/1024</f>
        <v>80.787695312500006</v>
      </c>
      <c r="AY42" s="709">
        <f ca="1">IF(ISERROR(MATCH(AY$1,INDIRECT("Table!A"&amp;$BV42):INDIRECT("Table!" &amp; $CH$110 &amp; $BV42),0)),"",INDIRECT(CONCATENATE("Table!",ADDRESS($BZ42,MATCH(AY$1,INDIRECT("Table!A" &amp; $BV42):INDIRECT("Table!" &amp; $CH$110 &amp; $BV42),0)))))/1024</f>
        <v>184.55234375000001</v>
      </c>
      <c r="AZ42" s="709">
        <f ca="1">IF(ISERROR(MATCH(AZ$1,INDIRECT("Table!A"&amp;$BV42):INDIRECT("Table!" &amp; $CH$110 &amp; $BV42),0)),"",INDIRECT(CONCATENATE("Table!",ADDRESS($BZ42,MATCH(AZ$1,INDIRECT("Table!A" &amp; $BV42):INDIRECT("Table!" &amp; $CH$110 &amp; $BV42),0)))))/1024</f>
        <v>218.81953125000001</v>
      </c>
      <c r="BA42" s="709"/>
      <c r="BB42" s="709">
        <f ca="1">IF(ISERROR(MATCH(BB$1,INDIRECT("Table!A"&amp;$BV42):INDIRECT("Table!" &amp; $CH$110 &amp; $BV42),0)),"",INDIRECT(CONCATENATE("Table!",ADDRESS($BZ42,MATCH(BB$1,INDIRECT("Table!A" &amp; $BV42):INDIRECT("Table!" &amp; $CH$110 &amp; $BV42),0)))))/1024</f>
        <v>32.31494140625</v>
      </c>
      <c r="BC42" s="709">
        <f ca="1">IF(ISERROR(MATCH(BC$1,INDIRECT("Table!A"&amp;$BV42):INDIRECT("Table!" &amp; $CH$110 &amp; $BV42),0)),"",INDIRECT(CONCATENATE("Table!",ADDRESS($BZ42,MATCH(BC$1,INDIRECT("Table!A" &amp; $BV42):INDIRECT("Table!" &amp; $CH$110 &amp; $BV42),0)))))/1024</f>
        <v>97.9736328125</v>
      </c>
      <c r="BD42" s="709">
        <f ca="1">IF(ISERROR(MATCH(BD$1,INDIRECT("Table!A"&amp;$BV42):INDIRECT("Table!" &amp; $CH$110 &amp; $BV42),0)),"",INDIRECT(CONCATENATE("Table!",ADDRESS($BZ42,MATCH(BD$1,INDIRECT("Table!A" &amp; $BV42):INDIRECT("Table!" &amp; $CH$110 &amp; $BV42),0)))))/1024</f>
        <v>202.7587890625</v>
      </c>
      <c r="BE42" s="905"/>
      <c r="BF42" s="905"/>
      <c r="BG42" s="905"/>
      <c r="BH42" s="905"/>
      <c r="BI42" s="905"/>
      <c r="BJ42" s="905"/>
      <c r="BK42" s="905"/>
      <c r="BL42" s="905"/>
      <c r="BM42" s="905"/>
      <c r="BN42" s="905"/>
      <c r="BO42" s="905"/>
      <c r="BP42" s="905"/>
      <c r="BQ42" s="905"/>
      <c r="BR42" s="704">
        <f>MATCH($A42,Table!$A:$A,0)+$BT$2-1</f>
        <v>565</v>
      </c>
      <c r="BS42" s="705"/>
      <c r="BT42" s="705"/>
      <c r="BU42" s="705"/>
      <c r="BV42" s="717">
        <f>MATCH($A42,Table!$A:$A,0)+$BX$2-1</f>
        <v>563</v>
      </c>
      <c r="BW42" s="705"/>
      <c r="BX42" s="705"/>
      <c r="BY42" s="705"/>
      <c r="BZ42" s="704">
        <f>MATCH($A42,Table!$A:$A,0)+$CB$2-1</f>
        <v>564</v>
      </c>
      <c r="CA42" s="705"/>
      <c r="CB42" s="705"/>
      <c r="CC42" s="705"/>
      <c r="CD42" s="717">
        <f>MATCH($A42,Table!$A:$A,0)+$BX$2-1</f>
        <v>563</v>
      </c>
      <c r="CE42" s="705"/>
      <c r="CF42" s="705"/>
      <c r="CG42" s="705"/>
      <c r="CH42" s="711" t="s">
        <v>302</v>
      </c>
      <c r="CI42" s="712">
        <f t="shared" ca="1" si="0"/>
        <v>3707.4565429687505</v>
      </c>
      <c r="CJ42" s="712">
        <f t="shared" ca="1" si="85"/>
        <v>1840.32666015625</v>
      </c>
      <c r="CK42" s="712">
        <f t="shared" ca="1" si="131"/>
        <v>1867.1298828125005</v>
      </c>
      <c r="CL42" s="718">
        <f t="shared" ca="1" si="132"/>
        <v>0.49638522766948096</v>
      </c>
      <c r="CM42" s="712">
        <f ca="1">SUMIF('Alloc Feed'!A:I,A:A,'Alloc Feed'!I:I)</f>
        <v>3170.4516562499998</v>
      </c>
      <c r="CN42" s="718">
        <f t="shared" ref="CN42:CN105" ca="1" si="136">CM42/CI42</f>
        <v>0.85515544673417987</v>
      </c>
    </row>
    <row r="43" spans="1:92" s="591" customFormat="1" x14ac:dyDescent="0.25">
      <c r="A43" s="703">
        <v>41695</v>
      </c>
      <c r="B43" s="709">
        <f ca="1">IF(ISERROR(MATCH(B$1,INDIRECT("Table!A"&amp;$BV43):INDIRECT("Table!" &amp; $CH$110 &amp; $BV43),0)),"",INDIRECT(CONCATENATE("Table!",ADDRESS($BR43,MATCH(B$1,INDIRECT("Table!A" &amp; $BV43):INDIRECT("Table!" &amp; $CH$110 &amp; $BV43),0)))))/1024</f>
        <v>51.736035156249997</v>
      </c>
      <c r="C43" s="709">
        <f ca="1">IF(ISERROR(MATCH(C$1,INDIRECT("Table!A"&amp;$BV43):INDIRECT("Table!" &amp; $CH$110 &amp; $BV43),0)),"",INDIRECT(CONCATENATE("Table!",ADDRESS($BR43,MATCH(C$1,INDIRECT("Table!A" &amp; $BV43):INDIRECT("Table!" &amp; $CH$110 &amp; $BV43),0)))))/1024</f>
        <v>80.800585937500003</v>
      </c>
      <c r="D43" s="709">
        <f ca="1">IF(ISERROR(MATCH(D$1,INDIRECT("Table!A"&amp;$BV43):INDIRECT("Table!" &amp; $CH$110 &amp; $BV43),0)),"",INDIRECT(CONCATENATE("Table!",ADDRESS($BR43,MATCH(D$1,INDIRECT("Table!A" &amp; $BV43):INDIRECT("Table!" &amp; $CH$110 &amp; $BV43),0)))))/1024</f>
        <v>82.111132812500003</v>
      </c>
      <c r="E43" s="709">
        <f ca="1">IF(ISERROR(MATCH(E$1,INDIRECT("Table!A"&amp;$BV43):INDIRECT("Table!" &amp; $CH$110 &amp; $BV43),0)),"",INDIRECT(CONCATENATE("Table!",ADDRESS($BR43,MATCH(E$1,INDIRECT("Table!A" &amp; $BV43):INDIRECT("Table!" &amp; $CH$110 &amp; $BV43),0)))))/1024</f>
        <v>153.01347656249999</v>
      </c>
      <c r="F43" s="709">
        <f ca="1">IF(ISERROR(MATCH(F$1,INDIRECT("Table!A"&amp;$BV43):INDIRECT("Table!" &amp; $CH$110 &amp; $BV43),0)),"",INDIRECT(CONCATENATE("Table!",ADDRESS($BR43,MATCH(F$1,INDIRECT("Table!A" &amp; $BV43):INDIRECT("Table!" &amp; $CH$110 &amp; $BV43),0)))))/1024</f>
        <v>111.38339843750001</v>
      </c>
      <c r="G43" s="709">
        <f ca="1">IF(ISERROR(MATCH(G$1,INDIRECT("Table!A"&amp;$BV43):INDIRECT("Table!" &amp; $CH$110 &amp; $BV43),0)),"",INDIRECT(CONCATENATE("Table!",ADDRESS($BR43,MATCH(G$1,INDIRECT("Table!A" &amp; $BV43):INDIRECT("Table!" &amp; $CH$110 &amp; $BV43),0)))))/1024</f>
        <v>65.2158203125</v>
      </c>
      <c r="H43" s="709">
        <f ca="1">IF(ISERROR(MATCH(H$1,INDIRECT("Table!A"&amp;$BV43):INDIRECT("Table!" &amp; $CH$110 &amp; $BV43),0)),"",INDIRECT(CONCATENATE("Table!",ADDRESS($BR43,MATCH(H$1,INDIRECT("Table!A" &amp; $BV43):INDIRECT("Table!" &amp; $CH$110 &amp; $BV43),0)))))/1024</f>
        <v>114.57382812500001</v>
      </c>
      <c r="I43" s="709">
        <f ca="1">IF(ISERROR(MATCH(I$1,INDIRECT("Table!A"&amp;$BV43):INDIRECT("Table!" &amp; $CH$110 &amp; $BV43),0)),"",INDIRECT(CONCATENATE("Table!",ADDRESS($BR43,MATCH(I$1,INDIRECT("Table!A" &amp; $BV43):INDIRECT("Table!" &amp; $CH$110 &amp; $BV43),0)))))/1024</f>
        <v>18.826074218750001</v>
      </c>
      <c r="J43" s="709">
        <f ca="1">IF(ISERROR(MATCH(J$1,INDIRECT("Table!A"&amp;$BV43):INDIRECT("Table!" &amp; $CH$110 &amp; $BV43),0)),"",INDIRECT(CONCATENATE("Table!",ADDRESS($BR43,MATCH(J$1,INDIRECT("Table!A" &amp; $BV43):INDIRECT("Table!" &amp; $CH$110 &amp; $BV43),0)))))/1024</f>
        <v>62.265039062500001</v>
      </c>
      <c r="K43" s="709">
        <f ca="1">IF(ISERROR(MATCH(K$1,INDIRECT("Table!A"&amp;$BV43):INDIRECT("Table!" &amp; $CH$110 &amp; $BV43),0)),"",INDIRECT(CONCATENATE("Table!",ADDRESS($BR43,MATCH(K$1,INDIRECT("Table!A" &amp; $BV43):INDIRECT("Table!" &amp; $CH$110 &amp; $BV43),0)))))/1024</f>
        <v>8.0310546874999993</v>
      </c>
      <c r="L43" s="709">
        <f ca="1">IF(ISERROR(MATCH(L$1,INDIRECT("Table!A"&amp;$BV43):INDIRECT("Table!" &amp; $CH$110 &amp; $BV43),0)),"",INDIRECT(CONCATENATE("Table!",ADDRESS($BR43,MATCH(L$1,INDIRECT("Table!A" &amp; $BV43):INDIRECT("Table!" &amp; $CH$110 &amp; $BV43),0)))))/1024</f>
        <v>167.63691406250001</v>
      </c>
      <c r="M43" s="709">
        <f ca="1">IF(ISERROR(MATCH(M$1,INDIRECT("Table!A"&amp;$BV43):INDIRECT("Table!" &amp; $CH$110 &amp; $BV43),0)),"",INDIRECT(CONCATENATE("Table!",ADDRESS($BR43,MATCH(M$1,INDIRECT("Table!A" &amp; $BV43):INDIRECT("Table!" &amp; $CH$110 &amp; $BV43),0)))))/1024</f>
        <v>65.934472656249994</v>
      </c>
      <c r="N43" s="709">
        <f ca="1">IF(ISERROR(MATCH(N$1,INDIRECT("Table!A"&amp;$BV43):INDIRECT("Table!" &amp; $CH$110 &amp; $BV43),0)),"",INDIRECT(CONCATENATE("Table!",ADDRESS($BR43,MATCH(N$1,INDIRECT("Table!A" &amp; $BV43):INDIRECT("Table!" &amp; $CH$110 &amp; $BV43),0)))))/1024</f>
        <v>57.590527343749997</v>
      </c>
      <c r="O43" s="709">
        <f ca="1">IF(ISERROR(MATCH(O$1,INDIRECT("Table!A"&amp;$BV43):INDIRECT("Table!" &amp; $CH$110 &amp; $BV43),0)),"",INDIRECT(CONCATENATE("Table!",ADDRESS($BR43,MATCH(O$1,INDIRECT("Table!A" &amp; $BV43):INDIRECT("Table!" &amp; $CH$110 &amp; $BV43),0)))))/1024</f>
        <v>210.05224609375</v>
      </c>
      <c r="P43" s="709">
        <f ca="1">IF(ISERROR(MATCH(P$1,INDIRECT("Table!A"&amp;$BV43):INDIRECT("Table!" &amp; $CH$110 &amp; $BV43),0)),"",INDIRECT(CONCATENATE("Table!",ADDRESS($BR43,MATCH(P$1,INDIRECT("Table!A" &amp; $BV43):INDIRECT("Table!" &amp; $CH$110 &amp; $BV43),0)))))/1024</f>
        <v>36.28466796875</v>
      </c>
      <c r="Q43" s="709">
        <f ca="1">IF(ISERROR(MATCH(Q$1,INDIRECT("Table!A"&amp;$BV43):INDIRECT("Table!" &amp; $CH$110 &amp; $BV43),0)),"",INDIRECT(CONCATENATE("Table!",ADDRESS($BR43,MATCH(Q$1,INDIRECT("Table!A" &amp; $BV43):INDIRECT("Table!" &amp; $CH$110 &amp; $BV43),0)))))/1024</f>
        <v>101.94287109375</v>
      </c>
      <c r="R43" s="709">
        <f ca="1">IF(ISERROR(MATCH(R$1,INDIRECT("Table!A"&amp;$BV43):INDIRECT("Table!" &amp; $CH$110 &amp; $BV43),0)),"",INDIRECT(CONCATENATE("Table!",ADDRESS($BR43,MATCH(R$1,INDIRECT("Table!A" &amp; $BV43):INDIRECT("Table!" &amp; $CH$110 &amp; $BV43),0)))))/1024</f>
        <v>57.13818359375</v>
      </c>
      <c r="S43" s="709">
        <v>0</v>
      </c>
      <c r="T43" s="709">
        <f ca="1">IF(ISERROR(MATCH(T$1,INDIRECT("Table!A"&amp;$BV43):INDIRECT("Table!" &amp; $CH$65 &amp; $BV43),0)),"",INDIRECT(CONCATENATE("Table!",ADDRESS($BR43,MATCH(T$1,INDIRECT("Table!A" &amp; $BV43):INDIRECT("Table!" &amp; $CH$65 &amp; $BV43),0)))))/1024</f>
        <v>7.14794921875</v>
      </c>
      <c r="U43" s="709">
        <f ca="1">IF(ISERROR(MATCH(U$1,INDIRECT("Table!A"&amp;$BV43):INDIRECT("Table!" &amp; $CH$65 &amp; $BV43),0)),"",INDIRECT(CONCATENATE("Table!",ADDRESS($BR43,MATCH(U$1,INDIRECT("Table!A" &amp; $BV43):INDIRECT("Table!" &amp; $CH$65 &amp; $BV43),0)))))/1024</f>
        <v>1.3867187499999999E-2</v>
      </c>
      <c r="V43" s="709">
        <f ca="1">IF(ISERROR(MATCH(V$1,INDIRECT("Table!A"&amp;$BV43):INDIRECT("Table!" &amp; $CH$65 &amp; $BV43),0)),"",INDIRECT(CONCATENATE("Table!",ADDRESS($BR43,MATCH(V$1,INDIRECT("Table!A" &amp; $BV43):INDIRECT("Table!" &amp; $CH$65 &amp; $BV43),0)))))/1024</f>
        <v>0.27714843750000001</v>
      </c>
      <c r="W43" s="905"/>
      <c r="X43" s="905"/>
      <c r="Y43" s="905"/>
      <c r="Z43" s="905"/>
      <c r="AA43" s="905"/>
      <c r="AB43" s="905"/>
      <c r="AC43" s="905"/>
      <c r="AD43" s="905"/>
      <c r="AE43" s="905"/>
      <c r="AF43" s="905"/>
      <c r="AG43" s="905"/>
      <c r="AH43" s="905"/>
      <c r="AI43" s="709" t="str">
        <f ca="1">IF(ISERROR(MATCH(AI$1,INDIRECT("Table!A"&amp;$BV43):INDIRECT("Table!" &amp; $CH$110 &amp; $BV43),0)),"",INDIRECT(CONCATENATE("Table!",ADDRESS($BR43,MATCH(AI$1,INDIRECT("Table!A" &amp; $BV43):INDIRECT("Table!" &amp; $CH$110 &amp; $BV43),0)))))</f>
        <v/>
      </c>
      <c r="AJ43" s="709">
        <f ca="1">IF(ISERROR(MATCH(AJ$1,INDIRECT("Table!A"&amp;$BV43):INDIRECT("Table!" &amp; $CH$110 &amp; $BV43),0)),"",INDIRECT(CONCATENATE("Table!",ADDRESS($BZ43,MATCH(AJ$1,INDIRECT("Table!A" &amp; $BV43):INDIRECT("Table!" &amp; $CH$110 &amp; $BV43),0)))))/1024</f>
        <v>140.0322265625</v>
      </c>
      <c r="AK43" s="709">
        <f ca="1">IF(ISERROR(MATCH(AK$1,INDIRECT("Table!A"&amp;$BV43):INDIRECT("Table!" &amp; $CH$110 &amp; $BV43),0)),"",INDIRECT(CONCATENATE("Table!",ADDRESS($BZ43,MATCH(AK$1,INDIRECT("Table!A" &amp; $BV43):INDIRECT("Table!" &amp; $CH$110 &amp; $BV43),0)))))/1024</f>
        <v>146.98896484375001</v>
      </c>
      <c r="AL43" s="709">
        <f ca="1">IF(ISERROR(MATCH(AL$1,INDIRECT("Table!A"&amp;$BV43):INDIRECT("Table!" &amp; $CH$110 &amp; $BV43),0)),"",INDIRECT(CONCATENATE("Table!",ADDRESS($BZ43,MATCH(AL$1,INDIRECT("Table!A" &amp; $BV43):INDIRECT("Table!" &amp; $CH$110 &amp; $BV43),0)))))/1024</f>
        <v>146.98896484375001</v>
      </c>
      <c r="AM43" s="709">
        <f ca="1">IF(ISERROR(MATCH(AM$1,INDIRECT("Table!A"&amp;$BV43):INDIRECT("Table!" &amp; $CH$110 &amp; $BV43),0)),"",INDIRECT(CONCATENATE("Table!",ADDRESS($BZ43,MATCH(AM$1,INDIRECT("Table!A" &amp; $BV43):INDIRECT("Table!" &amp; $CH$110 &amp; $BV43),0)))))/1024</f>
        <v>177.73320312499999</v>
      </c>
      <c r="AN43" s="709">
        <f ca="1">IF(ISERROR(MATCH(AN$1,INDIRECT("Table!A"&amp;$BV43):INDIRECT("Table!" &amp; $CH$110 &amp; $BV43),0)),"",INDIRECT(CONCATENATE("Table!",ADDRESS($BZ43,MATCH(AN$1,INDIRECT("Table!A" &amp; $BV43):INDIRECT("Table!" &amp; $CH$110 &amp; $BV43),0)))))/1024</f>
        <v>161.57568359375</v>
      </c>
      <c r="AO43" s="709">
        <f ca="1">IF(ISERROR(MATCH(AO$1,INDIRECT("Table!A"&amp;$BV43):INDIRECT("Table!" &amp; $CH$110 &amp; $BV43),0)),"",INDIRECT(CONCATENATE("Table!",ADDRESS($BZ43,MATCH(AO$1,INDIRECT("Table!A" &amp; $BV43):INDIRECT("Table!" &amp; $CH$110 &amp; $BV43),0)))))/1024</f>
        <v>129.03603515624999</v>
      </c>
      <c r="AP43" s="709">
        <f ca="1">IF(ISERROR(MATCH(AP$1,INDIRECT("Table!A"&amp;$BV43):INDIRECT("Table!" &amp; $CH$110 &amp; $BV43),0)),"",INDIRECT(CONCATENATE("Table!",ADDRESS($BZ43,MATCH(AP$1,INDIRECT("Table!A" &amp; $BV43):INDIRECT("Table!" &amp; $CH$110 &amp; $BV43),0)))))/1024</f>
        <v>166.96152343750001</v>
      </c>
      <c r="AQ43" s="709">
        <f ca="1">IF(ISERROR(MATCH(AQ$1,INDIRECT("Table!A"&amp;$BV43):INDIRECT("Table!" &amp; $CH$110 &amp; $BV43),0)),"",INDIRECT(CONCATENATE("Table!",ADDRESS($BZ43,MATCH(AQ$1,INDIRECT("Table!A" &amp; $BV43):INDIRECT("Table!" &amp; $CH$110 &amp; $BV43),0)))))/1024</f>
        <v>161.57568359375</v>
      </c>
      <c r="AR43" s="709">
        <f ca="1">IF(ISERROR(MATCH(AR$1,INDIRECT("Table!A"&amp;$BV43):INDIRECT("Table!" &amp; $CH$110 &amp; $BV43),0)),"",INDIRECT(CONCATENATE("Table!",ADDRESS($BZ43,MATCH(AR$1,INDIRECT("Table!A" &amp; $BV43):INDIRECT("Table!" &amp; $CH$110 &amp; $BV43),0)))))/1024</f>
        <v>118.53769531250001</v>
      </c>
      <c r="AS43" s="709">
        <f ca="1">IF(ISERROR(MATCH(AS$1,INDIRECT("Table!A"&amp;$BV43):INDIRECT("Table!" &amp; $CH$110 &amp; $BV43),0)),"",INDIRECT(CONCATENATE("Table!",ADDRESS($BZ43,MATCH(AS$1,INDIRECT("Table!A" &amp; $BV43):INDIRECT("Table!" &amp; $CH$110 &amp; $BV43),0)))))/1024</f>
        <v>81.246191406250006</v>
      </c>
      <c r="AT43" s="709">
        <f ca="1">IF(ISERROR(MATCH(AT$1,INDIRECT("Table!A"&amp;$BV43):INDIRECT("Table!" &amp; $CH$110 &amp; $BV43),0)),"",INDIRECT(CONCATENATE("Table!",ADDRESS($BZ43,MATCH(AT$1,INDIRECT("Table!A" &amp; $BV43):INDIRECT("Table!" &amp; $CH$110 &amp; $BV43),0)))))/1024</f>
        <v>188.50498046875001</v>
      </c>
      <c r="AU43" s="709">
        <f ca="1">IF(ISERROR(MATCH(AU$1,INDIRECT("Table!A"&amp;$BV43):INDIRECT("Table!" &amp; $CH$110 &amp; $BV43),0)),"",INDIRECT(CONCATENATE("Table!",ADDRESS($BZ43,MATCH(AU$1,INDIRECT("Table!A" &amp; $BV43):INDIRECT("Table!" &amp; $CH$110 &amp; $BV43),0)))))/1024</f>
        <v>129.03603515624999</v>
      </c>
      <c r="AV43" s="709">
        <f ca="1">IF(ISERROR(MATCH(AV$1,INDIRECT("Table!A"&amp;$BV43):INDIRECT("Table!" &amp; $CH$110 &amp; $BV43),0)),"",INDIRECT(CONCATENATE("Table!",ADDRESS($BZ43,MATCH(AV$1,INDIRECT("Table!A" &amp; $BV43):INDIRECT("Table!" &amp; $CH$110 &amp; $BV43),0)))))/1024</f>
        <v>80.787695312500006</v>
      </c>
      <c r="AW43" s="709">
        <f ca="1">IF(ISERROR(MATCH(AW$1,INDIRECT("Table!A"&amp;$BV43):INDIRECT("Table!" &amp; $CH$110 &amp; $BV43),0)),"",INDIRECT(CONCATENATE("Table!",ADDRESS($BZ43,MATCH(AW$1,INDIRECT("Table!A" &amp; $BV43):INDIRECT("Table!" &amp; $CH$110 &amp; $BV43),0)))))/1024</f>
        <v>269.2919921875</v>
      </c>
      <c r="AX43" s="709">
        <f ca="1">IF(ISERROR(MATCH(AX$1,INDIRECT("Table!A"&amp;$BV43):INDIRECT("Table!" &amp; $CH$110 &amp; $BV43),0)),"",INDIRECT(CONCATENATE("Table!",ADDRESS($BZ43,MATCH(AX$1,INDIRECT("Table!A" &amp; $BV43):INDIRECT("Table!" &amp; $CH$110 &amp; $BV43),0)))))/1024</f>
        <v>80.787695312500006</v>
      </c>
      <c r="AY43" s="709">
        <f ca="1">IF(ISERROR(MATCH(AY$1,INDIRECT("Table!A"&amp;$BV43):INDIRECT("Table!" &amp; $CH$110 &amp; $BV43),0)),"",INDIRECT(CONCATENATE("Table!",ADDRESS($BZ43,MATCH(AY$1,INDIRECT("Table!A" &amp; $BV43):INDIRECT("Table!" &amp; $CH$110 &amp; $BV43),0)))))/1024</f>
        <v>184.55234375000001</v>
      </c>
      <c r="AZ43" s="709">
        <f ca="1">IF(ISERROR(MATCH(AZ$1,INDIRECT("Table!A"&amp;$BV43):INDIRECT("Table!" &amp; $CH$110 &amp; $BV43),0)),"",INDIRECT(CONCATENATE("Table!",ADDRESS($BZ43,MATCH(AZ$1,INDIRECT("Table!A" &amp; $BV43):INDIRECT("Table!" &amp; $CH$110 &amp; $BV43),0)))))/1024</f>
        <v>81.246191406250006</v>
      </c>
      <c r="BA43" s="709"/>
      <c r="BB43" s="709">
        <f ca="1">IF(ISERROR(MATCH(BB$1,INDIRECT("Table!A"&amp;$BV43):INDIRECT("Table!" &amp; $CH$110 &amp; $BV43),0)),"",INDIRECT(CONCATENATE("Table!",ADDRESS($BZ43,MATCH(BB$1,INDIRECT("Table!A" &amp; $BV43):INDIRECT("Table!" &amp; $CH$110 &amp; $BV43),0)))))/1024</f>
        <v>32.31494140625</v>
      </c>
      <c r="BC43" s="709">
        <f ca="1">IF(ISERROR(MATCH(BC$1,INDIRECT("Table!A"&amp;$BV43):INDIRECT("Table!" &amp; $CH$110 &amp; $BV43),0)),"",INDIRECT(CONCATENATE("Table!",ADDRESS($BZ43,MATCH(BC$1,INDIRECT("Table!A" &amp; $BV43):INDIRECT("Table!" &amp; $CH$110 &amp; $BV43),0)))))/1024</f>
        <v>97.9736328125</v>
      </c>
      <c r="BD43" s="709">
        <f ca="1">IF(ISERROR(MATCH(BD$1,INDIRECT("Table!A"&amp;$BV43):INDIRECT("Table!" &amp; $CH$110 &amp; $BV43),0)),"",INDIRECT(CONCATENATE("Table!",ADDRESS($BZ43,MATCH(BD$1,INDIRECT("Table!A" &amp; $BV43):INDIRECT("Table!" &amp; $CH$110 &amp; $BV43),0)))))/1024</f>
        <v>202.7587890625</v>
      </c>
      <c r="BE43" s="905"/>
      <c r="BF43" s="905"/>
      <c r="BG43" s="905"/>
      <c r="BH43" s="905"/>
      <c r="BI43" s="905"/>
      <c r="BJ43" s="905"/>
      <c r="BK43" s="905"/>
      <c r="BL43" s="905"/>
      <c r="BM43" s="905"/>
      <c r="BN43" s="905"/>
      <c r="BO43" s="905"/>
      <c r="BP43" s="905"/>
      <c r="BQ43" s="905"/>
      <c r="BR43" s="704">
        <f>MATCH($A43,Table!$A:$A,0)+$BT$2-1</f>
        <v>579</v>
      </c>
      <c r="BS43" s="705"/>
      <c r="BT43" s="705"/>
      <c r="BU43" s="705"/>
      <c r="BV43" s="717">
        <f>MATCH($A43,Table!$A:$A,0)+$BX$2-1</f>
        <v>577</v>
      </c>
      <c r="BW43" s="705"/>
      <c r="BX43" s="705"/>
      <c r="BY43" s="705"/>
      <c r="BZ43" s="704">
        <f>MATCH($A43,Table!$A:$A,0)+$CB$2-1</f>
        <v>578</v>
      </c>
      <c r="CA43" s="705"/>
      <c r="CB43" s="705"/>
      <c r="CC43" s="705"/>
      <c r="CD43" s="717">
        <f>MATCH($A43,Table!$A:$A,0)+$BX$2-1</f>
        <v>577</v>
      </c>
      <c r="CE43" s="705"/>
      <c r="CF43" s="705"/>
      <c r="CG43" s="705"/>
      <c r="CH43" s="711" t="s">
        <v>302</v>
      </c>
      <c r="CI43" s="712">
        <f t="shared" ca="1" si="0"/>
        <v>2777.9304687500003</v>
      </c>
      <c r="CJ43" s="712">
        <f t="shared" ca="1" si="85"/>
        <v>1451.9752929687502</v>
      </c>
      <c r="CK43" s="712">
        <f t="shared" ref="CK43:CK106" ca="1" si="137">CI43-CJ43</f>
        <v>1325.9551757812501</v>
      </c>
      <c r="CL43" s="718">
        <f t="shared" ref="CL43:CL106" ca="1" si="138">CJ43/CI43</f>
        <v>0.52268237427198927</v>
      </c>
      <c r="CM43" s="712">
        <f ca="1">SUMIF('Alloc Feed'!A:I,A:A,'Alloc Feed'!I:I)</f>
        <v>3126.4944345703125</v>
      </c>
      <c r="CN43" s="718">
        <f t="shared" ca="1" si="136"/>
        <v>1.1254761304292678</v>
      </c>
    </row>
    <row r="44" spans="1:92" s="591" customFormat="1" x14ac:dyDescent="0.25">
      <c r="A44" s="703">
        <v>41690</v>
      </c>
      <c r="B44" s="709">
        <f ca="1">IF(ISERROR(MATCH(B$1,INDIRECT("Table!A"&amp;$BV44):INDIRECT("Table!" &amp; $CH$110 &amp; $BV44),0)),"",INDIRECT(CONCATENATE("Table!",ADDRESS($BR44,MATCH(B$1,INDIRECT("Table!A" &amp; $BV44):INDIRECT("Table!" &amp; $CH$110 &amp; $BV44),0)))))/1024</f>
        <v>51.684863281250003</v>
      </c>
      <c r="C44" s="709">
        <f ca="1">IF(ISERROR(MATCH(C$1,INDIRECT("Table!A"&amp;$BV44):INDIRECT("Table!" &amp; $CH$110 &amp; $BV44),0)),"",INDIRECT(CONCATENATE("Table!",ADDRESS($BR44,MATCH(C$1,INDIRECT("Table!A" &amp; $BV44):INDIRECT("Table!" &amp; $CH$110 &amp; $BV44),0)))))/1024</f>
        <v>80.777929687500006</v>
      </c>
      <c r="D44" s="709">
        <f ca="1">IF(ISERROR(MATCH(D$1,INDIRECT("Table!A"&amp;$BV44):INDIRECT("Table!" &amp; $CH$110 &amp; $BV44),0)),"",INDIRECT(CONCATENATE("Table!",ADDRESS($BR44,MATCH(D$1,INDIRECT("Table!A" &amp; $BV44):INDIRECT("Table!" &amp; $CH$110 &amp; $BV44),0)))))/1024</f>
        <v>82.088476562500006</v>
      </c>
      <c r="E44" s="709">
        <f ca="1">IF(ISERROR(MATCH(E$1,INDIRECT("Table!A"&amp;$BV44):INDIRECT("Table!" &amp; $CH$110 &amp; $BV44),0)),"",INDIRECT(CONCATENATE("Table!",ADDRESS($BR44,MATCH(E$1,INDIRECT("Table!A" &amp; $BV44):INDIRECT("Table!" &amp; $CH$110 &amp; $BV44),0)))))/1024</f>
        <v>152.8251953125</v>
      </c>
      <c r="F44" s="709">
        <f ca="1">IF(ISERROR(MATCH(F$1,INDIRECT("Table!A"&amp;$BV44):INDIRECT("Table!" &amp; $CH$110 &amp; $BV44),0)),"",INDIRECT(CONCATENATE("Table!",ADDRESS($BR44,MATCH(F$1,INDIRECT("Table!A" &amp; $BV44):INDIRECT("Table!" &amp; $CH$110 &amp; $BV44),0)))))/1024</f>
        <v>109.97724609375</v>
      </c>
      <c r="G44" s="709">
        <f ca="1">IF(ISERROR(MATCH(G$1,INDIRECT("Table!A"&amp;$BV44):INDIRECT("Table!" &amp; $CH$110 &amp; $BV44),0)),"",INDIRECT(CONCATENATE("Table!",ADDRESS($BR44,MATCH(G$1,INDIRECT("Table!A" &amp; $BV44):INDIRECT("Table!" &amp; $CH$110 &amp; $BV44),0)))))/1024</f>
        <v>65.286328124999997</v>
      </c>
      <c r="H44" s="709">
        <f ca="1">IF(ISERROR(MATCH(H$1,INDIRECT("Table!A"&amp;$BV44):INDIRECT("Table!" &amp; $CH$110 &amp; $BV44),0)),"",INDIRECT(CONCATENATE("Table!",ADDRESS($BR44,MATCH(H$1,INDIRECT("Table!A" &amp; $BV44):INDIRECT("Table!" &amp; $CH$110 &amp; $BV44),0)))))/1024</f>
        <v>113.89873046875</v>
      </c>
      <c r="I44" s="709">
        <f ca="1">IF(ISERROR(MATCH(I$1,INDIRECT("Table!A"&amp;$BV44):INDIRECT("Table!" &amp; $CH$110 &amp; $BV44),0)),"",INDIRECT(CONCATENATE("Table!",ADDRESS($BR44,MATCH(I$1,INDIRECT("Table!A" &amp; $BV44):INDIRECT("Table!" &amp; $CH$110 &amp; $BV44),0)))))/1024</f>
        <v>18.620019531250001</v>
      </c>
      <c r="J44" s="709">
        <f ca="1">IF(ISERROR(MATCH(J$1,INDIRECT("Table!A"&amp;$BV44):INDIRECT("Table!" &amp; $CH$110 &amp; $BV44),0)),"",INDIRECT(CONCATENATE("Table!",ADDRESS($BR44,MATCH(J$1,INDIRECT("Table!A" &amp; $BV44):INDIRECT("Table!" &amp; $CH$110 &amp; $BV44),0)))))/1024</f>
        <v>59.657910156249997</v>
      </c>
      <c r="K44" s="709">
        <f ca="1">IF(ISERROR(MATCH(K$1,INDIRECT("Table!A"&amp;$BV44):INDIRECT("Table!" &amp; $CH$110 &amp; $BV44),0)),"",INDIRECT(CONCATENATE("Table!",ADDRESS($BR44,MATCH(K$1,INDIRECT("Table!A" &amp; $BV44):INDIRECT("Table!" &amp; $CH$110 &amp; $BV44),0)))))/1024</f>
        <v>4.3580078125000004</v>
      </c>
      <c r="L44" s="709">
        <f ca="1">IF(ISERROR(MATCH(L$1,INDIRECT("Table!A"&amp;$BV44):INDIRECT("Table!" &amp; $CH$110 &amp; $BV44),0)),"",INDIRECT(CONCATENATE("Table!",ADDRESS($BR44,MATCH(L$1,INDIRECT("Table!A" &amp; $BV44):INDIRECT("Table!" &amp; $CH$110 &amp; $BV44),0)))))/1024</f>
        <v>168.43896484375</v>
      </c>
      <c r="M44" s="709">
        <f ca="1">IF(ISERROR(MATCH(M$1,INDIRECT("Table!A"&amp;$BV44):INDIRECT("Table!" &amp; $CH$110 &amp; $BV44),0)),"",INDIRECT(CONCATENATE("Table!",ADDRESS($BR44,MATCH(M$1,INDIRECT("Table!A" &amp; $BV44):INDIRECT("Table!" &amp; $CH$110 &amp; $BV44),0)))))/1024</f>
        <v>64.976660156250006</v>
      </c>
      <c r="N44" s="709">
        <f ca="1">IF(ISERROR(MATCH(N$1,INDIRECT("Table!A"&amp;$BV44):INDIRECT("Table!" &amp; $CH$110 &amp; $BV44),0)),"",INDIRECT(CONCATENATE("Table!",ADDRESS($BR44,MATCH(N$1,INDIRECT("Table!A" &amp; $BV44):INDIRECT("Table!" &amp; $CH$110 &amp; $BV44),0)))))/1024</f>
        <v>57.289160156249999</v>
      </c>
      <c r="O44" s="709">
        <f ca="1">IF(ISERROR(MATCH(O$1,INDIRECT("Table!A"&amp;$BV44):INDIRECT("Table!" &amp; $CH$110 &amp; $BV44),0)),"",INDIRECT(CONCATENATE("Table!",ADDRESS($BR44,MATCH(O$1,INDIRECT("Table!A" &amp; $BV44):INDIRECT("Table!" &amp; $CH$110 &amp; $BV44),0)))))/1024</f>
        <v>209.61386718750001</v>
      </c>
      <c r="P44" s="709">
        <f ca="1">IF(ISERROR(MATCH(P$1,INDIRECT("Table!A"&amp;$BV44):INDIRECT("Table!" &amp; $CH$110 &amp; $BV44),0)),"",INDIRECT(CONCATENATE("Table!",ADDRESS($BR44,MATCH(P$1,INDIRECT("Table!A" &amp; $BV44):INDIRECT("Table!" &amp; $CH$110 &amp; $BV44),0)))))/1024</f>
        <v>35.326171875</v>
      </c>
      <c r="Q44" s="709">
        <f ca="1">IF(ISERROR(MATCH(Q$1,INDIRECT("Table!A"&amp;$BV44):INDIRECT("Table!" &amp; $CH$110 &amp; $BV44),0)),"",INDIRECT(CONCATENATE("Table!",ADDRESS($BR44,MATCH(Q$1,INDIRECT("Table!A" &amp; $BV44):INDIRECT("Table!" &amp; $CH$110 &amp; $BV44),0)))))/1024</f>
        <v>98.302539062500003</v>
      </c>
      <c r="R44" s="709">
        <f ca="1">IF(ISERROR(MATCH(R$1,INDIRECT("Table!A"&amp;$BV44):INDIRECT("Table!" &amp; $CH$110 &amp; $BV44),0)),"",INDIRECT(CONCATENATE("Table!",ADDRESS($BR44,MATCH(R$1,INDIRECT("Table!A" &amp; $BV44):INDIRECT("Table!" &amp; $CH$110 &amp; $BV44),0)))))/1024</f>
        <v>49.472558593750001</v>
      </c>
      <c r="S44" s="709">
        <v>0</v>
      </c>
      <c r="T44" s="709">
        <f ca="1">IF(ISERROR(MATCH(T$1,INDIRECT("Table!A"&amp;$BV44):INDIRECT("Table!" &amp; $CH$65 &amp; $BV44),0)),"",INDIRECT(CONCATENATE("Table!",ADDRESS($BR44,MATCH(T$1,INDIRECT("Table!A" &amp; $BV44):INDIRECT("Table!" &amp; $CH$65 &amp; $BV44),0)))))/1024</f>
        <v>7.14794921875</v>
      </c>
      <c r="U44" s="709">
        <f ca="1">IF(ISERROR(MATCH(U$1,INDIRECT("Table!A"&amp;$BV44):INDIRECT("Table!" &amp; $CH$65 &amp; $BV44),0)),"",INDIRECT(CONCATENATE("Table!",ADDRESS($BR44,MATCH(U$1,INDIRECT("Table!A" &amp; $BV44):INDIRECT("Table!" &amp; $CH$65 &amp; $BV44),0)))))/1024</f>
        <v>3.0273437500000001E-3</v>
      </c>
      <c r="V44" s="905"/>
      <c r="W44" s="905"/>
      <c r="X44" s="905"/>
      <c r="Y44" s="905"/>
      <c r="Z44" s="905"/>
      <c r="AA44" s="905"/>
      <c r="AB44" s="905"/>
      <c r="AC44" s="905"/>
      <c r="AD44" s="905"/>
      <c r="AE44" s="905"/>
      <c r="AF44" s="905"/>
      <c r="AG44" s="905"/>
      <c r="AH44" s="905"/>
      <c r="AI44" s="709" t="str">
        <f ca="1">IF(ISERROR(MATCH(AI$1,INDIRECT("Table!A"&amp;$BV44):INDIRECT("Table!" &amp; $CH$110 &amp; $BV44),0)),"",INDIRECT(CONCATENATE("Table!",ADDRESS($BR44,MATCH(AI$1,INDIRECT("Table!A" &amp; $BV44):INDIRECT("Table!" &amp; $CH$110 &amp; $BV44),0)))))</f>
        <v/>
      </c>
      <c r="AJ44" s="709">
        <f ca="1">IF(ISERROR(MATCH(AJ$1,INDIRECT("Table!A"&amp;$BV44):INDIRECT("Table!" &amp; $CH$110 &amp; $BV44),0)),"",INDIRECT(CONCATENATE("Table!",ADDRESS($BZ44,MATCH(AJ$1,INDIRECT("Table!A" &amp; $BV44):INDIRECT("Table!" &amp; $CH$110 &amp; $BV44),0)))))/1024</f>
        <v>140.0322265625</v>
      </c>
      <c r="AK44" s="709">
        <f ca="1">IF(ISERROR(MATCH(AK$1,INDIRECT("Table!A"&amp;$BV44):INDIRECT("Table!" &amp; $CH$110 &amp; $BV44),0)),"",INDIRECT(CONCATENATE("Table!",ADDRESS($BZ44,MATCH(AK$1,INDIRECT("Table!A" &amp; $BV44):INDIRECT("Table!" &amp; $CH$110 &amp; $BV44),0)))))/1024</f>
        <v>146.98896484375001</v>
      </c>
      <c r="AL44" s="709">
        <f ca="1">IF(ISERROR(MATCH(AL$1,INDIRECT("Table!A"&amp;$BV44):INDIRECT("Table!" &amp; $CH$110 &amp; $BV44),0)),"",INDIRECT(CONCATENATE("Table!",ADDRESS($BZ44,MATCH(AL$1,INDIRECT("Table!A" &amp; $BV44):INDIRECT("Table!" &amp; $CH$110 &amp; $BV44),0)))))/1024</f>
        <v>146.98896484375001</v>
      </c>
      <c r="AM44" s="709">
        <f ca="1">IF(ISERROR(MATCH(AM$1,INDIRECT("Table!A"&amp;$BV44):INDIRECT("Table!" &amp; $CH$110 &amp; $BV44),0)),"",INDIRECT(CONCATENATE("Table!",ADDRESS($BZ44,MATCH(AM$1,INDIRECT("Table!A" &amp; $BV44):INDIRECT("Table!" &amp; $CH$110 &amp; $BV44),0)))))/1024</f>
        <v>177.73320312499999</v>
      </c>
      <c r="AN44" s="709">
        <f ca="1">IF(ISERROR(MATCH(AN$1,INDIRECT("Table!A"&amp;$BV44):INDIRECT("Table!" &amp; $CH$110 &amp; $BV44),0)),"",INDIRECT(CONCATENATE("Table!",ADDRESS($BZ44,MATCH(AN$1,INDIRECT("Table!A" &amp; $BV44):INDIRECT("Table!" &amp; $CH$110 &amp; $BV44),0)))))/1024</f>
        <v>161.57568359375</v>
      </c>
      <c r="AO44" s="709">
        <f ca="1">IF(ISERROR(MATCH(AO$1,INDIRECT("Table!A"&amp;$BV44):INDIRECT("Table!" &amp; $CH$110 &amp; $BV44),0)),"",INDIRECT(CONCATENATE("Table!",ADDRESS($BZ44,MATCH(AO$1,INDIRECT("Table!A" &amp; $BV44):INDIRECT("Table!" &amp; $CH$110 &amp; $BV44),0)))))/1024</f>
        <v>129.03603515624999</v>
      </c>
      <c r="AP44" s="709">
        <f ca="1">IF(ISERROR(MATCH(AP$1,INDIRECT("Table!A"&amp;$BV44):INDIRECT("Table!" &amp; $CH$110 &amp; $BV44),0)),"",INDIRECT(CONCATENATE("Table!",ADDRESS($BZ44,MATCH(AP$1,INDIRECT("Table!A" &amp; $BV44):INDIRECT("Table!" &amp; $CH$110 &amp; $BV44),0)))))/1024</f>
        <v>166.96152343750001</v>
      </c>
      <c r="AQ44" s="709">
        <f ca="1">IF(ISERROR(MATCH(AQ$1,INDIRECT("Table!A"&amp;$BV44):INDIRECT("Table!" &amp; $CH$110 &amp; $BV44),0)),"",INDIRECT(CONCATENATE("Table!",ADDRESS($BZ44,MATCH(AQ$1,INDIRECT("Table!A" &amp; $BV44):INDIRECT("Table!" &amp; $CH$110 &amp; $BV44),0)))))/1024</f>
        <v>161.57568359375</v>
      </c>
      <c r="AR44" s="709">
        <f ca="1">IF(ISERROR(MATCH(AR$1,INDIRECT("Table!A"&amp;$BV44):INDIRECT("Table!" &amp; $CH$110 &amp; $BV44),0)),"",INDIRECT(CONCATENATE("Table!",ADDRESS($BZ44,MATCH(AR$1,INDIRECT("Table!A" &amp; $BV44):INDIRECT("Table!" &amp; $CH$110 &amp; $BV44),0)))))/1024</f>
        <v>118.53769531250001</v>
      </c>
      <c r="AS44" s="709">
        <f ca="1">IF(ISERROR(MATCH(AS$1,INDIRECT("Table!A"&amp;$BV44):INDIRECT("Table!" &amp; $CH$110 &amp; $BV44),0)),"",INDIRECT(CONCATENATE("Table!",ADDRESS($BZ44,MATCH(AS$1,INDIRECT("Table!A" &amp; $BV44):INDIRECT("Table!" &amp; $CH$110 &amp; $BV44),0)))))/1024</f>
        <v>81.246191406250006</v>
      </c>
      <c r="AT44" s="709">
        <f ca="1">IF(ISERROR(MATCH(AT$1,INDIRECT("Table!A"&amp;$BV44):INDIRECT("Table!" &amp; $CH$110 &amp; $BV44),0)),"",INDIRECT(CONCATENATE("Table!",ADDRESS($BZ44,MATCH(AT$1,INDIRECT("Table!A" &amp; $BV44):INDIRECT("Table!" &amp; $CH$110 &amp; $BV44),0)))))/1024</f>
        <v>188.50498046875001</v>
      </c>
      <c r="AU44" s="709">
        <f ca="1">IF(ISERROR(MATCH(AU$1,INDIRECT("Table!A"&amp;$BV44):INDIRECT("Table!" &amp; $CH$110 &amp; $BV44),0)),"",INDIRECT(CONCATENATE("Table!",ADDRESS($BZ44,MATCH(AU$1,INDIRECT("Table!A" &amp; $BV44):INDIRECT("Table!" &amp; $CH$110 &amp; $BV44),0)))))/1024</f>
        <v>129.03603515624999</v>
      </c>
      <c r="AV44" s="709">
        <f ca="1">IF(ISERROR(MATCH(AV$1,INDIRECT("Table!A"&amp;$BV44):INDIRECT("Table!" &amp; $CH$110 &amp; $BV44),0)),"",INDIRECT(CONCATENATE("Table!",ADDRESS($BZ44,MATCH(AV$1,INDIRECT("Table!A" &amp; $BV44):INDIRECT("Table!" &amp; $CH$110 &amp; $BV44),0)))))/1024</f>
        <v>80.787695312500006</v>
      </c>
      <c r="AW44" s="709">
        <f ca="1">IF(ISERROR(MATCH(AW$1,INDIRECT("Table!A"&amp;$BV44):INDIRECT("Table!" &amp; $CH$110 &amp; $BV44),0)),"",INDIRECT(CONCATENATE("Table!",ADDRESS($BZ44,MATCH(AW$1,INDIRECT("Table!A" &amp; $BV44):INDIRECT("Table!" &amp; $CH$110 &amp; $BV44),0)))))/1024</f>
        <v>269.2919921875</v>
      </c>
      <c r="AX44" s="709">
        <f ca="1">IF(ISERROR(MATCH(AX$1,INDIRECT("Table!A"&amp;$BV44):INDIRECT("Table!" &amp; $CH$110 &amp; $BV44),0)),"",INDIRECT(CONCATENATE("Table!",ADDRESS($BZ44,MATCH(AX$1,INDIRECT("Table!A" &amp; $BV44):INDIRECT("Table!" &amp; $CH$110 &amp; $BV44),0)))))/1024</f>
        <v>80.787695312500006</v>
      </c>
      <c r="AY44" s="709">
        <f ca="1">IF(ISERROR(MATCH(AY$1,INDIRECT("Table!A"&amp;$BV44):INDIRECT("Table!" &amp; $CH$110 &amp; $BV44),0)),"",INDIRECT(CONCATENATE("Table!",ADDRESS($BZ44,MATCH(AY$1,INDIRECT("Table!A" &amp; $BV44):INDIRECT("Table!" &amp; $CH$110 &amp; $BV44),0)))))/1024</f>
        <v>184.55234375000001</v>
      </c>
      <c r="AZ44" s="709">
        <f ca="1">IF(ISERROR(MATCH(AZ$1,INDIRECT("Table!A"&amp;$BV44):INDIRECT("Table!" &amp; $CH$110 &amp; $BV44),0)),"",INDIRECT(CONCATENATE("Table!",ADDRESS($BZ44,MATCH(AZ$1,INDIRECT("Table!A" &amp; $BV44):INDIRECT("Table!" &amp; $CH$110 &amp; $BV44),0)))))/1024</f>
        <v>81.246191406250006</v>
      </c>
      <c r="BA44" s="709"/>
      <c r="BB44" s="709">
        <f ca="1">IF(ISERROR(MATCH(BB$1,INDIRECT("Table!A"&amp;$BV44):INDIRECT("Table!" &amp; $CH$110 &amp; $BV44),0)),"",INDIRECT(CONCATENATE("Table!",ADDRESS($BZ44,MATCH(BB$1,INDIRECT("Table!A" &amp; $BV44):INDIRECT("Table!" &amp; $CH$110 &amp; $BV44),0)))))/1024</f>
        <v>32.31494140625</v>
      </c>
      <c r="BC44" s="709">
        <f ca="1">IF(ISERROR(MATCH(BC$1,INDIRECT("Table!A"&amp;$BV44):INDIRECT("Table!" &amp; $CH$110 &amp; $BV44),0)),"",INDIRECT(CONCATENATE("Table!",ADDRESS($BZ44,MATCH(BC$1,INDIRECT("Table!A" &amp; $BV44):INDIRECT("Table!" &amp; $CH$110 &amp; $BV44),0)))))/1024</f>
        <v>97.9736328125</v>
      </c>
      <c r="BD44" s="905"/>
      <c r="BE44" s="905"/>
      <c r="BF44" s="905"/>
      <c r="BG44" s="905"/>
      <c r="BH44" s="905"/>
      <c r="BI44" s="905"/>
      <c r="BJ44" s="905"/>
      <c r="BK44" s="905"/>
      <c r="BL44" s="905"/>
      <c r="BM44" s="905"/>
      <c r="BN44" s="905"/>
      <c r="BO44" s="905"/>
      <c r="BP44" s="905"/>
      <c r="BQ44" s="905"/>
      <c r="BR44" s="704">
        <f>MATCH($A44,Table!$A:$A,0)+$BT$2-1</f>
        <v>593</v>
      </c>
      <c r="BS44" s="705"/>
      <c r="BT44" s="705"/>
      <c r="BU44" s="705"/>
      <c r="BV44" s="717">
        <f>MATCH($A44,Table!$A:$A,0)+$BX$2-1</f>
        <v>591</v>
      </c>
      <c r="BW44" s="705"/>
      <c r="BX44" s="705"/>
      <c r="BY44" s="705"/>
      <c r="BZ44" s="704">
        <f>MATCH($A44,Table!$A:$A,0)+$CB$2-1</f>
        <v>592</v>
      </c>
      <c r="CA44" s="705"/>
      <c r="CB44" s="705"/>
      <c r="CC44" s="705"/>
      <c r="CD44" s="717">
        <f>MATCH($A44,Table!$A:$A,0)+$BX$2-1</f>
        <v>591</v>
      </c>
      <c r="CE44" s="705"/>
      <c r="CF44" s="705"/>
      <c r="CG44" s="705"/>
      <c r="CH44" s="711" t="s">
        <v>302</v>
      </c>
      <c r="CI44" s="712">
        <f t="shared" ca="1" si="0"/>
        <v>2575.1716796875003</v>
      </c>
      <c r="CJ44" s="712">
        <f t="shared" ca="1" si="85"/>
        <v>1429.7456054687502</v>
      </c>
      <c r="CK44" s="712">
        <f t="shared" ca="1" si="137"/>
        <v>1145.42607421875</v>
      </c>
      <c r="CL44" s="718">
        <f t="shared" ca="1" si="138"/>
        <v>0.55520399542536569</v>
      </c>
      <c r="CM44" s="712">
        <f ca="1">SUMIF('Alloc Feed'!A:I,A:A,'Alloc Feed'!I:I)</f>
        <v>3057.381169921875</v>
      </c>
      <c r="CN44" s="718">
        <f t="shared" ca="1" si="136"/>
        <v>1.1872533369475744</v>
      </c>
    </row>
    <row r="45" spans="1:92" s="591" customFormat="1" x14ac:dyDescent="0.25">
      <c r="A45" s="703">
        <v>41684</v>
      </c>
      <c r="B45" s="709">
        <f ca="1">IF(ISERROR(MATCH(B$1,INDIRECT("Table!A"&amp;$BV45):INDIRECT("Table!" &amp; $CH$110 &amp; $BV45),0)),"",INDIRECT(CONCATENATE("Table!",ADDRESS($BR45,MATCH(B$1,INDIRECT("Table!A" &amp; $BV45):INDIRECT("Table!" &amp; $CH$110 &amp; $BV45),0)))))/1024</f>
        <v>51.684863281250003</v>
      </c>
      <c r="C45" s="709">
        <f ca="1">IF(ISERROR(MATCH(C$1,INDIRECT("Table!A"&amp;$BV45):INDIRECT("Table!" &amp; $CH$110 &amp; $BV45),0)),"",INDIRECT(CONCATENATE("Table!",ADDRESS($BR45,MATCH(C$1,INDIRECT("Table!A" &amp; $BV45):INDIRECT("Table!" &amp; $CH$110 &amp; $BV45),0)))))/1024</f>
        <v>80.777929687500006</v>
      </c>
      <c r="D45" s="709">
        <f ca="1">IF(ISERROR(MATCH(D$1,INDIRECT("Table!A"&amp;$BV45):INDIRECT("Table!" &amp; $CH$110 &amp; $BV45),0)),"",INDIRECT(CONCATENATE("Table!",ADDRESS($BR45,MATCH(D$1,INDIRECT("Table!A" &amp; $BV45):INDIRECT("Table!" &amp; $CH$110 &amp; $BV45),0)))))/1024</f>
        <v>82.088476562500006</v>
      </c>
      <c r="E45" s="709">
        <f ca="1">IF(ISERROR(MATCH(E$1,INDIRECT("Table!A"&amp;$BV45):INDIRECT("Table!" &amp; $CH$110 &amp; $BV45),0)),"",INDIRECT(CONCATENATE("Table!",ADDRESS($BR45,MATCH(E$1,INDIRECT("Table!A" &amp; $BV45):INDIRECT("Table!" &amp; $CH$110 &amp; $BV45),0)))))/1024</f>
        <v>152.8251953125</v>
      </c>
      <c r="F45" s="709">
        <f ca="1">IF(ISERROR(MATCH(F$1,INDIRECT("Table!A"&amp;$BV45):INDIRECT("Table!" &amp; $CH$110 &amp; $BV45),0)),"",INDIRECT(CONCATENATE("Table!",ADDRESS($BR45,MATCH(F$1,INDIRECT("Table!A" &amp; $BV45):INDIRECT("Table!" &amp; $CH$110 &amp; $BV45),0)))))/1024</f>
        <v>109.97724609375</v>
      </c>
      <c r="G45" s="709">
        <f ca="1">IF(ISERROR(MATCH(G$1,INDIRECT("Table!A"&amp;$BV45):INDIRECT("Table!" &amp; $CH$110 &amp; $BV45),0)),"",INDIRECT(CONCATENATE("Table!",ADDRESS($BR45,MATCH(G$1,INDIRECT("Table!A" &amp; $BV45):INDIRECT("Table!" &amp; $CH$110 &amp; $BV45),0)))))/1024</f>
        <v>65.286328124999997</v>
      </c>
      <c r="H45" s="709">
        <f ca="1">IF(ISERROR(MATCH(H$1,INDIRECT("Table!A"&amp;$BV45):INDIRECT("Table!" &amp; $CH$110 &amp; $BV45),0)),"",INDIRECT(CONCATENATE("Table!",ADDRESS($BR45,MATCH(H$1,INDIRECT("Table!A" &amp; $BV45):INDIRECT("Table!" &amp; $CH$110 &amp; $BV45),0)))))/1024</f>
        <v>113.89873046875</v>
      </c>
      <c r="I45" s="709">
        <f ca="1">IF(ISERROR(MATCH(I$1,INDIRECT("Table!A"&amp;$BV45):INDIRECT("Table!" &amp; $CH$110 &amp; $BV45),0)),"",INDIRECT(CONCATENATE("Table!",ADDRESS($BR45,MATCH(I$1,INDIRECT("Table!A" &amp; $BV45):INDIRECT("Table!" &amp; $CH$110 &amp; $BV45),0)))))/1024</f>
        <v>18.3447265625</v>
      </c>
      <c r="J45" s="709">
        <f ca="1">IF(ISERROR(MATCH(J$1,INDIRECT("Table!A"&amp;$BV45):INDIRECT("Table!" &amp; $CH$110 &amp; $BV45),0)),"",INDIRECT(CONCATENATE("Table!",ADDRESS($BR45,MATCH(J$1,INDIRECT("Table!A" &amp; $BV45):INDIRECT("Table!" &amp; $CH$110 &amp; $BV45),0)))))/1024</f>
        <v>59.657910156249997</v>
      </c>
      <c r="K45" s="709">
        <f ca="1">IF(ISERROR(MATCH(K$1,INDIRECT("Table!A"&amp;$BV45):INDIRECT("Table!" &amp; $CH$110 &amp; $BV45),0)),"",INDIRECT(CONCATENATE("Table!",ADDRESS($BR45,MATCH(K$1,INDIRECT("Table!A" &amp; $BV45):INDIRECT("Table!" &amp; $CH$110 &amp; $BV45),0)))))/1024</f>
        <v>4.3580078125000004</v>
      </c>
      <c r="L45" s="709">
        <f ca="1">IF(ISERROR(MATCH(L$1,INDIRECT("Table!A"&amp;$BV45):INDIRECT("Table!" &amp; $CH$110 &amp; $BV45),0)),"",INDIRECT(CONCATENATE("Table!",ADDRESS($BR45,MATCH(L$1,INDIRECT("Table!A" &amp; $BV45):INDIRECT("Table!" &amp; $CH$110 &amp; $BV45),0)))))/1024</f>
        <v>167.41367187500001</v>
      </c>
      <c r="M45" s="709">
        <f ca="1">IF(ISERROR(MATCH(M$1,INDIRECT("Table!A"&amp;$BV45):INDIRECT("Table!" &amp; $CH$110 &amp; $BV45),0)),"",INDIRECT(CONCATENATE("Table!",ADDRESS($BR45,MATCH(M$1,INDIRECT("Table!A" &amp; $BV45):INDIRECT("Table!" &amp; $CH$110 &amp; $BV45),0)))))/1024</f>
        <v>66.006640625000003</v>
      </c>
      <c r="N45" s="709">
        <f ca="1">IF(ISERROR(MATCH(N$1,INDIRECT("Table!A"&amp;$BV45):INDIRECT("Table!" &amp; $CH$110 &amp; $BV45),0)),"",INDIRECT(CONCATENATE("Table!",ADDRESS($BR45,MATCH(N$1,INDIRECT("Table!A" &amp; $BV45):INDIRECT("Table!" &amp; $CH$110 &amp; $BV45),0)))))/1024</f>
        <v>56.887890624999997</v>
      </c>
      <c r="O45" s="709">
        <f ca="1">IF(ISERROR(MATCH(O$1,INDIRECT("Table!A"&amp;$BV45):INDIRECT("Table!" &amp; $CH$110 &amp; $BV45),0)),"",INDIRECT(CONCATENATE("Table!",ADDRESS($BR45,MATCH(O$1,INDIRECT("Table!A" &amp; $BV45):INDIRECT("Table!" &amp; $CH$110 &amp; $BV45),0)))))/1024</f>
        <v>208.69130859374999</v>
      </c>
      <c r="P45" s="709">
        <f ca="1">IF(ISERROR(MATCH(P$1,INDIRECT("Table!A"&amp;$BV45):INDIRECT("Table!" &amp; $CH$110 &amp; $BV45),0)),"",INDIRECT(CONCATENATE("Table!",ADDRESS($BR45,MATCH(P$1,INDIRECT("Table!A" &amp; $BV45):INDIRECT("Table!" &amp; $CH$110 &amp; $BV45),0)))))/1024</f>
        <v>35.326171875</v>
      </c>
      <c r="Q45" s="709">
        <f ca="1">IF(ISERROR(MATCH(Q$1,INDIRECT("Table!A"&amp;$BV45):INDIRECT("Table!" &amp; $CH$110 &amp; $BV45),0)),"",INDIRECT(CONCATENATE("Table!",ADDRESS($BR45,MATCH(Q$1,INDIRECT("Table!A" &amp; $BV45):INDIRECT("Table!" &amp; $CH$110 &amp; $BV45),0)))))/1024</f>
        <v>97.81201171875</v>
      </c>
      <c r="R45" s="709">
        <f ca="1">IF(ISERROR(MATCH(R$1,INDIRECT("Table!A"&amp;$BV45):INDIRECT("Table!" &amp; $CH$110 &amp; $BV45),0)),"",INDIRECT(CONCATENATE("Table!",ADDRESS($BR45,MATCH(R$1,INDIRECT("Table!A" &amp; $BV45):INDIRECT("Table!" &amp; $CH$110 &amp; $BV45),0)))))/1024</f>
        <v>45.2880859375</v>
      </c>
      <c r="S45" s="709">
        <v>0</v>
      </c>
      <c r="T45" s="709">
        <f ca="1">IF(ISERROR(MATCH(T$1,INDIRECT("Table!A"&amp;$BV45):INDIRECT("Table!" &amp; $CH$65 &amp; $BV45),0)),"",INDIRECT(CONCATENATE("Table!",ADDRESS($BR45,MATCH(T$1,INDIRECT("Table!A" &amp; $BV45):INDIRECT("Table!" &amp; $CH$65 &amp; $BV45),0)))))/1024</f>
        <v>7.14794921875</v>
      </c>
      <c r="U45" s="709"/>
      <c r="V45" s="905"/>
      <c r="W45" s="905"/>
      <c r="X45" s="905"/>
      <c r="Y45" s="905"/>
      <c r="Z45" s="905"/>
      <c r="AA45" s="905"/>
      <c r="AB45" s="905"/>
      <c r="AC45" s="905"/>
      <c r="AD45" s="905"/>
      <c r="AE45" s="905"/>
      <c r="AF45" s="905"/>
      <c r="AG45" s="905"/>
      <c r="AH45" s="905"/>
      <c r="AI45" s="709" t="str">
        <f ca="1">IF(ISERROR(MATCH(AI$1,INDIRECT("Table!A"&amp;$BV45):INDIRECT("Table!" &amp; $CH$110 &amp; $BV45),0)),"",INDIRECT(CONCATENATE("Table!",ADDRESS($BR45,MATCH(AI$1,INDIRECT("Table!A" &amp; $BV45):INDIRECT("Table!" &amp; $CH$110 &amp; $BV45),0)))))</f>
        <v/>
      </c>
      <c r="AJ45" s="709">
        <f ca="1">IF(ISERROR(MATCH(AJ$1,INDIRECT("Table!A"&amp;$BV45):INDIRECT("Table!" &amp; $CH$110 &amp; $BV45),0)),"",INDIRECT(CONCATENATE("Table!",ADDRESS($BZ45,MATCH(AJ$1,INDIRECT("Table!A" &amp; $BV45):INDIRECT("Table!" &amp; $CH$110 &amp; $BV45),0)))))/1024</f>
        <v>140.0322265625</v>
      </c>
      <c r="AK45" s="709">
        <f ca="1">IF(ISERROR(MATCH(AK$1,INDIRECT("Table!A"&amp;$BV45):INDIRECT("Table!" &amp; $CH$110 &amp; $BV45),0)),"",INDIRECT(CONCATENATE("Table!",ADDRESS($BZ45,MATCH(AK$1,INDIRECT("Table!A" &amp; $BV45):INDIRECT("Table!" &amp; $CH$110 &amp; $BV45),0)))))/1024</f>
        <v>146.98896484375001</v>
      </c>
      <c r="AL45" s="709">
        <f ca="1">IF(ISERROR(MATCH(AL$1,INDIRECT("Table!A"&amp;$BV45):INDIRECT("Table!" &amp; $CH$110 &amp; $BV45),0)),"",INDIRECT(CONCATENATE("Table!",ADDRESS($BZ45,MATCH(AL$1,INDIRECT("Table!A" &amp; $BV45):INDIRECT("Table!" &amp; $CH$110 &amp; $BV45),0)))))/1024</f>
        <v>146.98896484375001</v>
      </c>
      <c r="AM45" s="709">
        <f ca="1">IF(ISERROR(MATCH(AM$1,INDIRECT("Table!A"&amp;$BV45):INDIRECT("Table!" &amp; $CH$110 &amp; $BV45),0)),"",INDIRECT(CONCATENATE("Table!",ADDRESS($BZ45,MATCH(AM$1,INDIRECT("Table!A" &amp; $BV45):INDIRECT("Table!" &amp; $CH$110 &amp; $BV45),0)))))/1024</f>
        <v>177.73320312499999</v>
      </c>
      <c r="AN45" s="709">
        <f ca="1">IF(ISERROR(MATCH(AN$1,INDIRECT("Table!A"&amp;$BV45):INDIRECT("Table!" &amp; $CH$110 &amp; $BV45),0)),"",INDIRECT(CONCATENATE("Table!",ADDRESS($BZ45,MATCH(AN$1,INDIRECT("Table!A" &amp; $BV45):INDIRECT("Table!" &amp; $CH$110 &amp; $BV45),0)))))/1024</f>
        <v>161.57568359375</v>
      </c>
      <c r="AO45" s="709">
        <f ca="1">IF(ISERROR(MATCH(AO$1,INDIRECT("Table!A"&amp;$BV45):INDIRECT("Table!" &amp; $CH$110 &amp; $BV45),0)),"",INDIRECT(CONCATENATE("Table!",ADDRESS($BZ45,MATCH(AO$1,INDIRECT("Table!A" &amp; $BV45):INDIRECT("Table!" &amp; $CH$110 &amp; $BV45),0)))))/1024</f>
        <v>129.03603515624999</v>
      </c>
      <c r="AP45" s="709">
        <f ca="1">IF(ISERROR(MATCH(AP$1,INDIRECT("Table!A"&amp;$BV45):INDIRECT("Table!" &amp; $CH$110 &amp; $BV45),0)),"",INDIRECT(CONCATENATE("Table!",ADDRESS($BZ45,MATCH(AP$1,INDIRECT("Table!A" &amp; $BV45):INDIRECT("Table!" &amp; $CH$110 &amp; $BV45),0)))))/1024</f>
        <v>166.96152343750001</v>
      </c>
      <c r="AQ45" s="709">
        <f ca="1">IF(ISERROR(MATCH(AQ$1,INDIRECT("Table!A"&amp;$BV45):INDIRECT("Table!" &amp; $CH$110 &amp; $BV45),0)),"",INDIRECT(CONCATENATE("Table!",ADDRESS($BZ45,MATCH(AQ$1,INDIRECT("Table!A" &amp; $BV45):INDIRECT("Table!" &amp; $CH$110 &amp; $BV45),0)))))/1024</f>
        <v>161.57568359375</v>
      </c>
      <c r="AR45" s="709">
        <f ca="1">IF(ISERROR(MATCH(AR$1,INDIRECT("Table!A"&amp;$BV45):INDIRECT("Table!" &amp; $CH$110 &amp; $BV45),0)),"",INDIRECT(CONCATENATE("Table!",ADDRESS($BZ45,MATCH(AR$1,INDIRECT("Table!A" &amp; $BV45):INDIRECT("Table!" &amp; $CH$110 &amp; $BV45),0)))))/1024</f>
        <v>118.53769531250001</v>
      </c>
      <c r="AS45" s="709">
        <f ca="1">IF(ISERROR(MATCH(AS$1,INDIRECT("Table!A"&amp;$BV45):INDIRECT("Table!" &amp; $CH$110 &amp; $BV45),0)),"",INDIRECT(CONCATENATE("Table!",ADDRESS($BZ45,MATCH(AS$1,INDIRECT("Table!A" &amp; $BV45):INDIRECT("Table!" &amp; $CH$110 &amp; $BV45),0)))))/1024</f>
        <v>81.246191406250006</v>
      </c>
      <c r="AT45" s="709">
        <f ca="1">IF(ISERROR(MATCH(AT$1,INDIRECT("Table!A"&amp;$BV45):INDIRECT("Table!" &amp; $CH$110 &amp; $BV45),0)),"",INDIRECT(CONCATENATE("Table!",ADDRESS($BZ45,MATCH(AT$1,INDIRECT("Table!A" &amp; $BV45):INDIRECT("Table!" &amp; $CH$110 &amp; $BV45),0)))))/1024</f>
        <v>188.50498046875001</v>
      </c>
      <c r="AU45" s="709">
        <f ca="1">IF(ISERROR(MATCH(AU$1,INDIRECT("Table!A"&amp;$BV45):INDIRECT("Table!" &amp; $CH$110 &amp; $BV45),0)),"",INDIRECT(CONCATENATE("Table!",ADDRESS($BZ45,MATCH(AU$1,INDIRECT("Table!A" &amp; $BV45):INDIRECT("Table!" &amp; $CH$110 &amp; $BV45),0)))))/1024</f>
        <v>129.03603515624999</v>
      </c>
      <c r="AV45" s="709">
        <f ca="1">IF(ISERROR(MATCH(AV$1,INDIRECT("Table!A"&amp;$BV45):INDIRECT("Table!" &amp; $CH$110 &amp; $BV45),0)),"",INDIRECT(CONCATENATE("Table!",ADDRESS($BZ45,MATCH(AV$1,INDIRECT("Table!A" &amp; $BV45):INDIRECT("Table!" &amp; $CH$110 &amp; $BV45),0)))))/1024</f>
        <v>80.787695312500006</v>
      </c>
      <c r="AW45" s="709">
        <f ca="1">IF(ISERROR(MATCH(AW$1,INDIRECT("Table!A"&amp;$BV45):INDIRECT("Table!" &amp; $CH$110 &amp; $BV45),0)),"",INDIRECT(CONCATENATE("Table!",ADDRESS($BZ45,MATCH(AW$1,INDIRECT("Table!A" &amp; $BV45):INDIRECT("Table!" &amp; $CH$110 &amp; $BV45),0)))))/1024</f>
        <v>269.2919921875</v>
      </c>
      <c r="AX45" s="709">
        <f ca="1">IF(ISERROR(MATCH(AX$1,INDIRECT("Table!A"&amp;$BV45):INDIRECT("Table!" &amp; $CH$110 &amp; $BV45),0)),"",INDIRECT(CONCATENATE("Table!",ADDRESS($BZ45,MATCH(AX$1,INDIRECT("Table!A" &amp; $BV45):INDIRECT("Table!" &amp; $CH$110 &amp; $BV45),0)))))/1024</f>
        <v>80.787695312500006</v>
      </c>
      <c r="AY45" s="709">
        <f ca="1">IF(ISERROR(MATCH(AY$1,INDIRECT("Table!A"&amp;$BV45):INDIRECT("Table!" &amp; $CH$110 &amp; $BV45),0)),"",INDIRECT(CONCATENATE("Table!",ADDRESS($BZ45,MATCH(AY$1,INDIRECT("Table!A" &amp; $BV45):INDIRECT("Table!" &amp; $CH$110 &amp; $BV45),0)))))/1024</f>
        <v>184.55234375000001</v>
      </c>
      <c r="AZ45" s="709">
        <f ca="1">IF(ISERROR(MATCH(AZ$1,INDIRECT("Table!A"&amp;$BV45):INDIRECT("Table!" &amp; $CH$110 &amp; $BV45),0)),"",INDIRECT(CONCATENATE("Table!",ADDRESS($BZ45,MATCH(AZ$1,INDIRECT("Table!A" &amp; $BV45):INDIRECT("Table!" &amp; $CH$110 &amp; $BV45),0)))))/1024</f>
        <v>81.246191406250006</v>
      </c>
      <c r="BA45" s="709"/>
      <c r="BB45" s="709">
        <f ca="1">IF(ISERROR(MATCH(BB$1,INDIRECT("Table!A"&amp;$BV45):INDIRECT("Table!" &amp; $CH$110 &amp; $BV45),0)),"",INDIRECT(CONCATENATE("Table!",ADDRESS($BZ45,MATCH(BB$1,INDIRECT("Table!A" &amp; $BV45):INDIRECT("Table!" &amp; $CH$110 &amp; $BV45),0)))))/1024</f>
        <v>32.31494140625</v>
      </c>
      <c r="BC45" s="709"/>
      <c r="BD45" s="905"/>
      <c r="BE45" s="905"/>
      <c r="BF45" s="905"/>
      <c r="BG45" s="905"/>
      <c r="BH45" s="905"/>
      <c r="BI45" s="905"/>
      <c r="BJ45" s="905"/>
      <c r="BK45" s="905"/>
      <c r="BL45" s="905"/>
      <c r="BM45" s="905"/>
      <c r="BN45" s="905"/>
      <c r="BO45" s="905"/>
      <c r="BP45" s="905"/>
      <c r="BQ45" s="905"/>
      <c r="BR45" s="704">
        <f>MATCH($A45,Table!$A:$A,0)+$BT$2-1</f>
        <v>607</v>
      </c>
      <c r="BS45" s="705"/>
      <c r="BT45" s="705"/>
      <c r="BU45" s="705"/>
      <c r="BV45" s="717">
        <f>MATCH($A45,Table!$A:$A,0)+$BX$2-1</f>
        <v>605</v>
      </c>
      <c r="BW45" s="705"/>
      <c r="BX45" s="705"/>
      <c r="BY45" s="705"/>
      <c r="BZ45" s="704">
        <f>MATCH($A45,Table!$A:$A,0)+$CB$2-1</f>
        <v>606</v>
      </c>
      <c r="CA45" s="705"/>
      <c r="CB45" s="705"/>
      <c r="CC45" s="705"/>
      <c r="CD45" s="717">
        <f>MATCH($A45,Table!$A:$A,0)+$BX$2-1</f>
        <v>605</v>
      </c>
      <c r="CE45" s="705"/>
      <c r="CF45" s="705"/>
      <c r="CG45" s="705"/>
      <c r="CH45" s="711" t="s">
        <v>302</v>
      </c>
      <c r="CI45" s="712">
        <f t="shared" ca="1" si="0"/>
        <v>2477.1980468750003</v>
      </c>
      <c r="CJ45" s="712">
        <f t="shared" ca="1" si="85"/>
        <v>1423.47314453125</v>
      </c>
      <c r="CK45" s="712">
        <f t="shared" ca="1" si="137"/>
        <v>1053.7249023437503</v>
      </c>
      <c r="CL45" s="718">
        <f t="shared" ca="1" si="138"/>
        <v>0.57463033540130937</v>
      </c>
      <c r="CM45" s="712">
        <f ca="1">SUMIF('Alloc Feed'!A:I,A:A,'Alloc Feed'!I:I)</f>
        <v>2982.2423085937503</v>
      </c>
      <c r="CN45" s="718">
        <f t="shared" ca="1" si="136"/>
        <v>1.2038772242517575</v>
      </c>
    </row>
    <row r="46" spans="1:92" s="591" customFormat="1" x14ac:dyDescent="0.25">
      <c r="A46" s="703">
        <v>41676</v>
      </c>
      <c r="B46" s="709">
        <f ca="1">IF(ISERROR(MATCH(B$1,INDIRECT("Table!A"&amp;$BV46):INDIRECT("Table!" &amp; $CH$110 &amp; $BV46),0)),"",INDIRECT(CONCATENATE("Table!",ADDRESS($BR46,MATCH(B$1,INDIRECT("Table!A" &amp; $BV46):INDIRECT("Table!" &amp; $CH$110 &amp; $BV46),0)))))/1024</f>
        <v>51.081152343749999</v>
      </c>
      <c r="C46" s="709">
        <f ca="1">IF(ISERROR(MATCH(C$1,INDIRECT("Table!A"&amp;$BV46):INDIRECT("Table!" &amp; $CH$110 &amp; $BV46),0)),"",INDIRECT(CONCATENATE("Table!",ADDRESS($BR46,MATCH(C$1,INDIRECT("Table!A" &amp; $BV46):INDIRECT("Table!" &amp; $CH$110 &amp; $BV46),0)))))/1024</f>
        <v>80.741503906250003</v>
      </c>
      <c r="D46" s="709">
        <f ca="1">IF(ISERROR(MATCH(D$1,INDIRECT("Table!A"&amp;$BV46):INDIRECT("Table!" &amp; $CH$110 &amp; $BV46),0)),"",INDIRECT(CONCATENATE("Table!",ADDRESS($BR46,MATCH(D$1,INDIRECT("Table!A" &amp; $BV46):INDIRECT("Table!" &amp; $CH$110 &amp; $BV46),0)))))/1024</f>
        <v>82.052050781250003</v>
      </c>
      <c r="E46" s="709">
        <f ca="1">IF(ISERROR(MATCH(E$1,INDIRECT("Table!A"&amp;$BV46):INDIRECT("Table!" &amp; $CH$110 &amp; $BV46),0)),"",INDIRECT(CONCATENATE("Table!",ADDRESS($BR46,MATCH(E$1,INDIRECT("Table!A" &amp; $BV46):INDIRECT("Table!" &amp; $CH$110 &amp; $BV46),0)))))/1024</f>
        <v>153.62050781249999</v>
      </c>
      <c r="F46" s="709">
        <f ca="1">IF(ISERROR(MATCH(F$1,INDIRECT("Table!A"&amp;$BV46):INDIRECT("Table!" &amp; $CH$110 &amp; $BV46),0)),"",INDIRECT(CONCATENATE("Table!",ADDRESS($BR46,MATCH(F$1,INDIRECT("Table!A" &amp; $BV46):INDIRECT("Table!" &amp; $CH$110 &amp; $BV46),0)))))/1024</f>
        <v>109.57070312499999</v>
      </c>
      <c r="G46" s="709">
        <f ca="1">IF(ISERROR(MATCH(G$1,INDIRECT("Table!A"&amp;$BV46):INDIRECT("Table!" &amp; $CH$110 &amp; $BV46),0)),"",INDIRECT(CONCATENATE("Table!",ADDRESS($BR46,MATCH(G$1,INDIRECT("Table!A" &amp; $BV46):INDIRECT("Table!" &amp; $CH$110 &amp; $BV46),0)))))/1024</f>
        <v>65.405175781249994</v>
      </c>
      <c r="H46" s="709">
        <f ca="1">IF(ISERROR(MATCH(H$1,INDIRECT("Table!A"&amp;$BV46):INDIRECT("Table!" &amp; $CH$110 &amp; $BV46),0)),"",INDIRECT(CONCATENATE("Table!",ADDRESS($BR46,MATCH(H$1,INDIRECT("Table!A" &amp; $BV46):INDIRECT("Table!" &amp; $CH$110 &amp; $BV46),0)))))/1024</f>
        <v>112.3146484375</v>
      </c>
      <c r="I46" s="709">
        <f ca="1">IF(ISERROR(MATCH(I$1,INDIRECT("Table!A"&amp;$BV46):INDIRECT("Table!" &amp; $CH$110 &amp; $BV46),0)),"",INDIRECT(CONCATENATE("Table!",ADDRESS($BR46,MATCH(I$1,INDIRECT("Table!A" &amp; $BV46):INDIRECT("Table!" &amp; $CH$110 &amp; $BV46),0)))))/1024</f>
        <v>16.879785156250001</v>
      </c>
      <c r="J46" s="709">
        <f ca="1">IF(ISERROR(MATCH(J$1,INDIRECT("Table!A"&amp;$BV46):INDIRECT("Table!" &amp; $CH$110 &amp; $BV46),0)),"",INDIRECT(CONCATENATE("Table!",ADDRESS($BR46,MATCH(J$1,INDIRECT("Table!A" &amp; $BV46):INDIRECT("Table!" &amp; $CH$110 &amp; $BV46),0)))))/1024</f>
        <v>59.287695312499999</v>
      </c>
      <c r="K46" s="709">
        <f ca="1">IF(ISERROR(MATCH(K$1,INDIRECT("Table!A"&amp;$BV46):INDIRECT("Table!" &amp; $CH$110 &amp; $BV46),0)),"",INDIRECT(CONCATENATE("Table!",ADDRESS($BR46,MATCH(K$1,INDIRECT("Table!A" &amp; $BV46):INDIRECT("Table!" &amp; $CH$110 &amp; $BV46),0)))))/1024</f>
        <v>3.2283203125000002</v>
      </c>
      <c r="L46" s="709">
        <f ca="1">IF(ISERROR(MATCH(L$1,INDIRECT("Table!A"&amp;$BV46):INDIRECT("Table!" &amp; $CH$110 &amp; $BV46),0)),"",INDIRECT(CONCATENATE("Table!",ADDRESS($BR46,MATCH(L$1,INDIRECT("Table!A" &amp; $BV46):INDIRECT("Table!" &amp; $CH$110 &amp; $BV46),0)))))/1024</f>
        <v>166.14306640625</v>
      </c>
      <c r="M46" s="709">
        <f ca="1">IF(ISERROR(MATCH(M$1,INDIRECT("Table!A"&amp;$BV46):INDIRECT("Table!" &amp; $CH$110 &amp; $BV46),0)),"",INDIRECT(CONCATENATE("Table!",ADDRESS($BR46,MATCH(M$1,INDIRECT("Table!A" &amp; $BV46):INDIRECT("Table!" &amp; $CH$110 &amp; $BV46),0)))))/1024</f>
        <v>69.55322265625</v>
      </c>
      <c r="N46" s="709">
        <f ca="1">IF(ISERROR(MATCH(N$1,INDIRECT("Table!A"&amp;$BV46):INDIRECT("Table!" &amp; $CH$110 &amp; $BV46),0)),"",INDIRECT(CONCATENATE("Table!",ADDRESS($BR46,MATCH(N$1,INDIRECT("Table!A" &amp; $BV46):INDIRECT("Table!" &amp; $CH$110 &amp; $BV46),0)))))/1024</f>
        <v>56.690820312500001</v>
      </c>
      <c r="O46" s="709">
        <f ca="1">IF(ISERROR(MATCH(O$1,INDIRECT("Table!A"&amp;$BV46):INDIRECT("Table!" &amp; $CH$110 &amp; $BV46),0)),"",INDIRECT(CONCATENATE("Table!",ADDRESS($BR46,MATCH(O$1,INDIRECT("Table!A" &amp; $BV46):INDIRECT("Table!" &amp; $CH$110 &amp; $BV46),0)))))/1024</f>
        <v>205.54404296875001</v>
      </c>
      <c r="P46" s="709">
        <f ca="1">IF(ISERROR(MATCH(P$1,INDIRECT("Table!A"&amp;$BV46):INDIRECT("Table!" &amp; $CH$110 &amp; $BV46),0)),"",INDIRECT(CONCATENATE("Table!",ADDRESS($BR46,MATCH(P$1,INDIRECT("Table!A" &amp; $BV46):INDIRECT("Table!" &amp; $CH$110 &amp; $BV46),0)))))/1024</f>
        <v>32.583789062500003</v>
      </c>
      <c r="Q46" s="709">
        <f ca="1">IF(ISERROR(MATCH(Q$1,INDIRECT("Table!A"&amp;$BV46):INDIRECT("Table!" &amp; $CH$110 &amp; $BV46),0)),"",INDIRECT(CONCATENATE("Table!",ADDRESS($BR46,MATCH(Q$1,INDIRECT("Table!A" &amp; $BV46):INDIRECT("Table!" &amp; $CH$110 &amp; $BV46),0)))))/1024</f>
        <v>94.10888671875</v>
      </c>
      <c r="R46" s="709">
        <f ca="1">IF(ISERROR(MATCH(R$1,INDIRECT("Table!A"&amp;$BV46):INDIRECT("Table!" &amp; $CH$110 &amp; $BV46),0)),"",INDIRECT(CONCATENATE("Table!",ADDRESS($BR46,MATCH(R$1,INDIRECT("Table!A" &amp; $BV46):INDIRECT("Table!" &amp; $CH$110 &amp; $BV46),0)))))/1024</f>
        <v>38.130468749999999</v>
      </c>
      <c r="S46" s="709">
        <v>0</v>
      </c>
      <c r="T46" s="709">
        <f ca="1">IF(ISERROR(MATCH(T$1,INDIRECT("Table!A"&amp;$BV46):INDIRECT("Table!" &amp; $CH$65 &amp; $BV46),0)),"",INDIRECT(CONCATENATE("Table!",ADDRESS($BR46,MATCH(T$1,INDIRECT("Table!A" &amp; $BV46):INDIRECT("Table!" &amp; $CH$65 &amp; $BV46),0)))))/1024</f>
        <v>7.14794921875</v>
      </c>
      <c r="U46" s="709"/>
      <c r="V46" s="905"/>
      <c r="W46" s="905"/>
      <c r="X46" s="905"/>
      <c r="Y46" s="905"/>
      <c r="Z46" s="905"/>
      <c r="AA46" s="905"/>
      <c r="AB46" s="905"/>
      <c r="AC46" s="905"/>
      <c r="AD46" s="905"/>
      <c r="AE46" s="905"/>
      <c r="AF46" s="905"/>
      <c r="AG46" s="905"/>
      <c r="AH46" s="905"/>
      <c r="AI46" s="709" t="str">
        <f ca="1">IF(ISERROR(MATCH(AI$1,INDIRECT("Table!A"&amp;$BV46):INDIRECT("Table!" &amp; $CH$110 &amp; $BV46),0)),"",INDIRECT(CONCATENATE("Table!",ADDRESS($BR46,MATCH(AI$1,INDIRECT("Table!A" &amp; $BV46):INDIRECT("Table!" &amp; $CH$110 &amp; $BV46),0)))))</f>
        <v/>
      </c>
      <c r="AJ46" s="709">
        <f ca="1">IF(ISERROR(MATCH(AJ$1,INDIRECT("Table!A"&amp;$BV46):INDIRECT("Table!" &amp; $CH$110 &amp; $BV46),0)),"",INDIRECT(CONCATENATE("Table!",ADDRESS($BZ46,MATCH(AJ$1,INDIRECT("Table!A" &amp; $BV46):INDIRECT("Table!" &amp; $CH$110 &amp; $BV46),0)))))/1024</f>
        <v>140.0322265625</v>
      </c>
      <c r="AK46" s="709">
        <f ca="1">IF(ISERROR(MATCH(AK$1,INDIRECT("Table!A"&amp;$BV46):INDIRECT("Table!" &amp; $CH$110 &amp; $BV46),0)),"",INDIRECT(CONCATENATE("Table!",ADDRESS($BZ46,MATCH(AK$1,INDIRECT("Table!A" &amp; $BV46):INDIRECT("Table!" &amp; $CH$110 &amp; $BV46),0)))))/1024</f>
        <v>146.98896484375001</v>
      </c>
      <c r="AL46" s="709">
        <f ca="1">IF(ISERROR(MATCH(AL$1,INDIRECT("Table!A"&amp;$BV46):INDIRECT("Table!" &amp; $CH$110 &amp; $BV46),0)),"",INDIRECT(CONCATENATE("Table!",ADDRESS($BZ46,MATCH(AL$1,INDIRECT("Table!A" &amp; $BV46):INDIRECT("Table!" &amp; $CH$110 &amp; $BV46),0)))))/1024</f>
        <v>146.98896484375001</v>
      </c>
      <c r="AM46" s="709">
        <f ca="1">IF(ISERROR(MATCH(AM$1,INDIRECT("Table!A"&amp;$BV46):INDIRECT("Table!" &amp; $CH$110 &amp; $BV46),0)),"",INDIRECT(CONCATENATE("Table!",ADDRESS($BZ46,MATCH(AM$1,INDIRECT("Table!A" &amp; $BV46):INDIRECT("Table!" &amp; $CH$110 &amp; $BV46),0)))))/1024</f>
        <v>177.73320312499999</v>
      </c>
      <c r="AN46" s="709">
        <f ca="1">IF(ISERROR(MATCH(AN$1,INDIRECT("Table!A"&amp;$BV46):INDIRECT("Table!" &amp; $CH$110 &amp; $BV46),0)),"",INDIRECT(CONCATENATE("Table!",ADDRESS($BZ46,MATCH(AN$1,INDIRECT("Table!A" &amp; $BV46):INDIRECT("Table!" &amp; $CH$110 &amp; $BV46),0)))))/1024</f>
        <v>161.57568359375</v>
      </c>
      <c r="AO46" s="709">
        <f ca="1">IF(ISERROR(MATCH(AO$1,INDIRECT("Table!A"&amp;$BV46):INDIRECT("Table!" &amp; $CH$110 &amp; $BV46),0)),"",INDIRECT(CONCATENATE("Table!",ADDRESS($BZ46,MATCH(AO$1,INDIRECT("Table!A" &amp; $BV46):INDIRECT("Table!" &amp; $CH$110 &amp; $BV46),0)))))/1024</f>
        <v>129.03603515624999</v>
      </c>
      <c r="AP46" s="709">
        <f ca="1">IF(ISERROR(MATCH(AP$1,INDIRECT("Table!A"&amp;$BV46):INDIRECT("Table!" &amp; $CH$110 &amp; $BV46),0)),"",INDIRECT(CONCATENATE("Table!",ADDRESS($BZ46,MATCH(AP$1,INDIRECT("Table!A" &amp; $BV46):INDIRECT("Table!" &amp; $CH$110 &amp; $BV46),0)))))/1024</f>
        <v>166.96152343750001</v>
      </c>
      <c r="AQ46" s="709">
        <f ca="1">IF(ISERROR(MATCH(AQ$1,INDIRECT("Table!A"&amp;$BV46):INDIRECT("Table!" &amp; $CH$110 &amp; $BV46),0)),"",INDIRECT(CONCATENATE("Table!",ADDRESS($BZ46,MATCH(AQ$1,INDIRECT("Table!A" &amp; $BV46):INDIRECT("Table!" &amp; $CH$110 &amp; $BV46),0)))))/1024</f>
        <v>161.57568359375</v>
      </c>
      <c r="AR46" s="709">
        <f ca="1">IF(ISERROR(MATCH(AR$1,INDIRECT("Table!A"&amp;$BV46):INDIRECT("Table!" &amp; $CH$110 &amp; $BV46),0)),"",INDIRECT(CONCATENATE("Table!",ADDRESS($BZ46,MATCH(AR$1,INDIRECT("Table!A" &amp; $BV46):INDIRECT("Table!" &amp; $CH$110 &amp; $BV46),0)))))/1024</f>
        <v>118.53769531250001</v>
      </c>
      <c r="AS46" s="709">
        <f ca="1">IF(ISERROR(MATCH(AS$1,INDIRECT("Table!A"&amp;$BV46):INDIRECT("Table!" &amp; $CH$110 &amp; $BV46),0)),"",INDIRECT(CONCATENATE("Table!",ADDRESS($BZ46,MATCH(AS$1,INDIRECT("Table!A" &amp; $BV46):INDIRECT("Table!" &amp; $CH$110 &amp; $BV46),0)))))/1024</f>
        <v>81.246191406250006</v>
      </c>
      <c r="AT46" s="709">
        <f ca="1">IF(ISERROR(MATCH(AT$1,INDIRECT("Table!A"&amp;$BV46):INDIRECT("Table!" &amp; $CH$110 &amp; $BV46),0)),"",INDIRECT(CONCATENATE("Table!",ADDRESS($BZ46,MATCH(AT$1,INDIRECT("Table!A" &amp; $BV46):INDIRECT("Table!" &amp; $CH$110 &amp; $BV46),0)))))/1024</f>
        <v>188.50498046875001</v>
      </c>
      <c r="AU46" s="709">
        <f ca="1">IF(ISERROR(MATCH(AU$1,INDIRECT("Table!A"&amp;$BV46):INDIRECT("Table!" &amp; $CH$110 &amp; $BV46),0)),"",INDIRECT(CONCATENATE("Table!",ADDRESS($BZ46,MATCH(AU$1,INDIRECT("Table!A" &amp; $BV46):INDIRECT("Table!" &amp; $CH$110 &amp; $BV46),0)))))/1024</f>
        <v>129.03603515624999</v>
      </c>
      <c r="AV46" s="709">
        <f ca="1">IF(ISERROR(MATCH(AV$1,INDIRECT("Table!A"&amp;$BV46):INDIRECT("Table!" &amp; $CH$110 &amp; $BV46),0)),"",INDIRECT(CONCATENATE("Table!",ADDRESS($BZ46,MATCH(AV$1,INDIRECT("Table!A" &amp; $BV46):INDIRECT("Table!" &amp; $CH$110 &amp; $BV46),0)))))/1024</f>
        <v>80.787695312500006</v>
      </c>
      <c r="AW46" s="709">
        <f ca="1">IF(ISERROR(MATCH(AW$1,INDIRECT("Table!A"&amp;$BV46):INDIRECT("Table!" &amp; $CH$110 &amp; $BV46),0)),"",INDIRECT(CONCATENATE("Table!",ADDRESS($BZ46,MATCH(AW$1,INDIRECT("Table!A" &amp; $BV46):INDIRECT("Table!" &amp; $CH$110 &amp; $BV46),0)))))/1024</f>
        <v>269.2919921875</v>
      </c>
      <c r="AX46" s="709">
        <f ca="1">IF(ISERROR(MATCH(AX$1,INDIRECT("Table!A"&amp;$BV46):INDIRECT("Table!" &amp; $CH$110 &amp; $BV46),0)),"",INDIRECT(CONCATENATE("Table!",ADDRESS($BZ46,MATCH(AX$1,INDIRECT("Table!A" &amp; $BV46):INDIRECT("Table!" &amp; $CH$110 &amp; $BV46),0)))))/1024</f>
        <v>80.787695312500006</v>
      </c>
      <c r="AY46" s="709">
        <f ca="1">IF(ISERROR(MATCH(AY$1,INDIRECT("Table!A"&amp;$BV46):INDIRECT("Table!" &amp; $CH$110 &amp; $BV46),0)),"",INDIRECT(CONCATENATE("Table!",ADDRESS($BZ46,MATCH(AY$1,INDIRECT("Table!A" &amp; $BV46):INDIRECT("Table!" &amp; $CH$110 &amp; $BV46),0)))))/1024</f>
        <v>184.55234375000001</v>
      </c>
      <c r="AZ46" s="709">
        <f ca="1">IF(ISERROR(MATCH(AZ$1,INDIRECT("Table!A"&amp;$BV46):INDIRECT("Table!" &amp; $CH$110 &amp; $BV46),0)),"",INDIRECT(CONCATENATE("Table!",ADDRESS($BZ46,MATCH(AZ$1,INDIRECT("Table!A" &amp; $BV46):INDIRECT("Table!" &amp; $CH$110 &amp; $BV46),0)))))/1024</f>
        <v>81.246191406250006</v>
      </c>
      <c r="BA46" s="709"/>
      <c r="BB46" s="709">
        <f ca="1">IF(ISERROR(MATCH(BB$1,INDIRECT("Table!A"&amp;$BV46):INDIRECT("Table!" &amp; $CH$110 &amp; $BV46),0)),"",INDIRECT(CONCATENATE("Table!",ADDRESS($BZ46,MATCH(BB$1,INDIRECT("Table!A" &amp; $BV46):INDIRECT("Table!" &amp; $CH$110 &amp; $BV46),0)))))/1024</f>
        <v>32.31494140625</v>
      </c>
      <c r="BC46" s="709"/>
      <c r="BD46" s="905"/>
      <c r="BE46" s="905"/>
      <c r="BF46" s="905"/>
      <c r="BG46" s="905"/>
      <c r="BH46" s="905"/>
      <c r="BI46" s="905"/>
      <c r="BJ46" s="905"/>
      <c r="BK46" s="905"/>
      <c r="BL46" s="905"/>
      <c r="BM46" s="905"/>
      <c r="BN46" s="905"/>
      <c r="BO46" s="905"/>
      <c r="BP46" s="905"/>
      <c r="BQ46" s="905"/>
      <c r="BR46" s="704">
        <f>MATCH($A46,Table!$A:$A,0)+$BT$2-1</f>
        <v>621</v>
      </c>
      <c r="BS46" s="705"/>
      <c r="BT46" s="705"/>
      <c r="BU46" s="705"/>
      <c r="BV46" s="717">
        <f>MATCH($A46,Table!$A:$A,0)+$BX$2-1</f>
        <v>619</v>
      </c>
      <c r="BW46" s="705"/>
      <c r="BX46" s="705"/>
      <c r="BY46" s="705"/>
      <c r="BZ46" s="704">
        <f>MATCH($A46,Table!$A:$A,0)+$CB$2-1</f>
        <v>620</v>
      </c>
      <c r="CA46" s="705"/>
      <c r="CB46" s="705"/>
      <c r="CC46" s="705"/>
      <c r="CD46" s="717">
        <f>MATCH($A46,Table!$A:$A,0)+$BX$2-1</f>
        <v>619</v>
      </c>
      <c r="CE46" s="705"/>
      <c r="CF46" s="705"/>
      <c r="CG46" s="705"/>
      <c r="CH46" s="711" t="s">
        <v>302</v>
      </c>
      <c r="CI46" s="712">
        <f t="shared" ca="1" si="0"/>
        <v>2477.1980468750003</v>
      </c>
      <c r="CJ46" s="712">
        <f t="shared" ca="1" si="85"/>
        <v>1404.0837890625003</v>
      </c>
      <c r="CK46" s="712">
        <f t="shared" ca="1" si="137"/>
        <v>1073.1142578125</v>
      </c>
      <c r="CL46" s="718">
        <f t="shared" ca="1" si="138"/>
        <v>0.56680320365735803</v>
      </c>
      <c r="CM46" s="712">
        <f ca="1">SUMIF('Alloc Feed'!A:I,A:A,'Alloc Feed'!I:I)</f>
        <v>2995.2813046875003</v>
      </c>
      <c r="CN46" s="718">
        <f t="shared" ca="1" si="136"/>
        <v>1.2091408308940277</v>
      </c>
    </row>
    <row r="47" spans="1:92" s="267" customFormat="1" x14ac:dyDescent="0.25">
      <c r="A47" s="703">
        <v>41642</v>
      </c>
      <c r="B47" s="709">
        <f ca="1">IF(ISERROR(MATCH(B$1,INDIRECT("Table!A"&amp;$BV47):INDIRECT("Table!" &amp; $CH$110 &amp; $BV47),0)),"",INDIRECT(CONCATENATE("Table!",ADDRESS($BR47,MATCH(B$1,INDIRECT("Table!A" &amp; $BV47):INDIRECT("Table!" &amp; $CH$110 &amp; $BV47),0)))))/1024</f>
        <v>50.74609375</v>
      </c>
      <c r="C47" s="709">
        <f ca="1">IF(ISERROR(MATCH(C$1,INDIRECT("Table!A"&amp;$BV47):INDIRECT("Table!" &amp; $CH$110 &amp; $BV47),0)),"",INDIRECT(CONCATENATE("Table!",ADDRESS($BR47,MATCH(C$1,INDIRECT("Table!A" &amp; $BV47):INDIRECT("Table!" &amp; $CH$110 &amp; $BV47),0)))))/1024</f>
        <v>80.017773437499997</v>
      </c>
      <c r="D47" s="709">
        <f ca="1">IF(ISERROR(MATCH(D$1,INDIRECT("Table!A"&amp;$BV47):INDIRECT("Table!" &amp; $CH$110 &amp; $BV47),0)),"",INDIRECT(CONCATENATE("Table!",ADDRESS($BR47,MATCH(D$1,INDIRECT("Table!A" &amp; $BV47):INDIRECT("Table!" &amp; $CH$110 &amp; $BV47),0)))))/1024</f>
        <v>80.10546875</v>
      </c>
      <c r="E47" s="709">
        <f ca="1">IF(ISERROR(MATCH(E$1,INDIRECT("Table!A"&amp;$BV47):INDIRECT("Table!" &amp; $CH$110 &amp; $BV47),0)),"",INDIRECT(CONCATENATE("Table!",ADDRESS($BR47,MATCH(E$1,INDIRECT("Table!A" &amp; $BV47):INDIRECT("Table!" &amp; $CH$110 &amp; $BV47),0)))))/1024</f>
        <v>151.9765625</v>
      </c>
      <c r="F47" s="709">
        <f ca="1">IF(ISERROR(MATCH(F$1,INDIRECT("Table!A"&amp;$BV47):INDIRECT("Table!" &amp; $CH$110 &amp; $BV47),0)),"",INDIRECT(CONCATENATE("Table!",ADDRESS($BR47,MATCH(F$1,INDIRECT("Table!A" &amp; $BV47):INDIRECT("Table!" &amp; $CH$110 &amp; $BV47),0)))))/1024</f>
        <v>107.7177734375</v>
      </c>
      <c r="G47" s="709">
        <f ca="1">IF(ISERROR(MATCH(G$1,INDIRECT("Table!A"&amp;$BV47):INDIRECT("Table!" &amp; $CH$110 &amp; $BV47),0)),"",INDIRECT(CONCATENATE("Table!",ADDRESS($BR47,MATCH(G$1,INDIRECT("Table!A" &amp; $BV47):INDIRECT("Table!" &amp; $CH$110 &amp; $BV47),0)))))/1024</f>
        <v>57.170214843750003</v>
      </c>
      <c r="H47" s="709">
        <f ca="1">IF(ISERROR(MATCH(H$1,INDIRECT("Table!A"&amp;$BV47):INDIRECT("Table!" &amp; $CH$110 &amp; $BV47),0)),"",INDIRECT(CONCATENATE("Table!",ADDRESS($BR47,MATCH(H$1,INDIRECT("Table!A" &amp; $BV47):INDIRECT("Table!" &amp; $CH$110 &amp; $BV47),0)))))/1024</f>
        <v>108.33203125</v>
      </c>
      <c r="I47" s="709">
        <f ca="1">IF(ISERROR(MATCH(I$1,INDIRECT("Table!A"&amp;$BV47):INDIRECT("Table!" &amp; $CH$110 &amp; $BV47),0)),"",INDIRECT(CONCATENATE("Table!",ADDRESS($BR47,MATCH(I$1,INDIRECT("Table!A" &amp; $BV47):INDIRECT("Table!" &amp; $CH$110 &amp; $BV47),0)))))/1024</f>
        <v>15.1826171875</v>
      </c>
      <c r="J47" s="709">
        <f ca="1">IF(ISERROR(MATCH(J$1,INDIRECT("Table!A"&amp;$BV47):INDIRECT("Table!" &amp; $CH$110 &amp; $BV47),0)),"",INDIRECT(CONCATENATE("Table!",ADDRESS($BR47,MATCH(J$1,INDIRECT("Table!A" &amp; $BV47):INDIRECT("Table!" &amp; $CH$110 &amp; $BV47),0)))))/1024</f>
        <v>56.50634765625</v>
      </c>
      <c r="K47" s="709">
        <f ca="1">IF(ISERROR(MATCH(K$1,INDIRECT("Table!A"&amp;$BV47):INDIRECT("Table!" &amp; $CH$110 &amp; $BV47),0)),"",INDIRECT(CONCATENATE("Table!",ADDRESS($BR47,MATCH(K$1,INDIRECT("Table!A" &amp; $BV47):INDIRECT("Table!" &amp; $CH$110 &amp; $BV47),0)))))/1024</f>
        <v>2.4600585937499999</v>
      </c>
      <c r="L47" s="709">
        <f ca="1">IF(ISERROR(MATCH(L$1,INDIRECT("Table!A"&amp;$BV47):INDIRECT("Table!" &amp; $CH$110 &amp; $BV47),0)),"",INDIRECT(CONCATENATE("Table!",ADDRESS($BR47,MATCH(L$1,INDIRECT("Table!A" &amp; $BV47):INDIRECT("Table!" &amp; $CH$110 &amp; $BV47),0)))))/1024</f>
        <v>165.111328125</v>
      </c>
      <c r="M47" s="709">
        <f ca="1">IF(ISERROR(MATCH(M$1,INDIRECT("Table!A"&amp;$BV47):INDIRECT("Table!" &amp; $CH$110 &amp; $BV47),0)),"",INDIRECT(CONCATENATE("Table!",ADDRESS($BR47,MATCH(M$1,INDIRECT("Table!A" &amp; $BV47):INDIRECT("Table!" &amp; $CH$110 &amp; $BV47),0)))))/1024</f>
        <v>69.0732421875</v>
      </c>
      <c r="N47" s="709">
        <f ca="1">IF(ISERROR(MATCH(N$1,INDIRECT("Table!A"&amp;$BV47):INDIRECT("Table!" &amp; $CH$110 &amp; $BV47),0)),"",INDIRECT(CONCATENATE("Table!",ADDRESS($BR47,MATCH(N$1,INDIRECT("Table!A" &amp; $BV47):INDIRECT("Table!" &amp; $CH$110 &amp; $BV47),0)))))/1024</f>
        <v>55.24609375</v>
      </c>
      <c r="O47" s="709">
        <f ca="1">IF(ISERROR(MATCH(O$1,INDIRECT("Table!A"&amp;$BV47):INDIRECT("Table!" &amp; $CH$110 &amp; $BV47),0)),"",INDIRECT(CONCATENATE("Table!",ADDRESS($BR47,MATCH(O$1,INDIRECT("Table!A" &amp; $BV47):INDIRECT("Table!" &amp; $CH$110 &amp; $BV47),0)))))/1024</f>
        <v>199.1669921875</v>
      </c>
      <c r="P47" s="709">
        <f ca="1">IF(ISERROR(MATCH(P$1,INDIRECT("Table!A"&amp;$BV47):INDIRECT("Table!" &amp; $CH$110 &amp; $BV47),0)),"",INDIRECT(CONCATENATE("Table!",ADDRESS($BR47,MATCH(P$1,INDIRECT("Table!A" &amp; $BV47):INDIRECT("Table!" &amp; $CH$110 &amp; $BV47),0)))))/1024</f>
        <v>29.195996093750001</v>
      </c>
      <c r="Q47" s="709">
        <f ca="1">IF(ISERROR(MATCH(Q$1,INDIRECT("Table!A"&amp;$BV47):INDIRECT("Table!" &amp; $CH$110 &amp; $BV47),0)),"",INDIRECT(CONCATENATE("Table!",ADDRESS($BR47,MATCH(Q$1,INDIRECT("Table!A" &amp; $BV47):INDIRECT("Table!" &amp; $CH$110 &amp; $BV47),0)))))/1024</f>
        <v>90.8544921875</v>
      </c>
      <c r="R47" s="709">
        <f ca="1">IF(ISERROR(MATCH(R$1,INDIRECT("Table!A"&amp;$BV47):INDIRECT("Table!" &amp; $CH$110 &amp; $BV47),0)),"",INDIRECT(CONCATENATE("Table!",ADDRESS($BR47,MATCH(R$1,INDIRECT("Table!A" &amp; $BV47):INDIRECT("Table!" &amp; $CH$110 &amp; $BV47),0)))))/1024</f>
        <v>30.707910156250001</v>
      </c>
      <c r="S47" s="709">
        <v>0</v>
      </c>
      <c r="T47" s="709">
        <f ca="1">IF(ISERROR(MATCH(T$1,INDIRECT("Table!A"&amp;$BV47):INDIRECT("Table!" &amp; $CH$65 &amp; $BV47),0)),"",INDIRECT(CONCATENATE("Table!",ADDRESS($BR47,MATCH(T$1,INDIRECT("Table!A" &amp; $BV47):INDIRECT("Table!" &amp; $CH$65 &amp; $BV47),0)))))/1024</f>
        <v>6.833984375</v>
      </c>
      <c r="U47" s="709"/>
      <c r="V47" s="905"/>
      <c r="W47" s="905"/>
      <c r="X47" s="905"/>
      <c r="Y47" s="905"/>
      <c r="Z47" s="905"/>
      <c r="AA47" s="905"/>
      <c r="AB47" s="905"/>
      <c r="AC47" s="905"/>
      <c r="AD47" s="905"/>
      <c r="AE47" s="905"/>
      <c r="AF47" s="905"/>
      <c r="AG47" s="905"/>
      <c r="AH47" s="905"/>
      <c r="AI47" s="709" t="str">
        <f ca="1">IF(ISERROR(MATCH(AI$1,INDIRECT("Table!A"&amp;$BV47):INDIRECT("Table!" &amp; $CH$110 &amp; $BV47),0)),"",INDIRECT(CONCATENATE("Table!",ADDRESS($BR47,MATCH(AI$1,INDIRECT("Table!A" &amp; $BV47):INDIRECT("Table!" &amp; $CH$110 &amp; $BV47),0)))))</f>
        <v/>
      </c>
      <c r="AJ47" s="709">
        <f ca="1">IF(ISERROR(MATCH(AJ$1,INDIRECT("Table!A"&amp;$BV47):INDIRECT("Table!" &amp; $CH$110 &amp; $BV47),0)),"",INDIRECT(CONCATENATE("Table!",ADDRESS($BZ47,MATCH(AJ$1,INDIRECT("Table!A" &amp; $BV47):INDIRECT("Table!" &amp; $CH$110 &amp; $BV47),0)))))/1024</f>
        <v>140.0322265625</v>
      </c>
      <c r="AK47" s="709">
        <f ca="1">IF(ISERROR(MATCH(AK$1,INDIRECT("Table!A"&amp;$BV47):INDIRECT("Table!" &amp; $CH$110 &amp; $BV47),0)),"",INDIRECT(CONCATENATE("Table!",ADDRESS($BZ47,MATCH(AK$1,INDIRECT("Table!A" &amp; $BV47):INDIRECT("Table!" &amp; $CH$110 &amp; $BV47),0)))))/1024</f>
        <v>146.98896484375001</v>
      </c>
      <c r="AL47" s="709">
        <f ca="1">IF(ISERROR(MATCH(AL$1,INDIRECT("Table!A"&amp;$BV47):INDIRECT("Table!" &amp; $CH$110 &amp; $BV47),0)),"",INDIRECT(CONCATENATE("Table!",ADDRESS($BZ47,MATCH(AL$1,INDIRECT("Table!A" &amp; $BV47):INDIRECT("Table!" &amp; $CH$110 &amp; $BV47),0)))))/1024</f>
        <v>146.98896484375001</v>
      </c>
      <c r="AM47" s="709">
        <f ca="1">IF(ISERROR(MATCH(AM$1,INDIRECT("Table!A"&amp;$BV47):INDIRECT("Table!" &amp; $CH$110 &amp; $BV47),0)),"",INDIRECT(CONCATENATE("Table!",ADDRESS($BZ47,MATCH(AM$1,INDIRECT("Table!A" &amp; $BV47):INDIRECT("Table!" &amp; $CH$110 &amp; $BV47),0)))))/1024</f>
        <v>177.73320312499999</v>
      </c>
      <c r="AN47" s="709">
        <f ca="1">IF(ISERROR(MATCH(AN$1,INDIRECT("Table!A"&amp;$BV47):INDIRECT("Table!" &amp; $CH$110 &amp; $BV47),0)),"",INDIRECT(CONCATENATE("Table!",ADDRESS($BZ47,MATCH(AN$1,INDIRECT("Table!A" &amp; $BV47):INDIRECT("Table!" &amp; $CH$110 &amp; $BV47),0)))))/1024</f>
        <v>161.57568359375</v>
      </c>
      <c r="AO47" s="709">
        <f ca="1">IF(ISERROR(MATCH(AO$1,INDIRECT("Table!A"&amp;$BV47):INDIRECT("Table!" &amp; $CH$110 &amp; $BV47),0)),"",INDIRECT(CONCATENATE("Table!",ADDRESS($BZ47,MATCH(AO$1,INDIRECT("Table!A" &amp; $BV47):INDIRECT("Table!" &amp; $CH$110 &amp; $BV47),0)))))/1024</f>
        <v>129.03603515624999</v>
      </c>
      <c r="AP47" s="709">
        <f ca="1">IF(ISERROR(MATCH(AP$1,INDIRECT("Table!A"&amp;$BV47):INDIRECT("Table!" &amp; $CH$110 &amp; $BV47),0)),"",INDIRECT(CONCATENATE("Table!",ADDRESS($BZ47,MATCH(AP$1,INDIRECT("Table!A" &amp; $BV47):INDIRECT("Table!" &amp; $CH$110 &amp; $BV47),0)))))/1024</f>
        <v>166.96152343750001</v>
      </c>
      <c r="AQ47" s="709">
        <f ca="1">IF(ISERROR(MATCH(AQ$1,INDIRECT("Table!A"&amp;$BV47):INDIRECT("Table!" &amp; $CH$110 &amp; $BV47),0)),"",INDIRECT(CONCATENATE("Table!",ADDRESS($BZ47,MATCH(AQ$1,INDIRECT("Table!A" &amp; $BV47):INDIRECT("Table!" &amp; $CH$110 &amp; $BV47),0)))))/1024</f>
        <v>161.57568359375</v>
      </c>
      <c r="AR47" s="709">
        <f ca="1">IF(ISERROR(MATCH(AR$1,INDIRECT("Table!A"&amp;$BV47):INDIRECT("Table!" &amp; $CH$110 &amp; $BV47),0)),"",INDIRECT(CONCATENATE("Table!",ADDRESS($BZ47,MATCH(AR$1,INDIRECT("Table!A" &amp; $BV47):INDIRECT("Table!" &amp; $CH$110 &amp; $BV47),0)))))/1024</f>
        <v>90.245703125000006</v>
      </c>
      <c r="AS47" s="709">
        <f ca="1">IF(ISERROR(MATCH(AS$1,INDIRECT("Table!A"&amp;$BV47):INDIRECT("Table!" &amp; $CH$110 &amp; $BV47),0)),"",INDIRECT(CONCATENATE("Table!",ADDRESS($BZ47,MATCH(AS$1,INDIRECT("Table!A" &amp; $BV47):INDIRECT("Table!" &amp; $CH$110 &amp; $BV47),0)))))/1024</f>
        <v>81.246191406250006</v>
      </c>
      <c r="AT47" s="709">
        <f ca="1">IF(ISERROR(MATCH(AT$1,INDIRECT("Table!A"&amp;$BV47):INDIRECT("Table!" &amp; $CH$110 &amp; $BV47),0)),"",INDIRECT(CONCATENATE("Table!",ADDRESS($BZ47,MATCH(AT$1,INDIRECT("Table!A" &amp; $BV47):INDIRECT("Table!" &amp; $CH$110 &amp; $BV47),0)))))/1024</f>
        <v>188.50498046875001</v>
      </c>
      <c r="AU47" s="709">
        <f ca="1">IF(ISERROR(MATCH(AU$1,INDIRECT("Table!A"&amp;$BV47):INDIRECT("Table!" &amp; $CH$110 &amp; $BV47),0)),"",INDIRECT(CONCATENATE("Table!",ADDRESS($BZ47,MATCH(AU$1,INDIRECT("Table!A" &amp; $BV47):INDIRECT("Table!" &amp; $CH$110 &amp; $BV47),0)))))/1024</f>
        <v>129.03603515624999</v>
      </c>
      <c r="AV47" s="709">
        <f ca="1">IF(ISERROR(MATCH(AV$1,INDIRECT("Table!A"&amp;$BV47):INDIRECT("Table!" &amp; $CH$110 &amp; $BV47),0)),"",INDIRECT(CONCATENATE("Table!",ADDRESS($BZ47,MATCH(AV$1,INDIRECT("Table!A" &amp; $BV47):INDIRECT("Table!" &amp; $CH$110 &amp; $BV47),0)))))/1024</f>
        <v>80.787695312500006</v>
      </c>
      <c r="AW47" s="709">
        <f ca="1">IF(ISERROR(MATCH(AW$1,INDIRECT("Table!A"&amp;$BV47):INDIRECT("Table!" &amp; $CH$110 &amp; $BV47),0)),"",INDIRECT(CONCATENATE("Table!",ADDRESS($BZ47,MATCH(AW$1,INDIRECT("Table!A" &amp; $BV47):INDIRECT("Table!" &amp; $CH$110 &amp; $BV47),0)))))/1024</f>
        <v>269.2919921875</v>
      </c>
      <c r="AX47" s="709">
        <f ca="1">IF(ISERROR(MATCH(AX$1,INDIRECT("Table!A"&amp;$BV47):INDIRECT("Table!" &amp; $CH$110 &amp; $BV47),0)),"",INDIRECT(CONCATENATE("Table!",ADDRESS($BZ47,MATCH(AX$1,INDIRECT("Table!A" &amp; $BV47):INDIRECT("Table!" &amp; $CH$110 &amp; $BV47),0)))))/1024</f>
        <v>80.787695312500006</v>
      </c>
      <c r="AY47" s="709">
        <f ca="1">IF(ISERROR(MATCH(AY$1,INDIRECT("Table!A"&amp;$BV47):INDIRECT("Table!" &amp; $CH$110 &amp; $BV47),0)),"",INDIRECT(CONCATENATE("Table!",ADDRESS($BZ47,MATCH(AY$1,INDIRECT("Table!A" &amp; $BV47):INDIRECT("Table!" &amp; $CH$110 &amp; $BV47),0)))))/1024</f>
        <v>184.55234375000001</v>
      </c>
      <c r="AZ47" s="709">
        <f ca="1">IF(ISERROR(MATCH(AZ$1,INDIRECT("Table!A"&amp;$BV47):INDIRECT("Table!" &amp; $CH$110 &amp; $BV47),0)),"",INDIRECT(CONCATENATE("Table!",ADDRESS($BZ47,MATCH(AZ$1,INDIRECT("Table!A" &amp; $BV47):INDIRECT("Table!" &amp; $CH$110 &amp; $BV47),0)))))/1024</f>
        <v>81.246191406250006</v>
      </c>
      <c r="BA47" s="709"/>
      <c r="BB47" s="709">
        <f ca="1">IF(ISERROR(MATCH(BB$1,INDIRECT("Table!A"&amp;$BV47):INDIRECT("Table!" &amp; $CH$110 &amp; $BV47),0)),"",INDIRECT(CONCATENATE("Table!",ADDRESS($BZ47,MATCH(BB$1,INDIRECT("Table!A" &amp; $BV47):INDIRECT("Table!" &amp; $CH$110 &amp; $BV47),0)))))/1024</f>
        <v>32.31494140625</v>
      </c>
      <c r="BC47" s="709"/>
      <c r="BD47" s="905"/>
      <c r="BE47" s="905"/>
      <c r="BF47" s="905"/>
      <c r="BG47" s="905"/>
      <c r="BH47" s="905"/>
      <c r="BI47" s="905"/>
      <c r="BJ47" s="905"/>
      <c r="BK47" s="905"/>
      <c r="BL47" s="905"/>
      <c r="BM47" s="905"/>
      <c r="BN47" s="905"/>
      <c r="BO47" s="905"/>
      <c r="BP47" s="905"/>
      <c r="BQ47" s="905"/>
      <c r="BR47" s="704">
        <f>MATCH($A47,Table!$A:$A,0)+$BT$2-1</f>
        <v>663</v>
      </c>
      <c r="BS47" s="705"/>
      <c r="BT47" s="705"/>
      <c r="BU47" s="705"/>
      <c r="BV47" s="717">
        <f>MATCH($A47,Table!$A:$A,0)+$BX$2-1</f>
        <v>661</v>
      </c>
      <c r="BW47" s="705"/>
      <c r="BX47" s="705"/>
      <c r="BY47" s="705"/>
      <c r="BZ47" s="704">
        <f>MATCH($A47,Table!$A:$A,0)+$CB$2-1</f>
        <v>662</v>
      </c>
      <c r="CA47" s="705"/>
      <c r="CB47" s="705"/>
      <c r="CC47" s="705"/>
      <c r="CD47" s="717">
        <f>MATCH($A47,Table!$A:$A,0)+$BX$2-1</f>
        <v>661</v>
      </c>
      <c r="CE47" s="705"/>
      <c r="CF47" s="705"/>
      <c r="CG47" s="705"/>
      <c r="CH47" s="711" t="s">
        <v>302</v>
      </c>
      <c r="CI47" s="712">
        <f t="shared" ca="1" si="0"/>
        <v>2448.9060546875003</v>
      </c>
      <c r="CJ47" s="712">
        <f t="shared" ca="1" si="85"/>
        <v>1356.40498046875</v>
      </c>
      <c r="CK47" s="712">
        <f t="shared" ca="1" si="137"/>
        <v>1092.5010742187503</v>
      </c>
      <c r="CL47" s="718">
        <f t="shared" ca="1" si="138"/>
        <v>0.55388199881021483</v>
      </c>
      <c r="CM47" s="712">
        <f ca="1">SUMIF('Alloc Feed'!A:I,A:A,'Alloc Feed'!I:I)</f>
        <v>2888.5986093749998</v>
      </c>
      <c r="CN47" s="718">
        <f t="shared" ca="1" si="136"/>
        <v>1.1795465178608526</v>
      </c>
    </row>
    <row r="48" spans="1:92" s="591" customFormat="1" x14ac:dyDescent="0.25">
      <c r="A48" s="703">
        <v>41626</v>
      </c>
      <c r="B48" s="709">
        <f ca="1">IF(ISERROR(MATCH(B$1,INDIRECT("Table!A"&amp;$BV48):INDIRECT("Table!" &amp; $CH$110 &amp; $BV48),0)),"",INDIRECT(CONCATENATE("Table!",ADDRESS($BR48,MATCH(B$1,INDIRECT("Table!A" &amp; $BV48):INDIRECT("Table!" &amp; $CH$110 &amp; $BV48),0)))))/1024</f>
        <v>49.7373046875</v>
      </c>
      <c r="C48" s="709">
        <f ca="1">IF(ISERROR(MATCH(C$1,INDIRECT("Table!A"&amp;$BV48):INDIRECT("Table!" &amp; $CH$110 &amp; $BV48),0)),"",INDIRECT(CONCATENATE("Table!",ADDRESS($BR48,MATCH(C$1,INDIRECT("Table!A" &amp; $BV48):INDIRECT("Table!" &amp; $CH$110 &amp; $BV48),0)))))/1024</f>
        <v>80.017773437499997</v>
      </c>
      <c r="D48" s="709">
        <f ca="1">IF(ISERROR(MATCH(D$1,INDIRECT("Table!A"&amp;$BV48):INDIRECT("Table!" &amp; $CH$110 &amp; $BV48),0)),"",INDIRECT(CONCATENATE("Table!",ADDRESS($BR48,MATCH(D$1,INDIRECT("Table!A" &amp; $BV48):INDIRECT("Table!" &amp; $CH$110 &amp; $BV48),0)))))/1024</f>
        <v>81.359375</v>
      </c>
      <c r="E48" s="709">
        <f ca="1">IF(ISERROR(MATCH(E$1,INDIRECT("Table!A"&amp;$BV48):INDIRECT("Table!" &amp; $CH$110 &amp; $BV48),0)),"",INDIRECT(CONCATENATE("Table!",ADDRESS($BR48,MATCH(E$1,INDIRECT("Table!A" &amp; $BV48):INDIRECT("Table!" &amp; $CH$110 &amp; $BV48),0)))))/1024</f>
        <v>151.44160156250001</v>
      </c>
      <c r="F48" s="709">
        <f ca="1">IF(ISERROR(MATCH(F$1,INDIRECT("Table!A"&amp;$BV48):INDIRECT("Table!" &amp; $CH$110 &amp; $BV48),0)),"",INDIRECT(CONCATENATE("Table!",ADDRESS($BR48,MATCH(F$1,INDIRECT("Table!A" &amp; $BV48):INDIRECT("Table!" &amp; $CH$110 &amp; $BV48),0)))))/1024</f>
        <v>107.1701171875</v>
      </c>
      <c r="G48" s="709">
        <f ca="1">IF(ISERROR(MATCH(G$1,INDIRECT("Table!A"&amp;$BV48):INDIRECT("Table!" &amp; $CH$110 &amp; $BV48),0)),"",INDIRECT(CONCATENATE("Table!",ADDRESS($BR48,MATCH(G$1,INDIRECT("Table!A" &amp; $BV48):INDIRECT("Table!" &amp; $CH$110 &amp; $BV48),0)))))/1024</f>
        <v>61.460839843750001</v>
      </c>
      <c r="H48" s="709">
        <f ca="1">IF(ISERROR(MATCH(H$1,INDIRECT("Table!A"&amp;$BV48):INDIRECT("Table!" &amp; $CH$110 &amp; $BV48),0)),"",INDIRECT(CONCATENATE("Table!",ADDRESS($BR48,MATCH(H$1,INDIRECT("Table!A" &amp; $BV48):INDIRECT("Table!" &amp; $CH$110 &amp; $BV48),0)))))/1024</f>
        <v>107.94687500000001</v>
      </c>
      <c r="I48" s="709">
        <f ca="1">IF(ISERROR(MATCH(I$1,INDIRECT("Table!A"&amp;$BV48):INDIRECT("Table!" &amp; $CH$110 &amp; $BV48),0)),"",INDIRECT(CONCATENATE("Table!",ADDRESS($BR48,MATCH(I$1,INDIRECT("Table!A" &amp; $BV48):INDIRECT("Table!" &amp; $CH$110 &amp; $BV48),0)))))/1024</f>
        <v>14.9990234375</v>
      </c>
      <c r="J48" s="709">
        <f ca="1">IF(ISERROR(MATCH(J$1,INDIRECT("Table!A"&amp;$BV48):INDIRECT("Table!" &amp; $CH$110 &amp; $BV48),0)),"",INDIRECT(CONCATENATE("Table!",ADDRESS($BR48,MATCH(J$1,INDIRECT("Table!A" &amp; $BV48):INDIRECT("Table!" &amp; $CH$110 &amp; $BV48),0)))))/1024</f>
        <v>54.55224609375</v>
      </c>
      <c r="K48" s="709">
        <f ca="1">IF(ISERROR(MATCH(K$1,INDIRECT("Table!A"&amp;$BV48):INDIRECT("Table!" &amp; $CH$110 &amp; $BV48),0)),"",INDIRECT(CONCATENATE("Table!",ADDRESS($BR48,MATCH(K$1,INDIRECT("Table!A" &amp; $BV48):INDIRECT("Table!" &amp; $CH$110 &amp; $BV48),0)))))/1024</f>
        <v>2.5696289062500002</v>
      </c>
      <c r="L48" s="709">
        <f ca="1">IF(ISERROR(MATCH(L$1,INDIRECT("Table!A"&amp;$BV48):INDIRECT("Table!" &amp; $CH$110 &amp; $BV48),0)),"",INDIRECT(CONCATENATE("Table!",ADDRESS($BR48,MATCH(L$1,INDIRECT("Table!A" &amp; $BV48):INDIRECT("Table!" &amp; $CH$110 &amp; $BV48),0)))))/1024</f>
        <v>164.638671875</v>
      </c>
      <c r="M48" s="709">
        <f ca="1">IF(ISERROR(MATCH(M$1,INDIRECT("Table!A"&amp;$BV48):INDIRECT("Table!" &amp; $CH$110 &amp; $BV48),0)),"",INDIRECT(CONCATENATE("Table!",ADDRESS($BR48,MATCH(M$1,INDIRECT("Table!A" &amp; $BV48):INDIRECT("Table!" &amp; $CH$110 &amp; $BV48),0)))))/1024</f>
        <v>70.203125</v>
      </c>
      <c r="N48" s="709">
        <f ca="1">IF(ISERROR(MATCH(N$1,INDIRECT("Table!A"&amp;$BV48):INDIRECT("Table!" &amp; $CH$110 &amp; $BV48),0)),"",INDIRECT(CONCATENATE("Table!",ADDRESS($BR48,MATCH(N$1,INDIRECT("Table!A" &amp; $BV48):INDIRECT("Table!" &amp; $CH$110 &amp; $BV48),0)))))/1024</f>
        <v>55.24609375</v>
      </c>
      <c r="O48" s="709">
        <f ca="1">IF(ISERROR(MATCH(O$1,INDIRECT("Table!A"&amp;$BV48):INDIRECT("Table!" &amp; $CH$110 &amp; $BV48),0)),"",INDIRECT(CONCATENATE("Table!",ADDRESS($BR48,MATCH(O$1,INDIRECT("Table!A" &amp; $BV48):INDIRECT("Table!" &amp; $CH$110 &amp; $BV48),0)))))/1024</f>
        <v>199.1669921875</v>
      </c>
      <c r="P48" s="709">
        <f ca="1">IF(ISERROR(MATCH(P$1,INDIRECT("Table!A"&amp;$BV48):INDIRECT("Table!" &amp; $CH$110 &amp; $BV48),0)),"",INDIRECT(CONCATENATE("Table!",ADDRESS($BR48,MATCH(P$1,INDIRECT("Table!A" &amp; $BV48):INDIRECT("Table!" &amp; $CH$110 &amp; $BV48),0)))))/1024</f>
        <v>28.827832031250001</v>
      </c>
      <c r="Q48" s="709">
        <f ca="1">IF(ISERROR(MATCH(Q$1,INDIRECT("Table!A"&amp;$BV48):INDIRECT("Table!" &amp; $CH$110 &amp; $BV48),0)),"",INDIRECT(CONCATENATE("Table!",ADDRESS($BR48,MATCH(Q$1,INDIRECT("Table!A" &amp; $BV48):INDIRECT("Table!" &amp; $CH$110 &amp; $BV48),0)))))/1024</f>
        <v>88.583984375</v>
      </c>
      <c r="R48" s="709">
        <f ca="1">IF(ISERROR(MATCH(R$1,INDIRECT("Table!A"&amp;$BV48):INDIRECT("Table!" &amp; $CH$110 &amp; $BV48),0)),"",INDIRECT(CONCATENATE("Table!",ADDRESS($BR48,MATCH(R$1,INDIRECT("Table!A" &amp; $BV48):INDIRECT("Table!" &amp; $CH$110 &amp; $BV48),0)))))/1024</f>
        <v>35.987499999999997</v>
      </c>
      <c r="S48" s="709">
        <v>0</v>
      </c>
      <c r="T48" s="709">
        <f ca="1">IF(ISERROR(MATCH(T$1,INDIRECT("Table!A"&amp;$BV48):INDIRECT("Table!" &amp; $CH$65 &amp; $BV48),0)),"",INDIRECT(CONCATENATE("Table!",ADDRESS($BR48,MATCH(T$1,INDIRECT("Table!A" &amp; $BV48):INDIRECT("Table!" &amp; $CH$65 &amp; $BV48),0)))))/1024</f>
        <v>6.7381835937499996</v>
      </c>
      <c r="U48" s="709"/>
      <c r="V48" s="905"/>
      <c r="W48" s="905"/>
      <c r="X48" s="905"/>
      <c r="Y48" s="905"/>
      <c r="Z48" s="905"/>
      <c r="AA48" s="905"/>
      <c r="AB48" s="905"/>
      <c r="AC48" s="905"/>
      <c r="AD48" s="905"/>
      <c r="AE48" s="905"/>
      <c r="AF48" s="905"/>
      <c r="AG48" s="905"/>
      <c r="AH48" s="905"/>
      <c r="AI48" s="709" t="str">
        <f ca="1">IF(ISERROR(MATCH(AI$1,INDIRECT("Table!A"&amp;$BV48):INDIRECT("Table!" &amp; $CH$110 &amp; $BV48),0)),"",INDIRECT(CONCATENATE("Table!",ADDRESS($BR48,MATCH(AI$1,INDIRECT("Table!A" &amp; $BV48):INDIRECT("Table!" &amp; $CH$110 &amp; $BV48),0)))))</f>
        <v/>
      </c>
      <c r="AJ48" s="709">
        <f ca="1">IF(ISERROR(MATCH(AJ$1,INDIRECT("Table!A"&amp;$BV48):INDIRECT("Table!" &amp; $CH$110 &amp; $BV48),0)),"",INDIRECT(CONCATENATE("Table!",ADDRESS($BZ48,MATCH(AJ$1,INDIRECT("Table!A" &amp; $BV48):INDIRECT("Table!" &amp; $CH$110 &amp; $BV48),0)))))/1024</f>
        <v>140.0322265625</v>
      </c>
      <c r="AK48" s="709">
        <f ca="1">IF(ISERROR(MATCH(AK$1,INDIRECT("Table!A"&amp;$BV48):INDIRECT("Table!" &amp; $CH$110 &amp; $BV48),0)),"",INDIRECT(CONCATENATE("Table!",ADDRESS($BZ48,MATCH(AK$1,INDIRECT("Table!A" &amp; $BV48):INDIRECT("Table!" &amp; $CH$110 &amp; $BV48),0)))))/1024</f>
        <v>146.98896484375001</v>
      </c>
      <c r="AL48" s="709">
        <f ca="1">IF(ISERROR(MATCH(AL$1,INDIRECT("Table!A"&amp;$BV48):INDIRECT("Table!" &amp; $CH$110 &amp; $BV48),0)),"",INDIRECT(CONCATENATE("Table!",ADDRESS($BZ48,MATCH(AL$1,INDIRECT("Table!A" &amp; $BV48):INDIRECT("Table!" &amp; $CH$110 &amp; $BV48),0)))))/1024</f>
        <v>146.98896484375001</v>
      </c>
      <c r="AM48" s="709">
        <f ca="1">IF(ISERROR(MATCH(AM$1,INDIRECT("Table!A"&amp;$BV48):INDIRECT("Table!" &amp; $CH$110 &amp; $BV48),0)),"",INDIRECT(CONCATENATE("Table!",ADDRESS($BZ48,MATCH(AM$1,INDIRECT("Table!A" &amp; $BV48):INDIRECT("Table!" &amp; $CH$110 &amp; $BV48),0)))))/1024</f>
        <v>177.73320312499999</v>
      </c>
      <c r="AN48" s="709">
        <f ca="1">IF(ISERROR(MATCH(AN$1,INDIRECT("Table!A"&amp;$BV48):INDIRECT("Table!" &amp; $CH$110 &amp; $BV48),0)),"",INDIRECT(CONCATENATE("Table!",ADDRESS($BZ48,MATCH(AN$1,INDIRECT("Table!A" &amp; $BV48):INDIRECT("Table!" &amp; $CH$110 &amp; $BV48),0)))))/1024</f>
        <v>161.57568359375</v>
      </c>
      <c r="AO48" s="709">
        <f ca="1">IF(ISERROR(MATCH(AO$1,INDIRECT("Table!A"&amp;$BV48):INDIRECT("Table!" &amp; $CH$110 &amp; $BV48),0)),"",INDIRECT(CONCATENATE("Table!",ADDRESS($BZ48,MATCH(AO$1,INDIRECT("Table!A" &amp; $BV48):INDIRECT("Table!" &amp; $CH$110 &amp; $BV48),0)))))/1024</f>
        <v>129.03603515624999</v>
      </c>
      <c r="AP48" s="709">
        <f ca="1">IF(ISERROR(MATCH(AP$1,INDIRECT("Table!A"&amp;$BV48):INDIRECT("Table!" &amp; $CH$110 &amp; $BV48),0)),"",INDIRECT(CONCATENATE("Table!",ADDRESS($BZ48,MATCH(AP$1,INDIRECT("Table!A" &amp; $BV48):INDIRECT("Table!" &amp; $CH$110 &amp; $BV48),0)))))/1024</f>
        <v>166.96152343750001</v>
      </c>
      <c r="AQ48" s="709">
        <f ca="1">IF(ISERROR(MATCH(AQ$1,INDIRECT("Table!A"&amp;$BV48):INDIRECT("Table!" &amp; $CH$110 &amp; $BV48),0)),"",INDIRECT(CONCATENATE("Table!",ADDRESS($BZ48,MATCH(AQ$1,INDIRECT("Table!A" &amp; $BV48):INDIRECT("Table!" &amp; $CH$110 &amp; $BV48),0)))))/1024</f>
        <v>161.57568359375</v>
      </c>
      <c r="AR48" s="709">
        <f ca="1">IF(ISERROR(MATCH(AR$1,INDIRECT("Table!A"&amp;$BV48):INDIRECT("Table!" &amp; $CH$110 &amp; $BV48),0)),"",INDIRECT(CONCATENATE("Table!",ADDRESS($BZ48,MATCH(AR$1,INDIRECT("Table!A" &amp; $BV48):INDIRECT("Table!" &amp; $CH$110 &amp; $BV48),0)))))/1024</f>
        <v>90.245703125000006</v>
      </c>
      <c r="AS48" s="709">
        <f ca="1">IF(ISERROR(MATCH(AS$1,INDIRECT("Table!A"&amp;$BV48):INDIRECT("Table!" &amp; $CH$110 &amp; $BV48),0)),"",INDIRECT(CONCATENATE("Table!",ADDRESS($BZ48,MATCH(AS$1,INDIRECT("Table!A" &amp; $BV48):INDIRECT("Table!" &amp; $CH$110 &amp; $BV48),0)))))/1024</f>
        <v>81.246191406250006</v>
      </c>
      <c r="AT48" s="709">
        <f ca="1">IF(ISERROR(MATCH(AT$1,INDIRECT("Table!A"&amp;$BV48):INDIRECT("Table!" &amp; $CH$110 &amp; $BV48),0)),"",INDIRECT(CONCATENATE("Table!",ADDRESS($BZ48,MATCH(AT$1,INDIRECT("Table!A" &amp; $BV48):INDIRECT("Table!" &amp; $CH$110 &amp; $BV48),0)))))/1024</f>
        <v>188.50498046875001</v>
      </c>
      <c r="AU48" s="709">
        <f ca="1">IF(ISERROR(MATCH(AU$1,INDIRECT("Table!A"&amp;$BV48):INDIRECT("Table!" &amp; $CH$110 &amp; $BV48),0)),"",INDIRECT(CONCATENATE("Table!",ADDRESS($BZ48,MATCH(AU$1,INDIRECT("Table!A" &amp; $BV48):INDIRECT("Table!" &amp; $CH$110 &amp; $BV48),0)))))/1024</f>
        <v>129.03603515624999</v>
      </c>
      <c r="AV48" s="709">
        <f ca="1">IF(ISERROR(MATCH(AV$1,INDIRECT("Table!A"&amp;$BV48):INDIRECT("Table!" &amp; $CH$110 &amp; $BV48),0)),"",INDIRECT(CONCATENATE("Table!",ADDRESS($BZ48,MATCH(AV$1,INDIRECT("Table!A" &amp; $BV48):INDIRECT("Table!" &amp; $CH$110 &amp; $BV48),0)))))/1024</f>
        <v>80.787695312500006</v>
      </c>
      <c r="AW48" s="709">
        <f ca="1">IF(ISERROR(MATCH(AW$1,INDIRECT("Table!A"&amp;$BV48):INDIRECT("Table!" &amp; $CH$110 &amp; $BV48),0)),"",INDIRECT(CONCATENATE("Table!",ADDRESS($BZ48,MATCH(AW$1,INDIRECT("Table!A" &amp; $BV48):INDIRECT("Table!" &amp; $CH$110 &amp; $BV48),0)))))/1024</f>
        <v>269.2919921875</v>
      </c>
      <c r="AX48" s="709">
        <f ca="1">IF(ISERROR(MATCH(AX$1,INDIRECT("Table!A"&amp;$BV48):INDIRECT("Table!" &amp; $CH$110 &amp; $BV48),0)),"",INDIRECT(CONCATENATE("Table!",ADDRESS($BZ48,MATCH(AX$1,INDIRECT("Table!A" &amp; $BV48):INDIRECT("Table!" &amp; $CH$110 &amp; $BV48),0)))))/1024</f>
        <v>80.787695312500006</v>
      </c>
      <c r="AY48" s="709">
        <f ca="1">IF(ISERROR(MATCH(AY$1,INDIRECT("Table!A"&amp;$BV48):INDIRECT("Table!" &amp; $CH$110 &amp; $BV48),0)),"",INDIRECT(CONCATENATE("Table!",ADDRESS($BZ48,MATCH(AY$1,INDIRECT("Table!A" &amp; $BV48):INDIRECT("Table!" &amp; $CH$110 &amp; $BV48),0)))))/1024</f>
        <v>184.55234375000001</v>
      </c>
      <c r="AZ48" s="709">
        <f ca="1">IF(ISERROR(MATCH(AZ$1,INDIRECT("Table!A"&amp;$BV48):INDIRECT("Table!" &amp; $CH$110 &amp; $BV48),0)),"",INDIRECT(CONCATENATE("Table!",ADDRESS($BZ48,MATCH(AZ$1,INDIRECT("Table!A" &amp; $BV48):INDIRECT("Table!" &amp; $CH$110 &amp; $BV48),0)))))/1024</f>
        <v>81.246191406250006</v>
      </c>
      <c r="BA48" s="709"/>
      <c r="BB48" s="709">
        <f ca="1">IF(ISERROR(MATCH(BB$1,INDIRECT("Table!A"&amp;$BV48):INDIRECT("Table!" &amp; $CH$110 &amp; $BV48),0)),"",INDIRECT(CONCATENATE("Table!",ADDRESS($BZ48,MATCH(BB$1,INDIRECT("Table!A" &amp; $BV48):INDIRECT("Table!" &amp; $CH$110 &amp; $BV48),0)))))/1024</f>
        <v>32.31494140625</v>
      </c>
      <c r="BC48" s="709"/>
      <c r="BD48" s="905"/>
      <c r="BE48" s="905"/>
      <c r="BF48" s="905"/>
      <c r="BG48" s="905"/>
      <c r="BH48" s="905"/>
      <c r="BI48" s="905"/>
      <c r="BJ48" s="905"/>
      <c r="BK48" s="905"/>
      <c r="BL48" s="905"/>
      <c r="BM48" s="905"/>
      <c r="BN48" s="905"/>
      <c r="BO48" s="905"/>
      <c r="BP48" s="905"/>
      <c r="BQ48" s="905"/>
      <c r="BR48" s="704">
        <f>MATCH($A48,Table!$A:$A,0)+$BT$2-1</f>
        <v>677</v>
      </c>
      <c r="BS48" s="705"/>
      <c r="BT48" s="705"/>
      <c r="BU48" s="705"/>
      <c r="BV48" s="717">
        <f>MATCH($A48,Table!$A:$A,0)+$BX$2-1</f>
        <v>675</v>
      </c>
      <c r="BW48" s="705"/>
      <c r="BX48" s="705"/>
      <c r="BY48" s="705"/>
      <c r="BZ48" s="704">
        <f>MATCH($A48,Table!$A:$A,0)+$CB$2-1</f>
        <v>676</v>
      </c>
      <c r="CA48" s="705"/>
      <c r="CB48" s="705"/>
      <c r="CC48" s="705"/>
      <c r="CD48" s="717">
        <f>MATCH($A48,Table!$A:$A,0)+$BX$2-1</f>
        <v>675</v>
      </c>
      <c r="CE48" s="705"/>
      <c r="CF48" s="705"/>
      <c r="CG48" s="705"/>
      <c r="CH48" s="711" t="s">
        <v>302</v>
      </c>
      <c r="CI48" s="712">
        <f t="shared" ca="1" si="0"/>
        <v>2448.9060546875003</v>
      </c>
      <c r="CJ48" s="712">
        <f t="shared" ca="1" si="85"/>
        <v>1360.6471679687497</v>
      </c>
      <c r="CK48" s="712">
        <f t="shared" ca="1" si="137"/>
        <v>1088.2588867187505</v>
      </c>
      <c r="CL48" s="718">
        <f t="shared" ca="1" si="138"/>
        <v>0.55561427738900304</v>
      </c>
      <c r="CM48" s="712">
        <f ca="1">SUMIF('Alloc Feed'!A:I,A:A,'Alloc Feed'!I:I)</f>
        <v>2886.1291025390619</v>
      </c>
      <c r="CN48" s="718">
        <f t="shared" ca="1" si="136"/>
        <v>1.1785381056225754</v>
      </c>
    </row>
    <row r="49" spans="1:92" s="591" customFormat="1" x14ac:dyDescent="0.25">
      <c r="A49" s="703">
        <v>41617</v>
      </c>
      <c r="B49" s="709">
        <f ca="1">IF(ISERROR(MATCH(B$1,INDIRECT("Table!A"&amp;$BV49):INDIRECT("Table!" &amp; $CH$110 &amp; $BV49),0)),"",INDIRECT(CONCATENATE("Table!",ADDRESS($BR49,MATCH(B$1,INDIRECT("Table!A" &amp; $BV49):INDIRECT("Table!" &amp; $CH$110 &amp; $BV49),0)))))/1024</f>
        <v>49.086328125000001</v>
      </c>
      <c r="C49" s="709">
        <f ca="1">IF(ISERROR(MATCH(C$1,INDIRECT("Table!A"&amp;$BV49):INDIRECT("Table!" &amp; $CH$110 &amp; $BV49),0)),"",INDIRECT(CONCATENATE("Table!",ADDRESS($BR49,MATCH(C$1,INDIRECT("Table!A" &amp; $BV49):INDIRECT("Table!" &amp; $CH$110 &amp; $BV49),0)))))/1024</f>
        <v>79.679492187500003</v>
      </c>
      <c r="D49" s="709">
        <f ca="1">IF(ISERROR(MATCH(D$1,INDIRECT("Table!A"&amp;$BV49):INDIRECT("Table!" &amp; $CH$110 &amp; $BV49),0)),"",INDIRECT(CONCATENATE("Table!",ADDRESS($BR49,MATCH(D$1,INDIRECT("Table!A" &amp; $BV49):INDIRECT("Table!" &amp; $CH$110 &amp; $BV49),0)))))/1024</f>
        <v>81.023339843749994</v>
      </c>
      <c r="E49" s="709">
        <f ca="1">IF(ISERROR(MATCH(E$1,INDIRECT("Table!A"&amp;$BV49):INDIRECT("Table!" &amp; $CH$110 &amp; $BV49),0)),"",INDIRECT(CONCATENATE("Table!",ADDRESS($BR49,MATCH(E$1,INDIRECT("Table!A" &amp; $BV49):INDIRECT("Table!" &amp; $CH$110 &amp; $BV49),0)))))/1024</f>
        <v>150.86884765625001</v>
      </c>
      <c r="F49" s="709">
        <f ca="1">IF(ISERROR(MATCH(F$1,INDIRECT("Table!A"&amp;$BV49):INDIRECT("Table!" &amp; $CH$110 &amp; $BV49),0)),"",INDIRECT(CONCATENATE("Table!",ADDRESS($BR49,MATCH(F$1,INDIRECT("Table!A" &amp; $BV49):INDIRECT("Table!" &amp; $CH$110 &amp; $BV49),0)))))/1024</f>
        <v>115.21132812499999</v>
      </c>
      <c r="G49" s="709">
        <f ca="1">IF(ISERROR(MATCH(G$1,INDIRECT("Table!A"&amp;$BV49):INDIRECT("Table!" &amp; $CH$110 &amp; $BV49),0)),"",INDIRECT(CONCATENATE("Table!",ADDRESS($BR49,MATCH(G$1,INDIRECT("Table!A" &amp; $BV49):INDIRECT("Table!" &amp; $CH$110 &amp; $BV49),0)))))/1024</f>
        <v>62.73681640625</v>
      </c>
      <c r="H49" s="709">
        <f ca="1">IF(ISERROR(MATCH(H$1,INDIRECT("Table!A"&amp;$BV49):INDIRECT("Table!" &amp; $CH$110 &amp; $BV49),0)),"",INDIRECT(CONCATENATE("Table!",ADDRESS($BR49,MATCH(H$1,INDIRECT("Table!A" &amp; $BV49):INDIRECT("Table!" &amp; $CH$110 &amp; $BV49),0)))))/1024</f>
        <v>107.68007812499999</v>
      </c>
      <c r="I49" s="709">
        <f ca="1">IF(ISERROR(MATCH(I$1,INDIRECT("Table!A"&amp;$BV49):INDIRECT("Table!" &amp; $CH$110 &amp; $BV49),0)),"",INDIRECT(CONCATENATE("Table!",ADDRESS($BR49,MATCH(I$1,INDIRECT("Table!A" &amp; $BV49):INDIRECT("Table!" &amp; $CH$110 &amp; $BV49),0)))))/1024</f>
        <v>14.8021484375</v>
      </c>
      <c r="J49" s="709">
        <f ca="1">IF(ISERROR(MATCH(J$1,INDIRECT("Table!A"&amp;$BV49):INDIRECT("Table!" &amp; $CH$110 &amp; $BV49),0)),"",INDIRECT(CONCATENATE("Table!",ADDRESS($BR49,MATCH(J$1,INDIRECT("Table!A" &amp; $BV49):INDIRECT("Table!" &amp; $CH$110 &amp; $BV49),0)))))/1024</f>
        <v>54.2431640625</v>
      </c>
      <c r="K49" s="709">
        <f ca="1">IF(ISERROR(MATCH(K$1,INDIRECT("Table!A"&amp;$BV49):INDIRECT("Table!" &amp; $CH$110 &amp; $BV49),0)),"",INDIRECT(CONCATENATE("Table!",ADDRESS($BR49,MATCH(K$1,INDIRECT("Table!A" &amp; $BV49):INDIRECT("Table!" &amp; $CH$110 &amp; $BV49),0)))))/1024</f>
        <v>5.1627929687499998</v>
      </c>
      <c r="L49" s="709">
        <f ca="1">IF(ISERROR(MATCH(L$1,INDIRECT("Table!A"&amp;$BV49):INDIRECT("Table!" &amp; $CH$110 &amp; $BV49),0)),"",INDIRECT(CONCATENATE("Table!",ADDRESS($BR49,MATCH(L$1,INDIRECT("Table!A" &amp; $BV49):INDIRECT("Table!" &amp; $CH$110 &amp; $BV49),0)))))/1024</f>
        <v>162.79169921875001</v>
      </c>
      <c r="M49" s="709">
        <f ca="1">IF(ISERROR(MATCH(M$1,INDIRECT("Table!A"&amp;$BV49):INDIRECT("Table!" &amp; $CH$110 &amp; $BV49),0)),"",INDIRECT(CONCATENATE("Table!",ADDRESS($BR49,MATCH(M$1,INDIRECT("Table!A" &amp; $BV49):INDIRECT("Table!" &amp; $CH$110 &amp; $BV49),0)))))/1024</f>
        <v>81.959179687500011</v>
      </c>
      <c r="N49" s="709">
        <f ca="1">IF(ISERROR(MATCH(N$1,INDIRECT("Table!A"&amp;$BV49):INDIRECT("Table!" &amp; $CH$110 &amp; $BV49),0)),"",INDIRECT(CONCATENATE("Table!",ADDRESS($BR49,MATCH(N$1,INDIRECT("Table!A" &amp; $BV49):INDIRECT("Table!" &amp; $CH$110 &amp; $BV49),0)))))/1024</f>
        <v>59.180273437499999</v>
      </c>
      <c r="O49" s="709">
        <f ca="1">IF(ISERROR(MATCH(O$1,INDIRECT("Table!A"&amp;$BV49):INDIRECT("Table!" &amp; $CH$110 &amp; $BV49),0)),"",INDIRECT(CONCATENATE("Table!",ADDRESS($BR49,MATCH(O$1,INDIRECT("Table!A" &amp; $BV49):INDIRECT("Table!" &amp; $CH$110 &amp; $BV49),0)))))/1024</f>
        <v>198.63828125000001</v>
      </c>
      <c r="P49" s="709">
        <f ca="1">IF(ISERROR(MATCH(P$1,INDIRECT("Table!A"&amp;$BV49):INDIRECT("Table!" &amp; $CH$110 &amp; $BV49),0)),"",INDIRECT(CONCATENATE("Table!",ADDRESS($BR49,MATCH(P$1,INDIRECT("Table!A" &amp; $BV49):INDIRECT("Table!" &amp; $CH$110 &amp; $BV49),0)))))/1024</f>
        <v>28.43408203125</v>
      </c>
      <c r="Q49" s="709">
        <f ca="1">IF(ISERROR(MATCH(Q$1,INDIRECT("Table!A"&amp;$BV49):INDIRECT("Table!" &amp; $CH$110 &amp; $BV49),0)),"",INDIRECT(CONCATENATE("Table!",ADDRESS($BR49,MATCH(Q$1,INDIRECT("Table!A" &amp; $BV49):INDIRECT("Table!" &amp; $CH$110 &amp; $BV49),0)))))/1024</f>
        <v>88.13720703125</v>
      </c>
      <c r="R49" s="709">
        <f ca="1">IF(ISERROR(MATCH(R$1,INDIRECT("Table!A"&amp;$BV49):INDIRECT("Table!" &amp; $CH$110 &amp; $BV49),0)),"",INDIRECT(CONCATENATE("Table!",ADDRESS($BR49,MATCH(R$1,INDIRECT("Table!A" &amp; $BV49):INDIRECT("Table!" &amp; $CH$110 &amp; $BV49),0)))))/1024</f>
        <v>61.342578124999996</v>
      </c>
      <c r="S49" s="709">
        <v>0</v>
      </c>
      <c r="T49" s="709">
        <f ca="1">IF(ISERROR(MATCH(T$1,INDIRECT("Table!A"&amp;$BV49):INDIRECT("Table!" &amp; $CH$65 &amp; $BV49),0)),"",INDIRECT(CONCATENATE("Table!",ADDRESS($BR49,MATCH(T$1,INDIRECT("Table!A" &amp; $BV49):INDIRECT("Table!" &amp; $CH$65 &amp; $BV49),0)))))/1024</f>
        <v>6.7381835937499996</v>
      </c>
      <c r="U49" s="709"/>
      <c r="V49" s="905"/>
      <c r="W49" s="905"/>
      <c r="X49" s="905"/>
      <c r="Y49" s="905"/>
      <c r="Z49" s="905"/>
      <c r="AA49" s="905"/>
      <c r="AB49" s="905"/>
      <c r="AC49" s="905"/>
      <c r="AD49" s="905"/>
      <c r="AE49" s="905"/>
      <c r="AF49" s="905"/>
      <c r="AG49" s="905"/>
      <c r="AH49" s="905"/>
      <c r="AI49" s="709" t="str">
        <f ca="1">IF(ISERROR(MATCH(AI$1,INDIRECT("Table!A"&amp;$BV49):INDIRECT("Table!" &amp; $CH$110 &amp; $BV49),0)),"",INDIRECT(CONCATENATE("Table!",ADDRESS($BR49,MATCH(AI$1,INDIRECT("Table!A" &amp; $BV49):INDIRECT("Table!" &amp; $CH$110 &amp; $BV49),0)))))</f>
        <v/>
      </c>
      <c r="AJ49" s="709">
        <f ca="1">IF(ISERROR(MATCH(AJ$1,INDIRECT("Table!A"&amp;$BV49):INDIRECT("Table!" &amp; $CH$110 &amp; $BV49),0)),"",INDIRECT(CONCATENATE("Table!",ADDRESS($BZ49,MATCH(AJ$1,INDIRECT("Table!A" &amp; $BV49):INDIRECT("Table!" &amp; $CH$110 &amp; $BV49),0)))))/1024</f>
        <v>140.0322265625</v>
      </c>
      <c r="AK49" s="709">
        <f ca="1">IF(ISERROR(MATCH(AK$1,INDIRECT("Table!A"&amp;$BV49):INDIRECT("Table!" &amp; $CH$110 &amp; $BV49),0)),"",INDIRECT(CONCATENATE("Table!",ADDRESS($BZ49,MATCH(AK$1,INDIRECT("Table!A" &amp; $BV49):INDIRECT("Table!" &amp; $CH$110 &amp; $BV49),0)))))/1024</f>
        <v>146.98896484375001</v>
      </c>
      <c r="AL49" s="709">
        <f ca="1">IF(ISERROR(MATCH(AL$1,INDIRECT("Table!A"&amp;$BV49):INDIRECT("Table!" &amp; $CH$110 &amp; $BV49),0)),"",INDIRECT(CONCATENATE("Table!",ADDRESS($BZ49,MATCH(AL$1,INDIRECT("Table!A" &amp; $BV49):INDIRECT("Table!" &amp; $CH$110 &amp; $BV49),0)))))/1024</f>
        <v>146.98896484375001</v>
      </c>
      <c r="AM49" s="709">
        <f ca="1">IF(ISERROR(MATCH(AM$1,INDIRECT("Table!A"&amp;$BV49):INDIRECT("Table!" &amp; $CH$110 &amp; $BV49),0)),"",INDIRECT(CONCATENATE("Table!",ADDRESS($BZ49,MATCH(AM$1,INDIRECT("Table!A" &amp; $BV49):INDIRECT("Table!" &amp; $CH$110 &amp; $BV49),0)))))/1024</f>
        <v>177.73320312499999</v>
      </c>
      <c r="AN49" s="709">
        <f ca="1">IF(ISERROR(MATCH(AN$1,INDIRECT("Table!A"&amp;$BV49):INDIRECT("Table!" &amp; $CH$110 &amp; $BV49),0)),"",INDIRECT(CONCATENATE("Table!",ADDRESS($BZ49,MATCH(AN$1,INDIRECT("Table!A" &amp; $BV49):INDIRECT("Table!" &amp; $CH$110 &amp; $BV49),0)))))/1024</f>
        <v>161.57568359375</v>
      </c>
      <c r="AO49" s="709">
        <f ca="1">IF(ISERROR(MATCH(AO$1,INDIRECT("Table!A"&amp;$BV49):INDIRECT("Table!" &amp; $CH$110 &amp; $BV49),0)),"",INDIRECT(CONCATENATE("Table!",ADDRESS($BZ49,MATCH(AO$1,INDIRECT("Table!A" &amp; $BV49):INDIRECT("Table!" &amp; $CH$110 &amp; $BV49),0)))))/1024</f>
        <v>129.03603515624999</v>
      </c>
      <c r="AP49" s="709">
        <f ca="1">IF(ISERROR(MATCH(AP$1,INDIRECT("Table!A"&amp;$BV49):INDIRECT("Table!" &amp; $CH$110 &amp; $BV49),0)),"",INDIRECT(CONCATENATE("Table!",ADDRESS($BZ49,MATCH(AP$1,INDIRECT("Table!A" &amp; $BV49):INDIRECT("Table!" &amp; $CH$110 &amp; $BV49),0)))))/1024</f>
        <v>166.96152343750001</v>
      </c>
      <c r="AQ49" s="709">
        <f ca="1">IF(ISERROR(MATCH(AQ$1,INDIRECT("Table!A"&amp;$BV49):INDIRECT("Table!" &amp; $CH$110 &amp; $BV49),0)),"",INDIRECT(CONCATENATE("Table!",ADDRESS($BZ49,MATCH(AQ$1,INDIRECT("Table!A" &amp; $BV49):INDIRECT("Table!" &amp; $CH$110 &amp; $BV49),0)))))/1024</f>
        <v>161.57568359375</v>
      </c>
      <c r="AR49" s="709">
        <f ca="1">IF(ISERROR(MATCH(AR$1,INDIRECT("Table!A"&amp;$BV49):INDIRECT("Table!" &amp; $CH$110 &amp; $BV49),0)),"",INDIRECT(CONCATENATE("Table!",ADDRESS($BZ49,MATCH(AR$1,INDIRECT("Table!A" &amp; $BV49):INDIRECT("Table!" &amp; $CH$110 &amp; $BV49),0)))))/1024</f>
        <v>90.245703125000006</v>
      </c>
      <c r="AS49" s="709">
        <f ca="1">IF(ISERROR(MATCH(AS$1,INDIRECT("Table!A"&amp;$BV49):INDIRECT("Table!" &amp; $CH$110 &amp; $BV49),0)),"",INDIRECT(CONCATENATE("Table!",ADDRESS($BZ49,MATCH(AS$1,INDIRECT("Table!A" &amp; $BV49):INDIRECT("Table!" &amp; $CH$110 &amp; $BV49),0)))))/1024</f>
        <v>210.22119140625</v>
      </c>
      <c r="AT49" s="709">
        <f ca="1">IF(ISERROR(MATCH(AT$1,INDIRECT("Table!A"&amp;$BV49):INDIRECT("Table!" &amp; $CH$110 &amp; $BV49),0)),"",INDIRECT(CONCATENATE("Table!",ADDRESS($BZ49,MATCH(AT$1,INDIRECT("Table!A" &amp; $BV49):INDIRECT("Table!" &amp; $CH$110 &amp; $BV49),0)))))/1024</f>
        <v>188.50498046875001</v>
      </c>
      <c r="AU49" s="709">
        <f ca="1">IF(ISERROR(MATCH(AU$1,INDIRECT("Table!A"&amp;$BV49):INDIRECT("Table!" &amp; $CH$110 &amp; $BV49),0)),"",INDIRECT(CONCATENATE("Table!",ADDRESS($BZ49,MATCH(AU$1,INDIRECT("Table!A" &amp; $BV49):INDIRECT("Table!" &amp; $CH$110 &amp; $BV49),0)))))/1024</f>
        <v>414.48457031249995</v>
      </c>
      <c r="AV49" s="709">
        <f ca="1">IF(ISERROR(MATCH(AV$1,INDIRECT("Table!A"&amp;$BV49):INDIRECT("Table!" &amp; $CH$110 &amp; $BV49),0)),"",INDIRECT(CONCATENATE("Table!",ADDRESS($BZ49,MATCH(AV$1,INDIRECT("Table!A" &amp; $BV49):INDIRECT("Table!" &amp; $CH$110 &amp; $BV49),0)))))/1024</f>
        <v>80.787695312500006</v>
      </c>
      <c r="AW49" s="709">
        <f ca="1">IF(ISERROR(MATCH(AW$1,INDIRECT("Table!A"&amp;$BV49):INDIRECT("Table!" &amp; $CH$110 &amp; $BV49),0)),"",INDIRECT(CONCATENATE("Table!",ADDRESS($BZ49,MATCH(AW$1,INDIRECT("Table!A" &amp; $BV49):INDIRECT("Table!" &amp; $CH$110 &amp; $BV49),0)))))/1024</f>
        <v>269.2919921875</v>
      </c>
      <c r="AX49" s="709">
        <f ca="1">IF(ISERROR(MATCH(AX$1,INDIRECT("Table!A"&amp;$BV49):INDIRECT("Table!" &amp; $CH$110 &amp; $BV49),0)),"",INDIRECT(CONCATENATE("Table!",ADDRESS($BZ49,MATCH(AX$1,INDIRECT("Table!A" &amp; $BV49):INDIRECT("Table!" &amp; $CH$110 &amp; $BV49),0)))))/1024</f>
        <v>80.787695312500006</v>
      </c>
      <c r="AY49" s="709">
        <f ca="1">IF(ISERROR(MATCH(AY$1,INDIRECT("Table!A"&amp;$BV49):INDIRECT("Table!" &amp; $CH$110 &amp; $BV49),0)),"",INDIRECT(CONCATENATE("Table!",ADDRESS($BZ49,MATCH(AY$1,INDIRECT("Table!A" &amp; $BV49):INDIRECT("Table!" &amp; $CH$110 &amp; $BV49),0)))))/1024</f>
        <v>184.55234375000001</v>
      </c>
      <c r="AZ49" s="709">
        <f ca="1">IF(ISERROR(MATCH(AZ$1,INDIRECT("Table!A"&amp;$BV49):INDIRECT("Table!" &amp; $CH$110 &amp; $BV49),0)),"",INDIRECT(CONCATENATE("Table!",ADDRESS($BZ49,MATCH(AZ$1,INDIRECT("Table!A" &amp; $BV49):INDIRECT("Table!" &amp; $CH$110 &amp; $BV49),0)))))/1024</f>
        <v>210.22119140625</v>
      </c>
      <c r="BA49" s="709"/>
      <c r="BB49" s="709">
        <f ca="1">IF(ISERROR(MATCH(BB$1,INDIRECT("Table!A"&amp;$BV49):INDIRECT("Table!" &amp; $CH$110 &amp; $BV49),0)),"",INDIRECT(CONCATENATE("Table!",ADDRESS($BZ49,MATCH(BB$1,INDIRECT("Table!A" &amp; $BV49):INDIRECT("Table!" &amp; $CH$110 &amp; $BV49),0)))))/1024</f>
        <v>32.31494140625</v>
      </c>
      <c r="BC49" s="709"/>
      <c r="BD49" s="905"/>
      <c r="BE49" s="905"/>
      <c r="BF49" s="905"/>
      <c r="BG49" s="905"/>
      <c r="BH49" s="905"/>
      <c r="BI49" s="905"/>
      <c r="BJ49" s="905"/>
      <c r="BK49" s="905"/>
      <c r="BL49" s="905"/>
      <c r="BM49" s="905"/>
      <c r="BN49" s="905"/>
      <c r="BO49" s="905"/>
      <c r="BP49" s="905"/>
      <c r="BQ49" s="905"/>
      <c r="BR49" s="704">
        <f>MATCH($A49,Table!$A:$A,0)+$BT$2-1</f>
        <v>689</v>
      </c>
      <c r="BS49" s="705"/>
      <c r="BT49" s="705"/>
      <c r="BU49" s="705"/>
      <c r="BV49" s="717">
        <f>MATCH($A49,Table!$A:$A,0)+$BX$2-1</f>
        <v>687</v>
      </c>
      <c r="BW49" s="705"/>
      <c r="BX49" s="705"/>
      <c r="BY49" s="705"/>
      <c r="BZ49" s="704">
        <f>MATCH($A49,Table!$A:$A,0)+$CB$2-1</f>
        <v>688</v>
      </c>
      <c r="CA49" s="705"/>
      <c r="CB49" s="705"/>
      <c r="CC49" s="705"/>
      <c r="CD49" s="717">
        <f>MATCH($A49,Table!$A:$A,0)+$BX$2-1</f>
        <v>687</v>
      </c>
      <c r="CE49" s="705"/>
      <c r="CF49" s="705"/>
      <c r="CG49" s="705"/>
      <c r="CH49" s="711" t="s">
        <v>302</v>
      </c>
      <c r="CI49" s="712">
        <f t="shared" ca="1" si="0"/>
        <v>2992.3045898437504</v>
      </c>
      <c r="CJ49" s="712">
        <f t="shared" ca="1" si="85"/>
        <v>1407.7158203125002</v>
      </c>
      <c r="CK49" s="712">
        <f t="shared" ca="1" si="137"/>
        <v>1584.5887695312501</v>
      </c>
      <c r="CL49" s="718">
        <f t="shared" ca="1" si="138"/>
        <v>0.47044536344677634</v>
      </c>
      <c r="CM49" s="712">
        <f ca="1">SUMIF('Alloc Feed'!A:I,A:A,'Alloc Feed'!I:I)</f>
        <v>2984.9423027343746</v>
      </c>
      <c r="CN49" s="718">
        <f t="shared" ca="1" si="136"/>
        <v>0.99753959301657846</v>
      </c>
    </row>
    <row r="50" spans="1:92" s="591" customFormat="1" x14ac:dyDescent="0.25">
      <c r="A50" s="703">
        <v>41610</v>
      </c>
      <c r="B50" s="709">
        <f ca="1">IF(ISERROR(MATCH(B$1,INDIRECT("Table!A"&amp;$BV50):INDIRECT("Table!" &amp; $CH$110 &amp; $BV50),0)),"",INDIRECT(CONCATENATE("Table!",ADDRESS($BR50,MATCH(B$1,INDIRECT("Table!A" &amp; $BV50):INDIRECT("Table!" &amp; $CH$110 &amp; $BV50),0)))))/1024</f>
        <v>49.3544921875</v>
      </c>
      <c r="C50" s="709">
        <f ca="1">IF(ISERROR(MATCH(C$1,INDIRECT("Table!A"&amp;$BV50):INDIRECT("Table!" &amp; $CH$110 &amp; $BV50),0)),"",INDIRECT(CONCATENATE("Table!",ADDRESS($BR50,MATCH(C$1,INDIRECT("Table!A" &amp; $BV50):INDIRECT("Table!" &amp; $CH$110 &amp; $BV50),0)))))/1024</f>
        <v>79.467871093750006</v>
      </c>
      <c r="D50" s="709">
        <f ca="1">IF(ISERROR(MATCH(D$1,INDIRECT("Table!A"&amp;$BV50):INDIRECT("Table!" &amp; $CH$110 &amp; $BV50),0)),"",INDIRECT(CONCATENATE("Table!",ADDRESS($BR50,MATCH(D$1,INDIRECT("Table!A" &amp; $BV50):INDIRECT("Table!" &amp; $CH$110 &amp; $BV50),0)))))/1024</f>
        <v>80.806445312500003</v>
      </c>
      <c r="E50" s="709">
        <f ca="1">IF(ISERROR(MATCH(E$1,INDIRECT("Table!A"&amp;$BV50):INDIRECT("Table!" &amp; $CH$110 &amp; $BV50),0)),"",INDIRECT(CONCATENATE("Table!",ADDRESS($BR50,MATCH(E$1,INDIRECT("Table!A" &amp; $BV50):INDIRECT("Table!" &amp; $CH$110 &amp; $BV50),0)))))/1024</f>
        <v>150.25654296875001</v>
      </c>
      <c r="F50" s="709">
        <f ca="1">IF(ISERROR(MATCH(F$1,INDIRECT("Table!A"&amp;$BV50):INDIRECT("Table!" &amp; $CH$110 &amp; $BV50),0)),"",INDIRECT(CONCATENATE("Table!",ADDRESS($BR50,MATCH(F$1,INDIRECT("Table!A" &amp; $BV50):INDIRECT("Table!" &amp; $CH$110 &amp; $BV50),0)))))/1024</f>
        <v>115.00820312499999</v>
      </c>
      <c r="G50" s="709">
        <f ca="1">IF(ISERROR(MATCH(G$1,INDIRECT("Table!A"&amp;$BV50):INDIRECT("Table!" &amp; $CH$110 &amp; $BV50),0)),"",INDIRECT(CONCATENATE("Table!",ADDRESS($BR50,MATCH(G$1,INDIRECT("Table!A" &amp; $BV50):INDIRECT("Table!" &amp; $CH$110 &amp; $BV50),0)))))/1024</f>
        <v>61.681640625</v>
      </c>
      <c r="H50" s="709">
        <f ca="1">IF(ISERROR(MATCH(H$1,INDIRECT("Table!A"&amp;$BV50):INDIRECT("Table!" &amp; $CH$110 &amp; $BV50),0)),"",INDIRECT(CONCATENATE("Table!",ADDRESS($BR50,MATCH(H$1,INDIRECT("Table!A" &amp; $BV50):INDIRECT("Table!" &amp; $CH$110 &amp; $BV50),0)))))/1024</f>
        <v>107.2236328125</v>
      </c>
      <c r="I50" s="709">
        <f ca="1">IF(ISERROR(MATCH(I$1,INDIRECT("Table!A"&amp;$BV50):INDIRECT("Table!" &amp; $CH$110 &amp; $BV50),0)),"",INDIRECT(CONCATENATE("Table!",ADDRESS($BR50,MATCH(I$1,INDIRECT("Table!A" &amp; $BV50):INDIRECT("Table!" &amp; $CH$110 &amp; $BV50),0)))))/1024</f>
        <v>13.76455078125</v>
      </c>
      <c r="J50" s="709">
        <f ca="1">IF(ISERROR(MATCH(J$1,INDIRECT("Table!A"&amp;$BV50):INDIRECT("Table!" &amp; $CH$110 &amp; $BV50),0)),"",INDIRECT(CONCATENATE("Table!",ADDRESS($BR50,MATCH(J$1,INDIRECT("Table!A" &amp; $BV50):INDIRECT("Table!" &amp; $CH$110 &amp; $BV50),0)))))/1024</f>
        <v>52.895214843749997</v>
      </c>
      <c r="K50" s="709">
        <f ca="1">IF(ISERROR(MATCH(K$1,INDIRECT("Table!A"&amp;$BV50):INDIRECT("Table!" &amp; $CH$110 &amp; $BV50),0)),"",INDIRECT(CONCATENATE("Table!",ADDRESS($BR50,MATCH(K$1,INDIRECT("Table!A" &amp; $BV50):INDIRECT("Table!" &amp; $CH$110 &amp; $BV50),0)))))/1024</f>
        <v>5.3298828125000002</v>
      </c>
      <c r="L50" s="709">
        <f ca="1">IF(ISERROR(MATCH(L$1,INDIRECT("Table!A"&amp;$BV50):INDIRECT("Table!" &amp; $CH$110 &amp; $BV50),0)),"",INDIRECT(CONCATENATE("Table!",ADDRESS($BR50,MATCH(L$1,INDIRECT("Table!A" &amp; $BV50):INDIRECT("Table!" &amp; $CH$110 &amp; $BV50),0)))))/1024</f>
        <v>162.67841796875001</v>
      </c>
      <c r="M50" s="709">
        <f ca="1">IF(ISERROR(MATCH(M$1,INDIRECT("Table!A"&amp;$BV50):INDIRECT("Table!" &amp; $CH$110 &amp; $BV50),0)),"",INDIRECT(CONCATENATE("Table!",ADDRESS($BR50,MATCH(M$1,INDIRECT("Table!A" &amp; $BV50):INDIRECT("Table!" &amp; $CH$110 &amp; $BV50),0)))))/1024</f>
        <v>84.036816406250011</v>
      </c>
      <c r="N50" s="709">
        <f ca="1">IF(ISERROR(MATCH(N$1,INDIRECT("Table!A"&amp;$BV50):INDIRECT("Table!" &amp; $CH$110 &amp; $BV50),0)),"",INDIRECT(CONCATENATE("Table!",ADDRESS($BR50,MATCH(N$1,INDIRECT("Table!A" &amp; $BV50):INDIRECT("Table!" &amp; $CH$110 &amp; $BV50),0)))))/1024</f>
        <v>59.075976562500003</v>
      </c>
      <c r="O50" s="709">
        <f ca="1">IF(ISERROR(MATCH(O$1,INDIRECT("Table!A"&amp;$BV50):INDIRECT("Table!" &amp; $CH$110 &amp; $BV50),0)),"",INDIRECT(CONCATENATE("Table!",ADDRESS($BR50,MATCH(O$1,INDIRECT("Table!A" &amp; $BV50):INDIRECT("Table!" &amp; $CH$110 &amp; $BV50),0)))))/1024</f>
        <v>197.72470703125001</v>
      </c>
      <c r="P50" s="709">
        <f ca="1">IF(ISERROR(MATCH(P$1,INDIRECT("Table!A"&amp;$BV50):INDIRECT("Table!" &amp; $CH$110 &amp; $BV50),0)),"",INDIRECT(CONCATENATE("Table!",ADDRESS($BR50,MATCH(P$1,INDIRECT("Table!A" &amp; $BV50):INDIRECT("Table!" &amp; $CH$110 &amp; $BV50),0)))))/1024</f>
        <v>26.382031250000001</v>
      </c>
      <c r="Q50" s="709">
        <f ca="1">IF(ISERROR(MATCH(Q$1,INDIRECT("Table!A"&amp;$BV50):INDIRECT("Table!" &amp; $CH$110 &amp; $BV50),0)),"",INDIRECT(CONCATENATE("Table!",ADDRESS($BR50,MATCH(Q$1,INDIRECT("Table!A" &amp; $BV50):INDIRECT("Table!" &amp; $CH$110 &amp; $BV50),0)))))/1024</f>
        <v>85.041210937499997</v>
      </c>
      <c r="R50" s="709">
        <f ca="1">IF(ISERROR(MATCH(R$1,INDIRECT("Table!A"&amp;$BV50):INDIRECT("Table!" &amp; $CH$110 &amp; $BV50),0)),"",INDIRECT(CONCATENATE("Table!",ADDRESS($BR50,MATCH(R$1,INDIRECT("Table!A" &amp; $BV50):INDIRECT("Table!" &amp; $CH$110 &amp; $BV50),0)))))/1024</f>
        <v>54.245214843749999</v>
      </c>
      <c r="S50" s="709">
        <v>0</v>
      </c>
      <c r="T50" s="709">
        <f ca="1">IF(ISERROR(MATCH(T$1,INDIRECT("Table!A"&amp;$BV50):INDIRECT("Table!" &amp; $CH$65 &amp; $BV50),0)),"",INDIRECT(CONCATENATE("Table!",ADDRESS($BR50,MATCH(T$1,INDIRECT("Table!A" &amp; $BV50):INDIRECT("Table!" &amp; $CH$65 &amp; $BV50),0)))))/1024</f>
        <v>6.4854492187500004</v>
      </c>
      <c r="U50" s="709"/>
      <c r="V50" s="905"/>
      <c r="W50" s="905"/>
      <c r="X50" s="905"/>
      <c r="Y50" s="905"/>
      <c r="Z50" s="905"/>
      <c r="AA50" s="905"/>
      <c r="AB50" s="905"/>
      <c r="AC50" s="905"/>
      <c r="AD50" s="905"/>
      <c r="AE50" s="905"/>
      <c r="AF50" s="905"/>
      <c r="AG50" s="905"/>
      <c r="AH50" s="905"/>
      <c r="AI50" s="709" t="str">
        <f ca="1">IF(ISERROR(MATCH(AI$1,INDIRECT("Table!A"&amp;$BV50):INDIRECT("Table!" &amp; $CH$110 &amp; $BV50),0)),"",INDIRECT(CONCATENATE("Table!",ADDRESS($BR50,MATCH(AI$1,INDIRECT("Table!A" &amp; $BV50):INDIRECT("Table!" &amp; $CH$110 &amp; $BV50),0)))))</f>
        <v/>
      </c>
      <c r="AJ50" s="709">
        <f ca="1">IF(ISERROR(MATCH(AJ$1,INDIRECT("Table!A"&amp;$BV50):INDIRECT("Table!" &amp; $CH$110 &amp; $BV50),0)),"",INDIRECT(CONCATENATE("Table!",ADDRESS($BZ50,MATCH(AJ$1,INDIRECT("Table!A" &amp; $BV50):INDIRECT("Table!" &amp; $CH$110 &amp; $BV50),0)))))/1024</f>
        <v>140.0322265625</v>
      </c>
      <c r="AK50" s="709">
        <f ca="1">IF(ISERROR(MATCH(AK$1,INDIRECT("Table!A"&amp;$BV50):INDIRECT("Table!" &amp; $CH$110 &amp; $BV50),0)),"",INDIRECT(CONCATENATE("Table!",ADDRESS($BZ50,MATCH(AK$1,INDIRECT("Table!A" &amp; $BV50):INDIRECT("Table!" &amp; $CH$110 &amp; $BV50),0)))))/1024</f>
        <v>146.98896484375001</v>
      </c>
      <c r="AL50" s="709">
        <f ca="1">IF(ISERROR(MATCH(AL$1,INDIRECT("Table!A"&amp;$BV50):INDIRECT("Table!" &amp; $CH$110 &amp; $BV50),0)),"",INDIRECT(CONCATENATE("Table!",ADDRESS($BZ50,MATCH(AL$1,INDIRECT("Table!A" &amp; $BV50):INDIRECT("Table!" &amp; $CH$110 &amp; $BV50),0)))))/1024</f>
        <v>146.98896484375001</v>
      </c>
      <c r="AM50" s="709">
        <f ca="1">IF(ISERROR(MATCH(AM$1,INDIRECT("Table!A"&amp;$BV50):INDIRECT("Table!" &amp; $CH$110 &amp; $BV50),0)),"",INDIRECT(CONCATENATE("Table!",ADDRESS($BZ50,MATCH(AM$1,INDIRECT("Table!A" &amp; $BV50):INDIRECT("Table!" &amp; $CH$110 &amp; $BV50),0)))))/1024</f>
        <v>177.73320312499999</v>
      </c>
      <c r="AN50" s="709">
        <f ca="1">IF(ISERROR(MATCH(AN$1,INDIRECT("Table!A"&amp;$BV50):INDIRECT("Table!" &amp; $CH$110 &amp; $BV50),0)),"",INDIRECT(CONCATENATE("Table!",ADDRESS($BZ50,MATCH(AN$1,INDIRECT("Table!A" &amp; $BV50):INDIRECT("Table!" &amp; $CH$110 &amp; $BV50),0)))))/1024</f>
        <v>161.57568359375</v>
      </c>
      <c r="AO50" s="709">
        <f ca="1">IF(ISERROR(MATCH(AO$1,INDIRECT("Table!A"&amp;$BV50):INDIRECT("Table!" &amp; $CH$110 &amp; $BV50),0)),"",INDIRECT(CONCATENATE("Table!",ADDRESS($BZ50,MATCH(AO$1,INDIRECT("Table!A" &amp; $BV50):INDIRECT("Table!" &amp; $CH$110 &amp; $BV50),0)))))/1024</f>
        <v>129.03603515624999</v>
      </c>
      <c r="AP50" s="709">
        <f ca="1">IF(ISERROR(MATCH(AP$1,INDIRECT("Table!A"&amp;$BV50):INDIRECT("Table!" &amp; $CH$110 &amp; $BV50),0)),"",INDIRECT(CONCATENATE("Table!",ADDRESS($BZ50,MATCH(AP$1,INDIRECT("Table!A" &amp; $BV50):INDIRECT("Table!" &amp; $CH$110 &amp; $BV50),0)))))/1024</f>
        <v>166.96152343750001</v>
      </c>
      <c r="AQ50" s="709">
        <f ca="1">IF(ISERROR(MATCH(AQ$1,INDIRECT("Table!A"&amp;$BV50):INDIRECT("Table!" &amp; $CH$110 &amp; $BV50),0)),"",INDIRECT(CONCATENATE("Table!",ADDRESS($BZ50,MATCH(AQ$1,INDIRECT("Table!A" &amp; $BV50):INDIRECT("Table!" &amp; $CH$110 &amp; $BV50),0)))))/1024</f>
        <v>161.57568359375</v>
      </c>
      <c r="AR50" s="709">
        <f ca="1">IF(ISERROR(MATCH(AR$1,INDIRECT("Table!A"&amp;$BV50):INDIRECT("Table!" &amp; $CH$110 &amp; $BV50),0)),"",INDIRECT(CONCATENATE("Table!",ADDRESS($BZ50,MATCH(AR$1,INDIRECT("Table!A" &amp; $BV50):INDIRECT("Table!" &amp; $CH$110 &amp; $BV50),0)))))/1024</f>
        <v>90.245703125000006</v>
      </c>
      <c r="AS50" s="709">
        <f ca="1">IF(ISERROR(MATCH(AS$1,INDIRECT("Table!A"&amp;$BV50):INDIRECT("Table!" &amp; $CH$110 &amp; $BV50),0)),"",INDIRECT(CONCATENATE("Table!",ADDRESS($BZ50,MATCH(AS$1,INDIRECT("Table!A" &amp; $BV50):INDIRECT("Table!" &amp; $CH$110 &amp; $BV50),0)))))/1024</f>
        <v>210.22119140625</v>
      </c>
      <c r="AT50" s="709">
        <f ca="1">IF(ISERROR(MATCH(AT$1,INDIRECT("Table!A"&amp;$BV50):INDIRECT("Table!" &amp; $CH$110 &amp; $BV50),0)),"",INDIRECT(CONCATENATE("Table!",ADDRESS($BZ50,MATCH(AT$1,INDIRECT("Table!A" &amp; $BV50):INDIRECT("Table!" &amp; $CH$110 &amp; $BV50),0)))))/1024</f>
        <v>188.50498046875001</v>
      </c>
      <c r="AU50" s="709">
        <f ca="1">IF(ISERROR(MATCH(AU$1,INDIRECT("Table!A"&amp;$BV50):INDIRECT("Table!" &amp; $CH$110 &amp; $BV50),0)),"",INDIRECT(CONCATENATE("Table!",ADDRESS($BZ50,MATCH(AU$1,INDIRECT("Table!A" &amp; $BV50):INDIRECT("Table!" &amp; $CH$110 &amp; $BV50),0)))))/1024</f>
        <v>414.48457031249995</v>
      </c>
      <c r="AV50" s="709">
        <f ca="1">IF(ISERROR(MATCH(AV$1,INDIRECT("Table!A"&amp;$BV50):INDIRECT("Table!" &amp; $CH$110 &amp; $BV50),0)),"",INDIRECT(CONCATENATE("Table!",ADDRESS($BZ50,MATCH(AV$1,INDIRECT("Table!A" &amp; $BV50):INDIRECT("Table!" &amp; $CH$110 &amp; $BV50),0)))))/1024</f>
        <v>80.787695312500006</v>
      </c>
      <c r="AW50" s="709">
        <f ca="1">IF(ISERROR(MATCH(AW$1,INDIRECT("Table!A"&amp;$BV50):INDIRECT("Table!" &amp; $CH$110 &amp; $BV50),0)),"",INDIRECT(CONCATENATE("Table!",ADDRESS($BZ50,MATCH(AW$1,INDIRECT("Table!A" &amp; $BV50):INDIRECT("Table!" &amp; $CH$110 &amp; $BV50),0)))))/1024</f>
        <v>269.2919921875</v>
      </c>
      <c r="AX50" s="709">
        <f ca="1">IF(ISERROR(MATCH(AX$1,INDIRECT("Table!A"&amp;$BV50):INDIRECT("Table!" &amp; $CH$110 &amp; $BV50),0)),"",INDIRECT(CONCATENATE("Table!",ADDRESS($BZ50,MATCH(AX$1,INDIRECT("Table!A" &amp; $BV50):INDIRECT("Table!" &amp; $CH$110 &amp; $BV50),0)))))/1024</f>
        <v>80.787695312500006</v>
      </c>
      <c r="AY50" s="709">
        <f ca="1">IF(ISERROR(MATCH(AY$1,INDIRECT("Table!A"&amp;$BV50):INDIRECT("Table!" &amp; $CH$110 &amp; $BV50),0)),"",INDIRECT(CONCATENATE("Table!",ADDRESS($BZ50,MATCH(AY$1,INDIRECT("Table!A" &amp; $BV50):INDIRECT("Table!" &amp; $CH$110 &amp; $BV50),0)))))/1024</f>
        <v>184.55234375000001</v>
      </c>
      <c r="AZ50" s="709">
        <f ca="1">IF(ISERROR(MATCH(AZ$1,INDIRECT("Table!A"&amp;$BV50):INDIRECT("Table!" &amp; $CH$110 &amp; $BV50),0)),"",INDIRECT(CONCATENATE("Table!",ADDRESS($BZ50,MATCH(AZ$1,INDIRECT("Table!A" &amp; $BV50):INDIRECT("Table!" &amp; $CH$110 &amp; $BV50),0)))))/1024</f>
        <v>210.22119140625</v>
      </c>
      <c r="BA50" s="709"/>
      <c r="BB50" s="709">
        <f ca="1">IF(ISERROR(MATCH(BB$1,INDIRECT("Table!A"&amp;$BV50):INDIRECT("Table!" &amp; $CH$110 &amp; $BV50),0)),"",INDIRECT(CONCATENATE("Table!",ADDRESS($BZ50,MATCH(BB$1,INDIRECT("Table!A" &amp; $BV50):INDIRECT("Table!" &amp; $CH$110 &amp; $BV50),0)))))/1024</f>
        <v>32.31494140625</v>
      </c>
      <c r="BC50" s="709"/>
      <c r="BD50" s="905"/>
      <c r="BE50" s="905"/>
      <c r="BF50" s="905"/>
      <c r="BG50" s="905"/>
      <c r="BH50" s="905"/>
      <c r="BI50" s="905"/>
      <c r="BJ50" s="905"/>
      <c r="BK50" s="905"/>
      <c r="BL50" s="905"/>
      <c r="BM50" s="905"/>
      <c r="BN50" s="905"/>
      <c r="BO50" s="905"/>
      <c r="BP50" s="905"/>
      <c r="BQ50" s="905"/>
      <c r="BR50" s="704">
        <f>MATCH($A50,Table!$A:$A,0)+$BT$2-1</f>
        <v>701</v>
      </c>
      <c r="BS50" s="705"/>
      <c r="BT50" s="705"/>
      <c r="BU50" s="705"/>
      <c r="BV50" s="717">
        <f>MATCH($A50,Table!$A:$A,0)+$BX$2-1</f>
        <v>699</v>
      </c>
      <c r="BW50" s="705"/>
      <c r="BX50" s="705"/>
      <c r="BY50" s="705"/>
      <c r="BZ50" s="704">
        <f>MATCH($A50,Table!$A:$A,0)+$CB$2-1</f>
        <v>700</v>
      </c>
      <c r="CA50" s="705"/>
      <c r="CB50" s="705"/>
      <c r="CC50" s="705"/>
      <c r="CD50" s="717">
        <f>MATCH($A50,Table!$A:$A,0)+$BX$2-1</f>
        <v>699</v>
      </c>
      <c r="CE50" s="705"/>
      <c r="CF50" s="705"/>
      <c r="CG50" s="705"/>
      <c r="CH50" s="711" t="s">
        <v>302</v>
      </c>
      <c r="CI50" s="712">
        <f t="shared" ca="1" si="0"/>
        <v>2992.3045898437504</v>
      </c>
      <c r="CJ50" s="712">
        <f t="shared" ca="1" si="85"/>
        <v>1391.4583007812503</v>
      </c>
      <c r="CK50" s="712">
        <f t="shared" ca="1" si="137"/>
        <v>1600.8462890625001</v>
      </c>
      <c r="CL50" s="718">
        <f t="shared" ca="1" si="138"/>
        <v>0.46501225360012843</v>
      </c>
      <c r="CM50" s="712">
        <f ca="1">SUMIF('Alloc Feed'!A:I,A:A,'Alloc Feed'!I:I)</f>
        <v>2973.8459853515624</v>
      </c>
      <c r="CN50" s="718">
        <f t="shared" ca="1" si="136"/>
        <v>0.99383130829834676</v>
      </c>
    </row>
    <row r="51" spans="1:92" s="591" customFormat="1" x14ac:dyDescent="0.25">
      <c r="A51" s="703">
        <v>41603</v>
      </c>
      <c r="B51" s="709">
        <f ca="1">IF(ISERROR(MATCH(B$1,INDIRECT("Table!A"&amp;$BV51):INDIRECT("Table!" &amp; $CH$110 &amp; $BV51),0)),"",INDIRECT(CONCATENATE("Table!",ADDRESS($BR51,MATCH(B$1,INDIRECT("Table!A" &amp; $BV51):INDIRECT("Table!" &amp; $CH$110 &amp; $BV51),0)))))/1024</f>
        <v>48.391015625000001</v>
      </c>
      <c r="C51" s="709">
        <f ca="1">IF(ISERROR(MATCH(C$1,INDIRECT("Table!A"&amp;$BV51):INDIRECT("Table!" &amp; $CH$110 &amp; $BV51),0)),"",INDIRECT(CONCATENATE("Table!",ADDRESS($BR51,MATCH(C$1,INDIRECT("Table!A" &amp; $BV51):INDIRECT("Table!" &amp; $CH$110 &amp; $BV51),0)))))/1024</f>
        <v>79.280957031249997</v>
      </c>
      <c r="D51" s="709">
        <f ca="1">IF(ISERROR(MATCH(D$1,INDIRECT("Table!A"&amp;$BV51):INDIRECT("Table!" &amp; $CH$110 &amp; $BV51),0)),"",INDIRECT(CONCATENATE("Table!",ADDRESS($BR51,MATCH(D$1,INDIRECT("Table!A" &amp; $BV51):INDIRECT("Table!" &amp; $CH$110 &amp; $BV51),0)))))/1024</f>
        <v>80.619531249999994</v>
      </c>
      <c r="E51" s="709">
        <f ca="1">IF(ISERROR(MATCH(E$1,INDIRECT("Table!A"&amp;$BV51):INDIRECT("Table!" &amp; $CH$110 &amp; $BV51),0)),"",INDIRECT(CONCATENATE("Table!",ADDRESS($BR51,MATCH(E$1,INDIRECT("Table!A" &amp; $BV51):INDIRECT("Table!" &amp; $CH$110 &amp; $BV51),0)))))/1024</f>
        <v>149.7783203125</v>
      </c>
      <c r="F51" s="709">
        <f ca="1">IF(ISERROR(MATCH(F$1,INDIRECT("Table!A"&amp;$BV51):INDIRECT("Table!" &amp; $CH$110 &amp; $BV51),0)),"",INDIRECT(CONCATENATE("Table!",ADDRESS($BR51,MATCH(F$1,INDIRECT("Table!A" &amp; $BV51):INDIRECT("Table!" &amp; $CH$110 &amp; $BV51),0)))))/1024</f>
        <v>114.36767578125</v>
      </c>
      <c r="G51" s="709">
        <f ca="1">IF(ISERROR(MATCH(G$1,INDIRECT("Table!A"&amp;$BV51):INDIRECT("Table!" &amp; $CH$110 &amp; $BV51),0)),"",INDIRECT(CONCATENATE("Table!",ADDRESS($BR51,MATCH(G$1,INDIRECT("Table!A" &amp; $BV51):INDIRECT("Table!" &amp; $CH$110 &amp; $BV51),0)))))/1024</f>
        <v>64.006640625000003</v>
      </c>
      <c r="H51" s="709">
        <f ca="1">IF(ISERROR(MATCH(H$1,INDIRECT("Table!A"&amp;$BV51):INDIRECT("Table!" &amp; $CH$110 &amp; $BV51),0)),"",INDIRECT(CONCATENATE("Table!",ADDRESS($BR51,MATCH(H$1,INDIRECT("Table!A" &amp; $BV51):INDIRECT("Table!" &amp; $CH$110 &amp; $BV51),0)))))/1024</f>
        <v>104.3416015625</v>
      </c>
      <c r="I51" s="709">
        <f ca="1">IF(ISERROR(MATCH(I$1,INDIRECT("Table!A"&amp;$BV51):INDIRECT("Table!" &amp; $CH$110 &amp; $BV51),0)),"",INDIRECT(CONCATENATE("Table!",ADDRESS($BR51,MATCH(I$1,INDIRECT("Table!A" &amp; $BV51):INDIRECT("Table!" &amp; $CH$110 &amp; $BV51),0)))))/1024</f>
        <v>13.738574218749999</v>
      </c>
      <c r="J51" s="709">
        <f ca="1">IF(ISERROR(MATCH(J$1,INDIRECT("Table!A"&amp;$BV51):INDIRECT("Table!" &amp; $CH$110 &amp; $BV51),0)),"",INDIRECT(CONCATENATE("Table!",ADDRESS($BR51,MATCH(J$1,INDIRECT("Table!A" &amp; $BV51):INDIRECT("Table!" &amp; $CH$110 &amp; $BV51),0)))))/1024</f>
        <v>52.310449218750001</v>
      </c>
      <c r="K51" s="709">
        <f ca="1">IF(ISERROR(MATCH(K$1,INDIRECT("Table!A"&amp;$BV51):INDIRECT("Table!" &amp; $CH$110 &amp; $BV51),0)),"",INDIRECT(CONCATENATE("Table!",ADDRESS($BR51,MATCH(K$1,INDIRECT("Table!A" &amp; $BV51):INDIRECT("Table!" &amp; $CH$110 &amp; $BV51),0)))))/1024</f>
        <v>4.8490234374999996</v>
      </c>
      <c r="L51" s="709">
        <f ca="1">IF(ISERROR(MATCH(L$1,INDIRECT("Table!A"&amp;$BV51):INDIRECT("Table!" &amp; $CH$110 &amp; $BV51),0)),"",INDIRECT(CONCATENATE("Table!",ADDRESS($BR51,MATCH(L$1,INDIRECT("Table!A" &amp; $BV51):INDIRECT("Table!" &amp; $CH$110 &amp; $BV51),0)))))/1024</f>
        <v>160.37236328124999</v>
      </c>
      <c r="M51" s="709">
        <f ca="1">IF(ISERROR(MATCH(M$1,INDIRECT("Table!A"&amp;$BV51):INDIRECT("Table!" &amp; $CH$110 &amp; $BV51),0)),"",INDIRECT(CONCATENATE("Table!",ADDRESS($BR51,MATCH(M$1,INDIRECT("Table!A" &amp; $BV51):INDIRECT("Table!" &amp; $CH$110 &amp; $BV51),0)))))/1024</f>
        <v>83.968359375000006</v>
      </c>
      <c r="N51" s="709">
        <f ca="1">IF(ISERROR(MATCH(N$1,INDIRECT("Table!A"&amp;$BV51):INDIRECT("Table!" &amp; $CH$110 &amp; $BV51),0)),"",INDIRECT(CONCATENATE("Table!",ADDRESS($BR51,MATCH(N$1,INDIRECT("Table!A" &amp; $BV51):INDIRECT("Table!" &amp; $CH$110 &amp; $BV51),0)))))/1024</f>
        <v>58.751269531250003</v>
      </c>
      <c r="O51" s="709">
        <f ca="1">IF(ISERROR(MATCH(O$1,INDIRECT("Table!A"&amp;$BV51):INDIRECT("Table!" &amp; $CH$110 &amp; $BV51),0)),"",INDIRECT(CONCATENATE("Table!",ADDRESS($BR51,MATCH(O$1,INDIRECT("Table!A" &amp; $BV51):INDIRECT("Table!" &amp; $CH$110 &amp; $BV51),0)))))/1024</f>
        <v>191.91064453125</v>
      </c>
      <c r="P51" s="709">
        <f ca="1">IF(ISERROR(MATCH(P$1,INDIRECT("Table!A"&amp;$BV51):INDIRECT("Table!" &amp; $CH$110 &amp; $BV51),0)),"",INDIRECT(CONCATENATE("Table!",ADDRESS($BR51,MATCH(P$1,INDIRECT("Table!A" &amp; $BV51):INDIRECT("Table!" &amp; $CH$110 &amp; $BV51),0)))))/1024</f>
        <v>26.339941406249999</v>
      </c>
      <c r="Q51" s="709">
        <f ca="1">IF(ISERROR(MATCH(Q$1,INDIRECT("Table!A"&amp;$BV51):INDIRECT("Table!" &amp; $CH$110 &amp; $BV51),0)),"",INDIRECT(CONCATENATE("Table!",ADDRESS($BR51,MATCH(Q$1,INDIRECT("Table!A" &amp; $BV51):INDIRECT("Table!" &amp; $CH$110 &amp; $BV51),0)))))/1024</f>
        <v>83.787207031250006</v>
      </c>
      <c r="R51" s="709">
        <f ca="1">IF(ISERROR(MATCH(R$1,INDIRECT("Table!A"&amp;$BV51):INDIRECT("Table!" &amp; $CH$110 &amp; $BV51),0)),"",INDIRECT(CONCATENATE("Table!",ADDRESS($BR51,MATCH(R$1,INDIRECT("Table!A" &amp; $BV51):INDIRECT("Table!" &amp; $CH$110 &amp; $BV51),0)))))/1024</f>
        <v>53.892578125</v>
      </c>
      <c r="S51" s="709">
        <v>0</v>
      </c>
      <c r="T51" s="709">
        <f ca="1">IF(ISERROR(MATCH(T$1,INDIRECT("Table!A"&amp;$BV51):INDIRECT("Table!" &amp; $CH$65 &amp; $BV51),0)),"",INDIRECT(CONCATENATE("Table!",ADDRESS($BR51,MATCH(T$1,INDIRECT("Table!A" &amp; $BV51):INDIRECT("Table!" &amp; $CH$65 &amp; $BV51),0)))))/1024</f>
        <v>6.4854492187500004</v>
      </c>
      <c r="U51" s="709"/>
      <c r="V51" s="905"/>
      <c r="W51" s="905"/>
      <c r="X51" s="905"/>
      <c r="Y51" s="905"/>
      <c r="Z51" s="905"/>
      <c r="AA51" s="905"/>
      <c r="AB51" s="905"/>
      <c r="AC51" s="905"/>
      <c r="AD51" s="905"/>
      <c r="AE51" s="905"/>
      <c r="AF51" s="905"/>
      <c r="AG51" s="905"/>
      <c r="AH51" s="905"/>
      <c r="AI51" s="709" t="str">
        <f ca="1">IF(ISERROR(MATCH(AI$1,INDIRECT("Table!A"&amp;$BV51):INDIRECT("Table!" &amp; $CH$110 &amp; $BV51),0)),"",INDIRECT(CONCATENATE("Table!",ADDRESS($BR51,MATCH(AI$1,INDIRECT("Table!A" &amp; $BV51):INDIRECT("Table!" &amp; $CH$110 &amp; $BV51),0)))))</f>
        <v/>
      </c>
      <c r="AJ51" s="709">
        <f ca="1">IF(ISERROR(MATCH(AJ$1,INDIRECT("Table!A"&amp;$BV51):INDIRECT("Table!" &amp; $CH$110 &amp; $BV51),0)),"",INDIRECT(CONCATENATE("Table!",ADDRESS($BZ51,MATCH(AJ$1,INDIRECT("Table!A" &amp; $BV51):INDIRECT("Table!" &amp; $CH$110 &amp; $BV51),0)))))/1024</f>
        <v>140.0322265625</v>
      </c>
      <c r="AK51" s="709">
        <f ca="1">IF(ISERROR(MATCH(AK$1,INDIRECT("Table!A"&amp;$BV51):INDIRECT("Table!" &amp; $CH$110 &amp; $BV51),0)),"",INDIRECT(CONCATENATE("Table!",ADDRESS($BZ51,MATCH(AK$1,INDIRECT("Table!A" &amp; $BV51):INDIRECT("Table!" &amp; $CH$110 &amp; $BV51),0)))))/1024</f>
        <v>146.98896484375001</v>
      </c>
      <c r="AL51" s="709">
        <f ca="1">IF(ISERROR(MATCH(AL$1,INDIRECT("Table!A"&amp;$BV51):INDIRECT("Table!" &amp; $CH$110 &amp; $BV51),0)),"",INDIRECT(CONCATENATE("Table!",ADDRESS($BZ51,MATCH(AL$1,INDIRECT("Table!A" &amp; $BV51):INDIRECT("Table!" &amp; $CH$110 &amp; $BV51),0)))))/1024</f>
        <v>146.98896484375001</v>
      </c>
      <c r="AM51" s="709">
        <f ca="1">IF(ISERROR(MATCH(AM$1,INDIRECT("Table!A"&amp;$BV51):INDIRECT("Table!" &amp; $CH$110 &amp; $BV51),0)),"",INDIRECT(CONCATENATE("Table!",ADDRESS($BZ51,MATCH(AM$1,INDIRECT("Table!A" &amp; $BV51):INDIRECT("Table!" &amp; $CH$110 &amp; $BV51),0)))))/1024</f>
        <v>177.73320312499999</v>
      </c>
      <c r="AN51" s="709">
        <f ca="1">IF(ISERROR(MATCH(AN$1,INDIRECT("Table!A"&amp;$BV51):INDIRECT("Table!" &amp; $CH$110 &amp; $BV51),0)),"",INDIRECT(CONCATENATE("Table!",ADDRESS($BZ51,MATCH(AN$1,INDIRECT("Table!A" &amp; $BV51):INDIRECT("Table!" &amp; $CH$110 &amp; $BV51),0)))))/1024</f>
        <v>161.57568359375</v>
      </c>
      <c r="AO51" s="709">
        <f ca="1">IF(ISERROR(MATCH(AO$1,INDIRECT("Table!A"&amp;$BV51):INDIRECT("Table!" &amp; $CH$110 &amp; $BV51),0)),"",INDIRECT(CONCATENATE("Table!",ADDRESS($BZ51,MATCH(AO$1,INDIRECT("Table!A" &amp; $BV51):INDIRECT("Table!" &amp; $CH$110 &amp; $BV51),0)))))/1024</f>
        <v>129.03603515624999</v>
      </c>
      <c r="AP51" s="709">
        <f ca="1">IF(ISERROR(MATCH(AP$1,INDIRECT("Table!A"&amp;$BV51):INDIRECT("Table!" &amp; $CH$110 &amp; $BV51),0)),"",INDIRECT(CONCATENATE("Table!",ADDRESS($BZ51,MATCH(AP$1,INDIRECT("Table!A" &amp; $BV51):INDIRECT("Table!" &amp; $CH$110 &amp; $BV51),0)))))/1024</f>
        <v>166.96152343750001</v>
      </c>
      <c r="AQ51" s="709">
        <f ca="1">IF(ISERROR(MATCH(AQ$1,INDIRECT("Table!A"&amp;$BV51):INDIRECT("Table!" &amp; $CH$110 &amp; $BV51),0)),"",INDIRECT(CONCATENATE("Table!",ADDRESS($BZ51,MATCH(AQ$1,INDIRECT("Table!A" &amp; $BV51):INDIRECT("Table!" &amp; $CH$110 &amp; $BV51),0)))))/1024</f>
        <v>161.57568359375</v>
      </c>
      <c r="AR51" s="709">
        <f ca="1">IF(ISERROR(MATCH(AR$1,INDIRECT("Table!A"&amp;$BV51):INDIRECT("Table!" &amp; $CH$110 &amp; $BV51),0)),"",INDIRECT(CONCATENATE("Table!",ADDRESS($BZ51,MATCH(AR$1,INDIRECT("Table!A" &amp; $BV51):INDIRECT("Table!" &amp; $CH$110 &amp; $BV51),0)))))/1024</f>
        <v>90.245703125000006</v>
      </c>
      <c r="AS51" s="709">
        <f ca="1">IF(ISERROR(MATCH(AS$1,INDIRECT("Table!A"&amp;$BV51):INDIRECT("Table!" &amp; $CH$110 &amp; $BV51),0)),"",INDIRECT(CONCATENATE("Table!",ADDRESS($BZ51,MATCH(AS$1,INDIRECT("Table!A" &amp; $BV51):INDIRECT("Table!" &amp; $CH$110 &amp; $BV51),0)))))/1024</f>
        <v>210.22119140625</v>
      </c>
      <c r="AT51" s="709">
        <f ca="1">IF(ISERROR(MATCH(AT$1,INDIRECT("Table!A"&amp;$BV51):INDIRECT("Table!" &amp; $CH$110 &amp; $BV51),0)),"",INDIRECT(CONCATENATE("Table!",ADDRESS($BZ51,MATCH(AT$1,INDIRECT("Table!A" &amp; $BV51):INDIRECT("Table!" &amp; $CH$110 &amp; $BV51),0)))))/1024</f>
        <v>188.50498046875001</v>
      </c>
      <c r="AU51" s="709">
        <f ca="1">IF(ISERROR(MATCH(AU$1,INDIRECT("Table!A"&amp;$BV51):INDIRECT("Table!" &amp; $CH$110 &amp; $BV51),0)),"",INDIRECT(CONCATENATE("Table!",ADDRESS($BZ51,MATCH(AU$1,INDIRECT("Table!A" &amp; $BV51):INDIRECT("Table!" &amp; $CH$110 &amp; $BV51),0)))))/1024</f>
        <v>414.48457031249995</v>
      </c>
      <c r="AV51" s="709">
        <f ca="1">IF(ISERROR(MATCH(AV$1,INDIRECT("Table!A"&amp;$BV51):INDIRECT("Table!" &amp; $CH$110 &amp; $BV51),0)),"",INDIRECT(CONCATENATE("Table!",ADDRESS($BZ51,MATCH(AV$1,INDIRECT("Table!A" &amp; $BV51):INDIRECT("Table!" &amp; $CH$110 &amp; $BV51),0)))))/1024</f>
        <v>80.787695312500006</v>
      </c>
      <c r="AW51" s="709">
        <f ca="1">IF(ISERROR(MATCH(AW$1,INDIRECT("Table!A"&amp;$BV51):INDIRECT("Table!" &amp; $CH$110 &amp; $BV51),0)),"",INDIRECT(CONCATENATE("Table!",ADDRESS($BZ51,MATCH(AW$1,INDIRECT("Table!A" &amp; $BV51):INDIRECT("Table!" &amp; $CH$110 &amp; $BV51),0)))))/1024</f>
        <v>269.2919921875</v>
      </c>
      <c r="AX51" s="709">
        <f ca="1">IF(ISERROR(MATCH(AX$1,INDIRECT("Table!A"&amp;$BV51):INDIRECT("Table!" &amp; $CH$110 &amp; $BV51),0)),"",INDIRECT(CONCATENATE("Table!",ADDRESS($BZ51,MATCH(AX$1,INDIRECT("Table!A" &amp; $BV51):INDIRECT("Table!" &amp; $CH$110 &amp; $BV51),0)))))/1024</f>
        <v>80.787695312500006</v>
      </c>
      <c r="AY51" s="709">
        <f ca="1">IF(ISERROR(MATCH(AY$1,INDIRECT("Table!A"&amp;$BV51):INDIRECT("Table!" &amp; $CH$110 &amp; $BV51),0)),"",INDIRECT(CONCATENATE("Table!",ADDRESS($BZ51,MATCH(AY$1,INDIRECT("Table!A" &amp; $BV51):INDIRECT("Table!" &amp; $CH$110 &amp; $BV51),0)))))/1024</f>
        <v>184.55234375000001</v>
      </c>
      <c r="AZ51" s="709">
        <f ca="1">IF(ISERROR(MATCH(AZ$1,INDIRECT("Table!A"&amp;$BV51):INDIRECT("Table!" &amp; $CH$110 &amp; $BV51),0)),"",INDIRECT(CONCATENATE("Table!",ADDRESS($BZ51,MATCH(AZ$1,INDIRECT("Table!A" &amp; $BV51):INDIRECT("Table!" &amp; $CH$110 &amp; $BV51),0)))))/1024</f>
        <v>210.22119140625</v>
      </c>
      <c r="BA51" s="709"/>
      <c r="BB51" s="709">
        <f ca="1">IF(ISERROR(MATCH(BB$1,INDIRECT("Table!A"&amp;$BV51):INDIRECT("Table!" &amp; $CH$110 &amp; $BV51),0)),"",INDIRECT(CONCATENATE("Table!",ADDRESS($BZ51,MATCH(BB$1,INDIRECT("Table!A" &amp; $BV51):INDIRECT("Table!" &amp; $CH$110 &amp; $BV51),0)))))/1024</f>
        <v>32.31494140625</v>
      </c>
      <c r="BC51" s="709"/>
      <c r="BD51" s="905"/>
      <c r="BE51" s="905"/>
      <c r="BF51" s="905"/>
      <c r="BG51" s="905"/>
      <c r="BH51" s="905"/>
      <c r="BI51" s="905"/>
      <c r="BJ51" s="905"/>
      <c r="BK51" s="905"/>
      <c r="BL51" s="905"/>
      <c r="BM51" s="905"/>
      <c r="BN51" s="905"/>
      <c r="BO51" s="905"/>
      <c r="BP51" s="905"/>
      <c r="BQ51" s="905"/>
      <c r="BR51" s="704">
        <f>MATCH($A51,Table!$A:$A,0)+$BT$2-1</f>
        <v>713</v>
      </c>
      <c r="BS51" s="705"/>
      <c r="BT51" s="705"/>
      <c r="BU51" s="705"/>
      <c r="BV51" s="717">
        <f>MATCH($A51,Table!$A:$A,0)+$BX$2-1</f>
        <v>711</v>
      </c>
      <c r="BW51" s="705"/>
      <c r="BX51" s="705"/>
      <c r="BY51" s="705"/>
      <c r="BZ51" s="704">
        <f>MATCH($A51,Table!$A:$A,0)+$CB$2-1</f>
        <v>712</v>
      </c>
      <c r="CA51" s="705"/>
      <c r="CB51" s="705"/>
      <c r="CC51" s="705"/>
      <c r="CD51" s="717">
        <f>MATCH($A51,Table!$A:$A,0)+$BX$2-1</f>
        <v>711</v>
      </c>
      <c r="CE51" s="705"/>
      <c r="CF51" s="705"/>
      <c r="CG51" s="705"/>
      <c r="CH51" s="711" t="s">
        <v>302</v>
      </c>
      <c r="CI51" s="712">
        <f t="shared" ca="1" si="0"/>
        <v>2992.3045898437504</v>
      </c>
      <c r="CJ51" s="712">
        <f t="shared" ca="1" si="85"/>
        <v>1377.1916015625006</v>
      </c>
      <c r="CK51" s="712">
        <f t="shared" ca="1" si="137"/>
        <v>1615.1129882812497</v>
      </c>
      <c r="CL51" s="718">
        <f t="shared" ca="1" si="138"/>
        <v>0.46024445714412171</v>
      </c>
      <c r="CM51" s="712">
        <f ca="1">SUMIF('Alloc Feed'!A:I,A:A,'Alloc Feed'!I:I)</f>
        <v>2914.3802607421871</v>
      </c>
      <c r="CN51" s="718">
        <f t="shared" ca="1" si="136"/>
        <v>0.97395842342853467</v>
      </c>
    </row>
    <row r="52" spans="1:92" s="591" customFormat="1" x14ac:dyDescent="0.25">
      <c r="A52" s="703">
        <v>41596</v>
      </c>
      <c r="B52" s="709">
        <f ca="1">IF(ISERROR(MATCH(B$1,INDIRECT("Table!A"&amp;$BV52):INDIRECT("Table!" &amp; $CH$110 &amp; $BV52),0)),"",INDIRECT(CONCATENATE("Table!",ADDRESS($BR52,MATCH(B$1,INDIRECT("Table!A" &amp; $BV52):INDIRECT("Table!" &amp; $CH$110 &amp; $BV52),0)))))/1024</f>
        <v>48.4384765625</v>
      </c>
      <c r="C52" s="709">
        <f ca="1">IF(ISERROR(MATCH(C$1,INDIRECT("Table!A"&amp;$BV52):INDIRECT("Table!" &amp; $CH$110 &amp; $BV52),0)),"",INDIRECT(CONCATENATE("Table!",ADDRESS($BR52,MATCH(C$1,INDIRECT("Table!A" &amp; $BV52):INDIRECT("Table!" &amp; $CH$110 &amp; $BV52),0)))))/1024</f>
        <v>79.24658203125</v>
      </c>
      <c r="D52" s="709">
        <f ca="1">IF(ISERROR(MATCH(D$1,INDIRECT("Table!A"&amp;$BV52):INDIRECT("Table!" &amp; $CH$110 &amp; $BV52),0)),"",INDIRECT(CONCATENATE("Table!",ADDRESS($BR52,MATCH(D$1,INDIRECT("Table!A" &amp; $BV52):INDIRECT("Table!" &amp; $CH$110 &amp; $BV52),0)))))/1024</f>
        <v>80.585156249999997</v>
      </c>
      <c r="E52" s="709">
        <f ca="1">IF(ISERROR(MATCH(E$1,INDIRECT("Table!A"&amp;$BV52):INDIRECT("Table!" &amp; $CH$110 &amp; $BV52),0)),"",INDIRECT(CONCATENATE("Table!",ADDRESS($BR52,MATCH(E$1,INDIRECT("Table!A" &amp; $BV52):INDIRECT("Table!" &amp; $CH$110 &amp; $BV52),0)))))/1024</f>
        <v>149.40185546875</v>
      </c>
      <c r="F52" s="709">
        <f ca="1">IF(ISERROR(MATCH(F$1,INDIRECT("Table!A"&amp;$BV52):INDIRECT("Table!" &amp; $CH$110 &amp; $BV52),0)),"",INDIRECT(CONCATENATE("Table!",ADDRESS($BR52,MATCH(F$1,INDIRECT("Table!A" &amp; $BV52):INDIRECT("Table!" &amp; $CH$110 &amp; $BV52),0)))))/1024</f>
        <v>112.86630859375001</v>
      </c>
      <c r="G52" s="709">
        <f ca="1">IF(ISERROR(MATCH(G$1,INDIRECT("Table!A"&amp;$BV52):INDIRECT("Table!" &amp; $CH$110 &amp; $BV52),0)),"",INDIRECT(CONCATENATE("Table!",ADDRESS($BR52,MATCH(G$1,INDIRECT("Table!A" &amp; $BV52):INDIRECT("Table!" &amp; $CH$110 &amp; $BV52),0)))))/1024</f>
        <v>63.994238281249999</v>
      </c>
      <c r="H52" s="709">
        <f ca="1">IF(ISERROR(MATCH(H$1,INDIRECT("Table!A"&amp;$BV52):INDIRECT("Table!" &amp; $CH$110 &amp; $BV52),0)),"",INDIRECT(CONCATENATE("Table!",ADDRESS($BR52,MATCH(H$1,INDIRECT("Table!A" &amp; $BV52):INDIRECT("Table!" &amp; $CH$110 &amp; $BV52),0)))))/1024</f>
        <v>102.63544921875</v>
      </c>
      <c r="I52" s="709">
        <f ca="1">IF(ISERROR(MATCH(I$1,INDIRECT("Table!A"&amp;$BV52):INDIRECT("Table!" &amp; $CH$110 &amp; $BV52),0)),"",INDIRECT(CONCATENATE("Table!",ADDRESS($BR52,MATCH(I$1,INDIRECT("Table!A" &amp; $BV52):INDIRECT("Table!" &amp; $CH$110 &amp; $BV52),0)))))/1024</f>
        <v>13.523242187499999</v>
      </c>
      <c r="J52" s="709">
        <f ca="1">IF(ISERROR(MATCH(J$1,INDIRECT("Table!A"&amp;$BV52):INDIRECT("Table!" &amp; $CH$110 &amp; $BV52),0)),"",INDIRECT(CONCATENATE("Table!",ADDRESS($BR52,MATCH(J$1,INDIRECT("Table!A" &amp; $BV52):INDIRECT("Table!" &amp; $CH$110 &amp; $BV52),0)))))/1024</f>
        <v>50.957910156250001</v>
      </c>
      <c r="K52" s="709">
        <f ca="1">IF(ISERROR(MATCH(K$1,INDIRECT("Table!A"&amp;$BV52):INDIRECT("Table!" &amp; $CH$110 &amp; $BV52),0)),"",INDIRECT(CONCATENATE("Table!",ADDRESS($BR52,MATCH(K$1,INDIRECT("Table!A" &amp; $BV52):INDIRECT("Table!" &amp; $CH$110 &amp; $BV52),0)))))/1024</f>
        <v>4.3294921874999996</v>
      </c>
      <c r="L52" s="709">
        <f ca="1">IF(ISERROR(MATCH(L$1,INDIRECT("Table!A"&amp;$BV52):INDIRECT("Table!" &amp; $CH$110 &amp; $BV52),0)),"",INDIRECT(CONCATENATE("Table!",ADDRESS($BR52,MATCH(L$1,INDIRECT("Table!A" &amp; $BV52):INDIRECT("Table!" &amp; $CH$110 &amp; $BV52),0)))))/1024</f>
        <v>158.18691406249999</v>
      </c>
      <c r="M52" s="709">
        <f ca="1">IF(ISERROR(MATCH(M$1,INDIRECT("Table!A"&amp;$BV52):INDIRECT("Table!" &amp; $CH$110 &amp; $BV52),0)),"",INDIRECT(CONCATENATE("Table!",ADDRESS($BR52,MATCH(M$1,INDIRECT("Table!A" &amp; $BV52):INDIRECT("Table!" &amp; $CH$110 &amp; $BV52),0)))))/1024</f>
        <v>85.078417968750003</v>
      </c>
      <c r="N52" s="709">
        <f ca="1">IF(ISERROR(MATCH(N$1,INDIRECT("Table!A"&amp;$BV52):INDIRECT("Table!" &amp; $CH$110 &amp; $BV52),0)),"",INDIRECT(CONCATENATE("Table!",ADDRESS($BR52,MATCH(N$1,INDIRECT("Table!A" &amp; $BV52):INDIRECT("Table!" &amp; $CH$110 &amp; $BV52),0)))))/1024</f>
        <v>58.508398437499999</v>
      </c>
      <c r="O52" s="709">
        <f ca="1">IF(ISERROR(MATCH(O$1,INDIRECT("Table!A"&amp;$BV52):INDIRECT("Table!" &amp; $CH$110 &amp; $BV52),0)),"",INDIRECT(CONCATENATE("Table!",ADDRESS($BR52,MATCH(O$1,INDIRECT("Table!A" &amp; $BV52):INDIRECT("Table!" &amp; $CH$110 &amp; $BV52),0)))))/1024</f>
        <v>188.08730468749999</v>
      </c>
      <c r="P52" s="709">
        <f ca="1">IF(ISERROR(MATCH(P$1,INDIRECT("Table!A"&amp;$BV52):INDIRECT("Table!" &amp; $CH$110 &amp; $BV52),0)),"",INDIRECT(CONCATENATE("Table!",ADDRESS($BR52,MATCH(P$1,INDIRECT("Table!A" &amp; $BV52):INDIRECT("Table!" &amp; $CH$110 &amp; $BV52),0)))))/1024</f>
        <v>25.929296874999999</v>
      </c>
      <c r="Q52" s="709">
        <f ca="1">IF(ISERROR(MATCH(Q$1,INDIRECT("Table!A"&amp;$BV52):INDIRECT("Table!" &amp; $CH$110 &amp; $BV52),0)),"",INDIRECT(CONCATENATE("Table!",ADDRESS($BR52,MATCH(Q$1,INDIRECT("Table!A" &amp; $BV52):INDIRECT("Table!" &amp; $CH$110 &amp; $BV52),0)))))/1024</f>
        <v>81.8798828125</v>
      </c>
      <c r="R52" s="709">
        <f ca="1">IF(ISERROR(MATCH(R$1,INDIRECT("Table!A"&amp;$BV52):INDIRECT("Table!" &amp; $CH$110 &amp; $BV52),0)),"",INDIRECT(CONCATENATE("Table!",ADDRESS($BR52,MATCH(R$1,INDIRECT("Table!A" &amp; $BV52):INDIRECT("Table!" &amp; $CH$110 &amp; $BV52),0)))))/1024</f>
        <v>53.172656249999996</v>
      </c>
      <c r="S52" s="709">
        <v>0</v>
      </c>
      <c r="T52" s="709">
        <f ca="1">IF(ISERROR(MATCH(T$1,INDIRECT("Table!A"&amp;$BV52):INDIRECT("Table!" &amp; $CH$65 &amp; $BV52),0)),"",INDIRECT(CONCATENATE("Table!",ADDRESS($BR52,MATCH(T$1,INDIRECT("Table!A" &amp; $BV52):INDIRECT("Table!" &amp; $CH$65 &amp; $BV52),0)))))/1024</f>
        <v>6.4854492187500004</v>
      </c>
      <c r="U52" s="709"/>
      <c r="V52" s="905"/>
      <c r="W52" s="905"/>
      <c r="X52" s="905"/>
      <c r="Y52" s="905"/>
      <c r="Z52" s="905"/>
      <c r="AA52" s="905"/>
      <c r="AB52" s="905"/>
      <c r="AC52" s="905"/>
      <c r="AD52" s="905"/>
      <c r="AE52" s="905"/>
      <c r="AF52" s="905"/>
      <c r="AG52" s="905"/>
      <c r="AH52" s="905"/>
      <c r="AI52" s="709" t="str">
        <f ca="1">IF(ISERROR(MATCH(AI$1,INDIRECT("Table!A"&amp;$BV52):INDIRECT("Table!" &amp; $CH$110 &amp; $BV52),0)),"",INDIRECT(CONCATENATE("Table!",ADDRESS($BR52,MATCH(AI$1,INDIRECT("Table!A" &amp; $BV52):INDIRECT("Table!" &amp; $CH$110 &amp; $BV52),0)))))</f>
        <v/>
      </c>
      <c r="AJ52" s="709">
        <f ca="1">IF(ISERROR(MATCH(AJ$1,INDIRECT("Table!A"&amp;$BV52):INDIRECT("Table!" &amp; $CH$110 &amp; $BV52),0)),"",INDIRECT(CONCATENATE("Table!",ADDRESS($BZ52,MATCH(AJ$1,INDIRECT("Table!A" &amp; $BV52):INDIRECT("Table!" &amp; $CH$110 &amp; $BV52),0)))))/1024</f>
        <v>140.0322265625</v>
      </c>
      <c r="AK52" s="709">
        <f ca="1">IF(ISERROR(MATCH(AK$1,INDIRECT("Table!A"&amp;$BV52):INDIRECT("Table!" &amp; $CH$110 &amp; $BV52),0)),"",INDIRECT(CONCATENATE("Table!",ADDRESS($BZ52,MATCH(AK$1,INDIRECT("Table!A" &amp; $BV52):INDIRECT("Table!" &amp; $CH$110 &amp; $BV52),0)))))/1024</f>
        <v>146.98896484375001</v>
      </c>
      <c r="AL52" s="709">
        <f ca="1">IF(ISERROR(MATCH(AL$1,INDIRECT("Table!A"&amp;$BV52):INDIRECT("Table!" &amp; $CH$110 &amp; $BV52),0)),"",INDIRECT(CONCATENATE("Table!",ADDRESS($BZ52,MATCH(AL$1,INDIRECT("Table!A" &amp; $BV52):INDIRECT("Table!" &amp; $CH$110 &amp; $BV52),0)))))/1024</f>
        <v>146.98896484375001</v>
      </c>
      <c r="AM52" s="709">
        <f ca="1">IF(ISERROR(MATCH(AM$1,INDIRECT("Table!A"&amp;$BV52):INDIRECT("Table!" &amp; $CH$110 &amp; $BV52),0)),"",INDIRECT(CONCATENATE("Table!",ADDRESS($BZ52,MATCH(AM$1,INDIRECT("Table!A" &amp; $BV52):INDIRECT("Table!" &amp; $CH$110 &amp; $BV52),0)))))/1024</f>
        <v>177.73320312499999</v>
      </c>
      <c r="AN52" s="709">
        <f ca="1">IF(ISERROR(MATCH(AN$1,INDIRECT("Table!A"&amp;$BV52):INDIRECT("Table!" &amp; $CH$110 &amp; $BV52),0)),"",INDIRECT(CONCATENATE("Table!",ADDRESS($BZ52,MATCH(AN$1,INDIRECT("Table!A" &amp; $BV52):INDIRECT("Table!" &amp; $CH$110 &amp; $BV52),0)))))/1024</f>
        <v>161.57568359375</v>
      </c>
      <c r="AO52" s="709">
        <f ca="1">IF(ISERROR(MATCH(AO$1,INDIRECT("Table!A"&amp;$BV52):INDIRECT("Table!" &amp; $CH$110 &amp; $BV52),0)),"",INDIRECT(CONCATENATE("Table!",ADDRESS($BZ52,MATCH(AO$1,INDIRECT("Table!A" &amp; $BV52):INDIRECT("Table!" &amp; $CH$110 &amp; $BV52),0)))))/1024</f>
        <v>129.03603515624999</v>
      </c>
      <c r="AP52" s="709">
        <f ca="1">IF(ISERROR(MATCH(AP$1,INDIRECT("Table!A"&amp;$BV52):INDIRECT("Table!" &amp; $CH$110 &amp; $BV52),0)),"",INDIRECT(CONCATENATE("Table!",ADDRESS($BZ52,MATCH(AP$1,INDIRECT("Table!A" &amp; $BV52):INDIRECT("Table!" &amp; $CH$110 &amp; $BV52),0)))))/1024</f>
        <v>166.96152343750001</v>
      </c>
      <c r="AQ52" s="709">
        <f ca="1">IF(ISERROR(MATCH(AQ$1,INDIRECT("Table!A"&amp;$BV52):INDIRECT("Table!" &amp; $CH$110 &amp; $BV52),0)),"",INDIRECT(CONCATENATE("Table!",ADDRESS($BZ52,MATCH(AQ$1,INDIRECT("Table!A" &amp; $BV52):INDIRECT("Table!" &amp; $CH$110 &amp; $BV52),0)))))/1024</f>
        <v>161.57568359375</v>
      </c>
      <c r="AR52" s="709">
        <f ca="1">IF(ISERROR(MATCH(AR$1,INDIRECT("Table!A"&amp;$BV52):INDIRECT("Table!" &amp; $CH$110 &amp; $BV52),0)),"",INDIRECT(CONCATENATE("Table!",ADDRESS($BZ52,MATCH(AR$1,INDIRECT("Table!A" &amp; $BV52):INDIRECT("Table!" &amp; $CH$110 &amp; $BV52),0)))))/1024</f>
        <v>90.245703125000006</v>
      </c>
      <c r="AS52" s="709">
        <f ca="1">IF(ISERROR(MATCH(AS$1,INDIRECT("Table!A"&amp;$BV52):INDIRECT("Table!" &amp; $CH$110 &amp; $BV52),0)),"",INDIRECT(CONCATENATE("Table!",ADDRESS($BZ52,MATCH(AS$1,INDIRECT("Table!A" &amp; $BV52):INDIRECT("Table!" &amp; $CH$110 &amp; $BV52),0)))))/1024</f>
        <v>210.22119140625</v>
      </c>
      <c r="AT52" s="709">
        <f ca="1">IF(ISERROR(MATCH(AT$1,INDIRECT("Table!A"&amp;$BV52):INDIRECT("Table!" &amp; $CH$110 &amp; $BV52),0)),"",INDIRECT(CONCATENATE("Table!",ADDRESS($BZ52,MATCH(AT$1,INDIRECT("Table!A" &amp; $BV52):INDIRECT("Table!" &amp; $CH$110 &amp; $BV52),0)))))/1024</f>
        <v>188.50498046875001</v>
      </c>
      <c r="AU52" s="709">
        <f ca="1">IF(ISERROR(MATCH(AU$1,INDIRECT("Table!A"&amp;$BV52):INDIRECT("Table!" &amp; $CH$110 &amp; $BV52),0)),"",INDIRECT(CONCATENATE("Table!",ADDRESS($BZ52,MATCH(AU$1,INDIRECT("Table!A" &amp; $BV52):INDIRECT("Table!" &amp; $CH$110 &amp; $BV52),0)))))/1024</f>
        <v>414.48457031249995</v>
      </c>
      <c r="AV52" s="709">
        <f ca="1">IF(ISERROR(MATCH(AV$1,INDIRECT("Table!A"&amp;$BV52):INDIRECT("Table!" &amp; $CH$110 &amp; $BV52),0)),"",INDIRECT(CONCATENATE("Table!",ADDRESS($BZ52,MATCH(AV$1,INDIRECT("Table!A" &amp; $BV52):INDIRECT("Table!" &amp; $CH$110 &amp; $BV52),0)))))/1024</f>
        <v>80.787695312500006</v>
      </c>
      <c r="AW52" s="709">
        <f ca="1">IF(ISERROR(MATCH(AW$1,INDIRECT("Table!A"&amp;$BV52):INDIRECT("Table!" &amp; $CH$110 &amp; $BV52),0)),"",INDIRECT(CONCATENATE("Table!",ADDRESS($BZ52,MATCH(AW$1,INDIRECT("Table!A" &amp; $BV52):INDIRECT("Table!" &amp; $CH$110 &amp; $BV52),0)))))/1024</f>
        <v>269.2919921875</v>
      </c>
      <c r="AX52" s="709">
        <f ca="1">IF(ISERROR(MATCH(AX$1,INDIRECT("Table!A"&amp;$BV52):INDIRECT("Table!" &amp; $CH$110 &amp; $BV52),0)),"",INDIRECT(CONCATENATE("Table!",ADDRESS($BZ52,MATCH(AX$1,INDIRECT("Table!A" &amp; $BV52):INDIRECT("Table!" &amp; $CH$110 &amp; $BV52),0)))))/1024</f>
        <v>80.787695312500006</v>
      </c>
      <c r="AY52" s="709">
        <f ca="1">IF(ISERROR(MATCH(AY$1,INDIRECT("Table!A"&amp;$BV52):INDIRECT("Table!" &amp; $CH$110 &amp; $BV52),0)),"",INDIRECT(CONCATENATE("Table!",ADDRESS($BZ52,MATCH(AY$1,INDIRECT("Table!A" &amp; $BV52):INDIRECT("Table!" &amp; $CH$110 &amp; $BV52),0)))))/1024</f>
        <v>184.55234375000001</v>
      </c>
      <c r="AZ52" s="709">
        <f ca="1">IF(ISERROR(MATCH(AZ$1,INDIRECT("Table!A"&amp;$BV52):INDIRECT("Table!" &amp; $CH$110 &amp; $BV52),0)),"",INDIRECT(CONCATENATE("Table!",ADDRESS($BZ52,MATCH(AZ$1,INDIRECT("Table!A" &amp; $BV52):INDIRECT("Table!" &amp; $CH$110 &amp; $BV52),0)))))/1024</f>
        <v>210.22119140625</v>
      </c>
      <c r="BA52" s="709"/>
      <c r="BB52" s="709">
        <f ca="1">IF(ISERROR(MATCH(BB$1,INDIRECT("Table!A"&amp;$BV52):INDIRECT("Table!" &amp; $CH$110 &amp; $BV52),0)),"",INDIRECT(CONCATENATE("Table!",ADDRESS($BZ52,MATCH(BB$1,INDIRECT("Table!A" &amp; $BV52):INDIRECT("Table!" &amp; $CH$110 &amp; $BV52),0)))))/1024</f>
        <v>32.31494140625</v>
      </c>
      <c r="BC52" s="709"/>
      <c r="BD52" s="905"/>
      <c r="BE52" s="905"/>
      <c r="BF52" s="905"/>
      <c r="BG52" s="905"/>
      <c r="BH52" s="905"/>
      <c r="BI52" s="905"/>
      <c r="BJ52" s="905"/>
      <c r="BK52" s="905"/>
      <c r="BL52" s="905"/>
      <c r="BM52" s="905"/>
      <c r="BN52" s="905"/>
      <c r="BO52" s="905"/>
      <c r="BP52" s="905"/>
      <c r="BQ52" s="905"/>
      <c r="BR52" s="704">
        <f>MATCH($A52,Table!$A:$A,0)+$BT$2-1</f>
        <v>725</v>
      </c>
      <c r="BS52" s="705"/>
      <c r="BT52" s="705"/>
      <c r="BU52" s="705"/>
      <c r="BV52" s="717">
        <f>MATCH($A52,Table!$A:$A,0)+$BX$2-1</f>
        <v>723</v>
      </c>
      <c r="BW52" s="705"/>
      <c r="BX52" s="705"/>
      <c r="BY52" s="705"/>
      <c r="BZ52" s="704">
        <f>MATCH($A52,Table!$A:$A,0)+$CB$2-1</f>
        <v>724</v>
      </c>
      <c r="CA52" s="705"/>
      <c r="CB52" s="705"/>
      <c r="CC52" s="705"/>
      <c r="CD52" s="717">
        <f>MATCH($A52,Table!$A:$A,0)+$BX$2-1</f>
        <v>723</v>
      </c>
      <c r="CE52" s="705"/>
      <c r="CF52" s="705"/>
      <c r="CG52" s="705"/>
      <c r="CH52" s="711" t="s">
        <v>302</v>
      </c>
      <c r="CI52" s="712">
        <f t="shared" ref="CI52:CI83" ca="1" si="139">SUM(AJ52:BP52)</f>
        <v>2992.3045898437504</v>
      </c>
      <c r="CJ52" s="712">
        <f t="shared" ca="1" si="85"/>
        <v>1363.3070312500004</v>
      </c>
      <c r="CK52" s="712">
        <f t="shared" ca="1" si="137"/>
        <v>1628.99755859375</v>
      </c>
      <c r="CL52" s="718">
        <f t="shared" ca="1" si="138"/>
        <v>0.45560436456810982</v>
      </c>
      <c r="CM52" s="712">
        <f ca="1">SUMIF('Alloc Feed'!A:I,A:A,'Alloc Feed'!I:I)</f>
        <v>2996.1044736328122</v>
      </c>
      <c r="CN52" s="718">
        <f t="shared" ca="1" si="136"/>
        <v>1.001269885359251</v>
      </c>
    </row>
    <row r="53" spans="1:92" s="591" customFormat="1" x14ac:dyDescent="0.25">
      <c r="A53" s="703">
        <v>41589</v>
      </c>
      <c r="B53" s="709">
        <f ca="1">IF(ISERROR(MATCH(B$1,INDIRECT("Table!A"&amp;$BV53):INDIRECT("Table!" &amp; $CH$110 &amp; $BV53),0)),"",INDIRECT(CONCATENATE("Table!",ADDRESS($BR53,MATCH(B$1,INDIRECT("Table!A" &amp; $BV53):INDIRECT("Table!" &amp; $CH$110 &amp; $BV53),0)))))/1024</f>
        <v>48.048535156249997</v>
      </c>
      <c r="C53" s="709">
        <f ca="1">IF(ISERROR(MATCH(C$1,INDIRECT("Table!A"&amp;$BV53):INDIRECT("Table!" &amp; $CH$110 &amp; $BV53),0)),"",INDIRECT(CONCATENATE("Table!",ADDRESS($BR53,MATCH(C$1,INDIRECT("Table!A" &amp; $BV53):INDIRECT("Table!" &amp; $CH$110 &amp; $BV53),0)))))/1024</f>
        <v>79.209667968749997</v>
      </c>
      <c r="D53" s="709">
        <f ca="1">IF(ISERROR(MATCH(D$1,INDIRECT("Table!A"&amp;$BV53):INDIRECT("Table!" &amp; $CH$110 &amp; $BV53),0)),"",INDIRECT(CONCATENATE("Table!",ADDRESS($BR53,MATCH(D$1,INDIRECT("Table!A" &amp; $BV53):INDIRECT("Table!" &amp; $CH$110 &amp; $BV53),0)))))/1024</f>
        <v>80.54833984375</v>
      </c>
      <c r="E53" s="709">
        <f ca="1">IF(ISERROR(MATCH(E$1,INDIRECT("Table!A"&amp;$BV53):INDIRECT("Table!" &amp; $CH$110 &amp; $BV53),0)),"",INDIRECT(CONCATENATE("Table!",ADDRESS($BR53,MATCH(E$1,INDIRECT("Table!A" &amp; $BV53):INDIRECT("Table!" &amp; $CH$110 &amp; $BV53),0)))))/1024</f>
        <v>148.76982421874999</v>
      </c>
      <c r="F53" s="709">
        <f ca="1">IF(ISERROR(MATCH(F$1,INDIRECT("Table!A"&amp;$BV53):INDIRECT("Table!" &amp; $CH$110 &amp; $BV53),0)),"",INDIRECT(CONCATENATE("Table!",ADDRESS($BR53,MATCH(F$1,INDIRECT("Table!A" &amp; $BV53):INDIRECT("Table!" &amp; $CH$110 &amp; $BV53),0)))))/1024</f>
        <v>113.24912109375001</v>
      </c>
      <c r="G53" s="709">
        <f ca="1">IF(ISERROR(MATCH(G$1,INDIRECT("Table!A"&amp;$BV53):INDIRECT("Table!" &amp; $CH$110 &amp; $BV53),0)),"",INDIRECT(CONCATENATE("Table!",ADDRESS($BR53,MATCH(G$1,INDIRECT("Table!A" &amp; $BV53):INDIRECT("Table!" &amp; $CH$110 &amp; $BV53),0)))))/1024</f>
        <v>62.876171874999997</v>
      </c>
      <c r="H53" s="709">
        <f ca="1">IF(ISERROR(MATCH(H$1,INDIRECT("Table!A"&amp;$BV53):INDIRECT("Table!" &amp; $CH$110 &amp; $BV53),0)),"",INDIRECT(CONCATENATE("Table!",ADDRESS($BR53,MATCH(H$1,INDIRECT("Table!A" &amp; $BV53):INDIRECT("Table!" &amp; $CH$110 &amp; $BV53),0)))))/1024</f>
        <v>102.126953125</v>
      </c>
      <c r="I53" s="709">
        <f ca="1">IF(ISERROR(MATCH(I$1,INDIRECT("Table!A"&amp;$BV53):INDIRECT("Table!" &amp; $CH$110 &amp; $BV53),0)),"",INDIRECT(CONCATENATE("Table!",ADDRESS($BR53,MATCH(I$1,INDIRECT("Table!A" &amp; $BV53):INDIRECT("Table!" &amp; $CH$110 &amp; $BV53),0)))))/1024</f>
        <v>13.18837890625</v>
      </c>
      <c r="J53" s="709">
        <f ca="1">IF(ISERROR(MATCH(J$1,INDIRECT("Table!A"&amp;$BV53):INDIRECT("Table!" &amp; $CH$110 &amp; $BV53),0)),"",INDIRECT(CONCATENATE("Table!",ADDRESS($BR53,MATCH(J$1,INDIRECT("Table!A" &amp; $BV53):INDIRECT("Table!" &amp; $CH$110 &amp; $BV53),0)))))/1024</f>
        <v>50.583398437500001</v>
      </c>
      <c r="K53" s="709">
        <f ca="1">IF(ISERROR(MATCH(K$1,INDIRECT("Table!A"&amp;$BV53):INDIRECT("Table!" &amp; $CH$110 &amp; $BV53),0)),"",INDIRECT(CONCATENATE("Table!",ADDRESS($BR53,MATCH(K$1,INDIRECT("Table!A" &amp; $BV53):INDIRECT("Table!" &amp; $CH$110 &amp; $BV53),0)))))/1024</f>
        <v>3.5715820312500002</v>
      </c>
      <c r="L53" s="709">
        <f ca="1">IF(ISERROR(MATCH(L$1,INDIRECT("Table!A"&amp;$BV53):INDIRECT("Table!" &amp; $CH$110 &amp; $BV53),0)),"",INDIRECT(CONCATENATE("Table!",ADDRESS($BR53,MATCH(L$1,INDIRECT("Table!A" &amp; $BV53):INDIRECT("Table!" &amp; $CH$110 &amp; $BV53),0)))))/1024</f>
        <v>158.18691406249999</v>
      </c>
      <c r="M53" s="709">
        <f ca="1">IF(ISERROR(MATCH(M$1,INDIRECT("Table!A"&amp;$BV53):INDIRECT("Table!" &amp; $CH$110 &amp; $BV53),0)),"",INDIRECT(CONCATENATE("Table!",ADDRESS($BR53,MATCH(M$1,INDIRECT("Table!A" &amp; $BV53):INDIRECT("Table!" &amp; $CH$110 &amp; $BV53),0)))))/1024</f>
        <v>163.7099609375</v>
      </c>
      <c r="N53" s="709">
        <f ca="1">IF(ISERROR(MATCH(N$1,INDIRECT("Table!A"&amp;$BV53):INDIRECT("Table!" &amp; $CH$110 &amp; $BV53),0)),"",INDIRECT(CONCATENATE("Table!",ADDRESS($BR53,MATCH(N$1,INDIRECT("Table!A" &amp; $BV53):INDIRECT("Table!" &amp; $CH$110 &amp; $BV53),0)))))/1024</f>
        <v>58.328710937499999</v>
      </c>
      <c r="O53" s="709">
        <f ca="1">IF(ISERROR(MATCH(O$1,INDIRECT("Table!A"&amp;$BV53):INDIRECT("Table!" &amp; $CH$110 &amp; $BV53),0)),"",INDIRECT(CONCATENATE("Table!",ADDRESS($BR53,MATCH(O$1,INDIRECT("Table!A" &amp; $BV53):INDIRECT("Table!" &amp; $CH$110 &amp; $BV53),0)))))/1024</f>
        <v>184.04931640625</v>
      </c>
      <c r="P53" s="709">
        <f ca="1">IF(ISERROR(MATCH(P$1,INDIRECT("Table!A"&amp;$BV53):INDIRECT("Table!" &amp; $CH$110 &amp; $BV53),0)),"",INDIRECT(CONCATENATE("Table!",ADDRESS($BR53,MATCH(P$1,INDIRECT("Table!A" &amp; $BV53):INDIRECT("Table!" &amp; $CH$110 &amp; $BV53),0)))))/1024</f>
        <v>25.291308593749999</v>
      </c>
      <c r="Q53" s="709">
        <f ca="1">IF(ISERROR(MATCH(Q$1,INDIRECT("Table!A"&amp;$BV53):INDIRECT("Table!" &amp; $CH$110 &amp; $BV53),0)),"",INDIRECT(CONCATENATE("Table!",ADDRESS($BR53,MATCH(Q$1,INDIRECT("Table!A" &amp; $BV53):INDIRECT("Table!" &amp; $CH$110 &amp; $BV53),0)))))/1024</f>
        <v>81.2666015625</v>
      </c>
      <c r="R53" s="709">
        <f ca="1">IF(ISERROR(MATCH(R$1,INDIRECT("Table!A"&amp;$BV53):INDIRECT("Table!" &amp; $CH$110 &amp; $BV53),0)),"",INDIRECT(CONCATENATE("Table!",ADDRESS($BR53,MATCH(R$1,INDIRECT("Table!A" &amp; $BV53):INDIRECT("Table!" &amp; $CH$110 &amp; $BV53),0)))))/1024</f>
        <v>45.048046874999997</v>
      </c>
      <c r="S53" s="709">
        <v>0</v>
      </c>
      <c r="T53" s="709">
        <f ca="1">IF(ISERROR(MATCH(T$1,INDIRECT("Table!A"&amp;$BV53):INDIRECT("Table!" &amp; $CH$65 &amp; $BV53),0)),"",INDIRECT(CONCATENATE("Table!",ADDRESS($BR53,MATCH(T$1,INDIRECT("Table!A" &amp; $BV53):INDIRECT("Table!" &amp; $CH$65 &amp; $BV53),0)))))/1024</f>
        <v>6.4854492187500004</v>
      </c>
      <c r="U53" s="709"/>
      <c r="V53" s="905"/>
      <c r="W53" s="905"/>
      <c r="X53" s="905"/>
      <c r="Y53" s="905"/>
      <c r="Z53" s="905"/>
      <c r="AA53" s="905"/>
      <c r="AB53" s="905"/>
      <c r="AC53" s="905"/>
      <c r="AD53" s="905"/>
      <c r="AE53" s="905"/>
      <c r="AF53" s="905"/>
      <c r="AG53" s="905"/>
      <c r="AH53" s="905"/>
      <c r="AI53" s="709" t="str">
        <f ca="1">IF(ISERROR(MATCH(AI$1,INDIRECT("Table!A"&amp;$BV53):INDIRECT("Table!" &amp; $CH$110 &amp; $BV53),0)),"",INDIRECT(CONCATENATE("Table!",ADDRESS($BR53,MATCH(AI$1,INDIRECT("Table!A" &amp; $BV53):INDIRECT("Table!" &amp; $CH$110 &amp; $BV53),0)))))</f>
        <v/>
      </c>
      <c r="AJ53" s="709">
        <f ca="1">IF(ISERROR(MATCH(AJ$1,INDIRECT("Table!A"&amp;$BV53):INDIRECT("Table!" &amp; $CH$110 &amp; $BV53),0)),"",INDIRECT(CONCATENATE("Table!",ADDRESS($BZ53,MATCH(AJ$1,INDIRECT("Table!A" &amp; $BV53):INDIRECT("Table!" &amp; $CH$110 &amp; $BV53),0)))))/1024</f>
        <v>140.0322265625</v>
      </c>
      <c r="AK53" s="709">
        <f ca="1">IF(ISERROR(MATCH(AK$1,INDIRECT("Table!A"&amp;$BV53):INDIRECT("Table!" &amp; $CH$110 &amp; $BV53),0)),"",INDIRECT(CONCATENATE("Table!",ADDRESS($BZ53,MATCH(AK$1,INDIRECT("Table!A" &amp; $BV53):INDIRECT("Table!" &amp; $CH$110 &amp; $BV53),0)))))/1024</f>
        <v>146.98896484375001</v>
      </c>
      <c r="AL53" s="709">
        <f ca="1">IF(ISERROR(MATCH(AL$1,INDIRECT("Table!A"&amp;$BV53):INDIRECT("Table!" &amp; $CH$110 &amp; $BV53),0)),"",INDIRECT(CONCATENATE("Table!",ADDRESS($BZ53,MATCH(AL$1,INDIRECT("Table!A" &amp; $BV53):INDIRECT("Table!" &amp; $CH$110 &amp; $BV53),0)))))/1024</f>
        <v>146.98896484375001</v>
      </c>
      <c r="AM53" s="709">
        <f ca="1">IF(ISERROR(MATCH(AM$1,INDIRECT("Table!A"&amp;$BV53):INDIRECT("Table!" &amp; $CH$110 &amp; $BV53),0)),"",INDIRECT(CONCATENATE("Table!",ADDRESS($BZ53,MATCH(AM$1,INDIRECT("Table!A" &amp; $BV53):INDIRECT("Table!" &amp; $CH$110 &amp; $BV53),0)))))/1024</f>
        <v>177.73320312499999</v>
      </c>
      <c r="AN53" s="709">
        <f ca="1">IF(ISERROR(MATCH(AN$1,INDIRECT("Table!A"&amp;$BV53):INDIRECT("Table!" &amp; $CH$110 &amp; $BV53),0)),"",INDIRECT(CONCATENATE("Table!",ADDRESS($BZ53,MATCH(AN$1,INDIRECT("Table!A" &amp; $BV53):INDIRECT("Table!" &amp; $CH$110 &amp; $BV53),0)))))/1024</f>
        <v>161.57568359375</v>
      </c>
      <c r="AO53" s="709">
        <f ca="1">IF(ISERROR(MATCH(AO$1,INDIRECT("Table!A"&amp;$BV53):INDIRECT("Table!" &amp; $CH$110 &amp; $BV53),0)),"",INDIRECT(CONCATENATE("Table!",ADDRESS($BZ53,MATCH(AO$1,INDIRECT("Table!A" &amp; $BV53):INDIRECT("Table!" &amp; $CH$110 &amp; $BV53),0)))))/1024</f>
        <v>129.03603515624999</v>
      </c>
      <c r="AP53" s="709">
        <f ca="1">IF(ISERROR(MATCH(AP$1,INDIRECT("Table!A"&amp;$BV53):INDIRECT("Table!" &amp; $CH$110 &amp; $BV53),0)),"",INDIRECT(CONCATENATE("Table!",ADDRESS($BZ53,MATCH(AP$1,INDIRECT("Table!A" &amp; $BV53):INDIRECT("Table!" &amp; $CH$110 &amp; $BV53),0)))))/1024</f>
        <v>166.96152343750001</v>
      </c>
      <c r="AQ53" s="709">
        <f ca="1">IF(ISERROR(MATCH(AQ$1,INDIRECT("Table!A"&amp;$BV53):INDIRECT("Table!" &amp; $CH$110 &amp; $BV53),0)),"",INDIRECT(CONCATENATE("Table!",ADDRESS($BZ53,MATCH(AQ$1,INDIRECT("Table!A" &amp; $BV53):INDIRECT("Table!" &amp; $CH$110 &amp; $BV53),0)))))/1024</f>
        <v>161.57568359375</v>
      </c>
      <c r="AR53" s="709">
        <f ca="1">IF(ISERROR(MATCH(AR$1,INDIRECT("Table!A"&amp;$BV53):INDIRECT("Table!" &amp; $CH$110 &amp; $BV53),0)),"",INDIRECT(CONCATENATE("Table!",ADDRESS($BZ53,MATCH(AR$1,INDIRECT("Table!A" &amp; $BV53):INDIRECT("Table!" &amp; $CH$110 &amp; $BV53),0)))))/1024</f>
        <v>90.245703125000006</v>
      </c>
      <c r="AS53" s="709">
        <f ca="1">IF(ISERROR(MATCH(AS$1,INDIRECT("Table!A"&amp;$BV53):INDIRECT("Table!" &amp; $CH$110 &amp; $BV53),0)),"",INDIRECT(CONCATENATE("Table!",ADDRESS($BZ53,MATCH(AS$1,INDIRECT("Table!A" &amp; $BV53):INDIRECT("Table!" &amp; $CH$110 &amp; $BV53),0)))))/1024</f>
        <v>210.22119140625</v>
      </c>
      <c r="AT53" s="709">
        <f ca="1">IF(ISERROR(MATCH(AT$1,INDIRECT("Table!A"&amp;$BV53):INDIRECT("Table!" &amp; $CH$110 &amp; $BV53),0)),"",INDIRECT(CONCATENATE("Table!",ADDRESS($BZ53,MATCH(AT$1,INDIRECT("Table!A" &amp; $BV53):INDIRECT("Table!" &amp; $CH$110 &amp; $BV53),0)))))/1024</f>
        <v>188.50498046875001</v>
      </c>
      <c r="AU53" s="709">
        <f ca="1">IF(ISERROR(MATCH(AU$1,INDIRECT("Table!A"&amp;$BV53):INDIRECT("Table!" &amp; $CH$110 &amp; $BV53),0)),"",INDIRECT(CONCATENATE("Table!",ADDRESS($BZ53,MATCH(AU$1,INDIRECT("Table!A" &amp; $BV53):INDIRECT("Table!" &amp; $CH$110 &amp; $BV53),0)))))/1024</f>
        <v>414.48457031249995</v>
      </c>
      <c r="AV53" s="709">
        <f ca="1">IF(ISERROR(MATCH(AV$1,INDIRECT("Table!A"&amp;$BV53):INDIRECT("Table!" &amp; $CH$110 &amp; $BV53),0)),"",INDIRECT(CONCATENATE("Table!",ADDRESS($BZ53,MATCH(AV$1,INDIRECT("Table!A" &amp; $BV53):INDIRECT("Table!" &amp; $CH$110 &amp; $BV53),0)))))/1024</f>
        <v>80.787695312500006</v>
      </c>
      <c r="AW53" s="709">
        <f ca="1">IF(ISERROR(MATCH(AW$1,INDIRECT("Table!A"&amp;$BV53):INDIRECT("Table!" &amp; $CH$110 &amp; $BV53),0)),"",INDIRECT(CONCATENATE("Table!",ADDRESS($BZ53,MATCH(AW$1,INDIRECT("Table!A" &amp; $BV53):INDIRECT("Table!" &amp; $CH$110 &amp; $BV53),0)))))/1024</f>
        <v>269.2919921875</v>
      </c>
      <c r="AX53" s="709">
        <f ca="1">IF(ISERROR(MATCH(AX$1,INDIRECT("Table!A"&amp;$BV53):INDIRECT("Table!" &amp; $CH$110 &amp; $BV53),0)),"",INDIRECT(CONCATENATE("Table!",ADDRESS($BZ53,MATCH(AX$1,INDIRECT("Table!A" &amp; $BV53):INDIRECT("Table!" &amp; $CH$110 &amp; $BV53),0)))))/1024</f>
        <v>80.787695312500006</v>
      </c>
      <c r="AY53" s="709">
        <f ca="1">IF(ISERROR(MATCH(AY$1,INDIRECT("Table!A"&amp;$BV53):INDIRECT("Table!" &amp; $CH$110 &amp; $BV53),0)),"",INDIRECT(CONCATENATE("Table!",ADDRESS($BZ53,MATCH(AY$1,INDIRECT("Table!A" &amp; $BV53):INDIRECT("Table!" &amp; $CH$110 &amp; $BV53),0)))))/1024</f>
        <v>184.55234375000001</v>
      </c>
      <c r="AZ53" s="709">
        <f ca="1">IF(ISERROR(MATCH(AZ$1,INDIRECT("Table!A"&amp;$BV53):INDIRECT("Table!" &amp; $CH$110 &amp; $BV53),0)),"",INDIRECT(CONCATENATE("Table!",ADDRESS($BZ53,MATCH(AZ$1,INDIRECT("Table!A" &amp; $BV53):INDIRECT("Table!" &amp; $CH$110 &amp; $BV53),0)))))/1024</f>
        <v>210.22119140625</v>
      </c>
      <c r="BA53" s="709"/>
      <c r="BB53" s="709">
        <f ca="1">IF(ISERROR(MATCH(BB$1,INDIRECT("Table!A"&amp;$BV53):INDIRECT("Table!" &amp; $CH$110 &amp; $BV53),0)),"",INDIRECT(CONCATENATE("Table!",ADDRESS($BZ53,MATCH(BB$1,INDIRECT("Table!A" &amp; $BV53):INDIRECT("Table!" &amp; $CH$110 &amp; $BV53),0)))))/1024</f>
        <v>32.31494140625</v>
      </c>
      <c r="BC53" s="709"/>
      <c r="BD53" s="905"/>
      <c r="BE53" s="905"/>
      <c r="BF53" s="905"/>
      <c r="BG53" s="905"/>
      <c r="BH53" s="905"/>
      <c r="BI53" s="905"/>
      <c r="BJ53" s="905"/>
      <c r="BK53" s="905"/>
      <c r="BL53" s="905"/>
      <c r="BM53" s="905"/>
      <c r="BN53" s="905"/>
      <c r="BO53" s="905"/>
      <c r="BP53" s="905"/>
      <c r="BQ53" s="905"/>
      <c r="BR53" s="704">
        <f>MATCH($A53,Table!$A:$A,0)+$BT$2-1</f>
        <v>737</v>
      </c>
      <c r="BS53" s="705"/>
      <c r="BT53" s="705"/>
      <c r="BU53" s="705"/>
      <c r="BV53" s="717">
        <f>MATCH($A53,Table!$A:$A,0)+$BX$2-1</f>
        <v>735</v>
      </c>
      <c r="BW53" s="705"/>
      <c r="BX53" s="705"/>
      <c r="BY53" s="705"/>
      <c r="BZ53" s="704">
        <f>MATCH($A53,Table!$A:$A,0)+$CB$2-1</f>
        <v>736</v>
      </c>
      <c r="CA53" s="705"/>
      <c r="CB53" s="705"/>
      <c r="CC53" s="705"/>
      <c r="CD53" s="717">
        <f>MATCH($A53,Table!$A:$A,0)+$BX$2-1</f>
        <v>735</v>
      </c>
      <c r="CE53" s="705"/>
      <c r="CF53" s="705"/>
      <c r="CG53" s="705"/>
      <c r="CH53" s="711" t="s">
        <v>302</v>
      </c>
      <c r="CI53" s="712">
        <f t="shared" ca="1" si="139"/>
        <v>2992.3045898437504</v>
      </c>
      <c r="CJ53" s="712">
        <f t="shared" ca="1" si="85"/>
        <v>1424.5382812500002</v>
      </c>
      <c r="CK53" s="712">
        <f t="shared" ca="1" si="137"/>
        <v>1567.7663085937502</v>
      </c>
      <c r="CL53" s="718">
        <f t="shared" ca="1" si="138"/>
        <v>0.47606727138843358</v>
      </c>
      <c r="CM53" s="712">
        <f ca="1">SUMIF('Alloc Feed'!A:I,A:A,'Alloc Feed'!I:I)</f>
        <v>2987.3130292968749</v>
      </c>
      <c r="CN53" s="718">
        <f t="shared" ca="1" si="136"/>
        <v>0.99833186749643821</v>
      </c>
    </row>
    <row r="54" spans="1:92" s="267" customFormat="1" x14ac:dyDescent="0.25">
      <c r="A54" s="703">
        <v>41561</v>
      </c>
      <c r="B54" s="709">
        <f ca="1">IF(ISERROR(MATCH(B$1,INDIRECT("Table!A"&amp;$BV54):INDIRECT("Table!" &amp; $CH$110 &amp; $BV54),0)),"",INDIRECT(CONCATENATE("Table!",ADDRESS($BR54,MATCH(B$1,INDIRECT("Table!A" &amp; $BV54):INDIRECT("Table!" &amp; $CH$110 &amp; $BV54),0)))))/1024</f>
        <v>47.148730468750003</v>
      </c>
      <c r="C54" s="709">
        <f ca="1">IF(ISERROR(MATCH(C$1,INDIRECT("Table!A"&amp;$BV54):INDIRECT("Table!" &amp; $CH$110 &amp; $BV54),0)),"",INDIRECT(CONCATENATE("Table!",ADDRESS($BR54,MATCH(C$1,INDIRECT("Table!A" &amp; $BV54):INDIRECT("Table!" &amp; $CH$110 &amp; $BV54),0)))))/1024</f>
        <v>78.768945312499994</v>
      </c>
      <c r="D54" s="709">
        <f ca="1">IF(ISERROR(MATCH(D$1,INDIRECT("Table!A"&amp;$BV54):INDIRECT("Table!" &amp; $CH$110 &amp; $BV54),0)),"",INDIRECT(CONCATENATE("Table!",ADDRESS($BR54,MATCH(D$1,INDIRECT("Table!A" &amp; $BV54):INDIRECT("Table!" &amp; $CH$110 &amp; $BV54),0)))))/1024</f>
        <v>80.157128906249994</v>
      </c>
      <c r="E54" s="709">
        <f ca="1">IF(ISERROR(MATCH(E$1,INDIRECT("Table!A"&amp;$BV54):INDIRECT("Table!" &amp; $CH$110 &amp; $BV54),0)),"",INDIRECT(CONCATENATE("Table!",ADDRESS($BR54,MATCH(E$1,INDIRECT("Table!A" &amp; $BV54):INDIRECT("Table!" &amp; $CH$110 &amp; $BV54),0)))))/1024</f>
        <v>147.29707031250001</v>
      </c>
      <c r="F54" s="709">
        <f ca="1">IF(ISERROR(MATCH(F$1,INDIRECT("Table!A"&amp;$BV54):INDIRECT("Table!" &amp; $CH$110 &amp; $BV54),0)),"",INDIRECT(CONCATENATE("Table!",ADDRESS($BR54,MATCH(F$1,INDIRECT("Table!A" &amp; $BV54):INDIRECT("Table!" &amp; $CH$110 &amp; $BV54),0)))))/1024</f>
        <v>116.85634765624999</v>
      </c>
      <c r="G54" s="709">
        <f ca="1">IF(ISERROR(MATCH(G$1,INDIRECT("Table!A"&amp;$BV54):INDIRECT("Table!" &amp; $CH$110 &amp; $BV54),0)),"",INDIRECT(CONCATENATE("Table!",ADDRESS($BR54,MATCH(G$1,INDIRECT("Table!A" &amp; $BV54):INDIRECT("Table!" &amp; $CH$110 &amp; $BV54),0)))))/1024</f>
        <v>62.510546875000003</v>
      </c>
      <c r="H54" s="709">
        <f ca="1">IF(ISERROR(MATCH(H$1,INDIRECT("Table!A"&amp;$BV54):INDIRECT("Table!" &amp; $CH$110 &amp; $BV54),0)),"",INDIRECT(CONCATENATE("Table!",ADDRESS($BR54,MATCH(H$1,INDIRECT("Table!A" &amp; $BV54):INDIRECT("Table!" &amp; $CH$110 &amp; $BV54),0)))))/1024</f>
        <v>98.808789062499997</v>
      </c>
      <c r="I54" s="709">
        <f ca="1">IF(ISERROR(MATCH(I$1,INDIRECT("Table!A"&amp;$BV54):INDIRECT("Table!" &amp; $CH$110 &amp; $BV54),0)),"",INDIRECT(CONCATENATE("Table!",ADDRESS($BR54,MATCH(I$1,INDIRECT("Table!A" &amp; $BV54):INDIRECT("Table!" &amp; $CH$110 &amp; $BV54),0)))))/1024</f>
        <v>12.492480468749999</v>
      </c>
      <c r="J54" s="709">
        <f ca="1">IF(ISERROR(MATCH(J$1,INDIRECT("Table!A"&amp;$BV54):INDIRECT("Table!" &amp; $CH$110 &amp; $BV54),0)),"",INDIRECT(CONCATENATE("Table!",ADDRESS($BR54,MATCH(J$1,INDIRECT("Table!A" &amp; $BV54):INDIRECT("Table!" &amp; $CH$110 &amp; $BV54),0)))))/1024</f>
        <v>45.066503906249999</v>
      </c>
      <c r="K54" s="709">
        <f ca="1">IF(ISERROR(MATCH(K$1,INDIRECT("Table!A"&amp;$BV54):INDIRECT("Table!" &amp; $CH$110 &amp; $BV54),0)),"",INDIRECT(CONCATENATE("Table!",ADDRESS($BR54,MATCH(K$1,INDIRECT("Table!A" &amp; $BV54):INDIRECT("Table!" &amp; $CH$110 &amp; $BV54),0)))))/1024</f>
        <v>1.26044921875</v>
      </c>
      <c r="L54" s="709">
        <f ca="1">IF(ISERROR(MATCH(L$1,INDIRECT("Table!A"&amp;$BV54):INDIRECT("Table!" &amp; $CH$110 &amp; $BV54),0)),"",INDIRECT(CONCATENATE("Table!",ADDRESS($BR54,MATCH(L$1,INDIRECT("Table!A" &amp; $BV54):INDIRECT("Table!" &amp; $CH$110 &amp; $BV54),0)))))/1024</f>
        <v>157.107421875</v>
      </c>
      <c r="M54" s="709">
        <f ca="1">IF(ISERROR(MATCH(M$1,INDIRECT("Table!A"&amp;$BV54):INDIRECT("Table!" &amp; $CH$110 &amp; $BV54),0)),"",INDIRECT(CONCATENATE("Table!",ADDRESS($BR54,MATCH(M$1,INDIRECT("Table!A" &amp; $BV54):INDIRECT("Table!" &amp; $CH$110 &amp; $BV54),0)))))/1024</f>
        <v>154.63603515624999</v>
      </c>
      <c r="N54" s="709">
        <f ca="1">IF(ISERROR(MATCH(N$1,INDIRECT("Table!A"&amp;$BV54):INDIRECT("Table!" &amp; $CH$110 &amp; $BV54),0)),"",INDIRECT(CONCATENATE("Table!",ADDRESS($BR54,MATCH(N$1,INDIRECT("Table!A" &amp; $BV54):INDIRECT("Table!" &amp; $CH$110 &amp; $BV54),0)))))/1024</f>
        <v>60.054394531249997</v>
      </c>
      <c r="O54" s="709">
        <f ca="1">IF(ISERROR(MATCH(O$1,INDIRECT("Table!A"&amp;$BV54):INDIRECT("Table!" &amp; $CH$110 &amp; $BV54),0)),"",INDIRECT(CONCATENATE("Table!",ADDRESS($BR54,MATCH(O$1,INDIRECT("Table!A" &amp; $BV54):INDIRECT("Table!" &amp; $CH$110 &amp; $BV54),0)))))/1024</f>
        <v>177.33935546875</v>
      </c>
      <c r="P54" s="709">
        <f ca="1">IF(ISERROR(MATCH(P$1,INDIRECT("Table!A"&amp;$BV54):INDIRECT("Table!" &amp; $CH$110 &amp; $BV54),0)),"",INDIRECT(CONCATENATE("Table!",ADDRESS($BR54,MATCH(P$1,INDIRECT("Table!A" &amp; $BV54):INDIRECT("Table!" &amp; $CH$110 &amp; $BV54),0)))))/1024</f>
        <v>24.0283203125</v>
      </c>
      <c r="Q54" s="709">
        <f ca="1">IF(ISERROR(MATCH(Q$1,INDIRECT("Table!A"&amp;$BV54):INDIRECT("Table!" &amp; $CH$110 &amp; $BV54),0)),"",INDIRECT(CONCATENATE("Table!",ADDRESS($BR54,MATCH(Q$1,INDIRECT("Table!A" &amp; $BV54):INDIRECT("Table!" &amp; $CH$110 &amp; $BV54),0)))))/1024</f>
        <v>71.0576171875</v>
      </c>
      <c r="R54" s="709">
        <f ca="1">IF(ISERROR(MATCH(R$1,INDIRECT("Table!A"&amp;$BV54):INDIRECT("Table!" &amp; $CH$110 &amp; $BV54),0)),"",INDIRECT(CONCATENATE("Table!",ADDRESS($BR54,MATCH(R$1,INDIRECT("Table!A" &amp; $BV54):INDIRECT("Table!" &amp; $CH$110 &amp; $BV54),0)))))/1024</f>
        <v>35.453808593749997</v>
      </c>
      <c r="S54" s="709">
        <v>0</v>
      </c>
      <c r="T54" s="709">
        <f ca="1">IF(ISERROR(MATCH(T$1,INDIRECT("Table!A"&amp;$BV54):INDIRECT("Table!" &amp; $CH$65 &amp; $BV54),0)),"",INDIRECT(CONCATENATE("Table!",ADDRESS($BR54,MATCH(T$1,INDIRECT("Table!A" &amp; $BV54):INDIRECT("Table!" &amp; $CH$65 &amp; $BV54),0)))))/1024</f>
        <v>6.11328125</v>
      </c>
      <c r="U54" s="709"/>
      <c r="V54" s="905"/>
      <c r="W54" s="905"/>
      <c r="X54" s="905"/>
      <c r="Y54" s="905"/>
      <c r="Z54" s="905"/>
      <c r="AA54" s="905"/>
      <c r="AB54" s="905"/>
      <c r="AC54" s="905"/>
      <c r="AD54" s="905"/>
      <c r="AE54" s="905"/>
      <c r="AF54" s="905"/>
      <c r="AG54" s="905"/>
      <c r="AH54" s="905"/>
      <c r="AI54" s="709" t="str">
        <f ca="1">IF(ISERROR(MATCH(AI$1,INDIRECT("Table!A"&amp;$BV54):INDIRECT("Table!" &amp; $CH$110 &amp; $BV54),0)),"",INDIRECT(CONCATENATE("Table!",ADDRESS($BR54,MATCH(AI$1,INDIRECT("Table!A" &amp; $BV54):INDIRECT("Table!" &amp; $CH$110 &amp; $BV54),0)))))</f>
        <v/>
      </c>
      <c r="AJ54" s="709">
        <f ca="1">IF(ISERROR(MATCH(AJ$1,INDIRECT("Table!A"&amp;$BV54):INDIRECT("Table!" &amp; $CH$110 &amp; $BV54),0)),"",INDIRECT(CONCATENATE("Table!",ADDRESS($BZ54,MATCH(AJ$1,INDIRECT("Table!A" &amp; $BV54):INDIRECT("Table!" &amp; $CH$110 &amp; $BV54),0)))))/1024</f>
        <v>140.0322265625</v>
      </c>
      <c r="AK54" s="709">
        <f ca="1">IF(ISERROR(MATCH(AK$1,INDIRECT("Table!A"&amp;$BV54):INDIRECT("Table!" &amp; $CH$110 &amp; $BV54),0)),"",INDIRECT(CONCATENATE("Table!",ADDRESS($BZ54,MATCH(AK$1,INDIRECT("Table!A" &amp; $BV54):INDIRECT("Table!" &amp; $CH$110 &amp; $BV54),0)))))/1024</f>
        <v>146.98896484375001</v>
      </c>
      <c r="AL54" s="709">
        <f ca="1">IF(ISERROR(MATCH(AL$1,INDIRECT("Table!A"&amp;$BV54):INDIRECT("Table!" &amp; $CH$110 &amp; $BV54),0)),"",INDIRECT(CONCATENATE("Table!",ADDRESS($BZ54,MATCH(AL$1,INDIRECT("Table!A" &amp; $BV54):INDIRECT("Table!" &amp; $CH$110 &amp; $BV54),0)))))/1024</f>
        <v>146.98896484375001</v>
      </c>
      <c r="AM54" s="709">
        <f ca="1">IF(ISERROR(MATCH(AM$1,INDIRECT("Table!A"&amp;$BV54):INDIRECT("Table!" &amp; $CH$110 &amp; $BV54),0)),"",INDIRECT(CONCATENATE("Table!",ADDRESS($BZ54,MATCH(AM$1,INDIRECT("Table!A" &amp; $BV54):INDIRECT("Table!" &amp; $CH$110 &amp; $BV54),0)))))/1024</f>
        <v>177.73320312499999</v>
      </c>
      <c r="AN54" s="709">
        <f ca="1">IF(ISERROR(MATCH(AN$1,INDIRECT("Table!A"&amp;$BV54):INDIRECT("Table!" &amp; $CH$110 &amp; $BV54),0)),"",INDIRECT(CONCATENATE("Table!",ADDRESS($BZ54,MATCH(AN$1,INDIRECT("Table!A" &amp; $BV54):INDIRECT("Table!" &amp; $CH$110 &amp; $BV54),0)))))/1024</f>
        <v>161.57568359375</v>
      </c>
      <c r="AO54" s="709">
        <f ca="1">IF(ISERROR(MATCH(AO$1,INDIRECT("Table!A"&amp;$BV54):INDIRECT("Table!" &amp; $CH$110 &amp; $BV54),0)),"",INDIRECT(CONCATENATE("Table!",ADDRESS($BZ54,MATCH(AO$1,INDIRECT("Table!A" &amp; $BV54):INDIRECT("Table!" &amp; $CH$110 &amp; $BV54),0)))))/1024</f>
        <v>129.03603515624999</v>
      </c>
      <c r="AP54" s="709">
        <f ca="1">IF(ISERROR(MATCH(AP$1,INDIRECT("Table!A"&amp;$BV54):INDIRECT("Table!" &amp; $CH$110 &amp; $BV54),0)),"",INDIRECT(CONCATENATE("Table!",ADDRESS($BZ54,MATCH(AP$1,INDIRECT("Table!A" &amp; $BV54):INDIRECT("Table!" &amp; $CH$110 &amp; $BV54),0)))))/1024</f>
        <v>166.96152343750001</v>
      </c>
      <c r="AQ54" s="709">
        <f ca="1">IF(ISERROR(MATCH(AQ$1,INDIRECT("Table!A"&amp;$BV54):INDIRECT("Table!" &amp; $CH$110 &amp; $BV54),0)),"",INDIRECT(CONCATENATE("Table!",ADDRESS($BZ54,MATCH(AQ$1,INDIRECT("Table!A" &amp; $BV54):INDIRECT("Table!" &amp; $CH$110 &amp; $BV54),0)))))/1024</f>
        <v>161.57568359375</v>
      </c>
      <c r="AR54" s="709">
        <f ca="1">IF(ISERROR(MATCH(AR$1,INDIRECT("Table!A"&amp;$BV54):INDIRECT("Table!" &amp; $CH$110 &amp; $BV54),0)),"",INDIRECT(CONCATENATE("Table!",ADDRESS($BZ54,MATCH(AR$1,INDIRECT("Table!A" &amp; $BV54):INDIRECT("Table!" &amp; $CH$110 &amp; $BV54),0)))))/1024</f>
        <v>90.245703125000006</v>
      </c>
      <c r="AS54" s="709">
        <f ca="1">IF(ISERROR(MATCH(AS$1,INDIRECT("Table!A"&amp;$BV54):INDIRECT("Table!" &amp; $CH$110 &amp; $BV54),0)),"",INDIRECT(CONCATENATE("Table!",ADDRESS($BZ54,MATCH(AS$1,INDIRECT("Table!A" &amp; $BV54):INDIRECT("Table!" &amp; $CH$110 &amp; $BV54),0)))))/1024</f>
        <v>210.22119140625</v>
      </c>
      <c r="AT54" s="709">
        <f ca="1">IF(ISERROR(MATCH(AT$1,INDIRECT("Table!A"&amp;$BV54):INDIRECT("Table!" &amp; $CH$110 &amp; $BV54),0)),"",INDIRECT(CONCATENATE("Table!",ADDRESS($BZ54,MATCH(AT$1,INDIRECT("Table!A" &amp; $BV54):INDIRECT("Table!" &amp; $CH$110 &amp; $BV54),0)))))/1024</f>
        <v>188.50498046875001</v>
      </c>
      <c r="AU54" s="709">
        <f ca="1">IF(ISERROR(MATCH(AU$1,INDIRECT("Table!A"&amp;$BV54):INDIRECT("Table!" &amp; $CH$110 &amp; $BV54),0)),"",INDIRECT(CONCATENATE("Table!",ADDRESS($BZ54,MATCH(AU$1,INDIRECT("Table!A" &amp; $BV54):INDIRECT("Table!" &amp; $CH$110 &amp; $BV54),0)))))/1024</f>
        <v>414.48457031249995</v>
      </c>
      <c r="AV54" s="709">
        <f ca="1">IF(ISERROR(MATCH(AV$1,INDIRECT("Table!A"&amp;$BV54):INDIRECT("Table!" &amp; $CH$110 &amp; $BV54),0)),"",INDIRECT(CONCATENATE("Table!",ADDRESS($BZ54,MATCH(AV$1,INDIRECT("Table!A" &amp; $BV54):INDIRECT("Table!" &amp; $CH$110 &amp; $BV54),0)))))/1024</f>
        <v>80.787695312500006</v>
      </c>
      <c r="AW54" s="709">
        <f ca="1">IF(ISERROR(MATCH(AW$1,INDIRECT("Table!A"&amp;$BV54):INDIRECT("Table!" &amp; $CH$110 &amp; $BV54),0)),"",INDIRECT(CONCATENATE("Table!",ADDRESS($BZ54,MATCH(AW$1,INDIRECT("Table!A" &amp; $BV54):INDIRECT("Table!" &amp; $CH$110 &amp; $BV54),0)))))/1024</f>
        <v>269.2919921875</v>
      </c>
      <c r="AX54" s="709">
        <f ca="1">IF(ISERROR(MATCH(AX$1,INDIRECT("Table!A"&amp;$BV54):INDIRECT("Table!" &amp; $CH$110 &amp; $BV54),0)),"",INDIRECT(CONCATENATE("Table!",ADDRESS($BZ54,MATCH(AX$1,INDIRECT("Table!A" &amp; $BV54):INDIRECT("Table!" &amp; $CH$110 &amp; $BV54),0)))))/1024</f>
        <v>80.787695312500006</v>
      </c>
      <c r="AY54" s="709">
        <f ca="1">IF(ISERROR(MATCH(AY$1,INDIRECT("Table!A"&amp;$BV54):INDIRECT("Table!" &amp; $CH$110 &amp; $BV54),0)),"",INDIRECT(CONCATENATE("Table!",ADDRESS($BZ54,MATCH(AY$1,INDIRECT("Table!A" &amp; $BV54):INDIRECT("Table!" &amp; $CH$110 &amp; $BV54),0)))))/1024</f>
        <v>184.55234375000001</v>
      </c>
      <c r="AZ54" s="709">
        <f ca="1">IF(ISERROR(MATCH(AZ$1,INDIRECT("Table!A"&amp;$BV54):INDIRECT("Table!" &amp; $CH$110 &amp; $BV54),0)),"",INDIRECT(CONCATENATE("Table!",ADDRESS($BZ54,MATCH(AZ$1,INDIRECT("Table!A" &amp; $BV54):INDIRECT("Table!" &amp; $CH$110 &amp; $BV54),0)))))/1024</f>
        <v>210.22119140625</v>
      </c>
      <c r="BA54" s="709"/>
      <c r="BB54" s="709">
        <f ca="1">IF(ISERROR(MATCH(BB$1,INDIRECT("Table!A"&amp;$BV54):INDIRECT("Table!" &amp; $CH$110 &amp; $BV54),0)),"",INDIRECT(CONCATENATE("Table!",ADDRESS($BZ54,MATCH(BB$1,INDIRECT("Table!A" &amp; $BV54):INDIRECT("Table!" &amp; $CH$110 &amp; $BV54),0)))))/1024</f>
        <v>32.31494140625</v>
      </c>
      <c r="BC54" s="709"/>
      <c r="BD54" s="905"/>
      <c r="BE54" s="905"/>
      <c r="BF54" s="905"/>
      <c r="BG54" s="905"/>
      <c r="BH54" s="905"/>
      <c r="BI54" s="905"/>
      <c r="BJ54" s="905"/>
      <c r="BK54" s="905"/>
      <c r="BL54" s="905"/>
      <c r="BM54" s="905"/>
      <c r="BN54" s="905"/>
      <c r="BO54" s="905"/>
      <c r="BP54" s="905"/>
      <c r="BQ54" s="905"/>
      <c r="BR54" s="704">
        <f>MATCH($A54,Table!$A:$A,0)+$BT$2-1</f>
        <v>749</v>
      </c>
      <c r="BS54" s="705"/>
      <c r="BT54" s="705"/>
      <c r="BU54" s="705"/>
      <c r="BV54" s="717">
        <f>MATCH($A54,Table!$A:$A,0)+$BX$2-1</f>
        <v>747</v>
      </c>
      <c r="BW54" s="705"/>
      <c r="BX54" s="705"/>
      <c r="BY54" s="705"/>
      <c r="BZ54" s="704">
        <f>MATCH($A54,Table!$A:$A,0)+$CB$2-1</f>
        <v>748</v>
      </c>
      <c r="CA54" s="705"/>
      <c r="CB54" s="705"/>
      <c r="CC54" s="705"/>
      <c r="CD54" s="717">
        <f>MATCH($A54,Table!$A:$A,0)+$BX$2-1</f>
        <v>747</v>
      </c>
      <c r="CE54" s="705"/>
      <c r="CF54" s="705"/>
      <c r="CG54" s="705"/>
      <c r="CH54" s="711" t="s">
        <v>302</v>
      </c>
      <c r="CI54" s="712">
        <f t="shared" ca="1" si="139"/>
        <v>2992.3045898437504</v>
      </c>
      <c r="CJ54" s="712">
        <f t="shared" ca="1" si="85"/>
        <v>1376.1572265624998</v>
      </c>
      <c r="CK54" s="712">
        <f t="shared" ca="1" si="137"/>
        <v>1616.1473632812506</v>
      </c>
      <c r="CL54" s="718">
        <f t="shared" ca="1" si="138"/>
        <v>0.45989877876515195</v>
      </c>
      <c r="CM54" s="712">
        <f ca="1">SUMIF('Alloc Feed'!A:I,A:A,'Alloc Feed'!I:I)</f>
        <v>2913.2278242187499</v>
      </c>
      <c r="CN54" s="718">
        <f t="shared" ca="1" si="136"/>
        <v>0.97357329000082515</v>
      </c>
    </row>
    <row r="55" spans="1:92" s="267" customFormat="1" x14ac:dyDescent="0.25">
      <c r="A55" s="703">
        <v>41548</v>
      </c>
      <c r="B55" s="709">
        <f ca="1">IF(ISERROR(MATCH(B$1,INDIRECT("Table!A"&amp;$BV55):INDIRECT("Table!" &amp; $CH$110 &amp; $BV55),0)),"",INDIRECT(CONCATENATE("Table!",ADDRESS($BR55,MATCH(B$1,INDIRECT("Table!A" &amp; $BV55):INDIRECT("Table!" &amp; $CH$110 &amp; $BV55),0)))))/1024</f>
        <v>47.033886718749997</v>
      </c>
      <c r="C55" s="709">
        <f ca="1">IF(ISERROR(MATCH(C$1,INDIRECT("Table!A"&amp;$BV55):INDIRECT("Table!" &amp; $CH$110 &amp; $BV55),0)),"",INDIRECT(CONCATENATE("Table!",ADDRESS($BR55,MATCH(C$1,INDIRECT("Table!A" &amp; $BV55):INDIRECT("Table!" &amp; $CH$110 &amp; $BV55),0)))))/1024</f>
        <v>78.558203125000006</v>
      </c>
      <c r="D55" s="709">
        <f ca="1">IF(ISERROR(MATCH(D$1,INDIRECT("Table!A"&amp;$BV55):INDIRECT("Table!" &amp; $CH$110 &amp; $BV55),0)),"",INDIRECT(CONCATENATE("Table!",ADDRESS($BR55,MATCH(D$1,INDIRECT("Table!A" &amp; $BV55):INDIRECT("Table!" &amp; $CH$110 &amp; $BV55),0)))))/1024</f>
        <v>80.00146484375</v>
      </c>
      <c r="E55" s="709">
        <f ca="1">IF(ISERROR(MATCH(E$1,INDIRECT("Table!A"&amp;$BV55):INDIRECT("Table!" &amp; $CH$110 &amp; $BV55),0)),"",INDIRECT(CONCATENATE("Table!",ADDRESS($BR55,MATCH(E$1,INDIRECT("Table!A" &amp; $BV55):INDIRECT("Table!" &amp; $CH$110 &amp; $BV55),0)))))/1024</f>
        <v>146.89980468749999</v>
      </c>
      <c r="F55" s="709">
        <f ca="1">IF(ISERROR(MATCH(F$1,INDIRECT("Table!A"&amp;$BV55):INDIRECT("Table!" &amp; $CH$110 &amp; $BV55),0)),"",INDIRECT(CONCATENATE("Table!",ADDRESS($BR55,MATCH(F$1,INDIRECT("Table!A" &amp; $BV55):INDIRECT("Table!" &amp; $CH$110 &amp; $BV55),0)))))/1024</f>
        <v>115.73427734374999</v>
      </c>
      <c r="G55" s="709">
        <f ca="1">IF(ISERROR(MATCH(G$1,INDIRECT("Table!A"&amp;$BV55):INDIRECT("Table!" &amp; $CH$110 &amp; $BV55),0)),"",INDIRECT(CONCATENATE("Table!",ADDRESS($BR55,MATCH(G$1,INDIRECT("Table!A" &amp; $BV55):INDIRECT("Table!" &amp; $CH$110 &amp; $BV55),0)))))/1024</f>
        <v>58.712207031250003</v>
      </c>
      <c r="H55" s="709">
        <f ca="1">IF(ISERROR(MATCH(H$1,INDIRECT("Table!A"&amp;$BV55):INDIRECT("Table!" &amp; $CH$110 &amp; $BV55),0)),"",INDIRECT(CONCATENATE("Table!",ADDRESS($BR55,MATCH(H$1,INDIRECT("Table!A" &amp; $BV55):INDIRECT("Table!" &amp; $CH$110 &amp; $BV55),0)))))/1024</f>
        <v>97.127246093750003</v>
      </c>
      <c r="I55" s="709">
        <f ca="1">IF(ISERROR(MATCH(I$1,INDIRECT("Table!A"&amp;$BV55):INDIRECT("Table!" &amp; $CH$110 &amp; $BV55),0)),"",INDIRECT(CONCATENATE("Table!",ADDRESS($BR55,MATCH(I$1,INDIRECT("Table!A" &amp; $BV55):INDIRECT("Table!" &amp; $CH$110 &amp; $BV55),0)))))/1024</f>
        <v>12.358105468750001</v>
      </c>
      <c r="J55" s="709">
        <f ca="1">IF(ISERROR(MATCH(J$1,INDIRECT("Table!A"&amp;$BV55):INDIRECT("Table!" &amp; $CH$110 &amp; $BV55),0)),"",INDIRECT(CONCATENATE("Table!",ADDRESS($BR55,MATCH(J$1,INDIRECT("Table!A" &amp; $BV55):INDIRECT("Table!" &amp; $CH$110 &amp; $BV55),0)))))/1024</f>
        <v>43.638085937500001</v>
      </c>
      <c r="K55" s="709">
        <f ca="1">IF(ISERROR(MATCH(K$1,INDIRECT("Table!A"&amp;$BV55):INDIRECT("Table!" &amp; $CH$110 &amp; $BV55),0)),"",INDIRECT(CONCATENATE("Table!",ADDRESS($BR55,MATCH(K$1,INDIRECT("Table!A" &amp; $BV55):INDIRECT("Table!" &amp; $CH$110 &amp; $BV55),0)))))/1024</f>
        <v>1.1950195312499998</v>
      </c>
      <c r="L55" s="709">
        <f ca="1">IF(ISERROR(MATCH(L$1,INDIRECT("Table!A"&amp;$BV55):INDIRECT("Table!" &amp; $CH$110 &amp; $BV55),0)),"",INDIRECT(CONCATENATE("Table!",ADDRESS($BR55,MATCH(L$1,INDIRECT("Table!A" &amp; $BV55):INDIRECT("Table!" &amp; $CH$110 &amp; $BV55),0)))))/1024</f>
        <v>156.63095703125001</v>
      </c>
      <c r="M55" s="709">
        <f ca="1">IF(ISERROR(MATCH(M$1,INDIRECT("Table!A"&amp;$BV55):INDIRECT("Table!" &amp; $CH$110 &amp; $BV55),0)),"",INDIRECT(CONCATENATE("Table!",ADDRESS($BR55,MATCH(M$1,INDIRECT("Table!A" &amp; $BV55):INDIRECT("Table!" &amp; $CH$110 &amp; $BV55),0)))))/1024</f>
        <v>152.234375</v>
      </c>
      <c r="N55" s="709">
        <f ca="1">IF(ISERROR(MATCH(N$1,INDIRECT("Table!A"&amp;$BV55):INDIRECT("Table!" &amp; $CH$110 &amp; $BV55),0)),"",INDIRECT(CONCATENATE("Table!",ADDRESS($BR55,MATCH(N$1,INDIRECT("Table!A" &amp; $BV55):INDIRECT("Table!" &amp; $CH$110 &amp; $BV55),0)))))/1024</f>
        <v>59.494921875000003</v>
      </c>
      <c r="O55" s="709">
        <f ca="1">IF(ISERROR(MATCH(O$1,INDIRECT("Table!A"&amp;$BV55):INDIRECT("Table!" &amp; $CH$110 &amp; $BV55),0)),"",INDIRECT(CONCATENATE("Table!",ADDRESS($BR55,MATCH(O$1,INDIRECT("Table!A" &amp; $BV55):INDIRECT("Table!" &amp; $CH$110 &amp; $BV55),0)))))/1024</f>
        <v>175.12919921874999</v>
      </c>
      <c r="P55" s="709">
        <f ca="1">IF(ISERROR(MATCH(P$1,INDIRECT("Table!A"&amp;$BV55):INDIRECT("Table!" &amp; $CH$110 &amp; $BV55),0)),"",INDIRECT(CONCATENATE("Table!",ADDRESS($BR55,MATCH(P$1,INDIRECT("Table!A" &amp; $BV55):INDIRECT("Table!" &amp; $CH$110 &amp; $BV55),0)))))/1024</f>
        <v>23.802050781249999</v>
      </c>
      <c r="Q55" s="709">
        <f ca="1">IF(ISERROR(MATCH(Q$1,INDIRECT("Table!A"&amp;$BV55):INDIRECT("Table!" &amp; $CH$110 &amp; $BV55),0)),"",INDIRECT(CONCATENATE("Table!",ADDRESS($BR55,MATCH(Q$1,INDIRECT("Table!A" &amp; $BV55):INDIRECT("Table!" &amp; $CH$110 &amp; $BV55),0)))))/1024</f>
        <v>68.473242187500006</v>
      </c>
      <c r="R55" s="709">
        <f ca="1">IF(ISERROR(MATCH(R$1,INDIRECT("Table!A"&amp;$BV55):INDIRECT("Table!" &amp; $CH$110 &amp; $BV55),0)),"",INDIRECT(CONCATENATE("Table!",ADDRESS($BR55,MATCH(R$1,INDIRECT("Table!A" &amp; $BV55):INDIRECT("Table!" &amp; $CH$110 &amp; $BV55),0)))))/1024</f>
        <v>34.902539062499997</v>
      </c>
      <c r="S55" s="709">
        <v>0</v>
      </c>
      <c r="T55" s="709">
        <f ca="1">IF(ISERROR(MATCH(T$1,INDIRECT("Table!A"&amp;$BV55):INDIRECT("Table!" &amp; $CH$65 &amp; $BV55),0)),"",INDIRECT(CONCATENATE("Table!",ADDRESS($BR55,MATCH(T$1,INDIRECT("Table!A" &amp; $BV55):INDIRECT("Table!" &amp; $CH$65 &amp; $BV55),0)))))/1024</f>
        <v>5.9644531250000004</v>
      </c>
      <c r="U55" s="709"/>
      <c r="V55" s="905"/>
      <c r="W55" s="905"/>
      <c r="X55" s="905"/>
      <c r="Y55" s="905"/>
      <c r="Z55" s="905"/>
      <c r="AA55" s="905"/>
      <c r="AB55" s="905"/>
      <c r="AC55" s="905"/>
      <c r="AD55" s="905"/>
      <c r="AE55" s="905"/>
      <c r="AF55" s="905"/>
      <c r="AG55" s="905"/>
      <c r="AH55" s="905"/>
      <c r="AI55" s="709" t="str">
        <f ca="1">IF(ISERROR(MATCH(AI$1,INDIRECT("Table!A"&amp;$BV55):INDIRECT("Table!" &amp; $CH$110 &amp; $BV55),0)),"",INDIRECT(CONCATENATE("Table!",ADDRESS($BR55,MATCH(AI$1,INDIRECT("Table!A" &amp; $BV55):INDIRECT("Table!" &amp; $CH$110 &amp; $BV55),0)))))</f>
        <v/>
      </c>
      <c r="AJ55" s="709">
        <f ca="1">IF(ISERROR(MATCH(AJ$1,INDIRECT("Table!A"&amp;$BV55):INDIRECT("Table!" &amp; $CH$110 &amp; $BV55),0)),"",INDIRECT(CONCATENATE("Table!",ADDRESS($BZ55,MATCH(AJ$1,INDIRECT("Table!A" &amp; $BV55):INDIRECT("Table!" &amp; $CH$110 &amp; $BV55),0)))))/1024</f>
        <v>140.0322265625</v>
      </c>
      <c r="AK55" s="709">
        <f ca="1">IF(ISERROR(MATCH(AK$1,INDIRECT("Table!A"&amp;$BV55):INDIRECT("Table!" &amp; $CH$110 &amp; $BV55),0)),"",INDIRECT(CONCATENATE("Table!",ADDRESS($BZ55,MATCH(AK$1,INDIRECT("Table!A" &amp; $BV55):INDIRECT("Table!" &amp; $CH$110 &amp; $BV55),0)))))/1024</f>
        <v>146.98896484375001</v>
      </c>
      <c r="AL55" s="709">
        <f ca="1">IF(ISERROR(MATCH(AL$1,INDIRECT("Table!A"&amp;$BV55):INDIRECT("Table!" &amp; $CH$110 &amp; $BV55),0)),"",INDIRECT(CONCATENATE("Table!",ADDRESS($BZ55,MATCH(AL$1,INDIRECT("Table!A" &amp; $BV55):INDIRECT("Table!" &amp; $CH$110 &amp; $BV55),0)))))/1024</f>
        <v>146.98896484375001</v>
      </c>
      <c r="AM55" s="709">
        <f ca="1">IF(ISERROR(MATCH(AM$1,INDIRECT("Table!A"&amp;$BV55):INDIRECT("Table!" &amp; $CH$110 &amp; $BV55),0)),"",INDIRECT(CONCATENATE("Table!",ADDRESS($BZ55,MATCH(AM$1,INDIRECT("Table!A" &amp; $BV55):INDIRECT("Table!" &amp; $CH$110 &amp; $BV55),0)))))/1024</f>
        <v>177.73320312499999</v>
      </c>
      <c r="AN55" s="709">
        <f ca="1">IF(ISERROR(MATCH(AN$1,INDIRECT("Table!A"&amp;$BV55):INDIRECT("Table!" &amp; $CH$110 &amp; $BV55),0)),"",INDIRECT(CONCATENATE("Table!",ADDRESS($BZ55,MATCH(AN$1,INDIRECT("Table!A" &amp; $BV55):INDIRECT("Table!" &amp; $CH$110 &amp; $BV55),0)))))/1024</f>
        <v>161.57568359375</v>
      </c>
      <c r="AO55" s="709">
        <f ca="1">IF(ISERROR(MATCH(AO$1,INDIRECT("Table!A"&amp;$BV55):INDIRECT("Table!" &amp; $CH$110 &amp; $BV55),0)),"",INDIRECT(CONCATENATE("Table!",ADDRESS($BZ55,MATCH(AO$1,INDIRECT("Table!A" &amp; $BV55):INDIRECT("Table!" &amp; $CH$110 &amp; $BV55),0)))))/1024</f>
        <v>129.03603515624999</v>
      </c>
      <c r="AP55" s="709">
        <f ca="1">IF(ISERROR(MATCH(AP$1,INDIRECT("Table!A"&amp;$BV55):INDIRECT("Table!" &amp; $CH$110 &amp; $BV55),0)),"",INDIRECT(CONCATENATE("Table!",ADDRESS($BZ55,MATCH(AP$1,INDIRECT("Table!A" &amp; $BV55):INDIRECT("Table!" &amp; $CH$110 &amp; $BV55),0)))))/1024</f>
        <v>166.96152343750001</v>
      </c>
      <c r="AQ55" s="709">
        <f ca="1">IF(ISERROR(MATCH(AQ$1,INDIRECT("Table!A"&amp;$BV55):INDIRECT("Table!" &amp; $CH$110 &amp; $BV55),0)),"",INDIRECT(CONCATENATE("Table!",ADDRESS($BZ55,MATCH(AQ$1,INDIRECT("Table!A" &amp; $BV55):INDIRECT("Table!" &amp; $CH$110 &amp; $BV55),0)))))/1024</f>
        <v>161.57568359375</v>
      </c>
      <c r="AR55" s="709">
        <f ca="1">IF(ISERROR(MATCH(AR$1,INDIRECT("Table!A"&amp;$BV55):INDIRECT("Table!" &amp; $CH$110 &amp; $BV55),0)),"",INDIRECT(CONCATENATE("Table!",ADDRESS($BZ55,MATCH(AR$1,INDIRECT("Table!A" &amp; $BV55):INDIRECT("Table!" &amp; $CH$110 &amp; $BV55),0)))))/1024</f>
        <v>90.245703125000006</v>
      </c>
      <c r="AS55" s="709">
        <f ca="1">IF(ISERROR(MATCH(AS$1,INDIRECT("Table!A"&amp;$BV55):INDIRECT("Table!" &amp; $CH$110 &amp; $BV55),0)),"",INDIRECT(CONCATENATE("Table!",ADDRESS($BZ55,MATCH(AS$1,INDIRECT("Table!A" &amp; $BV55):INDIRECT("Table!" &amp; $CH$110 &amp; $BV55),0)))))/1024</f>
        <v>210.22119140625</v>
      </c>
      <c r="AT55" s="709">
        <f ca="1">IF(ISERROR(MATCH(AT$1,INDIRECT("Table!A"&amp;$BV55):INDIRECT("Table!" &amp; $CH$110 &amp; $BV55),0)),"",INDIRECT(CONCATENATE("Table!",ADDRESS($BZ55,MATCH(AT$1,INDIRECT("Table!A" &amp; $BV55):INDIRECT("Table!" &amp; $CH$110 &amp; $BV55),0)))))/1024</f>
        <v>188.50498046875001</v>
      </c>
      <c r="AU55" s="709">
        <f ca="1">IF(ISERROR(MATCH(AU$1,INDIRECT("Table!A"&amp;$BV55):INDIRECT("Table!" &amp; $CH$110 &amp; $BV55),0)),"",INDIRECT(CONCATENATE("Table!",ADDRESS($BZ55,MATCH(AU$1,INDIRECT("Table!A" &amp; $BV55):INDIRECT("Table!" &amp; $CH$110 &amp; $BV55),0)))))/1024</f>
        <v>414.48457031249995</v>
      </c>
      <c r="AV55" s="709">
        <f ca="1">IF(ISERROR(MATCH(AV$1,INDIRECT("Table!A"&amp;$BV55):INDIRECT("Table!" &amp; $CH$110 &amp; $BV55),0)),"",INDIRECT(CONCATENATE("Table!",ADDRESS($BZ55,MATCH(AV$1,INDIRECT("Table!A" &amp; $BV55):INDIRECT("Table!" &amp; $CH$110 &amp; $BV55),0)))))/1024</f>
        <v>80.787695312500006</v>
      </c>
      <c r="AW55" s="709">
        <f ca="1">IF(ISERROR(MATCH(AW$1,INDIRECT("Table!A"&amp;$BV55):INDIRECT("Table!" &amp; $CH$110 &amp; $BV55),0)),"",INDIRECT(CONCATENATE("Table!",ADDRESS($BZ55,MATCH(AW$1,INDIRECT("Table!A" &amp; $BV55):INDIRECT("Table!" &amp; $CH$110 &amp; $BV55),0)))))/1024</f>
        <v>269.2919921875</v>
      </c>
      <c r="AX55" s="709">
        <f ca="1">IF(ISERROR(MATCH(AX$1,INDIRECT("Table!A"&amp;$BV55):INDIRECT("Table!" &amp; $CH$110 &amp; $BV55),0)),"",INDIRECT(CONCATENATE("Table!",ADDRESS($BZ55,MATCH(AX$1,INDIRECT("Table!A" &amp; $BV55):INDIRECT("Table!" &amp; $CH$110 &amp; $BV55),0)))))/1024</f>
        <v>80.787695312500006</v>
      </c>
      <c r="AY55" s="709">
        <f ca="1">IF(ISERROR(MATCH(AY$1,INDIRECT("Table!A"&amp;$BV55):INDIRECT("Table!" &amp; $CH$110 &amp; $BV55),0)),"",INDIRECT(CONCATENATE("Table!",ADDRESS($BZ55,MATCH(AY$1,INDIRECT("Table!A" &amp; $BV55):INDIRECT("Table!" &amp; $CH$110 &amp; $BV55),0)))))/1024</f>
        <v>184.55234375000001</v>
      </c>
      <c r="AZ55" s="709">
        <f ca="1">IF(ISERROR(MATCH(AZ$1,INDIRECT("Table!A"&amp;$BV55):INDIRECT("Table!" &amp; $CH$110 &amp; $BV55),0)),"",INDIRECT(CONCATENATE("Table!",ADDRESS($BZ55,MATCH(AZ$1,INDIRECT("Table!A" &amp; $BV55):INDIRECT("Table!" &amp; $CH$110 &amp; $BV55),0)))))/1024</f>
        <v>210.22119140625</v>
      </c>
      <c r="BA55" s="709"/>
      <c r="BB55" s="709">
        <f ca="1">IF(ISERROR(MATCH(BB$1,INDIRECT("Table!A"&amp;$BV55):INDIRECT("Table!" &amp; $CH$110 &amp; $BV55),0)),"",INDIRECT(CONCATENATE("Table!",ADDRESS($BZ55,MATCH(BB$1,INDIRECT("Table!A" &amp; $BV55):INDIRECT("Table!" &amp; $CH$110 &amp; $BV55),0)))))/1024</f>
        <v>32.31494140625</v>
      </c>
      <c r="BC55" s="709"/>
      <c r="BD55" s="905"/>
      <c r="BE55" s="905"/>
      <c r="BF55" s="905"/>
      <c r="BG55" s="905"/>
      <c r="BH55" s="905"/>
      <c r="BI55" s="905"/>
      <c r="BJ55" s="905"/>
      <c r="BK55" s="905"/>
      <c r="BL55" s="905"/>
      <c r="BM55" s="905"/>
      <c r="BN55" s="905"/>
      <c r="BO55" s="905"/>
      <c r="BP55" s="905"/>
      <c r="BQ55" s="905"/>
      <c r="BR55" s="704">
        <f>MATCH($A55,Table!$A:$A,0)+$BT$2-1</f>
        <v>761</v>
      </c>
      <c r="BS55" s="705"/>
      <c r="BT55" s="705"/>
      <c r="BU55" s="705"/>
      <c r="BV55" s="717">
        <f>MATCH($A55,Table!$A:$A,0)+$BX$2-1</f>
        <v>759</v>
      </c>
      <c r="BW55" s="705"/>
      <c r="BX55" s="705"/>
      <c r="BY55" s="705"/>
      <c r="BZ55" s="704">
        <f>MATCH($A55,Table!$A:$A,0)+$CB$2-1</f>
        <v>760</v>
      </c>
      <c r="CA55" s="705"/>
      <c r="CB55" s="705"/>
      <c r="CC55" s="705"/>
      <c r="CD55" s="717">
        <f>MATCH($A55,Table!$A:$A,0)+$BX$2-1</f>
        <v>759</v>
      </c>
      <c r="CE55" s="705"/>
      <c r="CF55" s="705"/>
      <c r="CG55" s="705"/>
      <c r="CH55" s="711" t="s">
        <v>302</v>
      </c>
      <c r="CI55" s="712">
        <f t="shared" ca="1" si="139"/>
        <v>2992.3045898437504</v>
      </c>
      <c r="CJ55" s="712">
        <f t="shared" ca="1" si="85"/>
        <v>1357.8900390625001</v>
      </c>
      <c r="CK55" s="712">
        <f t="shared" ca="1" si="137"/>
        <v>1634.4145507812502</v>
      </c>
      <c r="CL55" s="718">
        <f t="shared" ca="1" si="138"/>
        <v>0.45379405681872959</v>
      </c>
      <c r="CM55" s="712">
        <f ca="1">SUMIF('Alloc Feed'!A:I,A:A,'Alloc Feed'!I:I)</f>
        <v>2905.1607685546874</v>
      </c>
      <c r="CN55" s="718">
        <f t="shared" ca="1" si="136"/>
        <v>0.97087735600685843</v>
      </c>
    </row>
    <row r="56" spans="1:92" s="267" customFormat="1" x14ac:dyDescent="0.25">
      <c r="A56" s="703">
        <v>41541</v>
      </c>
      <c r="B56" s="709">
        <f ca="1">IF(ISERROR(MATCH(B$1,INDIRECT("Table!A"&amp;$BV56):INDIRECT("Table!" &amp; $CH$110 &amp; $BV56),0)),"",INDIRECT(CONCATENATE("Table!",ADDRESS($BR56,MATCH(B$1,INDIRECT("Table!A" &amp; $BV56):INDIRECT("Table!" &amp; $CH$110 &amp; $BV56),0)))))/1024</f>
        <v>46.930761718749999</v>
      </c>
      <c r="C56" s="709">
        <f ca="1">IF(ISERROR(MATCH(C$1,INDIRECT("Table!A"&amp;$BV56):INDIRECT("Table!" &amp; $CH$110 &amp; $BV56),0)),"",INDIRECT(CONCATENATE("Table!",ADDRESS($BR56,MATCH(C$1,INDIRECT("Table!A" &amp; $BV56):INDIRECT("Table!" &amp; $CH$110 &amp; $BV56),0)))))/1024</f>
        <v>78.530371093750006</v>
      </c>
      <c r="D56" s="709">
        <f ca="1">IF(ISERROR(MATCH(D$1,INDIRECT("Table!A"&amp;$BV56):INDIRECT("Table!" &amp; $CH$110 &amp; $BV56),0)),"",INDIRECT(CONCATENATE("Table!",ADDRESS($BR56,MATCH(D$1,INDIRECT("Table!A" &amp; $BV56):INDIRECT("Table!" &amp; $CH$110 &amp; $BV56),0)))))/1024</f>
        <v>79.977246093749997</v>
      </c>
      <c r="E56" s="709">
        <f ca="1">IF(ISERROR(MATCH(E$1,INDIRECT("Table!A"&amp;$BV56):INDIRECT("Table!" &amp; $CH$110 &amp; $BV56),0)),"",INDIRECT(CONCATENATE("Table!",ADDRESS($BR56,MATCH(E$1,INDIRECT("Table!A" &amp; $BV56):INDIRECT("Table!" &amp; $CH$110 &amp; $BV56),0)))))/1024</f>
        <v>146.72138671875001</v>
      </c>
      <c r="F56" s="709">
        <f ca="1">IF(ISERROR(MATCH(F$1,INDIRECT("Table!A"&amp;$BV56):INDIRECT("Table!" &amp; $CH$110 &amp; $BV56),0)),"",INDIRECT(CONCATENATE("Table!",ADDRESS($BR56,MATCH(F$1,INDIRECT("Table!A" &amp; $BV56):INDIRECT("Table!" &amp; $CH$110 &amp; $BV56),0)))))/1024</f>
        <v>115.4162109375</v>
      </c>
      <c r="G56" s="709">
        <f ca="1">IF(ISERROR(MATCH(G$1,INDIRECT("Table!A"&amp;$BV56):INDIRECT("Table!" &amp; $CH$110 &amp; $BV56),0)),"",INDIRECT(CONCATENATE("Table!",ADDRESS($BR56,MATCH(G$1,INDIRECT("Table!A" &amp; $BV56):INDIRECT("Table!" &amp; $CH$110 &amp; $BV56),0)))))/1024</f>
        <v>57.184667968749999</v>
      </c>
      <c r="H56" s="709">
        <f ca="1">IF(ISERROR(MATCH(H$1,INDIRECT("Table!A"&amp;$BV56):INDIRECT("Table!" &amp; $CH$110 &amp; $BV56),0)),"",INDIRECT(CONCATENATE("Table!",ADDRESS($BR56,MATCH(H$1,INDIRECT("Table!A" &amp; $BV56):INDIRECT("Table!" &amp; $CH$110 &amp; $BV56),0)))))/1024</f>
        <v>95.802636718749994</v>
      </c>
      <c r="I56" s="709">
        <f ca="1">IF(ISERROR(MATCH(I$1,INDIRECT("Table!A"&amp;$BV56):INDIRECT("Table!" &amp; $CH$110 &amp; $BV56),0)),"",INDIRECT(CONCATENATE("Table!",ADDRESS($BR56,MATCH(I$1,INDIRECT("Table!A" &amp; $BV56):INDIRECT("Table!" &amp; $CH$110 &amp; $BV56),0)))))/1024</f>
        <v>12.348828125000001</v>
      </c>
      <c r="J56" s="709">
        <f ca="1">IF(ISERROR(MATCH(J$1,INDIRECT("Table!A"&amp;$BV56):INDIRECT("Table!" &amp; $CH$110 &amp; $BV56),0)),"",INDIRECT(CONCATENATE("Table!",ADDRESS($BR56,MATCH(J$1,INDIRECT("Table!A" &amp; $BV56):INDIRECT("Table!" &amp; $CH$110 &amp; $BV56),0)))))/1024</f>
        <v>43.540136718749999</v>
      </c>
      <c r="K56" s="709">
        <f ca="1">IF(ISERROR(MATCH(K$1,INDIRECT("Table!A"&amp;$BV56):INDIRECT("Table!" &amp; $CH$110 &amp; $BV56),0)),"",INDIRECT(CONCATENATE("Table!",ADDRESS($BR56,MATCH(K$1,INDIRECT("Table!A" &amp; $BV56):INDIRECT("Table!" &amp; $CH$110 &amp; $BV56),0)))))/1024</f>
        <v>1.1131835937500001</v>
      </c>
      <c r="L56" s="709">
        <f ca="1">IF(ISERROR(MATCH(L$1,INDIRECT("Table!A"&amp;$BV56):INDIRECT("Table!" &amp; $CH$110 &amp; $BV56),0)),"",INDIRECT(CONCATENATE("Table!",ADDRESS($BR56,MATCH(L$1,INDIRECT("Table!A" &amp; $BV56):INDIRECT("Table!" &amp; $CH$110 &amp; $BV56),0)))))/1024</f>
        <v>156.47421875000001</v>
      </c>
      <c r="M56" s="709">
        <f ca="1">IF(ISERROR(MATCH(M$1,INDIRECT("Table!A"&amp;$BV56):INDIRECT("Table!" &amp; $CH$110 &amp; $BV56),0)),"",INDIRECT(CONCATENATE("Table!",ADDRESS($BR56,MATCH(M$1,INDIRECT("Table!A" &amp; $BV56):INDIRECT("Table!" &amp; $CH$110 &amp; $BV56),0)))))/1024</f>
        <v>57.405664062500001</v>
      </c>
      <c r="N56" s="709">
        <f ca="1">IF(ISERROR(MATCH(N$1,INDIRECT("Table!A"&amp;$BV56):INDIRECT("Table!" &amp; $CH$110 &amp; $BV56),0)),"",INDIRECT(CONCATENATE("Table!",ADDRESS($BR56,MATCH(N$1,INDIRECT("Table!A" &amp; $BV56):INDIRECT("Table!" &amp; $CH$110 &amp; $BV56),0)))))/1024</f>
        <v>59.338476562499999</v>
      </c>
      <c r="O56" s="709">
        <f ca="1">IF(ISERROR(MATCH(O$1,INDIRECT("Table!A"&amp;$BV56):INDIRECT("Table!" &amp; $CH$110 &amp; $BV56),0)),"",INDIRECT(CONCATENATE("Table!",ADDRESS($BR56,MATCH(O$1,INDIRECT("Table!A" &amp; $BV56):INDIRECT("Table!" &amp; $CH$110 &amp; $BV56),0)))))/1024</f>
        <v>175.36708984374999</v>
      </c>
      <c r="P56" s="709">
        <f ca="1">IF(ISERROR(MATCH(P$1,INDIRECT("Table!A"&amp;$BV56):INDIRECT("Table!" &amp; $CH$110 &amp; $BV56),0)),"",INDIRECT(CONCATENATE("Table!",ADDRESS($BR56,MATCH(P$1,INDIRECT("Table!A" &amp; $BV56):INDIRECT("Table!" &amp; $CH$110 &amp; $BV56),0)))))/1024</f>
        <v>23.783593750000001</v>
      </c>
      <c r="Q56" s="709">
        <f ca="1">IF(ISERROR(MATCH(Q$1,INDIRECT("Table!A"&amp;$BV56):INDIRECT("Table!" &amp; $CH$110 &amp; $BV56),0)),"",INDIRECT(CONCATENATE("Table!",ADDRESS($BR56,MATCH(Q$1,INDIRECT("Table!A" &amp; $BV56):INDIRECT("Table!" &amp; $CH$110 &amp; $BV56),0)))))/1024</f>
        <v>68.412499999999994</v>
      </c>
      <c r="R56" s="709">
        <f ca="1">IF(ISERROR(MATCH(R$1,INDIRECT("Table!A"&amp;$BV56):INDIRECT("Table!" &amp; $CH$110 &amp; $BV56),0)),"",INDIRECT(CONCATENATE("Table!",ADDRESS($BR56,MATCH(R$1,INDIRECT("Table!A" &amp; $BV56):INDIRECT("Table!" &amp; $CH$110 &amp; $BV56),0)))))/1024</f>
        <v>27.583886718750001</v>
      </c>
      <c r="S56" s="709">
        <v>0</v>
      </c>
      <c r="T56" s="709">
        <f ca="1">IF(ISERROR(MATCH(T$1,INDIRECT("Table!A"&amp;$BV56):INDIRECT("Table!" &amp; $CH$65 &amp; $BV56),0)),"",INDIRECT(CONCATENATE("Table!",ADDRESS($BR56,MATCH(T$1,INDIRECT("Table!A" &amp; $BV56):INDIRECT("Table!" &amp; $CH$65 &amp; $BV56),0)))))/1024</f>
        <v>5.9144531249999996</v>
      </c>
      <c r="U56" s="709"/>
      <c r="V56" s="905"/>
      <c r="W56" s="905"/>
      <c r="X56" s="905"/>
      <c r="Y56" s="905"/>
      <c r="Z56" s="905"/>
      <c r="AA56" s="905"/>
      <c r="AB56" s="905"/>
      <c r="AC56" s="905"/>
      <c r="AD56" s="905"/>
      <c r="AE56" s="905"/>
      <c r="AF56" s="905"/>
      <c r="AG56" s="905"/>
      <c r="AH56" s="905"/>
      <c r="AI56" s="709" t="str">
        <f ca="1">IF(ISERROR(MATCH(AI$1,INDIRECT("Table!A"&amp;$BV56):INDIRECT("Table!" &amp; $CH$110 &amp; $BV56),0)),"",INDIRECT(CONCATENATE("Table!",ADDRESS($BR56,MATCH(AI$1,INDIRECT("Table!A" &amp; $BV56):INDIRECT("Table!" &amp; $CH$110 &amp; $BV56),0)))))</f>
        <v/>
      </c>
      <c r="AJ56" s="709">
        <f ca="1">IF(ISERROR(MATCH(AJ$1,INDIRECT("Table!A"&amp;$BV56):INDIRECT("Table!" &amp; $CH$110 &amp; $BV56),0)),"",INDIRECT(CONCATENATE("Table!",ADDRESS($BZ56,MATCH(AJ$1,INDIRECT("Table!A" &amp; $BV56):INDIRECT("Table!" &amp; $CH$110 &amp; $BV56),0)))))/1024</f>
        <v>140.0322265625</v>
      </c>
      <c r="AK56" s="709">
        <f ca="1">IF(ISERROR(MATCH(AK$1,INDIRECT("Table!A"&amp;$BV56):INDIRECT("Table!" &amp; $CH$110 &amp; $BV56),0)),"",INDIRECT(CONCATENATE("Table!",ADDRESS($BZ56,MATCH(AK$1,INDIRECT("Table!A" &amp; $BV56):INDIRECT("Table!" &amp; $CH$110 &amp; $BV56),0)))))/1024</f>
        <v>146.98896484375001</v>
      </c>
      <c r="AL56" s="709">
        <f ca="1">IF(ISERROR(MATCH(AL$1,INDIRECT("Table!A"&amp;$BV56):INDIRECT("Table!" &amp; $CH$110 &amp; $BV56),0)),"",INDIRECT(CONCATENATE("Table!",ADDRESS($BZ56,MATCH(AL$1,INDIRECT("Table!A" &amp; $BV56):INDIRECT("Table!" &amp; $CH$110 &amp; $BV56),0)))))/1024</f>
        <v>146.98896484375001</v>
      </c>
      <c r="AM56" s="709">
        <f ca="1">IF(ISERROR(MATCH(AM$1,INDIRECT("Table!A"&amp;$BV56):INDIRECT("Table!" &amp; $CH$110 &amp; $BV56),0)),"",INDIRECT(CONCATENATE("Table!",ADDRESS($BZ56,MATCH(AM$1,INDIRECT("Table!A" &amp; $BV56):INDIRECT("Table!" &amp; $CH$110 &amp; $BV56),0)))))/1024</f>
        <v>177.73320312499999</v>
      </c>
      <c r="AN56" s="709">
        <f ca="1">IF(ISERROR(MATCH(AN$1,INDIRECT("Table!A"&amp;$BV56):INDIRECT("Table!" &amp; $CH$110 &amp; $BV56),0)),"",INDIRECT(CONCATENATE("Table!",ADDRESS($BZ56,MATCH(AN$1,INDIRECT("Table!A" &amp; $BV56):INDIRECT("Table!" &amp; $CH$110 &amp; $BV56),0)))))/1024</f>
        <v>161.57568359375</v>
      </c>
      <c r="AO56" s="709">
        <f ca="1">IF(ISERROR(MATCH(AO$1,INDIRECT("Table!A"&amp;$BV56):INDIRECT("Table!" &amp; $CH$110 &amp; $BV56),0)),"",INDIRECT(CONCATENATE("Table!",ADDRESS($BZ56,MATCH(AO$1,INDIRECT("Table!A" &amp; $BV56):INDIRECT("Table!" &amp; $CH$110 &amp; $BV56),0)))))/1024</f>
        <v>129.03603515624999</v>
      </c>
      <c r="AP56" s="709">
        <f ca="1">IF(ISERROR(MATCH(AP$1,INDIRECT("Table!A"&amp;$BV56):INDIRECT("Table!" &amp; $CH$110 &amp; $BV56),0)),"",INDIRECT(CONCATENATE("Table!",ADDRESS($BZ56,MATCH(AP$1,INDIRECT("Table!A" &amp; $BV56):INDIRECT("Table!" &amp; $CH$110 &amp; $BV56),0)))))/1024</f>
        <v>166.96152343750001</v>
      </c>
      <c r="AQ56" s="709">
        <f ca="1">IF(ISERROR(MATCH(AQ$1,INDIRECT("Table!A"&amp;$BV56):INDIRECT("Table!" &amp; $CH$110 &amp; $BV56),0)),"",INDIRECT(CONCATENATE("Table!",ADDRESS($BZ56,MATCH(AQ$1,INDIRECT("Table!A" &amp; $BV56):INDIRECT("Table!" &amp; $CH$110 &amp; $BV56),0)))))/1024</f>
        <v>161.57568359375</v>
      </c>
      <c r="AR56" s="709">
        <f ca="1">IF(ISERROR(MATCH(AR$1,INDIRECT("Table!A"&amp;$BV56):INDIRECT("Table!" &amp; $CH$110 &amp; $BV56),0)),"",INDIRECT(CONCATENATE("Table!",ADDRESS($BZ56,MATCH(AR$1,INDIRECT("Table!A" &amp; $BV56):INDIRECT("Table!" &amp; $CH$110 &amp; $BV56),0)))))/1024</f>
        <v>90.245703125000006</v>
      </c>
      <c r="AS56" s="709">
        <f ca="1">IF(ISERROR(MATCH(AS$1,INDIRECT("Table!A"&amp;$BV56):INDIRECT("Table!" &amp; $CH$110 &amp; $BV56),0)),"",INDIRECT(CONCATENATE("Table!",ADDRESS($BZ56,MATCH(AS$1,INDIRECT("Table!A" &amp; $BV56):INDIRECT("Table!" &amp; $CH$110 &amp; $BV56),0)))))/1024</f>
        <v>80.150488281250006</v>
      </c>
      <c r="AT56" s="709">
        <f ca="1">IF(ISERROR(MATCH(AT$1,INDIRECT("Table!A"&amp;$BV56):INDIRECT("Table!" &amp; $CH$110 &amp; $BV56),0)),"",INDIRECT(CONCATENATE("Table!",ADDRESS($BZ56,MATCH(AT$1,INDIRECT("Table!A" &amp; $BV56):INDIRECT("Table!" &amp; $CH$110 &amp; $BV56),0)))))/1024</f>
        <v>188.50498046875001</v>
      </c>
      <c r="AU56" s="709">
        <f ca="1">IF(ISERROR(MATCH(AU$1,INDIRECT("Table!A"&amp;$BV56):INDIRECT("Table!" &amp; $CH$110 &amp; $BV56),0)),"",INDIRECT(CONCATENATE("Table!",ADDRESS($BZ56,MATCH(AU$1,INDIRECT("Table!A" &amp; $BV56):INDIRECT("Table!" &amp; $CH$110 &amp; $BV56),0)))))/1024</f>
        <v>129.03603515624999</v>
      </c>
      <c r="AV56" s="709">
        <f ca="1">IF(ISERROR(MATCH(AV$1,INDIRECT("Table!A"&amp;$BV56):INDIRECT("Table!" &amp; $CH$110 &amp; $BV56),0)),"",INDIRECT(CONCATENATE("Table!",ADDRESS($BZ56,MATCH(AV$1,INDIRECT("Table!A" &amp; $BV56):INDIRECT("Table!" &amp; $CH$110 &amp; $BV56),0)))))/1024</f>
        <v>80.787695312500006</v>
      </c>
      <c r="AW56" s="709">
        <f ca="1">IF(ISERROR(MATCH(AW$1,INDIRECT("Table!A"&amp;$BV56):INDIRECT("Table!" &amp; $CH$110 &amp; $BV56),0)),"",INDIRECT(CONCATENATE("Table!",ADDRESS($BZ56,MATCH(AW$1,INDIRECT("Table!A" &amp; $BV56):INDIRECT("Table!" &amp; $CH$110 &amp; $BV56),0)))))/1024</f>
        <v>269.2919921875</v>
      </c>
      <c r="AX56" s="709">
        <f ca="1">IF(ISERROR(MATCH(AX$1,INDIRECT("Table!A"&amp;$BV56):INDIRECT("Table!" &amp; $CH$110 &amp; $BV56),0)),"",INDIRECT(CONCATENATE("Table!",ADDRESS($BZ56,MATCH(AX$1,INDIRECT("Table!A" &amp; $BV56):INDIRECT("Table!" &amp; $CH$110 &amp; $BV56),0)))))/1024</f>
        <v>80.787695312500006</v>
      </c>
      <c r="AY56" s="709">
        <f ca="1">IF(ISERROR(MATCH(AY$1,INDIRECT("Table!A"&amp;$BV56):INDIRECT("Table!" &amp; $CH$110 &amp; $BV56),0)),"",INDIRECT(CONCATENATE("Table!",ADDRESS($BZ56,MATCH(AY$1,INDIRECT("Table!A" &amp; $BV56):INDIRECT("Table!" &amp; $CH$110 &amp; $BV56),0)))))/1024</f>
        <v>184.55234375000001</v>
      </c>
      <c r="AZ56" s="709">
        <f ca="1">IF(ISERROR(MATCH(AZ$1,INDIRECT("Table!A"&amp;$BV56):INDIRECT("Table!" &amp; $CH$110 &amp; $BV56),0)),"",INDIRECT(CONCATENATE("Table!",ADDRESS($BZ56,MATCH(AZ$1,INDIRECT("Table!A" &amp; $BV56):INDIRECT("Table!" &amp; $CH$110 &amp; $BV56),0)))))/1024</f>
        <v>81.246191406250006</v>
      </c>
      <c r="BA56" s="709"/>
      <c r="BB56" s="709">
        <f ca="1">IF(ISERROR(MATCH(BB$1,INDIRECT("Table!A"&amp;$BV56):INDIRECT("Table!" &amp; $CH$110 &amp; $BV56),0)),"",INDIRECT(CONCATENATE("Table!",ADDRESS($BZ56,MATCH(BB$1,INDIRECT("Table!A" &amp; $BV56):INDIRECT("Table!" &amp; $CH$110 &amp; $BV56),0)))))/1024</f>
        <v>32.31494140625</v>
      </c>
      <c r="BC56" s="709"/>
      <c r="BD56" s="905"/>
      <c r="BE56" s="905"/>
      <c r="BF56" s="905"/>
      <c r="BG56" s="905"/>
      <c r="BH56" s="905"/>
      <c r="BI56" s="905"/>
      <c r="BJ56" s="905"/>
      <c r="BK56" s="905"/>
      <c r="BL56" s="905"/>
      <c r="BM56" s="905"/>
      <c r="BN56" s="905"/>
      <c r="BO56" s="905"/>
      <c r="BP56" s="905"/>
      <c r="BQ56" s="905"/>
      <c r="BR56" s="704">
        <f>MATCH($A56,Table!$A:$A,0)+$BT$2-1</f>
        <v>773</v>
      </c>
      <c r="BS56" s="705"/>
      <c r="BT56" s="705"/>
      <c r="BU56" s="705"/>
      <c r="BV56" s="717">
        <f>MATCH($A56,Table!$A:$A,0)+$BX$2-1</f>
        <v>771</v>
      </c>
      <c r="BW56" s="705"/>
      <c r="BX56" s="705"/>
      <c r="BY56" s="705"/>
      <c r="BZ56" s="704">
        <f>MATCH($A56,Table!$A:$A,0)+$CB$2-1</f>
        <v>772</v>
      </c>
      <c r="CA56" s="705"/>
      <c r="CB56" s="705"/>
      <c r="CC56" s="705"/>
      <c r="CD56" s="717">
        <f>MATCH($A56,Table!$A:$A,0)+$BX$2-1</f>
        <v>771</v>
      </c>
      <c r="CE56" s="705"/>
      <c r="CF56" s="705"/>
      <c r="CG56" s="705"/>
      <c r="CH56" s="711" t="s">
        <v>302</v>
      </c>
      <c r="CI56" s="712">
        <f t="shared" ca="1" si="139"/>
        <v>2447.8103515625003</v>
      </c>
      <c r="CJ56" s="712">
        <f t="shared" ca="1" si="85"/>
        <v>1251.8453124999996</v>
      </c>
      <c r="CK56" s="712">
        <f t="shared" ca="1" si="137"/>
        <v>1195.9650390625006</v>
      </c>
      <c r="CL56" s="718">
        <f t="shared" ca="1" si="138"/>
        <v>0.51141433881955545</v>
      </c>
      <c r="CM56" s="712">
        <f ca="1">SUMIF('Alloc Feed'!A:I,A:A,'Alloc Feed'!I:I)</f>
        <v>2898.0156621093747</v>
      </c>
      <c r="CN56" s="718">
        <f t="shared" ca="1" si="136"/>
        <v>1.1839216466502385</v>
      </c>
    </row>
    <row r="57" spans="1:92" s="267" customFormat="1" x14ac:dyDescent="0.25">
      <c r="A57" s="703">
        <v>41534</v>
      </c>
      <c r="B57" s="709">
        <f ca="1">IF(ISERROR(MATCH(B$1,INDIRECT("Table!A"&amp;$BV57):INDIRECT("Table!" &amp; $CH$110 &amp; $BV57),0)),"",INDIRECT(CONCATENATE("Table!",ADDRESS($BR57,MATCH(B$1,INDIRECT("Table!A" &amp; $BV57):INDIRECT("Table!" &amp; $CH$110 &amp; $BV57),0)))))/1024</f>
        <v>46.769921875000001</v>
      </c>
      <c r="C57" s="709">
        <f ca="1">IF(ISERROR(MATCH(C$1,INDIRECT("Table!A"&amp;$BV57):INDIRECT("Table!" &amp; $CH$110 &amp; $BV57),0)),"",INDIRECT(CONCATENATE("Table!",ADDRESS($BR57,MATCH(C$1,INDIRECT("Table!A" &amp; $BV57):INDIRECT("Table!" &amp; $CH$110 &amp; $BV57),0)))))/1024</f>
        <v>78.435156250000006</v>
      </c>
      <c r="D57" s="709">
        <f ca="1">IF(ISERROR(MATCH(D$1,INDIRECT("Table!A"&amp;$BV57):INDIRECT("Table!" &amp; $CH$110 &amp; $BV57),0)),"",INDIRECT(CONCATENATE("Table!",ADDRESS($BR57,MATCH(D$1,INDIRECT("Table!A" &amp; $BV57):INDIRECT("Table!" &amp; $CH$110 &amp; $BV57),0)))))/1024</f>
        <v>79.881445312500006</v>
      </c>
      <c r="E57" s="709">
        <f ca="1">IF(ISERROR(MATCH(E$1,INDIRECT("Table!A"&amp;$BV57):INDIRECT("Table!" &amp; $CH$110 &amp; $BV57),0)),"",INDIRECT(CONCATENATE("Table!",ADDRESS($BR57,MATCH(E$1,INDIRECT("Table!A" &amp; $BV57):INDIRECT("Table!" &amp; $CH$110 &amp; $BV57),0)))))/1024</f>
        <v>146.01513671875</v>
      </c>
      <c r="F57" s="709">
        <f ca="1">IF(ISERROR(MATCH(F$1,INDIRECT("Table!A"&amp;$BV57):INDIRECT("Table!" &amp; $CH$110 &amp; $BV57),0)),"",INDIRECT(CONCATENATE("Table!",ADDRESS($BR57,MATCH(F$1,INDIRECT("Table!A" &amp; $BV57):INDIRECT("Table!" &amp; $CH$110 &amp; $BV57),0)))))/1024</f>
        <v>115.00058593750001</v>
      </c>
      <c r="G57" s="709">
        <f ca="1">IF(ISERROR(MATCH(G$1,INDIRECT("Table!A"&amp;$BV57):INDIRECT("Table!" &amp; $CH$110 &amp; $BV57),0)),"",INDIRECT(CONCATENATE("Table!",ADDRESS($BR57,MATCH(G$1,INDIRECT("Table!A" &amp; $BV57):INDIRECT("Table!" &amp; $CH$110 &amp; $BV57),0)))))/1024</f>
        <v>57.410058593750001</v>
      </c>
      <c r="H57" s="709">
        <f ca="1">IF(ISERROR(MATCH(H$1,INDIRECT("Table!A"&amp;$BV57):INDIRECT("Table!" &amp; $CH$110 &amp; $BV57),0)),"",INDIRECT(CONCATENATE("Table!",ADDRESS($BR57,MATCH(H$1,INDIRECT("Table!A" &amp; $BV57):INDIRECT("Table!" &amp; $CH$110 &amp; $BV57),0)))))/1024</f>
        <v>95.131054687499997</v>
      </c>
      <c r="I57" s="709">
        <f ca="1">IF(ISERROR(MATCH(I$1,INDIRECT("Table!A"&amp;$BV57):INDIRECT("Table!" &amp; $CH$110 &amp; $BV57),0)),"",INDIRECT(CONCATENATE("Table!",ADDRESS($BR57,MATCH(I$1,INDIRECT("Table!A" &amp; $BV57):INDIRECT("Table!" &amp; $CH$110 &amp; $BV57),0)))))/1024</f>
        <v>12.32412109375</v>
      </c>
      <c r="J57" s="709">
        <f ca="1">IF(ISERROR(MATCH(J$1,INDIRECT("Table!A"&amp;$BV57):INDIRECT("Table!" &amp; $CH$110 &amp; $BV57),0)),"",INDIRECT(CONCATENATE("Table!",ADDRESS($BR57,MATCH(J$1,INDIRECT("Table!A" &amp; $BV57):INDIRECT("Table!" &amp; $CH$110 &amp; $BV57),0)))))/1024</f>
        <v>42.82568359375</v>
      </c>
      <c r="K57" s="709">
        <f ca="1">IF(ISERROR(MATCH(K$1,INDIRECT("Table!A"&amp;$BV57):INDIRECT("Table!" &amp; $CH$110 &amp; $BV57),0)),"",INDIRECT(CONCATENATE("Table!",ADDRESS($BR57,MATCH(K$1,INDIRECT("Table!A" &amp; $BV57):INDIRECT("Table!" &amp; $CH$110 &amp; $BV57),0)))))/1024</f>
        <v>1.09453125</v>
      </c>
      <c r="L57" s="709">
        <f ca="1">IF(ISERROR(MATCH(L$1,INDIRECT("Table!A"&amp;$BV57):INDIRECT("Table!" &amp; $CH$110 &amp; $BV57),0)),"",INDIRECT(CONCATENATE("Table!",ADDRESS($BR57,MATCH(L$1,INDIRECT("Table!A" &amp; $BV57):INDIRECT("Table!" &amp; $CH$110 &amp; $BV57),0)))))/1024</f>
        <v>156.33847656250001</v>
      </c>
      <c r="M57" s="709">
        <f ca="1">IF(ISERROR(MATCH(M$1,INDIRECT("Table!A"&amp;$BV57):INDIRECT("Table!" &amp; $CH$110 &amp; $BV57),0)),"",INDIRECT(CONCATENATE("Table!",ADDRESS($BR57,MATCH(M$1,INDIRECT("Table!A" &amp; $BV57):INDIRECT("Table!" &amp; $CH$110 &amp; $BV57),0)))))/1024</f>
        <v>56.493359374999997</v>
      </c>
      <c r="N57" s="709">
        <f ca="1">IF(ISERROR(MATCH(N$1,INDIRECT("Table!A"&amp;$BV57):INDIRECT("Table!" &amp; $CH$110 &amp; $BV57),0)),"",INDIRECT(CONCATENATE("Table!",ADDRESS($BR57,MATCH(N$1,INDIRECT("Table!A" &amp; $BV57):INDIRECT("Table!" &amp; $CH$110 &amp; $BV57),0)))))/1024</f>
        <v>59.131542968749997</v>
      </c>
      <c r="O57" s="709">
        <f ca="1">IF(ISERROR(MATCH(O$1,INDIRECT("Table!A"&amp;$BV57):INDIRECT("Table!" &amp; $CH$110 &amp; $BV57),0)),"",INDIRECT(CONCATENATE("Table!",ADDRESS($BR57,MATCH(O$1,INDIRECT("Table!A" &amp; $BV57):INDIRECT("Table!" &amp; $CH$110 &amp; $BV57),0)))))/1024</f>
        <v>173.86884765625001</v>
      </c>
      <c r="P57" s="709">
        <f ca="1">IF(ISERROR(MATCH(P$1,INDIRECT("Table!A"&amp;$BV57):INDIRECT("Table!" &amp; $CH$110 &amp; $BV57),0)),"",INDIRECT(CONCATENATE("Table!",ADDRESS($BR57,MATCH(P$1,INDIRECT("Table!A" &amp; $BV57):INDIRECT("Table!" &amp; $CH$110 &amp; $BV57),0)))))/1024</f>
        <v>23.736718750000001</v>
      </c>
      <c r="Q57" s="709">
        <f ca="1">IF(ISERROR(MATCH(Q$1,INDIRECT("Table!A"&amp;$BV57):INDIRECT("Table!" &amp; $CH$110 &amp; $BV57),0)),"",INDIRECT(CONCATENATE("Table!",ADDRESS($BR57,MATCH(Q$1,INDIRECT("Table!A" &amp; $BV57):INDIRECT("Table!" &amp; $CH$110 &amp; $BV57),0)))))/1024</f>
        <v>67.033300781250006</v>
      </c>
      <c r="R57" s="709">
        <f ca="1">IF(ISERROR(MATCH(R$1,INDIRECT("Table!A"&amp;$BV57):INDIRECT("Table!" &amp; $CH$110 &amp; $BV57),0)),"",INDIRECT(CONCATENATE("Table!",ADDRESS($BR57,MATCH(R$1,INDIRECT("Table!A" &amp; $BV57):INDIRECT("Table!" &amp; $CH$110 &amp; $BV57),0)))))/1024</f>
        <v>23.227636718749999</v>
      </c>
      <c r="S57" s="709">
        <v>0</v>
      </c>
      <c r="T57" s="709">
        <f ca="1">IF(ISERROR(MATCH(T$1,INDIRECT("Table!A"&amp;$BV57):INDIRECT("Table!" &amp; $CH$65 &amp; $BV57),0)),"",INDIRECT(CONCATENATE("Table!",ADDRESS($BR57,MATCH(T$1,INDIRECT("Table!A" &amp; $BV57):INDIRECT("Table!" &amp; $CH$65 &amp; $BV57),0)))))/1024</f>
        <v>5.8257812500000004</v>
      </c>
      <c r="U57" s="709"/>
      <c r="V57" s="905"/>
      <c r="W57" s="905"/>
      <c r="X57" s="905"/>
      <c r="Y57" s="905"/>
      <c r="Z57" s="905"/>
      <c r="AA57" s="905"/>
      <c r="AB57" s="905"/>
      <c r="AC57" s="905"/>
      <c r="AD57" s="905"/>
      <c r="AE57" s="905"/>
      <c r="AF57" s="905"/>
      <c r="AG57" s="905"/>
      <c r="AH57" s="905"/>
      <c r="AI57" s="709" t="str">
        <f ca="1">IF(ISERROR(MATCH(AI$1,INDIRECT("Table!A"&amp;$BV57):INDIRECT("Table!" &amp; $CH$110 &amp; $BV57),0)),"",INDIRECT(CONCATENATE("Table!",ADDRESS($BR57,MATCH(AI$1,INDIRECT("Table!A" &amp; $BV57):INDIRECT("Table!" &amp; $CH$110 &amp; $BV57),0)))))</f>
        <v/>
      </c>
      <c r="AJ57" s="709">
        <f ca="1">IF(ISERROR(MATCH(AJ$1,INDIRECT("Table!A"&amp;$BV57):INDIRECT("Table!" &amp; $CH$110 &amp; $BV57),0)),"",INDIRECT(CONCATENATE("Table!",ADDRESS($BZ57,MATCH(AJ$1,INDIRECT("Table!A" &amp; $BV57):INDIRECT("Table!" &amp; $CH$110 &amp; $BV57),0)))))/1024</f>
        <v>140.0322265625</v>
      </c>
      <c r="AK57" s="709">
        <f ca="1">IF(ISERROR(MATCH(AK$1,INDIRECT("Table!A"&amp;$BV57):INDIRECT("Table!" &amp; $CH$110 &amp; $BV57),0)),"",INDIRECT(CONCATENATE("Table!",ADDRESS($BZ57,MATCH(AK$1,INDIRECT("Table!A" &amp; $BV57):INDIRECT("Table!" &amp; $CH$110 &amp; $BV57),0)))))/1024</f>
        <v>146.98896484375001</v>
      </c>
      <c r="AL57" s="709">
        <f ca="1">IF(ISERROR(MATCH(AL$1,INDIRECT("Table!A"&amp;$BV57):INDIRECT("Table!" &amp; $CH$110 &amp; $BV57),0)),"",INDIRECT(CONCATENATE("Table!",ADDRESS($BZ57,MATCH(AL$1,INDIRECT("Table!A" &amp; $BV57):INDIRECT("Table!" &amp; $CH$110 &amp; $BV57),0)))))/1024</f>
        <v>146.98896484375001</v>
      </c>
      <c r="AM57" s="709">
        <f ca="1">IF(ISERROR(MATCH(AM$1,INDIRECT("Table!A"&amp;$BV57):INDIRECT("Table!" &amp; $CH$110 &amp; $BV57),0)),"",INDIRECT(CONCATENATE("Table!",ADDRESS($BZ57,MATCH(AM$1,INDIRECT("Table!A" &amp; $BV57):INDIRECT("Table!" &amp; $CH$110 &amp; $BV57),0)))))/1024</f>
        <v>177.73320312499999</v>
      </c>
      <c r="AN57" s="709">
        <f ca="1">IF(ISERROR(MATCH(AN$1,INDIRECT("Table!A"&amp;$BV57):INDIRECT("Table!" &amp; $CH$110 &amp; $BV57),0)),"",INDIRECT(CONCATENATE("Table!",ADDRESS($BZ57,MATCH(AN$1,INDIRECT("Table!A" &amp; $BV57):INDIRECT("Table!" &amp; $CH$110 &amp; $BV57),0)))))/1024</f>
        <v>161.57568359375</v>
      </c>
      <c r="AO57" s="709">
        <f ca="1">IF(ISERROR(MATCH(AO$1,INDIRECT("Table!A"&amp;$BV57):INDIRECT("Table!" &amp; $CH$110 &amp; $BV57),0)),"",INDIRECT(CONCATENATE("Table!",ADDRESS($BZ57,MATCH(AO$1,INDIRECT("Table!A" &amp; $BV57):INDIRECT("Table!" &amp; $CH$110 &amp; $BV57),0)))))/1024</f>
        <v>129.03603515624999</v>
      </c>
      <c r="AP57" s="709">
        <f ca="1">IF(ISERROR(MATCH(AP$1,INDIRECT("Table!A"&amp;$BV57):INDIRECT("Table!" &amp; $CH$110 &amp; $BV57),0)),"",INDIRECT(CONCATENATE("Table!",ADDRESS($BZ57,MATCH(AP$1,INDIRECT("Table!A" &amp; $BV57):INDIRECT("Table!" &amp; $CH$110 &amp; $BV57),0)))))/1024</f>
        <v>166.96152343750001</v>
      </c>
      <c r="AQ57" s="709">
        <f ca="1">IF(ISERROR(MATCH(AQ$1,INDIRECT("Table!A"&amp;$BV57):INDIRECT("Table!" &amp; $CH$110 &amp; $BV57),0)),"",INDIRECT(CONCATENATE("Table!",ADDRESS($BZ57,MATCH(AQ$1,INDIRECT("Table!A" &amp; $BV57):INDIRECT("Table!" &amp; $CH$110 &amp; $BV57),0)))))/1024</f>
        <v>161.57568359375</v>
      </c>
      <c r="AR57" s="709">
        <f ca="1">IF(ISERROR(MATCH(AR$1,INDIRECT("Table!A"&amp;$BV57):INDIRECT("Table!" &amp; $CH$110 &amp; $BV57),0)),"",INDIRECT(CONCATENATE("Table!",ADDRESS($BZ57,MATCH(AR$1,INDIRECT("Table!A" &amp; $BV57):INDIRECT("Table!" &amp; $CH$110 &amp; $BV57),0)))))/1024</f>
        <v>90.245703125000006</v>
      </c>
      <c r="AS57" s="709">
        <f ca="1">IF(ISERROR(MATCH(AS$1,INDIRECT("Table!A"&amp;$BV57):INDIRECT("Table!" &amp; $CH$110 &amp; $BV57),0)),"",INDIRECT(CONCATENATE("Table!",ADDRESS($BZ57,MATCH(AS$1,INDIRECT("Table!A" &amp; $BV57):INDIRECT("Table!" &amp; $CH$110 &amp; $BV57),0)))))/1024</f>
        <v>80.150488281250006</v>
      </c>
      <c r="AT57" s="709">
        <f ca="1">IF(ISERROR(MATCH(AT$1,INDIRECT("Table!A"&amp;$BV57):INDIRECT("Table!" &amp; $CH$110 &amp; $BV57),0)),"",INDIRECT(CONCATENATE("Table!",ADDRESS($BZ57,MATCH(AT$1,INDIRECT("Table!A" &amp; $BV57):INDIRECT("Table!" &amp; $CH$110 &amp; $BV57),0)))))/1024</f>
        <v>188.50498046875001</v>
      </c>
      <c r="AU57" s="709">
        <f ca="1">IF(ISERROR(MATCH(AU$1,INDIRECT("Table!A"&amp;$BV57):INDIRECT("Table!" &amp; $CH$110 &amp; $BV57),0)),"",INDIRECT(CONCATENATE("Table!",ADDRESS($BZ57,MATCH(AU$1,INDIRECT("Table!A" &amp; $BV57):INDIRECT("Table!" &amp; $CH$110 &amp; $BV57),0)))))/1024</f>
        <v>129.03603515624999</v>
      </c>
      <c r="AV57" s="709">
        <f ca="1">IF(ISERROR(MATCH(AV$1,INDIRECT("Table!A"&amp;$BV57):INDIRECT("Table!" &amp; $CH$110 &amp; $BV57),0)),"",INDIRECT(CONCATENATE("Table!",ADDRESS($BZ57,MATCH(AV$1,INDIRECT("Table!A" &amp; $BV57):INDIRECT("Table!" &amp; $CH$110 &amp; $BV57),0)))))/1024</f>
        <v>80.787695312500006</v>
      </c>
      <c r="AW57" s="709">
        <f ca="1">IF(ISERROR(MATCH(AW$1,INDIRECT("Table!A"&amp;$BV57):INDIRECT("Table!" &amp; $CH$110 &amp; $BV57),0)),"",INDIRECT(CONCATENATE("Table!",ADDRESS($BZ57,MATCH(AW$1,INDIRECT("Table!A" &amp; $BV57):INDIRECT("Table!" &amp; $CH$110 &amp; $BV57),0)))))/1024</f>
        <v>269.2919921875</v>
      </c>
      <c r="AX57" s="709">
        <f ca="1">IF(ISERROR(MATCH(AX$1,INDIRECT("Table!A"&amp;$BV57):INDIRECT("Table!" &amp; $CH$110 &amp; $BV57),0)),"",INDIRECT(CONCATENATE("Table!",ADDRESS($BZ57,MATCH(AX$1,INDIRECT("Table!A" &amp; $BV57):INDIRECT("Table!" &amp; $CH$110 &amp; $BV57),0)))))/1024</f>
        <v>80.787695312500006</v>
      </c>
      <c r="AY57" s="709">
        <f ca="1">IF(ISERROR(MATCH(AY$1,INDIRECT("Table!A"&amp;$BV57):INDIRECT("Table!" &amp; $CH$110 &amp; $BV57),0)),"",INDIRECT(CONCATENATE("Table!",ADDRESS($BZ57,MATCH(AY$1,INDIRECT("Table!A" &amp; $BV57):INDIRECT("Table!" &amp; $CH$110 &amp; $BV57),0)))))/1024</f>
        <v>184.55234375000001</v>
      </c>
      <c r="AZ57" s="709">
        <f ca="1">IF(ISERROR(MATCH(AZ$1,INDIRECT("Table!A"&amp;$BV57):INDIRECT("Table!" &amp; $CH$110 &amp; $BV57),0)),"",INDIRECT(CONCATENATE("Table!",ADDRESS($BZ57,MATCH(AZ$1,INDIRECT("Table!A" &amp; $BV57):INDIRECT("Table!" &amp; $CH$110 &amp; $BV57),0)))))/1024</f>
        <v>81.246191406250006</v>
      </c>
      <c r="BA57" s="709"/>
      <c r="BB57" s="709">
        <f ca="1">IF(ISERROR(MATCH(BB$1,INDIRECT("Table!A"&amp;$BV57):INDIRECT("Table!" &amp; $CH$110 &amp; $BV57),0)),"",INDIRECT(CONCATENATE("Table!",ADDRESS($BZ57,MATCH(BB$1,INDIRECT("Table!A" &amp; $BV57):INDIRECT("Table!" &amp; $CH$110 &amp; $BV57),0)))))/1024</f>
        <v>32.31494140625</v>
      </c>
      <c r="BC57" s="709"/>
      <c r="BD57" s="905"/>
      <c r="BE57" s="905"/>
      <c r="BF57" s="905"/>
      <c r="BG57" s="905"/>
      <c r="BH57" s="905"/>
      <c r="BI57" s="905"/>
      <c r="BJ57" s="905"/>
      <c r="BK57" s="905"/>
      <c r="BL57" s="905"/>
      <c r="BM57" s="905"/>
      <c r="BN57" s="905"/>
      <c r="BO57" s="905"/>
      <c r="BP57" s="905"/>
      <c r="BQ57" s="905"/>
      <c r="BR57" s="704">
        <f>MATCH($A57,Table!$A:$A,0)+$BT$2-1</f>
        <v>785</v>
      </c>
      <c r="BS57" s="705"/>
      <c r="BT57" s="705"/>
      <c r="BU57" s="705"/>
      <c r="BV57" s="717">
        <f>MATCH($A57,Table!$A:$A,0)+$BX$2-1</f>
        <v>783</v>
      </c>
      <c r="BW57" s="705"/>
      <c r="BX57" s="705"/>
      <c r="BY57" s="705"/>
      <c r="BZ57" s="704">
        <f>MATCH($A57,Table!$A:$A,0)+$CB$2-1</f>
        <v>784</v>
      </c>
      <c r="CA57" s="705"/>
      <c r="CB57" s="705"/>
      <c r="CC57" s="705"/>
      <c r="CD57" s="717">
        <f>MATCH($A57,Table!$A:$A,0)+$BX$2-1</f>
        <v>783</v>
      </c>
      <c r="CE57" s="705"/>
      <c r="CF57" s="705"/>
      <c r="CG57" s="705"/>
      <c r="CH57" s="711" t="s">
        <v>302</v>
      </c>
      <c r="CI57" s="712">
        <f t="shared" ca="1" si="139"/>
        <v>2447.8103515625003</v>
      </c>
      <c r="CJ57" s="712">
        <f t="shared" ca="1" si="85"/>
        <v>1240.5433593750001</v>
      </c>
      <c r="CK57" s="712">
        <f t="shared" ca="1" si="137"/>
        <v>1207.2669921875001</v>
      </c>
      <c r="CL57" s="718">
        <f t="shared" ca="1" si="138"/>
        <v>0.50679717020688686</v>
      </c>
      <c r="CM57" s="712">
        <f ca="1">SUMIF('Alloc Feed'!A:I,A:A,'Alloc Feed'!I:I)</f>
        <v>2883.9559365234377</v>
      </c>
      <c r="CN57" s="718">
        <f t="shared" ca="1" si="136"/>
        <v>1.1781778497188455</v>
      </c>
    </row>
    <row r="58" spans="1:92" s="267" customFormat="1" x14ac:dyDescent="0.25">
      <c r="A58" s="703">
        <v>41519</v>
      </c>
      <c r="B58" s="709">
        <f ca="1">IF(ISERROR(MATCH(B$1,INDIRECT("Table!A"&amp;$BV58):INDIRECT("Table!" &amp; $CH$110 &amp; $BV58),0)),"",INDIRECT(CONCATENATE("Table!",ADDRESS($BR58,MATCH(B$1,INDIRECT("Table!A" &amp; $BV58):INDIRECT("Table!" &amp; $CH$110 &amp; $BV58),0)))))/1024</f>
        <v>45.914257812499997</v>
      </c>
      <c r="C58" s="709">
        <f ca="1">IF(ISERROR(MATCH(C$1,INDIRECT("Table!A"&amp;$BV58):INDIRECT("Table!" &amp; $CH$110 &amp; $BV58),0)),"",INDIRECT(CONCATENATE("Table!",ADDRESS($BR58,MATCH(C$1,INDIRECT("Table!A" &amp; $BV58):INDIRECT("Table!" &amp; $CH$110 &amp; $BV58),0)))))/1024</f>
        <v>77.705273437499997</v>
      </c>
      <c r="D58" s="709">
        <f ca="1">IF(ISERROR(MATCH(D$1,INDIRECT("Table!A"&amp;$BV58):INDIRECT("Table!" &amp; $CH$110 &amp; $BV58),0)),"",INDIRECT(CONCATENATE("Table!",ADDRESS($BR58,MATCH(D$1,INDIRECT("Table!A" &amp; $BV58):INDIRECT("Table!" &amp; $CH$110 &amp; $BV58),0)))))/1024</f>
        <v>79.151464843750006</v>
      </c>
      <c r="E58" s="709">
        <f ca="1">IF(ISERROR(MATCH(E$1,INDIRECT("Table!A"&amp;$BV58):INDIRECT("Table!" &amp; $CH$110 &amp; $BV58),0)),"",INDIRECT(CONCATENATE("Table!",ADDRESS($BR58,MATCH(E$1,INDIRECT("Table!A" &amp; $BV58):INDIRECT("Table!" &amp; $CH$110 &amp; $BV58),0)))))/1024</f>
        <v>144.45039062500001</v>
      </c>
      <c r="F58" s="709">
        <f ca="1">IF(ISERROR(MATCH(F$1,INDIRECT("Table!A"&amp;$BV58):INDIRECT("Table!" &amp; $CH$110 &amp; $BV58),0)),"",INDIRECT(CONCATENATE("Table!",ADDRESS($BR58,MATCH(F$1,INDIRECT("Table!A" &amp; $BV58):INDIRECT("Table!" &amp; $CH$110 &amp; $BV58),0)))))/1024</f>
        <v>114.32822265625001</v>
      </c>
      <c r="G58" s="709">
        <f ca="1">IF(ISERROR(MATCH(G$1,INDIRECT("Table!A"&amp;$BV58):INDIRECT("Table!" &amp; $CH$110 &amp; $BV58),0)),"",INDIRECT(CONCATENATE("Table!",ADDRESS($BR58,MATCH(G$1,INDIRECT("Table!A" &amp; $BV58):INDIRECT("Table!" &amp; $CH$110 &amp; $BV58),0)))))/1024</f>
        <v>58.553906249999997</v>
      </c>
      <c r="H58" s="709">
        <f ca="1">IF(ISERROR(MATCH(H$1,INDIRECT("Table!A"&amp;$BV58):INDIRECT("Table!" &amp; $CH$110 &amp; $BV58),0)),"",INDIRECT(CONCATENATE("Table!",ADDRESS($BR58,MATCH(H$1,INDIRECT("Table!A" &amp; $BV58):INDIRECT("Table!" &amp; $CH$110 &amp; $BV58),0)))))/1024</f>
        <v>91.377343749999994</v>
      </c>
      <c r="I58" s="709">
        <f ca="1">IF(ISERROR(MATCH(I$1,INDIRECT("Table!A"&amp;$BV58):INDIRECT("Table!" &amp; $CH$110 &amp; $BV58),0)),"",INDIRECT(CONCATENATE("Table!",ADDRESS($BR58,MATCH(I$1,INDIRECT("Table!A" &amp; $BV58):INDIRECT("Table!" &amp; $CH$110 &amp; $BV58),0)))))/1024</f>
        <v>12.29482421875</v>
      </c>
      <c r="J58" s="709">
        <f ca="1">IF(ISERROR(MATCH(J$1,INDIRECT("Table!A"&amp;$BV58):INDIRECT("Table!" &amp; $CH$110 &amp; $BV58),0)),"",INDIRECT(CONCATENATE("Table!",ADDRESS($BR58,MATCH(J$1,INDIRECT("Table!A" &amp; $BV58):INDIRECT("Table!" &amp; $CH$110 &amp; $BV58),0)))))/1024</f>
        <v>32.430273437499999</v>
      </c>
      <c r="K58" s="709">
        <f ca="1">IF(ISERROR(MATCH(K$1,INDIRECT("Table!A"&amp;$BV58):INDIRECT("Table!" &amp; $CH$110 &amp; $BV58),0)),"",INDIRECT(CONCATENATE("Table!",ADDRESS($BR58,MATCH(K$1,INDIRECT("Table!A" &amp; $BV58):INDIRECT("Table!" &amp; $CH$110 &amp; $BV58),0)))))/1024</f>
        <v>0.99482421874999993</v>
      </c>
      <c r="L58" s="709">
        <f ca="1">IF(ISERROR(MATCH(L$1,INDIRECT("Table!A"&amp;$BV58):INDIRECT("Table!" &amp; $CH$110 &amp; $BV58),0)),"",INDIRECT(CONCATENATE("Table!",ADDRESS($BR58,MATCH(L$1,INDIRECT("Table!A" &amp; $BV58):INDIRECT("Table!" &amp; $CH$110 &amp; $BV58),0)))))/1024</f>
        <v>155.74931640624999</v>
      </c>
      <c r="M58" s="709">
        <f ca="1">IF(ISERROR(MATCH(M$1,INDIRECT("Table!A"&amp;$BV58):INDIRECT("Table!" &amp; $CH$110 &amp; $BV58),0)),"",INDIRECT(CONCATENATE("Table!",ADDRESS($BR58,MATCH(M$1,INDIRECT("Table!A" &amp; $BV58):INDIRECT("Table!" &amp; $CH$110 &amp; $BV58),0)))))/1024</f>
        <v>52.941601562499997</v>
      </c>
      <c r="N58" s="709">
        <f ca="1">IF(ISERROR(MATCH(N$1,INDIRECT("Table!A"&amp;$BV58):INDIRECT("Table!" &amp; $CH$110 &amp; $BV58),0)),"",INDIRECT(CONCATENATE("Table!",ADDRESS($BR58,MATCH(N$1,INDIRECT("Table!A" &amp; $BV58):INDIRECT("Table!" &amp; $CH$110 &amp; $BV58),0)))))/1024</f>
        <v>59.131054687499997</v>
      </c>
      <c r="O58" s="709">
        <f ca="1">IF(ISERROR(MATCH(O$1,INDIRECT("Table!A"&amp;$BV58):INDIRECT("Table!" &amp; $CH$110 &amp; $BV58),0)),"",INDIRECT(CONCATENATE("Table!",ADDRESS($BR58,MATCH(O$1,INDIRECT("Table!A" &amp; $BV58):INDIRECT("Table!" &amp; $CH$110 &amp; $BV58),0)))))/1024</f>
        <v>165.17324218749999</v>
      </c>
      <c r="P58" s="709">
        <f ca="1">IF(ISERROR(MATCH(P$1,INDIRECT("Table!A"&amp;$BV58):INDIRECT("Table!" &amp; $CH$110 &amp; $BV58),0)),"",INDIRECT(CONCATENATE("Table!",ADDRESS($BR58,MATCH(P$1,INDIRECT("Table!A" &amp; $BV58):INDIRECT("Table!" &amp; $CH$110 &amp; $BV58),0)))))/1024</f>
        <v>23.681835937500001</v>
      </c>
      <c r="Q58" s="709">
        <f ca="1">IF(ISERROR(MATCH(Q$1,INDIRECT("Table!A"&amp;$BV58):INDIRECT("Table!" &amp; $CH$110 &amp; $BV58),0)),"",INDIRECT(CONCATENATE("Table!",ADDRESS($BR58,MATCH(Q$1,INDIRECT("Table!A" &amp; $BV58):INDIRECT("Table!" &amp; $CH$110 &amp; $BV58),0)))))/1024</f>
        <v>57.55029296875</v>
      </c>
      <c r="R58" s="709">
        <f ca="1">IF(ISERROR(MATCH(R$1,INDIRECT("Table!A"&amp;$BV58):INDIRECT("Table!" &amp; $CH$110 &amp; $BV58),0)),"",INDIRECT(CONCATENATE("Table!",ADDRESS($BR58,MATCH(R$1,INDIRECT("Table!A" &amp; $BV58):INDIRECT("Table!" &amp; $CH$110 &amp; $BV58),0)))))/1024</f>
        <v>33.60400390625</v>
      </c>
      <c r="S58" s="709">
        <v>0</v>
      </c>
      <c r="T58" s="709">
        <f ca="1">IF(ISERROR(MATCH(T$1,INDIRECT("Table!A"&amp;$BV58):INDIRECT("Table!" &amp; $CH$65 &amp; $BV58),0)),"",INDIRECT(CONCATENATE("Table!",ADDRESS($BR58,MATCH(T$1,INDIRECT("Table!A" &amp; $BV58):INDIRECT("Table!" &amp; $CH$65 &amp; $BV58),0)))))/1024</f>
        <v>5.7355468749999998</v>
      </c>
      <c r="U58" s="709"/>
      <c r="V58" s="905"/>
      <c r="W58" s="905"/>
      <c r="X58" s="905"/>
      <c r="Y58" s="905"/>
      <c r="Z58" s="905"/>
      <c r="AA58" s="905"/>
      <c r="AB58" s="905"/>
      <c r="AC58" s="905"/>
      <c r="AD58" s="905"/>
      <c r="AE58" s="905"/>
      <c r="AF58" s="905"/>
      <c r="AG58" s="905"/>
      <c r="AH58" s="905"/>
      <c r="AI58" s="709" t="str">
        <f ca="1">IF(ISERROR(MATCH(AI$1,INDIRECT("Table!A"&amp;$BV58):INDIRECT("Table!" &amp; $CH$110 &amp; $BV58),0)),"",INDIRECT(CONCATENATE("Table!",ADDRESS($BR58,MATCH(AI$1,INDIRECT("Table!A" &amp; $BV58):INDIRECT("Table!" &amp; $CH$110 &amp; $BV58),0)))))</f>
        <v/>
      </c>
      <c r="AJ58" s="709">
        <f ca="1">IF(ISERROR(MATCH(AJ$1,INDIRECT("Table!A"&amp;$BV58):INDIRECT("Table!" &amp; $CH$110 &amp; $BV58),0)),"",INDIRECT(CONCATENATE("Table!",ADDRESS($BZ58,MATCH(AJ$1,INDIRECT("Table!A" &amp; $BV58):INDIRECT("Table!" &amp; $CH$110 &amp; $BV58),0)))))/1024</f>
        <v>140.0322265625</v>
      </c>
      <c r="AK58" s="709">
        <f ca="1">IF(ISERROR(MATCH(AK$1,INDIRECT("Table!A"&amp;$BV58):INDIRECT("Table!" &amp; $CH$110 &amp; $BV58),0)),"",INDIRECT(CONCATENATE("Table!",ADDRESS($BZ58,MATCH(AK$1,INDIRECT("Table!A" &amp; $BV58):INDIRECT("Table!" &amp; $CH$110 &amp; $BV58),0)))))/1024</f>
        <v>146.98896484375001</v>
      </c>
      <c r="AL58" s="709">
        <f ca="1">IF(ISERROR(MATCH(AL$1,INDIRECT("Table!A"&amp;$BV58):INDIRECT("Table!" &amp; $CH$110 &amp; $BV58),0)),"",INDIRECT(CONCATENATE("Table!",ADDRESS($BZ58,MATCH(AL$1,INDIRECT("Table!A" &amp; $BV58):INDIRECT("Table!" &amp; $CH$110 &amp; $BV58),0)))))/1024</f>
        <v>146.98896484375001</v>
      </c>
      <c r="AM58" s="709">
        <f ca="1">IF(ISERROR(MATCH(AM$1,INDIRECT("Table!A"&amp;$BV58):INDIRECT("Table!" &amp; $CH$110 &amp; $BV58),0)),"",INDIRECT(CONCATENATE("Table!",ADDRESS($BZ58,MATCH(AM$1,INDIRECT("Table!A" &amp; $BV58):INDIRECT("Table!" &amp; $CH$110 &amp; $BV58),0)))))/1024</f>
        <v>177.73320312499999</v>
      </c>
      <c r="AN58" s="709">
        <f ca="1">IF(ISERROR(MATCH(AN$1,INDIRECT("Table!A"&amp;$BV58):INDIRECT("Table!" &amp; $CH$110 &amp; $BV58),0)),"",INDIRECT(CONCATENATE("Table!",ADDRESS($BZ58,MATCH(AN$1,INDIRECT("Table!A" &amp; $BV58):INDIRECT("Table!" &amp; $CH$110 &amp; $BV58),0)))))/1024</f>
        <v>161.57568359375</v>
      </c>
      <c r="AO58" s="709">
        <f ca="1">IF(ISERROR(MATCH(AO$1,INDIRECT("Table!A"&amp;$BV58):INDIRECT("Table!" &amp; $CH$110 &amp; $BV58),0)),"",INDIRECT(CONCATENATE("Table!",ADDRESS($BZ58,MATCH(AO$1,INDIRECT("Table!A" &amp; $BV58):INDIRECT("Table!" &amp; $CH$110 &amp; $BV58),0)))))/1024</f>
        <v>129.03603515624999</v>
      </c>
      <c r="AP58" s="709">
        <f ca="1">IF(ISERROR(MATCH(AP$1,INDIRECT("Table!A"&amp;$BV58):INDIRECT("Table!" &amp; $CH$110 &amp; $BV58),0)),"",INDIRECT(CONCATENATE("Table!",ADDRESS($BZ58,MATCH(AP$1,INDIRECT("Table!A" &amp; $BV58):INDIRECT("Table!" &amp; $CH$110 &amp; $BV58),0)))))/1024</f>
        <v>166.96152343750001</v>
      </c>
      <c r="AQ58" s="709">
        <f ca="1">IF(ISERROR(MATCH(AQ$1,INDIRECT("Table!A"&amp;$BV58):INDIRECT("Table!" &amp; $CH$110 &amp; $BV58),0)),"",INDIRECT(CONCATENATE("Table!",ADDRESS($BZ58,MATCH(AQ$1,INDIRECT("Table!A" &amp; $BV58):INDIRECT("Table!" &amp; $CH$110 &amp; $BV58),0)))))/1024</f>
        <v>161.57568359375</v>
      </c>
      <c r="AR58" s="709">
        <f ca="1">IF(ISERROR(MATCH(AR$1,INDIRECT("Table!A"&amp;$BV58):INDIRECT("Table!" &amp; $CH$110 &amp; $BV58),0)),"",INDIRECT(CONCATENATE("Table!",ADDRESS($BZ58,MATCH(AR$1,INDIRECT("Table!A" &amp; $BV58):INDIRECT("Table!" &amp; $CH$110 &amp; $BV58),0)))))/1024</f>
        <v>90.245703125000006</v>
      </c>
      <c r="AS58" s="709">
        <f ca="1">IF(ISERROR(MATCH(AS$1,INDIRECT("Table!A"&amp;$BV58):INDIRECT("Table!" &amp; $CH$110 &amp; $BV58),0)),"",INDIRECT(CONCATENATE("Table!",ADDRESS($BZ58,MATCH(AS$1,INDIRECT("Table!A" &amp; $BV58):INDIRECT("Table!" &amp; $CH$110 &amp; $BV58),0)))))/1024</f>
        <v>210.22119140625</v>
      </c>
      <c r="AT58" s="709">
        <f ca="1">IF(ISERROR(MATCH(AT$1,INDIRECT("Table!A"&amp;$BV58):INDIRECT("Table!" &amp; $CH$110 &amp; $BV58),0)),"",INDIRECT(CONCATENATE("Table!",ADDRESS($BZ58,MATCH(AT$1,INDIRECT("Table!A" &amp; $BV58):INDIRECT("Table!" &amp; $CH$110 &amp; $BV58),0)))))/1024</f>
        <v>188.50498046875001</v>
      </c>
      <c r="AU58" s="709">
        <f ca="1">IF(ISERROR(MATCH(AU$1,INDIRECT("Table!A"&amp;$BV58):INDIRECT("Table!" &amp; $CH$110 &amp; $BV58),0)),"",INDIRECT(CONCATENATE("Table!",ADDRESS($BZ58,MATCH(AU$1,INDIRECT("Table!A" &amp; $BV58):INDIRECT("Table!" &amp; $CH$110 &amp; $BV58),0)))))/1024</f>
        <v>129.03603515624999</v>
      </c>
      <c r="AV58" s="709">
        <f ca="1">IF(ISERROR(MATCH(AV$1,INDIRECT("Table!A"&amp;$BV58):INDIRECT("Table!" &amp; $CH$110 &amp; $BV58),0)),"",INDIRECT(CONCATENATE("Table!",ADDRESS($BZ58,MATCH(AV$1,INDIRECT("Table!A" &amp; $BV58):INDIRECT("Table!" &amp; $CH$110 &amp; $BV58),0)))))/1024</f>
        <v>80.787695312500006</v>
      </c>
      <c r="AW58" s="709">
        <f ca="1">IF(ISERROR(MATCH(AW$1,INDIRECT("Table!A"&amp;$BV58):INDIRECT("Table!" &amp; $CH$110 &amp; $BV58),0)),"",INDIRECT(CONCATENATE("Table!",ADDRESS($BZ58,MATCH(AW$1,INDIRECT("Table!A" &amp; $BV58):INDIRECT("Table!" &amp; $CH$110 &amp; $BV58),0)))))/1024</f>
        <v>269.2919921875</v>
      </c>
      <c r="AX58" s="709">
        <f ca="1">IF(ISERROR(MATCH(AX$1,INDIRECT("Table!A"&amp;$BV58):INDIRECT("Table!" &amp; $CH$110 &amp; $BV58),0)),"",INDIRECT(CONCATENATE("Table!",ADDRESS($BZ58,MATCH(AX$1,INDIRECT("Table!A" &amp; $BV58):INDIRECT("Table!" &amp; $CH$110 &amp; $BV58),0)))))/1024</f>
        <v>80.787695312500006</v>
      </c>
      <c r="AY58" s="709">
        <f ca="1">IF(ISERROR(MATCH(AY$1,INDIRECT("Table!A"&amp;$BV58):INDIRECT("Table!" &amp; $CH$110 &amp; $BV58),0)),"",INDIRECT(CONCATENATE("Table!",ADDRESS($BZ58,MATCH(AY$1,INDIRECT("Table!A" &amp; $BV58):INDIRECT("Table!" &amp; $CH$110 &amp; $BV58),0)))))/1024</f>
        <v>184.55234375000001</v>
      </c>
      <c r="AZ58" s="709">
        <f ca="1">IF(ISERROR(MATCH(AZ$1,INDIRECT("Table!A"&amp;$BV58):INDIRECT("Table!" &amp; $CH$110 &amp; $BV58),0)),"",INDIRECT(CONCATENATE("Table!",ADDRESS($BZ58,MATCH(AZ$1,INDIRECT("Table!A" &amp; $BV58):INDIRECT("Table!" &amp; $CH$110 &amp; $BV58),0)))))/1024</f>
        <v>210.22119140625</v>
      </c>
      <c r="BA58" s="709"/>
      <c r="BB58" s="709">
        <f ca="1">IF(ISERROR(MATCH(BB$1,INDIRECT("Table!A"&amp;$BV58):INDIRECT("Table!" &amp; $CH$110 &amp; $BV58),0)),"",INDIRECT(CONCATENATE("Table!",ADDRESS($BZ58,MATCH(BB$1,INDIRECT("Table!A" &amp; $BV58):INDIRECT("Table!" &amp; $CH$110 &amp; $BV58),0)))))/1024</f>
        <v>32.31494140625</v>
      </c>
      <c r="BC58" s="709"/>
      <c r="BD58" s="905"/>
      <c r="BE58" s="905"/>
      <c r="BF58" s="905"/>
      <c r="BG58" s="905"/>
      <c r="BH58" s="905"/>
      <c r="BI58" s="905"/>
      <c r="BJ58" s="905"/>
      <c r="BK58" s="905"/>
      <c r="BL58" s="905"/>
      <c r="BM58" s="905"/>
      <c r="BN58" s="905"/>
      <c r="BO58" s="905"/>
      <c r="BP58" s="905"/>
      <c r="BQ58" s="905"/>
      <c r="BR58" s="704">
        <f>MATCH($A58,Table!$A:$A,0)+$BT$2-1</f>
        <v>797</v>
      </c>
      <c r="BS58" s="705"/>
      <c r="BT58" s="705"/>
      <c r="BU58" s="705"/>
      <c r="BV58" s="717">
        <f>MATCH($A58,Table!$A:$A,0)+$BX$2-1</f>
        <v>795</v>
      </c>
      <c r="BW58" s="705"/>
      <c r="BX58" s="705"/>
      <c r="BY58" s="705"/>
      <c r="BZ58" s="704">
        <f>MATCH($A58,Table!$A:$A,0)+$CB$2-1</f>
        <v>796</v>
      </c>
      <c r="CA58" s="705"/>
      <c r="CB58" s="705"/>
      <c r="CC58" s="705"/>
      <c r="CD58" s="717">
        <f>MATCH($A58,Table!$A:$A,0)+$BX$2-1</f>
        <v>795</v>
      </c>
      <c r="CE58" s="705"/>
      <c r="CF58" s="705"/>
      <c r="CG58" s="705"/>
      <c r="CH58" s="711" t="s">
        <v>302</v>
      </c>
      <c r="CI58" s="712">
        <f t="shared" ca="1" si="139"/>
        <v>2706.8560546875005</v>
      </c>
      <c r="CJ58" s="712">
        <f t="shared" ca="1" si="85"/>
        <v>1210.7676757812496</v>
      </c>
      <c r="CK58" s="712">
        <f t="shared" ca="1" si="137"/>
        <v>1496.0883789062509</v>
      </c>
      <c r="CL58" s="718">
        <f t="shared" ca="1" si="138"/>
        <v>0.44729666126299783</v>
      </c>
      <c r="CM58" s="712">
        <f ca="1">SUMIF('Alloc Feed'!A:I,A:A,'Alloc Feed'!I:I)</f>
        <v>2856.9230683593751</v>
      </c>
      <c r="CN58" s="718">
        <f t="shared" ca="1" si="136"/>
        <v>1.0554395987965453</v>
      </c>
    </row>
    <row r="59" spans="1:92" s="267" customFormat="1" x14ac:dyDescent="0.25">
      <c r="A59" s="703">
        <v>41513</v>
      </c>
      <c r="B59" s="709">
        <f ca="1">IF(ISERROR(MATCH(B$1,INDIRECT("Table!A"&amp;$BV59):INDIRECT("Table!" &amp; $CH$110 &amp; $BV59),0)),"",INDIRECT(CONCATENATE("Table!",ADDRESS($BR59,MATCH(B$1,INDIRECT("Table!A" &amp; $BV59):INDIRECT("Table!" &amp; $CH$110 &amp; $BV59),0)))))/1024</f>
        <v>45.476269531249997</v>
      </c>
      <c r="C59" s="709">
        <f ca="1">IF(ISERROR(MATCH(C$1,INDIRECT("Table!A"&amp;$BV59):INDIRECT("Table!" &amp; $CH$110 &amp; $BV59),0)),"",INDIRECT(CONCATENATE("Table!",ADDRESS($BR59,MATCH(C$1,INDIRECT("Table!A" &amp; $BV59):INDIRECT("Table!" &amp; $CH$110 &amp; $BV59),0)))))/1024</f>
        <v>77.598730468750006</v>
      </c>
      <c r="D59" s="709">
        <f ca="1">IF(ISERROR(MATCH(D$1,INDIRECT("Table!A"&amp;$BV59):INDIRECT("Table!" &amp; $CH$110 &amp; $BV59),0)),"",INDIRECT(CONCATENATE("Table!",ADDRESS($BR59,MATCH(D$1,INDIRECT("Table!A" &amp; $BV59):INDIRECT("Table!" &amp; $CH$110 &amp; $BV59),0)))))/1024</f>
        <v>78.793847656249994</v>
      </c>
      <c r="E59" s="709">
        <f ca="1">IF(ISERROR(MATCH(E$1,INDIRECT("Table!A"&amp;$BV59):INDIRECT("Table!" &amp; $CH$110 &amp; $BV59),0)),"",INDIRECT(CONCATENATE("Table!",ADDRESS($BR59,MATCH(E$1,INDIRECT("Table!A" &amp; $BV59):INDIRECT("Table!" &amp; $CH$110 &amp; $BV59),0)))))/1024</f>
        <v>144.16904296875001</v>
      </c>
      <c r="F59" s="709">
        <f ca="1">IF(ISERROR(MATCH(F$1,INDIRECT("Table!A"&amp;$BV59):INDIRECT("Table!" &amp; $CH$110 &amp; $BV59),0)),"",INDIRECT(CONCATENATE("Table!",ADDRESS($BR59,MATCH(F$1,INDIRECT("Table!A" &amp; $BV59):INDIRECT("Table!" &amp; $CH$110 &amp; $BV59),0)))))/1024</f>
        <v>114.14931640624999</v>
      </c>
      <c r="G59" s="709">
        <f ca="1">IF(ISERROR(MATCH(G$1,INDIRECT("Table!A"&amp;$BV59):INDIRECT("Table!" &amp; $CH$110 &amp; $BV59),0)),"",INDIRECT(CONCATENATE("Table!",ADDRESS($BR59,MATCH(G$1,INDIRECT("Table!A" &amp; $BV59):INDIRECT("Table!" &amp; $CH$110 &amp; $BV59),0)))))/1024</f>
        <v>57.424218750000001</v>
      </c>
      <c r="H59" s="709">
        <f ca="1">IF(ISERROR(MATCH(H$1,INDIRECT("Table!A"&amp;$BV59):INDIRECT("Table!" &amp; $CH$110 &amp; $BV59),0)),"",INDIRECT(CONCATENATE("Table!",ADDRESS($BR59,MATCH(H$1,INDIRECT("Table!A" &amp; $BV59):INDIRECT("Table!" &amp; $CH$110 &amp; $BV59),0)))))/1024</f>
        <v>91.129589843749997</v>
      </c>
      <c r="I59" s="709">
        <f ca="1">IF(ISERROR(MATCH(I$1,INDIRECT("Table!A"&amp;$BV59):INDIRECT("Table!" &amp; $CH$110 &amp; $BV59),0)),"",INDIRECT(CONCATENATE("Table!",ADDRESS($BR59,MATCH(I$1,INDIRECT("Table!A" &amp; $BV59):INDIRECT("Table!" &amp; $CH$110 &amp; $BV59),0)))))/1024</f>
        <v>11.929492187499999</v>
      </c>
      <c r="J59" s="709">
        <f ca="1">IF(ISERROR(MATCH(J$1,INDIRECT("Table!A"&amp;$BV59):INDIRECT("Table!" &amp; $CH$110 &amp; $BV59),0)),"",INDIRECT(CONCATENATE("Table!",ADDRESS($BR59,MATCH(J$1,INDIRECT("Table!A" &amp; $BV59):INDIRECT("Table!" &amp; $CH$110 &amp; $BV59),0)))))/1024</f>
        <v>32.32275390625</v>
      </c>
      <c r="K59" s="709">
        <f ca="1">IF(ISERROR(MATCH(K$1,INDIRECT("Table!A"&amp;$BV59):INDIRECT("Table!" &amp; $CH$110 &amp; $BV59),0)),"",INDIRECT(CONCATENATE("Table!",ADDRESS($BR59,MATCH(K$1,INDIRECT("Table!A" &amp; $BV59):INDIRECT("Table!" &amp; $CH$110 &amp; $BV59),0)))))/1024</f>
        <v>0.73701171875000004</v>
      </c>
      <c r="L59" s="709">
        <f ca="1">IF(ISERROR(MATCH(L$1,INDIRECT("Table!A"&amp;$BV59):INDIRECT("Table!" &amp; $CH$110 &amp; $BV59),0)),"",INDIRECT(CONCATENATE("Table!",ADDRESS($BR59,MATCH(L$1,INDIRECT("Table!A" &amp; $BV59):INDIRECT("Table!" &amp; $CH$110 &amp; $BV59),0)))))/1024</f>
        <v>155.45693359374999</v>
      </c>
      <c r="M59" s="709">
        <f ca="1">IF(ISERROR(MATCH(M$1,INDIRECT("Table!A"&amp;$BV59):INDIRECT("Table!" &amp; $CH$110 &amp; $BV59),0)),"",INDIRECT(CONCATENATE("Table!",ADDRESS($BR59,MATCH(M$1,INDIRECT("Table!A" &amp; $BV59):INDIRECT("Table!" &amp; $CH$110 &amp; $BV59),0)))))/1024</f>
        <v>51.327734374999999</v>
      </c>
      <c r="N59" s="709">
        <f ca="1">IF(ISERROR(MATCH(N$1,INDIRECT("Table!A"&amp;$BV59):INDIRECT("Table!" &amp; $CH$110 &amp; $BV59),0)),"",INDIRECT(CONCATENATE("Table!",ADDRESS($BR59,MATCH(N$1,INDIRECT("Table!A" &amp; $BV59):INDIRECT("Table!" &amp; $CH$110 &amp; $BV59),0)))))/1024</f>
        <v>58.677734375</v>
      </c>
      <c r="O59" s="709">
        <f ca="1">IF(ISERROR(MATCH(O$1,INDIRECT("Table!A"&amp;$BV59):INDIRECT("Table!" &amp; $CH$110 &amp; $BV59),0)),"",INDIRECT(CONCATENATE("Table!",ADDRESS($BR59,MATCH(O$1,INDIRECT("Table!A" &amp; $BV59):INDIRECT("Table!" &amp; $CH$110 &amp; $BV59),0)))))/1024</f>
        <v>164.68144531249999</v>
      </c>
      <c r="P59" s="709">
        <f ca="1">IF(ISERROR(MATCH(P$1,INDIRECT("Table!A"&amp;$BV59):INDIRECT("Table!" &amp; $CH$110 &amp; $BV59),0)),"",INDIRECT(CONCATENATE("Table!",ADDRESS($BR59,MATCH(P$1,INDIRECT("Table!A" &amp; $BV59):INDIRECT("Table!" &amp; $CH$110 &amp; $BV59),0)))))/1024</f>
        <v>22.952929687499999</v>
      </c>
      <c r="Q59" s="709">
        <f ca="1">IF(ISERROR(MATCH(Q$1,INDIRECT("Table!A"&amp;$BV59):INDIRECT("Table!" &amp; $CH$110 &amp; $BV59),0)),"",INDIRECT(CONCATENATE("Table!",ADDRESS($BR59,MATCH(Q$1,INDIRECT("Table!A" &amp; $BV59):INDIRECT("Table!" &amp; $CH$110 &amp; $BV59),0)))))/1024</f>
        <v>57.251562499999999</v>
      </c>
      <c r="R59" s="709">
        <f ca="1">IF(ISERROR(MATCH(R$1,INDIRECT("Table!A"&amp;$BV59):INDIRECT("Table!" &amp; $CH$110 &amp; $BV59),0)),"",INDIRECT(CONCATENATE("Table!",ADDRESS($BR59,MATCH(R$1,INDIRECT("Table!A" &amp; $BV59):INDIRECT("Table!" &amp; $CH$110 &amp; $BV59),0)))))/1024</f>
        <v>32.619042968749994</v>
      </c>
      <c r="S59" s="709">
        <v>0</v>
      </c>
      <c r="T59" s="709">
        <f ca="1">IF(ISERROR(MATCH(T$1,INDIRECT("Table!A"&amp;$BV59):INDIRECT("Table!" &amp; $CH$65 &amp; $BV59),0)),"",INDIRECT(CONCATENATE("Table!",ADDRESS($BR59,MATCH(T$1,INDIRECT("Table!A" &amp; $BV59):INDIRECT("Table!" &amp; $CH$65 &amp; $BV59),0)))))/1024</f>
        <v>5.7286132812500004</v>
      </c>
      <c r="U59" s="709"/>
      <c r="V59" s="905"/>
      <c r="W59" s="905"/>
      <c r="X59" s="905"/>
      <c r="Y59" s="905"/>
      <c r="Z59" s="905"/>
      <c r="AA59" s="905"/>
      <c r="AB59" s="905"/>
      <c r="AC59" s="905"/>
      <c r="AD59" s="905"/>
      <c r="AE59" s="905"/>
      <c r="AF59" s="905"/>
      <c r="AG59" s="905"/>
      <c r="AH59" s="905"/>
      <c r="AI59" s="709" t="str">
        <f ca="1">IF(ISERROR(MATCH(AI$1,INDIRECT("Table!A"&amp;$BV59):INDIRECT("Table!" &amp; $CH$110 &amp; $BV59),0)),"",INDIRECT(CONCATENATE("Table!",ADDRESS($BR59,MATCH(AI$1,INDIRECT("Table!A" &amp; $BV59):INDIRECT("Table!" &amp; $CH$110 &amp; $BV59),0)))))</f>
        <v/>
      </c>
      <c r="AJ59" s="709">
        <f ca="1">IF(ISERROR(MATCH(AJ$1,INDIRECT("Table!A"&amp;$BV59):INDIRECT("Table!" &amp; $CH$110 &amp; $BV59),0)),"",INDIRECT(CONCATENATE("Table!",ADDRESS($BZ59,MATCH(AJ$1,INDIRECT("Table!A" &amp; $BV59):INDIRECT("Table!" &amp; $CH$110 &amp; $BV59),0)))))/1024</f>
        <v>140.0322265625</v>
      </c>
      <c r="AK59" s="709">
        <f ca="1">IF(ISERROR(MATCH(AK$1,INDIRECT("Table!A"&amp;$BV59):INDIRECT("Table!" &amp; $CH$110 &amp; $BV59),0)),"",INDIRECT(CONCATENATE("Table!",ADDRESS($BZ59,MATCH(AK$1,INDIRECT("Table!A" &amp; $BV59):INDIRECT("Table!" &amp; $CH$110 &amp; $BV59),0)))))/1024</f>
        <v>146.98896484375001</v>
      </c>
      <c r="AL59" s="709">
        <f ca="1">IF(ISERROR(MATCH(AL$1,INDIRECT("Table!A"&amp;$BV59):INDIRECT("Table!" &amp; $CH$110 &amp; $BV59),0)),"",INDIRECT(CONCATENATE("Table!",ADDRESS($BZ59,MATCH(AL$1,INDIRECT("Table!A" &amp; $BV59):INDIRECT("Table!" &amp; $CH$110 &amp; $BV59),0)))))/1024</f>
        <v>146.98896484375001</v>
      </c>
      <c r="AM59" s="709">
        <f ca="1">IF(ISERROR(MATCH(AM$1,INDIRECT("Table!A"&amp;$BV59):INDIRECT("Table!" &amp; $CH$110 &amp; $BV59),0)),"",INDIRECT(CONCATENATE("Table!",ADDRESS($BZ59,MATCH(AM$1,INDIRECT("Table!A" &amp; $BV59):INDIRECT("Table!" &amp; $CH$110 &amp; $BV59),0)))))/1024</f>
        <v>177.73320312499999</v>
      </c>
      <c r="AN59" s="709">
        <f ca="1">IF(ISERROR(MATCH(AN$1,INDIRECT("Table!A"&amp;$BV59):INDIRECT("Table!" &amp; $CH$110 &amp; $BV59),0)),"",INDIRECT(CONCATENATE("Table!",ADDRESS($BZ59,MATCH(AN$1,INDIRECT("Table!A" &amp; $BV59):INDIRECT("Table!" &amp; $CH$110 &amp; $BV59),0)))))/1024</f>
        <v>161.57568359375</v>
      </c>
      <c r="AO59" s="709">
        <f ca="1">IF(ISERROR(MATCH(AO$1,INDIRECT("Table!A"&amp;$BV59):INDIRECT("Table!" &amp; $CH$110 &amp; $BV59),0)),"",INDIRECT(CONCATENATE("Table!",ADDRESS($BZ59,MATCH(AO$1,INDIRECT("Table!A" &amp; $BV59):INDIRECT("Table!" &amp; $CH$110 &amp; $BV59),0)))))/1024</f>
        <v>129.03603515624999</v>
      </c>
      <c r="AP59" s="709">
        <f ca="1">IF(ISERROR(MATCH(AP$1,INDIRECT("Table!A"&amp;$BV59):INDIRECT("Table!" &amp; $CH$110 &amp; $BV59),0)),"",INDIRECT(CONCATENATE("Table!",ADDRESS($BZ59,MATCH(AP$1,INDIRECT("Table!A" &amp; $BV59):INDIRECT("Table!" &amp; $CH$110 &amp; $BV59),0)))))/1024</f>
        <v>166.96152343750001</v>
      </c>
      <c r="AQ59" s="709">
        <f ca="1">IF(ISERROR(MATCH(AQ$1,INDIRECT("Table!A"&amp;$BV59):INDIRECT("Table!" &amp; $CH$110 &amp; $BV59),0)),"",INDIRECT(CONCATENATE("Table!",ADDRESS($BZ59,MATCH(AQ$1,INDIRECT("Table!A" &amp; $BV59):INDIRECT("Table!" &amp; $CH$110 &amp; $BV59),0)))))/1024</f>
        <v>161.57568359375</v>
      </c>
      <c r="AR59" s="709">
        <f ca="1">IF(ISERROR(MATCH(AR$1,INDIRECT("Table!A"&amp;$BV59):INDIRECT("Table!" &amp; $CH$110 &amp; $BV59),0)),"",INDIRECT(CONCATENATE("Table!",ADDRESS($BZ59,MATCH(AR$1,INDIRECT("Table!A" &amp; $BV59):INDIRECT("Table!" &amp; $CH$110 &amp; $BV59),0)))))/1024</f>
        <v>90.245703125000006</v>
      </c>
      <c r="AS59" s="709">
        <f ca="1">IF(ISERROR(MATCH(AS$1,INDIRECT("Table!A"&amp;$BV59):INDIRECT("Table!" &amp; $CH$110 &amp; $BV59),0)),"",INDIRECT(CONCATENATE("Table!",ADDRESS($BZ59,MATCH(AS$1,INDIRECT("Table!A" &amp; $BV59):INDIRECT("Table!" &amp; $CH$110 &amp; $BV59),0)))))/1024</f>
        <v>210.22119140625</v>
      </c>
      <c r="AT59" s="709">
        <f ca="1">IF(ISERROR(MATCH(AT$1,INDIRECT("Table!A"&amp;$BV59):INDIRECT("Table!" &amp; $CH$110 &amp; $BV59),0)),"",INDIRECT(CONCATENATE("Table!",ADDRESS($BZ59,MATCH(AT$1,INDIRECT("Table!A" &amp; $BV59):INDIRECT("Table!" &amp; $CH$110 &amp; $BV59),0)))))/1024</f>
        <v>188.50498046875001</v>
      </c>
      <c r="AU59" s="709">
        <f ca="1">IF(ISERROR(MATCH(AU$1,INDIRECT("Table!A"&amp;$BV59):INDIRECT("Table!" &amp; $CH$110 &amp; $BV59),0)),"",INDIRECT(CONCATENATE("Table!",ADDRESS($BZ59,MATCH(AU$1,INDIRECT("Table!A" &amp; $BV59):INDIRECT("Table!" &amp; $CH$110 &amp; $BV59),0)))))/1024</f>
        <v>129.03603515624999</v>
      </c>
      <c r="AV59" s="709">
        <f ca="1">IF(ISERROR(MATCH(AV$1,INDIRECT("Table!A"&amp;$BV59):INDIRECT("Table!" &amp; $CH$110 &amp; $BV59),0)),"",INDIRECT(CONCATENATE("Table!",ADDRESS($BZ59,MATCH(AV$1,INDIRECT("Table!A" &amp; $BV59):INDIRECT("Table!" &amp; $CH$110 &amp; $BV59),0)))))/1024</f>
        <v>80.787695312500006</v>
      </c>
      <c r="AW59" s="709">
        <f ca="1">IF(ISERROR(MATCH(AW$1,INDIRECT("Table!A"&amp;$BV59):INDIRECT("Table!" &amp; $CH$110 &amp; $BV59),0)),"",INDIRECT(CONCATENATE("Table!",ADDRESS($BZ59,MATCH(AW$1,INDIRECT("Table!A" &amp; $BV59):INDIRECT("Table!" &amp; $CH$110 &amp; $BV59),0)))))/1024</f>
        <v>269.2919921875</v>
      </c>
      <c r="AX59" s="709">
        <f ca="1">IF(ISERROR(MATCH(AX$1,INDIRECT("Table!A"&amp;$BV59):INDIRECT("Table!" &amp; $CH$110 &amp; $BV59),0)),"",INDIRECT(CONCATENATE("Table!",ADDRESS($BZ59,MATCH(AX$1,INDIRECT("Table!A" &amp; $BV59):INDIRECT("Table!" &amp; $CH$110 &amp; $BV59),0)))))/1024</f>
        <v>80.787695312500006</v>
      </c>
      <c r="AY59" s="709">
        <f ca="1">IF(ISERROR(MATCH(AY$1,INDIRECT("Table!A"&amp;$BV59):INDIRECT("Table!" &amp; $CH$110 &amp; $BV59),0)),"",INDIRECT(CONCATENATE("Table!",ADDRESS($BZ59,MATCH(AY$1,INDIRECT("Table!A" &amp; $BV59):INDIRECT("Table!" &amp; $CH$110 &amp; $BV59),0)))))/1024</f>
        <v>184.55234375000001</v>
      </c>
      <c r="AZ59" s="709">
        <f ca="1">IF(ISERROR(MATCH(AZ$1,INDIRECT("Table!A"&amp;$BV59):INDIRECT("Table!" &amp; $CH$110 &amp; $BV59),0)),"",INDIRECT(CONCATENATE("Table!",ADDRESS($BZ59,MATCH(AZ$1,INDIRECT("Table!A" &amp; $BV59):INDIRECT("Table!" &amp; $CH$110 &amp; $BV59),0)))))/1024</f>
        <v>210.22119140625</v>
      </c>
      <c r="BA59" s="709"/>
      <c r="BB59" s="709">
        <f ca="1">IF(ISERROR(MATCH(BB$1,INDIRECT("Table!A"&amp;$BV59):INDIRECT("Table!" &amp; $CH$110 &amp; $BV59),0)),"",INDIRECT(CONCATENATE("Table!",ADDRESS($BZ59,MATCH(BB$1,INDIRECT("Table!A" &amp; $BV59):INDIRECT("Table!" &amp; $CH$110 &amp; $BV59),0)))))/1024</f>
        <v>32.31494140625</v>
      </c>
      <c r="BC59" s="709"/>
      <c r="BD59" s="905"/>
      <c r="BE59" s="905"/>
      <c r="BF59" s="905"/>
      <c r="BG59" s="905"/>
      <c r="BH59" s="905"/>
      <c r="BI59" s="905"/>
      <c r="BJ59" s="905"/>
      <c r="BK59" s="905"/>
      <c r="BL59" s="905"/>
      <c r="BM59" s="905"/>
      <c r="BN59" s="905"/>
      <c r="BO59" s="905"/>
      <c r="BP59" s="905"/>
      <c r="BQ59" s="905"/>
      <c r="BR59" s="704">
        <f>MATCH($A59,Table!$A:$A,0)+$BT$2-1</f>
        <v>809</v>
      </c>
      <c r="BS59" s="705"/>
      <c r="BT59" s="705"/>
      <c r="BU59" s="705"/>
      <c r="BV59" s="717">
        <f>MATCH($A59,Table!$A:$A,0)+$BX$2-1</f>
        <v>807</v>
      </c>
      <c r="BW59" s="705"/>
      <c r="BX59" s="705"/>
      <c r="BY59" s="705"/>
      <c r="BZ59" s="704">
        <f>MATCH($A59,Table!$A:$A,0)+$CB$2-1</f>
        <v>808</v>
      </c>
      <c r="CA59" s="705"/>
      <c r="CB59" s="705"/>
      <c r="CC59" s="705"/>
      <c r="CD59" s="717">
        <f>MATCH($A59,Table!$A:$A,0)+$BX$2-1</f>
        <v>807</v>
      </c>
      <c r="CE59" s="705"/>
      <c r="CF59" s="705"/>
      <c r="CG59" s="705"/>
      <c r="CH59" s="711" t="s">
        <v>302</v>
      </c>
      <c r="CI59" s="712">
        <f t="shared" ca="1" si="139"/>
        <v>2706.8560546875005</v>
      </c>
      <c r="CJ59" s="712">
        <f t="shared" ca="1" si="85"/>
        <v>1202.4262695312502</v>
      </c>
      <c r="CK59" s="712">
        <f t="shared" ca="1" si="137"/>
        <v>1504.4297851562503</v>
      </c>
      <c r="CL59" s="718">
        <f t="shared" ca="1" si="138"/>
        <v>0.44421507654571873</v>
      </c>
      <c r="CM59" s="712">
        <f ca="1">SUMIF('Alloc Feed'!A:I,A:A,'Alloc Feed'!I:I)</f>
        <v>2851.8194208984378</v>
      </c>
      <c r="CN59" s="718">
        <f t="shared" ca="1" si="136"/>
        <v>1.0535541466861167</v>
      </c>
    </row>
    <row r="60" spans="1:92" s="267" customFormat="1" x14ac:dyDescent="0.25">
      <c r="A60" s="703">
        <v>41498</v>
      </c>
      <c r="B60" s="709">
        <f ca="1">IF(ISERROR(MATCH(B$1,INDIRECT("Table!A"&amp;$BV60):INDIRECT("Table!" &amp; $CH$110 &amp; $BV60),0)),"",INDIRECT(CONCATENATE("Table!",ADDRESS($BR60,MATCH(B$1,INDIRECT("Table!A" &amp; $BV60):INDIRECT("Table!" &amp; $CH$110 &amp; $BV60),0)))))/1024</f>
        <v>44.67431640625</v>
      </c>
      <c r="C60" s="709">
        <f ca="1">IF(ISERROR(MATCH(C$1,INDIRECT("Table!A"&amp;$BV60):INDIRECT("Table!" &amp; $CH$110 &amp; $BV60),0)),"",INDIRECT(CONCATENATE("Table!",ADDRESS($BR60,MATCH(C$1,INDIRECT("Table!A" &amp; $BV60):INDIRECT("Table!" &amp; $CH$110 &amp; $BV60),0)))))/1024</f>
        <v>77.346972656250003</v>
      </c>
      <c r="D60" s="709">
        <f ca="1">IF(ISERROR(MATCH(D$1,INDIRECT("Table!A"&amp;$BV60):INDIRECT("Table!" &amp; $CH$110 &amp; $BV60),0)),"",INDIRECT(CONCATENATE("Table!",ADDRESS($BR60,MATCH(D$1,INDIRECT("Table!A" &amp; $BV60):INDIRECT("Table!" &amp; $CH$110 &amp; $BV60),0)))))/1024</f>
        <v>78.793847656249994</v>
      </c>
      <c r="E60" s="709">
        <f ca="1">IF(ISERROR(MATCH(E$1,INDIRECT("Table!A"&amp;$BV60):INDIRECT("Table!" &amp; $CH$110 &amp; $BV60),0)),"",INDIRECT(CONCATENATE("Table!",ADDRESS($BR60,MATCH(E$1,INDIRECT("Table!A" &amp; $BV60):INDIRECT("Table!" &amp; $CH$110 &amp; $BV60),0)))))/1024</f>
        <v>142.84521484375</v>
      </c>
      <c r="F60" s="709">
        <f ca="1">IF(ISERROR(MATCH(F$1,INDIRECT("Table!A"&amp;$BV60):INDIRECT("Table!" &amp; $CH$110 &amp; $BV60),0)),"",INDIRECT(CONCATENATE("Table!",ADDRESS($BR60,MATCH(F$1,INDIRECT("Table!A" &amp; $BV60):INDIRECT("Table!" &amp; $CH$110 &amp; $BV60),0)))))/1024</f>
        <v>113.12197265624999</v>
      </c>
      <c r="G60" s="709">
        <f ca="1">IF(ISERROR(MATCH(G$1,INDIRECT("Table!A"&amp;$BV60):INDIRECT("Table!" &amp; $CH$110 &amp; $BV60),0)),"",INDIRECT(CONCATENATE("Table!",ADDRESS($BR60,MATCH(G$1,INDIRECT("Table!A" &amp; $BV60):INDIRECT("Table!" &amp; $CH$110 &amp; $BV60),0)))))/1024</f>
        <v>55.428808593749999</v>
      </c>
      <c r="H60" s="709">
        <f ca="1">IF(ISERROR(MATCH(H$1,INDIRECT("Table!A"&amp;$BV60):INDIRECT("Table!" &amp; $CH$110 &amp; $BV60),0)),"",INDIRECT(CONCATENATE("Table!",ADDRESS($BR60,MATCH(H$1,INDIRECT("Table!A" &amp; $BV60):INDIRECT("Table!" &amp; $CH$110 &amp; $BV60),0)))))/1024</f>
        <v>90.486621093750003</v>
      </c>
      <c r="I60" s="709">
        <f ca="1">IF(ISERROR(MATCH(I$1,INDIRECT("Table!A"&amp;$BV60):INDIRECT("Table!" &amp; $CH$110 &amp; $BV60),0)),"",INDIRECT(CONCATENATE("Table!",ADDRESS($BR60,MATCH(I$1,INDIRECT("Table!A" &amp; $BV60):INDIRECT("Table!" &amp; $CH$110 &amp; $BV60),0)))))/1024</f>
        <v>11.63525390625</v>
      </c>
      <c r="J60" s="709">
        <f ca="1">IF(ISERROR(MATCH(J$1,INDIRECT("Table!A"&amp;$BV60):INDIRECT("Table!" &amp; $CH$110 &amp; $BV60),0)),"",INDIRECT(CONCATENATE("Table!",ADDRESS($BR60,MATCH(J$1,INDIRECT("Table!A" &amp; $BV60):INDIRECT("Table!" &amp; $CH$110 &amp; $BV60),0)))))/1024</f>
        <v>23.085351562500001</v>
      </c>
      <c r="K60" s="709">
        <f ca="1">IF(ISERROR(MATCH(K$1,INDIRECT("Table!A"&amp;$BV60):INDIRECT("Table!" &amp; $CH$110 &amp; $BV60),0)),"",INDIRECT(CONCATENATE("Table!",ADDRESS($BR60,MATCH(K$1,INDIRECT("Table!A" &amp; $BV60):INDIRECT("Table!" &amp; $CH$110 &amp; $BV60),0)))))/1024</f>
        <v>0.57138671875000002</v>
      </c>
      <c r="L60" s="709">
        <f ca="1">IF(ISERROR(MATCH(L$1,INDIRECT("Table!A"&amp;$BV60):INDIRECT("Table!" &amp; $CH$110 &amp; $BV60),0)),"",INDIRECT(CONCATENATE("Table!",ADDRESS($BR60,MATCH(L$1,INDIRECT("Table!A" &amp; $BV60):INDIRECT("Table!" &amp; $CH$110 &amp; $BV60),0)))))/1024</f>
        <v>154.93017578125</v>
      </c>
      <c r="M60" s="709">
        <f ca="1">IF(ISERROR(MATCH(M$1,INDIRECT("Table!A"&amp;$BV60):INDIRECT("Table!" &amp; $CH$110 &amp; $BV60),0)),"",INDIRECT(CONCATENATE("Table!",ADDRESS($BR60,MATCH(M$1,INDIRECT("Table!A" &amp; $BV60):INDIRECT("Table!" &amp; $CH$110 &amp; $BV60),0)))))/1024</f>
        <v>58.279589843750003</v>
      </c>
      <c r="N60" s="709">
        <f ca="1">IF(ISERROR(MATCH(N$1,INDIRECT("Table!A"&amp;$BV60):INDIRECT("Table!" &amp; $CH$110 &amp; $BV60),0)),"",INDIRECT(CONCATENATE("Table!",ADDRESS($BR60,MATCH(N$1,INDIRECT("Table!A" &amp; $BV60):INDIRECT("Table!" &amp; $CH$110 &amp; $BV60),0)))))/1024</f>
        <v>58.071386718749999</v>
      </c>
      <c r="O60" s="709">
        <f ca="1">IF(ISERROR(MATCH(O$1,INDIRECT("Table!A"&amp;$BV60):INDIRECT("Table!" &amp; $CH$110 &amp; $BV60),0)),"",INDIRECT(CONCATENATE("Table!",ADDRESS($BR60,MATCH(O$1,INDIRECT("Table!A" &amp; $BV60):INDIRECT("Table!" &amp; $CH$110 &amp; $BV60),0)))))/1024</f>
        <v>163.94853515624999</v>
      </c>
      <c r="P60" s="709">
        <f ca="1">IF(ISERROR(MATCH(P$1,INDIRECT("Table!A"&amp;$BV60):INDIRECT("Table!" &amp; $CH$110 &amp; $BV60),0)),"",INDIRECT(CONCATENATE("Table!",ADDRESS($BR60,MATCH(P$1,INDIRECT("Table!A" &amp; $BV60):INDIRECT("Table!" &amp; $CH$110 &amp; $BV60),0)))))/1024</f>
        <v>22.363574218749999</v>
      </c>
      <c r="Q60" s="709">
        <f ca="1">IF(ISERROR(MATCH(Q$1,INDIRECT("Table!A"&amp;$BV60):INDIRECT("Table!" &amp; $CH$110 &amp; $BV60),0)),"",INDIRECT(CONCATENATE("Table!",ADDRESS($BR60,MATCH(Q$1,INDIRECT("Table!A" &amp; $BV60):INDIRECT("Table!" &amp; $CH$110 &amp; $BV60),0)))))/1024</f>
        <v>39.4345703125</v>
      </c>
      <c r="R60" s="709">
        <f ca="1">IF(ISERROR(MATCH(R$1,INDIRECT("Table!A"&amp;$BV60):INDIRECT("Table!" &amp; $CH$110 &amp; $BV60),0)),"",INDIRECT(CONCATENATE("Table!",ADDRESS($BR60,MATCH(R$1,INDIRECT("Table!A" &amp; $BV60):INDIRECT("Table!" &amp; $CH$110 &amp; $BV60),0)))))/1024</f>
        <v>33.181542968750001</v>
      </c>
      <c r="S60" s="709">
        <v>0</v>
      </c>
      <c r="T60" s="709">
        <f ca="1">IF(ISERROR(MATCH(T$1,INDIRECT("Table!A"&amp;$BV60):INDIRECT("Table!" &amp; $CH$65 &amp; $BV60),0)),"",INDIRECT(CONCATENATE("Table!",ADDRESS($BR60,MATCH(T$1,INDIRECT("Table!A" &amp; $BV60):INDIRECT("Table!" &amp; $CH$65 &amp; $BV60),0)))))/1024</f>
        <v>5.6422851562499998</v>
      </c>
      <c r="U60" s="709"/>
      <c r="V60" s="905"/>
      <c r="W60" s="905"/>
      <c r="X60" s="905"/>
      <c r="Y60" s="905"/>
      <c r="Z60" s="905"/>
      <c r="AA60" s="905"/>
      <c r="AB60" s="905"/>
      <c r="AC60" s="905"/>
      <c r="AD60" s="905"/>
      <c r="AE60" s="905"/>
      <c r="AF60" s="905"/>
      <c r="AG60" s="905"/>
      <c r="AH60" s="905"/>
      <c r="AI60" s="709" t="str">
        <f ca="1">IF(ISERROR(MATCH(AI$1,INDIRECT("Table!A"&amp;$BV60):INDIRECT("Table!" &amp; $CH$110 &amp; $BV60),0)),"",INDIRECT(CONCATENATE("Table!",ADDRESS($BR60,MATCH(AI$1,INDIRECT("Table!A" &amp; $BV60):INDIRECT("Table!" &amp; $CH$110 &amp; $BV60),0)))))</f>
        <v/>
      </c>
      <c r="AJ60" s="709">
        <f ca="1">IF(ISERROR(MATCH(AJ$1,INDIRECT("Table!A"&amp;$BV60):INDIRECT("Table!" &amp; $CH$110 &amp; $BV60),0)),"",INDIRECT(CONCATENATE("Table!",ADDRESS($BZ60,MATCH(AJ$1,INDIRECT("Table!A" &amp; $BV60):INDIRECT("Table!" &amp; $CH$110 &amp; $BV60),0)))))/1024</f>
        <v>140.0322265625</v>
      </c>
      <c r="AK60" s="709">
        <f ca="1">IF(ISERROR(MATCH(AK$1,INDIRECT("Table!A"&amp;$BV60):INDIRECT("Table!" &amp; $CH$110 &amp; $BV60),0)),"",INDIRECT(CONCATENATE("Table!",ADDRESS($BZ60,MATCH(AK$1,INDIRECT("Table!A" &amp; $BV60):INDIRECT("Table!" &amp; $CH$110 &amp; $BV60),0)))))/1024</f>
        <v>146.98896484375001</v>
      </c>
      <c r="AL60" s="709">
        <f ca="1">IF(ISERROR(MATCH(AL$1,INDIRECT("Table!A"&amp;$BV60):INDIRECT("Table!" &amp; $CH$110 &amp; $BV60),0)),"",INDIRECT(CONCATENATE("Table!",ADDRESS($BZ60,MATCH(AL$1,INDIRECT("Table!A" &amp; $BV60):INDIRECT("Table!" &amp; $CH$110 &amp; $BV60),0)))))/1024</f>
        <v>146.98896484375001</v>
      </c>
      <c r="AM60" s="709">
        <f ca="1">IF(ISERROR(MATCH(AM$1,INDIRECT("Table!A"&amp;$BV60):INDIRECT("Table!" &amp; $CH$110 &amp; $BV60),0)),"",INDIRECT(CONCATENATE("Table!",ADDRESS($BZ60,MATCH(AM$1,INDIRECT("Table!A" &amp; $BV60):INDIRECT("Table!" &amp; $CH$110 &amp; $BV60),0)))))/1024</f>
        <v>177.73320312499999</v>
      </c>
      <c r="AN60" s="709">
        <f ca="1">IF(ISERROR(MATCH(AN$1,INDIRECT("Table!A"&amp;$BV60):INDIRECT("Table!" &amp; $CH$110 &amp; $BV60),0)),"",INDIRECT(CONCATENATE("Table!",ADDRESS($BZ60,MATCH(AN$1,INDIRECT("Table!A" &amp; $BV60):INDIRECT("Table!" &amp; $CH$110 &amp; $BV60),0)))))/1024</f>
        <v>161.57568359375</v>
      </c>
      <c r="AO60" s="709">
        <f ca="1">IF(ISERROR(MATCH(AO$1,INDIRECT("Table!A"&amp;$BV60):INDIRECT("Table!" &amp; $CH$110 &amp; $BV60),0)),"",INDIRECT(CONCATENATE("Table!",ADDRESS($BZ60,MATCH(AO$1,INDIRECT("Table!A" &amp; $BV60):INDIRECT("Table!" &amp; $CH$110 &amp; $BV60),0)))))/1024</f>
        <v>129.03603515624999</v>
      </c>
      <c r="AP60" s="709">
        <f ca="1">IF(ISERROR(MATCH(AP$1,INDIRECT("Table!A"&amp;$BV60):INDIRECT("Table!" &amp; $CH$110 &amp; $BV60),0)),"",INDIRECT(CONCATENATE("Table!",ADDRESS($BZ60,MATCH(AP$1,INDIRECT("Table!A" &amp; $BV60):INDIRECT("Table!" &amp; $CH$110 &amp; $BV60),0)))))/1024</f>
        <v>166.96152343750001</v>
      </c>
      <c r="AQ60" s="709">
        <f ca="1">IF(ISERROR(MATCH(AQ$1,INDIRECT("Table!A"&amp;$BV60):INDIRECT("Table!" &amp; $CH$110 &amp; $BV60),0)),"",INDIRECT(CONCATENATE("Table!",ADDRESS($BZ60,MATCH(AQ$1,INDIRECT("Table!A" &amp; $BV60):INDIRECT("Table!" &amp; $CH$110 &amp; $BV60),0)))))/1024</f>
        <v>161.57568359375</v>
      </c>
      <c r="AR60" s="709">
        <f ca="1">IF(ISERROR(MATCH(AR$1,INDIRECT("Table!A"&amp;$BV60):INDIRECT("Table!" &amp; $CH$110 &amp; $BV60),0)),"",INDIRECT(CONCATENATE("Table!",ADDRESS($BZ60,MATCH(AR$1,INDIRECT("Table!A" &amp; $BV60):INDIRECT("Table!" &amp; $CH$110 &amp; $BV60),0)))))/1024</f>
        <v>90.245703125000006</v>
      </c>
      <c r="AS60" s="709">
        <f ca="1">IF(ISERROR(MATCH(AS$1,INDIRECT("Table!A"&amp;$BV60):INDIRECT("Table!" &amp; $CH$110 &amp; $BV60),0)),"",INDIRECT(CONCATENATE("Table!",ADDRESS($BZ60,MATCH(AS$1,INDIRECT("Table!A" &amp; $BV60):INDIRECT("Table!" &amp; $CH$110 &amp; $BV60),0)))))/1024</f>
        <v>210.22119140625</v>
      </c>
      <c r="AT60" s="709">
        <f ca="1">IF(ISERROR(MATCH(AT$1,INDIRECT("Table!A"&amp;$BV60):INDIRECT("Table!" &amp; $CH$110 &amp; $BV60),0)),"",INDIRECT(CONCATENATE("Table!",ADDRESS($BZ60,MATCH(AT$1,INDIRECT("Table!A" &amp; $BV60):INDIRECT("Table!" &amp; $CH$110 &amp; $BV60),0)))))/1024</f>
        <v>188.50498046875001</v>
      </c>
      <c r="AU60" s="709">
        <f ca="1">IF(ISERROR(MATCH(AU$1,INDIRECT("Table!A"&amp;$BV60):INDIRECT("Table!" &amp; $CH$110 &amp; $BV60),0)),"",INDIRECT(CONCATENATE("Table!",ADDRESS($BZ60,MATCH(AU$1,INDIRECT("Table!A" &amp; $BV60):INDIRECT("Table!" &amp; $CH$110 &amp; $BV60),0)))))/1024</f>
        <v>129.03603515624999</v>
      </c>
      <c r="AV60" s="709">
        <f ca="1">IF(ISERROR(MATCH(AV$1,INDIRECT("Table!A"&amp;$BV60):INDIRECT("Table!" &amp; $CH$110 &amp; $BV60),0)),"",INDIRECT(CONCATENATE("Table!",ADDRESS($BZ60,MATCH(AV$1,INDIRECT("Table!A" &amp; $BV60):INDIRECT("Table!" &amp; $CH$110 &amp; $BV60),0)))))/1024</f>
        <v>80.787695312500006</v>
      </c>
      <c r="AW60" s="709">
        <f ca="1">IF(ISERROR(MATCH(AW$1,INDIRECT("Table!A"&amp;$BV60):INDIRECT("Table!" &amp; $CH$110 &amp; $BV60),0)),"",INDIRECT(CONCATENATE("Table!",ADDRESS($BZ60,MATCH(AW$1,INDIRECT("Table!A" &amp; $BV60):INDIRECT("Table!" &amp; $CH$110 &amp; $BV60),0)))))/1024</f>
        <v>269.2919921875</v>
      </c>
      <c r="AX60" s="709">
        <f ca="1">IF(ISERROR(MATCH(AX$1,INDIRECT("Table!A"&amp;$BV60):INDIRECT("Table!" &amp; $CH$110 &amp; $BV60),0)),"",INDIRECT(CONCATENATE("Table!",ADDRESS($BZ60,MATCH(AX$1,INDIRECT("Table!A" &amp; $BV60):INDIRECT("Table!" &amp; $CH$110 &amp; $BV60),0)))))/1024</f>
        <v>80.787695312500006</v>
      </c>
      <c r="AY60" s="709">
        <f ca="1">IF(ISERROR(MATCH(AY$1,INDIRECT("Table!A"&amp;$BV60):INDIRECT("Table!" &amp; $CH$110 &amp; $BV60),0)),"",INDIRECT(CONCATENATE("Table!",ADDRESS($BZ60,MATCH(AY$1,INDIRECT("Table!A" &amp; $BV60):INDIRECT("Table!" &amp; $CH$110 &amp; $BV60),0)))))/1024</f>
        <v>184.55234375000001</v>
      </c>
      <c r="AZ60" s="709">
        <f ca="1">IF(ISERROR(MATCH(AZ$1,INDIRECT("Table!A"&amp;$BV60):INDIRECT("Table!" &amp; $CH$110 &amp; $BV60),0)),"",INDIRECT(CONCATENATE("Table!",ADDRESS($BZ60,MATCH(AZ$1,INDIRECT("Table!A" &amp; $BV60):INDIRECT("Table!" &amp; $CH$110 &amp; $BV60),0)))))/1024</f>
        <v>210.22119140625</v>
      </c>
      <c r="BA60" s="709"/>
      <c r="BB60" s="709">
        <f ca="1">IF(ISERROR(MATCH(BB$1,INDIRECT("Table!A"&amp;$BV60):INDIRECT("Table!" &amp; $CH$110 &amp; $BV60),0)),"",INDIRECT(CONCATENATE("Table!",ADDRESS($BZ60,MATCH(BB$1,INDIRECT("Table!A" &amp; $BV60):INDIRECT("Table!" &amp; $CH$110 &amp; $BV60),0)))))/1024</f>
        <v>32.31494140625</v>
      </c>
      <c r="BC60" s="709"/>
      <c r="BD60" s="905"/>
      <c r="BE60" s="905"/>
      <c r="BF60" s="905"/>
      <c r="BG60" s="905"/>
      <c r="BH60" s="905"/>
      <c r="BI60" s="905"/>
      <c r="BJ60" s="905"/>
      <c r="BK60" s="905"/>
      <c r="BL60" s="905"/>
      <c r="BM60" s="905"/>
      <c r="BN60" s="905"/>
      <c r="BO60" s="905"/>
      <c r="BP60" s="905"/>
      <c r="BQ60" s="905"/>
      <c r="BR60" s="704">
        <f>MATCH($A60,Table!$A:$A,0)+$BT$2-1</f>
        <v>821</v>
      </c>
      <c r="BS60" s="705"/>
      <c r="BT60" s="705"/>
      <c r="BU60" s="705"/>
      <c r="BV60" s="717">
        <f>MATCH($A60,Table!$A:$A,0)+$BX$2-1</f>
        <v>819</v>
      </c>
      <c r="BW60" s="705"/>
      <c r="BX60" s="705"/>
      <c r="BY60" s="705"/>
      <c r="BZ60" s="704">
        <f>MATCH($A60,Table!$A:$A,0)+$CB$2-1</f>
        <v>820</v>
      </c>
      <c r="CA60" s="705"/>
      <c r="CB60" s="705"/>
      <c r="CC60" s="705"/>
      <c r="CD60" s="717">
        <f>MATCH($A60,Table!$A:$A,0)+$BX$2-1</f>
        <v>819</v>
      </c>
      <c r="CE60" s="705"/>
      <c r="CF60" s="705"/>
      <c r="CG60" s="705"/>
      <c r="CH60" s="711" t="s">
        <v>302</v>
      </c>
      <c r="CI60" s="712">
        <f t="shared" ca="1" si="139"/>
        <v>2706.8560546875005</v>
      </c>
      <c r="CJ60" s="712">
        <f t="shared" ca="1" si="85"/>
        <v>1173.8414062499999</v>
      </c>
      <c r="CK60" s="712">
        <f t="shared" ca="1" si="137"/>
        <v>1533.0146484375007</v>
      </c>
      <c r="CL60" s="718">
        <f t="shared" ca="1" si="138"/>
        <v>0.43365490537158125</v>
      </c>
      <c r="CM60" s="712">
        <f ca="1">SUMIF('Alloc Feed'!A:I,A:A,'Alloc Feed'!I:I)</f>
        <v>2779.4464072265623</v>
      </c>
      <c r="CN60" s="718">
        <f t="shared" ca="1" si="136"/>
        <v>1.0268172193395197</v>
      </c>
    </row>
    <row r="61" spans="1:92" s="267" customFormat="1" x14ac:dyDescent="0.25">
      <c r="A61" s="703">
        <v>41491</v>
      </c>
      <c r="B61" s="709">
        <f ca="1">IF(ISERROR(MATCH(B$1,INDIRECT("Table!A"&amp;$BV61):INDIRECT("Table!" &amp; $CH$110 &amp; $BV61),0)),"",INDIRECT(CONCATENATE("Table!",ADDRESS($BR61,MATCH(B$1,INDIRECT("Table!A" &amp; $BV61):INDIRECT("Table!" &amp; $CH$110 &amp; $BV61),0)))))/1024</f>
        <v>44.549023437499997</v>
      </c>
      <c r="C61" s="709">
        <f ca="1">IF(ISERROR(MATCH(C$1,INDIRECT("Table!A"&amp;$BV61):INDIRECT("Table!" &amp; $CH$110 &amp; $BV61),0)),"",INDIRECT(CONCATENATE("Table!",ADDRESS($BR61,MATCH(C$1,INDIRECT("Table!A" &amp; $BV61):INDIRECT("Table!" &amp; $CH$110 &amp; $BV61),0)))))/1024</f>
        <v>77.274707031250003</v>
      </c>
      <c r="D61" s="709">
        <f ca="1">IF(ISERROR(MATCH(D$1,INDIRECT("Table!A"&amp;$BV61):INDIRECT("Table!" &amp; $CH$110 &amp; $BV61),0)),"",INDIRECT(CONCATENATE("Table!",ADDRESS($BR61,MATCH(D$1,INDIRECT("Table!A" &amp; $BV61):INDIRECT("Table!" &amp; $CH$110 &amp; $BV61),0)))))/1024</f>
        <v>78.720996093750003</v>
      </c>
      <c r="E61" s="709">
        <f ca="1">IF(ISERROR(MATCH(E$1,INDIRECT("Table!A"&amp;$BV61):INDIRECT("Table!" &amp; $CH$110 &amp; $BV61),0)),"",INDIRECT(CONCATENATE("Table!",ADDRESS($BR61,MATCH(E$1,INDIRECT("Table!A" &amp; $BV61):INDIRECT("Table!" &amp; $CH$110 &amp; $BV61),0)))))/1024</f>
        <v>142.15351562500001</v>
      </c>
      <c r="F61" s="709">
        <f ca="1">IF(ISERROR(MATCH(F$1,INDIRECT("Table!A"&amp;$BV61):INDIRECT("Table!" &amp; $CH$110 &amp; $BV61),0)),"",INDIRECT(CONCATENATE("Table!",ADDRESS($BR61,MATCH(F$1,INDIRECT("Table!A" &amp; $BV61):INDIRECT("Table!" &amp; $CH$110 &amp; $BV61),0)))))/1024</f>
        <v>112.0251953125</v>
      </c>
      <c r="G61" s="709">
        <f ca="1">IF(ISERROR(MATCH(G$1,INDIRECT("Table!A"&amp;$BV61):INDIRECT("Table!" &amp; $CH$110 &amp; $BV61),0)),"",INDIRECT(CONCATENATE("Table!",ADDRESS($BR61,MATCH(G$1,INDIRECT("Table!A" &amp; $BV61):INDIRECT("Table!" &amp; $CH$110 &amp; $BV61),0)))))/1024</f>
        <v>55.574609375000001</v>
      </c>
      <c r="H61" s="709">
        <f ca="1">IF(ISERROR(MATCH(H$1,INDIRECT("Table!A"&amp;$BV61):INDIRECT("Table!" &amp; $CH$110 &amp; $BV61),0)),"",INDIRECT(CONCATENATE("Table!",ADDRESS($BR61,MATCH(H$1,INDIRECT("Table!A" &amp; $BV61):INDIRECT("Table!" &amp; $CH$110 &amp; $BV61),0)))))/1024</f>
        <v>90.100292968749997</v>
      </c>
      <c r="I61" s="709">
        <f ca="1">IF(ISERROR(MATCH(I$1,INDIRECT("Table!A"&amp;$BV61):INDIRECT("Table!" &amp; $CH$110 &amp; $BV61),0)),"",INDIRECT(CONCATENATE("Table!",ADDRESS($BR61,MATCH(I$1,INDIRECT("Table!A" &amp; $BV61):INDIRECT("Table!" &amp; $CH$110 &amp; $BV61),0)))))/1024</f>
        <v>11.540625</v>
      </c>
      <c r="J61" s="709">
        <f ca="1">IF(ISERROR(MATCH(J$1,INDIRECT("Table!A"&amp;$BV61):INDIRECT("Table!" &amp; $CH$110 &amp; $BV61),0)),"",INDIRECT(CONCATENATE("Table!",ADDRESS($BR61,MATCH(J$1,INDIRECT("Table!A" &amp; $BV61):INDIRECT("Table!" &amp; $CH$110 &amp; $BV61),0)))))/1024</f>
        <v>22.906054687499999</v>
      </c>
      <c r="K61" s="709">
        <f ca="1">IF(ISERROR(MATCH(K$1,INDIRECT("Table!A"&amp;$BV61):INDIRECT("Table!" &amp; $CH$110 &amp; $BV61),0)),"",INDIRECT(CONCATENATE("Table!",ADDRESS($BR61,MATCH(K$1,INDIRECT("Table!A" &amp; $BV61):INDIRECT("Table!" &amp; $CH$110 &amp; $BV61),0)))))/1024</f>
        <v>0.56953124999999993</v>
      </c>
      <c r="L61" s="709">
        <f ca="1">IF(ISERROR(MATCH(L$1,INDIRECT("Table!A"&amp;$BV61):INDIRECT("Table!" &amp; $CH$110 &amp; $BV61),0)),"",INDIRECT(CONCATENATE("Table!",ADDRESS($BR61,MATCH(L$1,INDIRECT("Table!A" &amp; $BV61):INDIRECT("Table!" &amp; $CH$110 &amp; $BV61),0)))))/1024</f>
        <v>154.64414062500001</v>
      </c>
      <c r="M61" s="709">
        <f ca="1">IF(ISERROR(MATCH(M$1,INDIRECT("Table!A"&amp;$BV61):INDIRECT("Table!" &amp; $CH$110 &amp; $BV61),0)),"",INDIRECT(CONCATENATE("Table!",ADDRESS($BR61,MATCH(M$1,INDIRECT("Table!A" &amp; $BV61):INDIRECT("Table!" &amp; $CH$110 &amp; $BV61),0)))))/1024</f>
        <v>61.516796874999997</v>
      </c>
      <c r="N61" s="709">
        <f ca="1">IF(ISERROR(MATCH(N$1,INDIRECT("Table!A"&amp;$BV61):INDIRECT("Table!" &amp; $CH$110 &amp; $BV61),0)),"",INDIRECT(CONCATENATE("Table!",ADDRESS($BR61,MATCH(N$1,INDIRECT("Table!A" &amp; $BV61):INDIRECT("Table!" &amp; $CH$110 &amp; $BV61),0)))))/1024</f>
        <v>57.522363281250001</v>
      </c>
      <c r="O61" s="709">
        <f ca="1">IF(ISERROR(MATCH(O$1,INDIRECT("Table!A"&amp;$BV61):INDIRECT("Table!" &amp; $CH$110 &amp; $BV61),0)),"",INDIRECT(CONCATENATE("Table!",ADDRESS($BR61,MATCH(O$1,INDIRECT("Table!A" &amp; $BV61):INDIRECT("Table!" &amp; $CH$110 &amp; $BV61),0)))))/1024</f>
        <v>163.24140625000001</v>
      </c>
      <c r="P61" s="709">
        <f ca="1">IF(ISERROR(MATCH(P$1,INDIRECT("Table!A"&amp;$BV61):INDIRECT("Table!" &amp; $CH$110 &amp; $BV61),0)),"",INDIRECT(CONCATENATE("Table!",ADDRESS($BR61,MATCH(P$1,INDIRECT("Table!A" &amp; $BV61):INDIRECT("Table!" &amp; $CH$110 &amp; $BV61),0)))))/1024</f>
        <v>22.179785156249999</v>
      </c>
      <c r="Q61" s="709">
        <f ca="1">IF(ISERROR(MATCH(Q$1,INDIRECT("Table!A"&amp;$BV61):INDIRECT("Table!" &amp; $CH$110 &amp; $BV61),0)),"",INDIRECT(CONCATENATE("Table!",ADDRESS($BR61,MATCH(Q$1,INDIRECT("Table!A" &amp; $BV61):INDIRECT("Table!" &amp; $CH$110 &amp; $BV61),0)))))/1024</f>
        <v>39.181640625</v>
      </c>
      <c r="R61" s="709">
        <f ca="1">IF(ISERROR(MATCH(R$1,INDIRECT("Table!A"&amp;$BV61):INDIRECT("Table!" &amp; $CH$110 &amp; $BV61),0)),"",INDIRECT(CONCATENATE("Table!",ADDRESS($BR61,MATCH(R$1,INDIRECT("Table!A" &amp; $BV61):INDIRECT("Table!" &amp; $CH$110 &amp; $BV61),0)))))/1024</f>
        <v>34.258886718749999</v>
      </c>
      <c r="S61" s="709">
        <v>0</v>
      </c>
      <c r="T61" s="709">
        <f ca="1">IF(ISERROR(MATCH(T$1,INDIRECT("Table!A"&amp;$BV61):INDIRECT("Table!" &amp; $CH$65 &amp; $BV61),0)),"",INDIRECT(CONCATENATE("Table!",ADDRESS($BR61,MATCH(T$1,INDIRECT("Table!A" &amp; $BV61):INDIRECT("Table!" &amp; $CH$65 &amp; $BV61),0)))))/1024</f>
        <v>5.5880859374999998</v>
      </c>
      <c r="U61" s="709"/>
      <c r="V61" s="905"/>
      <c r="W61" s="905"/>
      <c r="X61" s="905"/>
      <c r="Y61" s="905"/>
      <c r="Z61" s="905"/>
      <c r="AA61" s="905"/>
      <c r="AB61" s="905"/>
      <c r="AC61" s="905"/>
      <c r="AD61" s="905"/>
      <c r="AE61" s="905"/>
      <c r="AF61" s="905"/>
      <c r="AG61" s="905"/>
      <c r="AH61" s="905"/>
      <c r="AI61" s="709" t="str">
        <f ca="1">IF(ISERROR(MATCH(AI$1,INDIRECT("Table!A"&amp;$BV61):INDIRECT("Table!" &amp; $CH$110 &amp; $BV61),0)),"",INDIRECT(CONCATENATE("Table!",ADDRESS($BR61,MATCH(AI$1,INDIRECT("Table!A" &amp; $BV61):INDIRECT("Table!" &amp; $CH$110 &amp; $BV61),0)))))</f>
        <v/>
      </c>
      <c r="AJ61" s="709">
        <f ca="1">IF(ISERROR(MATCH(AJ$1,INDIRECT("Table!A"&amp;$BV61):INDIRECT("Table!" &amp; $CH$110 &amp; $BV61),0)),"",INDIRECT(CONCATENATE("Table!",ADDRESS($BZ61,MATCH(AJ$1,INDIRECT("Table!A" &amp; $BV61):INDIRECT("Table!" &amp; $CH$110 &amp; $BV61),0)))))/1024</f>
        <v>140.0322265625</v>
      </c>
      <c r="AK61" s="709">
        <f ca="1">IF(ISERROR(MATCH(AK$1,INDIRECT("Table!A"&amp;$BV61):INDIRECT("Table!" &amp; $CH$110 &amp; $BV61),0)),"",INDIRECT(CONCATENATE("Table!",ADDRESS($BZ61,MATCH(AK$1,INDIRECT("Table!A" &amp; $BV61):INDIRECT("Table!" &amp; $CH$110 &amp; $BV61),0)))))/1024</f>
        <v>146.98896484375001</v>
      </c>
      <c r="AL61" s="709">
        <f ca="1">IF(ISERROR(MATCH(AL$1,INDIRECT("Table!A"&amp;$BV61):INDIRECT("Table!" &amp; $CH$110 &amp; $BV61),0)),"",INDIRECT(CONCATENATE("Table!",ADDRESS($BZ61,MATCH(AL$1,INDIRECT("Table!A" &amp; $BV61):INDIRECT("Table!" &amp; $CH$110 &amp; $BV61),0)))))/1024</f>
        <v>146.98896484375001</v>
      </c>
      <c r="AM61" s="709">
        <f ca="1">IF(ISERROR(MATCH(AM$1,INDIRECT("Table!A"&amp;$BV61):INDIRECT("Table!" &amp; $CH$110 &amp; $BV61),0)),"",INDIRECT(CONCATENATE("Table!",ADDRESS($BZ61,MATCH(AM$1,INDIRECT("Table!A" &amp; $BV61):INDIRECT("Table!" &amp; $CH$110 &amp; $BV61),0)))))/1024</f>
        <v>177.73320312499999</v>
      </c>
      <c r="AN61" s="709">
        <f ca="1">IF(ISERROR(MATCH(AN$1,INDIRECT("Table!A"&amp;$BV61):INDIRECT("Table!" &amp; $CH$110 &amp; $BV61),0)),"",INDIRECT(CONCATENATE("Table!",ADDRESS($BZ61,MATCH(AN$1,INDIRECT("Table!A" &amp; $BV61):INDIRECT("Table!" &amp; $CH$110 &amp; $BV61),0)))))/1024</f>
        <v>161.57568359375</v>
      </c>
      <c r="AO61" s="709">
        <f ca="1">IF(ISERROR(MATCH(AO$1,INDIRECT("Table!A"&amp;$BV61):INDIRECT("Table!" &amp; $CH$110 &amp; $BV61),0)),"",INDIRECT(CONCATENATE("Table!",ADDRESS($BZ61,MATCH(AO$1,INDIRECT("Table!A" &amp; $BV61):INDIRECT("Table!" &amp; $CH$110 &amp; $BV61),0)))))/1024</f>
        <v>129.03603515624999</v>
      </c>
      <c r="AP61" s="709">
        <f ca="1">IF(ISERROR(MATCH(AP$1,INDIRECT("Table!A"&amp;$BV61):INDIRECT("Table!" &amp; $CH$110 &amp; $BV61),0)),"",INDIRECT(CONCATENATE("Table!",ADDRESS($BZ61,MATCH(AP$1,INDIRECT("Table!A" &amp; $BV61):INDIRECT("Table!" &amp; $CH$110 &amp; $BV61),0)))))/1024</f>
        <v>166.96152343750001</v>
      </c>
      <c r="AQ61" s="709">
        <f ca="1">IF(ISERROR(MATCH(AQ$1,INDIRECT("Table!A"&amp;$BV61):INDIRECT("Table!" &amp; $CH$110 &amp; $BV61),0)),"",INDIRECT(CONCATENATE("Table!",ADDRESS($BZ61,MATCH(AQ$1,INDIRECT("Table!A" &amp; $BV61):INDIRECT("Table!" &amp; $CH$110 &amp; $BV61),0)))))/1024</f>
        <v>161.57568359375</v>
      </c>
      <c r="AR61" s="709">
        <f ca="1">IF(ISERROR(MATCH(AR$1,INDIRECT("Table!A"&amp;$BV61):INDIRECT("Table!" &amp; $CH$110 &amp; $BV61),0)),"",INDIRECT(CONCATENATE("Table!",ADDRESS($BZ61,MATCH(AR$1,INDIRECT("Table!A" &amp; $BV61):INDIRECT("Table!" &amp; $CH$110 &amp; $BV61),0)))))/1024</f>
        <v>90.245703125000006</v>
      </c>
      <c r="AS61" s="709">
        <f ca="1">IF(ISERROR(MATCH(AS$1,INDIRECT("Table!A"&amp;$BV61):INDIRECT("Table!" &amp; $CH$110 &amp; $BV61),0)),"",INDIRECT(CONCATENATE("Table!",ADDRESS($BZ61,MATCH(AS$1,INDIRECT("Table!A" &amp; $BV61):INDIRECT("Table!" &amp; $CH$110 &amp; $BV61),0)))))/1024</f>
        <v>210.22119140625</v>
      </c>
      <c r="AT61" s="709">
        <f ca="1">IF(ISERROR(MATCH(AT$1,INDIRECT("Table!A"&amp;$BV61):INDIRECT("Table!" &amp; $CH$110 &amp; $BV61),0)),"",INDIRECT(CONCATENATE("Table!",ADDRESS($BZ61,MATCH(AT$1,INDIRECT("Table!A" &amp; $BV61):INDIRECT("Table!" &amp; $CH$110 &amp; $BV61),0)))))/1024</f>
        <v>188.50498046875001</v>
      </c>
      <c r="AU61" s="709">
        <f ca="1">IF(ISERROR(MATCH(AU$1,INDIRECT("Table!A"&amp;$BV61):INDIRECT("Table!" &amp; $CH$110 &amp; $BV61),0)),"",INDIRECT(CONCATENATE("Table!",ADDRESS($BZ61,MATCH(AU$1,INDIRECT("Table!A" &amp; $BV61):INDIRECT("Table!" &amp; $CH$110 &amp; $BV61),0)))))/1024</f>
        <v>129.03603515624999</v>
      </c>
      <c r="AV61" s="709">
        <f ca="1">IF(ISERROR(MATCH(AV$1,INDIRECT("Table!A"&amp;$BV61):INDIRECT("Table!" &amp; $CH$110 &amp; $BV61),0)),"",INDIRECT(CONCATENATE("Table!",ADDRESS($BZ61,MATCH(AV$1,INDIRECT("Table!A" &amp; $BV61):INDIRECT("Table!" &amp; $CH$110 &amp; $BV61),0)))))/1024</f>
        <v>80.787695312500006</v>
      </c>
      <c r="AW61" s="709">
        <f ca="1">IF(ISERROR(MATCH(AW$1,INDIRECT("Table!A"&amp;$BV61):INDIRECT("Table!" &amp; $CH$110 &amp; $BV61),0)),"",INDIRECT(CONCATENATE("Table!",ADDRESS($BZ61,MATCH(AW$1,INDIRECT("Table!A" &amp; $BV61):INDIRECT("Table!" &amp; $CH$110 &amp; $BV61),0)))))/1024</f>
        <v>269.2919921875</v>
      </c>
      <c r="AX61" s="709">
        <f ca="1">IF(ISERROR(MATCH(AX$1,INDIRECT("Table!A"&amp;$BV61):INDIRECT("Table!" &amp; $CH$110 &amp; $BV61),0)),"",INDIRECT(CONCATENATE("Table!",ADDRESS($BZ61,MATCH(AX$1,INDIRECT("Table!A" &amp; $BV61):INDIRECT("Table!" &amp; $CH$110 &amp; $BV61),0)))))/1024</f>
        <v>80.787695312500006</v>
      </c>
      <c r="AY61" s="709">
        <f ca="1">IF(ISERROR(MATCH(AY$1,INDIRECT("Table!A"&amp;$BV61):INDIRECT("Table!" &amp; $CH$110 &amp; $BV61),0)),"",INDIRECT(CONCATENATE("Table!",ADDRESS($BZ61,MATCH(AY$1,INDIRECT("Table!A" &amp; $BV61):INDIRECT("Table!" &amp; $CH$110 &amp; $BV61),0)))))/1024</f>
        <v>184.55234375000001</v>
      </c>
      <c r="AZ61" s="709">
        <f ca="1">IF(ISERROR(MATCH(AZ$1,INDIRECT("Table!A"&amp;$BV61):INDIRECT("Table!" &amp; $CH$110 &amp; $BV61),0)),"",INDIRECT(CONCATENATE("Table!",ADDRESS($BZ61,MATCH(AZ$1,INDIRECT("Table!A" &amp; $BV61):INDIRECT("Table!" &amp; $CH$110 &amp; $BV61),0)))))/1024</f>
        <v>210.22119140625</v>
      </c>
      <c r="BA61" s="709"/>
      <c r="BB61" s="709">
        <f ca="1">IF(ISERROR(MATCH(BB$1,INDIRECT("Table!A"&amp;$BV61):INDIRECT("Table!" &amp; $CH$110 &amp; $BV61),0)),"",INDIRECT(CONCATENATE("Table!",ADDRESS($BZ61,MATCH(BB$1,INDIRECT("Table!A" &amp; $BV61):INDIRECT("Table!" &amp; $CH$110 &amp; $BV61),0)))))/1024</f>
        <v>32.31494140625</v>
      </c>
      <c r="BC61" s="709"/>
      <c r="BD61" s="905"/>
      <c r="BE61" s="905"/>
      <c r="BF61" s="905"/>
      <c r="BG61" s="905"/>
      <c r="BH61" s="905"/>
      <c r="BI61" s="905"/>
      <c r="BJ61" s="905"/>
      <c r="BK61" s="905"/>
      <c r="BL61" s="905"/>
      <c r="BM61" s="905"/>
      <c r="BN61" s="905"/>
      <c r="BO61" s="905"/>
      <c r="BP61" s="905"/>
      <c r="BQ61" s="905"/>
      <c r="BR61" s="704">
        <f>MATCH($A61,Table!$A:$A,0)+$BT$2-1</f>
        <v>833</v>
      </c>
      <c r="BS61" s="705"/>
      <c r="BT61" s="705"/>
      <c r="BU61" s="705"/>
      <c r="BV61" s="717">
        <f>MATCH($A61,Table!$A:$A,0)+$BX$2-1</f>
        <v>831</v>
      </c>
      <c r="BW61" s="705"/>
      <c r="BX61" s="705"/>
      <c r="BY61" s="705"/>
      <c r="BZ61" s="704">
        <f>MATCH($A61,Table!$A:$A,0)+$CB$2-1</f>
        <v>832</v>
      </c>
      <c r="CA61" s="705"/>
      <c r="CB61" s="705"/>
      <c r="CC61" s="705"/>
      <c r="CD61" s="717">
        <f>MATCH($A61,Table!$A:$A,0)+$BX$2-1</f>
        <v>831</v>
      </c>
      <c r="CE61" s="705"/>
      <c r="CF61" s="705"/>
      <c r="CG61" s="705"/>
      <c r="CH61" s="711" t="s">
        <v>302</v>
      </c>
      <c r="CI61" s="712">
        <f t="shared" ca="1" si="139"/>
        <v>2706.8560546875005</v>
      </c>
      <c r="CJ61" s="712">
        <f t="shared" ca="1" si="85"/>
        <v>1173.54765625</v>
      </c>
      <c r="CK61" s="712">
        <f t="shared" ca="1" si="137"/>
        <v>1533.3083984375005</v>
      </c>
      <c r="CL61" s="718">
        <f t="shared" ca="1" si="138"/>
        <v>0.4335463846397562</v>
      </c>
      <c r="CM61" s="712">
        <f ca="1">SUMIF('Alloc Feed'!A:I,A:A,'Alloc Feed'!I:I)</f>
        <v>5495.673439453125</v>
      </c>
      <c r="CN61" s="718">
        <f t="shared" ca="1" si="136"/>
        <v>2.0302791609240507</v>
      </c>
    </row>
    <row r="62" spans="1:92" s="267" customFormat="1" x14ac:dyDescent="0.25">
      <c r="A62" s="703">
        <v>41485</v>
      </c>
      <c r="B62" s="709">
        <f ca="1">IF(ISERROR(MATCH(B$1,INDIRECT("Table!A"&amp;$BV62):INDIRECT("Table!" &amp; $CH$110 &amp; $BV62),0)),"",INDIRECT(CONCATENATE("Table!",ADDRESS($BR62,MATCH(B$1,INDIRECT("Table!A" &amp; $BV62):INDIRECT("Table!" &amp; $CH$110 &amp; $BV62),0)))))/1024</f>
        <v>44.630761718750001</v>
      </c>
      <c r="C62" s="709">
        <f ca="1">IF(ISERROR(MATCH(C$1,INDIRECT("Table!A"&amp;$BV62):INDIRECT("Table!" &amp; $CH$110 &amp; $BV62),0)),"",INDIRECT(CONCATENATE("Table!",ADDRESS($BR62,MATCH(C$1,INDIRECT("Table!A" &amp; $BV62):INDIRECT("Table!" &amp; $CH$110 &amp; $BV62),0)))))/1024</f>
        <v>77.111328125</v>
      </c>
      <c r="D62" s="709">
        <f ca="1">IF(ISERROR(MATCH(D$1,INDIRECT("Table!A"&amp;$BV62):INDIRECT("Table!" &amp; $CH$110 &amp; $BV62),0)),"",INDIRECT(CONCATENATE("Table!",ADDRESS($BR62,MATCH(D$1,INDIRECT("Table!A" &amp; $BV62):INDIRECT("Table!" &amp; $CH$110 &amp; $BV62),0)))))/1024</f>
        <v>78.5576171875</v>
      </c>
      <c r="E62" s="709">
        <f ca="1">IF(ISERROR(MATCH(E$1,INDIRECT("Table!A"&amp;$BV62):INDIRECT("Table!" &amp; $CH$110 &amp; $BV62),0)),"",INDIRECT(CONCATENATE("Table!",ADDRESS($BR62,MATCH(E$1,INDIRECT("Table!A" &amp; $BV62):INDIRECT("Table!" &amp; $CH$110 &amp; $BV62),0)))))/1024</f>
        <v>141.76035156250001</v>
      </c>
      <c r="F62" s="709">
        <f ca="1">IF(ISERROR(MATCH(F$1,INDIRECT("Table!A"&amp;$BV62):INDIRECT("Table!" &amp; $CH$110 &amp; $BV62),0)),"",INDIRECT(CONCATENATE("Table!",ADDRESS($BR62,MATCH(F$1,INDIRECT("Table!A" &amp; $BV62):INDIRECT("Table!" &amp; $CH$110 &amp; $BV62),0)))))/1024</f>
        <v>111.63046875000001</v>
      </c>
      <c r="G62" s="709">
        <f ca="1">IF(ISERROR(MATCH(G$1,INDIRECT("Table!A"&amp;$BV62):INDIRECT("Table!" &amp; $CH$110 &amp; $BV62),0)),"",INDIRECT(CONCATENATE("Table!",ADDRESS($BR62,MATCH(G$1,INDIRECT("Table!A" &amp; $BV62):INDIRECT("Table!" &amp; $CH$110 &amp; $BV62),0)))))/1024</f>
        <v>55.363183593750001</v>
      </c>
      <c r="H62" s="709">
        <f ca="1">IF(ISERROR(MATCH(H$1,INDIRECT("Table!A"&amp;$BV62):INDIRECT("Table!" &amp; $CH$110 &amp; $BV62),0)),"",INDIRECT(CONCATENATE("Table!",ADDRESS($BR62,MATCH(H$1,INDIRECT("Table!A" &amp; $BV62):INDIRECT("Table!" &amp; $CH$110 &amp; $BV62),0)))))/1024</f>
        <v>89.719921874999997</v>
      </c>
      <c r="I62" s="709">
        <f ca="1">IF(ISERROR(MATCH(I$1,INDIRECT("Table!A"&amp;$BV62):INDIRECT("Table!" &amp; $CH$110 &amp; $BV62),0)),"",INDIRECT(CONCATENATE("Table!",ADDRESS($BR62,MATCH(I$1,INDIRECT("Table!A" &amp; $BV62):INDIRECT("Table!" &amp; $CH$110 &amp; $BV62),0)))))/1024</f>
        <v>11.537792968750001</v>
      </c>
      <c r="J62" s="709">
        <f ca="1">IF(ISERROR(MATCH(J$1,INDIRECT("Table!A"&amp;$BV62):INDIRECT("Table!" &amp; $CH$110 &amp; $BV62),0)),"",INDIRECT(CONCATENATE("Table!",ADDRESS($BR62,MATCH(J$1,INDIRECT("Table!A" &amp; $BV62):INDIRECT("Table!" &amp; $CH$110 &amp; $BV62),0)))))/1024</f>
        <v>20.37939453125</v>
      </c>
      <c r="K62" s="709">
        <f ca="1">IF(ISERROR(MATCH(K$1,INDIRECT("Table!A"&amp;$BV62):INDIRECT("Table!" &amp; $CH$110 &amp; $BV62),0)),"",INDIRECT(CONCATENATE("Table!",ADDRESS($BR62,MATCH(K$1,INDIRECT("Table!A" &amp; $BV62):INDIRECT("Table!" &amp; $CH$110 &amp; $BV62),0)))))/1024</f>
        <v>0.55849609375000009</v>
      </c>
      <c r="L62" s="709">
        <f ca="1">IF(ISERROR(MATCH(L$1,INDIRECT("Table!A"&amp;$BV62):INDIRECT("Table!" &amp; $CH$110 &amp; $BV62),0)),"",INDIRECT(CONCATENATE("Table!",ADDRESS($BR62,MATCH(L$1,INDIRECT("Table!A" &amp; $BV62):INDIRECT("Table!" &amp; $CH$110 &amp; $BV62),0)))))/1024</f>
        <v>154.15878906250001</v>
      </c>
      <c r="M62" s="709">
        <f ca="1">IF(ISERROR(MATCH(M$1,INDIRECT("Table!A"&amp;$BV62):INDIRECT("Table!" &amp; $CH$110 &amp; $BV62),0)),"",INDIRECT(CONCATENATE("Table!",ADDRESS($BR62,MATCH(M$1,INDIRECT("Table!A" &amp; $BV62):INDIRECT("Table!" &amp; $CH$110 &amp; $BV62),0)))))/1024</f>
        <v>63.450585937500001</v>
      </c>
      <c r="N62" s="709">
        <f ca="1">IF(ISERROR(MATCH(N$1,INDIRECT("Table!A"&amp;$BV62):INDIRECT("Table!" &amp; $CH$110 &amp; $BV62),0)),"",INDIRECT(CONCATENATE("Table!",ADDRESS($BR62,MATCH(N$1,INDIRECT("Table!A" &amp; $BV62):INDIRECT("Table!" &amp; $CH$110 &amp; $BV62),0)))))/1024</f>
        <v>57.315039062499999</v>
      </c>
      <c r="O62" s="709">
        <f ca="1">IF(ISERROR(MATCH(O$1,INDIRECT("Table!A"&amp;$BV62):INDIRECT("Table!" &amp; $CH$110 &amp; $BV62),0)),"",INDIRECT(CONCATENATE("Table!",ADDRESS($BR62,MATCH(O$1,INDIRECT("Table!A" &amp; $BV62):INDIRECT("Table!" &amp; $CH$110 &amp; $BV62),0)))))/1024</f>
        <v>162.57626953125001</v>
      </c>
      <c r="P62" s="709">
        <f ca="1">IF(ISERROR(MATCH(P$1,INDIRECT("Table!A"&amp;$BV62):INDIRECT("Table!" &amp; $CH$110 &amp; $BV62),0)),"",INDIRECT(CONCATENATE("Table!",ADDRESS($BR62,MATCH(P$1,INDIRECT("Table!A" &amp; $BV62):INDIRECT("Table!" &amp; $CH$110 &amp; $BV62),0)))))/1024</f>
        <v>22.176171875000001</v>
      </c>
      <c r="Q62" s="709">
        <f ca="1">IF(ISERROR(MATCH(Q$1,INDIRECT("Table!A"&amp;$BV62):INDIRECT("Table!" &amp; $CH$110 &amp; $BV62),0)),"",INDIRECT(CONCATENATE("Table!",ADDRESS($BR62,MATCH(Q$1,INDIRECT("Table!A" &amp; $BV62):INDIRECT("Table!" &amp; $CH$110 &amp; $BV62),0)))))/1024</f>
        <v>34.027636718750003</v>
      </c>
      <c r="R62" s="709">
        <f ca="1">IF(ISERROR(MATCH(R$1,INDIRECT("Table!A"&amp;$BV62):INDIRECT("Table!" &amp; $CH$110 &amp; $BV62),0)),"",INDIRECT(CONCATENATE("Table!",ADDRESS($BR62,MATCH(R$1,INDIRECT("Table!A" &amp; $BV62):INDIRECT("Table!" &amp; $CH$110 &amp; $BV62),0)))))/1024</f>
        <v>34.198339843749999</v>
      </c>
      <c r="S62" s="709">
        <v>0</v>
      </c>
      <c r="T62" s="709">
        <f ca="1">IF(ISERROR(MATCH(T$1,INDIRECT("Table!A"&amp;$BV62):INDIRECT("Table!" &amp; $CH$65 &amp; $BV62),0)),"",INDIRECT(CONCATENATE("Table!",ADDRESS($BR62,MATCH(T$1,INDIRECT("Table!A" &amp; $BV62):INDIRECT("Table!" &amp; $CH$65 &amp; $BV62),0)))))/1024</f>
        <v>5.5256835937500002</v>
      </c>
      <c r="U62" s="709"/>
      <c r="V62" s="905"/>
      <c r="W62" s="905"/>
      <c r="X62" s="905"/>
      <c r="Y62" s="905"/>
      <c r="Z62" s="905"/>
      <c r="AA62" s="905"/>
      <c r="AB62" s="905"/>
      <c r="AC62" s="905"/>
      <c r="AD62" s="905"/>
      <c r="AE62" s="905"/>
      <c r="AF62" s="905"/>
      <c r="AG62" s="905"/>
      <c r="AH62" s="905"/>
      <c r="AI62" s="709" t="str">
        <f ca="1">IF(ISERROR(MATCH(AI$1,INDIRECT("Table!A"&amp;$BV62):INDIRECT("Table!" &amp; $CH$110 &amp; $BV62),0)),"",INDIRECT(CONCATENATE("Table!",ADDRESS($BR62,MATCH(AI$1,INDIRECT("Table!A" &amp; $BV62):INDIRECT("Table!" &amp; $CH$110 &amp; $BV62),0)))))</f>
        <v/>
      </c>
      <c r="AJ62" s="709">
        <f ca="1">IF(ISERROR(MATCH(AJ$1,INDIRECT("Table!A"&amp;$BV62):INDIRECT("Table!" &amp; $CH$110 &amp; $BV62),0)),"",INDIRECT(CONCATENATE("Table!",ADDRESS($BZ62,MATCH(AJ$1,INDIRECT("Table!A" &amp; $BV62):INDIRECT("Table!" &amp; $CH$110 &amp; $BV62),0)))))/1024</f>
        <v>140.0322265625</v>
      </c>
      <c r="AK62" s="709">
        <f ca="1">IF(ISERROR(MATCH(AK$1,INDIRECT("Table!A"&amp;$BV62):INDIRECT("Table!" &amp; $CH$110 &amp; $BV62),0)),"",INDIRECT(CONCATENATE("Table!",ADDRESS($BZ62,MATCH(AK$1,INDIRECT("Table!A" &amp; $BV62):INDIRECT("Table!" &amp; $CH$110 &amp; $BV62),0)))))/1024</f>
        <v>146.98896484375001</v>
      </c>
      <c r="AL62" s="709">
        <f ca="1">IF(ISERROR(MATCH(AL$1,INDIRECT("Table!A"&amp;$BV62):INDIRECT("Table!" &amp; $CH$110 &amp; $BV62),0)),"",INDIRECT(CONCATENATE("Table!",ADDRESS($BZ62,MATCH(AL$1,INDIRECT("Table!A" &amp; $BV62):INDIRECT("Table!" &amp; $CH$110 &amp; $BV62),0)))))/1024</f>
        <v>146.98896484375001</v>
      </c>
      <c r="AM62" s="709">
        <f ca="1">IF(ISERROR(MATCH(AM$1,INDIRECT("Table!A"&amp;$BV62):INDIRECT("Table!" &amp; $CH$110 &amp; $BV62),0)),"",INDIRECT(CONCATENATE("Table!",ADDRESS($BZ62,MATCH(AM$1,INDIRECT("Table!A" &amp; $BV62):INDIRECT("Table!" &amp; $CH$110 &amp; $BV62),0)))))/1024</f>
        <v>177.73320312499999</v>
      </c>
      <c r="AN62" s="709">
        <f ca="1">IF(ISERROR(MATCH(AN$1,INDIRECT("Table!A"&amp;$BV62):INDIRECT("Table!" &amp; $CH$110 &amp; $BV62),0)),"",INDIRECT(CONCATENATE("Table!",ADDRESS($BZ62,MATCH(AN$1,INDIRECT("Table!A" &amp; $BV62):INDIRECT("Table!" &amp; $CH$110 &amp; $BV62),0)))))/1024</f>
        <v>161.57568359375</v>
      </c>
      <c r="AO62" s="709">
        <f ca="1">IF(ISERROR(MATCH(AO$1,INDIRECT("Table!A"&amp;$BV62):INDIRECT("Table!" &amp; $CH$110 &amp; $BV62),0)),"",INDIRECT(CONCATENATE("Table!",ADDRESS($BZ62,MATCH(AO$1,INDIRECT("Table!A" &amp; $BV62):INDIRECT("Table!" &amp; $CH$110 &amp; $BV62),0)))))/1024</f>
        <v>129.03603515624999</v>
      </c>
      <c r="AP62" s="709">
        <f ca="1">IF(ISERROR(MATCH(AP$1,INDIRECT("Table!A"&amp;$BV62):INDIRECT("Table!" &amp; $CH$110 &amp; $BV62),0)),"",INDIRECT(CONCATENATE("Table!",ADDRESS($BZ62,MATCH(AP$1,INDIRECT("Table!A" &amp; $BV62):INDIRECT("Table!" &amp; $CH$110 &amp; $BV62),0)))))/1024</f>
        <v>166.96152343750001</v>
      </c>
      <c r="AQ62" s="709">
        <f ca="1">IF(ISERROR(MATCH(AQ$1,INDIRECT("Table!A"&amp;$BV62):INDIRECT("Table!" &amp; $CH$110 &amp; $BV62),0)),"",INDIRECT(CONCATENATE("Table!",ADDRESS($BZ62,MATCH(AQ$1,INDIRECT("Table!A" &amp; $BV62):INDIRECT("Table!" &amp; $CH$110 &amp; $BV62),0)))))/1024</f>
        <v>161.57568359375</v>
      </c>
      <c r="AR62" s="709">
        <f ca="1">IF(ISERROR(MATCH(AR$1,INDIRECT("Table!A"&amp;$BV62):INDIRECT("Table!" &amp; $CH$110 &amp; $BV62),0)),"",INDIRECT(CONCATENATE("Table!",ADDRESS($BZ62,MATCH(AR$1,INDIRECT("Table!A" &amp; $BV62):INDIRECT("Table!" &amp; $CH$110 &amp; $BV62),0)))))/1024</f>
        <v>90.245703125000006</v>
      </c>
      <c r="AS62" s="709">
        <f ca="1">IF(ISERROR(MATCH(AS$1,INDIRECT("Table!A"&amp;$BV62):INDIRECT("Table!" &amp; $CH$110 &amp; $BV62),0)),"",INDIRECT(CONCATENATE("Table!",ADDRESS($BZ62,MATCH(AS$1,INDIRECT("Table!A" &amp; $BV62):INDIRECT("Table!" &amp; $CH$110 &amp; $BV62),0)))))/1024</f>
        <v>210.22119140625</v>
      </c>
      <c r="AT62" s="709">
        <f ca="1">IF(ISERROR(MATCH(AT$1,INDIRECT("Table!A"&amp;$BV62):INDIRECT("Table!" &amp; $CH$110 &amp; $BV62),0)),"",INDIRECT(CONCATENATE("Table!",ADDRESS($BZ62,MATCH(AT$1,INDIRECT("Table!A" &amp; $BV62):INDIRECT("Table!" &amp; $CH$110 &amp; $BV62),0)))))/1024</f>
        <v>188.50498046875001</v>
      </c>
      <c r="AU62" s="709">
        <f ca="1">IF(ISERROR(MATCH(AU$1,INDIRECT("Table!A"&amp;$BV62):INDIRECT("Table!" &amp; $CH$110 &amp; $BV62),0)),"",INDIRECT(CONCATENATE("Table!",ADDRESS($BZ62,MATCH(AU$1,INDIRECT("Table!A" &amp; $BV62):INDIRECT("Table!" &amp; $CH$110 &amp; $BV62),0)))))/1024</f>
        <v>129.03603515624999</v>
      </c>
      <c r="AV62" s="709">
        <f ca="1">IF(ISERROR(MATCH(AV$1,INDIRECT("Table!A"&amp;$BV62):INDIRECT("Table!" &amp; $CH$110 &amp; $BV62),0)),"",INDIRECT(CONCATENATE("Table!",ADDRESS($BZ62,MATCH(AV$1,INDIRECT("Table!A" &amp; $BV62):INDIRECT("Table!" &amp; $CH$110 &amp; $BV62),0)))))/1024</f>
        <v>80.787695312500006</v>
      </c>
      <c r="AW62" s="709">
        <f ca="1">IF(ISERROR(MATCH(AW$1,INDIRECT("Table!A"&amp;$BV62):INDIRECT("Table!" &amp; $CH$110 &amp; $BV62),0)),"",INDIRECT(CONCATENATE("Table!",ADDRESS($BZ62,MATCH(AW$1,INDIRECT("Table!A" &amp; $BV62):INDIRECT("Table!" &amp; $CH$110 &amp; $BV62),0)))))/1024</f>
        <v>269.2919921875</v>
      </c>
      <c r="AX62" s="709">
        <f ca="1">IF(ISERROR(MATCH(AX$1,INDIRECT("Table!A"&amp;$BV62):INDIRECT("Table!" &amp; $CH$110 &amp; $BV62),0)),"",INDIRECT(CONCATENATE("Table!",ADDRESS($BZ62,MATCH(AX$1,INDIRECT("Table!A" &amp; $BV62):INDIRECT("Table!" &amp; $CH$110 &amp; $BV62),0)))))/1024</f>
        <v>80.787695312500006</v>
      </c>
      <c r="AY62" s="709">
        <f ca="1">IF(ISERROR(MATCH(AY$1,INDIRECT("Table!A"&amp;$BV62):INDIRECT("Table!" &amp; $CH$110 &amp; $BV62),0)),"",INDIRECT(CONCATENATE("Table!",ADDRESS($BZ62,MATCH(AY$1,INDIRECT("Table!A" &amp; $BV62):INDIRECT("Table!" &amp; $CH$110 &amp; $BV62),0)))))/1024</f>
        <v>184.55234375000001</v>
      </c>
      <c r="AZ62" s="709">
        <f ca="1">IF(ISERROR(MATCH(AZ$1,INDIRECT("Table!A"&amp;$BV62):INDIRECT("Table!" &amp; $CH$110 &amp; $BV62),0)),"",INDIRECT(CONCATENATE("Table!",ADDRESS($BZ62,MATCH(AZ$1,INDIRECT("Table!A" &amp; $BV62):INDIRECT("Table!" &amp; $CH$110 &amp; $BV62),0)))))/1024</f>
        <v>210.22119140625</v>
      </c>
      <c r="BA62" s="709"/>
      <c r="BB62" s="709">
        <f ca="1">IF(ISERROR(MATCH(BB$1,INDIRECT("Table!A"&amp;$BV62):INDIRECT("Table!" &amp; $CH$110 &amp; $BV62),0)),"",INDIRECT(CONCATENATE("Table!",ADDRESS($BZ62,MATCH(BB$1,INDIRECT("Table!A" &amp; $BV62):INDIRECT("Table!" &amp; $CH$110 &amp; $BV62),0)))))/1024</f>
        <v>32.31494140625</v>
      </c>
      <c r="BC62" s="709"/>
      <c r="BD62" s="905"/>
      <c r="BE62" s="905"/>
      <c r="BF62" s="905"/>
      <c r="BG62" s="905"/>
      <c r="BH62" s="905"/>
      <c r="BI62" s="905"/>
      <c r="BJ62" s="905"/>
      <c r="BK62" s="905"/>
      <c r="BL62" s="905"/>
      <c r="BM62" s="905"/>
      <c r="BN62" s="905"/>
      <c r="BO62" s="905"/>
      <c r="BP62" s="905"/>
      <c r="BQ62" s="905"/>
      <c r="BR62" s="704">
        <f>MATCH($A62,Table!$A:$A,0)+$BT$2-1</f>
        <v>845</v>
      </c>
      <c r="BS62" s="705"/>
      <c r="BT62" s="705"/>
      <c r="BU62" s="705"/>
      <c r="BV62" s="717">
        <f>MATCH($A62,Table!$A:$A,0)+$BX$2-1</f>
        <v>843</v>
      </c>
      <c r="BW62" s="705"/>
      <c r="BX62" s="705"/>
      <c r="BY62" s="705"/>
      <c r="BZ62" s="704">
        <f>MATCH($A62,Table!$A:$A,0)+$CB$2-1</f>
        <v>844</v>
      </c>
      <c r="CA62" s="705"/>
      <c r="CB62" s="705"/>
      <c r="CC62" s="705"/>
      <c r="CD62" s="717">
        <f>MATCH($A62,Table!$A:$A,0)+$BX$2-1</f>
        <v>843</v>
      </c>
      <c r="CE62" s="705"/>
      <c r="CF62" s="705"/>
      <c r="CG62" s="705"/>
      <c r="CH62" s="711" t="s">
        <v>302</v>
      </c>
      <c r="CI62" s="712">
        <f t="shared" ca="1" si="139"/>
        <v>2706.8560546875005</v>
      </c>
      <c r="CJ62" s="712">
        <f t="shared" ca="1" si="85"/>
        <v>1164.6778320312501</v>
      </c>
      <c r="CK62" s="712">
        <f t="shared" ca="1" si="137"/>
        <v>1542.1782226562505</v>
      </c>
      <c r="CL62" s="718">
        <f t="shared" ca="1" si="138"/>
        <v>0.43026958526825287</v>
      </c>
      <c r="CM62" s="712">
        <f ca="1">SUMIF('Alloc Feed'!A:I,A:A,'Alloc Feed'!I:I)</f>
        <v>5473.7442187499992</v>
      </c>
      <c r="CN62" s="718">
        <f t="shared" ca="1" si="136"/>
        <v>2.0221777989527885</v>
      </c>
    </row>
    <row r="63" spans="1:92" s="267" customFormat="1" x14ac:dyDescent="0.25">
      <c r="A63" s="703">
        <v>41478</v>
      </c>
      <c r="B63" s="709">
        <f ca="1">IF(ISERROR(MATCH(B$1,INDIRECT("Table!A"&amp;$BV63):INDIRECT("Table!" &amp; $CH$110 &amp; $BV63),0)),"",INDIRECT(CONCATENATE("Table!",ADDRESS($BR63,MATCH(B$1,INDIRECT("Table!A" &amp; $BV63):INDIRECT("Table!" &amp; $CH$110 &amp; $BV63),0)))))/1024</f>
        <v>44.386328124999999</v>
      </c>
      <c r="C63" s="709">
        <f ca="1">IF(ISERROR(MATCH(C$1,INDIRECT("Table!A"&amp;$BV63):INDIRECT("Table!" &amp; $CH$110 &amp; $BV63),0)),"",INDIRECT(CONCATENATE("Table!",ADDRESS($BR63,MATCH(C$1,INDIRECT("Table!A" &amp; $BV63):INDIRECT("Table!" &amp; $CH$110 &amp; $BV63),0)))))/1024</f>
        <v>77.057324218749997</v>
      </c>
      <c r="D63" s="709">
        <f ca="1">IF(ISERROR(MATCH(D$1,INDIRECT("Table!A"&amp;$BV63):INDIRECT("Table!" &amp; $CH$110 &amp; $BV63),0)),"",INDIRECT(CONCATENATE("Table!",ADDRESS($BR63,MATCH(D$1,INDIRECT("Table!A" &amp; $BV63):INDIRECT("Table!" &amp; $CH$110 &amp; $BV63),0)))))/1024</f>
        <v>78.504199218750003</v>
      </c>
      <c r="E63" s="709">
        <f ca="1">IF(ISERROR(MATCH(E$1,INDIRECT("Table!A"&amp;$BV63):INDIRECT("Table!" &amp; $CH$110 &amp; $BV63),0)),"",INDIRECT(CONCATENATE("Table!",ADDRESS($BR63,MATCH(E$1,INDIRECT("Table!A" &amp; $BV63):INDIRECT("Table!" &amp; $CH$110 &amp; $BV63),0)))))/1024</f>
        <v>141.66181640625001</v>
      </c>
      <c r="F63" s="709">
        <f ca="1">IF(ISERROR(MATCH(F$1,INDIRECT("Table!A"&amp;$BV63):INDIRECT("Table!" &amp; $CH$110 &amp; $BV63),0)),"",INDIRECT(CONCATENATE("Table!",ADDRESS($BR63,MATCH(F$1,INDIRECT("Table!A" &amp; $BV63):INDIRECT("Table!" &amp; $CH$110 &amp; $BV63),0)))))/1024</f>
        <v>110.77705078125</v>
      </c>
      <c r="G63" s="709">
        <f ca="1">IF(ISERROR(MATCH(G$1,INDIRECT("Table!A"&amp;$BV63):INDIRECT("Table!" &amp; $CH$110 &amp; $BV63),0)),"",INDIRECT(CONCATENATE("Table!",ADDRESS($BR63,MATCH(G$1,INDIRECT("Table!A" &amp; $BV63):INDIRECT("Table!" &amp; $CH$110 &amp; $BV63),0)))))/1024</f>
        <v>58.025488281249999</v>
      </c>
      <c r="H63" s="709">
        <f ca="1">IF(ISERROR(MATCH(H$1,INDIRECT("Table!A"&amp;$BV63):INDIRECT("Table!" &amp; $CH$110 &amp; $BV63),0)),"",INDIRECT(CONCATENATE("Table!",ADDRESS($BR63,MATCH(H$1,INDIRECT("Table!A" &amp; $BV63):INDIRECT("Table!" &amp; $CH$110 &amp; $BV63),0)))))/1024</f>
        <v>88.982324218749994</v>
      </c>
      <c r="I63" s="709">
        <f ca="1">IF(ISERROR(MATCH(I$1,INDIRECT("Table!A"&amp;$BV63):INDIRECT("Table!" &amp; $CH$110 &amp; $BV63),0)),"",INDIRECT(CONCATENATE("Table!",ADDRESS($BR63,MATCH(I$1,INDIRECT("Table!A" &amp; $BV63):INDIRECT("Table!" &amp; $CH$110 &amp; $BV63),0)))))/1024</f>
        <v>11.52587890625</v>
      </c>
      <c r="J63" s="709">
        <f ca="1">IF(ISERROR(MATCH(J$1,INDIRECT("Table!A"&amp;$BV63):INDIRECT("Table!" &amp; $CH$110 &amp; $BV63),0)),"",INDIRECT(CONCATENATE("Table!",ADDRESS($BR63,MATCH(J$1,INDIRECT("Table!A" &amp; $BV63):INDIRECT("Table!" &amp; $CH$110 &amp; $BV63),0)))))/1024</f>
        <v>18.98876953125</v>
      </c>
      <c r="K63" s="709">
        <f ca="1">IF(ISERROR(MATCH(K$1,INDIRECT("Table!A"&amp;$BV63):INDIRECT("Table!" &amp; $CH$110 &amp; $BV63),0)),"",INDIRECT(CONCATENATE("Table!",ADDRESS($BR63,MATCH(K$1,INDIRECT("Table!A" &amp; $BV63):INDIRECT("Table!" &amp; $CH$110 &amp; $BV63),0)))))/1024</f>
        <v>0.36943359374999996</v>
      </c>
      <c r="L63" s="709">
        <f ca="1">IF(ISERROR(MATCH(L$1,INDIRECT("Table!A"&amp;$BV63):INDIRECT("Table!" &amp; $CH$110 &amp; $BV63),0)),"",INDIRECT(CONCATENATE("Table!",ADDRESS($BR63,MATCH(L$1,INDIRECT("Table!A" &amp; $BV63):INDIRECT("Table!" &amp; $CH$110 &amp; $BV63),0)))))/1024</f>
        <v>153.97255859374999</v>
      </c>
      <c r="M63" s="709">
        <f ca="1">IF(ISERROR(MATCH(M$1,INDIRECT("Table!A"&amp;$BV63):INDIRECT("Table!" &amp; $CH$110 &amp; $BV63),0)),"",INDIRECT(CONCATENATE("Table!",ADDRESS($BR63,MATCH(M$1,INDIRECT("Table!A" &amp; $BV63):INDIRECT("Table!" &amp; $CH$110 &amp; $BV63),0)))))/1024</f>
        <v>54.655468749999997</v>
      </c>
      <c r="N63" s="709">
        <f ca="1">IF(ISERROR(MATCH(N$1,INDIRECT("Table!A"&amp;$BV63):INDIRECT("Table!" &amp; $CH$110 &amp; $BV63),0)),"",INDIRECT(CONCATENATE("Table!",ADDRESS($BR63,MATCH(N$1,INDIRECT("Table!A" &amp; $BV63):INDIRECT("Table!" &amp; $CH$110 &amp; $BV63),0)))))/1024</f>
        <v>56.879980468749999</v>
      </c>
      <c r="O63" s="709">
        <f ca="1">IF(ISERROR(MATCH(O$1,INDIRECT("Table!A"&amp;$BV63):INDIRECT("Table!" &amp; $CH$110 &amp; $BV63),0)),"",INDIRECT(CONCATENATE("Table!",ADDRESS($BR63,MATCH(O$1,INDIRECT("Table!A" &amp; $BV63):INDIRECT("Table!" &amp; $CH$110 &amp; $BV63),0)))))/1024</f>
        <v>161.09375</v>
      </c>
      <c r="P63" s="709">
        <f ca="1">IF(ISERROR(MATCH(P$1,INDIRECT("Table!A"&amp;$BV63):INDIRECT("Table!" &amp; $CH$110 &amp; $BV63),0)),"",INDIRECT(CONCATENATE("Table!",ADDRESS($BR63,MATCH(P$1,INDIRECT("Table!A" &amp; $BV63):INDIRECT("Table!" &amp; $CH$110 &amp; $BV63),0)))))/1024</f>
        <v>22.153906249999999</v>
      </c>
      <c r="Q63" s="709">
        <f ca="1">IF(ISERROR(MATCH(Q$1,INDIRECT("Table!A"&amp;$BV63):INDIRECT("Table!" &amp; $CH$110 &amp; $BV63),0)),"",INDIRECT(CONCATENATE("Table!",ADDRESS($BR63,MATCH(Q$1,INDIRECT("Table!A" &amp; $BV63):INDIRECT("Table!" &amp; $CH$110 &amp; $BV63),0)))))/1024</f>
        <v>31.175195312500001</v>
      </c>
      <c r="R63" s="709">
        <f ca="1">IF(ISERROR(MATCH(R$1,INDIRECT("Table!A"&amp;$BV63):INDIRECT("Table!" &amp; $CH$110 &amp; $BV63),0)),"",INDIRECT(CONCATENATE("Table!",ADDRESS($BR63,MATCH(R$1,INDIRECT("Table!A" &amp; $BV63):INDIRECT("Table!" &amp; $CH$110 &amp; $BV63),0)))))/1024</f>
        <v>30.605371093750001</v>
      </c>
      <c r="S63" s="709">
        <v>0</v>
      </c>
      <c r="T63" s="709">
        <f ca="1">IF(ISERROR(MATCH(T$1,INDIRECT("Table!A"&amp;$BV63):INDIRECT("Table!" &amp; $CH$65 &amp; $BV63),0)),"",INDIRECT(CONCATENATE("Table!",ADDRESS($BR63,MATCH(T$1,INDIRECT("Table!A" &amp; $BV63):INDIRECT("Table!" &amp; $CH$65 &amp; $BV63),0)))))/1024</f>
        <v>5.4617187500000002</v>
      </c>
      <c r="U63" s="709"/>
      <c r="V63" s="905"/>
      <c r="W63" s="905"/>
      <c r="X63" s="905"/>
      <c r="Y63" s="905"/>
      <c r="Z63" s="905"/>
      <c r="AA63" s="905"/>
      <c r="AB63" s="905"/>
      <c r="AC63" s="905"/>
      <c r="AD63" s="905"/>
      <c r="AE63" s="905"/>
      <c r="AF63" s="905"/>
      <c r="AG63" s="905"/>
      <c r="AH63" s="905"/>
      <c r="AI63" s="709" t="str">
        <f ca="1">IF(ISERROR(MATCH(AI$1,INDIRECT("Table!A"&amp;$BV63):INDIRECT("Table!" &amp; $CH$110 &amp; $BV63),0)),"",INDIRECT(CONCATENATE("Table!",ADDRESS($BR63,MATCH(AI$1,INDIRECT("Table!A" &amp; $BV63):INDIRECT("Table!" &amp; $CH$110 &amp; $BV63),0)))))</f>
        <v/>
      </c>
      <c r="AJ63" s="709">
        <f ca="1">IF(ISERROR(MATCH(AJ$1,INDIRECT("Table!A"&amp;$BV63):INDIRECT("Table!" &amp; $CH$110 &amp; $BV63),0)),"",INDIRECT(CONCATENATE("Table!",ADDRESS($BZ63,MATCH(AJ$1,INDIRECT("Table!A" &amp; $BV63):INDIRECT("Table!" &amp; $CH$110 &amp; $BV63),0)))))/1024</f>
        <v>140.0322265625</v>
      </c>
      <c r="AK63" s="709">
        <f ca="1">IF(ISERROR(MATCH(AK$1,INDIRECT("Table!A"&amp;$BV63):INDIRECT("Table!" &amp; $CH$110 &amp; $BV63),0)),"",INDIRECT(CONCATENATE("Table!",ADDRESS($BZ63,MATCH(AK$1,INDIRECT("Table!A" &amp; $BV63):INDIRECT("Table!" &amp; $CH$110 &amp; $BV63),0)))))/1024</f>
        <v>146.98896484375001</v>
      </c>
      <c r="AL63" s="709">
        <f ca="1">IF(ISERROR(MATCH(AL$1,INDIRECT("Table!A"&amp;$BV63):INDIRECT("Table!" &amp; $CH$110 &amp; $BV63),0)),"",INDIRECT(CONCATENATE("Table!",ADDRESS($BZ63,MATCH(AL$1,INDIRECT("Table!A" &amp; $BV63):INDIRECT("Table!" &amp; $CH$110 &amp; $BV63),0)))))/1024</f>
        <v>146.98896484375001</v>
      </c>
      <c r="AM63" s="709">
        <f ca="1">IF(ISERROR(MATCH(AM$1,INDIRECT("Table!A"&amp;$BV63):INDIRECT("Table!" &amp; $CH$110 &amp; $BV63),0)),"",INDIRECT(CONCATENATE("Table!",ADDRESS($BZ63,MATCH(AM$1,INDIRECT("Table!A" &amp; $BV63):INDIRECT("Table!" &amp; $CH$110 &amp; $BV63),0)))))/1024</f>
        <v>177.73320312499999</v>
      </c>
      <c r="AN63" s="709">
        <f ca="1">IF(ISERROR(MATCH(AN$1,INDIRECT("Table!A"&amp;$BV63):INDIRECT("Table!" &amp; $CH$110 &amp; $BV63),0)),"",INDIRECT(CONCATENATE("Table!",ADDRESS($BZ63,MATCH(AN$1,INDIRECT("Table!A" &amp; $BV63):INDIRECT("Table!" &amp; $CH$110 &amp; $BV63),0)))))/1024</f>
        <v>161.57568359375</v>
      </c>
      <c r="AO63" s="709">
        <f ca="1">IF(ISERROR(MATCH(AO$1,INDIRECT("Table!A"&amp;$BV63):INDIRECT("Table!" &amp; $CH$110 &amp; $BV63),0)),"",INDIRECT(CONCATENATE("Table!",ADDRESS($BZ63,MATCH(AO$1,INDIRECT("Table!A" &amp; $BV63):INDIRECT("Table!" &amp; $CH$110 &amp; $BV63),0)))))/1024</f>
        <v>129.03603515624999</v>
      </c>
      <c r="AP63" s="709">
        <f ca="1">IF(ISERROR(MATCH(AP$1,INDIRECT("Table!A"&amp;$BV63):INDIRECT("Table!" &amp; $CH$110 &amp; $BV63),0)),"",INDIRECT(CONCATENATE("Table!",ADDRESS($BZ63,MATCH(AP$1,INDIRECT("Table!A" &amp; $BV63):INDIRECT("Table!" &amp; $CH$110 &amp; $BV63),0)))))/1024</f>
        <v>166.96152343750001</v>
      </c>
      <c r="AQ63" s="709">
        <f ca="1">IF(ISERROR(MATCH(AQ$1,INDIRECT("Table!A"&amp;$BV63):INDIRECT("Table!" &amp; $CH$110 &amp; $BV63),0)),"",INDIRECT(CONCATENATE("Table!",ADDRESS($BZ63,MATCH(AQ$1,INDIRECT("Table!A" &amp; $BV63):INDIRECT("Table!" &amp; $CH$110 &amp; $BV63),0)))))/1024</f>
        <v>161.57568359375</v>
      </c>
      <c r="AR63" s="709">
        <f ca="1">IF(ISERROR(MATCH(AR$1,INDIRECT("Table!A"&amp;$BV63):INDIRECT("Table!" &amp; $CH$110 &amp; $BV63),0)),"",INDIRECT(CONCATENATE("Table!",ADDRESS($BZ63,MATCH(AR$1,INDIRECT("Table!A" &amp; $BV63):INDIRECT("Table!" &amp; $CH$110 &amp; $BV63),0)))))/1024</f>
        <v>90.245703125000006</v>
      </c>
      <c r="AS63" s="709">
        <f ca="1">IF(ISERROR(MATCH(AS$1,INDIRECT("Table!A"&amp;$BV63):INDIRECT("Table!" &amp; $CH$110 &amp; $BV63),0)),"",INDIRECT(CONCATENATE("Table!",ADDRESS($BZ63,MATCH(AS$1,INDIRECT("Table!A" &amp; $BV63):INDIRECT("Table!" &amp; $CH$110 &amp; $BV63),0)))))/1024</f>
        <v>210.22119140625</v>
      </c>
      <c r="AT63" s="709">
        <f ca="1">IF(ISERROR(MATCH(AT$1,INDIRECT("Table!A"&amp;$BV63):INDIRECT("Table!" &amp; $CH$110 &amp; $BV63),0)),"",INDIRECT(CONCATENATE("Table!",ADDRESS($BZ63,MATCH(AT$1,INDIRECT("Table!A" &amp; $BV63):INDIRECT("Table!" &amp; $CH$110 &amp; $BV63),0)))))/1024</f>
        <v>188.50498046875001</v>
      </c>
      <c r="AU63" s="709">
        <f ca="1">IF(ISERROR(MATCH(AU$1,INDIRECT("Table!A"&amp;$BV63):INDIRECT("Table!" &amp; $CH$110 &amp; $BV63),0)),"",INDIRECT(CONCATENATE("Table!",ADDRESS($BZ63,MATCH(AU$1,INDIRECT("Table!A" &amp; $BV63):INDIRECT("Table!" &amp; $CH$110 &amp; $BV63),0)))))/1024</f>
        <v>129.03603515624999</v>
      </c>
      <c r="AV63" s="709">
        <f ca="1">IF(ISERROR(MATCH(AV$1,INDIRECT("Table!A"&amp;$BV63):INDIRECT("Table!" &amp; $CH$110 &amp; $BV63),0)),"",INDIRECT(CONCATENATE("Table!",ADDRESS($BZ63,MATCH(AV$1,INDIRECT("Table!A" &amp; $BV63):INDIRECT("Table!" &amp; $CH$110 &amp; $BV63),0)))))/1024</f>
        <v>80.787695312500006</v>
      </c>
      <c r="AW63" s="709">
        <f ca="1">IF(ISERROR(MATCH(AW$1,INDIRECT("Table!A"&amp;$BV63):INDIRECT("Table!" &amp; $CH$110 &amp; $BV63),0)),"",INDIRECT(CONCATENATE("Table!",ADDRESS($BZ63,MATCH(AW$1,INDIRECT("Table!A" &amp; $BV63):INDIRECT("Table!" &amp; $CH$110 &amp; $BV63),0)))))/1024</f>
        <v>269.2919921875</v>
      </c>
      <c r="AX63" s="709">
        <f ca="1">IF(ISERROR(MATCH(AX$1,INDIRECT("Table!A"&amp;$BV63):INDIRECT("Table!" &amp; $CH$110 &amp; $BV63),0)),"",INDIRECT(CONCATENATE("Table!",ADDRESS($BZ63,MATCH(AX$1,INDIRECT("Table!A" &amp; $BV63):INDIRECT("Table!" &amp; $CH$110 &amp; $BV63),0)))))/1024</f>
        <v>80.787695312500006</v>
      </c>
      <c r="AY63" s="709">
        <f ca="1">IF(ISERROR(MATCH(AY$1,INDIRECT("Table!A"&amp;$BV63):INDIRECT("Table!" &amp; $CH$110 &amp; $BV63),0)),"",INDIRECT(CONCATENATE("Table!",ADDRESS($BZ63,MATCH(AY$1,INDIRECT("Table!A" &amp; $BV63):INDIRECT("Table!" &amp; $CH$110 &amp; $BV63),0)))))/1024</f>
        <v>184.55234375000001</v>
      </c>
      <c r="AZ63" s="709">
        <f ca="1">IF(ISERROR(MATCH(AZ$1,INDIRECT("Table!A"&amp;$BV63):INDIRECT("Table!" &amp; $CH$110 &amp; $BV63),0)),"",INDIRECT(CONCATENATE("Table!",ADDRESS($BZ63,MATCH(AZ$1,INDIRECT("Table!A" &amp; $BV63):INDIRECT("Table!" &amp; $CH$110 &amp; $BV63),0)))))/1024</f>
        <v>210.22119140625</v>
      </c>
      <c r="BA63" s="709"/>
      <c r="BB63" s="709">
        <f ca="1">IF(ISERROR(MATCH(BB$1,INDIRECT("Table!A"&amp;$BV63):INDIRECT("Table!" &amp; $CH$110 &amp; $BV63),0)),"",INDIRECT(CONCATENATE("Table!",ADDRESS($BZ63,MATCH(BB$1,INDIRECT("Table!A" &amp; $BV63):INDIRECT("Table!" &amp; $CH$110 &amp; $BV63),0)))))/1024</f>
        <v>32.31494140625</v>
      </c>
      <c r="BC63" s="709"/>
      <c r="BD63" s="905"/>
      <c r="BE63" s="905"/>
      <c r="BF63" s="905"/>
      <c r="BG63" s="905"/>
      <c r="BH63" s="905"/>
      <c r="BI63" s="905"/>
      <c r="BJ63" s="905"/>
      <c r="BK63" s="905"/>
      <c r="BL63" s="905"/>
      <c r="BM63" s="905"/>
      <c r="BN63" s="905"/>
      <c r="BO63" s="905"/>
      <c r="BP63" s="905"/>
      <c r="BQ63" s="905"/>
      <c r="BR63" s="704">
        <f>MATCH($A63,Table!$A:$A,0)+$BT$2-1</f>
        <v>857</v>
      </c>
      <c r="BS63" s="705"/>
      <c r="BT63" s="705"/>
      <c r="BU63" s="705"/>
      <c r="BV63" s="717">
        <f>MATCH($A63,Table!$A:$A,0)+$BX$2-1</f>
        <v>855</v>
      </c>
      <c r="BW63" s="705"/>
      <c r="BX63" s="705"/>
      <c r="BY63" s="705"/>
      <c r="BZ63" s="704">
        <f>MATCH($A63,Table!$A:$A,0)+$CB$2-1</f>
        <v>856</v>
      </c>
      <c r="CA63" s="705"/>
      <c r="CB63" s="705"/>
      <c r="CC63" s="705"/>
      <c r="CD63" s="717">
        <f>MATCH($A63,Table!$A:$A,0)+$BX$2-1</f>
        <v>855</v>
      </c>
      <c r="CE63" s="705"/>
      <c r="CF63" s="705"/>
      <c r="CG63" s="705"/>
      <c r="CH63" s="711" t="s">
        <v>302</v>
      </c>
      <c r="CI63" s="712">
        <f t="shared" ca="1" si="139"/>
        <v>2706.8560546875005</v>
      </c>
      <c r="CJ63" s="712">
        <f t="shared" ca="1" si="85"/>
        <v>1146.2765625</v>
      </c>
      <c r="CK63" s="712">
        <f t="shared" ca="1" si="137"/>
        <v>1560.5794921875006</v>
      </c>
      <c r="CL63" s="718">
        <f t="shared" ca="1" si="138"/>
        <v>0.42347156233704292</v>
      </c>
      <c r="CM63" s="712">
        <f ca="1">SUMIF('Alloc Feed'!A:I,A:A,'Alloc Feed'!I:I)</f>
        <v>5442.7272128906243</v>
      </c>
      <c r="CN63" s="718">
        <f t="shared" ca="1" si="136"/>
        <v>2.0107191158042474</v>
      </c>
    </row>
    <row r="64" spans="1:92" s="267" customFormat="1" x14ac:dyDescent="0.25">
      <c r="A64" s="703">
        <v>41470</v>
      </c>
      <c r="B64" s="709">
        <f ca="1">IF(ISERROR(MATCH(B$1,INDIRECT("Table!A"&amp;$BV64):INDIRECT("Table!" &amp; $CH$110 &amp; $BV64),0)),"",INDIRECT(CONCATENATE("Table!",ADDRESS($BR64,MATCH(B$1,INDIRECT("Table!A" &amp; $BV64):INDIRECT("Table!" &amp; $CH$110 &amp; $BV64),0)))))/1024</f>
        <v>43.751074218749999</v>
      </c>
      <c r="C64" s="709">
        <f ca="1">IF(ISERROR(MATCH(C$1,INDIRECT("Table!A"&amp;$BV64):INDIRECT("Table!" &amp; $CH$110 &amp; $BV64),0)),"",INDIRECT(CONCATENATE("Table!",ADDRESS($BR64,MATCH(C$1,INDIRECT("Table!A" &amp; $BV64):INDIRECT("Table!" &amp; $CH$110 &amp; $BV64),0)))))/1024</f>
        <v>76.949804687500006</v>
      </c>
      <c r="D64" s="709">
        <f ca="1">IF(ISERROR(MATCH(D$1,INDIRECT("Table!A"&amp;$BV64):INDIRECT("Table!" &amp; $CH$110 &amp; $BV64),0)),"",INDIRECT(CONCATENATE("Table!",ADDRESS($BR64,MATCH(D$1,INDIRECT("Table!A" &amp; $BV64):INDIRECT("Table!" &amp; $CH$110 &amp; $BV64),0)))))/1024</f>
        <v>78.396679687499997</v>
      </c>
      <c r="E64" s="709">
        <f ca="1">IF(ISERROR(MATCH(E$1,INDIRECT("Table!A"&amp;$BV64):INDIRECT("Table!" &amp; $CH$110 &amp; $BV64),0)),"",INDIRECT(CONCATENATE("Table!",ADDRESS($BR64,MATCH(E$1,INDIRECT("Table!A" &amp; $BV64):INDIRECT("Table!" &amp; $CH$110 &amp; $BV64),0)))))/1024</f>
        <v>141.10488281249999</v>
      </c>
      <c r="F64" s="709">
        <f ca="1">IF(ISERROR(MATCH(F$1,INDIRECT("Table!A"&amp;$BV64):INDIRECT("Table!" &amp; $CH$110 &amp; $BV64),0)),"",INDIRECT(CONCATENATE("Table!",ADDRESS($BR64,MATCH(F$1,INDIRECT("Table!A" &amp; $BV64):INDIRECT("Table!" &amp; $CH$110 &amp; $BV64),0)))))/1024</f>
        <v>109.53271484375</v>
      </c>
      <c r="G64" s="709">
        <f ca="1">IF(ISERROR(MATCH(G$1,INDIRECT("Table!A"&amp;$BV64):INDIRECT("Table!" &amp; $CH$110 &amp; $BV64),0)),"",INDIRECT(CONCATENATE("Table!",ADDRESS($BR64,MATCH(G$1,INDIRECT("Table!A" &amp; $BV64):INDIRECT("Table!" &amp; $CH$110 &amp; $BV64),0)))))/1024</f>
        <v>58.476757812499997</v>
      </c>
      <c r="H64" s="709">
        <f ca="1">IF(ISERROR(MATCH(H$1,INDIRECT("Table!A"&amp;$BV64):INDIRECT("Table!" &amp; $CH$110 &amp; $BV64),0)),"",INDIRECT(CONCATENATE("Table!",ADDRESS($BR64,MATCH(H$1,INDIRECT("Table!A" &amp; $BV64):INDIRECT("Table!" &amp; $CH$110 &amp; $BV64),0)))))/1024</f>
        <v>88.043359374999994</v>
      </c>
      <c r="I64" s="709">
        <f ca="1">IF(ISERROR(MATCH(I$1,INDIRECT("Table!A"&amp;$BV64):INDIRECT("Table!" &amp; $CH$110 &amp; $BV64),0)),"",INDIRECT(CONCATENATE("Table!",ADDRESS($BR64,MATCH(I$1,INDIRECT("Table!A" &amp; $BV64):INDIRECT("Table!" &amp; $CH$110 &amp; $BV64),0)))))/1024</f>
        <v>69.513378906249997</v>
      </c>
      <c r="J64" s="709">
        <f ca="1">IF(ISERROR(MATCH(J$1,INDIRECT("Table!A"&amp;$BV64):INDIRECT("Table!" &amp; $CH$110 &amp; $BV64),0)),"",INDIRECT(CONCATENATE("Table!",ADDRESS($BR64,MATCH(J$1,INDIRECT("Table!A" &amp; $BV64):INDIRECT("Table!" &amp; $CH$110 &amp; $BV64),0)))))/1024</f>
        <v>10.853515625</v>
      </c>
      <c r="K64" s="709">
        <f ca="1">IF(ISERROR(MATCH(K$1,INDIRECT("Table!A"&amp;$BV64):INDIRECT("Table!" &amp; $CH$110 &amp; $BV64),0)),"",INDIRECT(CONCATENATE("Table!",ADDRESS($BR64,MATCH(K$1,INDIRECT("Table!A" &amp; $BV64):INDIRECT("Table!" &amp; $CH$110 &amp; $BV64),0)))))/1024</f>
        <v>6.0937499999999999E-2</v>
      </c>
      <c r="L64" s="709">
        <f ca="1">IF(ISERROR(MATCH(L$1,INDIRECT("Table!A"&amp;$BV64):INDIRECT("Table!" &amp; $CH$110 &amp; $BV64),0)),"",INDIRECT(CONCATENATE("Table!",ADDRESS($BR64,MATCH(L$1,INDIRECT("Table!A" &amp; $BV64):INDIRECT("Table!" &amp; $CH$110 &amp; $BV64),0)))))/1024</f>
        <v>153.28876953125001</v>
      </c>
      <c r="M64" s="709">
        <f ca="1">IF(ISERROR(MATCH(M$1,INDIRECT("Table!A"&amp;$BV64):INDIRECT("Table!" &amp; $CH$110 &amp; $BV64),0)),"",INDIRECT(CONCATENATE("Table!",ADDRESS($BR64,MATCH(M$1,INDIRECT("Table!A" &amp; $BV64):INDIRECT("Table!" &amp; $CH$110 &amp; $BV64),0)))))/1024</f>
        <v>54.05078125</v>
      </c>
      <c r="N64" s="709">
        <f ca="1">IF(ISERROR(MATCH(N$1,INDIRECT("Table!A"&amp;$BV64):INDIRECT("Table!" &amp; $CH$110 &amp; $BV64),0)),"",INDIRECT(CONCATENATE("Table!",ADDRESS($BR64,MATCH(N$1,INDIRECT("Table!A" &amp; $BV64):INDIRECT("Table!" &amp; $CH$110 &amp; $BV64),0)))))/1024</f>
        <v>56.203125</v>
      </c>
      <c r="O64" s="709">
        <f ca="1">IF(ISERROR(MATCH(O$1,INDIRECT("Table!A"&amp;$BV64):INDIRECT("Table!" &amp; $CH$110 &amp; $BV64),0)),"",INDIRECT(CONCATENATE("Table!",ADDRESS($BR64,MATCH(O$1,INDIRECT("Table!A" &amp; $BV64):INDIRECT("Table!" &amp; $CH$110 &amp; $BV64),0)))))/1024</f>
        <v>160.26904296875</v>
      </c>
      <c r="P64" s="709">
        <f ca="1">IF(ISERROR(MATCH(P$1,INDIRECT("Table!A"&amp;$BV64):INDIRECT("Table!" &amp; $CH$110 &amp; $BV64),0)),"",INDIRECT(CONCATENATE("Table!",ADDRESS($BR64,MATCH(P$1,INDIRECT("Table!A" &amp; $BV64):INDIRECT("Table!" &amp; $CH$110 &amp; $BV64),0)))))/1024</f>
        <v>21.664355468749999</v>
      </c>
      <c r="Q64" s="709">
        <f ca="1">IF(ISERROR(MATCH(Q$1,INDIRECT("Table!A"&amp;$BV64):INDIRECT("Table!" &amp; $CH$110 &amp; $BV64),0)),"",INDIRECT(CONCATENATE("Table!",ADDRESS($BR64,MATCH(Q$1,INDIRECT("Table!A" &amp; $BV64):INDIRECT("Table!" &amp; $CH$110 &amp; $BV64),0)))))/1024</f>
        <v>17.597949218749999</v>
      </c>
      <c r="R64" s="709">
        <f ca="1">IF(ISERROR(MATCH(R$1,INDIRECT("Table!A"&amp;$BV64):INDIRECT("Table!" &amp; $CH$110 &amp; $BV64),0)),"",INDIRECT(CONCATENATE("Table!",ADDRESS($BR64,MATCH(R$1,INDIRECT("Table!A" &amp; $BV64):INDIRECT("Table!" &amp; $CH$110 &amp; $BV64),0)))))/1024</f>
        <v>19.283105468750001</v>
      </c>
      <c r="S64" s="709">
        <v>0</v>
      </c>
      <c r="T64" s="709">
        <f ca="1">IF(ISERROR(MATCH(T$1,INDIRECT("Table!A"&amp;$BV64):INDIRECT("Table!" &amp; $CH$65 &amp; $BV64),0)),"",INDIRECT(CONCATENATE("Table!",ADDRESS($BR64,MATCH(T$1,INDIRECT("Table!A" &amp; $BV64):INDIRECT("Table!" &amp; $CH$65 &amp; $BV64),0)))))/1024</f>
        <v>5.4215820312499998</v>
      </c>
      <c r="U64" s="709"/>
      <c r="V64" s="905"/>
      <c r="W64" s="905"/>
      <c r="X64" s="905"/>
      <c r="Y64" s="905"/>
      <c r="Z64" s="905"/>
      <c r="AA64" s="905"/>
      <c r="AB64" s="905"/>
      <c r="AC64" s="905"/>
      <c r="AD64" s="905"/>
      <c r="AE64" s="905"/>
      <c r="AF64" s="905"/>
      <c r="AG64" s="905"/>
      <c r="AH64" s="905"/>
      <c r="AI64" s="709" t="str">
        <f ca="1">IF(ISERROR(MATCH(AI$1,INDIRECT("Table!A"&amp;$BV64):INDIRECT("Table!" &amp; $CH$110 &amp; $BV64),0)),"",INDIRECT(CONCATENATE("Table!",ADDRESS($BR64,MATCH(AI$1,INDIRECT("Table!A" &amp; $BV64):INDIRECT("Table!" &amp; $CH$110 &amp; $BV64),0)))))</f>
        <v/>
      </c>
      <c r="AJ64" s="709">
        <f ca="1">IF(ISERROR(MATCH(AJ$1,INDIRECT("Table!A"&amp;$BV64):INDIRECT("Table!" &amp; $CH$110 &amp; $BV64),0)),"",INDIRECT(CONCATENATE("Table!",ADDRESS($BZ64,MATCH(AJ$1,INDIRECT("Table!A" &amp; $BV64):INDIRECT("Table!" &amp; $CH$110 &amp; $BV64),0)))))/1024</f>
        <v>140.0322265625</v>
      </c>
      <c r="AK64" s="709">
        <f ca="1">IF(ISERROR(MATCH(AK$1,INDIRECT("Table!A"&amp;$BV64):INDIRECT("Table!" &amp; $CH$110 &amp; $BV64),0)),"",INDIRECT(CONCATENATE("Table!",ADDRESS($BZ64,MATCH(AK$1,INDIRECT("Table!A" &amp; $BV64):INDIRECT("Table!" &amp; $CH$110 &amp; $BV64),0)))))/1024</f>
        <v>146.98896484375001</v>
      </c>
      <c r="AL64" s="709">
        <f ca="1">IF(ISERROR(MATCH(AL$1,INDIRECT("Table!A"&amp;$BV64):INDIRECT("Table!" &amp; $CH$110 &amp; $BV64),0)),"",INDIRECT(CONCATENATE("Table!",ADDRESS($BZ64,MATCH(AL$1,INDIRECT("Table!A" &amp; $BV64):INDIRECT("Table!" &amp; $CH$110 &amp; $BV64),0)))))/1024</f>
        <v>146.98896484375001</v>
      </c>
      <c r="AM64" s="709">
        <f ca="1">IF(ISERROR(MATCH(AM$1,INDIRECT("Table!A"&amp;$BV64):INDIRECT("Table!" &amp; $CH$110 &amp; $BV64),0)),"",INDIRECT(CONCATENATE("Table!",ADDRESS($BZ64,MATCH(AM$1,INDIRECT("Table!A" &amp; $BV64):INDIRECT("Table!" &amp; $CH$110 &amp; $BV64),0)))))/1024</f>
        <v>177.73320312499999</v>
      </c>
      <c r="AN64" s="709">
        <f ca="1">IF(ISERROR(MATCH(AN$1,INDIRECT("Table!A"&amp;$BV64):INDIRECT("Table!" &amp; $CH$110 &amp; $BV64),0)),"",INDIRECT(CONCATENATE("Table!",ADDRESS($BZ64,MATCH(AN$1,INDIRECT("Table!A" &amp; $BV64):INDIRECT("Table!" &amp; $CH$110 &amp; $BV64),0)))))/1024</f>
        <v>161.57568359375</v>
      </c>
      <c r="AO64" s="709">
        <f ca="1">IF(ISERROR(MATCH(AO$1,INDIRECT("Table!A"&amp;$BV64):INDIRECT("Table!" &amp; $CH$110 &amp; $BV64),0)),"",INDIRECT(CONCATENATE("Table!",ADDRESS($BZ64,MATCH(AO$1,INDIRECT("Table!A" &amp; $BV64):INDIRECT("Table!" &amp; $CH$110 &amp; $BV64),0)))))/1024</f>
        <v>129.03603515624999</v>
      </c>
      <c r="AP64" s="709">
        <f ca="1">IF(ISERROR(MATCH(AP$1,INDIRECT("Table!A"&amp;$BV64):INDIRECT("Table!" &amp; $CH$110 &amp; $BV64),0)),"",INDIRECT(CONCATENATE("Table!",ADDRESS($BZ64,MATCH(AP$1,INDIRECT("Table!A" &amp; $BV64):INDIRECT("Table!" &amp; $CH$110 &amp; $BV64),0)))))/1024</f>
        <v>166.96152343750001</v>
      </c>
      <c r="AQ64" s="709">
        <f ca="1">IF(ISERROR(MATCH(AQ$1,INDIRECT("Table!A"&amp;$BV64):INDIRECT("Table!" &amp; $CH$110 &amp; $BV64),0)),"",INDIRECT(CONCATENATE("Table!",ADDRESS($BZ64,MATCH(AQ$1,INDIRECT("Table!A" &amp; $BV64):INDIRECT("Table!" &amp; $CH$110 &amp; $BV64),0)))))/1024</f>
        <v>161.57568359375</v>
      </c>
      <c r="AR64" s="709">
        <f ca="1">IF(ISERROR(MATCH(AR$1,INDIRECT("Table!A"&amp;$BV64):INDIRECT("Table!" &amp; $CH$110 &amp; $BV64),0)),"",INDIRECT(CONCATENATE("Table!",ADDRESS($BZ64,MATCH(AR$1,INDIRECT("Table!A" &amp; $BV64):INDIRECT("Table!" &amp; $CH$110 &amp; $BV64),0)))))/1024</f>
        <v>90.245703125000006</v>
      </c>
      <c r="AS64" s="709">
        <f ca="1">IF(ISERROR(MATCH(AS$1,INDIRECT("Table!A"&amp;$BV64):INDIRECT("Table!" &amp; $CH$110 &amp; $BV64),0)),"",INDIRECT(CONCATENATE("Table!",ADDRESS($BZ64,MATCH(AS$1,INDIRECT("Table!A" &amp; $BV64):INDIRECT("Table!" &amp; $CH$110 &amp; $BV64),0)))))/1024</f>
        <v>210.22119140625</v>
      </c>
      <c r="AT64" s="709">
        <f ca="1">IF(ISERROR(MATCH(AT$1,INDIRECT("Table!A"&amp;$BV64):INDIRECT("Table!" &amp; $CH$110 &amp; $BV64),0)),"",INDIRECT(CONCATENATE("Table!",ADDRESS($BZ64,MATCH(AT$1,INDIRECT("Table!A" &amp; $BV64):INDIRECT("Table!" &amp; $CH$110 &amp; $BV64),0)))))/1024</f>
        <v>188.50498046875001</v>
      </c>
      <c r="AU64" s="709">
        <f ca="1">IF(ISERROR(MATCH(AU$1,INDIRECT("Table!A"&amp;$BV64):INDIRECT("Table!" &amp; $CH$110 &amp; $BV64),0)),"",INDIRECT(CONCATENATE("Table!",ADDRESS($BZ64,MATCH(AU$1,INDIRECT("Table!A" &amp; $BV64):INDIRECT("Table!" &amp; $CH$110 &amp; $BV64),0)))))/1024</f>
        <v>129.03603515624999</v>
      </c>
      <c r="AV64" s="709">
        <f ca="1">IF(ISERROR(MATCH(AV$1,INDIRECT("Table!A"&amp;$BV64):INDIRECT("Table!" &amp; $CH$110 &amp; $BV64),0)),"",INDIRECT(CONCATENATE("Table!",ADDRESS($BZ64,MATCH(AV$1,INDIRECT("Table!A" &amp; $BV64):INDIRECT("Table!" &amp; $CH$110 &amp; $BV64),0)))))/1024</f>
        <v>80.787695312500006</v>
      </c>
      <c r="AW64" s="709">
        <f ca="1">IF(ISERROR(MATCH(AW$1,INDIRECT("Table!A"&amp;$BV64):INDIRECT("Table!" &amp; $CH$110 &amp; $BV64),0)),"",INDIRECT(CONCATENATE("Table!",ADDRESS($BZ64,MATCH(AW$1,INDIRECT("Table!A" &amp; $BV64):INDIRECT("Table!" &amp; $CH$110 &amp; $BV64),0)))))/1024</f>
        <v>269.2919921875</v>
      </c>
      <c r="AX64" s="709">
        <f ca="1">IF(ISERROR(MATCH(AX$1,INDIRECT("Table!A"&amp;$BV64):INDIRECT("Table!" &amp; $CH$110 &amp; $BV64),0)),"",INDIRECT(CONCATENATE("Table!",ADDRESS($BZ64,MATCH(AX$1,INDIRECT("Table!A" &amp; $BV64):INDIRECT("Table!" &amp; $CH$110 &amp; $BV64),0)))))/1024</f>
        <v>80.787695312500006</v>
      </c>
      <c r="AY64" s="709">
        <f ca="1">IF(ISERROR(MATCH(AY$1,INDIRECT("Table!A"&amp;$BV64):INDIRECT("Table!" &amp; $CH$110 &amp; $BV64),0)),"",INDIRECT(CONCATENATE("Table!",ADDRESS($BZ64,MATCH(AY$1,INDIRECT("Table!A" &amp; $BV64):INDIRECT("Table!" &amp; $CH$110 &amp; $BV64),0)))))/1024</f>
        <v>184.55234375000001</v>
      </c>
      <c r="AZ64" s="709">
        <f ca="1">IF(ISERROR(MATCH(AZ$1,INDIRECT("Table!A"&amp;$BV64):INDIRECT("Table!" &amp; $CH$110 &amp; $BV64),0)),"",INDIRECT(CONCATENATE("Table!",ADDRESS($BZ64,MATCH(AZ$1,INDIRECT("Table!A" &amp; $BV64):INDIRECT("Table!" &amp; $CH$110 &amp; $BV64),0)))))/1024</f>
        <v>210.22119140625</v>
      </c>
      <c r="BA64" s="709"/>
      <c r="BB64" s="709">
        <f ca="1">IF(ISERROR(MATCH(BB$1,INDIRECT("Table!A"&amp;$BV64):INDIRECT("Table!" &amp; $CH$110 &amp; $BV64),0)),"",INDIRECT(CONCATENATE("Table!",ADDRESS($BZ64,MATCH(BB$1,INDIRECT("Table!A" &amp; $BV64):INDIRECT("Table!" &amp; $CH$110 &amp; $BV64),0)))))/1024</f>
        <v>32.31494140625</v>
      </c>
      <c r="BC64" s="709"/>
      <c r="BD64" s="905"/>
      <c r="BE64" s="905"/>
      <c r="BF64" s="905"/>
      <c r="BG64" s="905"/>
      <c r="BH64" s="905"/>
      <c r="BI64" s="905"/>
      <c r="BJ64" s="905"/>
      <c r="BK64" s="905"/>
      <c r="BL64" s="905"/>
      <c r="BM64" s="905"/>
      <c r="BN64" s="905"/>
      <c r="BO64" s="905"/>
      <c r="BP64" s="905"/>
      <c r="BQ64" s="905"/>
      <c r="BR64" s="704">
        <f>MATCH($A64,Table!$A:$A,0)+$BT$2-1</f>
        <v>869</v>
      </c>
      <c r="BS64" s="705"/>
      <c r="BT64" s="705"/>
      <c r="BU64" s="705"/>
      <c r="BV64" s="717">
        <f>MATCH($A64,Table!$A:$A,0)+$BX$2-1</f>
        <v>867</v>
      </c>
      <c r="BW64" s="705"/>
      <c r="BX64" s="705"/>
      <c r="BY64" s="705"/>
      <c r="BZ64" s="704">
        <f>MATCH($A64,Table!$A:$A,0)+$CB$2-1</f>
        <v>868</v>
      </c>
      <c r="CA64" s="705"/>
      <c r="CB64" s="705"/>
      <c r="CC64" s="705"/>
      <c r="CD64" s="717">
        <f>MATCH($A64,Table!$A:$A,0)+$BX$2-1</f>
        <v>867</v>
      </c>
      <c r="CE64" s="705"/>
      <c r="CF64" s="705"/>
      <c r="CG64" s="705"/>
      <c r="CH64" s="711" t="s">
        <v>302</v>
      </c>
      <c r="CI64" s="712">
        <f t="shared" ca="1" si="139"/>
        <v>2706.8560546875005</v>
      </c>
      <c r="CJ64" s="712">
        <f t="shared" ca="1" si="85"/>
        <v>1164.4618164062499</v>
      </c>
      <c r="CK64" s="712">
        <f t="shared" ca="1" si="137"/>
        <v>1542.3942382812506</v>
      </c>
      <c r="CL64" s="718">
        <f t="shared" ca="1" si="138"/>
        <v>0.43018978212370584</v>
      </c>
      <c r="CM64" s="712">
        <f ca="1">SUMIF('Alloc Feed'!A:I,A:A,'Alloc Feed'!I:I)</f>
        <v>5312.2055449218751</v>
      </c>
      <c r="CN64" s="718">
        <f t="shared" ca="1" si="136"/>
        <v>1.9625001986059267</v>
      </c>
    </row>
    <row r="65" spans="1:92" s="267" customFormat="1" x14ac:dyDescent="0.25">
      <c r="A65" s="703">
        <v>41464</v>
      </c>
      <c r="B65" s="709">
        <f ca="1">IF(ISERROR(MATCH(B$1,INDIRECT("Table!A"&amp;$BV65):INDIRECT("Table!" &amp; $CH$110 &amp; $BV65),0)),"",INDIRECT(CONCATENATE("Table!",ADDRESS($BR65,MATCH(B$1,INDIRECT("Table!A" &amp; $BV65):INDIRECT("Table!" &amp; $CH$110 &amp; $BV65),0)))))/1024</f>
        <v>42.384570312500003</v>
      </c>
      <c r="C65" s="709">
        <f ca="1">IF(ISERROR(MATCH(C$1,INDIRECT("Table!A"&amp;$BV65):INDIRECT("Table!" &amp; $CH$110 &amp; $BV65),0)),"",INDIRECT(CONCATENATE("Table!",ADDRESS($BR65,MATCH(C$1,INDIRECT("Table!A" &amp; $BV65):INDIRECT("Table!" &amp; $CH$110 &amp; $BV65),0)))))/1024</f>
        <v>76.84765625</v>
      </c>
      <c r="D65" s="709">
        <f ca="1">IF(ISERROR(MATCH(D$1,INDIRECT("Table!A"&amp;$BV65):INDIRECT("Table!" &amp; $CH$110 &amp; $BV65),0)),"",INDIRECT(CONCATENATE("Table!",ADDRESS($BR65,MATCH(D$1,INDIRECT("Table!A" &amp; $BV65):INDIRECT("Table!" &amp; $CH$110 &amp; $BV65),0)))))/1024</f>
        <v>78.296093749999997</v>
      </c>
      <c r="E65" s="709">
        <f ca="1">IF(ISERROR(MATCH(E$1,INDIRECT("Table!A"&amp;$BV65):INDIRECT("Table!" &amp; $CH$110 &amp; $BV65),0)),"",INDIRECT(CONCATENATE("Table!",ADDRESS($BR65,MATCH(E$1,INDIRECT("Table!A" &amp; $BV65):INDIRECT("Table!" &amp; $CH$110 &amp; $BV65),0)))))/1024</f>
        <v>140.40888671875001</v>
      </c>
      <c r="F65" s="709">
        <f ca="1">IF(ISERROR(MATCH(F$1,INDIRECT("Table!A"&amp;$BV65):INDIRECT("Table!" &amp; $CH$110 &amp; $BV65),0)),"",INDIRECT(CONCATENATE("Table!",ADDRESS($BR65,MATCH(F$1,INDIRECT("Table!A" &amp; $BV65):INDIRECT("Table!" &amp; $CH$110 &amp; $BV65),0)))))/1024</f>
        <v>103.073046875</v>
      </c>
      <c r="G65" s="709">
        <f ca="1">IF(ISERROR(MATCH(G$1,INDIRECT("Table!A"&amp;$BV65):INDIRECT("Table!" &amp; $CH$110 &amp; $BV65),0)),"",INDIRECT(CONCATENATE("Table!",ADDRESS($BR65,MATCH(G$1,INDIRECT("Table!A" &amp; $BV65):INDIRECT("Table!" &amp; $CH$110 &amp; $BV65),0)))))/1024</f>
        <v>57.319628906250003</v>
      </c>
      <c r="H65" s="709">
        <f ca="1">IF(ISERROR(MATCH(H$1,INDIRECT("Table!A"&amp;$BV65):INDIRECT("Table!" &amp; $CH$110 &amp; $BV65),0)),"",INDIRECT(CONCATENATE("Table!",ADDRESS($BR65,MATCH(H$1,INDIRECT("Table!A" &amp; $BV65):INDIRECT("Table!" &amp; $CH$110 &amp; $BV65),0)))))/1024</f>
        <v>86.491992187500003</v>
      </c>
      <c r="I65" s="709">
        <f ca="1">IF(ISERROR(MATCH(I$1,INDIRECT("Table!A"&amp;$BV65):INDIRECT("Table!" &amp; $CH$110 &amp; $BV65),0)),"",INDIRECT(CONCATENATE("Table!",ADDRESS($BR65,MATCH(I$1,INDIRECT("Table!A" &amp; $BV65):INDIRECT("Table!" &amp; $CH$110 &amp; $BV65),0)))))/1024</f>
        <v>8.5005859375000004</v>
      </c>
      <c r="J65" s="709">
        <f ca="1">IF(ISERROR(MATCH(J$1,INDIRECT("Table!A"&amp;$BV65):INDIRECT("Table!" &amp; $CH$110 &amp; $BV65),0)),"",INDIRECT(CONCATENATE("Table!",ADDRESS($BR65,MATCH(J$1,INDIRECT("Table!A" &amp; $BV65):INDIRECT("Table!" &amp; $CH$110 &amp; $BV65),0)))))/1024</f>
        <v>8.12451171875</v>
      </c>
      <c r="K65" s="709">
        <f ca="1">IF(ISERROR(MATCH(K$1,INDIRECT("Table!A"&amp;$BV65):INDIRECT("Table!" &amp; $CH$110 &amp; $BV65),0)),"",INDIRECT(CONCATENATE("Table!",ADDRESS($BR65,MATCH(K$1,INDIRECT("Table!A" &amp; $BV65):INDIRECT("Table!" &amp; $CH$110 &amp; $BV65),0)))))/1024</f>
        <v>4.5898437500000002E-3</v>
      </c>
      <c r="L65" s="709">
        <f ca="1">IF(ISERROR(MATCH(L$1,INDIRECT("Table!A"&amp;$BV65):INDIRECT("Table!" &amp; $CH$110 &amp; $BV65),0)),"",INDIRECT(CONCATENATE("Table!",ADDRESS($BR65,MATCH(L$1,INDIRECT("Table!A" &amp; $BV65):INDIRECT("Table!" &amp; $CH$110 &amp; $BV65),0)))))/1024</f>
        <v>158.25</v>
      </c>
      <c r="M65" s="709">
        <f ca="1">IF(ISERROR(MATCH(M$1,INDIRECT("Table!A"&amp;$BV65):INDIRECT("Table!" &amp; $CH$110 &amp; $BV65),0)),"",INDIRECT(CONCATENATE("Table!",ADDRESS($BR65,MATCH(M$1,INDIRECT("Table!A" &amp; $BV65):INDIRECT("Table!" &amp; $CH$110 &amp; $BV65),0)))))/1024</f>
        <v>53.827050781250001</v>
      </c>
      <c r="N65" s="709">
        <f ca="1">IF(ISERROR(MATCH(N$1,INDIRECT("Table!A"&amp;$BV65):INDIRECT("Table!" &amp; $CH$110 &amp; $BV65),0)),"",INDIRECT(CONCATENATE("Table!",ADDRESS($BR65,MATCH(N$1,INDIRECT("Table!A" &amp; $BV65):INDIRECT("Table!" &amp; $CH$110 &amp; $BV65),0)))))/1024</f>
        <v>52.95263671875</v>
      </c>
      <c r="O65" s="709">
        <f ca="1">IF(ISERROR(MATCH(O$1,INDIRECT("Table!A"&amp;$BV65):INDIRECT("Table!" &amp; $CH$110 &amp; $BV65),0)),"",INDIRECT(CONCATENATE("Table!",ADDRESS($BR65,MATCH(O$1,INDIRECT("Table!A" &amp; $BV65):INDIRECT("Table!" &amp; $CH$110 &amp; $BV65),0)))))/1024</f>
        <v>157.5712890625</v>
      </c>
      <c r="P65" s="709">
        <f ca="1">IF(ISERROR(MATCH(P$1,INDIRECT("Table!A"&amp;$BV65):INDIRECT("Table!" &amp; $CH$110 &amp; $BV65),0)),"",INDIRECT(CONCATENATE("Table!",ADDRESS($BR65,MATCH(P$1,INDIRECT("Table!A" &amp; $BV65):INDIRECT("Table!" &amp; $CH$110 &amp; $BV65),0)))))/1024</f>
        <v>16.544238281249999</v>
      </c>
      <c r="Q65" s="709">
        <f ca="1">IF(ISERROR(MATCH(Q$1,INDIRECT("Table!A"&amp;$BV65):INDIRECT("Table!" &amp; $CH$110 &amp; $BV65),0)),"",INDIRECT(CONCATENATE("Table!",ADDRESS($BR65,MATCH(Q$1,INDIRECT("Table!A" &amp; $BV65):INDIRECT("Table!" &amp; $CH$110 &amp; $BV65),0)))))/1024</f>
        <v>13.765625</v>
      </c>
      <c r="R65" s="709">
        <f ca="1">IF(ISERROR(MATCH(R$1,INDIRECT("Table!A"&amp;$BV65):INDIRECT("Table!" &amp; $CH$110 &amp; $BV65),0)),"",INDIRECT(CONCATENATE("Table!",ADDRESS($BR65,MATCH(R$1,INDIRECT("Table!A" &amp; $BV65):INDIRECT("Table!" &amp; $CH$110 &amp; $BV65),0)))))/1024</f>
        <v>4.39453125E-3</v>
      </c>
      <c r="S65" s="709">
        <v>0</v>
      </c>
      <c r="T65" s="709">
        <f ca="1">IF(ISERROR(MATCH(T$1,INDIRECT("Table!A"&amp;$BV65):INDIRECT("Table!" &amp; $CH$65 &amp; $BV65),0)),"",INDIRECT(CONCATENATE("Table!",ADDRESS($BR65,MATCH(T$1,INDIRECT("Table!A" &amp; $BV65):INDIRECT("Table!" &amp; $CH$65 &amp; $BV65),0)))))/1024</f>
        <v>4.935546875</v>
      </c>
      <c r="U65" s="709"/>
      <c r="V65" s="905"/>
      <c r="W65" s="905"/>
      <c r="X65" s="905"/>
      <c r="Y65" s="905"/>
      <c r="Z65" s="905"/>
      <c r="AA65" s="905"/>
      <c r="AB65" s="905"/>
      <c r="AC65" s="905"/>
      <c r="AD65" s="905"/>
      <c r="AE65" s="905"/>
      <c r="AF65" s="905"/>
      <c r="AG65" s="905"/>
      <c r="AH65" s="905"/>
      <c r="AI65" s="709" t="str">
        <f ca="1">IF(ISERROR(MATCH(AI$1,INDIRECT("Table!A"&amp;$BV65):INDIRECT("Table!" &amp; $CH$110 &amp; $BV65),0)),"",INDIRECT(CONCATENATE("Table!",ADDRESS($BR65,MATCH(AI$1,INDIRECT("Table!A" &amp; $BV65):INDIRECT("Table!" &amp; $CH$110 &amp; $BV65),0)))))</f>
        <v/>
      </c>
      <c r="AJ65" s="709">
        <f ca="1">IF(ISERROR(MATCH(AJ$1,INDIRECT("Table!A"&amp;$BV65):INDIRECT("Table!" &amp; $CH$110 &amp; $BV65),0)),"",INDIRECT(CONCATENATE("Table!",ADDRESS($BZ65,MATCH(AJ$1,INDIRECT("Table!A" &amp; $BV65):INDIRECT("Table!" &amp; $CH$110 &amp; $BV65),0)))))/1024</f>
        <v>140.0322265625</v>
      </c>
      <c r="AK65" s="709">
        <f ca="1">IF(ISERROR(MATCH(AK$1,INDIRECT("Table!A"&amp;$BV65):INDIRECT("Table!" &amp; $CH$110 &amp; $BV65),0)),"",INDIRECT(CONCATENATE("Table!",ADDRESS($BZ65,MATCH(AK$1,INDIRECT("Table!A" &amp; $BV65):INDIRECT("Table!" &amp; $CH$110 &amp; $BV65),0)))))/1024</f>
        <v>146.98896484375001</v>
      </c>
      <c r="AL65" s="709">
        <f ca="1">IF(ISERROR(MATCH(AL$1,INDIRECT("Table!A"&amp;$BV65):INDIRECT("Table!" &amp; $CH$110 &amp; $BV65),0)),"",INDIRECT(CONCATENATE("Table!",ADDRESS($BZ65,MATCH(AL$1,INDIRECT("Table!A" &amp; $BV65):INDIRECT("Table!" &amp; $CH$110 &amp; $BV65),0)))))/1024</f>
        <v>146.98896484375001</v>
      </c>
      <c r="AM65" s="709">
        <f ca="1">IF(ISERROR(MATCH(AM$1,INDIRECT("Table!A"&amp;$BV65):INDIRECT("Table!" &amp; $CH$110 &amp; $BV65),0)),"",INDIRECT(CONCATENATE("Table!",ADDRESS($BZ65,MATCH(AM$1,INDIRECT("Table!A" &amp; $BV65):INDIRECT("Table!" &amp; $CH$110 &amp; $BV65),0)))))/1024</f>
        <v>177.73222656249999</v>
      </c>
      <c r="AN65" s="709">
        <f ca="1">IF(ISERROR(MATCH(AN$1,INDIRECT("Table!A"&amp;$BV65):INDIRECT("Table!" &amp; $CH$110 &amp; $BV65),0)),"",INDIRECT(CONCATENATE("Table!",ADDRESS($BZ65,MATCH(AN$1,INDIRECT("Table!A" &amp; $BV65):INDIRECT("Table!" &amp; $CH$110 &amp; $BV65),0)))))/1024</f>
        <v>161.57470703125</v>
      </c>
      <c r="AO65" s="709">
        <f ca="1">IF(ISERROR(MATCH(AO$1,INDIRECT("Table!A"&amp;$BV65):INDIRECT("Table!" &amp; $CH$110 &amp; $BV65),0)),"",INDIRECT(CONCATENATE("Table!",ADDRESS($BZ65,MATCH(AO$1,INDIRECT("Table!A" &amp; $BV65):INDIRECT("Table!" &amp; $CH$110 &amp; $BV65),0)))))/1024</f>
        <v>129.03603515624999</v>
      </c>
      <c r="AP65" s="709">
        <f ca="1">IF(ISERROR(MATCH(AP$1,INDIRECT("Table!A"&amp;$BV65):INDIRECT("Table!" &amp; $CH$110 &amp; $BV65),0)),"",INDIRECT(CONCATENATE("Table!",ADDRESS($BZ65,MATCH(AP$1,INDIRECT("Table!A" &amp; $BV65):INDIRECT("Table!" &amp; $CH$110 &amp; $BV65),0)))))/1024</f>
        <v>166.96152343750001</v>
      </c>
      <c r="AQ65" s="709">
        <f ca="1">IF(ISERROR(MATCH(AQ$1,INDIRECT("Table!A"&amp;$BV65):INDIRECT("Table!" &amp; $CH$110 &amp; $BV65),0)),"",INDIRECT(CONCATENATE("Table!",ADDRESS($BZ65,MATCH(AQ$1,INDIRECT("Table!A" &amp; $BV65):INDIRECT("Table!" &amp; $CH$110 &amp; $BV65),0)))))/1024</f>
        <v>161.57568359375</v>
      </c>
      <c r="AR65" s="709">
        <f ca="1">IF(ISERROR(MATCH(AR$1,INDIRECT("Table!A"&amp;$BV65):INDIRECT("Table!" &amp; $CH$110 &amp; $BV65),0)),"",INDIRECT(CONCATENATE("Table!",ADDRESS($BZ65,MATCH(AR$1,INDIRECT("Table!A" &amp; $BV65):INDIRECT("Table!" &amp; $CH$110 &amp; $BV65),0)))))/1024</f>
        <v>90.245703125000006</v>
      </c>
      <c r="AS65" s="709">
        <f ca="1">IF(ISERROR(MATCH(AS$1,INDIRECT("Table!A"&amp;$BV65):INDIRECT("Table!" &amp; $CH$110 &amp; $BV65),0)),"",INDIRECT(CONCATENATE("Table!",ADDRESS($BZ65,MATCH(AS$1,INDIRECT("Table!A" &amp; $BV65):INDIRECT("Table!" &amp; $CH$110 &amp; $BV65),0)))))/1024</f>
        <v>128.974609375</v>
      </c>
      <c r="AT65" s="709">
        <f ca="1">IF(ISERROR(MATCH(AT$1,INDIRECT("Table!A"&amp;$BV65):INDIRECT("Table!" &amp; $CH$110 &amp; $BV65),0)),"",INDIRECT(CONCATENATE("Table!",ADDRESS($BZ65,MATCH(AT$1,INDIRECT("Table!A" &amp; $BV65):INDIRECT("Table!" &amp; $CH$110 &amp; $BV65),0)))))/1024</f>
        <v>188.50498046875001</v>
      </c>
      <c r="AU65" s="709">
        <f ca="1">IF(ISERROR(MATCH(AU$1,INDIRECT("Table!A"&amp;$BV65):INDIRECT("Table!" &amp; $CH$110 &amp; $BV65),0)),"",INDIRECT(CONCATENATE("Table!",ADDRESS($BZ65,MATCH(AU$1,INDIRECT("Table!A" &amp; $BV65):INDIRECT("Table!" &amp; $CH$110 &amp; $BV65),0)))))/1024</f>
        <v>129.03603515624999</v>
      </c>
      <c r="AV65" s="709">
        <f ca="1">IF(ISERROR(MATCH(AV$1,INDIRECT("Table!A"&amp;$BV65):INDIRECT("Table!" &amp; $CH$110 &amp; $BV65),0)),"",INDIRECT(CONCATENATE("Table!",ADDRESS($BZ65,MATCH(AV$1,INDIRECT("Table!A" &amp; $BV65):INDIRECT("Table!" &amp; $CH$110 &amp; $BV65),0)))))/1024</f>
        <v>80.787695312500006</v>
      </c>
      <c r="AW65" s="709">
        <f ca="1">IF(ISERROR(MATCH(AW$1,INDIRECT("Table!A"&amp;$BV65):INDIRECT("Table!" &amp; $CH$110 &amp; $BV65),0)),"",INDIRECT(CONCATENATE("Table!",ADDRESS($BZ65,MATCH(AW$1,INDIRECT("Table!A" &amp; $BV65):INDIRECT("Table!" &amp; $CH$110 &amp; $BV65),0)))))/1024</f>
        <v>269.2919921875</v>
      </c>
      <c r="AX65" s="709">
        <f ca="1">IF(ISERROR(MATCH(AX$1,INDIRECT("Table!A"&amp;$BV65):INDIRECT("Table!" &amp; $CH$110 &amp; $BV65),0)),"",INDIRECT(CONCATENATE("Table!",ADDRESS($BZ65,MATCH(AX$1,INDIRECT("Table!A" &amp; $BV65):INDIRECT("Table!" &amp; $CH$110 &amp; $BV65),0)))))/1024</f>
        <v>80.787695312500006</v>
      </c>
      <c r="AY65" s="709">
        <f ca="1">IF(ISERROR(MATCH(AY$1,INDIRECT("Table!A"&amp;$BV65):INDIRECT("Table!" &amp; $CH$110 &amp; $BV65),0)),"",INDIRECT(CONCATENATE("Table!",ADDRESS($BZ65,MATCH(AY$1,INDIRECT("Table!A" &amp; $BV65):INDIRECT("Table!" &amp; $CH$110 &amp; $BV65),0)))))/1024</f>
        <v>184.55234375000001</v>
      </c>
      <c r="AZ65" s="709">
        <f ca="1">IF(ISERROR(MATCH(AZ$1,INDIRECT("Table!A"&amp;$BV65):INDIRECT("Table!" &amp; $CH$110 &amp; $BV65),0)),"",INDIRECT(CONCATENATE("Table!",ADDRESS($BZ65,MATCH(AZ$1,INDIRECT("Table!A" &amp; $BV65):INDIRECT("Table!" &amp; $CH$110 &amp; $BV65),0)))))/1024</f>
        <v>128.974609375</v>
      </c>
      <c r="BA65" s="709"/>
      <c r="BB65" s="709">
        <f ca="1">IF(ISERROR(MATCH(BB$1,INDIRECT("Table!A"&amp;$BV65):INDIRECT("Table!" &amp; $CH$110 &amp; $BV65),0)),"",INDIRECT(CONCATENATE("Table!",ADDRESS($BZ65,MATCH(BB$1,INDIRECT("Table!A" &amp; $BV65):INDIRECT("Table!" &amp; $CH$110 &amp; $BV65),0)))))/1024</f>
        <v>32.31494140625</v>
      </c>
      <c r="BC65" s="709"/>
      <c r="BD65" s="905"/>
      <c r="BE65" s="905"/>
      <c r="BF65" s="905"/>
      <c r="BG65" s="905"/>
      <c r="BH65" s="905"/>
      <c r="BI65" s="905"/>
      <c r="BJ65" s="905"/>
      <c r="BK65" s="905"/>
      <c r="BL65" s="905"/>
      <c r="BM65" s="905"/>
      <c r="BN65" s="905"/>
      <c r="BO65" s="905"/>
      <c r="BP65" s="905"/>
      <c r="BQ65" s="905"/>
      <c r="BR65" s="704">
        <f>MATCH($A65,Table!$A:$A,0)+$BT$2-1</f>
        <v>881</v>
      </c>
      <c r="BS65" s="705"/>
      <c r="BT65" s="705"/>
      <c r="BU65" s="705"/>
      <c r="BV65" s="717">
        <f>MATCH($A65,Table!$A:$A,0)+$BX$2-1</f>
        <v>879</v>
      </c>
      <c r="BW65" s="705"/>
      <c r="BX65" s="705"/>
      <c r="BY65" s="705"/>
      <c r="BZ65" s="704">
        <f>MATCH($A65,Table!$A:$A,0)+$CB$2-1</f>
        <v>880</v>
      </c>
      <c r="CA65" s="705"/>
      <c r="CB65" s="705"/>
      <c r="CC65" s="705"/>
      <c r="CD65" s="717">
        <f>MATCH($A65,Table!$A:$A,0)+$BX$2-1</f>
        <v>879</v>
      </c>
      <c r="CE65" s="705"/>
      <c r="CF65" s="705"/>
      <c r="CG65" s="705"/>
      <c r="CH65" s="711" t="s">
        <v>302</v>
      </c>
      <c r="CI65" s="712">
        <f t="shared" ca="1" si="139"/>
        <v>2544.3609375000005</v>
      </c>
      <c r="CJ65" s="712">
        <f t="shared" ca="1" si="85"/>
        <v>1059.3023437499999</v>
      </c>
      <c r="CK65" s="712">
        <f t="shared" ca="1" si="137"/>
        <v>1485.0585937500007</v>
      </c>
      <c r="CL65" s="718">
        <f t="shared" ca="1" si="138"/>
        <v>0.41633336219618</v>
      </c>
      <c r="CM65" s="712">
        <f ca="1">SUMIF('Alloc Feed'!A:I,A:A,'Alloc Feed'!I:I)</f>
        <v>5217.3764824218752</v>
      </c>
      <c r="CN65" s="718">
        <f t="shared" ca="1" si="136"/>
        <v>2.0505646056444671</v>
      </c>
    </row>
    <row r="66" spans="1:92" s="267" customFormat="1" x14ac:dyDescent="0.25">
      <c r="A66" s="703">
        <v>41449</v>
      </c>
      <c r="B66" s="709">
        <f ca="1">IF(ISERROR(MATCH(B$1,INDIRECT("Table!A"&amp;$BV66):INDIRECT("Table!" &amp; $CH$110 &amp; $BV66),0)),"",INDIRECT(CONCATENATE("Table!",ADDRESS($BR66,MATCH(B$1,INDIRECT("Table!A" &amp; $BV66):INDIRECT("Table!" &amp; $CH$110 &amp; $BV66),0)))))/1024</f>
        <v>42.384570312500003</v>
      </c>
      <c r="C66" s="709">
        <f ca="1">IF(ISERROR(MATCH(C$1,INDIRECT("Table!A"&amp;$BV66):INDIRECT("Table!" &amp; $CH$110 &amp; $BV66),0)),"",INDIRECT(CONCATENATE("Table!",ADDRESS($BR66,MATCH(C$1,INDIRECT("Table!A" &amp; $BV66):INDIRECT("Table!" &amp; $CH$110 &amp; $BV66),0)))))/1024</f>
        <v>76.84765625</v>
      </c>
      <c r="D66" s="709">
        <f ca="1">IF(ISERROR(MATCH(D$1,INDIRECT("Table!A"&amp;$BV66):INDIRECT("Table!" &amp; $CH$110 &amp; $BV66),0)),"",INDIRECT(CONCATENATE("Table!",ADDRESS($BR66,MATCH(D$1,INDIRECT("Table!A" &amp; $BV66):INDIRECT("Table!" &amp; $CH$110 &amp; $BV66),0)))))/1024</f>
        <v>78.296093749999997</v>
      </c>
      <c r="E66" s="709">
        <f ca="1">IF(ISERROR(MATCH(E$1,INDIRECT("Table!A"&amp;$BV66):INDIRECT("Table!" &amp; $CH$110 &amp; $BV66),0)),"",INDIRECT(CONCATENATE("Table!",ADDRESS($BR66,MATCH(E$1,INDIRECT("Table!A" &amp; $BV66):INDIRECT("Table!" &amp; $CH$110 &amp; $BV66),0)))))/1024</f>
        <v>140.40888671875001</v>
      </c>
      <c r="F66" s="709">
        <f ca="1">IF(ISERROR(MATCH(F$1,INDIRECT("Table!A"&amp;$BV66):INDIRECT("Table!" &amp; $CH$110 &amp; $BV66),0)),"",INDIRECT(CONCATENATE("Table!",ADDRESS($BR66,MATCH(F$1,INDIRECT("Table!A" &amp; $BV66):INDIRECT("Table!" &amp; $CH$110 &amp; $BV66),0)))))/1024</f>
        <v>103.073046875</v>
      </c>
      <c r="G66" s="709">
        <f ca="1">IF(ISERROR(MATCH(G$1,INDIRECT("Table!A"&amp;$BV66):INDIRECT("Table!" &amp; $CH$110 &amp; $BV66),0)),"",INDIRECT(CONCATENATE("Table!",ADDRESS($BR66,MATCH(G$1,INDIRECT("Table!A" &amp; $BV66):INDIRECT("Table!" &amp; $CH$110 &amp; $BV66),0)))))/1024</f>
        <v>57.319628906250003</v>
      </c>
      <c r="H66" s="709">
        <f ca="1">IF(ISERROR(MATCH(H$1,INDIRECT("Table!A"&amp;$BV66):INDIRECT("Table!" &amp; $CH$110 &amp; $BV66),0)),"",INDIRECT(CONCATENATE("Table!",ADDRESS($BR66,MATCH(H$1,INDIRECT("Table!A" &amp; $BV66):INDIRECT("Table!" &amp; $CH$110 &amp; $BV66),0)))))/1024</f>
        <v>86.491992187500003</v>
      </c>
      <c r="I66" s="709">
        <f ca="1">IF(ISERROR(MATCH(I$1,INDIRECT("Table!A"&amp;$BV66):INDIRECT("Table!" &amp; $CH$110 &amp; $BV66),0)),"",INDIRECT(CONCATENATE("Table!",ADDRESS($BR66,MATCH(I$1,INDIRECT("Table!A" &amp; $BV66):INDIRECT("Table!" &amp; $CH$110 &amp; $BV66),0)))))/1024</f>
        <v>8.5005859375000004</v>
      </c>
      <c r="J66" s="709">
        <f ca="1">IF(ISERROR(MATCH(J$1,INDIRECT("Table!A"&amp;$BV66):INDIRECT("Table!" &amp; $CH$110 &amp; $BV66),0)),"",INDIRECT(CONCATENATE("Table!",ADDRESS($BR66,MATCH(J$1,INDIRECT("Table!A" &amp; $BV66):INDIRECT("Table!" &amp; $CH$110 &amp; $BV66),0)))))/1024</f>
        <v>8.12451171875</v>
      </c>
      <c r="K66" s="709">
        <f ca="1">IF(ISERROR(MATCH(K$1,INDIRECT("Table!A"&amp;$BV66):INDIRECT("Table!" &amp; $CH$110 &amp; $BV66),0)),"",INDIRECT(CONCATENATE("Table!",ADDRESS($BR66,MATCH(K$1,INDIRECT("Table!A" &amp; $BV66):INDIRECT("Table!" &amp; $CH$110 &amp; $BV66),0)))))/1024</f>
        <v>4.5898437500000002E-3</v>
      </c>
      <c r="L66" s="709">
        <f ca="1">IF(ISERROR(MATCH(L$1,INDIRECT("Table!A"&amp;$BV66):INDIRECT("Table!" &amp; $CH$110 &amp; $BV66),0)),"",INDIRECT(CONCATENATE("Table!",ADDRESS($BR66,MATCH(L$1,INDIRECT("Table!A" &amp; $BV66):INDIRECT("Table!" &amp; $CH$110 &amp; $BV66),0)))))/1024</f>
        <v>158.25</v>
      </c>
      <c r="M66" s="709">
        <f ca="1">IF(ISERROR(MATCH(M$1,INDIRECT("Table!A"&amp;$BV66):INDIRECT("Table!" &amp; $CH$110 &amp; $BV66),0)),"",INDIRECT(CONCATENATE("Table!",ADDRESS($BR66,MATCH(M$1,INDIRECT("Table!A" &amp; $BV66):INDIRECT("Table!" &amp; $CH$110 &amp; $BV66),0)))))/1024</f>
        <v>53.827050781250001</v>
      </c>
      <c r="N66" s="709">
        <f ca="1">IF(ISERROR(MATCH(N$1,INDIRECT("Table!A"&amp;$BV66):INDIRECT("Table!" &amp; $CH$110 &amp; $BV66),0)),"",INDIRECT(CONCATENATE("Table!",ADDRESS($BR66,MATCH(N$1,INDIRECT("Table!A" &amp; $BV66):INDIRECT("Table!" &amp; $CH$110 &amp; $BV66),0)))))/1024</f>
        <v>52.95263671875</v>
      </c>
      <c r="O66" s="709">
        <f ca="1">IF(ISERROR(MATCH(O$1,INDIRECT("Table!A"&amp;$BV66):INDIRECT("Table!" &amp; $CH$110 &amp; $BV66),0)),"",INDIRECT(CONCATENATE("Table!",ADDRESS($BR66,MATCH(O$1,INDIRECT("Table!A" &amp; $BV66):INDIRECT("Table!" &amp; $CH$110 &amp; $BV66),0)))))/1024</f>
        <v>157.5712890625</v>
      </c>
      <c r="P66" s="709">
        <f ca="1">IF(ISERROR(MATCH(P$1,INDIRECT("Table!A"&amp;$BV66):INDIRECT("Table!" &amp; $CH$110 &amp; $BV66),0)),"",INDIRECT(CONCATENATE("Table!",ADDRESS($BR66,MATCH(P$1,INDIRECT("Table!A" &amp; $BV66):INDIRECT("Table!" &amp; $CH$110 &amp; $BV66),0)))))/1024</f>
        <v>16.544238281249999</v>
      </c>
      <c r="Q66" s="709">
        <f ca="1">IF(ISERROR(MATCH(Q$1,INDIRECT("Table!A"&amp;$BV66):INDIRECT("Table!" &amp; $CH$110 &amp; $BV66),0)),"",INDIRECT(CONCATENATE("Table!",ADDRESS($BR66,MATCH(Q$1,INDIRECT("Table!A" &amp; $BV66):INDIRECT("Table!" &amp; $CH$110 &amp; $BV66),0)))))/1024</f>
        <v>13.765625</v>
      </c>
      <c r="R66" s="709">
        <f ca="1">IF(ISERROR(MATCH(R$1,INDIRECT("Table!A"&amp;$BV66):INDIRECT("Table!" &amp; $CH$110 &amp; $BV66),0)),"",INDIRECT(CONCATENATE("Table!",ADDRESS($BR66,MATCH(R$1,INDIRECT("Table!A" &amp; $BV66):INDIRECT("Table!" &amp; $CH$110 &amp; $BV66),0)))))/1024</f>
        <v>4.39453125E-3</v>
      </c>
      <c r="S66" s="709">
        <v>0</v>
      </c>
      <c r="T66" s="709">
        <f ca="1">IF(ISERROR(MATCH(T$1,INDIRECT("Table!A"&amp;$BV66):INDIRECT("Table!" &amp; $CH$65 &amp; $BV66),0)),"",INDIRECT(CONCATENATE("Table!",ADDRESS($BR66,MATCH(T$1,INDIRECT("Table!A" &amp; $BV66):INDIRECT("Table!" &amp; $CH$65 &amp; $BV66),0)))))/1024</f>
        <v>4.935546875</v>
      </c>
      <c r="U66" s="709"/>
      <c r="V66" s="905"/>
      <c r="W66" s="905"/>
      <c r="X66" s="905"/>
      <c r="Y66" s="905"/>
      <c r="Z66" s="905"/>
      <c r="AA66" s="905"/>
      <c r="AB66" s="905"/>
      <c r="AC66" s="905"/>
      <c r="AD66" s="905"/>
      <c r="AE66" s="905"/>
      <c r="AF66" s="905"/>
      <c r="AG66" s="905"/>
      <c r="AH66" s="905"/>
      <c r="AI66" s="709" t="str">
        <f ca="1">IF(ISERROR(MATCH(AI$1,INDIRECT("Table!A"&amp;$BV66):INDIRECT("Table!" &amp; $CH$110 &amp; $BV66),0)),"",INDIRECT(CONCATENATE("Table!",ADDRESS($BR66,MATCH(AI$1,INDIRECT("Table!A" &amp; $BV66):INDIRECT("Table!" &amp; $CH$110 &amp; $BV66),0)))))</f>
        <v/>
      </c>
      <c r="AJ66" s="709">
        <f ca="1">IF(ISERROR(MATCH(AJ$1,INDIRECT("Table!A"&amp;$BV66):INDIRECT("Table!" &amp; $CH$110 &amp; $BV66),0)),"",INDIRECT(CONCATENATE("Table!",ADDRESS($BZ66,MATCH(AJ$1,INDIRECT("Table!A" &amp; $BV66):INDIRECT("Table!" &amp; $CH$110 &amp; $BV66),0)))))/1024</f>
        <v>140.0322265625</v>
      </c>
      <c r="AK66" s="709">
        <f ca="1">IF(ISERROR(MATCH(AK$1,INDIRECT("Table!A"&amp;$BV66):INDIRECT("Table!" &amp; $CH$110 &amp; $BV66),0)),"",INDIRECT(CONCATENATE("Table!",ADDRESS($BZ66,MATCH(AK$1,INDIRECT("Table!A" &amp; $BV66):INDIRECT("Table!" &amp; $CH$110 &amp; $BV66),0)))))/1024</f>
        <v>146.98896484375001</v>
      </c>
      <c r="AL66" s="709">
        <f ca="1">IF(ISERROR(MATCH(AL$1,INDIRECT("Table!A"&amp;$BV66):INDIRECT("Table!" &amp; $CH$110 &amp; $BV66),0)),"",INDIRECT(CONCATENATE("Table!",ADDRESS($BZ66,MATCH(AL$1,INDIRECT("Table!A" &amp; $BV66):INDIRECT("Table!" &amp; $CH$110 &amp; $BV66),0)))))/1024</f>
        <v>146.98896484375001</v>
      </c>
      <c r="AM66" s="709">
        <f ca="1">IF(ISERROR(MATCH(AM$1,INDIRECT("Table!A"&amp;$BV66):INDIRECT("Table!" &amp; $CH$110 &amp; $BV66),0)),"",INDIRECT(CONCATENATE("Table!",ADDRESS($BZ66,MATCH(AM$1,INDIRECT("Table!A" &amp; $BV66):INDIRECT("Table!" &amp; $CH$110 &amp; $BV66),0)))))/1024</f>
        <v>177.73222656249999</v>
      </c>
      <c r="AN66" s="709">
        <f ca="1">IF(ISERROR(MATCH(AN$1,INDIRECT("Table!A"&amp;$BV66):INDIRECT("Table!" &amp; $CH$110 &amp; $BV66),0)),"",INDIRECT(CONCATENATE("Table!",ADDRESS($BZ66,MATCH(AN$1,INDIRECT("Table!A" &amp; $BV66):INDIRECT("Table!" &amp; $CH$110 &amp; $BV66),0)))))/1024</f>
        <v>161.57470703125</v>
      </c>
      <c r="AO66" s="709">
        <f ca="1">IF(ISERROR(MATCH(AO$1,INDIRECT("Table!A"&amp;$BV66):INDIRECT("Table!" &amp; $CH$110 &amp; $BV66),0)),"",INDIRECT(CONCATENATE("Table!",ADDRESS($BZ66,MATCH(AO$1,INDIRECT("Table!A" &amp; $BV66):INDIRECT("Table!" &amp; $CH$110 &amp; $BV66),0)))))/1024</f>
        <v>129.03603515624999</v>
      </c>
      <c r="AP66" s="709">
        <f ca="1">IF(ISERROR(MATCH(AP$1,INDIRECT("Table!A"&amp;$BV66):INDIRECT("Table!" &amp; $CH$110 &amp; $BV66),0)),"",INDIRECT(CONCATENATE("Table!",ADDRESS($BZ66,MATCH(AP$1,INDIRECT("Table!A" &amp; $BV66):INDIRECT("Table!" &amp; $CH$110 &amp; $BV66),0)))))/1024</f>
        <v>166.96152343750001</v>
      </c>
      <c r="AQ66" s="709">
        <f ca="1">IF(ISERROR(MATCH(AQ$1,INDIRECT("Table!A"&amp;$BV66):INDIRECT("Table!" &amp; $CH$110 &amp; $BV66),0)),"",INDIRECT(CONCATENATE("Table!",ADDRESS($BZ66,MATCH(AQ$1,INDIRECT("Table!A" &amp; $BV66):INDIRECT("Table!" &amp; $CH$110 &amp; $BV66),0)))))/1024</f>
        <v>161.57568359375</v>
      </c>
      <c r="AR66" s="709">
        <f ca="1">IF(ISERROR(MATCH(AR$1,INDIRECT("Table!A"&amp;$BV66):INDIRECT("Table!" &amp; $CH$110 &amp; $BV66),0)),"",INDIRECT(CONCATENATE("Table!",ADDRESS($BZ66,MATCH(AR$1,INDIRECT("Table!A" &amp; $BV66):INDIRECT("Table!" &amp; $CH$110 &amp; $BV66),0)))))/1024</f>
        <v>90.245703125000006</v>
      </c>
      <c r="AS66" s="709">
        <f ca="1">IF(ISERROR(MATCH(AS$1,INDIRECT("Table!A"&amp;$BV66):INDIRECT("Table!" &amp; $CH$110 &amp; $BV66),0)),"",INDIRECT(CONCATENATE("Table!",ADDRESS($BZ66,MATCH(AS$1,INDIRECT("Table!A" &amp; $BV66):INDIRECT("Table!" &amp; $CH$110 &amp; $BV66),0)))))/1024</f>
        <v>128.974609375</v>
      </c>
      <c r="AT66" s="709">
        <f ca="1">IF(ISERROR(MATCH(AT$1,INDIRECT("Table!A"&amp;$BV66):INDIRECT("Table!" &amp; $CH$110 &amp; $BV66),0)),"",INDIRECT(CONCATENATE("Table!",ADDRESS($BZ66,MATCH(AT$1,INDIRECT("Table!A" &amp; $BV66):INDIRECT("Table!" &amp; $CH$110 &amp; $BV66),0)))))/1024</f>
        <v>188.50498046875001</v>
      </c>
      <c r="AU66" s="709">
        <f ca="1">IF(ISERROR(MATCH(AU$1,INDIRECT("Table!A"&amp;$BV66):INDIRECT("Table!" &amp; $CH$110 &amp; $BV66),0)),"",INDIRECT(CONCATENATE("Table!",ADDRESS($BZ66,MATCH(AU$1,INDIRECT("Table!A" &amp; $BV66):INDIRECT("Table!" &amp; $CH$110 &amp; $BV66),0)))))/1024</f>
        <v>129.03603515624999</v>
      </c>
      <c r="AV66" s="709">
        <f ca="1">IF(ISERROR(MATCH(AV$1,INDIRECT("Table!A"&amp;$BV66):INDIRECT("Table!" &amp; $CH$110 &amp; $BV66),0)),"",INDIRECT(CONCATENATE("Table!",ADDRESS($BZ66,MATCH(AV$1,INDIRECT("Table!A" &amp; $BV66):INDIRECT("Table!" &amp; $CH$110 &amp; $BV66),0)))))/1024</f>
        <v>80.787695312500006</v>
      </c>
      <c r="AW66" s="709">
        <f ca="1">IF(ISERROR(MATCH(AW$1,INDIRECT("Table!A"&amp;$BV66):INDIRECT("Table!" &amp; $CH$110 &amp; $BV66),0)),"",INDIRECT(CONCATENATE("Table!",ADDRESS($BZ66,MATCH(AW$1,INDIRECT("Table!A" &amp; $BV66):INDIRECT("Table!" &amp; $CH$110 &amp; $BV66),0)))))/1024</f>
        <v>269.2919921875</v>
      </c>
      <c r="AX66" s="709">
        <f ca="1">IF(ISERROR(MATCH(AX$1,INDIRECT("Table!A"&amp;$BV66):INDIRECT("Table!" &amp; $CH$110 &amp; $BV66),0)),"",INDIRECT(CONCATENATE("Table!",ADDRESS($BZ66,MATCH(AX$1,INDIRECT("Table!A" &amp; $BV66):INDIRECT("Table!" &amp; $CH$110 &amp; $BV66),0)))))/1024</f>
        <v>80.787695312500006</v>
      </c>
      <c r="AY66" s="709">
        <f ca="1">IF(ISERROR(MATCH(AY$1,INDIRECT("Table!A"&amp;$BV66):INDIRECT("Table!" &amp; $CH$110 &amp; $BV66),0)),"",INDIRECT(CONCATENATE("Table!",ADDRESS($BZ66,MATCH(AY$1,INDIRECT("Table!A" &amp; $BV66):INDIRECT("Table!" &amp; $CH$110 &amp; $BV66),0)))))/1024</f>
        <v>184.55234375000001</v>
      </c>
      <c r="AZ66" s="709">
        <f ca="1">IF(ISERROR(MATCH(AZ$1,INDIRECT("Table!A"&amp;$BV66):INDIRECT("Table!" &amp; $CH$110 &amp; $BV66),0)),"",INDIRECT(CONCATENATE("Table!",ADDRESS($BZ66,MATCH(AZ$1,INDIRECT("Table!A" &amp; $BV66):INDIRECT("Table!" &amp; $CH$110 &amp; $BV66),0)))))/1024</f>
        <v>128.974609375</v>
      </c>
      <c r="BA66" s="709"/>
      <c r="BB66" s="709">
        <f ca="1">IF(ISERROR(MATCH(BB$1,INDIRECT("Table!A"&amp;$BV66):INDIRECT("Table!" &amp; $CH$110 &amp; $BV66),0)),"",INDIRECT(CONCATENATE("Table!",ADDRESS($BZ66,MATCH(BB$1,INDIRECT("Table!A" &amp; $BV66):INDIRECT("Table!" &amp; $CH$110 &amp; $BV66),0)))))/1024</f>
        <v>32.31494140625</v>
      </c>
      <c r="BC66" s="709"/>
      <c r="BD66" s="905"/>
      <c r="BE66" s="905"/>
      <c r="BF66" s="905"/>
      <c r="BG66" s="905"/>
      <c r="BH66" s="905"/>
      <c r="BI66" s="905"/>
      <c r="BJ66" s="905"/>
      <c r="BK66" s="905"/>
      <c r="BL66" s="905"/>
      <c r="BM66" s="905"/>
      <c r="BN66" s="905"/>
      <c r="BO66" s="905"/>
      <c r="BP66" s="905"/>
      <c r="BQ66" s="905"/>
      <c r="BR66" s="704">
        <f>MATCH($A66,Table!$A:$A,0)+$BT$2-1</f>
        <v>893</v>
      </c>
      <c r="BS66" s="705"/>
      <c r="BT66" s="705"/>
      <c r="BU66" s="705"/>
      <c r="BV66" s="717">
        <f>MATCH($A66,Table!$A:$A,0)+$BX$2-1</f>
        <v>891</v>
      </c>
      <c r="BW66" s="705"/>
      <c r="BX66" s="705"/>
      <c r="BY66" s="705"/>
      <c r="BZ66" s="704">
        <f>MATCH($A66,Table!$A:$A,0)+$CB$2-1</f>
        <v>892</v>
      </c>
      <c r="CA66" s="705"/>
      <c r="CB66" s="705"/>
      <c r="CC66" s="705"/>
      <c r="CD66" s="717">
        <f>MATCH($A66,Table!$A:$A,0)+$BX$2-1</f>
        <v>891</v>
      </c>
      <c r="CE66" s="705"/>
      <c r="CF66" s="705"/>
      <c r="CG66" s="705"/>
      <c r="CH66" s="711" t="s">
        <v>302</v>
      </c>
      <c r="CI66" s="712">
        <f t="shared" ca="1" si="139"/>
        <v>2544.3609375000005</v>
      </c>
      <c r="CJ66" s="712">
        <f t="shared" ca="1" si="85"/>
        <v>1059.3023437499999</v>
      </c>
      <c r="CK66" s="712">
        <f t="shared" ca="1" si="137"/>
        <v>1485.0585937500007</v>
      </c>
      <c r="CL66" s="718">
        <f t="shared" ca="1" si="138"/>
        <v>0.41633336219618</v>
      </c>
      <c r="CM66" s="712">
        <f ca="1">SUMIF('Alloc Feed'!A:I,A:A,'Alloc Feed'!I:I)</f>
        <v>2608.6882412109376</v>
      </c>
      <c r="CN66" s="718">
        <f t="shared" ca="1" si="136"/>
        <v>1.0252823028222335</v>
      </c>
    </row>
    <row r="67" spans="1:92" s="267" customFormat="1" x14ac:dyDescent="0.25">
      <c r="A67" s="703">
        <v>41445</v>
      </c>
      <c r="B67" s="709">
        <f ca="1">IF(ISERROR(MATCH(B$1,INDIRECT("Table!A"&amp;$BV67):INDIRECT("Table!" &amp; $CH$110 &amp; $BV67),0)),"",INDIRECT(CONCATENATE("Table!",ADDRESS($BR67,MATCH(B$1,INDIRECT("Table!A" &amp; $BV67):INDIRECT("Table!" &amp; $CH$110 &amp; $BV67),0)))))/1024</f>
        <v>42.542871093750001</v>
      </c>
      <c r="C67" s="709">
        <f ca="1">IF(ISERROR(MATCH(C$1,INDIRECT("Table!A"&amp;$BV67):INDIRECT("Table!" &amp; $CH$110 &amp; $BV67),0)),"",INDIRECT(CONCATENATE("Table!",ADDRESS($BR67,MATCH(C$1,INDIRECT("Table!A" &amp; $BV67):INDIRECT("Table!" &amp; $CH$110 &amp; $BV67),0)))))/1024</f>
        <v>76.749218749999997</v>
      </c>
      <c r="D67" s="709">
        <f ca="1">IF(ISERROR(MATCH(D$1,INDIRECT("Table!A"&amp;$BV67):INDIRECT("Table!" &amp; $CH$110 &amp; $BV67),0)),"",INDIRECT(CONCATENATE("Table!",ADDRESS($BR67,MATCH(D$1,INDIRECT("Table!A" &amp; $BV67):INDIRECT("Table!" &amp; $CH$110 &amp; $BV67),0)))))/1024</f>
        <v>78.196875000000006</v>
      </c>
      <c r="E67" s="709">
        <f ca="1">IF(ISERROR(MATCH(E$1,INDIRECT("Table!A"&amp;$BV67):INDIRECT("Table!" &amp; $CH$110 &amp; $BV67),0)),"",INDIRECT(CONCATENATE("Table!",ADDRESS($BR67,MATCH(E$1,INDIRECT("Table!A" &amp; $BV67):INDIRECT("Table!" &amp; $CH$110 &amp; $BV67),0)))))/1024</f>
        <v>140.28632812500001</v>
      </c>
      <c r="F67" s="709">
        <f ca="1">IF(ISERROR(MATCH(F$1,INDIRECT("Table!A"&amp;$BV67):INDIRECT("Table!" &amp; $CH$110 &amp; $BV67),0)),"",INDIRECT(CONCATENATE("Table!",ADDRESS($BR67,MATCH(F$1,INDIRECT("Table!A" &amp; $BV67):INDIRECT("Table!" &amp; $CH$110 &amp; $BV67),0)))))/1024</f>
        <v>102.76298828125</v>
      </c>
      <c r="G67" s="709">
        <f ca="1">IF(ISERROR(MATCH(G$1,INDIRECT("Table!A"&amp;$BV67):INDIRECT("Table!" &amp; $CH$110 &amp; $BV67),0)),"",INDIRECT(CONCATENATE("Table!",ADDRESS($BR67,MATCH(G$1,INDIRECT("Table!A" &amp; $BV67):INDIRECT("Table!" &amp; $CH$110 &amp; $BV67),0)))))/1024</f>
        <v>55.952441406250003</v>
      </c>
      <c r="H67" s="709">
        <f ca="1">IF(ISERROR(MATCH(H$1,INDIRECT("Table!A"&amp;$BV67):INDIRECT("Table!" &amp; $CH$110 &amp; $BV67),0)),"",INDIRECT(CONCATENATE("Table!",ADDRESS($BR67,MATCH(H$1,INDIRECT("Table!A" &amp; $BV67):INDIRECT("Table!" &amp; $CH$110 &amp; $BV67),0)))))/1024</f>
        <v>85.897167968749997</v>
      </c>
      <c r="I67" s="709">
        <f ca="1">IF(ISERROR(MATCH(I$1,INDIRECT("Table!A"&amp;$BV67):INDIRECT("Table!" &amp; $CH$110 &amp; $BV67),0)),"",INDIRECT(CONCATENATE("Table!",ADDRESS($BR67,MATCH(I$1,INDIRECT("Table!A" &amp; $BV67):INDIRECT("Table!" &amp; $CH$110 &amp; $BV67),0)))))/1024</f>
        <v>8.49951171875</v>
      </c>
      <c r="J67" s="709">
        <f ca="1">IF(ISERROR(MATCH(J$1,INDIRECT("Table!A"&amp;$BV67):INDIRECT("Table!" &amp; $CH$110 &amp; $BV67),0)),"",INDIRECT(CONCATENATE("Table!",ADDRESS($BR67,MATCH(J$1,INDIRECT("Table!A" &amp; $BV67):INDIRECT("Table!" &amp; $CH$110 &amp; $BV67),0)))))/1024</f>
        <v>0.81406250000000002</v>
      </c>
      <c r="K67" s="709">
        <f ca="1">IF(ISERROR(MATCH(K$1,INDIRECT("Table!A"&amp;$BV67):INDIRECT("Table!" &amp; $CH$110 &amp; $BV67),0)),"",INDIRECT(CONCATENATE("Table!",ADDRESS($BR67,MATCH(K$1,INDIRECT("Table!A" &amp; $BV67):INDIRECT("Table!" &amp; $CH$110 &amp; $BV67),0)))))/1024</f>
        <v>4.5898437500000002E-3</v>
      </c>
      <c r="L67" s="709">
        <f ca="1">IF(ISERROR(MATCH(L$1,INDIRECT("Table!A"&amp;$BV67):INDIRECT("Table!" &amp; $CH$110 &amp; $BV67),0)),"",INDIRECT(CONCATENATE("Table!",ADDRESS($BR67,MATCH(L$1,INDIRECT("Table!A" &amp; $BV67):INDIRECT("Table!" &amp; $CH$110 &amp; $BV67),0)))))/1024</f>
        <v>157.83281249999999</v>
      </c>
      <c r="M67" s="709">
        <f ca="1">IF(ISERROR(MATCH(M$1,INDIRECT("Table!A"&amp;$BV67):INDIRECT("Table!" &amp; $CH$110 &amp; $BV67),0)),"",INDIRECT(CONCATENATE("Table!",ADDRESS($BR67,MATCH(M$1,INDIRECT("Table!A" &amp; $BV67):INDIRECT("Table!" &amp; $CH$110 &amp; $BV67),0)))))/1024</f>
        <v>55.095312499999999</v>
      </c>
      <c r="N67" s="709">
        <f ca="1">IF(ISERROR(MATCH(N$1,INDIRECT("Table!A"&amp;$BV67):INDIRECT("Table!" &amp; $CH$110 &amp; $BV67),0)),"",INDIRECT(CONCATENATE("Table!",ADDRESS($BR67,MATCH(N$1,INDIRECT("Table!A" &amp; $BV67):INDIRECT("Table!" &amp; $CH$110 &amp; $BV67),0)))))/1024</f>
        <v>52.797656250000003</v>
      </c>
      <c r="O67" s="709">
        <f ca="1">IF(ISERROR(MATCH(O$1,INDIRECT("Table!A"&amp;$BV67):INDIRECT("Table!" &amp; $CH$110 &amp; $BV67),0)),"",INDIRECT(CONCATENATE("Table!",ADDRESS($BR67,MATCH(O$1,INDIRECT("Table!A" &amp; $BV67):INDIRECT("Table!" &amp; $CH$110 &amp; $BV67),0)))))/1024</f>
        <v>156.361328125</v>
      </c>
      <c r="P67" s="709">
        <f ca="1">IF(ISERROR(MATCH(P$1,INDIRECT("Table!A"&amp;$BV67):INDIRECT("Table!" &amp; $CH$110 &amp; $BV67),0)),"",INDIRECT(CONCATENATE("Table!",ADDRESS($BR67,MATCH(P$1,INDIRECT("Table!A" &amp; $BV67):INDIRECT("Table!" &amp; $CH$110 &amp; $BV67),0)))))/1024</f>
        <v>16.542187500000001</v>
      </c>
      <c r="Q67" s="709">
        <f ca="1">IF(ISERROR(MATCH(Q$1,INDIRECT("Table!A"&amp;$BV67):INDIRECT("Table!" &amp; $CH$110 &amp; $BV67),0)),"",INDIRECT(CONCATENATE("Table!",ADDRESS($BR67,MATCH(Q$1,INDIRECT("Table!A" &amp; $BV67):INDIRECT("Table!" &amp; $CH$110 &amp; $BV67),0)))))/1024</f>
        <v>1.8954101562500001</v>
      </c>
      <c r="R67" s="709">
        <f ca="1">IF(ISERROR(MATCH(R$1,INDIRECT("Table!A"&amp;$BV67):INDIRECT("Table!" &amp; $CH$110 &amp; $BV67),0)),"",INDIRECT(CONCATENATE("Table!",ADDRESS($BR67,MATCH(R$1,INDIRECT("Table!A" &amp; $BV67):INDIRECT("Table!" &amp; $CH$110 &amp; $BV67),0)))))/1024</f>
        <v>4.4921874999999997E-3</v>
      </c>
      <c r="S67" s="709">
        <v>0</v>
      </c>
      <c r="T67" s="709">
        <f ca="1">IF(ISERROR(MATCH(T$1,INDIRECT("Table!A"&amp;$BV67):INDIRECT("Table!" &amp; $CH$65 &amp; $BV67),0)),"",INDIRECT(CONCATENATE("Table!",ADDRESS($BR67,MATCH(T$1,INDIRECT("Table!A" &amp; $BV67):INDIRECT("Table!" &amp; $CH$65 &amp; $BV67),0)))))/1024</f>
        <v>4.9128906250000002</v>
      </c>
      <c r="U67" s="709"/>
      <c r="V67" s="905"/>
      <c r="W67" s="905"/>
      <c r="X67" s="905"/>
      <c r="Y67" s="905"/>
      <c r="Z67" s="905"/>
      <c r="AA67" s="905"/>
      <c r="AB67" s="905"/>
      <c r="AC67" s="905"/>
      <c r="AD67" s="905"/>
      <c r="AE67" s="905"/>
      <c r="AF67" s="905"/>
      <c r="AG67" s="905"/>
      <c r="AH67" s="905"/>
      <c r="AI67" s="709" t="str">
        <f ca="1">IF(ISERROR(MATCH(AI$1,INDIRECT("Table!A"&amp;$BV67):INDIRECT("Table!" &amp; $CH$110 &amp; $BV67),0)),"",INDIRECT(CONCATENATE("Table!",ADDRESS($BR67,MATCH(AI$1,INDIRECT("Table!A" &amp; $BV67):INDIRECT("Table!" &amp; $CH$110 &amp; $BV67),0)))))</f>
        <v/>
      </c>
      <c r="AJ67" s="709">
        <f ca="1">IF(ISERROR(MATCH(AJ$1,INDIRECT("Table!A"&amp;$BV67):INDIRECT("Table!" &amp; $CH$110 &amp; $BV67),0)),"",INDIRECT(CONCATENATE("Table!",ADDRESS($BZ67,MATCH(AJ$1,INDIRECT("Table!A" &amp; $BV67):INDIRECT("Table!" &amp; $CH$110 &amp; $BV67),0)))))/1024</f>
        <v>140.0322265625</v>
      </c>
      <c r="AK67" s="709">
        <f ca="1">IF(ISERROR(MATCH(AK$1,INDIRECT("Table!A"&amp;$BV67):INDIRECT("Table!" &amp; $CH$110 &amp; $BV67),0)),"",INDIRECT(CONCATENATE("Table!",ADDRESS($BZ67,MATCH(AK$1,INDIRECT("Table!A" &amp; $BV67):INDIRECT("Table!" &amp; $CH$110 &amp; $BV67),0)))))/1024</f>
        <v>146.98896484375001</v>
      </c>
      <c r="AL67" s="709">
        <f ca="1">IF(ISERROR(MATCH(AL$1,INDIRECT("Table!A"&amp;$BV67):INDIRECT("Table!" &amp; $CH$110 &amp; $BV67),0)),"",INDIRECT(CONCATENATE("Table!",ADDRESS($BZ67,MATCH(AL$1,INDIRECT("Table!A" &amp; $BV67):INDIRECT("Table!" &amp; $CH$110 &amp; $BV67),0)))))/1024</f>
        <v>146.98896484375001</v>
      </c>
      <c r="AM67" s="709">
        <f ca="1">IF(ISERROR(MATCH(AM$1,INDIRECT("Table!A"&amp;$BV67):INDIRECT("Table!" &amp; $CH$110 &amp; $BV67),0)),"",INDIRECT(CONCATENATE("Table!",ADDRESS($BZ67,MATCH(AM$1,INDIRECT("Table!A" &amp; $BV67):INDIRECT("Table!" &amp; $CH$110 &amp; $BV67),0)))))/1024</f>
        <v>177.73222656249999</v>
      </c>
      <c r="AN67" s="709">
        <f ca="1">IF(ISERROR(MATCH(AN$1,INDIRECT("Table!A"&amp;$BV67):INDIRECT("Table!" &amp; $CH$110 &amp; $BV67),0)),"",INDIRECT(CONCATENATE("Table!",ADDRESS($BZ67,MATCH(AN$1,INDIRECT("Table!A" &amp; $BV67):INDIRECT("Table!" &amp; $CH$110 &amp; $BV67),0)))))/1024</f>
        <v>161.57470703125</v>
      </c>
      <c r="AO67" s="709">
        <f ca="1">IF(ISERROR(MATCH(AO$1,INDIRECT("Table!A"&amp;$BV67):INDIRECT("Table!" &amp; $CH$110 &amp; $BV67),0)),"",INDIRECT(CONCATENATE("Table!",ADDRESS($BZ67,MATCH(AO$1,INDIRECT("Table!A" &amp; $BV67):INDIRECT("Table!" &amp; $CH$110 &amp; $BV67),0)))))/1024</f>
        <v>129.03603515624999</v>
      </c>
      <c r="AP67" s="709">
        <f ca="1">IF(ISERROR(MATCH(AP$1,INDIRECT("Table!A"&amp;$BV67):INDIRECT("Table!" &amp; $CH$110 &amp; $BV67),0)),"",INDIRECT(CONCATENATE("Table!",ADDRESS($BZ67,MATCH(AP$1,INDIRECT("Table!A" &amp; $BV67):INDIRECT("Table!" &amp; $CH$110 &amp; $BV67),0)))))/1024</f>
        <v>166.96152343750001</v>
      </c>
      <c r="AQ67" s="709">
        <f ca="1">IF(ISERROR(MATCH(AQ$1,INDIRECT("Table!A"&amp;$BV67):INDIRECT("Table!" &amp; $CH$110 &amp; $BV67),0)),"",INDIRECT(CONCATENATE("Table!",ADDRESS($BZ67,MATCH(AQ$1,INDIRECT("Table!A" &amp; $BV67):INDIRECT("Table!" &amp; $CH$110 &amp; $BV67),0)))))/1024</f>
        <v>161.57568359375</v>
      </c>
      <c r="AR67" s="709">
        <f ca="1">IF(ISERROR(MATCH(AR$1,INDIRECT("Table!A"&amp;$BV67):INDIRECT("Table!" &amp; $CH$110 &amp; $BV67),0)),"",INDIRECT(CONCATENATE("Table!",ADDRESS($BZ67,MATCH(AR$1,INDIRECT("Table!A" &amp; $BV67):INDIRECT("Table!" &amp; $CH$110 &amp; $BV67),0)))))/1024</f>
        <v>90.245703125000006</v>
      </c>
      <c r="AS67" s="709">
        <f ca="1">IF(ISERROR(MATCH(AS$1,INDIRECT("Table!A"&amp;$BV67):INDIRECT("Table!" &amp; $CH$110 &amp; $BV67),0)),"",INDIRECT(CONCATENATE("Table!",ADDRESS($BZ67,MATCH(AS$1,INDIRECT("Table!A" &amp; $BV67):INDIRECT("Table!" &amp; $CH$110 &amp; $BV67),0)))))/1024</f>
        <v>128.974609375</v>
      </c>
      <c r="AT67" s="709">
        <f ca="1">IF(ISERROR(MATCH(AT$1,INDIRECT("Table!A"&amp;$BV67):INDIRECT("Table!" &amp; $CH$110 &amp; $BV67),0)),"",INDIRECT(CONCATENATE("Table!",ADDRESS($BZ67,MATCH(AT$1,INDIRECT("Table!A" &amp; $BV67):INDIRECT("Table!" &amp; $CH$110 &amp; $BV67),0)))))/1024</f>
        <v>188.50498046875001</v>
      </c>
      <c r="AU67" s="709">
        <f ca="1">IF(ISERROR(MATCH(AU$1,INDIRECT("Table!A"&amp;$BV67):INDIRECT("Table!" &amp; $CH$110 &amp; $BV67),0)),"",INDIRECT(CONCATENATE("Table!",ADDRESS($BZ67,MATCH(AU$1,INDIRECT("Table!A" &amp; $BV67):INDIRECT("Table!" &amp; $CH$110 &amp; $BV67),0)))))/1024</f>
        <v>129.03603515624999</v>
      </c>
      <c r="AV67" s="709">
        <f ca="1">IF(ISERROR(MATCH(AV$1,INDIRECT("Table!A"&amp;$BV67):INDIRECT("Table!" &amp; $CH$110 &amp; $BV67),0)),"",INDIRECT(CONCATENATE("Table!",ADDRESS($BZ67,MATCH(AV$1,INDIRECT("Table!A" &amp; $BV67):INDIRECT("Table!" &amp; $CH$110 &amp; $BV67),0)))))/1024</f>
        <v>80.787695312500006</v>
      </c>
      <c r="AW67" s="709">
        <f ca="1">IF(ISERROR(MATCH(AW$1,INDIRECT("Table!A"&amp;$BV67):INDIRECT("Table!" &amp; $CH$110 &amp; $BV67),0)),"",INDIRECT(CONCATENATE("Table!",ADDRESS($BZ67,MATCH(AW$1,INDIRECT("Table!A" &amp; $BV67):INDIRECT("Table!" &amp; $CH$110 &amp; $BV67),0)))))/1024</f>
        <v>269.2919921875</v>
      </c>
      <c r="AX67" s="709">
        <f ca="1">IF(ISERROR(MATCH(AX$1,INDIRECT("Table!A"&amp;$BV67):INDIRECT("Table!" &amp; $CH$110 &amp; $BV67),0)),"",INDIRECT(CONCATENATE("Table!",ADDRESS($BZ67,MATCH(AX$1,INDIRECT("Table!A" &amp; $BV67):INDIRECT("Table!" &amp; $CH$110 &amp; $BV67),0)))))/1024</f>
        <v>80.787695312500006</v>
      </c>
      <c r="AY67" s="709">
        <f ca="1">IF(ISERROR(MATCH(AY$1,INDIRECT("Table!A"&amp;$BV67):INDIRECT("Table!" &amp; $CH$110 &amp; $BV67),0)),"",INDIRECT(CONCATENATE("Table!",ADDRESS($BZ67,MATCH(AY$1,INDIRECT("Table!A" &amp; $BV67):INDIRECT("Table!" &amp; $CH$110 &amp; $BV67),0)))))/1024</f>
        <v>184.55234375000001</v>
      </c>
      <c r="AZ67" s="709">
        <f ca="1">IF(ISERROR(MATCH(AZ$1,INDIRECT("Table!A"&amp;$BV67):INDIRECT("Table!" &amp; $CH$110 &amp; $BV67),0)),"",INDIRECT(CONCATENATE("Table!",ADDRESS($BZ67,MATCH(AZ$1,INDIRECT("Table!A" &amp; $BV67):INDIRECT("Table!" &amp; $CH$110 &amp; $BV67),0)))))/1024</f>
        <v>128.974609375</v>
      </c>
      <c r="BA67" s="709"/>
      <c r="BB67" s="709">
        <f ca="1">IF(ISERROR(MATCH(BB$1,INDIRECT("Table!A"&amp;$BV67):INDIRECT("Table!" &amp; $CH$110 &amp; $BV67),0)),"",INDIRECT(CONCATENATE("Table!",ADDRESS($BZ67,MATCH(BB$1,INDIRECT("Table!A" &amp; $BV67):INDIRECT("Table!" &amp; $CH$110 &amp; $BV67),0)))))/1024</f>
        <v>32.31494140625</v>
      </c>
      <c r="BC67" s="709"/>
      <c r="BD67" s="905"/>
      <c r="BE67" s="905"/>
      <c r="BF67" s="905"/>
      <c r="BG67" s="905"/>
      <c r="BH67" s="905"/>
      <c r="BI67" s="905"/>
      <c r="BJ67" s="905"/>
      <c r="BK67" s="905"/>
      <c r="BL67" s="905"/>
      <c r="BM67" s="905"/>
      <c r="BN67" s="905"/>
      <c r="BO67" s="905"/>
      <c r="BP67" s="905"/>
      <c r="BQ67" s="905"/>
      <c r="BR67" s="704">
        <f>MATCH($A67,Table!$A:$A,0)+$BT$2-1</f>
        <v>905</v>
      </c>
      <c r="BS67" s="705"/>
      <c r="BT67" s="705"/>
      <c r="BU67" s="705"/>
      <c r="BV67" s="717">
        <f>MATCH($A67,Table!$A:$A,0)+$BX$2-1</f>
        <v>903</v>
      </c>
      <c r="BW67" s="705"/>
      <c r="BX67" s="705"/>
      <c r="BY67" s="705"/>
      <c r="BZ67" s="704">
        <f>MATCH($A67,Table!$A:$A,0)+$CB$2-1</f>
        <v>904</v>
      </c>
      <c r="CA67" s="705"/>
      <c r="CB67" s="705"/>
      <c r="CC67" s="705"/>
      <c r="CD67" s="717">
        <f>MATCH($A67,Table!$A:$A,0)+$BX$2-1</f>
        <v>903</v>
      </c>
      <c r="CE67" s="705"/>
      <c r="CF67" s="705"/>
      <c r="CG67" s="705"/>
      <c r="CH67" s="711" t="s">
        <v>302</v>
      </c>
      <c r="CI67" s="712">
        <f t="shared" ca="1" si="139"/>
        <v>2544.3609375000005</v>
      </c>
      <c r="CJ67" s="712">
        <f t="shared" ca="1" si="85"/>
        <v>1037.14814453125</v>
      </c>
      <c r="CK67" s="712">
        <f t="shared" ca="1" si="137"/>
        <v>1507.2127929687506</v>
      </c>
      <c r="CL67" s="718">
        <f t="shared" ca="1" si="138"/>
        <v>0.40762618590989502</v>
      </c>
      <c r="CM67" s="712">
        <f ca="1">SUMIF('Alloc Feed'!A:I,A:A,'Alloc Feed'!I:I)</f>
        <v>2589.7882822265624</v>
      </c>
      <c r="CN67" s="718">
        <f t="shared" ca="1" si="136"/>
        <v>1.0178541275559736</v>
      </c>
    </row>
    <row r="68" spans="1:92" s="267" customFormat="1" x14ac:dyDescent="0.25">
      <c r="A68" s="703">
        <v>41443</v>
      </c>
      <c r="B68" s="709">
        <f ca="1">IF(ISERROR(MATCH(B$1,INDIRECT("Table!A"&amp;$BV68):INDIRECT("Table!" &amp; $CH$110 &amp; $BV68),0)),"",INDIRECT(CONCATENATE("Table!",ADDRESS($BR68,MATCH(B$1,INDIRECT("Table!A" &amp; $BV68):INDIRECT("Table!" &amp; $CH$110 &amp; $BV68),0)))))/1024</f>
        <v>40.8876953125</v>
      </c>
      <c r="C68" s="709">
        <f ca="1">IF(ISERROR(MATCH(C$1,INDIRECT("Table!A"&amp;$BV68):INDIRECT("Table!" &amp; $CH$110 &amp; $BV68),0)),"",INDIRECT(CONCATENATE("Table!",ADDRESS($BR68,MATCH(C$1,INDIRECT("Table!A" &amp; $BV68):INDIRECT("Table!" &amp; $CH$110 &amp; $BV68),0)))))/1024</f>
        <v>76.744531249999994</v>
      </c>
      <c r="D68" s="709">
        <f ca="1">IF(ISERROR(MATCH(D$1,INDIRECT("Table!A"&amp;$BV68):INDIRECT("Table!" &amp; $CH$110 &amp; $BV68),0)),"",INDIRECT(CONCATENATE("Table!",ADDRESS($BR68,MATCH(D$1,INDIRECT("Table!A" &amp; $BV68):INDIRECT("Table!" &amp; $CH$110 &amp; $BV68),0)))))/1024</f>
        <v>78.192285156249994</v>
      </c>
      <c r="E68" s="709">
        <f ca="1">IF(ISERROR(MATCH(E$1,INDIRECT("Table!A"&amp;$BV68):INDIRECT("Table!" &amp; $CH$110 &amp; $BV68),0)),"",INDIRECT(CONCATENATE("Table!",ADDRESS($BR68,MATCH(E$1,INDIRECT("Table!A" &amp; $BV68):INDIRECT("Table!" &amp; $CH$110 &amp; $BV68),0)))))/1024</f>
        <v>140.13642578125001</v>
      </c>
      <c r="F68" s="709">
        <f ca="1">IF(ISERROR(MATCH(F$1,INDIRECT("Table!A"&amp;$BV68):INDIRECT("Table!" &amp; $CH$110 &amp; $BV68),0)),"",INDIRECT(CONCATENATE("Table!",ADDRESS($BR68,MATCH(F$1,INDIRECT("Table!A" &amp; $BV68):INDIRECT("Table!" &amp; $CH$110 &amp; $BV68),0)))))/1024</f>
        <v>102.4775390625</v>
      </c>
      <c r="G68" s="709">
        <f ca="1">IF(ISERROR(MATCH(G$1,INDIRECT("Table!A"&amp;$BV68):INDIRECT("Table!" &amp; $CH$110 &amp; $BV68),0)),"",INDIRECT(CONCATENATE("Table!",ADDRESS($BR68,MATCH(G$1,INDIRECT("Table!A" &amp; $BV68):INDIRECT("Table!" &amp; $CH$110 &amp; $BV68),0)))))/1024</f>
        <v>55.87451171875</v>
      </c>
      <c r="H68" s="709">
        <f ca="1">IF(ISERROR(MATCH(H$1,INDIRECT("Table!A"&amp;$BV68):INDIRECT("Table!" &amp; $CH$110 &amp; $BV68),0)),"",INDIRECT(CONCATENATE("Table!",ADDRESS($BR68,MATCH(H$1,INDIRECT("Table!A" &amp; $BV68):INDIRECT("Table!" &amp; $CH$110 &amp; $BV68),0)))))/1024</f>
        <v>85.740820312500006</v>
      </c>
      <c r="I68" s="709">
        <f ca="1">IF(ISERROR(MATCH(I$1,INDIRECT("Table!A"&amp;$BV68):INDIRECT("Table!" &amp; $CH$110 &amp; $BV68),0)),"",INDIRECT(CONCATENATE("Table!",ADDRESS($BR68,MATCH(I$1,INDIRECT("Table!A" &amp; $BV68):INDIRECT("Table!" &amp; $CH$110 &amp; $BV68),0)))))/1024</f>
        <v>8.4993164062499993</v>
      </c>
      <c r="J68" s="709">
        <f ca="1">IF(ISERROR(MATCH(J$1,INDIRECT("Table!A"&amp;$BV68):INDIRECT("Table!" &amp; $CH$110 &amp; $BV68),0)),"",INDIRECT(CONCATENATE("Table!",ADDRESS($BR68,MATCH(J$1,INDIRECT("Table!A" &amp; $BV68):INDIRECT("Table!" &amp; $CH$110 &amp; $BV68),0)))))/1024</f>
        <v>0.81162109375000002</v>
      </c>
      <c r="K68" s="709">
        <f ca="1">IF(ISERROR(MATCH(K$1,INDIRECT("Table!A"&amp;$BV68):INDIRECT("Table!" &amp; $CH$110 &amp; $BV68),0)),"",INDIRECT(CONCATENATE("Table!",ADDRESS($BR68,MATCH(K$1,INDIRECT("Table!A" &amp; $BV68):INDIRECT("Table!" &amp; $CH$110 &amp; $BV68),0)))))/1024</f>
        <v>4.5898437500000002E-3</v>
      </c>
      <c r="L68" s="709">
        <f ca="1">IF(ISERROR(MATCH(L$1,INDIRECT("Table!A"&amp;$BV68):INDIRECT("Table!" &amp; $CH$110 &amp; $BV68),0)),"",INDIRECT(CONCATENATE("Table!",ADDRESS($BR68,MATCH(L$1,INDIRECT("Table!A" &amp; $BV68):INDIRECT("Table!" &amp; $CH$110 &amp; $BV68),0)))))/1024</f>
        <v>157.79599609375001</v>
      </c>
      <c r="M68" s="709">
        <f ca="1">IF(ISERROR(MATCH(M$1,INDIRECT("Table!A"&amp;$BV68):INDIRECT("Table!" &amp; $CH$110 &amp; $BV68),0)),"",INDIRECT(CONCATENATE("Table!",ADDRESS($BR68,MATCH(M$1,INDIRECT("Table!A" &amp; $BV68):INDIRECT("Table!" &amp; $CH$110 &amp; $BV68),0)))))/1024</f>
        <v>56.543847656250001</v>
      </c>
      <c r="N68" s="709">
        <f ca="1">IF(ISERROR(MATCH(N$1,INDIRECT("Table!A"&amp;$BV68):INDIRECT("Table!" &amp; $CH$110 &amp; $BV68),0)),"",INDIRECT(CONCATENATE("Table!",ADDRESS($BR68,MATCH(N$1,INDIRECT("Table!A" &amp; $BV68):INDIRECT("Table!" &amp; $CH$110 &amp; $BV68),0)))))/1024</f>
        <v>52.565136718749997</v>
      </c>
      <c r="O68" s="709">
        <f ca="1">IF(ISERROR(MATCH(O$1,INDIRECT("Table!A"&amp;$BV68):INDIRECT("Table!" &amp; $CH$110 &amp; $BV68),0)),"",INDIRECT(CONCATENATE("Table!",ADDRESS($BR68,MATCH(O$1,INDIRECT("Table!A" &amp; $BV68):INDIRECT("Table!" &amp; $CH$110 &amp; $BV68),0)))))/1024</f>
        <v>156.06074218750001</v>
      </c>
      <c r="P68" s="709">
        <f ca="1">IF(ISERROR(MATCH(P$1,INDIRECT("Table!A"&amp;$BV68):INDIRECT("Table!" &amp; $CH$110 &amp; $BV68),0)),"",INDIRECT(CONCATENATE("Table!",ADDRESS($BR68,MATCH(P$1,INDIRECT("Table!A" &amp; $BV68):INDIRECT("Table!" &amp; $CH$110 &amp; $BV68),0)))))/1024</f>
        <v>16.541796874999999</v>
      </c>
      <c r="Q68" s="709">
        <f ca="1">IF(ISERROR(MATCH(Q$1,INDIRECT("Table!A"&amp;$BV68):INDIRECT("Table!" &amp; $CH$110 &amp; $BV68),0)),"",INDIRECT(CONCATENATE("Table!",ADDRESS($BR68,MATCH(Q$1,INDIRECT("Table!A" &amp; $BV68):INDIRECT("Table!" &amp; $CH$110 &amp; $BV68),0)))))/1024</f>
        <v>1.8953125</v>
      </c>
      <c r="R68" s="709">
        <f ca="1">IF(ISERROR(MATCH(R$1,INDIRECT("Table!A"&amp;$BV68):INDIRECT("Table!" &amp; $CH$110 &amp; $BV68),0)),"",INDIRECT(CONCATENATE("Table!",ADDRESS($BR68,MATCH(R$1,INDIRECT("Table!A" &amp; $BV68):INDIRECT("Table!" &amp; $CH$110 &amp; $BV68),0)))))/1024</f>
        <v>4.5898437500000002E-3</v>
      </c>
      <c r="S68" s="709">
        <v>0</v>
      </c>
      <c r="T68" s="709">
        <f ca="1">IF(ISERROR(MATCH(T$1,INDIRECT("Table!A"&amp;$BV68):INDIRECT("Table!" &amp; $CH$65 &amp; $BV68),0)),"",INDIRECT(CONCATENATE("Table!",ADDRESS($BR68,MATCH(T$1,INDIRECT("Table!A" &amp; $BV68):INDIRECT("Table!" &amp; $CH$65 &amp; $BV68),0)))))/1024</f>
        <v>4.8473632812499998</v>
      </c>
      <c r="U68" s="709"/>
      <c r="V68" s="905"/>
      <c r="W68" s="905"/>
      <c r="X68" s="905"/>
      <c r="Y68" s="905"/>
      <c r="Z68" s="905"/>
      <c r="AA68" s="905"/>
      <c r="AB68" s="905"/>
      <c r="AC68" s="905"/>
      <c r="AD68" s="905"/>
      <c r="AE68" s="905"/>
      <c r="AF68" s="905"/>
      <c r="AG68" s="905"/>
      <c r="AH68" s="905"/>
      <c r="AI68" s="709" t="str">
        <f ca="1">IF(ISERROR(MATCH(AI$1,INDIRECT("Table!A"&amp;$BV68):INDIRECT("Table!" &amp; $CH$110 &amp; $BV68),0)),"",INDIRECT(CONCATENATE("Table!",ADDRESS($BR68,MATCH(AI$1,INDIRECT("Table!A" &amp; $BV68):INDIRECT("Table!" &amp; $CH$110 &amp; $BV68),0)))))</f>
        <v/>
      </c>
      <c r="AJ68" s="709">
        <f ca="1">IF(ISERROR(MATCH(AJ$1,INDIRECT("Table!A"&amp;$BV68):INDIRECT("Table!" &amp; $CH$110 &amp; $BV68),0)),"",INDIRECT(CONCATENATE("Table!",ADDRESS($BZ68,MATCH(AJ$1,INDIRECT("Table!A" &amp; $BV68):INDIRECT("Table!" &amp; $CH$110 &amp; $BV68),0)))))/1024</f>
        <v>140.0322265625</v>
      </c>
      <c r="AK68" s="709">
        <f ca="1">IF(ISERROR(MATCH(AK$1,INDIRECT("Table!A"&amp;$BV68):INDIRECT("Table!" &amp; $CH$110 &amp; $BV68),0)),"",INDIRECT(CONCATENATE("Table!",ADDRESS($BZ68,MATCH(AK$1,INDIRECT("Table!A" &amp; $BV68):INDIRECT("Table!" &amp; $CH$110 &amp; $BV68),0)))))/1024</f>
        <v>146.98896484375001</v>
      </c>
      <c r="AL68" s="709">
        <f ca="1">IF(ISERROR(MATCH(AL$1,INDIRECT("Table!A"&amp;$BV68):INDIRECT("Table!" &amp; $CH$110 &amp; $BV68),0)),"",INDIRECT(CONCATENATE("Table!",ADDRESS($BZ68,MATCH(AL$1,INDIRECT("Table!A" &amp; $BV68):INDIRECT("Table!" &amp; $CH$110 &amp; $BV68),0)))))/1024</f>
        <v>146.98896484375001</v>
      </c>
      <c r="AM68" s="709">
        <f ca="1">IF(ISERROR(MATCH(AM$1,INDIRECT("Table!A"&amp;$BV68):INDIRECT("Table!" &amp; $CH$110 &amp; $BV68),0)),"",INDIRECT(CONCATENATE("Table!",ADDRESS($BZ68,MATCH(AM$1,INDIRECT("Table!A" &amp; $BV68):INDIRECT("Table!" &amp; $CH$110 &amp; $BV68),0)))))/1024</f>
        <v>177.73222656249999</v>
      </c>
      <c r="AN68" s="709">
        <f ca="1">IF(ISERROR(MATCH(AN$1,INDIRECT("Table!A"&amp;$BV68):INDIRECT("Table!" &amp; $CH$110 &amp; $BV68),0)),"",INDIRECT(CONCATENATE("Table!",ADDRESS($BZ68,MATCH(AN$1,INDIRECT("Table!A" &amp; $BV68):INDIRECT("Table!" &amp; $CH$110 &amp; $BV68),0)))))/1024</f>
        <v>161.57470703125</v>
      </c>
      <c r="AO68" s="709">
        <f ca="1">IF(ISERROR(MATCH(AO$1,INDIRECT("Table!A"&amp;$BV68):INDIRECT("Table!" &amp; $CH$110 &amp; $BV68),0)),"",INDIRECT(CONCATENATE("Table!",ADDRESS($BZ68,MATCH(AO$1,INDIRECT("Table!A" &amp; $BV68):INDIRECT("Table!" &amp; $CH$110 &amp; $BV68),0)))))/1024</f>
        <v>129.03603515624999</v>
      </c>
      <c r="AP68" s="709">
        <f ca="1">IF(ISERROR(MATCH(AP$1,INDIRECT("Table!A"&amp;$BV68):INDIRECT("Table!" &amp; $CH$110 &amp; $BV68),0)),"",INDIRECT(CONCATENATE("Table!",ADDRESS($BZ68,MATCH(AP$1,INDIRECT("Table!A" &amp; $BV68):INDIRECT("Table!" &amp; $CH$110 &amp; $BV68),0)))))/1024</f>
        <v>166.96152343750001</v>
      </c>
      <c r="AQ68" s="709">
        <f ca="1">IF(ISERROR(MATCH(AQ$1,INDIRECT("Table!A"&amp;$BV68):INDIRECT("Table!" &amp; $CH$110 &amp; $BV68),0)),"",INDIRECT(CONCATENATE("Table!",ADDRESS($BZ68,MATCH(AQ$1,INDIRECT("Table!A" &amp; $BV68):INDIRECT("Table!" &amp; $CH$110 &amp; $BV68),0)))))/1024</f>
        <v>161.57568359375</v>
      </c>
      <c r="AR68" s="709">
        <f ca="1">IF(ISERROR(MATCH(AR$1,INDIRECT("Table!A"&amp;$BV68):INDIRECT("Table!" &amp; $CH$110 &amp; $BV68),0)),"",INDIRECT(CONCATENATE("Table!",ADDRESS($BZ68,MATCH(AR$1,INDIRECT("Table!A" &amp; $BV68):INDIRECT("Table!" &amp; $CH$110 &amp; $BV68),0)))))/1024</f>
        <v>90.245703125000006</v>
      </c>
      <c r="AS68" s="709">
        <f ca="1">IF(ISERROR(MATCH(AS$1,INDIRECT("Table!A"&amp;$BV68):INDIRECT("Table!" &amp; $CH$110 &amp; $BV68),0)),"",INDIRECT(CONCATENATE("Table!",ADDRESS($BZ68,MATCH(AS$1,INDIRECT("Table!A" &amp; $BV68):INDIRECT("Table!" &amp; $CH$110 &amp; $BV68),0)))))/1024</f>
        <v>128.974609375</v>
      </c>
      <c r="AT68" s="709">
        <f ca="1">IF(ISERROR(MATCH(AT$1,INDIRECT("Table!A"&amp;$BV68):INDIRECT("Table!" &amp; $CH$110 &amp; $BV68),0)),"",INDIRECT(CONCATENATE("Table!",ADDRESS($BZ68,MATCH(AT$1,INDIRECT("Table!A" &amp; $BV68):INDIRECT("Table!" &amp; $CH$110 &amp; $BV68),0)))))/1024</f>
        <v>188.50498046875001</v>
      </c>
      <c r="AU68" s="709">
        <f ca="1">IF(ISERROR(MATCH(AU$1,INDIRECT("Table!A"&amp;$BV68):INDIRECT("Table!" &amp; $CH$110 &amp; $BV68),0)),"",INDIRECT(CONCATENATE("Table!",ADDRESS($BZ68,MATCH(AU$1,INDIRECT("Table!A" &amp; $BV68):INDIRECT("Table!" &amp; $CH$110 &amp; $BV68),0)))))/1024</f>
        <v>129.03603515624999</v>
      </c>
      <c r="AV68" s="709">
        <f ca="1">IF(ISERROR(MATCH(AV$1,INDIRECT("Table!A"&amp;$BV68):INDIRECT("Table!" &amp; $CH$110 &amp; $BV68),0)),"",INDIRECT(CONCATENATE("Table!",ADDRESS($BZ68,MATCH(AV$1,INDIRECT("Table!A" &amp; $BV68):INDIRECT("Table!" &amp; $CH$110 &amp; $BV68),0)))))/1024</f>
        <v>80.787695312500006</v>
      </c>
      <c r="AW68" s="709">
        <f ca="1">IF(ISERROR(MATCH(AW$1,INDIRECT("Table!A"&amp;$BV68):INDIRECT("Table!" &amp; $CH$110 &amp; $BV68),0)),"",INDIRECT(CONCATENATE("Table!",ADDRESS($BZ68,MATCH(AW$1,INDIRECT("Table!A" &amp; $BV68):INDIRECT("Table!" &amp; $CH$110 &amp; $BV68),0)))))/1024</f>
        <v>269.2919921875</v>
      </c>
      <c r="AX68" s="709">
        <f ca="1">IF(ISERROR(MATCH(AX$1,INDIRECT("Table!A"&amp;$BV68):INDIRECT("Table!" &amp; $CH$110 &amp; $BV68),0)),"",INDIRECT(CONCATENATE("Table!",ADDRESS($BZ68,MATCH(AX$1,INDIRECT("Table!A" &amp; $BV68):INDIRECT("Table!" &amp; $CH$110 &amp; $BV68),0)))))/1024</f>
        <v>80.787695312500006</v>
      </c>
      <c r="AY68" s="709">
        <f ca="1">IF(ISERROR(MATCH(AY$1,INDIRECT("Table!A"&amp;$BV68):INDIRECT("Table!" &amp; $CH$110 &amp; $BV68),0)),"",INDIRECT(CONCATENATE("Table!",ADDRESS($BZ68,MATCH(AY$1,INDIRECT("Table!A" &amp; $BV68):INDIRECT("Table!" &amp; $CH$110 &amp; $BV68),0)))))/1024</f>
        <v>184.55234375000001</v>
      </c>
      <c r="AZ68" s="709">
        <f ca="1">IF(ISERROR(MATCH(AZ$1,INDIRECT("Table!A"&amp;$BV68):INDIRECT("Table!" &amp; $CH$110 &amp; $BV68),0)),"",INDIRECT(CONCATENATE("Table!",ADDRESS($BZ68,MATCH(AZ$1,INDIRECT("Table!A" &amp; $BV68):INDIRECT("Table!" &amp; $CH$110 &amp; $BV68),0)))))/1024</f>
        <v>128.974609375</v>
      </c>
      <c r="BA68" s="709"/>
      <c r="BB68" s="709">
        <f ca="1">IF(ISERROR(MATCH(BB$1,INDIRECT("Table!A"&amp;$BV68):INDIRECT("Table!" &amp; $CH$110 &amp; $BV68),0)),"",INDIRECT(CONCATENATE("Table!",ADDRESS($BZ68,MATCH(BB$1,INDIRECT("Table!A" &amp; $BV68):INDIRECT("Table!" &amp; $CH$110 &amp; $BV68),0)))))/1024</f>
        <v>32.31494140625</v>
      </c>
      <c r="BC68" s="709"/>
      <c r="BD68" s="905"/>
      <c r="BE68" s="905"/>
      <c r="BF68" s="905"/>
      <c r="BG68" s="905"/>
      <c r="BH68" s="905"/>
      <c r="BI68" s="905"/>
      <c r="BJ68" s="905"/>
      <c r="BK68" s="905"/>
      <c r="BL68" s="905"/>
      <c r="BM68" s="905"/>
      <c r="BN68" s="905"/>
      <c r="BO68" s="905"/>
      <c r="BP68" s="905"/>
      <c r="BQ68" s="905"/>
      <c r="BR68" s="704">
        <f>MATCH($A68,Table!$A:$A,0)+$BT$2-1</f>
        <v>917</v>
      </c>
      <c r="BS68" s="705"/>
      <c r="BT68" s="705"/>
      <c r="BU68" s="705"/>
      <c r="BV68" s="717">
        <f>MATCH($A68,Table!$A:$A,0)+$BX$2-1</f>
        <v>915</v>
      </c>
      <c r="BW68" s="705"/>
      <c r="BX68" s="705"/>
      <c r="BY68" s="705"/>
      <c r="BZ68" s="704">
        <f>MATCH($A68,Table!$A:$A,0)+$CB$2-1</f>
        <v>916</v>
      </c>
      <c r="CA68" s="705"/>
      <c r="CB68" s="705"/>
      <c r="CC68" s="705"/>
      <c r="CD68" s="717">
        <f>MATCH($A68,Table!$A:$A,0)+$BX$2-1</f>
        <v>915</v>
      </c>
      <c r="CE68" s="705"/>
      <c r="CF68" s="705"/>
      <c r="CG68" s="705"/>
      <c r="CH68" s="711" t="s">
        <v>302</v>
      </c>
      <c r="CI68" s="712">
        <f t="shared" ca="1" si="139"/>
        <v>2544.3609375000005</v>
      </c>
      <c r="CJ68" s="712">
        <f t="shared" ca="1" si="85"/>
        <v>1035.6241210937499</v>
      </c>
      <c r="CK68" s="712">
        <f t="shared" ca="1" si="137"/>
        <v>1508.7368164062507</v>
      </c>
      <c r="CL68" s="718">
        <f t="shared" ca="1" si="138"/>
        <v>0.40702720507543938</v>
      </c>
      <c r="CM68" s="712">
        <f ca="1">SUMIF('Alloc Feed'!A:I,A:A,'Alloc Feed'!I:I)</f>
        <v>2581.2602519531251</v>
      </c>
      <c r="CN68" s="718">
        <f t="shared" ca="1" si="136"/>
        <v>1.0145023899358323</v>
      </c>
    </row>
    <row r="69" spans="1:92" s="267" customFormat="1" x14ac:dyDescent="0.25">
      <c r="A69" s="703">
        <v>41437</v>
      </c>
      <c r="B69" s="709">
        <f ca="1">IF(ISERROR(MATCH(B$1,INDIRECT("Table!A"&amp;$BV69):INDIRECT("Table!" &amp; $CH$110 &amp; $BV69),0)),"",INDIRECT(CONCATENATE("Table!",ADDRESS($BR69,MATCH(B$1,INDIRECT("Table!A" &amp; $BV69):INDIRECT("Table!" &amp; $CH$110 &amp; $BV69),0)))))/1024</f>
        <v>40.69482421875</v>
      </c>
      <c r="C69" s="709">
        <f ca="1">IF(ISERROR(MATCH(C$1,INDIRECT("Table!A"&amp;$BV69):INDIRECT("Table!" &amp; $CH$110 &amp; $BV69),0)),"",INDIRECT(CONCATENATE("Table!",ADDRESS($BR69,MATCH(C$1,INDIRECT("Table!A" &amp; $BV69):INDIRECT("Table!" &amp; $CH$110 &amp; $BV69),0)))))/1024</f>
        <v>76.722363281249997</v>
      </c>
      <c r="D69" s="709">
        <f ca="1">IF(ISERROR(MATCH(D$1,INDIRECT("Table!A"&amp;$BV69):INDIRECT("Table!" &amp; $CH$110 &amp; $BV69),0)),"",INDIRECT(CONCATENATE("Table!",ADDRESS($BR69,MATCH(D$1,INDIRECT("Table!A" &amp; $BV69):INDIRECT("Table!" &amp; $CH$110 &amp; $BV69),0)))))/1024</f>
        <v>78.170507812500006</v>
      </c>
      <c r="E69" s="709">
        <f ca="1">IF(ISERROR(MATCH(E$1,INDIRECT("Table!A"&amp;$BV69):INDIRECT("Table!" &amp; $CH$110 &amp; $BV69),0)),"",INDIRECT(CONCATENATE("Table!",ADDRESS($BR69,MATCH(E$1,INDIRECT("Table!A" &amp; $BV69):INDIRECT("Table!" &amp; $CH$110 &amp; $BV69),0)))))/1024</f>
        <v>157.37714843750001</v>
      </c>
      <c r="F69" s="709">
        <f ca="1">IF(ISERROR(MATCH(F$1,INDIRECT("Table!A"&amp;$BV69):INDIRECT("Table!" &amp; $CH$110 &amp; $BV69),0)),"",INDIRECT(CONCATENATE("Table!",ADDRESS($BR69,MATCH(F$1,INDIRECT("Table!A" &amp; $BV69):INDIRECT("Table!" &amp; $CH$110 &amp; $BV69),0)))))/1024</f>
        <v>101.5216796875</v>
      </c>
      <c r="G69" s="709">
        <f ca="1">IF(ISERROR(MATCH(G$1,INDIRECT("Table!A"&amp;$BV69):INDIRECT("Table!" &amp; $CH$110 &amp; $BV69),0)),"",INDIRECT(CONCATENATE("Table!",ADDRESS($BR69,MATCH(G$1,INDIRECT("Table!A" &amp; $BV69):INDIRECT("Table!" &amp; $CH$110 &amp; $BV69),0)))))/1024</f>
        <v>53.730566406249999</v>
      </c>
      <c r="H69" s="709">
        <f ca="1">IF(ISERROR(MATCH(H$1,INDIRECT("Table!A"&amp;$BV69):INDIRECT("Table!" &amp; $CH$110 &amp; $BV69),0)),"",INDIRECT(CONCATENATE("Table!",ADDRESS($BR69,MATCH(H$1,INDIRECT("Table!A" &amp; $BV69):INDIRECT("Table!" &amp; $CH$110 &amp; $BV69),0)))))/1024</f>
        <v>85.509667968749994</v>
      </c>
      <c r="I69" s="709">
        <f ca="1">IF(ISERROR(MATCH(I$1,INDIRECT("Table!A"&amp;$BV69):INDIRECT("Table!" &amp; $CH$110 &amp; $BV69),0)),"",INDIRECT(CONCATENATE("Table!",ADDRESS($BR69,MATCH(I$1,INDIRECT("Table!A" &amp; $BV69):INDIRECT("Table!" &amp; $CH$110 &amp; $BV69),0)))))/1024</f>
        <v>8.2938476562499996</v>
      </c>
      <c r="J69" s="709">
        <f ca="1">IF(ISERROR(MATCH(J$1,INDIRECT("Table!A"&amp;$BV69):INDIRECT("Table!" &amp; $CH$110 &amp; $BV69),0)),"",INDIRECT(CONCATENATE("Table!",ADDRESS($BR69,MATCH(J$1,INDIRECT("Table!A" &amp; $BV69):INDIRECT("Table!" &amp; $CH$110 &amp; $BV69),0)))))/1024</f>
        <v>2.6367187500000002E-3</v>
      </c>
      <c r="K69" s="709">
        <f ca="1">IF(ISERROR(MATCH(K$1,INDIRECT("Table!A"&amp;$BV69):INDIRECT("Table!" &amp; $CH$110 &amp; $BV69),0)),"",INDIRECT(CONCATENATE("Table!",ADDRESS($BR69,MATCH(K$1,INDIRECT("Table!A" &amp; $BV69):INDIRECT("Table!" &amp; $CH$110 &amp; $BV69),0)))))/1024</f>
        <v>4.5898437500000002E-3</v>
      </c>
      <c r="L69" s="709">
        <f ca="1">IF(ISERROR(MATCH(L$1,INDIRECT("Table!A"&amp;$BV69):INDIRECT("Table!" &amp; $CH$110 &amp; $BV69),0)),"",INDIRECT(CONCATENATE("Table!",ADDRESS($BR69,MATCH(L$1,INDIRECT("Table!A" &amp; $BV69):INDIRECT("Table!" &amp; $CH$110 &amp; $BV69),0)))))/1024</f>
        <v>157.62285156249999</v>
      </c>
      <c r="M69" s="709">
        <f ca="1">IF(ISERROR(MATCH(M$1,INDIRECT("Table!A"&amp;$BV69):INDIRECT("Table!" &amp; $CH$110 &amp; $BV69),0)),"",INDIRECT(CONCATENATE("Table!",ADDRESS($BR69,MATCH(M$1,INDIRECT("Table!A" &amp; $BV69):INDIRECT("Table!" &amp; $CH$110 &amp; $BV69),0)))))/1024</f>
        <v>54.81689453125</v>
      </c>
      <c r="N69" s="709">
        <f ca="1">IF(ISERROR(MATCH(N$1,INDIRECT("Table!A"&amp;$BV69):INDIRECT("Table!" &amp; $CH$110 &amp; $BV69),0)),"",INDIRECT(CONCATENATE("Table!",ADDRESS($BR69,MATCH(N$1,INDIRECT("Table!A" &amp; $BV69):INDIRECT("Table!" &amp; $CH$110 &amp; $BV69),0)))))/1024</f>
        <v>52.129101562499997</v>
      </c>
      <c r="O69" s="709">
        <f ca="1">IF(ISERROR(MATCH(O$1,INDIRECT("Table!A"&amp;$BV69):INDIRECT("Table!" &amp; $CH$110 &amp; $BV69),0)),"",INDIRECT(CONCATENATE("Table!",ADDRESS($BR69,MATCH(O$1,INDIRECT("Table!A" &amp; $BV69):INDIRECT("Table!" &amp; $CH$110 &amp; $BV69),0)))))/1024</f>
        <v>156.30683593750001</v>
      </c>
      <c r="P69" s="709">
        <f ca="1">IF(ISERROR(MATCH(P$1,INDIRECT("Table!A"&amp;$BV69):INDIRECT("Table!" &amp; $CH$110 &amp; $BV69),0)),"",INDIRECT(CONCATENATE("Table!",ADDRESS($BR69,MATCH(P$1,INDIRECT("Table!A" &amp; $BV69):INDIRECT("Table!" &amp; $CH$110 &amp; $BV69),0)))))/1024</f>
        <v>16.130761718750001</v>
      </c>
      <c r="Q69" s="709">
        <f ca="1">IF(ISERROR(MATCH(Q$1,INDIRECT("Table!A"&amp;$BV69):INDIRECT("Table!" &amp; $CH$110 &amp; $BV69),0)),"",INDIRECT(CONCATENATE("Table!",ADDRESS($BR69,MATCH(Q$1,INDIRECT("Table!A" &amp; $BV69):INDIRECT("Table!" &amp; $CH$110 &amp; $BV69),0)))))/1024</f>
        <v>5.2734375000000003E-3</v>
      </c>
      <c r="R69" s="709">
        <f ca="1">IF(ISERROR(MATCH(R$1,INDIRECT("Table!A"&amp;$BV69):INDIRECT("Table!" &amp; $CH$110 &amp; $BV69),0)),"",INDIRECT(CONCATENATE("Table!",ADDRESS($BR69,MATCH(R$1,INDIRECT("Table!A" &amp; $BV69):INDIRECT("Table!" &amp; $CH$110 &amp; $BV69),0)))))/1024</f>
        <v>4.5898437500000002E-3</v>
      </c>
      <c r="S69" s="709">
        <v>0</v>
      </c>
      <c r="T69" s="709">
        <f ca="1">IF(ISERROR(MATCH(T$1,INDIRECT("Table!A"&amp;$BV69):INDIRECT("Table!" &amp; $CH$65 &amp; $BV69),0)),"",INDIRECT(CONCATENATE("Table!",ADDRESS($BR69,MATCH(T$1,INDIRECT("Table!A" &amp; $BV69):INDIRECT("Table!" &amp; $CH$65 &amp; $BV69),0)))))/1024</f>
        <v>4.5880859374999998</v>
      </c>
      <c r="U69" s="709"/>
      <c r="V69" s="905"/>
      <c r="W69" s="905"/>
      <c r="X69" s="905"/>
      <c r="Y69" s="905"/>
      <c r="Z69" s="905"/>
      <c r="AA69" s="905"/>
      <c r="AB69" s="905"/>
      <c r="AC69" s="905"/>
      <c r="AD69" s="905"/>
      <c r="AE69" s="905"/>
      <c r="AF69" s="905"/>
      <c r="AG69" s="905"/>
      <c r="AH69" s="905"/>
      <c r="AI69" s="709" t="str">
        <f ca="1">IF(ISERROR(MATCH(AI$1,INDIRECT("Table!A"&amp;$BV69):INDIRECT("Table!" &amp; $CH$110 &amp; $BV69),0)),"",INDIRECT(CONCATENATE("Table!",ADDRESS($BR69,MATCH(AI$1,INDIRECT("Table!A" &amp; $BV69):INDIRECT("Table!" &amp; $CH$110 &amp; $BV69),0)))))</f>
        <v/>
      </c>
      <c r="AJ69" s="709">
        <f ca="1">IF(ISERROR(MATCH(AJ$1,INDIRECT("Table!A"&amp;$BV69):INDIRECT("Table!" &amp; $CH$110 &amp; $BV69),0)),"",INDIRECT(CONCATENATE("Table!",ADDRESS($BZ69,MATCH(AJ$1,INDIRECT("Table!A" &amp; $BV69):INDIRECT("Table!" &amp; $CH$110 &amp; $BV69),0)))))/1024</f>
        <v>140.0322265625</v>
      </c>
      <c r="AK69" s="709">
        <f ca="1">IF(ISERROR(MATCH(AK$1,INDIRECT("Table!A"&amp;$BV69):INDIRECT("Table!" &amp; $CH$110 &amp; $BV69),0)),"",INDIRECT(CONCATENATE("Table!",ADDRESS($BZ69,MATCH(AK$1,INDIRECT("Table!A" &amp; $BV69):INDIRECT("Table!" &amp; $CH$110 &amp; $BV69),0)))))/1024</f>
        <v>146.98896484375001</v>
      </c>
      <c r="AL69" s="709">
        <f ca="1">IF(ISERROR(MATCH(AL$1,INDIRECT("Table!A"&amp;$BV69):INDIRECT("Table!" &amp; $CH$110 &amp; $BV69),0)),"",INDIRECT(CONCATENATE("Table!",ADDRESS($BZ69,MATCH(AL$1,INDIRECT("Table!A" &amp; $BV69):INDIRECT("Table!" &amp; $CH$110 &amp; $BV69),0)))))/1024</f>
        <v>146.98896484375001</v>
      </c>
      <c r="AM69" s="709">
        <f ca="1">IF(ISERROR(MATCH(AM$1,INDIRECT("Table!A"&amp;$BV69):INDIRECT("Table!" &amp; $CH$110 &amp; $BV69),0)),"",INDIRECT(CONCATENATE("Table!",ADDRESS($BZ69,MATCH(AM$1,INDIRECT("Table!A" &amp; $BV69):INDIRECT("Table!" &amp; $CH$110 &amp; $BV69),0)))))/1024</f>
        <v>177.73222656249999</v>
      </c>
      <c r="AN69" s="709">
        <f ca="1">IF(ISERROR(MATCH(AN$1,INDIRECT("Table!A"&amp;$BV69):INDIRECT("Table!" &amp; $CH$110 &amp; $BV69),0)),"",INDIRECT(CONCATENATE("Table!",ADDRESS($BZ69,MATCH(AN$1,INDIRECT("Table!A" &amp; $BV69):INDIRECT("Table!" &amp; $CH$110 &amp; $BV69),0)))))/1024</f>
        <v>161.57470703125</v>
      </c>
      <c r="AO69" s="709">
        <f ca="1">IF(ISERROR(MATCH(AO$1,INDIRECT("Table!A"&amp;$BV69):INDIRECT("Table!" &amp; $CH$110 &amp; $BV69),0)),"",INDIRECT(CONCATENATE("Table!",ADDRESS($BZ69,MATCH(AO$1,INDIRECT("Table!A" &amp; $BV69):INDIRECT("Table!" &amp; $CH$110 &amp; $BV69),0)))))/1024</f>
        <v>129.03603515624999</v>
      </c>
      <c r="AP69" s="709">
        <f ca="1">IF(ISERROR(MATCH(AP$1,INDIRECT("Table!A"&amp;$BV69):INDIRECT("Table!" &amp; $CH$110 &amp; $BV69),0)),"",INDIRECT(CONCATENATE("Table!",ADDRESS($BZ69,MATCH(AP$1,INDIRECT("Table!A" &amp; $BV69):INDIRECT("Table!" &amp; $CH$110 &amp; $BV69),0)))))/1024</f>
        <v>166.96152343750001</v>
      </c>
      <c r="AQ69" s="709">
        <f ca="1">IF(ISERROR(MATCH(AQ$1,INDIRECT("Table!A"&amp;$BV69):INDIRECT("Table!" &amp; $CH$110 &amp; $BV69),0)),"",INDIRECT(CONCATENATE("Table!",ADDRESS($BZ69,MATCH(AQ$1,INDIRECT("Table!A" &amp; $BV69):INDIRECT("Table!" &amp; $CH$110 &amp; $BV69),0)))))/1024</f>
        <v>161.57568359375</v>
      </c>
      <c r="AR69" s="709">
        <f ca="1">IF(ISERROR(MATCH(AR$1,INDIRECT("Table!A"&amp;$BV69):INDIRECT("Table!" &amp; $CH$110 &amp; $BV69),0)),"",INDIRECT(CONCATENATE("Table!",ADDRESS($BZ69,MATCH(AR$1,INDIRECT("Table!A" &amp; $BV69):INDIRECT("Table!" &amp; $CH$110 &amp; $BV69),0)))))/1024</f>
        <v>90.245703125000006</v>
      </c>
      <c r="AS69" s="709">
        <f ca="1">IF(ISERROR(MATCH(AS$1,INDIRECT("Table!A"&amp;$BV69):INDIRECT("Table!" &amp; $CH$110 &amp; $BV69),0)),"",INDIRECT(CONCATENATE("Table!",ADDRESS($BZ69,MATCH(AS$1,INDIRECT("Table!A" &amp; $BV69):INDIRECT("Table!" &amp; $CH$110 &amp; $BV69),0)))))/1024</f>
        <v>128.974609375</v>
      </c>
      <c r="AT69" s="709">
        <f ca="1">IF(ISERROR(MATCH(AT$1,INDIRECT("Table!A"&amp;$BV69):INDIRECT("Table!" &amp; $CH$110 &amp; $BV69),0)),"",INDIRECT(CONCATENATE("Table!",ADDRESS($BZ69,MATCH(AT$1,INDIRECT("Table!A" &amp; $BV69):INDIRECT("Table!" &amp; $CH$110 &amp; $BV69),0)))))/1024</f>
        <v>188.50498046875001</v>
      </c>
      <c r="AU69" s="709">
        <f ca="1">IF(ISERROR(MATCH(AU$1,INDIRECT("Table!A"&amp;$BV69):INDIRECT("Table!" &amp; $CH$110 &amp; $BV69),0)),"",INDIRECT(CONCATENATE("Table!",ADDRESS($BZ69,MATCH(AU$1,INDIRECT("Table!A" &amp; $BV69):INDIRECT("Table!" &amp; $CH$110 &amp; $BV69),0)))))/1024</f>
        <v>129.03603515624999</v>
      </c>
      <c r="AV69" s="709">
        <f ca="1">IF(ISERROR(MATCH(AV$1,INDIRECT("Table!A"&amp;$BV69):INDIRECT("Table!" &amp; $CH$110 &amp; $BV69),0)),"",INDIRECT(CONCATENATE("Table!",ADDRESS($BZ69,MATCH(AV$1,INDIRECT("Table!A" &amp; $BV69):INDIRECT("Table!" &amp; $CH$110 &amp; $BV69),0)))))/1024</f>
        <v>80.787695312500006</v>
      </c>
      <c r="AW69" s="709">
        <f ca="1">IF(ISERROR(MATCH(AW$1,INDIRECT("Table!A"&amp;$BV69):INDIRECT("Table!" &amp; $CH$110 &amp; $BV69),0)),"",INDIRECT(CONCATENATE("Table!",ADDRESS($BZ69,MATCH(AW$1,INDIRECT("Table!A" &amp; $BV69):INDIRECT("Table!" &amp; $CH$110 &amp; $BV69),0)))))/1024</f>
        <v>269.2919921875</v>
      </c>
      <c r="AX69" s="709">
        <f ca="1">IF(ISERROR(MATCH(AX$1,INDIRECT("Table!A"&amp;$BV69):INDIRECT("Table!" &amp; $CH$110 &amp; $BV69),0)),"",INDIRECT(CONCATENATE("Table!",ADDRESS($BZ69,MATCH(AX$1,INDIRECT("Table!A" &amp; $BV69):INDIRECT("Table!" &amp; $CH$110 &amp; $BV69),0)))))/1024</f>
        <v>80.787695312500006</v>
      </c>
      <c r="AY69" s="709">
        <f ca="1">IF(ISERROR(MATCH(AY$1,INDIRECT("Table!A"&amp;$BV69):INDIRECT("Table!" &amp; $CH$110 &amp; $BV69),0)),"",INDIRECT(CONCATENATE("Table!",ADDRESS($BZ69,MATCH(AY$1,INDIRECT("Table!A" &amp; $BV69):INDIRECT("Table!" &amp; $CH$110 &amp; $BV69),0)))))/1024</f>
        <v>184.55234375000001</v>
      </c>
      <c r="AZ69" s="709">
        <f ca="1">IF(ISERROR(MATCH(AZ$1,INDIRECT("Table!A"&amp;$BV69):INDIRECT("Table!" &amp; $CH$110 &amp; $BV69),0)),"",INDIRECT(CONCATENATE("Table!",ADDRESS($BZ69,MATCH(AZ$1,INDIRECT("Table!A" &amp; $BV69):INDIRECT("Table!" &amp; $CH$110 &amp; $BV69),0)))))/1024</f>
        <v>128.974609375</v>
      </c>
      <c r="BA69" s="709"/>
      <c r="BB69" s="709">
        <f ca="1">IF(ISERROR(MATCH(BB$1,INDIRECT("Table!A"&amp;$BV69):INDIRECT("Table!" &amp; $CH$110 &amp; $BV69),0)),"",INDIRECT(CONCATENATE("Table!",ADDRESS($BZ69,MATCH(BB$1,INDIRECT("Table!A" &amp; $BV69):INDIRECT("Table!" &amp; $CH$110 &amp; $BV69),0)))))/1024</f>
        <v>32.31494140625</v>
      </c>
      <c r="BC69" s="709"/>
      <c r="BD69" s="905"/>
      <c r="BE69" s="905"/>
      <c r="BF69" s="905"/>
      <c r="BG69" s="905"/>
      <c r="BH69" s="905"/>
      <c r="BI69" s="905"/>
      <c r="BJ69" s="905"/>
      <c r="BK69" s="905"/>
      <c r="BL69" s="905"/>
      <c r="BM69" s="905"/>
      <c r="BN69" s="905"/>
      <c r="BO69" s="905"/>
      <c r="BP69" s="905"/>
      <c r="BQ69" s="905"/>
      <c r="BR69" s="704">
        <f>MATCH($A69,Table!$A:$A,0)+$BT$2-1</f>
        <v>929</v>
      </c>
      <c r="BS69" s="705"/>
      <c r="BT69" s="705"/>
      <c r="BU69" s="705"/>
      <c r="BV69" s="717">
        <f>MATCH($A69,Table!$A:$A,0)+$BX$2-1</f>
        <v>927</v>
      </c>
      <c r="BW69" s="705"/>
      <c r="BX69" s="705"/>
      <c r="BY69" s="705"/>
      <c r="BZ69" s="704">
        <f>MATCH($A69,Table!$A:$A,0)+$CB$2-1</f>
        <v>928</v>
      </c>
      <c r="CA69" s="705"/>
      <c r="CB69" s="705"/>
      <c r="CC69" s="705"/>
      <c r="CD69" s="717">
        <f>MATCH($A69,Table!$A:$A,0)+$BX$2-1</f>
        <v>927</v>
      </c>
      <c r="CE69" s="705"/>
      <c r="CF69" s="705"/>
      <c r="CG69" s="705"/>
      <c r="CH69" s="711" t="s">
        <v>302</v>
      </c>
      <c r="CI69" s="712">
        <f t="shared" ca="1" si="139"/>
        <v>2544.3609375000005</v>
      </c>
      <c r="CJ69" s="712">
        <f t="shared" ca="1" si="85"/>
        <v>1043.6322265624995</v>
      </c>
      <c r="CK69" s="712">
        <f t="shared" ca="1" si="137"/>
        <v>1500.7287109375011</v>
      </c>
      <c r="CL69" s="718">
        <f t="shared" ca="1" si="138"/>
        <v>0.410174598729666</v>
      </c>
      <c r="CM69" s="712">
        <f ca="1">SUMIF('Alloc Feed'!A:I,A:A,'Alloc Feed'!I:I)</f>
        <v>2556.8944511718751</v>
      </c>
      <c r="CN69" s="718">
        <f t="shared" ca="1" si="136"/>
        <v>1.0049259967354276</v>
      </c>
    </row>
    <row r="70" spans="1:92" s="267" customFormat="1" x14ac:dyDescent="0.25">
      <c r="A70" s="703">
        <v>41430</v>
      </c>
      <c r="B70" s="709">
        <f ca="1">IF(ISERROR(MATCH(B$1,INDIRECT("Table!A"&amp;$BV70):INDIRECT("Table!" &amp; $CH$110 &amp; $BV70),0)),"",INDIRECT(CONCATENATE("Table!",ADDRESS($BR70,MATCH(B$1,INDIRECT("Table!A" &amp; $BV70):INDIRECT("Table!" &amp; $CH$110 &amp; $BV70),0)))))/1024</f>
        <v>40.835546874999999</v>
      </c>
      <c r="C70" s="709">
        <f ca="1">IF(ISERROR(MATCH(C$1,INDIRECT("Table!A"&amp;$BV70):INDIRECT("Table!" &amp; $CH$110 &amp; $BV70),0)),"",INDIRECT(CONCATENATE("Table!",ADDRESS($BR70,MATCH(C$1,INDIRECT("Table!A" &amp; $BV70):INDIRECT("Table!" &amp; $CH$110 &amp; $BV70),0)))))/1024</f>
        <v>76.683691406250006</v>
      </c>
      <c r="D70" s="709">
        <f ca="1">IF(ISERROR(MATCH(D$1,INDIRECT("Table!A"&amp;$BV70):INDIRECT("Table!" &amp; $CH$110 &amp; $BV70),0)),"",INDIRECT(CONCATENATE("Table!",ADDRESS($BR70,MATCH(D$1,INDIRECT("Table!A" &amp; $BV70):INDIRECT("Table!" &amp; $CH$110 &amp; $BV70),0)))))/1024</f>
        <v>78.151660156250003</v>
      </c>
      <c r="E70" s="709">
        <f ca="1">IF(ISERROR(MATCH(E$1,INDIRECT("Table!A"&amp;$BV70):INDIRECT("Table!" &amp; $CH$110 &amp; $BV70),0)),"",INDIRECT(CONCATENATE("Table!",ADDRESS($BR70,MATCH(E$1,INDIRECT("Table!A" &amp; $BV70):INDIRECT("Table!" &amp; $CH$110 &amp; $BV70),0)))))/1024</f>
        <v>157.17050781250001</v>
      </c>
      <c r="F70" s="709">
        <f ca="1">IF(ISERROR(MATCH(F$1,INDIRECT("Table!A"&amp;$BV70):INDIRECT("Table!" &amp; $CH$110 &amp; $BV70),0)),"",INDIRECT(CONCATENATE("Table!",ADDRESS($BR70,MATCH(F$1,INDIRECT("Table!A" &amp; $BV70):INDIRECT("Table!" &amp; $CH$110 &amp; $BV70),0)))))/1024</f>
        <v>100.80048828125</v>
      </c>
      <c r="G70" s="709">
        <f ca="1">IF(ISERROR(MATCH(G$1,INDIRECT("Table!A"&amp;$BV70):INDIRECT("Table!" &amp; $CH$110 &amp; $BV70),0)),"",INDIRECT(CONCATENATE("Table!",ADDRESS($BR70,MATCH(G$1,INDIRECT("Table!A" &amp; $BV70):INDIRECT("Table!" &amp; $CH$110 &amp; $BV70),0)))))/1024</f>
        <v>50.92333984375</v>
      </c>
      <c r="H70" s="709">
        <f ca="1">IF(ISERROR(MATCH(H$1,INDIRECT("Table!A"&amp;$BV70):INDIRECT("Table!" &amp; $CH$110 &amp; $BV70),0)),"",INDIRECT(CONCATENATE("Table!",ADDRESS($BR70,MATCH(H$1,INDIRECT("Table!A" &amp; $BV70):INDIRECT("Table!" &amp; $CH$110 &amp; $BV70),0)))))/1024</f>
        <v>85.3095703125</v>
      </c>
      <c r="I70" s="709">
        <f ca="1">IF(ISERROR(MATCH(I$1,INDIRECT("Table!A"&amp;$BV70):INDIRECT("Table!" &amp; $CH$110 &amp; $BV70),0)),"",INDIRECT(CONCATENATE("Table!",ADDRESS($BR70,MATCH(I$1,INDIRECT("Table!A" &amp; $BV70):INDIRECT("Table!" &amp; $CH$110 &amp; $BV70),0)))))/1024</f>
        <v>7.8649414062499998</v>
      </c>
      <c r="J70" s="709">
        <f ca="1">IF(ISERROR(MATCH(J$1,INDIRECT("Table!A"&amp;$BV70):INDIRECT("Table!" &amp; $CH$110 &amp; $BV70),0)),"",INDIRECT(CONCATENATE("Table!",ADDRESS($BR70,MATCH(J$1,INDIRECT("Table!A" &amp; $BV70):INDIRECT("Table!" &amp; $CH$110 &amp; $BV70),0)))))/1024</f>
        <v>2.6367187500000002E-3</v>
      </c>
      <c r="K70" s="709"/>
      <c r="L70" s="709">
        <f ca="1">IF(ISERROR(MATCH(L$1,INDIRECT("Table!A"&amp;$BV70):INDIRECT("Table!" &amp; $CH$110 &amp; $BV70),0)),"",INDIRECT(CONCATENATE("Table!",ADDRESS($BR70,MATCH(L$1,INDIRECT("Table!A" &amp; $BV70):INDIRECT("Table!" &amp; $CH$110 &amp; $BV70),0)))))/1024</f>
        <v>157.09716796875</v>
      </c>
      <c r="M70" s="709">
        <f ca="1">IF(ISERROR(MATCH(M$1,INDIRECT("Table!A"&amp;$BV70):INDIRECT("Table!" &amp; $CH$110 &amp; $BV70),0)),"",INDIRECT(CONCATENATE("Table!",ADDRESS($BR70,MATCH(M$1,INDIRECT("Table!A" &amp; $BV70):INDIRECT("Table!" &amp; $CH$110 &amp; $BV70),0)))))/1024</f>
        <v>59.258984374999997</v>
      </c>
      <c r="N70" s="709">
        <f ca="1">IF(ISERROR(MATCH(N$1,INDIRECT("Table!A"&amp;$BV70):INDIRECT("Table!" &amp; $CH$110 &amp; $BV70),0)),"",INDIRECT(CONCATENATE("Table!",ADDRESS($BR70,MATCH(N$1,INDIRECT("Table!A" &amp; $BV70):INDIRECT("Table!" &amp; $CH$110 &amp; $BV70),0)))))/1024</f>
        <v>51.715136718750003</v>
      </c>
      <c r="O70" s="709">
        <f ca="1">IF(ISERROR(MATCH(O$1,INDIRECT("Table!A"&amp;$BV70):INDIRECT("Table!" &amp; $CH$110 &amp; $BV70),0)),"",INDIRECT(CONCATENATE("Table!",ADDRESS($BR70,MATCH(O$1,INDIRECT("Table!A" &amp; $BV70):INDIRECT("Table!" &amp; $CH$110 &amp; $BV70),0)))))/1024</f>
        <v>155.99833984374999</v>
      </c>
      <c r="P70" s="709">
        <f ca="1">IF(ISERROR(MATCH(P$1,INDIRECT("Table!A"&amp;$BV70):INDIRECT("Table!" &amp; $CH$110 &amp; $BV70),0)),"",INDIRECT(CONCATENATE("Table!",ADDRESS($BR70,MATCH(P$1,INDIRECT("Table!A" &amp; $BV70):INDIRECT("Table!" &amp; $CH$110 &amp; $BV70),0)))))/1024</f>
        <v>15.53076171875</v>
      </c>
      <c r="Q70" s="709">
        <f ca="1">IF(ISERROR(MATCH(Q$1,INDIRECT("Table!A"&amp;$BV70):INDIRECT("Table!" &amp; $CH$110 &amp; $BV70),0)),"",INDIRECT(CONCATENATE("Table!",ADDRESS($BR70,MATCH(Q$1,INDIRECT("Table!A" &amp; $BV70):INDIRECT("Table!" &amp; $CH$110 &amp; $BV70),0)))))/1024</f>
        <v>5.2734375000000003E-3</v>
      </c>
      <c r="R70" s="709"/>
      <c r="S70" s="709">
        <v>0</v>
      </c>
      <c r="T70" s="709">
        <f ca="1">IF(ISERROR(MATCH(T$1,INDIRECT("Table!A"&amp;$BV70):INDIRECT("Table!" &amp; $CH$65 &amp; $BV70),0)),"",INDIRECT(CONCATENATE("Table!",ADDRESS($BR70,MATCH(T$1,INDIRECT("Table!A" &amp; $BV70):INDIRECT("Table!" &amp; $CH$65 &amp; $BV70),0)))))/1024</f>
        <v>4.5611328125000004</v>
      </c>
      <c r="U70" s="709"/>
      <c r="V70" s="905"/>
      <c r="W70" s="905"/>
      <c r="X70" s="905"/>
      <c r="Y70" s="905"/>
      <c r="Z70" s="905"/>
      <c r="AA70" s="905"/>
      <c r="AB70" s="905"/>
      <c r="AC70" s="905"/>
      <c r="AD70" s="905"/>
      <c r="AE70" s="905"/>
      <c r="AF70" s="905"/>
      <c r="AG70" s="905"/>
      <c r="AH70" s="905"/>
      <c r="AI70" s="709" t="str">
        <f ca="1">IF(ISERROR(MATCH(AI$1,INDIRECT("Table!A"&amp;$BV70):INDIRECT("Table!" &amp; $CH$110 &amp; $BV70),0)),"",INDIRECT(CONCATENATE("Table!",ADDRESS($BR70,MATCH(AI$1,INDIRECT("Table!A" &amp; $BV70):INDIRECT("Table!" &amp; $CH$110 &amp; $BV70),0)))))</f>
        <v/>
      </c>
      <c r="AJ70" s="709">
        <f ca="1">IF(ISERROR(MATCH(AJ$1,INDIRECT("Table!A"&amp;$BV70):INDIRECT("Table!" &amp; $CH$110 &amp; $BV70),0)),"",INDIRECT(CONCATENATE("Table!",ADDRESS($BZ70,MATCH(AJ$1,INDIRECT("Table!A" &amp; $BV70):INDIRECT("Table!" &amp; $CH$110 &amp; $BV70),0)))))/1024</f>
        <v>140.03144531250001</v>
      </c>
      <c r="AK70" s="709">
        <f ca="1">IF(ISERROR(MATCH(AK$1,INDIRECT("Table!A"&amp;$BV70):INDIRECT("Table!" &amp; $CH$110 &amp; $BV70),0)),"",INDIRECT(CONCATENATE("Table!",ADDRESS($BZ70,MATCH(AK$1,INDIRECT("Table!A" &amp; $BV70):INDIRECT("Table!" &amp; $CH$110 &amp; $BV70),0)))))/1024</f>
        <v>146.98808593749999</v>
      </c>
      <c r="AL70" s="709">
        <f ca="1">IF(ISERROR(MATCH(AL$1,INDIRECT("Table!A"&amp;$BV70):INDIRECT("Table!" &amp; $CH$110 &amp; $BV70),0)),"",INDIRECT(CONCATENATE("Table!",ADDRESS($BZ70,MATCH(AL$1,INDIRECT("Table!A" &amp; $BV70):INDIRECT("Table!" &amp; $CH$110 &amp; $BV70),0)))))/1024</f>
        <v>146.98808593749999</v>
      </c>
      <c r="AM70" s="709">
        <f ca="1">IF(ISERROR(MATCH(AM$1,INDIRECT("Table!A"&amp;$BV70):INDIRECT("Table!" &amp; $CH$110 &amp; $BV70),0)),"",INDIRECT(CONCATENATE("Table!",ADDRESS($BZ70,MATCH(AM$1,INDIRECT("Table!A" &amp; $BV70):INDIRECT("Table!" &amp; $CH$110 &amp; $BV70),0)))))/1024</f>
        <v>177.73222656249999</v>
      </c>
      <c r="AN70" s="709">
        <f ca="1">IF(ISERROR(MATCH(AN$1,INDIRECT("Table!A"&amp;$BV70):INDIRECT("Table!" &amp; $CH$110 &amp; $BV70),0)),"",INDIRECT(CONCATENATE("Table!",ADDRESS($BZ70,MATCH(AN$1,INDIRECT("Table!A" &amp; $BV70):INDIRECT("Table!" &amp; $CH$110 &amp; $BV70),0)))))/1024</f>
        <v>161.57470703125</v>
      </c>
      <c r="AO70" s="709">
        <f ca="1">IF(ISERROR(MATCH(AO$1,INDIRECT("Table!A"&amp;$BV70):INDIRECT("Table!" &amp; $CH$110 &amp; $BV70),0)),"",INDIRECT(CONCATENATE("Table!",ADDRESS($BZ70,MATCH(AO$1,INDIRECT("Table!A" &amp; $BV70):INDIRECT("Table!" &amp; $CH$110 &amp; $BV70),0)))))/1024</f>
        <v>129.03515625</v>
      </c>
      <c r="AP70" s="709">
        <f ca="1">IF(ISERROR(MATCH(AP$1,INDIRECT("Table!A"&amp;$BV70):INDIRECT("Table!" &amp; $CH$110 &amp; $BV70),0)),"",INDIRECT(CONCATENATE("Table!",ADDRESS($BZ70,MATCH(AP$1,INDIRECT("Table!A" &amp; $BV70):INDIRECT("Table!" &amp; $CH$110 &amp; $BV70),0)))))/1024</f>
        <v>166.96152343750001</v>
      </c>
      <c r="AQ70" s="709">
        <f ca="1">IF(ISERROR(MATCH(AQ$1,INDIRECT("Table!A"&amp;$BV70):INDIRECT("Table!" &amp; $CH$110 &amp; $BV70),0)),"",INDIRECT(CONCATENATE("Table!",ADDRESS($BZ70,MATCH(AQ$1,INDIRECT("Table!A" &amp; $BV70):INDIRECT("Table!" &amp; $CH$110 &amp; $BV70),0)))))/1024</f>
        <v>162.18544921874999</v>
      </c>
      <c r="AR70" s="709">
        <f ca="1">IF(ISERROR(MATCH(AR$1,INDIRECT("Table!A"&amp;$BV70):INDIRECT("Table!" &amp; $CH$110 &amp; $BV70),0)),"",INDIRECT(CONCATENATE("Table!",ADDRESS($BZ70,MATCH(AR$1,INDIRECT("Table!A" &amp; $BV70):INDIRECT("Table!" &amp; $CH$110 &amp; $BV70),0)))))/1024</f>
        <v>92.816601562499997</v>
      </c>
      <c r="AS70" s="709"/>
      <c r="AT70" s="709">
        <f ca="1">IF(ISERROR(MATCH(AT$1,INDIRECT("Table!A"&amp;$BV70):INDIRECT("Table!" &amp; $CH$110 &amp; $BV70),0)),"",INDIRECT(CONCATENATE("Table!",ADDRESS($BZ70,MATCH(AT$1,INDIRECT("Table!A" &amp; $BV70):INDIRECT("Table!" &amp; $CH$110 &amp; $BV70),0)))))/1024</f>
        <v>188.5029296875</v>
      </c>
      <c r="AU70" s="709">
        <f ca="1">IF(ISERROR(MATCH(AU$1,INDIRECT("Table!A"&amp;$BV70):INDIRECT("Table!" &amp; $CH$110 &amp; $BV70),0)),"",INDIRECT(CONCATENATE("Table!",ADDRESS($BZ70,MATCH(AU$1,INDIRECT("Table!A" &amp; $BV70):INDIRECT("Table!" &amp; $CH$110 &amp; $BV70),0)))))/1024</f>
        <v>129.03535156250001</v>
      </c>
      <c r="AV70" s="709">
        <f ca="1">IF(ISERROR(MATCH(AV$1,INDIRECT("Table!A"&amp;$BV70):INDIRECT("Table!" &amp; $CH$110 &amp; $BV70),0)),"",INDIRECT(CONCATENATE("Table!",ADDRESS($BZ70,MATCH(AV$1,INDIRECT("Table!A" &amp; $BV70):INDIRECT("Table!" &amp; $CH$110 &amp; $BV70),0)))))/1024</f>
        <v>80.787402343750003</v>
      </c>
      <c r="AW70" s="709">
        <f ca="1">IF(ISERROR(MATCH(AW$1,INDIRECT("Table!A"&amp;$BV70):INDIRECT("Table!" &amp; $CH$110 &amp; $BV70),0)),"",INDIRECT(CONCATENATE("Table!",ADDRESS($BZ70,MATCH(AW$1,INDIRECT("Table!A" &amp; $BV70):INDIRECT("Table!" &amp; $CH$110 &amp; $BV70),0)))))/1024</f>
        <v>269.2919921875</v>
      </c>
      <c r="AX70" s="709">
        <f ca="1">IF(ISERROR(MATCH(AX$1,INDIRECT("Table!A"&amp;$BV70):INDIRECT("Table!" &amp; $CH$110 &amp; $BV70),0)),"",INDIRECT(CONCATENATE("Table!",ADDRESS($BZ70,MATCH(AX$1,INDIRECT("Table!A" &amp; $BV70):INDIRECT("Table!" &amp; $CH$110 &amp; $BV70),0)))))/1024</f>
        <v>81.0927734375</v>
      </c>
      <c r="AY70" s="709">
        <f ca="1">IF(ISERROR(MATCH(AY$1,INDIRECT("Table!A"&amp;$BV70):INDIRECT("Table!" &amp; $CH$110 &amp; $BV70),0)),"",INDIRECT(CONCATENATE("Table!",ADDRESS($BZ70,MATCH(AY$1,INDIRECT("Table!A" &amp; $BV70):INDIRECT("Table!" &amp; $CH$110 &amp; $BV70),0)))))/1024</f>
        <v>184.55234375000001</v>
      </c>
      <c r="AZ70" s="709"/>
      <c r="BA70" s="709"/>
      <c r="BB70" s="709">
        <f ca="1">IF(ISERROR(MATCH(BB$1,INDIRECT("Table!A"&amp;$BV70):INDIRECT("Table!" &amp; $CH$110 &amp; $BV70),0)),"",INDIRECT(CONCATENATE("Table!",ADDRESS($BZ70,MATCH(BB$1,INDIRECT("Table!A" &amp; $BV70):INDIRECT("Table!" &amp; $CH$110 &amp; $BV70),0)))))/1024</f>
        <v>32.31494140625</v>
      </c>
      <c r="BC70" s="709"/>
      <c r="BD70" s="905"/>
      <c r="BE70" s="905"/>
      <c r="BF70" s="905"/>
      <c r="BG70" s="905"/>
      <c r="BH70" s="905"/>
      <c r="BI70" s="905"/>
      <c r="BJ70" s="905"/>
      <c r="BK70" s="905"/>
      <c r="BL70" s="905"/>
      <c r="BM70" s="905"/>
      <c r="BN70" s="905"/>
      <c r="BO70" s="905"/>
      <c r="BP70" s="905"/>
      <c r="BQ70" s="905"/>
      <c r="BR70" s="704">
        <f>MATCH($A70,Table!$A:$A,0)+$BT$2-1</f>
        <v>941</v>
      </c>
      <c r="BS70" s="705"/>
      <c r="BT70" s="705"/>
      <c r="BU70" s="705"/>
      <c r="BV70" s="717">
        <f>MATCH($A70,Table!$A:$A,0)+$BX$2-1</f>
        <v>939</v>
      </c>
      <c r="BW70" s="705"/>
      <c r="BX70" s="705"/>
      <c r="BY70" s="705"/>
      <c r="BZ70" s="704">
        <f>MATCH($A70,Table!$A:$A,0)+$CB$2-1</f>
        <v>940</v>
      </c>
      <c r="CA70" s="705"/>
      <c r="CB70" s="705"/>
      <c r="CC70" s="705"/>
      <c r="CD70" s="717">
        <f>MATCH($A70,Table!$A:$A,0)+$BX$2-1</f>
        <v>939</v>
      </c>
      <c r="CE70" s="705"/>
      <c r="CF70" s="705"/>
      <c r="CG70" s="705"/>
      <c r="CH70" s="711" t="s">
        <v>302</v>
      </c>
      <c r="CI70" s="712">
        <f t="shared" ca="1" si="139"/>
        <v>2289.8910156249999</v>
      </c>
      <c r="CJ70" s="712">
        <f t="shared" ca="1" si="85"/>
        <v>1041.9091796875</v>
      </c>
      <c r="CK70" s="712">
        <f t="shared" ca="1" si="137"/>
        <v>1247.9818359374999</v>
      </c>
      <c r="CL70" s="718">
        <f t="shared" ca="1" si="138"/>
        <v>0.45500382881895479</v>
      </c>
      <c r="CM70" s="712">
        <f ca="1">SUMIF('Alloc Feed'!A:I,A:A,'Alloc Feed'!I:I)</f>
        <v>0</v>
      </c>
      <c r="CN70" s="718">
        <f t="shared" ca="1" si="136"/>
        <v>0</v>
      </c>
    </row>
    <row r="71" spans="1:92" s="267" customFormat="1" x14ac:dyDescent="0.25">
      <c r="A71" s="703">
        <v>41430</v>
      </c>
      <c r="B71" s="709">
        <f ca="1">IF(ISERROR(MATCH(B$1,INDIRECT("Table!A"&amp;$BV71):INDIRECT("Table!" &amp; $CH$110 &amp; $BV71),0)),"",INDIRECT(CONCATENATE("Table!",ADDRESS($BR71,MATCH(B$1,INDIRECT("Table!A" &amp; $BV71):INDIRECT("Table!" &amp; $CH$110 &amp; $BV71),0)))))/1024</f>
        <v>40.835546874999999</v>
      </c>
      <c r="C71" s="709">
        <f ca="1">IF(ISERROR(MATCH(C$1,INDIRECT("Table!A"&amp;$BV71):INDIRECT("Table!" &amp; $CH$110 &amp; $BV71),0)),"",INDIRECT(CONCATENATE("Table!",ADDRESS($BR71,MATCH(C$1,INDIRECT("Table!A" &amp; $BV71):INDIRECT("Table!" &amp; $CH$110 &amp; $BV71),0)))))/1024</f>
        <v>76.683691406250006</v>
      </c>
      <c r="D71" s="709">
        <f ca="1">IF(ISERROR(MATCH(D$1,INDIRECT("Table!A"&amp;$BV71):INDIRECT("Table!" &amp; $CH$110 &amp; $BV71),0)),"",INDIRECT(CONCATENATE("Table!",ADDRESS($BR71,MATCH(D$1,INDIRECT("Table!A" &amp; $BV71):INDIRECT("Table!" &amp; $CH$110 &amp; $BV71),0)))))/1024</f>
        <v>78.151660156250003</v>
      </c>
      <c r="E71" s="709">
        <f ca="1">IF(ISERROR(MATCH(E$1,INDIRECT("Table!A"&amp;$BV71):INDIRECT("Table!" &amp; $CH$110 &amp; $BV71),0)),"",INDIRECT(CONCATENATE("Table!",ADDRESS($BR71,MATCH(E$1,INDIRECT("Table!A" &amp; $BV71):INDIRECT("Table!" &amp; $CH$110 &amp; $BV71),0)))))/1024</f>
        <v>157.17050781250001</v>
      </c>
      <c r="F71" s="709">
        <f ca="1">IF(ISERROR(MATCH(F$1,INDIRECT("Table!A"&amp;$BV71):INDIRECT("Table!" &amp; $CH$110 &amp; $BV71),0)),"",INDIRECT(CONCATENATE("Table!",ADDRESS($BR71,MATCH(F$1,INDIRECT("Table!A" &amp; $BV71):INDIRECT("Table!" &amp; $CH$110 &amp; $BV71),0)))))/1024</f>
        <v>100.80048828125</v>
      </c>
      <c r="G71" s="709">
        <f ca="1">IF(ISERROR(MATCH(G$1,INDIRECT("Table!A"&amp;$BV71):INDIRECT("Table!" &amp; $CH$110 &amp; $BV71),0)),"",INDIRECT(CONCATENATE("Table!",ADDRESS($BR71,MATCH(G$1,INDIRECT("Table!A" &amp; $BV71):INDIRECT("Table!" &amp; $CH$110 &amp; $BV71),0)))))/1024</f>
        <v>50.92333984375</v>
      </c>
      <c r="H71" s="709">
        <f ca="1">IF(ISERROR(MATCH(H$1,INDIRECT("Table!A"&amp;$BV71):INDIRECT("Table!" &amp; $CH$110 &amp; $BV71),0)),"",INDIRECT(CONCATENATE("Table!",ADDRESS($BR71,MATCH(H$1,INDIRECT("Table!A" &amp; $BV71):INDIRECT("Table!" &amp; $CH$110 &amp; $BV71),0)))))/1024</f>
        <v>85.3095703125</v>
      </c>
      <c r="I71" s="709">
        <f ca="1">IF(ISERROR(MATCH(I$1,INDIRECT("Table!A"&amp;$BV71):INDIRECT("Table!" &amp; $CH$110 &amp; $BV71),0)),"",INDIRECT(CONCATENATE("Table!",ADDRESS($BR71,MATCH(I$1,INDIRECT("Table!A" &amp; $BV71):INDIRECT("Table!" &amp; $CH$110 &amp; $BV71),0)))))/1024</f>
        <v>7.8649414062499998</v>
      </c>
      <c r="J71" s="709">
        <f ca="1">IF(ISERROR(MATCH(J$1,INDIRECT("Table!A"&amp;$BV71):INDIRECT("Table!" &amp; $CH$110 &amp; $BV71),0)),"",INDIRECT(CONCATENATE("Table!",ADDRESS($BR71,MATCH(J$1,INDIRECT("Table!A" &amp; $BV71):INDIRECT("Table!" &amp; $CH$110 &amp; $BV71),0)))))/1024</f>
        <v>2.6367187500000002E-3</v>
      </c>
      <c r="K71" s="709"/>
      <c r="L71" s="709">
        <f ca="1">IF(ISERROR(MATCH(L$1,INDIRECT("Table!A"&amp;$BV71):INDIRECT("Table!" &amp; $CH$110 &amp; $BV71),0)),"",INDIRECT(CONCATENATE("Table!",ADDRESS($BR71,MATCH(L$1,INDIRECT("Table!A" &amp; $BV71):INDIRECT("Table!" &amp; $CH$110 &amp; $BV71),0)))))/1024</f>
        <v>157.09716796875</v>
      </c>
      <c r="M71" s="709">
        <f ca="1">IF(ISERROR(MATCH(M$1,INDIRECT("Table!A"&amp;$BV71):INDIRECT("Table!" &amp; $CH$110 &amp; $BV71),0)),"",INDIRECT(CONCATENATE("Table!",ADDRESS($BR71,MATCH(M$1,INDIRECT("Table!A" &amp; $BV71):INDIRECT("Table!" &amp; $CH$110 &amp; $BV71),0)))))/1024</f>
        <v>59.258984374999997</v>
      </c>
      <c r="N71" s="709">
        <f ca="1">IF(ISERROR(MATCH(N$1,INDIRECT("Table!A"&amp;$BV71):INDIRECT("Table!" &amp; $CH$110 &amp; $BV71),0)),"",INDIRECT(CONCATENATE("Table!",ADDRESS($BR71,MATCH(N$1,INDIRECT("Table!A" &amp; $BV71):INDIRECT("Table!" &amp; $CH$110 &amp; $BV71),0)))))/1024</f>
        <v>51.715136718750003</v>
      </c>
      <c r="O71" s="709">
        <f ca="1">IF(ISERROR(MATCH(O$1,INDIRECT("Table!A"&amp;$BV71):INDIRECT("Table!" &amp; $CH$110 &amp; $BV71),0)),"",INDIRECT(CONCATENATE("Table!",ADDRESS($BR71,MATCH(O$1,INDIRECT("Table!A" &amp; $BV71):INDIRECT("Table!" &amp; $CH$110 &amp; $BV71),0)))))/1024</f>
        <v>155.99833984374999</v>
      </c>
      <c r="P71" s="709">
        <f ca="1">IF(ISERROR(MATCH(P$1,INDIRECT("Table!A"&amp;$BV71):INDIRECT("Table!" &amp; $CH$110 &amp; $BV71),0)),"",INDIRECT(CONCATENATE("Table!",ADDRESS($BR71,MATCH(P$1,INDIRECT("Table!A" &amp; $BV71):INDIRECT("Table!" &amp; $CH$110 &amp; $BV71),0)))))/1024</f>
        <v>15.53076171875</v>
      </c>
      <c r="Q71" s="709">
        <f ca="1">IF(ISERROR(MATCH(Q$1,INDIRECT("Table!A"&amp;$BV71):INDIRECT("Table!" &amp; $CH$110 &amp; $BV71),0)),"",INDIRECT(CONCATENATE("Table!",ADDRESS($BR71,MATCH(Q$1,INDIRECT("Table!A" &amp; $BV71):INDIRECT("Table!" &amp; $CH$110 &amp; $BV71),0)))))/1024</f>
        <v>5.2734375000000003E-3</v>
      </c>
      <c r="R71" s="709"/>
      <c r="S71" s="709">
        <v>0</v>
      </c>
      <c r="T71" s="709">
        <f ca="1">IF(ISERROR(MATCH(T$1,INDIRECT("Table!A"&amp;$BV71):INDIRECT("Table!" &amp; $CH$65 &amp; $BV71),0)),"",INDIRECT(CONCATENATE("Table!",ADDRESS($BR71,MATCH(T$1,INDIRECT("Table!A" &amp; $BV71):INDIRECT("Table!" &amp; $CH$65 &amp; $BV71),0)))))/1024</f>
        <v>4.5611328125000004</v>
      </c>
      <c r="U71" s="709"/>
      <c r="V71" s="905"/>
      <c r="W71" s="905"/>
      <c r="X71" s="905"/>
      <c r="Y71" s="905"/>
      <c r="Z71" s="905"/>
      <c r="AA71" s="905"/>
      <c r="AB71" s="905"/>
      <c r="AC71" s="905"/>
      <c r="AD71" s="905"/>
      <c r="AE71" s="905"/>
      <c r="AF71" s="905"/>
      <c r="AG71" s="905"/>
      <c r="AH71" s="905"/>
      <c r="AI71" s="709" t="str">
        <f ca="1">IF(ISERROR(MATCH(AI$1,INDIRECT("Table!A"&amp;$BV71):INDIRECT("Table!" &amp; $CH$110 &amp; $BV71),0)),"",INDIRECT(CONCATENATE("Table!",ADDRESS($BR71,MATCH(AI$1,INDIRECT("Table!A" &amp; $BV71):INDIRECT("Table!" &amp; $CH$110 &amp; $BV71),0)))))</f>
        <v/>
      </c>
      <c r="AJ71" s="709">
        <f ca="1">IF(ISERROR(MATCH(AJ$1,INDIRECT("Table!A"&amp;$BV71):INDIRECT("Table!" &amp; $CH$110 &amp; $BV71),0)),"",INDIRECT(CONCATENATE("Table!",ADDRESS($BZ71,MATCH(AJ$1,INDIRECT("Table!A" &amp; $BV71):INDIRECT("Table!" &amp; $CH$110 &amp; $BV71),0)))))/1024</f>
        <v>140.03144531250001</v>
      </c>
      <c r="AK71" s="709">
        <f ca="1">IF(ISERROR(MATCH(AK$1,INDIRECT("Table!A"&amp;$BV71):INDIRECT("Table!" &amp; $CH$110 &amp; $BV71),0)),"",INDIRECT(CONCATENATE("Table!",ADDRESS($BZ71,MATCH(AK$1,INDIRECT("Table!A" &amp; $BV71):INDIRECT("Table!" &amp; $CH$110 &amp; $BV71),0)))))/1024</f>
        <v>146.98808593749999</v>
      </c>
      <c r="AL71" s="709">
        <f ca="1">IF(ISERROR(MATCH(AL$1,INDIRECT("Table!A"&amp;$BV71):INDIRECT("Table!" &amp; $CH$110 &amp; $BV71),0)),"",INDIRECT(CONCATENATE("Table!",ADDRESS($BZ71,MATCH(AL$1,INDIRECT("Table!A" &amp; $BV71):INDIRECT("Table!" &amp; $CH$110 &amp; $BV71),0)))))/1024</f>
        <v>146.98808593749999</v>
      </c>
      <c r="AM71" s="709">
        <f ca="1">IF(ISERROR(MATCH(AM$1,INDIRECT("Table!A"&amp;$BV71):INDIRECT("Table!" &amp; $CH$110 &amp; $BV71),0)),"",INDIRECT(CONCATENATE("Table!",ADDRESS($BZ71,MATCH(AM$1,INDIRECT("Table!A" &amp; $BV71):INDIRECT("Table!" &amp; $CH$110 &amp; $BV71),0)))))/1024</f>
        <v>177.73222656249999</v>
      </c>
      <c r="AN71" s="709">
        <f ca="1">IF(ISERROR(MATCH(AN$1,INDIRECT("Table!A"&amp;$BV71):INDIRECT("Table!" &amp; $CH$110 &amp; $BV71),0)),"",INDIRECT(CONCATENATE("Table!",ADDRESS($BZ71,MATCH(AN$1,INDIRECT("Table!A" &amp; $BV71):INDIRECT("Table!" &amp; $CH$110 &amp; $BV71),0)))))/1024</f>
        <v>161.57470703125</v>
      </c>
      <c r="AO71" s="709">
        <f ca="1">IF(ISERROR(MATCH(AO$1,INDIRECT("Table!A"&amp;$BV71):INDIRECT("Table!" &amp; $CH$110 &amp; $BV71),0)),"",INDIRECT(CONCATENATE("Table!",ADDRESS($BZ71,MATCH(AO$1,INDIRECT("Table!A" &amp; $BV71):INDIRECT("Table!" &amp; $CH$110 &amp; $BV71),0)))))/1024</f>
        <v>129.03515625</v>
      </c>
      <c r="AP71" s="709">
        <f ca="1">IF(ISERROR(MATCH(AP$1,INDIRECT("Table!A"&amp;$BV71):INDIRECT("Table!" &amp; $CH$110 &amp; $BV71),0)),"",INDIRECT(CONCATENATE("Table!",ADDRESS($BZ71,MATCH(AP$1,INDIRECT("Table!A" &amp; $BV71):INDIRECT("Table!" &amp; $CH$110 &amp; $BV71),0)))))/1024</f>
        <v>166.96152343750001</v>
      </c>
      <c r="AQ71" s="709">
        <f ca="1">IF(ISERROR(MATCH(AQ$1,INDIRECT("Table!A"&amp;$BV71):INDIRECT("Table!" &amp; $CH$110 &amp; $BV71),0)),"",INDIRECT(CONCATENATE("Table!",ADDRESS($BZ71,MATCH(AQ$1,INDIRECT("Table!A" &amp; $BV71):INDIRECT("Table!" &amp; $CH$110 &amp; $BV71),0)))))/1024</f>
        <v>162.18544921874999</v>
      </c>
      <c r="AR71" s="709">
        <f ca="1">IF(ISERROR(MATCH(AR$1,INDIRECT("Table!A"&amp;$BV71):INDIRECT("Table!" &amp; $CH$110 &amp; $BV71),0)),"",INDIRECT(CONCATENATE("Table!",ADDRESS($BZ71,MATCH(AR$1,INDIRECT("Table!A" &amp; $BV71):INDIRECT("Table!" &amp; $CH$110 &amp; $BV71),0)))))/1024</f>
        <v>92.816601562499997</v>
      </c>
      <c r="AS71" s="709"/>
      <c r="AT71" s="709">
        <f ca="1">IF(ISERROR(MATCH(AT$1,INDIRECT("Table!A"&amp;$BV71):INDIRECT("Table!" &amp; $CH$110 &amp; $BV71),0)),"",INDIRECT(CONCATENATE("Table!",ADDRESS($BZ71,MATCH(AT$1,INDIRECT("Table!A" &amp; $BV71):INDIRECT("Table!" &amp; $CH$110 &amp; $BV71),0)))))/1024</f>
        <v>188.5029296875</v>
      </c>
      <c r="AU71" s="709">
        <f ca="1">IF(ISERROR(MATCH(AU$1,INDIRECT("Table!A"&amp;$BV71):INDIRECT("Table!" &amp; $CH$110 &amp; $BV71),0)),"",INDIRECT(CONCATENATE("Table!",ADDRESS($BZ71,MATCH(AU$1,INDIRECT("Table!A" &amp; $BV71):INDIRECT("Table!" &amp; $CH$110 &amp; $BV71),0)))))/1024</f>
        <v>129.03535156250001</v>
      </c>
      <c r="AV71" s="709">
        <f ca="1">IF(ISERROR(MATCH(AV$1,INDIRECT("Table!A"&amp;$BV71):INDIRECT("Table!" &amp; $CH$110 &amp; $BV71),0)),"",INDIRECT(CONCATENATE("Table!",ADDRESS($BZ71,MATCH(AV$1,INDIRECT("Table!A" &amp; $BV71):INDIRECT("Table!" &amp; $CH$110 &amp; $BV71),0)))))/1024</f>
        <v>80.787402343750003</v>
      </c>
      <c r="AW71" s="709">
        <f ca="1">IF(ISERROR(MATCH(AW$1,INDIRECT("Table!A"&amp;$BV71):INDIRECT("Table!" &amp; $CH$110 &amp; $BV71),0)),"",INDIRECT(CONCATENATE("Table!",ADDRESS($BZ71,MATCH(AW$1,INDIRECT("Table!A" &amp; $BV71):INDIRECT("Table!" &amp; $CH$110 &amp; $BV71),0)))))/1024</f>
        <v>269.2919921875</v>
      </c>
      <c r="AX71" s="709">
        <f ca="1">IF(ISERROR(MATCH(AX$1,INDIRECT("Table!A"&amp;$BV71):INDIRECT("Table!" &amp; $CH$110 &amp; $BV71),0)),"",INDIRECT(CONCATENATE("Table!",ADDRESS($BZ71,MATCH(AX$1,INDIRECT("Table!A" &amp; $BV71):INDIRECT("Table!" &amp; $CH$110 &amp; $BV71),0)))))/1024</f>
        <v>81.0927734375</v>
      </c>
      <c r="AY71" s="709">
        <f ca="1">IF(ISERROR(MATCH(AY$1,INDIRECT("Table!A"&amp;$BV71):INDIRECT("Table!" &amp; $CH$110 &amp; $BV71),0)),"",INDIRECT(CONCATENATE("Table!",ADDRESS($BZ71,MATCH(AY$1,INDIRECT("Table!A" &amp; $BV71):INDIRECT("Table!" &amp; $CH$110 &amp; $BV71),0)))))/1024</f>
        <v>184.55234375000001</v>
      </c>
      <c r="AZ71" s="709"/>
      <c r="BA71" s="709"/>
      <c r="BB71" s="709">
        <f ca="1">IF(ISERROR(MATCH(BB$1,INDIRECT("Table!A"&amp;$BV71):INDIRECT("Table!" &amp; $CH$110 &amp; $BV71),0)),"",INDIRECT(CONCATENATE("Table!",ADDRESS($BZ71,MATCH(BB$1,INDIRECT("Table!A" &amp; $BV71):INDIRECT("Table!" &amp; $CH$110 &amp; $BV71),0)))))/1024</f>
        <v>32.31494140625</v>
      </c>
      <c r="BC71" s="709"/>
      <c r="BD71" s="905"/>
      <c r="BE71" s="905"/>
      <c r="BF71" s="905"/>
      <c r="BG71" s="905"/>
      <c r="BH71" s="905"/>
      <c r="BI71" s="905"/>
      <c r="BJ71" s="905"/>
      <c r="BK71" s="905"/>
      <c r="BL71" s="905"/>
      <c r="BM71" s="905"/>
      <c r="BN71" s="905"/>
      <c r="BO71" s="905"/>
      <c r="BP71" s="905"/>
      <c r="BQ71" s="905"/>
      <c r="BR71" s="704">
        <f>MATCH($A71,Table!$A:$A,0)+$BT$2-1</f>
        <v>941</v>
      </c>
      <c r="BS71" s="705"/>
      <c r="BT71" s="705"/>
      <c r="BU71" s="705"/>
      <c r="BV71" s="717">
        <f>MATCH($A71,Table!$A:$A,0)+$BX$2-1</f>
        <v>939</v>
      </c>
      <c r="BW71" s="705"/>
      <c r="BX71" s="705"/>
      <c r="BY71" s="705"/>
      <c r="BZ71" s="704">
        <f>MATCH($A71,Table!$A:$A,0)+$CB$2-1</f>
        <v>940</v>
      </c>
      <c r="CA71" s="705"/>
      <c r="CB71" s="705"/>
      <c r="CC71" s="705"/>
      <c r="CD71" s="717">
        <f>MATCH($A71,Table!$A:$A,0)+$BX$2-1</f>
        <v>939</v>
      </c>
      <c r="CE71" s="705"/>
      <c r="CF71" s="705"/>
      <c r="CG71" s="705"/>
      <c r="CH71" s="711" t="s">
        <v>302</v>
      </c>
      <c r="CI71" s="712">
        <f t="shared" ca="1" si="139"/>
        <v>2289.8910156249999</v>
      </c>
      <c r="CJ71" s="712">
        <f t="shared" ca="1" si="85"/>
        <v>1041.9091796875</v>
      </c>
      <c r="CK71" s="712">
        <f t="shared" ca="1" si="137"/>
        <v>1247.9818359374999</v>
      </c>
      <c r="CL71" s="718">
        <f t="shared" ca="1" si="138"/>
        <v>0.45500382881895479</v>
      </c>
      <c r="CM71" s="712">
        <f ca="1">SUMIF('Alloc Feed'!A:I,A:A,'Alloc Feed'!I:I)</f>
        <v>0</v>
      </c>
      <c r="CN71" s="718">
        <f t="shared" ca="1" si="136"/>
        <v>0</v>
      </c>
    </row>
    <row r="72" spans="1:92" s="267" customFormat="1" x14ac:dyDescent="0.25">
      <c r="A72" s="703">
        <v>41428</v>
      </c>
      <c r="B72" s="709">
        <f ca="1">IF(ISERROR(MATCH(B$1,INDIRECT("Table!A"&amp;$BV72):INDIRECT("Table!" &amp; $CH$110 &amp; $BV72),0)),"",INDIRECT(CONCATENATE("Table!",ADDRESS($BR72,MATCH(B$1,INDIRECT("Table!A" &amp; $BV72):INDIRECT("Table!" &amp; $CH$110 &amp; $BV72),0)))))/1024</f>
        <v>40.419921875</v>
      </c>
      <c r="C72" s="709">
        <f ca="1">IF(ISERROR(MATCH(C$1,INDIRECT("Table!A"&amp;$BV72):INDIRECT("Table!" &amp; $CH$110 &amp; $BV72),0)),"",INDIRECT(CONCATENATE("Table!",ADDRESS($BR72,MATCH(C$1,INDIRECT("Table!A" &amp; $BV72):INDIRECT("Table!" &amp; $CH$110 &amp; $BV72),0)))))/1024</f>
        <v>76.6796875</v>
      </c>
      <c r="D72" s="709">
        <f ca="1">IF(ISERROR(MATCH(D$1,INDIRECT("Table!A"&amp;$BV72):INDIRECT("Table!" &amp; $CH$110 &amp; $BV72),0)),"",INDIRECT(CONCATENATE("Table!",ADDRESS($BR72,MATCH(D$1,INDIRECT("Table!A" &amp; $BV72):INDIRECT("Table!" &amp; $CH$110 &amp; $BV72),0)))))/1024</f>
        <v>78.147753906250003</v>
      </c>
      <c r="E72" s="709">
        <f ca="1">IF(ISERROR(MATCH(E$1,INDIRECT("Table!A"&amp;$BV72):INDIRECT("Table!" &amp; $CH$110 &amp; $BV72),0)),"",INDIRECT(CONCATENATE("Table!",ADDRESS($BR72,MATCH(E$1,INDIRECT("Table!A" &amp; $BV72):INDIRECT("Table!" &amp; $CH$110 &amp; $BV72),0)))))/1024</f>
        <v>157.13417968749999</v>
      </c>
      <c r="F72" s="709">
        <f ca="1">IF(ISERROR(MATCH(F$1,INDIRECT("Table!A"&amp;$BV72):INDIRECT("Table!" &amp; $CH$110 &amp; $BV72),0)),"",INDIRECT(CONCATENATE("Table!",ADDRESS($BR72,MATCH(F$1,INDIRECT("Table!A" &amp; $BV72):INDIRECT("Table!" &amp; $CH$110 &amp; $BV72),0)))))/1024</f>
        <v>100.61806640624999</v>
      </c>
      <c r="G72" s="709">
        <f ca="1">IF(ISERROR(MATCH(G$1,INDIRECT("Table!A"&amp;$BV72):INDIRECT("Table!" &amp; $CH$110 &amp; $BV72),0)),"",INDIRECT(CONCATENATE("Table!",ADDRESS($BR72,MATCH(G$1,INDIRECT("Table!A" &amp; $BV72):INDIRECT("Table!" &amp; $CH$110 &amp; $BV72),0)))))/1024</f>
        <v>52.356250000000003</v>
      </c>
      <c r="H72" s="709">
        <f ca="1">IF(ISERROR(MATCH(H$1,INDIRECT("Table!A"&amp;$BV72):INDIRECT("Table!" &amp; $CH$110 &amp; $BV72),0)),"",INDIRECT(CONCATENATE("Table!",ADDRESS($BR72,MATCH(H$1,INDIRECT("Table!A" &amp; $BV72):INDIRECT("Table!" &amp; $CH$110 &amp; $BV72),0)))))/1024</f>
        <v>85.041015625</v>
      </c>
      <c r="I72" s="709">
        <f ca="1">IF(ISERROR(MATCH(I$1,INDIRECT("Table!A"&amp;$BV72):INDIRECT("Table!" &amp; $CH$110 &amp; $BV72),0)),"",INDIRECT(CONCATENATE("Table!",ADDRESS($BR72,MATCH(I$1,INDIRECT("Table!A" &amp; $BV72):INDIRECT("Table!" &amp; $CH$110 &amp; $BV72),0)))))/1024</f>
        <v>7.8553710937499996</v>
      </c>
      <c r="J72" s="709">
        <f ca="1">IF(ISERROR(MATCH(J$1,INDIRECT("Table!A"&amp;$BV72):INDIRECT("Table!" &amp; $CH$110 &amp; $BV72),0)),"",INDIRECT(CONCATENATE("Table!",ADDRESS($BR72,MATCH(J$1,INDIRECT("Table!A" &amp; $BV72):INDIRECT("Table!" &amp; $CH$110 &amp; $BV72),0)))))/1024</f>
        <v>2.6367187500000002E-3</v>
      </c>
      <c r="K72" s="709"/>
      <c r="L72" s="709">
        <f ca="1">IF(ISERROR(MATCH(L$1,INDIRECT("Table!A"&amp;$BV72):INDIRECT("Table!" &amp; $CH$110 &amp; $BV72),0)),"",INDIRECT(CONCATENATE("Table!",ADDRESS($BR72,MATCH(L$1,INDIRECT("Table!A" &amp; $BV72):INDIRECT("Table!" &amp; $CH$110 &amp; $BV72),0)))))/1024</f>
        <v>157.05214843749999</v>
      </c>
      <c r="M72" s="709">
        <f ca="1">IF(ISERROR(MATCH(M$1,INDIRECT("Table!A"&amp;$BV72):INDIRECT("Table!" &amp; $CH$110 &amp; $BV72),0)),"",INDIRECT(CONCATENATE("Table!",ADDRESS($BR72,MATCH(M$1,INDIRECT("Table!A" &amp; $BV72):INDIRECT("Table!" &amp; $CH$110 &amp; $BV72),0)))))/1024</f>
        <v>60.164746093749997</v>
      </c>
      <c r="N72" s="709">
        <f ca="1">IF(ISERROR(MATCH(N$1,INDIRECT("Table!A"&amp;$BV72):INDIRECT("Table!" &amp; $CH$110 &amp; $BV72),0)),"",INDIRECT(CONCATENATE("Table!",ADDRESS($BR72,MATCH(N$1,INDIRECT("Table!A" &amp; $BV72):INDIRECT("Table!" &amp; $CH$110 &amp; $BV72),0)))))/1024</f>
        <v>51.641308593749997</v>
      </c>
      <c r="O72" s="709">
        <f ca="1">IF(ISERROR(MATCH(O$1,INDIRECT("Table!A"&amp;$BV72):INDIRECT("Table!" &amp; $CH$110 &amp; $BV72),0)),"",INDIRECT(CONCATENATE("Table!",ADDRESS($BR72,MATCH(O$1,INDIRECT("Table!A" &amp; $BV72):INDIRECT("Table!" &amp; $CH$110 &amp; $BV72),0)))))/1024</f>
        <v>155.71533203125</v>
      </c>
      <c r="P72" s="709">
        <f ca="1">IF(ISERROR(MATCH(P$1,INDIRECT("Table!A"&amp;$BV72):INDIRECT("Table!" &amp; $CH$110 &amp; $BV72),0)),"",INDIRECT(CONCATENATE("Table!",ADDRESS($BR72,MATCH(P$1,INDIRECT("Table!A" &amp; $BV72):INDIRECT("Table!" &amp; $CH$110 &amp; $BV72),0)))))/1024</f>
        <v>15.511523437499999</v>
      </c>
      <c r="Q72" s="709">
        <f ca="1">IF(ISERROR(MATCH(Q$1,INDIRECT("Table!A"&amp;$BV72):INDIRECT("Table!" &amp; $CH$110 &amp; $BV72),0)),"",INDIRECT(CONCATENATE("Table!",ADDRESS($BR72,MATCH(Q$1,INDIRECT("Table!A" &amp; $BV72):INDIRECT("Table!" &amp; $CH$110 &amp; $BV72),0)))))/1024</f>
        <v>5.2734375000000003E-3</v>
      </c>
      <c r="R72" s="709"/>
      <c r="S72" s="709">
        <v>0</v>
      </c>
      <c r="T72" s="709">
        <f ca="1">IF(ISERROR(MATCH(T$1,INDIRECT("Table!A"&amp;$BV72):INDIRECT("Table!" &amp; $CH$65 &amp; $BV72),0)),"",INDIRECT(CONCATENATE("Table!",ADDRESS($BR72,MATCH(T$1,INDIRECT("Table!A" &amp; $BV72):INDIRECT("Table!" &amp; $CH$65 &amp; $BV72),0)))))/1024</f>
        <v>4.5513671875000004</v>
      </c>
      <c r="U72" s="709"/>
      <c r="V72" s="905"/>
      <c r="W72" s="905"/>
      <c r="X72" s="905"/>
      <c r="Y72" s="905"/>
      <c r="Z72" s="905"/>
      <c r="AA72" s="905"/>
      <c r="AB72" s="905"/>
      <c r="AC72" s="905"/>
      <c r="AD72" s="905"/>
      <c r="AE72" s="905"/>
      <c r="AF72" s="905"/>
      <c r="AG72" s="905"/>
      <c r="AH72" s="905"/>
      <c r="AI72" s="709" t="str">
        <f ca="1">IF(ISERROR(MATCH(AI$1,INDIRECT("Table!A"&amp;$BV72):INDIRECT("Table!" &amp; $CH$110 &amp; $BV72),0)),"",INDIRECT(CONCATENATE("Table!",ADDRESS($BR72,MATCH(AI$1,INDIRECT("Table!A" &amp; $BV72):INDIRECT("Table!" &amp; $CH$110 &amp; $BV72),0)))))</f>
        <v/>
      </c>
      <c r="AJ72" s="709">
        <f ca="1">IF(ISERROR(MATCH(AJ$1,INDIRECT("Table!A"&amp;$BV72):INDIRECT("Table!" &amp; $CH$110 &amp; $BV72),0)),"",INDIRECT(CONCATENATE("Table!",ADDRESS($BZ72,MATCH(AJ$1,INDIRECT("Table!A" &amp; $BV72):INDIRECT("Table!" &amp; $CH$110 &amp; $BV72),0)))))/1024</f>
        <v>140.03144531250001</v>
      </c>
      <c r="AK72" s="709">
        <f ca="1">IF(ISERROR(MATCH(AK$1,INDIRECT("Table!A"&amp;$BV72):INDIRECT("Table!" &amp; $CH$110 &amp; $BV72),0)),"",INDIRECT(CONCATENATE("Table!",ADDRESS($BZ72,MATCH(AK$1,INDIRECT("Table!A" &amp; $BV72):INDIRECT("Table!" &amp; $CH$110 &amp; $BV72),0)))))/1024</f>
        <v>146.98808593749999</v>
      </c>
      <c r="AL72" s="709">
        <f ca="1">IF(ISERROR(MATCH(AL$1,INDIRECT("Table!A"&amp;$BV72):INDIRECT("Table!" &amp; $CH$110 &amp; $BV72),0)),"",INDIRECT(CONCATENATE("Table!",ADDRESS($BZ72,MATCH(AL$1,INDIRECT("Table!A" &amp; $BV72):INDIRECT("Table!" &amp; $CH$110 &amp; $BV72),0)))))/1024</f>
        <v>146.98808593749999</v>
      </c>
      <c r="AM72" s="709">
        <f ca="1">IF(ISERROR(MATCH(AM$1,INDIRECT("Table!A"&amp;$BV72):INDIRECT("Table!" &amp; $CH$110 &amp; $BV72),0)),"",INDIRECT(CONCATENATE("Table!",ADDRESS($BZ72,MATCH(AM$1,INDIRECT("Table!A" &amp; $BV72):INDIRECT("Table!" &amp; $CH$110 &amp; $BV72),0)))))/1024</f>
        <v>177.73222656249999</v>
      </c>
      <c r="AN72" s="709">
        <f ca="1">IF(ISERROR(MATCH(AN$1,INDIRECT("Table!A"&amp;$BV72):INDIRECT("Table!" &amp; $CH$110 &amp; $BV72),0)),"",INDIRECT(CONCATENATE("Table!",ADDRESS($BZ72,MATCH(AN$1,INDIRECT("Table!A" &amp; $BV72):INDIRECT("Table!" &amp; $CH$110 &amp; $BV72),0)))))/1024</f>
        <v>161.57470703125</v>
      </c>
      <c r="AO72" s="709">
        <f ca="1">IF(ISERROR(MATCH(AO$1,INDIRECT("Table!A"&amp;$BV72):INDIRECT("Table!" &amp; $CH$110 &amp; $BV72),0)),"",INDIRECT(CONCATENATE("Table!",ADDRESS($BZ72,MATCH(AO$1,INDIRECT("Table!A" &amp; $BV72):INDIRECT("Table!" &amp; $CH$110 &amp; $BV72),0)))))/1024</f>
        <v>129.03515625</v>
      </c>
      <c r="AP72" s="709">
        <f ca="1">IF(ISERROR(MATCH(AP$1,INDIRECT("Table!A"&amp;$BV72):INDIRECT("Table!" &amp; $CH$110 &amp; $BV72),0)),"",INDIRECT(CONCATENATE("Table!",ADDRESS($BZ72,MATCH(AP$1,INDIRECT("Table!A" &amp; $BV72):INDIRECT("Table!" &amp; $CH$110 &amp; $BV72),0)))))/1024</f>
        <v>166.96152343750001</v>
      </c>
      <c r="AQ72" s="709">
        <f ca="1">IF(ISERROR(MATCH(AQ$1,INDIRECT("Table!A"&amp;$BV72):INDIRECT("Table!" &amp; $CH$110 &amp; $BV72),0)),"",INDIRECT(CONCATENATE("Table!",ADDRESS($BZ72,MATCH(AQ$1,INDIRECT("Table!A" &amp; $BV72):INDIRECT("Table!" &amp; $CH$110 &amp; $BV72),0)))))/1024</f>
        <v>162.18544921874999</v>
      </c>
      <c r="AR72" s="709">
        <f ca="1">IF(ISERROR(MATCH(AR$1,INDIRECT("Table!A"&amp;$BV72):INDIRECT("Table!" &amp; $CH$110 &amp; $BV72),0)),"",INDIRECT(CONCATENATE("Table!",ADDRESS($BZ72,MATCH(AR$1,INDIRECT("Table!A" &amp; $BV72):INDIRECT("Table!" &amp; $CH$110 &amp; $BV72),0)))))/1024</f>
        <v>92.816601562499997</v>
      </c>
      <c r="AS72" s="709"/>
      <c r="AT72" s="709">
        <f ca="1">IF(ISERROR(MATCH(AT$1,INDIRECT("Table!A"&amp;$BV72):INDIRECT("Table!" &amp; $CH$110 &amp; $BV72),0)),"",INDIRECT(CONCATENATE("Table!",ADDRESS($BZ72,MATCH(AT$1,INDIRECT("Table!A" &amp; $BV72):INDIRECT("Table!" &amp; $CH$110 &amp; $BV72),0)))))/1024</f>
        <v>188.5029296875</v>
      </c>
      <c r="AU72" s="709">
        <f ca="1">IF(ISERROR(MATCH(AU$1,INDIRECT("Table!A"&amp;$BV72):INDIRECT("Table!" &amp; $CH$110 &amp; $BV72),0)),"",INDIRECT(CONCATENATE("Table!",ADDRESS($BZ72,MATCH(AU$1,INDIRECT("Table!A" &amp; $BV72):INDIRECT("Table!" &amp; $CH$110 &amp; $BV72),0)))))/1024</f>
        <v>129.03535156250001</v>
      </c>
      <c r="AV72" s="709">
        <f ca="1">IF(ISERROR(MATCH(AV$1,INDIRECT("Table!A"&amp;$BV72):INDIRECT("Table!" &amp; $CH$110 &amp; $BV72),0)),"",INDIRECT(CONCATENATE("Table!",ADDRESS($BZ72,MATCH(AV$1,INDIRECT("Table!A" &amp; $BV72):INDIRECT("Table!" &amp; $CH$110 &amp; $BV72),0)))))/1024</f>
        <v>80.787402343750003</v>
      </c>
      <c r="AW72" s="709">
        <f ca="1">IF(ISERROR(MATCH(AW$1,INDIRECT("Table!A"&amp;$BV72):INDIRECT("Table!" &amp; $CH$110 &amp; $BV72),0)),"",INDIRECT(CONCATENATE("Table!",ADDRESS($BZ72,MATCH(AW$1,INDIRECT("Table!A" &amp; $BV72):INDIRECT("Table!" &amp; $CH$110 &amp; $BV72),0)))))/1024</f>
        <v>269.2919921875</v>
      </c>
      <c r="AX72" s="709">
        <f ca="1">IF(ISERROR(MATCH(AX$1,INDIRECT("Table!A"&amp;$BV72):INDIRECT("Table!" &amp; $CH$110 &amp; $BV72),0)),"",INDIRECT(CONCATENATE("Table!",ADDRESS($BZ72,MATCH(AX$1,INDIRECT("Table!A" &amp; $BV72):INDIRECT("Table!" &amp; $CH$110 &amp; $BV72),0)))))/1024</f>
        <v>81.0927734375</v>
      </c>
      <c r="AY72" s="709">
        <f ca="1">IF(ISERROR(MATCH(AY$1,INDIRECT("Table!A"&amp;$BV72):INDIRECT("Table!" &amp; $CH$110 &amp; $BV72),0)),"",INDIRECT(CONCATENATE("Table!",ADDRESS($BZ72,MATCH(AY$1,INDIRECT("Table!A" &amp; $BV72):INDIRECT("Table!" &amp; $CH$110 &amp; $BV72),0)))))/1024</f>
        <v>187.32246093750001</v>
      </c>
      <c r="AZ72" s="709"/>
      <c r="BA72" s="709"/>
      <c r="BB72" s="709">
        <f ca="1">IF(ISERROR(MATCH(BB$1,INDIRECT("Table!A"&amp;$BV72):INDIRECT("Table!" &amp; $CH$110 &amp; $BV72),0)),"",INDIRECT(CONCATENATE("Table!",ADDRESS($BZ72,MATCH(BB$1,INDIRECT("Table!A" &amp; $BV72):INDIRECT("Table!" &amp; $CH$110 &amp; $BV72),0)))))/1024</f>
        <v>32.31494140625</v>
      </c>
      <c r="BC72" s="709"/>
      <c r="BD72" s="905"/>
      <c r="BE72" s="905"/>
      <c r="BF72" s="905"/>
      <c r="BG72" s="905"/>
      <c r="BH72" s="905"/>
      <c r="BI72" s="905"/>
      <c r="BJ72" s="905"/>
      <c r="BK72" s="905"/>
      <c r="BL72" s="905"/>
      <c r="BM72" s="905"/>
      <c r="BN72" s="905"/>
      <c r="BO72" s="905"/>
      <c r="BP72" s="905"/>
      <c r="BQ72" s="905"/>
      <c r="BR72" s="704">
        <f>MATCH($A72,Table!$A:$A,0)+$BT$2-1</f>
        <v>953</v>
      </c>
      <c r="BS72" s="705"/>
      <c r="BT72" s="705"/>
      <c r="BU72" s="705"/>
      <c r="BV72" s="717">
        <f>MATCH($A72,Table!$A:$A,0)+$BX$2-1</f>
        <v>951</v>
      </c>
      <c r="BW72" s="705"/>
      <c r="BX72" s="705"/>
      <c r="BY72" s="705"/>
      <c r="BZ72" s="704">
        <f>MATCH($A72,Table!$A:$A,0)+$CB$2-1</f>
        <v>952</v>
      </c>
      <c r="CA72" s="705"/>
      <c r="CB72" s="705"/>
      <c r="CC72" s="705"/>
      <c r="CD72" s="717">
        <f>MATCH($A72,Table!$A:$A,0)+$BX$2-1</f>
        <v>951</v>
      </c>
      <c r="CE72" s="705"/>
      <c r="CF72" s="705"/>
      <c r="CG72" s="705"/>
      <c r="CH72" s="711" t="s">
        <v>302</v>
      </c>
      <c r="CI72" s="712">
        <f t="shared" ca="1" si="139"/>
        <v>2292.6611328125</v>
      </c>
      <c r="CJ72" s="712">
        <f t="shared" ca="1" si="85"/>
        <v>1042.8965820312499</v>
      </c>
      <c r="CK72" s="712">
        <f t="shared" ca="1" si="137"/>
        <v>1249.7645507812501</v>
      </c>
      <c r="CL72" s="718">
        <f t="shared" ca="1" si="138"/>
        <v>0.45488474816681107</v>
      </c>
      <c r="CM72" s="712">
        <f ca="1">SUMIF('Alloc Feed'!A:I,A:A,'Alloc Feed'!I:I)</f>
        <v>0</v>
      </c>
      <c r="CN72" s="718">
        <f t="shared" ca="1" si="136"/>
        <v>0</v>
      </c>
    </row>
    <row r="73" spans="1:92" s="267" customFormat="1" x14ac:dyDescent="0.25">
      <c r="A73" s="703">
        <v>41423</v>
      </c>
      <c r="B73" s="709">
        <f ca="1">IF(ISERROR(MATCH(B$1,INDIRECT("Table!A"&amp;$BV73):INDIRECT("Table!" &amp; $CH$110 &amp; $BV73),0)),"",INDIRECT(CONCATENATE("Table!",ADDRESS($BR73,MATCH(B$1,INDIRECT("Table!A" &amp; $BV73):INDIRECT("Table!" &amp; $CH$110 &amp; $BV73),0)))))/1024</f>
        <v>40.72265625</v>
      </c>
      <c r="C73" s="709">
        <f ca="1">IF(ISERROR(MATCH(C$1,INDIRECT("Table!A"&amp;$BV73):INDIRECT("Table!" &amp; $CH$110 &amp; $BV73),0)),"",INDIRECT(CONCATENATE("Table!",ADDRESS($BR73,MATCH(C$1,INDIRECT("Table!A" &amp; $BV73):INDIRECT("Table!" &amp; $CH$110 &amp; $BV73),0)))))/1024</f>
        <v>76.441308593749994</v>
      </c>
      <c r="D73" s="709">
        <f ca="1">IF(ISERROR(MATCH(D$1,INDIRECT("Table!A"&amp;$BV73):INDIRECT("Table!" &amp; $CH$110 &amp; $BV73),0)),"",INDIRECT(CONCATENATE("Table!",ADDRESS($BR73,MATCH(D$1,INDIRECT("Table!A" &amp; $BV73):INDIRECT("Table!" &amp; $CH$110 &amp; $BV73),0)))))/1024</f>
        <v>77.909472656250003</v>
      </c>
      <c r="E73" s="709">
        <f ca="1">IF(ISERROR(MATCH(E$1,INDIRECT("Table!A"&amp;$BV73):INDIRECT("Table!" &amp; $CH$110 &amp; $BV73),0)),"",INDIRECT(CONCATENATE("Table!",ADDRESS($BR73,MATCH(E$1,INDIRECT("Table!A" &amp; $BV73):INDIRECT("Table!" &amp; $CH$110 &amp; $BV73),0)))))/1024</f>
        <v>156.96416015624999</v>
      </c>
      <c r="F73" s="709">
        <f ca="1">IF(ISERROR(MATCH(F$1,INDIRECT("Table!A"&amp;$BV73):INDIRECT("Table!" &amp; $CH$110 &amp; $BV73),0)),"",INDIRECT(CONCATENATE("Table!",ADDRESS($BR73,MATCH(F$1,INDIRECT("Table!A" &amp; $BV73):INDIRECT("Table!" &amp; $CH$110 &amp; $BV73),0)))))/1024</f>
        <v>99.816503906250006</v>
      </c>
      <c r="G73" s="709">
        <f ca="1">IF(ISERROR(MATCH(G$1,INDIRECT("Table!A"&amp;$BV73):INDIRECT("Table!" &amp; $CH$110 &amp; $BV73),0)),"",INDIRECT(CONCATENATE("Table!",ADDRESS($BR73,MATCH(G$1,INDIRECT("Table!A" &amp; $BV73):INDIRECT("Table!" &amp; $CH$110 &amp; $BV73),0)))))/1024</f>
        <v>53.11572265625</v>
      </c>
      <c r="H73" s="709">
        <f ca="1">IF(ISERROR(MATCH(H$1,INDIRECT("Table!A"&amp;$BV73):INDIRECT("Table!" &amp; $CH$110 &amp; $BV73),0)),"",INDIRECT(CONCATENATE("Table!",ADDRESS($BR73,MATCH(H$1,INDIRECT("Table!A" &amp; $BV73):INDIRECT("Table!" &amp; $CH$110 &amp; $BV73),0)))))/1024</f>
        <v>84.539941406249994</v>
      </c>
      <c r="I73" s="709">
        <f ca="1">IF(ISERROR(MATCH(I$1,INDIRECT("Table!A"&amp;$BV73):INDIRECT("Table!" &amp; $CH$110 &amp; $BV73),0)),"",INDIRECT(CONCATENATE("Table!",ADDRESS($BR73,MATCH(I$1,INDIRECT("Table!A" &amp; $BV73):INDIRECT("Table!" &amp; $CH$110 &amp; $BV73),0)))))/1024</f>
        <v>7.8474609375000002</v>
      </c>
      <c r="J73" s="709">
        <f ca="1">IF(ISERROR(MATCH(J$1,INDIRECT("Table!A"&amp;$BV73):INDIRECT("Table!" &amp; $CH$110 &amp; $BV73),0)),"",INDIRECT(CONCATENATE("Table!",ADDRESS($BR73,MATCH(J$1,INDIRECT("Table!A" &amp; $BV73):INDIRECT("Table!" &amp; $CH$110 &amp; $BV73),0)))))/1024</f>
        <v>2.6367187500000002E-3</v>
      </c>
      <c r="K73" s="709"/>
      <c r="L73" s="709">
        <f ca="1">IF(ISERROR(MATCH(L$1,INDIRECT("Table!A"&amp;$BV73):INDIRECT("Table!" &amp; $CH$110 &amp; $BV73),0)),"",INDIRECT(CONCATENATE("Table!",ADDRESS($BR73,MATCH(L$1,INDIRECT("Table!A" &amp; $BV73):INDIRECT("Table!" &amp; $CH$110 &amp; $BV73),0)))))/1024</f>
        <v>156.95107421874999</v>
      </c>
      <c r="M73" s="709">
        <f ca="1">IF(ISERROR(MATCH(M$1,INDIRECT("Table!A"&amp;$BV73):INDIRECT("Table!" &amp; $CH$110 &amp; $BV73),0)),"",INDIRECT(CONCATENATE("Table!",ADDRESS($BR73,MATCH(M$1,INDIRECT("Table!A" &amp; $BV73):INDIRECT("Table!" &amp; $CH$110 &amp; $BV73),0)))))/1024</f>
        <v>61.734667968750003</v>
      </c>
      <c r="N73" s="709">
        <f ca="1">IF(ISERROR(MATCH(N$1,INDIRECT("Table!A"&amp;$BV73):INDIRECT("Table!" &amp; $CH$110 &amp; $BV73),0)),"",INDIRECT(CONCATENATE("Table!",ADDRESS($BR73,MATCH(N$1,INDIRECT("Table!A" &amp; $BV73):INDIRECT("Table!" &amp; $CH$110 &amp; $BV73),0)))))/1024</f>
        <v>51.257910156249999</v>
      </c>
      <c r="O73" s="709">
        <f ca="1">IF(ISERROR(MATCH(O$1,INDIRECT("Table!A"&amp;$BV73):INDIRECT("Table!" &amp; $CH$110 &amp; $BV73),0)),"",INDIRECT(CONCATENATE("Table!",ADDRESS($BR73,MATCH(O$1,INDIRECT("Table!A" &amp; $BV73):INDIRECT("Table!" &amp; $CH$110 &amp; $BV73),0)))))/1024</f>
        <v>153.87128906250001</v>
      </c>
      <c r="P73" s="709">
        <f ca="1">IF(ISERROR(MATCH(P$1,INDIRECT("Table!A"&amp;$BV73):INDIRECT("Table!" &amp; $CH$110 &amp; $BV73),0)),"",INDIRECT(CONCATENATE("Table!",ADDRESS($BR73,MATCH(P$1,INDIRECT("Table!A" &amp; $BV73):INDIRECT("Table!" &amp; $CH$110 &amp; $BV73),0)))))/1024</f>
        <v>15.495800781250001</v>
      </c>
      <c r="Q73" s="709">
        <f ca="1">IF(ISERROR(MATCH(Q$1,INDIRECT("Table!A"&amp;$BV73):INDIRECT("Table!" &amp; $CH$110 &amp; $BV73),0)),"",INDIRECT(CONCATENATE("Table!",ADDRESS($BR73,MATCH(Q$1,INDIRECT("Table!A" &amp; $BV73):INDIRECT("Table!" &amp; $CH$110 &amp; $BV73),0)))))/1024</f>
        <v>5.2734375000000003E-3</v>
      </c>
      <c r="R73" s="709"/>
      <c r="S73" s="709">
        <v>0</v>
      </c>
      <c r="T73" s="709">
        <f ca="1">IF(ISERROR(MATCH(T$1,INDIRECT("Table!A"&amp;$BV73):INDIRECT("Table!" &amp; $CH$65 &amp; $BV73),0)),"",INDIRECT(CONCATENATE("Table!",ADDRESS($BR73,MATCH(T$1,INDIRECT("Table!A" &amp; $BV73):INDIRECT("Table!" &amp; $CH$65 &amp; $BV73),0)))))/1024</f>
        <v>4.5331054687499996</v>
      </c>
      <c r="U73" s="709"/>
      <c r="V73" s="905"/>
      <c r="W73" s="905"/>
      <c r="X73" s="905"/>
      <c r="Y73" s="905"/>
      <c r="Z73" s="905"/>
      <c r="AA73" s="905"/>
      <c r="AB73" s="905"/>
      <c r="AC73" s="905"/>
      <c r="AD73" s="905"/>
      <c r="AE73" s="905"/>
      <c r="AF73" s="905"/>
      <c r="AG73" s="905"/>
      <c r="AH73" s="905"/>
      <c r="AI73" s="709" t="str">
        <f ca="1">IF(ISERROR(MATCH(AI$1,INDIRECT("Table!A"&amp;$BV73):INDIRECT("Table!" &amp; $CH$110 &amp; $BV73),0)),"",INDIRECT(CONCATENATE("Table!",ADDRESS($BR73,MATCH(AI$1,INDIRECT("Table!A" &amp; $BV73):INDIRECT("Table!" &amp; $CH$110 &amp; $BV73),0)))))</f>
        <v/>
      </c>
      <c r="AJ73" s="709">
        <f ca="1">IF(ISERROR(MATCH(AJ$1,INDIRECT("Table!A"&amp;$BV73):INDIRECT("Table!" &amp; $CH$110 &amp; $BV73),0)),"",INDIRECT(CONCATENATE("Table!",ADDRESS($BZ73,MATCH(AJ$1,INDIRECT("Table!A" &amp; $BV73):INDIRECT("Table!" &amp; $CH$110 &amp; $BV73),0)))))/1024</f>
        <v>140.03144531250001</v>
      </c>
      <c r="AK73" s="709">
        <f ca="1">IF(ISERROR(MATCH(AK$1,INDIRECT("Table!A"&amp;$BV73):INDIRECT("Table!" &amp; $CH$110 &amp; $BV73),0)),"",INDIRECT(CONCATENATE("Table!",ADDRESS($BZ73,MATCH(AK$1,INDIRECT("Table!A" &amp; $BV73):INDIRECT("Table!" &amp; $CH$110 &amp; $BV73),0)))))/1024</f>
        <v>146.98808593749999</v>
      </c>
      <c r="AL73" s="709">
        <f ca="1">IF(ISERROR(MATCH(AL$1,INDIRECT("Table!A"&amp;$BV73):INDIRECT("Table!" &amp; $CH$110 &amp; $BV73),0)),"",INDIRECT(CONCATENATE("Table!",ADDRESS($BZ73,MATCH(AL$1,INDIRECT("Table!A" &amp; $BV73):INDIRECT("Table!" &amp; $CH$110 &amp; $BV73),0)))))/1024</f>
        <v>146.98808593749999</v>
      </c>
      <c r="AM73" s="709">
        <f ca="1">IF(ISERROR(MATCH(AM$1,INDIRECT("Table!A"&amp;$BV73):INDIRECT("Table!" &amp; $CH$110 &amp; $BV73),0)),"",INDIRECT(CONCATENATE("Table!",ADDRESS($BZ73,MATCH(AM$1,INDIRECT("Table!A" &amp; $BV73):INDIRECT("Table!" &amp; $CH$110 &amp; $BV73),0)))))/1024</f>
        <v>177.73222656249999</v>
      </c>
      <c r="AN73" s="709">
        <f ca="1">IF(ISERROR(MATCH(AN$1,INDIRECT("Table!A"&amp;$BV73):INDIRECT("Table!" &amp; $CH$110 &amp; $BV73),0)),"",INDIRECT(CONCATENATE("Table!",ADDRESS($BZ73,MATCH(AN$1,INDIRECT("Table!A" &amp; $BV73):INDIRECT("Table!" &amp; $CH$110 &amp; $BV73),0)))))/1024</f>
        <v>161.57470703125</v>
      </c>
      <c r="AO73" s="709">
        <f ca="1">IF(ISERROR(MATCH(AO$1,INDIRECT("Table!A"&amp;$BV73):INDIRECT("Table!" &amp; $CH$110 &amp; $BV73),0)),"",INDIRECT(CONCATENATE("Table!",ADDRESS($BZ73,MATCH(AO$1,INDIRECT("Table!A" &amp; $BV73):INDIRECT("Table!" &amp; $CH$110 &amp; $BV73),0)))))/1024</f>
        <v>129.03515625</v>
      </c>
      <c r="AP73" s="709">
        <f ca="1">IF(ISERROR(MATCH(AP$1,INDIRECT("Table!A"&amp;$BV73):INDIRECT("Table!" &amp; $CH$110 &amp; $BV73),0)),"",INDIRECT(CONCATENATE("Table!",ADDRESS($BZ73,MATCH(AP$1,INDIRECT("Table!A" &amp; $BV73):INDIRECT("Table!" &amp; $CH$110 &amp; $BV73),0)))))/1024</f>
        <v>166.96152343750001</v>
      </c>
      <c r="AQ73" s="709">
        <f ca="1">IF(ISERROR(MATCH(AQ$1,INDIRECT("Table!A"&amp;$BV73):INDIRECT("Table!" &amp; $CH$110 &amp; $BV73),0)),"",INDIRECT(CONCATENATE("Table!",ADDRESS($BZ73,MATCH(AQ$1,INDIRECT("Table!A" &amp; $BV73):INDIRECT("Table!" &amp; $CH$110 &amp; $BV73),0)))))/1024</f>
        <v>162.18544921874999</v>
      </c>
      <c r="AR73" s="709">
        <f ca="1">IF(ISERROR(MATCH(AR$1,INDIRECT("Table!A"&amp;$BV73):INDIRECT("Table!" &amp; $CH$110 &amp; $BV73),0)),"",INDIRECT(CONCATENATE("Table!",ADDRESS($BZ73,MATCH(AR$1,INDIRECT("Table!A" &amp; $BV73):INDIRECT("Table!" &amp; $CH$110 &amp; $BV73),0)))))/1024</f>
        <v>92.816601562499997</v>
      </c>
      <c r="AS73" s="709"/>
      <c r="AT73" s="709">
        <f ca="1">IF(ISERROR(MATCH(AT$1,INDIRECT("Table!A"&amp;$BV73):INDIRECT("Table!" &amp; $CH$110 &amp; $BV73),0)),"",INDIRECT(CONCATENATE("Table!",ADDRESS($BZ73,MATCH(AT$1,INDIRECT("Table!A" &amp; $BV73):INDIRECT("Table!" &amp; $CH$110 &amp; $BV73),0)))))/1024</f>
        <v>188.5029296875</v>
      </c>
      <c r="AU73" s="709">
        <f ca="1">IF(ISERROR(MATCH(AU$1,INDIRECT("Table!A"&amp;$BV73):INDIRECT("Table!" &amp; $CH$110 &amp; $BV73),0)),"",INDIRECT(CONCATENATE("Table!",ADDRESS($BZ73,MATCH(AU$1,INDIRECT("Table!A" &amp; $BV73):INDIRECT("Table!" &amp; $CH$110 &amp; $BV73),0)))))/1024</f>
        <v>129.03535156250001</v>
      </c>
      <c r="AV73" s="709">
        <f ca="1">IF(ISERROR(MATCH(AV$1,INDIRECT("Table!A"&amp;$BV73):INDIRECT("Table!" &amp; $CH$110 &amp; $BV73),0)),"",INDIRECT(CONCATENATE("Table!",ADDRESS($BZ73,MATCH(AV$1,INDIRECT("Table!A" &amp; $BV73):INDIRECT("Table!" &amp; $CH$110 &amp; $BV73),0)))))/1024</f>
        <v>80.787402343750003</v>
      </c>
      <c r="AW73" s="709">
        <f ca="1">IF(ISERROR(MATCH(AW$1,INDIRECT("Table!A"&amp;$BV73):INDIRECT("Table!" &amp; $CH$110 &amp; $BV73),0)),"",INDIRECT(CONCATENATE("Table!",ADDRESS($BZ73,MATCH(AW$1,INDIRECT("Table!A" &amp; $BV73):INDIRECT("Table!" &amp; $CH$110 &amp; $BV73),0)))))/1024</f>
        <v>269.2919921875</v>
      </c>
      <c r="AX73" s="709">
        <f ca="1">IF(ISERROR(MATCH(AX$1,INDIRECT("Table!A"&amp;$BV73):INDIRECT("Table!" &amp; $CH$110 &amp; $BV73),0)),"",INDIRECT(CONCATENATE("Table!",ADDRESS($BZ73,MATCH(AX$1,INDIRECT("Table!A" &amp; $BV73):INDIRECT("Table!" &amp; $CH$110 &amp; $BV73),0)))))/1024</f>
        <v>81.0927734375</v>
      </c>
      <c r="AY73" s="709">
        <f ca="1">IF(ISERROR(MATCH(AY$1,INDIRECT("Table!A"&amp;$BV73):INDIRECT("Table!" &amp; $CH$110 &amp; $BV73),0)),"",INDIRECT(CONCATENATE("Table!",ADDRESS($BZ73,MATCH(AY$1,INDIRECT("Table!A" &amp; $BV73):INDIRECT("Table!" &amp; $CH$110 &amp; $BV73),0)))))/1024</f>
        <v>187.32246093750001</v>
      </c>
      <c r="AZ73" s="709"/>
      <c r="BA73" s="709"/>
      <c r="BB73" s="709">
        <f ca="1">IF(ISERROR(MATCH(BB$1,INDIRECT("Table!A"&amp;$BV73):INDIRECT("Table!" &amp; $CH$110 &amp; $BV73),0)),"",INDIRECT(CONCATENATE("Table!",ADDRESS($BZ73,MATCH(BB$1,INDIRECT("Table!A" &amp; $BV73):INDIRECT("Table!" &amp; $CH$110 &amp; $BV73),0)))))/1024</f>
        <v>32.31494140625</v>
      </c>
      <c r="BC73" s="709"/>
      <c r="BD73" s="905"/>
      <c r="BE73" s="905"/>
      <c r="BF73" s="905"/>
      <c r="BG73" s="905"/>
      <c r="BH73" s="905"/>
      <c r="BI73" s="905"/>
      <c r="BJ73" s="905"/>
      <c r="BK73" s="905"/>
      <c r="BL73" s="905"/>
      <c r="BM73" s="905"/>
      <c r="BN73" s="905"/>
      <c r="BO73" s="905"/>
      <c r="BP73" s="905"/>
      <c r="BQ73" s="905"/>
      <c r="BR73" s="704">
        <f>MATCH($A73,Table!$A:$A,0)+$BT$2-1</f>
        <v>965</v>
      </c>
      <c r="BS73" s="705"/>
      <c r="BT73" s="705"/>
      <c r="BU73" s="705"/>
      <c r="BV73" s="717">
        <f>MATCH($A73,Table!$A:$A,0)+$BX$2-1</f>
        <v>963</v>
      </c>
      <c r="BW73" s="705"/>
      <c r="BX73" s="705"/>
      <c r="BY73" s="705"/>
      <c r="BZ73" s="704">
        <f>MATCH($A73,Table!$A:$A,0)+$CB$2-1</f>
        <v>964</v>
      </c>
      <c r="CA73" s="705"/>
      <c r="CB73" s="705"/>
      <c r="CC73" s="705"/>
      <c r="CD73" s="717">
        <f>MATCH($A73,Table!$A:$A,0)+$BX$2-1</f>
        <v>963</v>
      </c>
      <c r="CE73" s="705"/>
      <c r="CF73" s="705"/>
      <c r="CG73" s="705"/>
      <c r="CH73" s="711" t="s">
        <v>302</v>
      </c>
      <c r="CI73" s="712">
        <f t="shared" ca="1" si="139"/>
        <v>2292.6611328125</v>
      </c>
      <c r="CJ73" s="712">
        <f t="shared" ca="1" si="85"/>
        <v>1041.2089843749998</v>
      </c>
      <c r="CK73" s="712">
        <f t="shared" ca="1" si="137"/>
        <v>1251.4521484375002</v>
      </c>
      <c r="CL73" s="718">
        <f t="shared" ca="1" si="138"/>
        <v>0.45414866134085269</v>
      </c>
      <c r="CM73" s="712">
        <f ca="1">SUMIF('Alloc Feed'!A:I,A:A,'Alloc Feed'!I:I)</f>
        <v>0</v>
      </c>
      <c r="CN73" s="718">
        <f t="shared" ca="1" si="136"/>
        <v>0</v>
      </c>
    </row>
    <row r="74" spans="1:92" s="267" customFormat="1" x14ac:dyDescent="0.25">
      <c r="A74" s="703">
        <v>41422</v>
      </c>
      <c r="B74" s="709">
        <f ca="1">IF(ISERROR(MATCH(B$1,INDIRECT("Table!A"&amp;$BV74):INDIRECT("Table!" &amp; $CH$110 &amp; $BV74),0)),"",INDIRECT(CONCATENATE("Table!",ADDRESS($BR74,MATCH(B$1,INDIRECT("Table!A" &amp; $BV74):INDIRECT("Table!" &amp; $CH$110 &amp; $BV74),0)))))/1024</f>
        <v>40.351757812499997</v>
      </c>
      <c r="C74" s="709">
        <f ca="1">IF(ISERROR(MATCH(C$1,INDIRECT("Table!A"&amp;$BV74):INDIRECT("Table!" &amp; $CH$110 &amp; $BV74),0)),"",INDIRECT(CONCATENATE("Table!",ADDRESS($BR74,MATCH(C$1,INDIRECT("Table!A" &amp; $BV74):INDIRECT("Table!" &amp; $CH$110 &amp; $BV74),0)))))/1024</f>
        <v>76.437207031249997</v>
      </c>
      <c r="D74" s="709">
        <f ca="1">IF(ISERROR(MATCH(D$1,INDIRECT("Table!A"&amp;$BV74):INDIRECT("Table!" &amp; $CH$110 &amp; $BV74),0)),"",INDIRECT(CONCATENATE("Table!",ADDRESS($BR74,MATCH(D$1,INDIRECT("Table!A" &amp; $BV74):INDIRECT("Table!" &amp; $CH$110 &amp; $BV74),0)))))/1024</f>
        <v>77.905371093750006</v>
      </c>
      <c r="E74" s="709">
        <f ca="1">IF(ISERROR(MATCH(E$1,INDIRECT("Table!A"&amp;$BV74):INDIRECT("Table!" &amp; $CH$110 &amp; $BV74),0)),"",INDIRECT(CONCATENATE("Table!",ADDRESS($BR74,MATCH(E$1,INDIRECT("Table!A" &amp; $BV74):INDIRECT("Table!" &amp; $CH$110 &amp; $BV74),0)))))/1024</f>
        <v>156.93212890625</v>
      </c>
      <c r="F74" s="709">
        <f ca="1">IF(ISERROR(MATCH(F$1,INDIRECT("Table!A"&amp;$BV74):INDIRECT("Table!" &amp; $CH$110 &amp; $BV74),0)),"",INDIRECT(CONCATENATE("Table!",ADDRESS($BR74,MATCH(F$1,INDIRECT("Table!A" &amp; $BV74):INDIRECT("Table!" &amp; $CH$110 &amp; $BV74),0)))))/1024</f>
        <v>99.601464843749994</v>
      </c>
      <c r="G74" s="709">
        <f ca="1">IF(ISERROR(MATCH(G$1,INDIRECT("Table!A"&amp;$BV74):INDIRECT("Table!" &amp; $CH$110 &amp; $BV74),0)),"",INDIRECT(CONCATENATE("Table!",ADDRESS($BR74,MATCH(G$1,INDIRECT("Table!A" &amp; $BV74):INDIRECT("Table!" &amp; $CH$110 &amp; $BV74),0)))))/1024</f>
        <v>53.707128906249999</v>
      </c>
      <c r="H74" s="709">
        <f ca="1">IF(ISERROR(MATCH(H$1,INDIRECT("Table!A"&amp;$BV74):INDIRECT("Table!" &amp; $CH$110 &amp; $BV74),0)),"",INDIRECT(CONCATENATE("Table!",ADDRESS($BR74,MATCH(H$1,INDIRECT("Table!A" &amp; $BV74):INDIRECT("Table!" &amp; $CH$110 &amp; $BV74),0)))))/1024</f>
        <v>84.327050781249994</v>
      </c>
      <c r="I74" s="709">
        <f ca="1">IF(ISERROR(MATCH(I$1,INDIRECT("Table!A"&amp;$BV74):INDIRECT("Table!" &amp; $CH$110 &amp; $BV74),0)),"",INDIRECT(CONCATENATE("Table!",ADDRESS($BR74,MATCH(I$1,INDIRECT("Table!A" &amp; $BV74):INDIRECT("Table!" &amp; $CH$110 &amp; $BV74),0)))))/1024</f>
        <v>7.0833984374999996</v>
      </c>
      <c r="J74" s="709">
        <f ca="1">IF(ISERROR(MATCH(J$1,INDIRECT("Table!A"&amp;$BV74):INDIRECT("Table!" &amp; $CH$110 &amp; $BV74),0)),"",INDIRECT(CONCATENATE("Table!",ADDRESS($BR74,MATCH(J$1,INDIRECT("Table!A" &amp; $BV74):INDIRECT("Table!" &amp; $CH$110 &amp; $BV74),0)))))/1024</f>
        <v>2.6367187500000002E-3</v>
      </c>
      <c r="K74" s="709"/>
      <c r="L74" s="709">
        <f ca="1">IF(ISERROR(MATCH(L$1,INDIRECT("Table!A"&amp;$BV74):INDIRECT("Table!" &amp; $CH$110 &amp; $BV74),0)),"",INDIRECT(CONCATENATE("Table!",ADDRESS($BR74,MATCH(L$1,INDIRECT("Table!A" &amp; $BV74):INDIRECT("Table!" &amp; $CH$110 &amp; $BV74),0)))))/1024</f>
        <v>156.90791015625001</v>
      </c>
      <c r="M74" s="709">
        <f ca="1">IF(ISERROR(MATCH(M$1,INDIRECT("Table!A"&amp;$BV74):INDIRECT("Table!" &amp; $CH$110 &amp; $BV74),0)),"",INDIRECT(CONCATENATE("Table!",ADDRESS($BR74,MATCH(M$1,INDIRECT("Table!A" &amp; $BV74):INDIRECT("Table!" &amp; $CH$110 &amp; $BV74),0)))))/1024</f>
        <v>62.205175781249999</v>
      </c>
      <c r="N74" s="709">
        <f ca="1">IF(ISERROR(MATCH(N$1,INDIRECT("Table!A"&amp;$BV74):INDIRECT("Table!" &amp; $CH$110 &amp; $BV74),0)),"",INDIRECT(CONCATENATE("Table!",ADDRESS($BR74,MATCH(N$1,INDIRECT("Table!A" &amp; $BV74):INDIRECT("Table!" &amp; $CH$110 &amp; $BV74),0)))))/1024</f>
        <v>51.150292968750001</v>
      </c>
      <c r="O74" s="709">
        <f ca="1">IF(ISERROR(MATCH(O$1,INDIRECT("Table!A"&amp;$BV74):INDIRECT("Table!" &amp; $CH$110 &amp; $BV74),0)),"",INDIRECT(CONCATENATE("Table!",ADDRESS($BR74,MATCH(O$1,INDIRECT("Table!A" &amp; $BV74):INDIRECT("Table!" &amp; $CH$110 &amp; $BV74),0)))))/1024</f>
        <v>153.7509765625</v>
      </c>
      <c r="P74" s="709">
        <f ca="1">IF(ISERROR(MATCH(P$1,INDIRECT("Table!A"&amp;$BV74):INDIRECT("Table!" &amp; $CH$110 &amp; $BV74),0)),"",INDIRECT(CONCATENATE("Table!",ADDRESS($BR74,MATCH(P$1,INDIRECT("Table!A" &amp; $BV74):INDIRECT("Table!" &amp; $CH$110 &amp; $BV74),0)))))/1024</f>
        <v>15.495312500000001</v>
      </c>
      <c r="Q74" s="709">
        <f ca="1">IF(ISERROR(MATCH(Q$1,INDIRECT("Table!A"&amp;$BV74):INDIRECT("Table!" &amp; $CH$110 &amp; $BV74),0)),"",INDIRECT(CONCATENATE("Table!",ADDRESS($BR74,MATCH(Q$1,INDIRECT("Table!A" &amp; $BV74):INDIRECT("Table!" &amp; $CH$110 &amp; $BV74),0)))))/1024</f>
        <v>5.2734375000000003E-3</v>
      </c>
      <c r="R74" s="709"/>
      <c r="S74" s="709">
        <v>0</v>
      </c>
      <c r="T74" s="709">
        <f ca="1">IF(ISERROR(MATCH(T$1,INDIRECT("Table!A"&amp;$BV74):INDIRECT("Table!" &amp; $CH$65 &amp; $BV74),0)),"",INDIRECT(CONCATENATE("Table!",ADDRESS($BR74,MATCH(T$1,INDIRECT("Table!A" &amp; $BV74):INDIRECT("Table!" &amp; $CH$65 &amp; $BV74),0)))))/1024</f>
        <v>4.5174804687499996</v>
      </c>
      <c r="U74" s="709"/>
      <c r="V74" s="905"/>
      <c r="W74" s="905"/>
      <c r="X74" s="905"/>
      <c r="Y74" s="905"/>
      <c r="Z74" s="905"/>
      <c r="AA74" s="905"/>
      <c r="AB74" s="905"/>
      <c r="AC74" s="905"/>
      <c r="AD74" s="905"/>
      <c r="AE74" s="905"/>
      <c r="AF74" s="905"/>
      <c r="AG74" s="905"/>
      <c r="AH74" s="905"/>
      <c r="AI74" s="709" t="str">
        <f ca="1">IF(ISERROR(MATCH(AI$1,INDIRECT("Table!A"&amp;$BV74):INDIRECT("Table!" &amp; $CH$110 &amp; $BV74),0)),"",INDIRECT(CONCATENATE("Table!",ADDRESS($BR74,MATCH(AI$1,INDIRECT("Table!A" &amp; $BV74):INDIRECT("Table!" &amp; $CH$110 &amp; $BV74),0)))))</f>
        <v/>
      </c>
      <c r="AJ74" s="709">
        <f ca="1">IF(ISERROR(MATCH(AJ$1,INDIRECT("Table!A"&amp;$BV74):INDIRECT("Table!" &amp; $CH$110 &amp; $BV74),0)),"",INDIRECT(CONCATENATE("Table!",ADDRESS($BZ74,MATCH(AJ$1,INDIRECT("Table!A" &amp; $BV74):INDIRECT("Table!" &amp; $CH$110 &amp; $BV74),0)))))/1024</f>
        <v>140.03144531250001</v>
      </c>
      <c r="AK74" s="709">
        <f ca="1">IF(ISERROR(MATCH(AK$1,INDIRECT("Table!A"&amp;$BV74):INDIRECT("Table!" &amp; $CH$110 &amp; $BV74),0)),"",INDIRECT(CONCATENATE("Table!",ADDRESS($BZ74,MATCH(AK$1,INDIRECT("Table!A" &amp; $BV74):INDIRECT("Table!" &amp; $CH$110 &amp; $BV74),0)))))/1024</f>
        <v>146.98808593749999</v>
      </c>
      <c r="AL74" s="709">
        <f ca="1">IF(ISERROR(MATCH(AL$1,INDIRECT("Table!A"&amp;$BV74):INDIRECT("Table!" &amp; $CH$110 &amp; $BV74),0)),"",INDIRECT(CONCATENATE("Table!",ADDRESS($BZ74,MATCH(AL$1,INDIRECT("Table!A" &amp; $BV74):INDIRECT("Table!" &amp; $CH$110 &amp; $BV74),0)))))/1024</f>
        <v>146.98808593749999</v>
      </c>
      <c r="AM74" s="709">
        <f ca="1">IF(ISERROR(MATCH(AM$1,INDIRECT("Table!A"&amp;$BV74):INDIRECT("Table!" &amp; $CH$110 &amp; $BV74),0)),"",INDIRECT(CONCATENATE("Table!",ADDRESS($BZ74,MATCH(AM$1,INDIRECT("Table!A" &amp; $BV74):INDIRECT("Table!" &amp; $CH$110 &amp; $BV74),0)))))/1024</f>
        <v>177.73222656249999</v>
      </c>
      <c r="AN74" s="709">
        <f ca="1">IF(ISERROR(MATCH(AN$1,INDIRECT("Table!A"&amp;$BV74):INDIRECT("Table!" &amp; $CH$110 &amp; $BV74),0)),"",INDIRECT(CONCATENATE("Table!",ADDRESS($BZ74,MATCH(AN$1,INDIRECT("Table!A" &amp; $BV74):INDIRECT("Table!" &amp; $CH$110 &amp; $BV74),0)))))/1024</f>
        <v>161.57470703125</v>
      </c>
      <c r="AO74" s="709">
        <f ca="1">IF(ISERROR(MATCH(AO$1,INDIRECT("Table!A"&amp;$BV74):INDIRECT("Table!" &amp; $CH$110 &amp; $BV74),0)),"",INDIRECT(CONCATENATE("Table!",ADDRESS($BZ74,MATCH(AO$1,INDIRECT("Table!A" &amp; $BV74):INDIRECT("Table!" &amp; $CH$110 &amp; $BV74),0)))))/1024</f>
        <v>129.03515625</v>
      </c>
      <c r="AP74" s="709">
        <f ca="1">IF(ISERROR(MATCH(AP$1,INDIRECT("Table!A"&amp;$BV74):INDIRECT("Table!" &amp; $CH$110 &amp; $BV74),0)),"",INDIRECT(CONCATENATE("Table!",ADDRESS($BZ74,MATCH(AP$1,INDIRECT("Table!A" &amp; $BV74):INDIRECT("Table!" &amp; $CH$110 &amp; $BV74),0)))))/1024</f>
        <v>166.96152343750001</v>
      </c>
      <c r="AQ74" s="709">
        <f ca="1">IF(ISERROR(MATCH(AQ$1,INDIRECT("Table!A"&amp;$BV74):INDIRECT("Table!" &amp; $CH$110 &amp; $BV74),0)),"",INDIRECT(CONCATENATE("Table!",ADDRESS($BZ74,MATCH(AQ$1,INDIRECT("Table!A" &amp; $BV74):INDIRECT("Table!" &amp; $CH$110 &amp; $BV74),0)))))/1024</f>
        <v>162.18544921874999</v>
      </c>
      <c r="AR74" s="709">
        <f ca="1">IF(ISERROR(MATCH(AR$1,INDIRECT("Table!A"&amp;$BV74):INDIRECT("Table!" &amp; $CH$110 &amp; $BV74),0)),"",INDIRECT(CONCATENATE("Table!",ADDRESS($BZ74,MATCH(AR$1,INDIRECT("Table!A" &amp; $BV74):INDIRECT("Table!" &amp; $CH$110 &amp; $BV74),0)))))/1024</f>
        <v>92.816601562499997</v>
      </c>
      <c r="AS74" s="709"/>
      <c r="AT74" s="709">
        <f ca="1">IF(ISERROR(MATCH(AT$1,INDIRECT("Table!A"&amp;$BV74):INDIRECT("Table!" &amp; $CH$110 &amp; $BV74),0)),"",INDIRECT(CONCATENATE("Table!",ADDRESS($BZ74,MATCH(AT$1,INDIRECT("Table!A" &amp; $BV74):INDIRECT("Table!" &amp; $CH$110 &amp; $BV74),0)))))/1024</f>
        <v>188.5029296875</v>
      </c>
      <c r="AU74" s="709">
        <f ca="1">IF(ISERROR(MATCH(AU$1,INDIRECT("Table!A"&amp;$BV74):INDIRECT("Table!" &amp; $CH$110 &amp; $BV74),0)),"",INDIRECT(CONCATENATE("Table!",ADDRESS($BZ74,MATCH(AU$1,INDIRECT("Table!A" &amp; $BV74):INDIRECT("Table!" &amp; $CH$110 &amp; $BV74),0)))))/1024</f>
        <v>129.03535156250001</v>
      </c>
      <c r="AV74" s="709">
        <f ca="1">IF(ISERROR(MATCH(AV$1,INDIRECT("Table!A"&amp;$BV74):INDIRECT("Table!" &amp; $CH$110 &amp; $BV74),0)),"",INDIRECT(CONCATENATE("Table!",ADDRESS($BZ74,MATCH(AV$1,INDIRECT("Table!A" &amp; $BV74):INDIRECT("Table!" &amp; $CH$110 &amp; $BV74),0)))))/1024</f>
        <v>80.787402343750003</v>
      </c>
      <c r="AW74" s="709">
        <f ca="1">IF(ISERROR(MATCH(AW$1,INDIRECT("Table!A"&amp;$BV74):INDIRECT("Table!" &amp; $CH$110 &amp; $BV74),0)),"",INDIRECT(CONCATENATE("Table!",ADDRESS($BZ74,MATCH(AW$1,INDIRECT("Table!A" &amp; $BV74):INDIRECT("Table!" &amp; $CH$110 &amp; $BV74),0)))))/1024</f>
        <v>269.2919921875</v>
      </c>
      <c r="AX74" s="709">
        <f ca="1">IF(ISERROR(MATCH(AX$1,INDIRECT("Table!A"&amp;$BV74):INDIRECT("Table!" &amp; $CH$110 &amp; $BV74),0)),"",INDIRECT(CONCATENATE("Table!",ADDRESS($BZ74,MATCH(AX$1,INDIRECT("Table!A" &amp; $BV74):INDIRECT("Table!" &amp; $CH$110 &amp; $BV74),0)))))/1024</f>
        <v>81.0927734375</v>
      </c>
      <c r="AY74" s="709">
        <f ca="1">IF(ISERROR(MATCH(AY$1,INDIRECT("Table!A"&amp;$BV74):INDIRECT("Table!" &amp; $CH$110 &amp; $BV74),0)),"",INDIRECT(CONCATENATE("Table!",ADDRESS($BZ74,MATCH(AY$1,INDIRECT("Table!A" &amp; $BV74):INDIRECT("Table!" &amp; $CH$110 &amp; $BV74),0)))))/1024</f>
        <v>187.32246093750001</v>
      </c>
      <c r="AZ74" s="709"/>
      <c r="BA74" s="709"/>
      <c r="BB74" s="709">
        <f ca="1">IF(ISERROR(MATCH(BB$1,INDIRECT("Table!A"&amp;$BV74):INDIRECT("Table!" &amp; $CH$110 &amp; $BV74),0)),"",INDIRECT(CONCATENATE("Table!",ADDRESS($BZ74,MATCH(BB$1,INDIRECT("Table!A" &amp; $BV74):INDIRECT("Table!" &amp; $CH$110 &amp; $BV74),0)))))/1024</f>
        <v>32.31494140625</v>
      </c>
      <c r="BC74" s="709"/>
      <c r="BD74" s="905"/>
      <c r="BE74" s="905"/>
      <c r="BF74" s="905"/>
      <c r="BG74" s="905"/>
      <c r="BH74" s="905"/>
      <c r="BI74" s="905"/>
      <c r="BJ74" s="905"/>
      <c r="BK74" s="905"/>
      <c r="BL74" s="905"/>
      <c r="BM74" s="905"/>
      <c r="BN74" s="905"/>
      <c r="BO74" s="905"/>
      <c r="BP74" s="905"/>
      <c r="BQ74" s="905"/>
      <c r="BR74" s="704">
        <f>MATCH($A74,Table!$A:$A,0)+$BT$2-1</f>
        <v>977</v>
      </c>
      <c r="BS74" s="705"/>
      <c r="BT74" s="705"/>
      <c r="BU74" s="705"/>
      <c r="BV74" s="717">
        <f>MATCH($A74,Table!$A:$A,0)+$BX$2-1</f>
        <v>975</v>
      </c>
      <c r="BW74" s="705"/>
      <c r="BX74" s="705"/>
      <c r="BY74" s="705"/>
      <c r="BZ74" s="704">
        <f>MATCH($A74,Table!$A:$A,0)+$CB$2-1</f>
        <v>976</v>
      </c>
      <c r="CA74" s="705"/>
      <c r="CB74" s="705"/>
      <c r="CC74" s="705"/>
      <c r="CD74" s="717">
        <f>MATCH($A74,Table!$A:$A,0)+$BX$2-1</f>
        <v>975</v>
      </c>
      <c r="CE74" s="705"/>
      <c r="CF74" s="705"/>
      <c r="CG74" s="705"/>
      <c r="CH74" s="711" t="s">
        <v>302</v>
      </c>
      <c r="CI74" s="712">
        <f t="shared" ca="1" si="139"/>
        <v>2292.6611328125</v>
      </c>
      <c r="CJ74" s="712">
        <f t="shared" ca="1" si="85"/>
        <v>1040.3805664062497</v>
      </c>
      <c r="CK74" s="712">
        <f t="shared" ca="1" si="137"/>
        <v>1252.2805664062503</v>
      </c>
      <c r="CL74" s="718">
        <f t="shared" ca="1" si="138"/>
        <v>0.45378732666435223</v>
      </c>
      <c r="CM74" s="712">
        <f ca="1">SUMIF('Alloc Feed'!A:I,A:A,'Alloc Feed'!I:I)</f>
        <v>0</v>
      </c>
      <c r="CN74" s="718">
        <f t="shared" ca="1" si="136"/>
        <v>0</v>
      </c>
    </row>
    <row r="75" spans="1:92" s="267" customFormat="1" x14ac:dyDescent="0.25">
      <c r="A75" s="703">
        <v>41414</v>
      </c>
      <c r="B75" s="709">
        <f ca="1">IF(ISERROR(MATCH(B$1,INDIRECT("Table!A"&amp;$BV75):INDIRECT("Table!" &amp; $CH$110 &amp; $BV75),0)),"",INDIRECT(CONCATENATE("Table!",ADDRESS($BR75,MATCH(B$1,INDIRECT("Table!A" &amp; $BV75):INDIRECT("Table!" &amp; $CH$110 &amp; $BV75),0)))))/1024</f>
        <v>39.531445312499997</v>
      </c>
      <c r="C75" s="709">
        <f ca="1">IF(ISERROR(MATCH(C$1,INDIRECT("Table!A"&amp;$BV75):INDIRECT("Table!" &amp; $CH$110 &amp; $BV75),0)),"",INDIRECT(CONCATENATE("Table!",ADDRESS($BR75,MATCH(C$1,INDIRECT("Table!A" &amp; $BV75):INDIRECT("Table!" &amp; $CH$110 &amp; $BV75),0)))))/1024</f>
        <v>76.362890625000006</v>
      </c>
      <c r="D75" s="709">
        <f ca="1">IF(ISERROR(MATCH(D$1,INDIRECT("Table!A"&amp;$BV75):INDIRECT("Table!" &amp; $CH$110 &amp; $BV75),0)),"",INDIRECT(CONCATENATE("Table!",ADDRESS($BR75,MATCH(D$1,INDIRECT("Table!A" &amp; $BV75):INDIRECT("Table!" &amp; $CH$110 &amp; $BV75),0)))))/1024</f>
        <v>77.831640625000006</v>
      </c>
      <c r="E75" s="709">
        <f ca="1">IF(ISERROR(MATCH(E$1,INDIRECT("Table!A"&amp;$BV75):INDIRECT("Table!" &amp; $CH$110 &amp; $BV75),0)),"",INDIRECT(CONCATENATE("Table!",ADDRESS($BR75,MATCH(E$1,INDIRECT("Table!A" &amp; $BV75):INDIRECT("Table!" &amp; $CH$110 &amp; $BV75),0)))))/1024</f>
        <v>155.71103515625001</v>
      </c>
      <c r="F75" s="709">
        <f ca="1">IF(ISERROR(MATCH(F$1,INDIRECT("Table!A"&amp;$BV75):INDIRECT("Table!" &amp; $CH$110 &amp; $BV75),0)),"",INDIRECT(CONCATENATE("Table!",ADDRESS($BR75,MATCH(F$1,INDIRECT("Table!A" &amp; $BV75):INDIRECT("Table!" &amp; $CH$110 &amp; $BV75),0)))))/1024</f>
        <v>97.890625</v>
      </c>
      <c r="G75" s="709">
        <f ca="1">IF(ISERROR(MATCH(G$1,INDIRECT("Table!A"&amp;$BV75):INDIRECT("Table!" &amp; $CH$110 &amp; $BV75),0)),"",INDIRECT(CONCATENATE("Table!",ADDRESS($BR75,MATCH(G$1,INDIRECT("Table!A" &amp; $BV75):INDIRECT("Table!" &amp; $CH$110 &amp; $BV75),0)))))/1024</f>
        <v>54.571484374999997</v>
      </c>
      <c r="H75" s="709">
        <f ca="1">IF(ISERROR(MATCH(H$1,INDIRECT("Table!A"&amp;$BV75):INDIRECT("Table!" &amp; $CH$110 &amp; $BV75),0)),"",INDIRECT(CONCATENATE("Table!",ADDRESS($BR75,MATCH(H$1,INDIRECT("Table!A" &amp; $BV75):INDIRECT("Table!" &amp; $CH$110 &amp; $BV75),0)))))/1024</f>
        <v>83.747753906249997</v>
      </c>
      <c r="I75" s="709">
        <f ca="1">IF(ISERROR(MATCH(I$1,INDIRECT("Table!A"&amp;$BV75):INDIRECT("Table!" &amp; $CH$110 &amp; $BV75),0)),"",INDIRECT(CONCATENATE("Table!",ADDRESS($BR75,MATCH(I$1,INDIRECT("Table!A" &amp; $BV75):INDIRECT("Table!" &amp; $CH$110 &amp; $BV75),0)))))/1024</f>
        <v>7.0833984374999996</v>
      </c>
      <c r="J75" s="709"/>
      <c r="K75" s="709"/>
      <c r="L75" s="709">
        <f ca="1">IF(ISERROR(MATCH(L$1,INDIRECT("Table!A"&amp;$BV75):INDIRECT("Table!" &amp; $CH$110 &amp; $BV75),0)),"",INDIRECT(CONCATENATE("Table!",ADDRESS($BR75,MATCH(L$1,INDIRECT("Table!A" &amp; $BV75):INDIRECT("Table!" &amp; $CH$110 &amp; $BV75),0)))))/1024</f>
        <v>156.07421875</v>
      </c>
      <c r="M75" s="709">
        <f ca="1">IF(ISERROR(MATCH(M$1,INDIRECT("Table!A"&amp;$BV75):INDIRECT("Table!" &amp; $CH$110 &amp; $BV75),0)),"",INDIRECT(CONCATENATE("Table!",ADDRESS($BR75,MATCH(M$1,INDIRECT("Table!A" &amp; $BV75):INDIRECT("Table!" &amp; $CH$110 &amp; $BV75),0)))))/1024</f>
        <v>62.429882812499997</v>
      </c>
      <c r="N75" s="709">
        <f ca="1">IF(ISERROR(MATCH(N$1,INDIRECT("Table!A"&amp;$BV75):INDIRECT("Table!" &amp; $CH$110 &amp; $BV75),0)),"",INDIRECT(CONCATENATE("Table!",ADDRESS($BR75,MATCH(N$1,INDIRECT("Table!A" &amp; $BV75):INDIRECT("Table!" &amp; $CH$110 &amp; $BV75),0)))))/1024</f>
        <v>50.294238281250003</v>
      </c>
      <c r="O75" s="709">
        <f ca="1">IF(ISERROR(MATCH(O$1,INDIRECT("Table!A"&amp;$BV75):INDIRECT("Table!" &amp; $CH$110 &amp; $BV75),0)),"",INDIRECT(CONCATENATE("Table!",ADDRESS($BR75,MATCH(O$1,INDIRECT("Table!A" &amp; $BV75):INDIRECT("Table!" &amp; $CH$110 &amp; $BV75),0)))))/1024</f>
        <v>152.93144531249999</v>
      </c>
      <c r="P75" s="709">
        <f ca="1">IF(ISERROR(MATCH(P$1,INDIRECT("Table!A"&amp;$BV75):INDIRECT("Table!" &amp; $CH$110 &amp; $BV75),0)),"",INDIRECT(CONCATENATE("Table!",ADDRESS($BR75,MATCH(P$1,INDIRECT("Table!A" &amp; $BV75):INDIRECT("Table!" &amp; $CH$110 &amp; $BV75),0)))))/1024</f>
        <v>13.96767578125</v>
      </c>
      <c r="Q75" s="709"/>
      <c r="R75" s="709"/>
      <c r="S75" s="709">
        <v>0</v>
      </c>
      <c r="T75" s="709">
        <f ca="1">IF(ISERROR(MATCH(T$1,INDIRECT("Table!A"&amp;$BV75):INDIRECT("Table!" &amp; $CH$65 &amp; $BV75),0)),"",INDIRECT(CONCATENATE("Table!",ADDRESS($BR75,MATCH(T$1,INDIRECT("Table!A" &amp; $BV75):INDIRECT("Table!" &amp; $CH$65 &amp; $BV75),0)))))/1024</f>
        <v>4.3499023437500002</v>
      </c>
      <c r="U75" s="709"/>
      <c r="V75" s="905"/>
      <c r="W75" s="905"/>
      <c r="X75" s="905"/>
      <c r="Y75" s="905"/>
      <c r="Z75" s="905"/>
      <c r="AA75" s="905"/>
      <c r="AB75" s="905"/>
      <c r="AC75" s="905"/>
      <c r="AD75" s="905"/>
      <c r="AE75" s="905"/>
      <c r="AF75" s="905"/>
      <c r="AG75" s="905"/>
      <c r="AH75" s="905"/>
      <c r="AI75" s="709" t="str">
        <f ca="1">IF(ISERROR(MATCH(AI$1,INDIRECT("Table!A"&amp;$BV75):INDIRECT("Table!" &amp; $CH$110 &amp; $BV75),0)),"",INDIRECT(CONCATENATE("Table!",ADDRESS($BR75,MATCH(AI$1,INDIRECT("Table!A" &amp; $BV75):INDIRECT("Table!" &amp; $CH$110 &amp; $BV75),0)))))</f>
        <v/>
      </c>
      <c r="AJ75" s="709">
        <f ca="1">IF(ISERROR(MATCH(AJ$1,INDIRECT("Table!A"&amp;$BV75):INDIRECT("Table!" &amp; $CH$110 &amp; $BV75),0)),"",INDIRECT(CONCATENATE("Table!",ADDRESS($BZ75,MATCH(AJ$1,INDIRECT("Table!A" &amp; $BV75):INDIRECT("Table!" &amp; $CH$110 &amp; $BV75),0)))))/1024</f>
        <v>140.03144531250001</v>
      </c>
      <c r="AK75" s="709">
        <f ca="1">IF(ISERROR(MATCH(AK$1,INDIRECT("Table!A"&amp;$BV75):INDIRECT("Table!" &amp; $CH$110 &amp; $BV75),0)),"",INDIRECT(CONCATENATE("Table!",ADDRESS($BZ75,MATCH(AK$1,INDIRECT("Table!A" &amp; $BV75):INDIRECT("Table!" &amp; $CH$110 &amp; $BV75),0)))))/1024</f>
        <v>146.98808593749999</v>
      </c>
      <c r="AL75" s="709">
        <f ca="1">IF(ISERROR(MATCH(AL$1,INDIRECT("Table!A"&amp;$BV75):INDIRECT("Table!" &amp; $CH$110 &amp; $BV75),0)),"",INDIRECT(CONCATENATE("Table!",ADDRESS($BZ75,MATCH(AL$1,INDIRECT("Table!A" &amp; $BV75):INDIRECT("Table!" &amp; $CH$110 &amp; $BV75),0)))))/1024</f>
        <v>146.98808593749999</v>
      </c>
      <c r="AM75" s="709">
        <f ca="1">IF(ISERROR(MATCH(AM$1,INDIRECT("Table!A"&amp;$BV75):INDIRECT("Table!" &amp; $CH$110 &amp; $BV75),0)),"",INDIRECT(CONCATENATE("Table!",ADDRESS($BZ75,MATCH(AM$1,INDIRECT("Table!A" &amp; $BV75):INDIRECT("Table!" &amp; $CH$110 &amp; $BV75),0)))))/1024</f>
        <v>177.73222656249999</v>
      </c>
      <c r="AN75" s="709">
        <f ca="1">IF(ISERROR(MATCH(AN$1,INDIRECT("Table!A"&amp;$BV75):INDIRECT("Table!" &amp; $CH$110 &amp; $BV75),0)),"",INDIRECT(CONCATENATE("Table!",ADDRESS($BZ75,MATCH(AN$1,INDIRECT("Table!A" &amp; $BV75):INDIRECT("Table!" &amp; $CH$110 &amp; $BV75),0)))))/1024</f>
        <v>161.57470703125</v>
      </c>
      <c r="AO75" s="709">
        <f ca="1">IF(ISERROR(MATCH(AO$1,INDIRECT("Table!A"&amp;$BV75):INDIRECT("Table!" &amp; $CH$110 &amp; $BV75),0)),"",INDIRECT(CONCATENATE("Table!",ADDRESS($BZ75,MATCH(AO$1,INDIRECT("Table!A" &amp; $BV75):INDIRECT("Table!" &amp; $CH$110 &amp; $BV75),0)))))/1024</f>
        <v>129.03515625</v>
      </c>
      <c r="AP75" s="709">
        <f ca="1">IF(ISERROR(MATCH(AP$1,INDIRECT("Table!A"&amp;$BV75):INDIRECT("Table!" &amp; $CH$110 &amp; $BV75),0)),"",INDIRECT(CONCATENATE("Table!",ADDRESS($BZ75,MATCH(AP$1,INDIRECT("Table!A" &amp; $BV75):INDIRECT("Table!" &amp; $CH$110 &amp; $BV75),0)))))/1024</f>
        <v>166.96152343750001</v>
      </c>
      <c r="AQ75" s="709">
        <f ca="1">IF(ISERROR(MATCH(AQ$1,INDIRECT("Table!A"&amp;$BV75):INDIRECT("Table!" &amp; $CH$110 &amp; $BV75),0)),"",INDIRECT(CONCATENATE("Table!",ADDRESS($BZ75,MATCH(AQ$1,INDIRECT("Table!A" &amp; $BV75):INDIRECT("Table!" &amp; $CH$110 &amp; $BV75),0)))))/1024</f>
        <v>162.18544921874999</v>
      </c>
      <c r="AR75" s="709"/>
      <c r="AS75" s="709"/>
      <c r="AT75" s="709">
        <f ca="1">IF(ISERROR(MATCH(AT$1,INDIRECT("Table!A"&amp;$BV75):INDIRECT("Table!" &amp; $CH$110 &amp; $BV75),0)),"",INDIRECT(CONCATENATE("Table!",ADDRESS($BZ75,MATCH(AT$1,INDIRECT("Table!A" &amp; $BV75):INDIRECT("Table!" &amp; $CH$110 &amp; $BV75),0)))))/1024</f>
        <v>188.5029296875</v>
      </c>
      <c r="AU75" s="709">
        <f ca="1">IF(ISERROR(MATCH(AU$1,INDIRECT("Table!A"&amp;$BV75):INDIRECT("Table!" &amp; $CH$110 &amp; $BV75),0)),"",INDIRECT(CONCATENATE("Table!",ADDRESS($BZ75,MATCH(AU$1,INDIRECT("Table!A" &amp; $BV75):INDIRECT("Table!" &amp; $CH$110 &amp; $BV75),0)))))/1024</f>
        <v>129.03535156250001</v>
      </c>
      <c r="AV75" s="709">
        <f ca="1">IF(ISERROR(MATCH(AV$1,INDIRECT("Table!A"&amp;$BV75):INDIRECT("Table!" &amp; $CH$110 &amp; $BV75),0)),"",INDIRECT(CONCATENATE("Table!",ADDRESS($BZ75,MATCH(AV$1,INDIRECT("Table!A" &amp; $BV75):INDIRECT("Table!" &amp; $CH$110 &amp; $BV75),0)))))/1024</f>
        <v>80.787402343750003</v>
      </c>
      <c r="AW75" s="709">
        <f ca="1">IF(ISERROR(MATCH(AW$1,INDIRECT("Table!A"&amp;$BV75):INDIRECT("Table!" &amp; $CH$110 &amp; $BV75),0)),"",INDIRECT(CONCATENATE("Table!",ADDRESS($BZ75,MATCH(AW$1,INDIRECT("Table!A" &amp; $BV75):INDIRECT("Table!" &amp; $CH$110 &amp; $BV75),0)))))/1024</f>
        <v>269.2919921875</v>
      </c>
      <c r="AX75" s="709">
        <f ca="1">IF(ISERROR(MATCH(AX$1,INDIRECT("Table!A"&amp;$BV75):INDIRECT("Table!" &amp; $CH$110 &amp; $BV75),0)),"",INDIRECT(CONCATENATE("Table!",ADDRESS($BZ75,MATCH(AX$1,INDIRECT("Table!A" &amp; $BV75):INDIRECT("Table!" &amp; $CH$110 &amp; $BV75),0)))))/1024</f>
        <v>81.0927734375</v>
      </c>
      <c r="AY75" s="709"/>
      <c r="AZ75" s="709"/>
      <c r="BA75" s="709"/>
      <c r="BB75" s="709">
        <f ca="1">IF(ISERROR(MATCH(BB$1,INDIRECT("Table!A"&amp;$BV75):INDIRECT("Table!" &amp; $CH$110 &amp; $BV75),0)),"",INDIRECT(CONCATENATE("Table!",ADDRESS($BZ75,MATCH(BB$1,INDIRECT("Table!A" &amp; $BV75):INDIRECT("Table!" &amp; $CH$110 &amp; $BV75),0)))))/1024</f>
        <v>32.31494140625</v>
      </c>
      <c r="BC75" s="709"/>
      <c r="BD75" s="905"/>
      <c r="BE75" s="905"/>
      <c r="BF75" s="905"/>
      <c r="BG75" s="905"/>
      <c r="BH75" s="905"/>
      <c r="BI75" s="905"/>
      <c r="BJ75" s="905"/>
      <c r="BK75" s="905"/>
      <c r="BL75" s="905"/>
      <c r="BM75" s="905"/>
      <c r="BN75" s="905"/>
      <c r="BO75" s="905"/>
      <c r="BP75" s="905"/>
      <c r="BQ75" s="905"/>
      <c r="BR75" s="704">
        <f>MATCH($A75,Table!$A:$A,0)+$BT$2-1</f>
        <v>989</v>
      </c>
      <c r="BS75" s="705"/>
      <c r="BT75" s="705"/>
      <c r="BU75" s="705"/>
      <c r="BV75" s="717">
        <f>MATCH($A75,Table!$A:$A,0)+$BX$2-1</f>
        <v>987</v>
      </c>
      <c r="BW75" s="705"/>
      <c r="BX75" s="705"/>
      <c r="BY75" s="705"/>
      <c r="BZ75" s="704">
        <f>MATCH($A75,Table!$A:$A,0)+$CB$2-1</f>
        <v>988</v>
      </c>
      <c r="CA75" s="705"/>
      <c r="CB75" s="705"/>
      <c r="CC75" s="705"/>
      <c r="CD75" s="717">
        <f>MATCH($A75,Table!$A:$A,0)+$BX$2-1</f>
        <v>987</v>
      </c>
      <c r="CE75" s="705"/>
      <c r="CF75" s="705"/>
      <c r="CG75" s="705"/>
      <c r="CH75" s="711" t="s">
        <v>302</v>
      </c>
      <c r="CI75" s="712">
        <f t="shared" ca="1" si="139"/>
        <v>2012.5220703124999</v>
      </c>
      <c r="CJ75" s="712">
        <f t="shared" ca="1" si="85"/>
        <v>1032.77763671875</v>
      </c>
      <c r="CK75" s="712">
        <f t="shared" ca="1" si="137"/>
        <v>979.74443359374982</v>
      </c>
      <c r="CL75" s="718">
        <f t="shared" ca="1" si="138"/>
        <v>0.51317580659295958</v>
      </c>
      <c r="CM75" s="712">
        <f ca="1">SUMIF('Alloc Feed'!A:I,A:A,'Alloc Feed'!I:I)</f>
        <v>0</v>
      </c>
      <c r="CN75" s="718">
        <f t="shared" ca="1" si="136"/>
        <v>0</v>
      </c>
    </row>
    <row r="76" spans="1:92" s="267" customFormat="1" x14ac:dyDescent="0.25">
      <c r="A76" s="703">
        <v>41408</v>
      </c>
      <c r="B76" s="709">
        <f ca="1">IF(ISERROR(MATCH(B$1,INDIRECT("Table!A"&amp;$BV76):INDIRECT("Table!" &amp; $CH$110 &amp; $BV76),0)),"",INDIRECT(CONCATENATE("Table!",ADDRESS($BR76,MATCH(B$1,INDIRECT("Table!A" &amp; $BV76):INDIRECT("Table!" &amp; $CH$110 &amp; $BV76),0)))))/1024</f>
        <v>38.992871093749997</v>
      </c>
      <c r="C76" s="709">
        <f ca="1">IF(ISERROR(MATCH(C$1,INDIRECT("Table!A"&amp;$BV76):INDIRECT("Table!" &amp; $CH$110 &amp; $BV76),0)),"",INDIRECT(CONCATENATE("Table!",ADDRESS($BR76,MATCH(C$1,INDIRECT("Table!A" &amp; $BV76):INDIRECT("Table!" &amp; $CH$110 &amp; $BV76),0)))))/1024</f>
        <v>76.273632812499997</v>
      </c>
      <c r="D76" s="709">
        <f ca="1">IF(ISERROR(MATCH(D$1,INDIRECT("Table!A"&amp;$BV76):INDIRECT("Table!" &amp; $CH$110 &amp; $BV76),0)),"",INDIRECT(CONCATENATE("Table!",ADDRESS($BR76,MATCH(D$1,INDIRECT("Table!A" &amp; $BV76):INDIRECT("Table!" &amp; $CH$110 &amp; $BV76),0)))))/1024</f>
        <v>77.758691406249994</v>
      </c>
      <c r="E76" s="709">
        <f ca="1">IF(ISERROR(MATCH(E$1,INDIRECT("Table!A"&amp;$BV76):INDIRECT("Table!" &amp; $CH$110 &amp; $BV76),0)),"",INDIRECT(CONCATENATE("Table!",ADDRESS($BR76,MATCH(E$1,INDIRECT("Table!A" &amp; $BV76):INDIRECT("Table!" &amp; $CH$110 &amp; $BV76),0)))))/1024</f>
        <v>155.46025390624999</v>
      </c>
      <c r="F76" s="709">
        <f ca="1">IF(ISERROR(MATCH(F$1,INDIRECT("Table!A"&amp;$BV76):INDIRECT("Table!" &amp; $CH$110 &amp; $BV76),0)),"",INDIRECT(CONCATENATE("Table!",ADDRESS($BR76,MATCH(F$1,INDIRECT("Table!A" &amp; $BV76):INDIRECT("Table!" &amp; $CH$110 &amp; $BV76),0)))))/1024</f>
        <v>97.117968750000003</v>
      </c>
      <c r="G76" s="709">
        <f ca="1">IF(ISERROR(MATCH(G$1,INDIRECT("Table!A"&amp;$BV76):INDIRECT("Table!" &amp; $CH$110 &amp; $BV76),0)),"",INDIRECT(CONCATENATE("Table!",ADDRESS($BR76,MATCH(G$1,INDIRECT("Table!A" &amp; $BV76):INDIRECT("Table!" &amp; $CH$110 &amp; $BV76),0)))))/1024</f>
        <v>54.446679687500001</v>
      </c>
      <c r="H76" s="709">
        <f ca="1">IF(ISERROR(MATCH(H$1,INDIRECT("Table!A"&amp;$BV76):INDIRECT("Table!" &amp; $CH$110 &amp; $BV76),0)),"",INDIRECT(CONCATENATE("Table!",ADDRESS($BR76,MATCH(H$1,INDIRECT("Table!A" &amp; $BV76):INDIRECT("Table!" &amp; $CH$110 &amp; $BV76),0)))))/1024</f>
        <v>83.360546874999997</v>
      </c>
      <c r="I76" s="709">
        <f ca="1">IF(ISERROR(MATCH(I$1,INDIRECT("Table!A"&amp;$BV76):INDIRECT("Table!" &amp; $CH$110 &amp; $BV76),0)),"",INDIRECT(CONCATENATE("Table!",ADDRESS($BR76,MATCH(I$1,INDIRECT("Table!A" &amp; $BV76):INDIRECT("Table!" &amp; $CH$110 &amp; $BV76),0)))))/1024</f>
        <v>7.0227539062500002</v>
      </c>
      <c r="J76" s="709"/>
      <c r="K76" s="709"/>
      <c r="L76" s="709">
        <f ca="1">IF(ISERROR(MATCH(L$1,INDIRECT("Table!A"&amp;$BV76):INDIRECT("Table!" &amp; $CH$110 &amp; $BV76),0)),"",INDIRECT(CONCATENATE("Table!",ADDRESS($BR76,MATCH(L$1,INDIRECT("Table!A" &amp; $BV76):INDIRECT("Table!" &amp; $CH$110 &amp; $BV76),0)))))/1024</f>
        <v>155.50908203124999</v>
      </c>
      <c r="M76" s="709">
        <f ca="1">IF(ISERROR(MATCH(M$1,INDIRECT("Table!A"&amp;$BV76):INDIRECT("Table!" &amp; $CH$110 &amp; $BV76),0)),"",INDIRECT(CONCATENATE("Table!",ADDRESS($BR76,MATCH(M$1,INDIRECT("Table!A" &amp; $BV76):INDIRECT("Table!" &amp; $CH$110 &amp; $BV76),0)))))/1024</f>
        <v>62.508007812499997</v>
      </c>
      <c r="N76" s="709">
        <f ca="1">IF(ISERROR(MATCH(N$1,INDIRECT("Table!A"&amp;$BV76):INDIRECT("Table!" &amp; $CH$110 &amp; $BV76),0)),"",INDIRECT(CONCATENATE("Table!",ADDRESS($BR76,MATCH(N$1,INDIRECT("Table!A" &amp; $BV76):INDIRECT("Table!" &amp; $CH$110 &amp; $BV76),0)))))/1024</f>
        <v>49.924023437499997</v>
      </c>
      <c r="O76" s="709">
        <f ca="1">IF(ISERROR(MATCH(O$1,INDIRECT("Table!A"&amp;$BV76):INDIRECT("Table!" &amp; $CH$110 &amp; $BV76),0)),"",INDIRECT(CONCATENATE("Table!",ADDRESS($BR76,MATCH(O$1,INDIRECT("Table!A" &amp; $BV76):INDIRECT("Table!" &amp; $CH$110 &amp; $BV76),0)))))/1024</f>
        <v>152.25253906250001</v>
      </c>
      <c r="P76" s="709">
        <f ca="1">IF(ISERROR(MATCH(P$1,INDIRECT("Table!A"&amp;$BV76):INDIRECT("Table!" &amp; $CH$110 &amp; $BV76),0)),"",INDIRECT(CONCATENATE("Table!",ADDRESS($BR76,MATCH(P$1,INDIRECT("Table!A" &amp; $BV76):INDIRECT("Table!" &amp; $CH$110 &amp; $BV76),0)))))/1024</f>
        <v>13.8462890625</v>
      </c>
      <c r="Q76" s="709"/>
      <c r="R76" s="709"/>
      <c r="S76" s="709">
        <v>0</v>
      </c>
      <c r="T76" s="709">
        <f ca="1">IF(ISERROR(MATCH(T$1,INDIRECT("Table!A"&amp;$BV76):INDIRECT("Table!" &amp; $CH$65 &amp; $BV76),0)),"",INDIRECT(CONCATENATE("Table!",ADDRESS($BR76,MATCH(T$1,INDIRECT("Table!A" &amp; $BV76):INDIRECT("Table!" &amp; $CH$65 &amp; $BV76),0)))))/1024</f>
        <v>3.8974609375</v>
      </c>
      <c r="U76" s="709"/>
      <c r="V76" s="905"/>
      <c r="W76" s="905"/>
      <c r="X76" s="905"/>
      <c r="Y76" s="905"/>
      <c r="Z76" s="905"/>
      <c r="AA76" s="905"/>
      <c r="AB76" s="905"/>
      <c r="AC76" s="905"/>
      <c r="AD76" s="905"/>
      <c r="AE76" s="905"/>
      <c r="AF76" s="905"/>
      <c r="AG76" s="905"/>
      <c r="AH76" s="905"/>
      <c r="AI76" s="709" t="str">
        <f ca="1">IF(ISERROR(MATCH(AI$1,INDIRECT("Table!A"&amp;$BV76):INDIRECT("Table!" &amp; $CH$110 &amp; $BV76),0)),"",INDIRECT(CONCATENATE("Table!",ADDRESS($BR76,MATCH(AI$1,INDIRECT("Table!A" &amp; $BV76):INDIRECT("Table!" &amp; $CH$110 &amp; $BV76),0)))))</f>
        <v/>
      </c>
      <c r="AJ76" s="709">
        <f ca="1">IF(ISERROR(MATCH(AJ$1,INDIRECT("Table!A"&amp;$BV76):INDIRECT("Table!" &amp; $CH$110 &amp; $BV76),0)),"",INDIRECT(CONCATENATE("Table!",ADDRESS($BZ76,MATCH(AJ$1,INDIRECT("Table!A" &amp; $BV76):INDIRECT("Table!" &amp; $CH$110 &amp; $BV76),0)))))/1024</f>
        <v>140.03144531250001</v>
      </c>
      <c r="AK76" s="709">
        <f ca="1">IF(ISERROR(MATCH(AK$1,INDIRECT("Table!A"&amp;$BV76):INDIRECT("Table!" &amp; $CH$110 &amp; $BV76),0)),"",INDIRECT(CONCATENATE("Table!",ADDRESS($BZ76,MATCH(AK$1,INDIRECT("Table!A" &amp; $BV76):INDIRECT("Table!" &amp; $CH$110 &amp; $BV76),0)))))/1024</f>
        <v>146.98808593749999</v>
      </c>
      <c r="AL76" s="709">
        <f ca="1">IF(ISERROR(MATCH(AL$1,INDIRECT("Table!A"&amp;$BV76):INDIRECT("Table!" &amp; $CH$110 &amp; $BV76),0)),"",INDIRECT(CONCATENATE("Table!",ADDRESS($BZ76,MATCH(AL$1,INDIRECT("Table!A" &amp; $BV76):INDIRECT("Table!" &amp; $CH$110 &amp; $BV76),0)))))/1024</f>
        <v>146.98808593749999</v>
      </c>
      <c r="AM76" s="709">
        <f ca="1">IF(ISERROR(MATCH(AM$1,INDIRECT("Table!A"&amp;$BV76):INDIRECT("Table!" &amp; $CH$110 &amp; $BV76),0)),"",INDIRECT(CONCATENATE("Table!",ADDRESS($BZ76,MATCH(AM$1,INDIRECT("Table!A" &amp; $BV76):INDIRECT("Table!" &amp; $CH$110 &amp; $BV76),0)))))/1024</f>
        <v>177.73222656249999</v>
      </c>
      <c r="AN76" s="709">
        <f ca="1">IF(ISERROR(MATCH(AN$1,INDIRECT("Table!A"&amp;$BV76):INDIRECT("Table!" &amp; $CH$110 &amp; $BV76),0)),"",INDIRECT(CONCATENATE("Table!",ADDRESS($BZ76,MATCH(AN$1,INDIRECT("Table!A" &amp; $BV76):INDIRECT("Table!" &amp; $CH$110 &amp; $BV76),0)))))/1024</f>
        <v>161.57470703125</v>
      </c>
      <c r="AO76" s="709">
        <f ca="1">IF(ISERROR(MATCH(AO$1,INDIRECT("Table!A"&amp;$BV76):INDIRECT("Table!" &amp; $CH$110 &amp; $BV76),0)),"",INDIRECT(CONCATENATE("Table!",ADDRESS($BZ76,MATCH(AO$1,INDIRECT("Table!A" &amp; $BV76):INDIRECT("Table!" &amp; $CH$110 &amp; $BV76),0)))))/1024</f>
        <v>129.03515625</v>
      </c>
      <c r="AP76" s="709">
        <f ca="1">IF(ISERROR(MATCH(AP$1,INDIRECT("Table!A"&amp;$BV76):INDIRECT("Table!" &amp; $CH$110 &amp; $BV76),0)),"",INDIRECT(CONCATENATE("Table!",ADDRESS($BZ76,MATCH(AP$1,INDIRECT("Table!A" &amp; $BV76):INDIRECT("Table!" &amp; $CH$110 &amp; $BV76),0)))))/1024</f>
        <v>166.96152343750001</v>
      </c>
      <c r="AQ76" s="709">
        <f ca="1">IF(ISERROR(MATCH(AQ$1,INDIRECT("Table!A"&amp;$BV76):INDIRECT("Table!" &amp; $CH$110 &amp; $BV76),0)),"",INDIRECT(CONCATENATE("Table!",ADDRESS($BZ76,MATCH(AQ$1,INDIRECT("Table!A" &amp; $BV76):INDIRECT("Table!" &amp; $CH$110 &amp; $BV76),0)))))/1024</f>
        <v>162.18544921874999</v>
      </c>
      <c r="AR76" s="709"/>
      <c r="AS76" s="709"/>
      <c r="AT76" s="709">
        <f ca="1">IF(ISERROR(MATCH(AT$1,INDIRECT("Table!A"&amp;$BV76):INDIRECT("Table!" &amp; $CH$110 &amp; $BV76),0)),"",INDIRECT(CONCATENATE("Table!",ADDRESS($BZ76,MATCH(AT$1,INDIRECT("Table!A" &amp; $BV76):INDIRECT("Table!" &amp; $CH$110 &amp; $BV76),0)))))/1024</f>
        <v>188.5029296875</v>
      </c>
      <c r="AU76" s="709">
        <f ca="1">IF(ISERROR(MATCH(AU$1,INDIRECT("Table!A"&amp;$BV76):INDIRECT("Table!" &amp; $CH$110 &amp; $BV76),0)),"",INDIRECT(CONCATENATE("Table!",ADDRESS($BZ76,MATCH(AU$1,INDIRECT("Table!A" &amp; $BV76):INDIRECT("Table!" &amp; $CH$110 &amp; $BV76),0)))))/1024</f>
        <v>129.03535156250001</v>
      </c>
      <c r="AV76" s="709">
        <f ca="1">IF(ISERROR(MATCH(AV$1,INDIRECT("Table!A"&amp;$BV76):INDIRECT("Table!" &amp; $CH$110 &amp; $BV76),0)),"",INDIRECT(CONCATENATE("Table!",ADDRESS($BZ76,MATCH(AV$1,INDIRECT("Table!A" &amp; $BV76):INDIRECT("Table!" &amp; $CH$110 &amp; $BV76),0)))))/1024</f>
        <v>80.787402343750003</v>
      </c>
      <c r="AW76" s="709">
        <f ca="1">IF(ISERROR(MATCH(AW$1,INDIRECT("Table!A"&amp;$BV76):INDIRECT("Table!" &amp; $CH$110 &amp; $BV76),0)),"",INDIRECT(CONCATENATE("Table!",ADDRESS($BZ76,MATCH(AW$1,INDIRECT("Table!A" &amp; $BV76):INDIRECT("Table!" &amp; $CH$110 &amp; $BV76),0)))))/1024</f>
        <v>269.2919921875</v>
      </c>
      <c r="AX76" s="709">
        <f ca="1">IF(ISERROR(MATCH(AX$1,INDIRECT("Table!A"&amp;$BV76):INDIRECT("Table!" &amp; $CH$110 &amp; $BV76),0)),"",INDIRECT(CONCATENATE("Table!",ADDRESS($BZ76,MATCH(AX$1,INDIRECT("Table!A" &amp; $BV76):INDIRECT("Table!" &amp; $CH$110 &amp; $BV76),0)))))/1024</f>
        <v>81.0927734375</v>
      </c>
      <c r="AY76" s="709"/>
      <c r="AZ76" s="709"/>
      <c r="BA76" s="709"/>
      <c r="BB76" s="709">
        <f ca="1">IF(ISERROR(MATCH(BB$1,INDIRECT("Table!A"&amp;$BV76):INDIRECT("Table!" &amp; $CH$110 &amp; $BV76),0)),"",INDIRECT(CONCATENATE("Table!",ADDRESS($BZ76,MATCH(BB$1,INDIRECT("Table!A" &amp; $BV76):INDIRECT("Table!" &amp; $CH$110 &amp; $BV76),0)))))/1024</f>
        <v>32.31494140625</v>
      </c>
      <c r="BC76" s="709"/>
      <c r="BD76" s="905"/>
      <c r="BE76" s="905"/>
      <c r="BF76" s="905"/>
      <c r="BG76" s="905"/>
      <c r="BH76" s="905"/>
      <c r="BI76" s="905"/>
      <c r="BJ76" s="905"/>
      <c r="BK76" s="905"/>
      <c r="BL76" s="905"/>
      <c r="BM76" s="905"/>
      <c r="BN76" s="905"/>
      <c r="BO76" s="905"/>
      <c r="BP76" s="905"/>
      <c r="BQ76" s="905"/>
      <c r="BR76" s="704">
        <f>MATCH($A76,Table!$A:$A,0)+$BT$2-1</f>
        <v>1001</v>
      </c>
      <c r="BS76" s="705"/>
      <c r="BT76" s="705"/>
      <c r="BU76" s="705"/>
      <c r="BV76" s="717">
        <f>MATCH($A76,Table!$A:$A,0)+$BX$2-1</f>
        <v>999</v>
      </c>
      <c r="BW76" s="705"/>
      <c r="BX76" s="705"/>
      <c r="BY76" s="705"/>
      <c r="BZ76" s="704">
        <f>MATCH($A76,Table!$A:$A,0)+$CB$2-1</f>
        <v>1000</v>
      </c>
      <c r="CA76" s="705"/>
      <c r="CB76" s="705"/>
      <c r="CC76" s="705"/>
      <c r="CD76" s="717">
        <f>MATCH($A76,Table!$A:$A,0)+$BX$2-1</f>
        <v>999</v>
      </c>
      <c r="CE76" s="705"/>
      <c r="CF76" s="705"/>
      <c r="CG76" s="705"/>
      <c r="CH76" s="711" t="s">
        <v>302</v>
      </c>
      <c r="CI76" s="712">
        <f t="shared" ca="1" si="139"/>
        <v>2012.5220703124999</v>
      </c>
      <c r="CJ76" s="712">
        <f t="shared" ca="1" si="85"/>
        <v>1028.37080078125</v>
      </c>
      <c r="CK76" s="712">
        <f t="shared" ca="1" si="137"/>
        <v>984.15126953124991</v>
      </c>
      <c r="CL76" s="718">
        <f t="shared" ca="1" si="138"/>
        <v>0.51098609846378817</v>
      </c>
      <c r="CM76" s="712">
        <f ca="1">SUMIF('Alloc Feed'!A:I,A:A,'Alloc Feed'!I:I)</f>
        <v>0</v>
      </c>
      <c r="CN76" s="718">
        <f t="shared" ca="1" si="136"/>
        <v>0</v>
      </c>
    </row>
    <row r="77" spans="1:92" s="267" customFormat="1" x14ac:dyDescent="0.25">
      <c r="A77" s="703">
        <v>41401</v>
      </c>
      <c r="B77" s="709">
        <f ca="1">IF(ISERROR(MATCH(B$1,INDIRECT("Table!A"&amp;$BV77):INDIRECT("Table!" &amp; $CH$110 &amp; $BV77),0)),"",INDIRECT(CONCATENATE("Table!",ADDRESS($BR77,MATCH(B$1,INDIRECT("Table!A" &amp; $BV77):INDIRECT("Table!" &amp; $CH$110 &amp; $BV77),0)))))/1024</f>
        <v>38.816503906249999</v>
      </c>
      <c r="C77" s="709">
        <f ca="1">IF(ISERROR(MATCH(C$1,INDIRECT("Table!A"&amp;$BV77):INDIRECT("Table!" &amp; $CH$110 &amp; $BV77),0)),"",INDIRECT(CONCATENATE("Table!",ADDRESS($BR77,MATCH(C$1,INDIRECT("Table!A" &amp; $BV77):INDIRECT("Table!" &amp; $CH$110 &amp; $BV77),0)))))/1024</f>
        <v>76.230859374999994</v>
      </c>
      <c r="D77" s="709">
        <f ca="1">IF(ISERROR(MATCH(D$1,INDIRECT("Table!A"&amp;$BV77):INDIRECT("Table!" &amp; $CH$110 &amp; $BV77),0)),"",INDIRECT(CONCATENATE("Table!",ADDRESS($BR77,MATCH(D$1,INDIRECT("Table!A" &amp; $BV77):INDIRECT("Table!" &amp; $CH$110 &amp; $BV77),0)))))/1024</f>
        <v>77.737109375000003</v>
      </c>
      <c r="E77" s="709">
        <f ca="1">IF(ISERROR(MATCH(E$1,INDIRECT("Table!A"&amp;$BV77):INDIRECT("Table!" &amp; $CH$110 &amp; $BV77),0)),"",INDIRECT(CONCATENATE("Table!",ADDRESS($BR77,MATCH(E$1,INDIRECT("Table!A" &amp; $BV77):INDIRECT("Table!" &amp; $CH$110 &amp; $BV77),0)))))/1024</f>
        <v>154.86455078124999</v>
      </c>
      <c r="F77" s="709">
        <f ca="1">IF(ISERROR(MATCH(F$1,INDIRECT("Table!A"&amp;$BV77):INDIRECT("Table!" &amp; $CH$110 &amp; $BV77),0)),"",INDIRECT(CONCATENATE("Table!",ADDRESS($BR77,MATCH(F$1,INDIRECT("Table!A" &amp; $BV77):INDIRECT("Table!" &amp; $CH$110 &amp; $BV77),0)))))/1024</f>
        <v>96.05810546875</v>
      </c>
      <c r="G77" s="709">
        <f ca="1">IF(ISERROR(MATCH(G$1,INDIRECT("Table!A"&amp;$BV77):INDIRECT("Table!" &amp; $CH$110 &amp; $BV77),0)),"",INDIRECT(CONCATENATE("Table!",ADDRESS($BR77,MATCH(G$1,INDIRECT("Table!A" &amp; $BV77):INDIRECT("Table!" &amp; $CH$110 &amp; $BV77),0)))))/1024</f>
        <v>49.81396484375</v>
      </c>
      <c r="H77" s="709">
        <f ca="1">IF(ISERROR(MATCH(H$1,INDIRECT("Table!A"&amp;$BV77):INDIRECT("Table!" &amp; $CH$110 &amp; $BV77),0)),"",INDIRECT(CONCATENATE("Table!",ADDRESS($BR77,MATCH(H$1,INDIRECT("Table!A" &amp; $BV77):INDIRECT("Table!" &amp; $CH$110 &amp; $BV77),0)))))/1024</f>
        <v>82.38818359375</v>
      </c>
      <c r="I77" s="709">
        <f ca="1">IF(ISERROR(MATCH(I$1,INDIRECT("Table!A"&amp;$BV77):INDIRECT("Table!" &amp; $CH$110 &amp; $BV77),0)),"",INDIRECT(CONCATENATE("Table!",ADDRESS($BR77,MATCH(I$1,INDIRECT("Table!A" &amp; $BV77):INDIRECT("Table!" &amp; $CH$110 &amp; $BV77),0)))))/1024</f>
        <v>6.8292968749999998</v>
      </c>
      <c r="J77" s="709"/>
      <c r="K77" s="709"/>
      <c r="L77" s="709">
        <f ca="1">IF(ISERROR(MATCH(L$1,INDIRECT("Table!A"&amp;$BV77):INDIRECT("Table!" &amp; $CH$110 &amp; $BV77),0)),"",INDIRECT(CONCATENATE("Table!",ADDRESS($BR77,MATCH(L$1,INDIRECT("Table!A" &amp; $BV77):INDIRECT("Table!" &amp; $CH$110 &amp; $BV77),0)))))/1024</f>
        <v>155.2373046875</v>
      </c>
      <c r="M77" s="709">
        <f ca="1">IF(ISERROR(MATCH(M$1,INDIRECT("Table!A"&amp;$BV77):INDIRECT("Table!" &amp; $CH$110 &amp; $BV77),0)),"",INDIRECT(CONCATENATE("Table!",ADDRESS($BR77,MATCH(M$1,INDIRECT("Table!A" &amp; $BV77):INDIRECT("Table!" &amp; $CH$110 &amp; $BV77),0)))))/1024</f>
        <v>61.785449218750003</v>
      </c>
      <c r="N77" s="709">
        <f ca="1">IF(ISERROR(MATCH(N$1,INDIRECT("Table!A"&amp;$BV77):INDIRECT("Table!" &amp; $CH$110 &amp; $BV77),0)),"",INDIRECT(CONCATENATE("Table!",ADDRESS($BR77,MATCH(N$1,INDIRECT("Table!A" &amp; $BV77):INDIRECT("Table!" &amp; $CH$110 &amp; $BV77),0)))))/1024</f>
        <v>49.499316406250003</v>
      </c>
      <c r="O77" s="709">
        <f ca="1">IF(ISERROR(MATCH(O$1,INDIRECT("Table!A"&amp;$BV77):INDIRECT("Table!" &amp; $CH$110 &amp; $BV77),0)),"",INDIRECT(CONCATENATE("Table!",ADDRESS($BR77,MATCH(O$1,INDIRECT("Table!A" &amp; $BV77):INDIRECT("Table!" &amp; $CH$110 &amp; $BV77),0)))))/1024</f>
        <v>151.09746093749999</v>
      </c>
      <c r="P77" s="709">
        <f ca="1">IF(ISERROR(MATCH(P$1,INDIRECT("Table!A"&amp;$BV77):INDIRECT("Table!" &amp; $CH$110 &amp; $BV77),0)),"",INDIRECT(CONCATENATE("Table!",ADDRESS($BR77,MATCH(P$1,INDIRECT("Table!A" &amp; $BV77):INDIRECT("Table!" &amp; $CH$110 &amp; $BV77),0)))))/1024</f>
        <v>13.459375</v>
      </c>
      <c r="Q77" s="709"/>
      <c r="R77" s="709"/>
      <c r="S77" s="709">
        <v>0</v>
      </c>
      <c r="T77" s="709">
        <f ca="1">IF(ISERROR(MATCH(T$1,INDIRECT("Table!A"&amp;$BV77):INDIRECT("Table!" &amp; $CH$65 &amp; $BV77),0)),"",INDIRECT(CONCATENATE("Table!",ADDRESS($BR77,MATCH(T$1,INDIRECT("Table!A" &amp; $BV77):INDIRECT("Table!" &amp; $CH$65 &amp; $BV77),0)))))/1024</f>
        <v>3.3853515624999999</v>
      </c>
      <c r="U77" s="709"/>
      <c r="V77" s="905"/>
      <c r="W77" s="905"/>
      <c r="X77" s="905"/>
      <c r="Y77" s="905"/>
      <c r="Z77" s="905"/>
      <c r="AA77" s="905"/>
      <c r="AB77" s="905"/>
      <c r="AC77" s="905"/>
      <c r="AD77" s="905"/>
      <c r="AE77" s="905"/>
      <c r="AF77" s="905"/>
      <c r="AG77" s="905"/>
      <c r="AH77" s="905"/>
      <c r="AI77" s="709" t="str">
        <f ca="1">IF(ISERROR(MATCH(AI$1,INDIRECT("Table!A"&amp;$BV77):INDIRECT("Table!" &amp; $CH$110 &amp; $BV77),0)),"",INDIRECT(CONCATENATE("Table!",ADDRESS($BR77,MATCH(AI$1,INDIRECT("Table!A" &amp; $BV77):INDIRECT("Table!" &amp; $CH$110 &amp; $BV77),0)))))</f>
        <v/>
      </c>
      <c r="AJ77" s="709">
        <f ca="1">IF(ISERROR(MATCH(AJ$1,INDIRECT("Table!A"&amp;$BV77):INDIRECT("Table!" &amp; $CH$110 &amp; $BV77),0)),"",INDIRECT(CONCATENATE("Table!",ADDRESS($BZ77,MATCH(AJ$1,INDIRECT("Table!A" &amp; $BV77):INDIRECT("Table!" &amp; $CH$110 &amp; $BV77),0)))))/1024</f>
        <v>140.03144531250001</v>
      </c>
      <c r="AK77" s="709">
        <f ca="1">IF(ISERROR(MATCH(AK$1,INDIRECT("Table!A"&amp;$BV77):INDIRECT("Table!" &amp; $CH$110 &amp; $BV77),0)),"",INDIRECT(CONCATENATE("Table!",ADDRESS($BZ77,MATCH(AK$1,INDIRECT("Table!A" &amp; $BV77):INDIRECT("Table!" &amp; $CH$110 &amp; $BV77),0)))))/1024</f>
        <v>146.98808593749999</v>
      </c>
      <c r="AL77" s="709">
        <f ca="1">IF(ISERROR(MATCH(AL$1,INDIRECT("Table!A"&amp;$BV77):INDIRECT("Table!" &amp; $CH$110 &amp; $BV77),0)),"",INDIRECT(CONCATENATE("Table!",ADDRESS($BZ77,MATCH(AL$1,INDIRECT("Table!A" &amp; $BV77):INDIRECT("Table!" &amp; $CH$110 &amp; $BV77),0)))))/1024</f>
        <v>146.98808593749999</v>
      </c>
      <c r="AM77" s="709">
        <f ca="1">IF(ISERROR(MATCH(AM$1,INDIRECT("Table!A"&amp;$BV77):INDIRECT("Table!" &amp; $CH$110 &amp; $BV77),0)),"",INDIRECT(CONCATENATE("Table!",ADDRESS($BZ77,MATCH(AM$1,INDIRECT("Table!A" &amp; $BV77):INDIRECT("Table!" &amp; $CH$110 &amp; $BV77),0)))))/1024</f>
        <v>177.73222656249999</v>
      </c>
      <c r="AN77" s="709">
        <f ca="1">IF(ISERROR(MATCH(AN$1,INDIRECT("Table!A"&amp;$BV77):INDIRECT("Table!" &amp; $CH$110 &amp; $BV77),0)),"",INDIRECT(CONCATENATE("Table!",ADDRESS($BZ77,MATCH(AN$1,INDIRECT("Table!A" &amp; $BV77):INDIRECT("Table!" &amp; $CH$110 &amp; $BV77),0)))))/1024</f>
        <v>161.57470703125</v>
      </c>
      <c r="AO77" s="709">
        <f ca="1">IF(ISERROR(MATCH(AO$1,INDIRECT("Table!A"&amp;$BV77):INDIRECT("Table!" &amp; $CH$110 &amp; $BV77),0)),"",INDIRECT(CONCATENATE("Table!",ADDRESS($BZ77,MATCH(AO$1,INDIRECT("Table!A" &amp; $BV77):INDIRECT("Table!" &amp; $CH$110 &amp; $BV77),0)))))/1024</f>
        <v>129.03515625</v>
      </c>
      <c r="AP77" s="709">
        <f ca="1">IF(ISERROR(MATCH(AP$1,INDIRECT("Table!A"&amp;$BV77):INDIRECT("Table!" &amp; $CH$110 &amp; $BV77),0)),"",INDIRECT(CONCATENATE("Table!",ADDRESS($BZ77,MATCH(AP$1,INDIRECT("Table!A" &amp; $BV77):INDIRECT("Table!" &amp; $CH$110 &amp; $BV77),0)))))/1024</f>
        <v>118.4880859375</v>
      </c>
      <c r="AQ77" s="709">
        <f ca="1">IF(ISERROR(MATCH(AQ$1,INDIRECT("Table!A"&amp;$BV77):INDIRECT("Table!" &amp; $CH$110 &amp; $BV77),0)),"",INDIRECT(CONCATENATE("Table!",ADDRESS($BZ77,MATCH(AQ$1,INDIRECT("Table!A" &amp; $BV77):INDIRECT("Table!" &amp; $CH$110 &amp; $BV77),0)))))/1024</f>
        <v>162.18544921874999</v>
      </c>
      <c r="AR77" s="709"/>
      <c r="AS77" s="709"/>
      <c r="AT77" s="709">
        <f ca="1">IF(ISERROR(MATCH(AT$1,INDIRECT("Table!A"&amp;$BV77):INDIRECT("Table!" &amp; $CH$110 &amp; $BV77),0)),"",INDIRECT(CONCATENATE("Table!",ADDRESS($BZ77,MATCH(AT$1,INDIRECT("Table!A" &amp; $BV77):INDIRECT("Table!" &amp; $CH$110 &amp; $BV77),0)))))/1024</f>
        <v>188.5029296875</v>
      </c>
      <c r="AU77" s="709">
        <f ca="1">IF(ISERROR(MATCH(AU$1,INDIRECT("Table!A"&amp;$BV77):INDIRECT("Table!" &amp; $CH$110 &amp; $BV77),0)),"",INDIRECT(CONCATENATE("Table!",ADDRESS($BZ77,MATCH(AU$1,INDIRECT("Table!A" &amp; $BV77):INDIRECT("Table!" &amp; $CH$110 &amp; $BV77),0)))))/1024</f>
        <v>129.03535156250001</v>
      </c>
      <c r="AV77" s="709">
        <f ca="1">IF(ISERROR(MATCH(AV$1,INDIRECT("Table!A"&amp;$BV77):INDIRECT("Table!" &amp; $CH$110 &amp; $BV77),0)),"",INDIRECT(CONCATENATE("Table!",ADDRESS($BZ77,MATCH(AV$1,INDIRECT("Table!A" &amp; $BV77):INDIRECT("Table!" &amp; $CH$110 &amp; $BV77),0)))))/1024</f>
        <v>80.787402343750003</v>
      </c>
      <c r="AW77" s="709">
        <f ca="1">IF(ISERROR(MATCH(AW$1,INDIRECT("Table!A"&amp;$BV77):INDIRECT("Table!" &amp; $CH$110 &amp; $BV77),0)),"",INDIRECT(CONCATENATE("Table!",ADDRESS($BZ77,MATCH(AW$1,INDIRECT("Table!A" &amp; $BV77):INDIRECT("Table!" &amp; $CH$110 &amp; $BV77),0)))))/1024</f>
        <v>172.34638671875001</v>
      </c>
      <c r="AX77" s="709">
        <f ca="1">IF(ISERROR(MATCH(AX$1,INDIRECT("Table!A"&amp;$BV77):INDIRECT("Table!" &amp; $CH$110 &amp; $BV77),0)),"",INDIRECT(CONCATENATE("Table!",ADDRESS($BZ77,MATCH(AX$1,INDIRECT("Table!A" &amp; $BV77):INDIRECT("Table!" &amp; $CH$110 &amp; $BV77),0)))))/1024</f>
        <v>81.0927734375</v>
      </c>
      <c r="AY77" s="709"/>
      <c r="AZ77" s="709"/>
      <c r="BA77" s="709"/>
      <c r="BB77" s="709">
        <f ca="1">IF(ISERROR(MATCH(BB$1,INDIRECT("Table!A"&amp;$BV77):INDIRECT("Table!" &amp; $CH$110 &amp; $BV77),0)),"",INDIRECT(CONCATENATE("Table!",ADDRESS($BZ77,MATCH(BB$1,INDIRECT("Table!A" &amp; $BV77):INDIRECT("Table!" &amp; $CH$110 &amp; $BV77),0)))))/1024</f>
        <v>32.31494140625</v>
      </c>
      <c r="BC77" s="709"/>
      <c r="BD77" s="905"/>
      <c r="BE77" s="905"/>
      <c r="BF77" s="905"/>
      <c r="BG77" s="905"/>
      <c r="BH77" s="905"/>
      <c r="BI77" s="905"/>
      <c r="BJ77" s="905"/>
      <c r="BK77" s="905"/>
      <c r="BL77" s="905"/>
      <c r="BM77" s="905"/>
      <c r="BN77" s="905"/>
      <c r="BO77" s="905"/>
      <c r="BP77" s="905"/>
      <c r="BQ77" s="905"/>
      <c r="BR77" s="704">
        <f>MATCH($A77,Table!$A:$A,0)+$BT$2-1</f>
        <v>1013</v>
      </c>
      <c r="BS77" s="705"/>
      <c r="BT77" s="705"/>
      <c r="BU77" s="705"/>
      <c r="BV77" s="717">
        <f>MATCH($A77,Table!$A:$A,0)+$BX$2-1</f>
        <v>1011</v>
      </c>
      <c r="BW77" s="705"/>
      <c r="BX77" s="705"/>
      <c r="BY77" s="705"/>
      <c r="BZ77" s="704">
        <f>MATCH($A77,Table!$A:$A,0)+$CB$2-1</f>
        <v>1012</v>
      </c>
      <c r="CA77" s="705"/>
      <c r="CB77" s="705"/>
      <c r="CC77" s="705"/>
      <c r="CD77" s="717">
        <f>MATCH($A77,Table!$A:$A,0)+$BX$2-1</f>
        <v>1011</v>
      </c>
      <c r="CE77" s="705"/>
      <c r="CF77" s="705"/>
      <c r="CG77" s="705"/>
      <c r="CH77" s="711" t="s">
        <v>302</v>
      </c>
      <c r="CI77" s="712">
        <f t="shared" ca="1" si="139"/>
        <v>1867.10302734375</v>
      </c>
      <c r="CJ77" s="712">
        <f t="shared" ca="1" si="85"/>
        <v>1017.20283203125</v>
      </c>
      <c r="CK77" s="712">
        <f t="shared" ca="1" si="137"/>
        <v>849.90019531250005</v>
      </c>
      <c r="CL77" s="718">
        <f t="shared" ca="1" si="138"/>
        <v>0.54480273296882942</v>
      </c>
      <c r="CM77" s="712">
        <f ca="1">SUMIF('Alloc Feed'!A:I,A:A,'Alloc Feed'!I:I)</f>
        <v>0</v>
      </c>
      <c r="CN77" s="718">
        <f t="shared" ca="1" si="136"/>
        <v>0</v>
      </c>
    </row>
    <row r="78" spans="1:92" s="267" customFormat="1" x14ac:dyDescent="0.25">
      <c r="A78" s="703">
        <v>41395</v>
      </c>
      <c r="B78" s="709">
        <f ca="1">IF(ISERROR(MATCH(B$1,INDIRECT("Table!A"&amp;$BV78):INDIRECT("Table!" &amp; $CH$110 &amp; $BV78),0)),"",INDIRECT(CONCATENATE("Table!",ADDRESS($BR78,MATCH(B$1,INDIRECT("Table!A" &amp; $BV78):INDIRECT("Table!" &amp; $CH$110 &amp; $BV78),0)))))/1024</f>
        <v>42.205859375000003</v>
      </c>
      <c r="C78" s="709">
        <f ca="1">IF(ISERROR(MATCH(C$1,INDIRECT("Table!A"&amp;$BV78):INDIRECT("Table!" &amp; $CH$110 &amp; $BV78),0)),"",INDIRECT(CONCATENATE("Table!",ADDRESS($BR78,MATCH(C$1,INDIRECT("Table!A" &amp; $BV78):INDIRECT("Table!" &amp; $CH$110 &amp; $BV78),0)))))/1024</f>
        <v>75.983691406250003</v>
      </c>
      <c r="D78" s="709">
        <f ca="1">IF(ISERROR(MATCH(D$1,INDIRECT("Table!A"&amp;$BV78):INDIRECT("Table!" &amp; $CH$110 &amp; $BV78),0)),"",INDIRECT(CONCATENATE("Table!",ADDRESS($BR78,MATCH(D$1,INDIRECT("Table!A" &amp; $BV78):INDIRECT("Table!" &amp; $CH$110 &amp; $BV78),0)))))/1024</f>
        <v>77.516308593749997</v>
      </c>
      <c r="E78" s="709">
        <f ca="1">IF(ISERROR(MATCH(E$1,INDIRECT("Table!A"&amp;$BV78):INDIRECT("Table!" &amp; $CH$110 &amp; $BV78),0)),"",INDIRECT(CONCATENATE("Table!",ADDRESS($BR78,MATCH(E$1,INDIRECT("Table!A" &amp; $BV78):INDIRECT("Table!" &amp; $CH$110 &amp; $BV78),0)))))/1024</f>
        <v>154.2041015625</v>
      </c>
      <c r="F78" s="709">
        <f ca="1">IF(ISERROR(MATCH(F$1,INDIRECT("Table!A"&amp;$BV78):INDIRECT("Table!" &amp; $CH$110 &amp; $BV78),0)),"",INDIRECT(CONCATENATE("Table!",ADDRESS($BR78,MATCH(F$1,INDIRECT("Table!A" &amp; $BV78):INDIRECT("Table!" &amp; $CH$110 &amp; $BV78),0)))))/1024</f>
        <v>95.313183593749997</v>
      </c>
      <c r="G78" s="709">
        <f ca="1">IF(ISERROR(MATCH(G$1,INDIRECT("Table!A"&amp;$BV78):INDIRECT("Table!" &amp; $CH$110 &amp; $BV78),0)),"",INDIRECT(CONCATENATE("Table!",ADDRESS($BR78,MATCH(G$1,INDIRECT("Table!A" &amp; $BV78):INDIRECT("Table!" &amp; $CH$110 &amp; $BV78),0)))))/1024</f>
        <v>49.59375</v>
      </c>
      <c r="H78" s="709">
        <f ca="1">IF(ISERROR(MATCH(H$1,INDIRECT("Table!A"&amp;$BV78):INDIRECT("Table!" &amp; $CH$110 &amp; $BV78),0)),"",INDIRECT(CONCATENATE("Table!",ADDRESS($BR78,MATCH(H$1,INDIRECT("Table!A" &amp; $BV78):INDIRECT("Table!" &amp; $CH$110 &amp; $BV78),0)))))/1024</f>
        <v>82.175488281249997</v>
      </c>
      <c r="I78" s="709">
        <f ca="1">IF(ISERROR(MATCH(I$1,INDIRECT("Table!A"&amp;$BV78):INDIRECT("Table!" &amp; $CH$110 &amp; $BV78),0)),"",INDIRECT(CONCATENATE("Table!",ADDRESS($BR78,MATCH(I$1,INDIRECT("Table!A" &amp; $BV78):INDIRECT("Table!" &amp; $CH$110 &amp; $BV78),0)))))/1024</f>
        <v>6.8156249999999998</v>
      </c>
      <c r="J78" s="709"/>
      <c r="K78" s="709"/>
      <c r="L78" s="709">
        <f ca="1">IF(ISERROR(MATCH(L$1,INDIRECT("Table!A"&amp;$BV78):INDIRECT("Table!" &amp; $CH$110 &amp; $BV78),0)),"",INDIRECT(CONCATENATE("Table!",ADDRESS($BR78,MATCH(L$1,INDIRECT("Table!A" &amp; $BV78):INDIRECT("Table!" &amp; $CH$110 &amp; $BV78),0)))))/1024</f>
        <v>154.91845703125</v>
      </c>
      <c r="M78" s="709">
        <f ca="1">IF(ISERROR(MATCH(M$1,INDIRECT("Table!A"&amp;$BV78):INDIRECT("Table!" &amp; $CH$110 &amp; $BV78),0)),"",INDIRECT(CONCATENATE("Table!",ADDRESS($BR78,MATCH(M$1,INDIRECT("Table!A" &amp; $BV78):INDIRECT("Table!" &amp; $CH$110 &amp; $BV78),0)))))/1024</f>
        <v>63.674414062499999</v>
      </c>
      <c r="N78" s="709">
        <f ca="1">IF(ISERROR(MATCH(N$1,INDIRECT("Table!A"&amp;$BV78):INDIRECT("Table!" &amp; $CH$110 &amp; $BV78),0)),"",INDIRECT(CONCATENATE("Table!",ADDRESS($BR78,MATCH(N$1,INDIRECT("Table!A" &amp; $BV78):INDIRECT("Table!" &amp; $CH$110 &amp; $BV78),0)))))/1024</f>
        <v>49.131738281250001</v>
      </c>
      <c r="O78" s="709">
        <f ca="1">IF(ISERROR(MATCH(O$1,INDIRECT("Table!A"&amp;$BV78):INDIRECT("Table!" &amp; $CH$110 &amp; $BV78),0)),"",INDIRECT(CONCATENATE("Table!",ADDRESS($BR78,MATCH(O$1,INDIRECT("Table!A" &amp; $BV78):INDIRECT("Table!" &amp; $CH$110 &amp; $BV78),0)))))/1024</f>
        <v>150.87167968750001</v>
      </c>
      <c r="P78" s="709">
        <f ca="1">IF(ISERROR(MATCH(P$1,INDIRECT("Table!A"&amp;$BV78):INDIRECT("Table!" &amp; $CH$110 &amp; $BV78),0)),"",INDIRECT(CONCATENATE("Table!",ADDRESS($BR78,MATCH(P$1,INDIRECT("Table!A" &amp; $BV78):INDIRECT("Table!" &amp; $CH$110 &amp; $BV78),0)))))/1024</f>
        <v>13.434863281249999</v>
      </c>
      <c r="Q78" s="709"/>
      <c r="R78" s="709"/>
      <c r="S78" s="709">
        <v>0</v>
      </c>
      <c r="T78" s="709">
        <f ca="1">IF(ISERROR(MATCH(T$1,INDIRECT("Table!A"&amp;$BV78):INDIRECT("Table!" &amp; $CH$65 &amp; $BV78),0)),"",INDIRECT(CONCATENATE("Table!",ADDRESS($BR78,MATCH(T$1,INDIRECT("Table!A" &amp; $BV78):INDIRECT("Table!" &amp; $CH$65 &amp; $BV78),0)))))/1024</f>
        <v>3.3724609375000001</v>
      </c>
      <c r="U78" s="709"/>
      <c r="V78" s="905"/>
      <c r="W78" s="905"/>
      <c r="X78" s="905"/>
      <c r="Y78" s="905"/>
      <c r="Z78" s="905"/>
      <c r="AA78" s="905"/>
      <c r="AB78" s="905"/>
      <c r="AC78" s="905"/>
      <c r="AD78" s="905"/>
      <c r="AE78" s="905"/>
      <c r="AF78" s="905"/>
      <c r="AG78" s="905"/>
      <c r="AH78" s="905"/>
      <c r="AI78" s="709" t="str">
        <f ca="1">IF(ISERROR(MATCH(AI$1,INDIRECT("Table!A"&amp;$BV78):INDIRECT("Table!" &amp; $CH$110 &amp; $BV78),0)),"",INDIRECT(CONCATENATE("Table!",ADDRESS($BR78,MATCH(AI$1,INDIRECT("Table!A" &amp; $BV78):INDIRECT("Table!" &amp; $CH$110 &amp; $BV78),0)))))</f>
        <v/>
      </c>
      <c r="AJ78" s="709">
        <f ca="1">IF(ISERROR(MATCH(AJ$1,INDIRECT("Table!A"&amp;$BV78):INDIRECT("Table!" &amp; $CH$110 &amp; $BV78),0)),"",INDIRECT(CONCATENATE("Table!",ADDRESS($BZ78,MATCH(AJ$1,INDIRECT("Table!A" &amp; $BV78):INDIRECT("Table!" &amp; $CH$110 &amp; $BV78),0)))))/1024</f>
        <v>140.03144531250001</v>
      </c>
      <c r="AK78" s="709">
        <f ca="1">IF(ISERROR(MATCH(AK$1,INDIRECT("Table!A"&amp;$BV78):INDIRECT("Table!" &amp; $CH$110 &amp; $BV78),0)),"",INDIRECT(CONCATENATE("Table!",ADDRESS($BZ78,MATCH(AK$1,INDIRECT("Table!A" &amp; $BV78):INDIRECT("Table!" &amp; $CH$110 &amp; $BV78),0)))))/1024</f>
        <v>146.98808593749999</v>
      </c>
      <c r="AL78" s="709">
        <f ca="1">IF(ISERROR(MATCH(AL$1,INDIRECT("Table!A"&amp;$BV78):INDIRECT("Table!" &amp; $CH$110 &amp; $BV78),0)),"",INDIRECT(CONCATENATE("Table!",ADDRESS($BZ78,MATCH(AL$1,INDIRECT("Table!A" &amp; $BV78):INDIRECT("Table!" &amp; $CH$110 &amp; $BV78),0)))))/1024</f>
        <v>146.98808593749999</v>
      </c>
      <c r="AM78" s="709">
        <f ca="1">IF(ISERROR(MATCH(AM$1,INDIRECT("Table!A"&amp;$BV78):INDIRECT("Table!" &amp; $CH$110 &amp; $BV78),0)),"",INDIRECT(CONCATENATE("Table!",ADDRESS($BZ78,MATCH(AM$1,INDIRECT("Table!A" &amp; $BV78):INDIRECT("Table!" &amp; $CH$110 &amp; $BV78),0)))))/1024</f>
        <v>177.73222656249999</v>
      </c>
      <c r="AN78" s="709">
        <f ca="1">IF(ISERROR(MATCH(AN$1,INDIRECT("Table!A"&amp;$BV78):INDIRECT("Table!" &amp; $CH$110 &amp; $BV78),0)),"",INDIRECT(CONCATENATE("Table!",ADDRESS($BZ78,MATCH(AN$1,INDIRECT("Table!A" &amp; $BV78):INDIRECT("Table!" &amp; $CH$110 &amp; $BV78),0)))))/1024</f>
        <v>161.57470703125</v>
      </c>
      <c r="AO78" s="709">
        <f ca="1">IF(ISERROR(MATCH(AO$1,INDIRECT("Table!A"&amp;$BV78):INDIRECT("Table!" &amp; $CH$110 &amp; $BV78),0)),"",INDIRECT(CONCATENATE("Table!",ADDRESS($BZ78,MATCH(AO$1,INDIRECT("Table!A" &amp; $BV78):INDIRECT("Table!" &amp; $CH$110 &amp; $BV78),0)))))/1024</f>
        <v>129.03515625</v>
      </c>
      <c r="AP78" s="709">
        <f ca="1">IF(ISERROR(MATCH(AP$1,INDIRECT("Table!A"&amp;$BV78):INDIRECT("Table!" &amp; $CH$110 &amp; $BV78),0)),"",INDIRECT(CONCATENATE("Table!",ADDRESS($BZ78,MATCH(AP$1,INDIRECT("Table!A" &amp; $BV78):INDIRECT("Table!" &amp; $CH$110 &amp; $BV78),0)))))/1024</f>
        <v>118.4880859375</v>
      </c>
      <c r="AQ78" s="709">
        <f ca="1">IF(ISERROR(MATCH(AQ$1,INDIRECT("Table!A"&amp;$BV78):INDIRECT("Table!" &amp; $CH$110 &amp; $BV78),0)),"",INDIRECT(CONCATENATE("Table!",ADDRESS($BZ78,MATCH(AQ$1,INDIRECT("Table!A" &amp; $BV78):INDIRECT("Table!" &amp; $CH$110 &amp; $BV78),0)))))/1024</f>
        <v>162.18544921874999</v>
      </c>
      <c r="AR78" s="709"/>
      <c r="AS78" s="709"/>
      <c r="AT78" s="709">
        <f ca="1">IF(ISERROR(MATCH(AT$1,INDIRECT("Table!A"&amp;$BV78):INDIRECT("Table!" &amp; $CH$110 &amp; $BV78),0)),"",INDIRECT(CONCATENATE("Table!",ADDRESS($BZ78,MATCH(AT$1,INDIRECT("Table!A" &amp; $BV78):INDIRECT("Table!" &amp; $CH$110 &amp; $BV78),0)))))/1024</f>
        <v>188.5029296875</v>
      </c>
      <c r="AU78" s="709">
        <f ca="1">IF(ISERROR(MATCH(AU$1,INDIRECT("Table!A"&amp;$BV78):INDIRECT("Table!" &amp; $CH$110 &amp; $BV78),0)),"",INDIRECT(CONCATENATE("Table!",ADDRESS($BZ78,MATCH(AU$1,INDIRECT("Table!A" &amp; $BV78):INDIRECT("Table!" &amp; $CH$110 &amp; $BV78),0)))))/1024</f>
        <v>129.03535156250001</v>
      </c>
      <c r="AV78" s="709">
        <f ca="1">IF(ISERROR(MATCH(AV$1,INDIRECT("Table!A"&amp;$BV78):INDIRECT("Table!" &amp; $CH$110 &amp; $BV78),0)),"",INDIRECT(CONCATENATE("Table!",ADDRESS($BZ78,MATCH(AV$1,INDIRECT("Table!A" &amp; $BV78):INDIRECT("Table!" &amp; $CH$110 &amp; $BV78),0)))))/1024</f>
        <v>80.787402343750003</v>
      </c>
      <c r="AW78" s="709">
        <f ca="1">IF(ISERROR(MATCH(AW$1,INDIRECT("Table!A"&amp;$BV78):INDIRECT("Table!" &amp; $CH$110 &amp; $BV78),0)),"",INDIRECT(CONCATENATE("Table!",ADDRESS($BZ78,MATCH(AW$1,INDIRECT("Table!A" &amp; $BV78):INDIRECT("Table!" &amp; $CH$110 &amp; $BV78),0)))))/1024</f>
        <v>172.34638671875001</v>
      </c>
      <c r="AX78" s="709">
        <f ca="1">IF(ISERROR(MATCH(AX$1,INDIRECT("Table!A"&amp;$BV78):INDIRECT("Table!" &amp; $CH$110 &amp; $BV78),0)),"",INDIRECT(CONCATENATE("Table!",ADDRESS($BZ78,MATCH(AX$1,INDIRECT("Table!A" &amp; $BV78):INDIRECT("Table!" &amp; $CH$110 &amp; $BV78),0)))))/1024</f>
        <v>81.0927734375</v>
      </c>
      <c r="AY78" s="709"/>
      <c r="AZ78" s="709"/>
      <c r="BA78" s="709"/>
      <c r="BB78" s="709">
        <f ca="1">IF(ISERROR(MATCH(BB$1,INDIRECT("Table!A"&amp;$BV78):INDIRECT("Table!" &amp; $CH$110 &amp; $BV78),0)),"",INDIRECT(CONCATENATE("Table!",ADDRESS($BZ78,MATCH(BB$1,INDIRECT("Table!A" &amp; $BV78):INDIRECT("Table!" &amp; $CH$110 &amp; $BV78),0)))))/1024</f>
        <v>32.31494140625</v>
      </c>
      <c r="BC78" s="709"/>
      <c r="BD78" s="905"/>
      <c r="BE78" s="905"/>
      <c r="BF78" s="905"/>
      <c r="BG78" s="905"/>
      <c r="BH78" s="905"/>
      <c r="BI78" s="905"/>
      <c r="BJ78" s="905"/>
      <c r="BK78" s="905"/>
      <c r="BL78" s="905"/>
      <c r="BM78" s="905"/>
      <c r="BN78" s="905"/>
      <c r="BO78" s="905"/>
      <c r="BP78" s="905"/>
      <c r="BQ78" s="905"/>
      <c r="BR78" s="704">
        <f>MATCH($A78,Table!$A:$A,0)+$BT$2-1</f>
        <v>1025</v>
      </c>
      <c r="BS78" s="705"/>
      <c r="BT78" s="705"/>
      <c r="BU78" s="705"/>
      <c r="BV78" s="717">
        <f>MATCH($A78,Table!$A:$A,0)+$BX$2-1</f>
        <v>1023</v>
      </c>
      <c r="BW78" s="705"/>
      <c r="BX78" s="705"/>
      <c r="BY78" s="705"/>
      <c r="BZ78" s="704">
        <f>MATCH($A78,Table!$A:$A,0)+$CB$2-1</f>
        <v>1024</v>
      </c>
      <c r="CA78" s="705"/>
      <c r="CB78" s="705"/>
      <c r="CC78" s="705"/>
      <c r="CD78" s="717">
        <f>MATCH($A78,Table!$A:$A,0)+$BX$2-1</f>
        <v>1023</v>
      </c>
      <c r="CE78" s="705"/>
      <c r="CF78" s="705"/>
      <c r="CG78" s="705"/>
      <c r="CH78" s="711" t="s">
        <v>302</v>
      </c>
      <c r="CI78" s="712">
        <f t="shared" ca="1" si="139"/>
        <v>1867.10302734375</v>
      </c>
      <c r="CJ78" s="712">
        <f t="shared" ca="1" si="85"/>
        <v>1019.21162109375</v>
      </c>
      <c r="CK78" s="712">
        <f t="shared" ca="1" si="137"/>
        <v>847.89140625000005</v>
      </c>
      <c r="CL78" s="718">
        <f t="shared" ca="1" si="138"/>
        <v>0.54587861846260299</v>
      </c>
      <c r="CM78" s="712">
        <f ca="1">SUMIF('Alloc Feed'!A:I,A:A,'Alloc Feed'!I:I)</f>
        <v>0</v>
      </c>
      <c r="CN78" s="718">
        <f t="shared" ca="1" si="136"/>
        <v>0</v>
      </c>
    </row>
    <row r="79" spans="1:92" s="267" customFormat="1" x14ac:dyDescent="0.25">
      <c r="A79" s="703">
        <v>41393</v>
      </c>
      <c r="B79" s="709">
        <f ca="1">IF(ISERROR(MATCH(B$1,INDIRECT("Table!A"&amp;$BV79):INDIRECT("Table!" &amp; $CH$110 &amp; $BV79),0)),"",INDIRECT(CONCATENATE("Table!",ADDRESS($BR79,MATCH(B$1,INDIRECT("Table!A" &amp; $BV79):INDIRECT("Table!" &amp; $CH$110 &amp; $BV79),0)))))/1024</f>
        <v>41.457910156250001</v>
      </c>
      <c r="C79" s="709">
        <f ca="1">IF(ISERROR(MATCH(C$1,INDIRECT("Table!A"&amp;$BV79):INDIRECT("Table!" &amp; $CH$110 &amp; $BV79),0)),"",INDIRECT(CONCATENATE("Table!",ADDRESS($BR79,MATCH(C$1,INDIRECT("Table!A" &amp; $BV79):INDIRECT("Table!" &amp; $CH$110 &amp; $BV79),0)))))/1024</f>
        <v>75.97509765625</v>
      </c>
      <c r="D79" s="709">
        <f ca="1">IF(ISERROR(MATCH(D$1,INDIRECT("Table!A"&amp;$BV79):INDIRECT("Table!" &amp; $CH$110 &amp; $BV79),0)),"",INDIRECT(CONCATENATE("Table!",ADDRESS($BR79,MATCH(D$1,INDIRECT("Table!A" &amp; $BV79):INDIRECT("Table!" &amp; $CH$110 &amp; $BV79),0)))))/1024</f>
        <v>77.5078125</v>
      </c>
      <c r="E79" s="709">
        <f ca="1">IF(ISERROR(MATCH(E$1,INDIRECT("Table!A"&amp;$BV79):INDIRECT("Table!" &amp; $CH$110 &amp; $BV79),0)),"",INDIRECT(CONCATENATE("Table!",ADDRESS($BR79,MATCH(E$1,INDIRECT("Table!A" &amp; $BV79):INDIRECT("Table!" &amp; $CH$110 &amp; $BV79),0)))))/1024</f>
        <v>154.09199218750001</v>
      </c>
      <c r="F79" s="709">
        <f ca="1">IF(ISERROR(MATCH(F$1,INDIRECT("Table!A"&amp;$BV79):INDIRECT("Table!" &amp; $CH$110 &amp; $BV79),0)),"",INDIRECT(CONCATENATE("Table!",ADDRESS($BR79,MATCH(F$1,INDIRECT("Table!A" &amp; $BV79):INDIRECT("Table!" &amp; $CH$110 &amp; $BV79),0)))))/1024</f>
        <v>95.164160156250006</v>
      </c>
      <c r="G79" s="709">
        <f ca="1">IF(ISERROR(MATCH(G$1,INDIRECT("Table!A"&amp;$BV79):INDIRECT("Table!" &amp; $CH$110 &amp; $BV79),0)),"",INDIRECT(CONCATENATE("Table!",ADDRESS($BR79,MATCH(G$1,INDIRECT("Table!A" &amp; $BV79):INDIRECT("Table!" &amp; $CH$110 &amp; $BV79),0)))))/1024</f>
        <v>50.310839843750003</v>
      </c>
      <c r="H79" s="709">
        <f ca="1">IF(ISERROR(MATCH(H$1,INDIRECT("Table!A"&amp;$BV79):INDIRECT("Table!" &amp; $CH$110 &amp; $BV79),0)),"",INDIRECT(CONCATENATE("Table!",ADDRESS($BR79,MATCH(H$1,INDIRECT("Table!A" &amp; $BV79):INDIRECT("Table!" &amp; $CH$110 &amp; $BV79),0)))))/1024</f>
        <v>82.086621093749997</v>
      </c>
      <c r="I79" s="709">
        <f ca="1">IF(ISERROR(MATCH(I$1,INDIRECT("Table!A"&amp;$BV79):INDIRECT("Table!" &amp; $CH$110 &amp; $BV79),0)),"",INDIRECT(CONCATENATE("Table!",ADDRESS($BR79,MATCH(I$1,INDIRECT("Table!A" &amp; $BV79):INDIRECT("Table!" &amp; $CH$110 &amp; $BV79),0)))))/1024</f>
        <v>6.8156249999999998</v>
      </c>
      <c r="J79" s="709"/>
      <c r="K79" s="709"/>
      <c r="L79" s="709">
        <f ca="1">IF(ISERROR(MATCH(L$1,INDIRECT("Table!A"&amp;$BV79):INDIRECT("Table!" &amp; $CH$110 &amp; $BV79),0)),"",INDIRECT(CONCATENATE("Table!",ADDRESS($BR79,MATCH(L$1,INDIRECT("Table!A" &amp; $BV79):INDIRECT("Table!" &amp; $CH$110 &amp; $BV79),0)))))/1024</f>
        <v>154.85859375000001</v>
      </c>
      <c r="M79" s="709">
        <f ca="1">IF(ISERROR(MATCH(M$1,INDIRECT("Table!A"&amp;$BV79):INDIRECT("Table!" &amp; $CH$110 &amp; $BV79),0)),"",INDIRECT(CONCATENATE("Table!",ADDRESS($BR79,MATCH(M$1,INDIRECT("Table!A" &amp; $BV79):INDIRECT("Table!" &amp; $CH$110 &amp; $BV79),0)))))/1024</f>
        <v>63.45849609375</v>
      </c>
      <c r="N79" s="709">
        <f ca="1">IF(ISERROR(MATCH(N$1,INDIRECT("Table!A"&amp;$BV79):INDIRECT("Table!" &amp; $CH$110 &amp; $BV79),0)),"",INDIRECT(CONCATENATE("Table!",ADDRESS($BR79,MATCH(N$1,INDIRECT("Table!A" &amp; $BV79):INDIRECT("Table!" &amp; $CH$110 &amp; $BV79),0)))))/1024</f>
        <v>49.05029296875</v>
      </c>
      <c r="O79" s="709">
        <f ca="1">IF(ISERROR(MATCH(O$1,INDIRECT("Table!A"&amp;$BV79):INDIRECT("Table!" &amp; $CH$110 &amp; $BV79),0)),"",INDIRECT(CONCATENATE("Table!",ADDRESS($BR79,MATCH(O$1,INDIRECT("Table!A" &amp; $BV79):INDIRECT("Table!" &amp; $CH$110 &amp; $BV79),0)))))/1024</f>
        <v>150.89345703124999</v>
      </c>
      <c r="P79" s="709">
        <f ca="1">IF(ISERROR(MATCH(P$1,INDIRECT("Table!A"&amp;$BV79):INDIRECT("Table!" &amp; $CH$110 &amp; $BV79),0)),"",INDIRECT(CONCATENATE("Table!",ADDRESS($BR79,MATCH(P$1,INDIRECT("Table!A" &amp; $BV79):INDIRECT("Table!" &amp; $CH$110 &amp; $BV79),0)))))/1024</f>
        <v>13.434765625000001</v>
      </c>
      <c r="Q79" s="709"/>
      <c r="R79" s="709"/>
      <c r="S79" s="709">
        <v>0</v>
      </c>
      <c r="T79" s="709">
        <f ca="1">IF(ISERROR(MATCH(T$1,INDIRECT("Table!A"&amp;$BV79):INDIRECT("Table!" &amp; $CH$65 &amp; $BV79),0)),"",INDIRECT(CONCATENATE("Table!",ADDRESS($BR79,MATCH(T$1,INDIRECT("Table!A" &amp; $BV79):INDIRECT("Table!" &amp; $CH$65 &amp; $BV79),0)))))/1024</f>
        <v>3.3659179687499998</v>
      </c>
      <c r="U79" s="709"/>
      <c r="V79" s="905"/>
      <c r="W79" s="905"/>
      <c r="X79" s="905"/>
      <c r="Y79" s="905"/>
      <c r="Z79" s="905"/>
      <c r="AA79" s="905"/>
      <c r="AB79" s="905"/>
      <c r="AC79" s="905"/>
      <c r="AD79" s="905"/>
      <c r="AE79" s="905"/>
      <c r="AF79" s="905"/>
      <c r="AG79" s="905"/>
      <c r="AH79" s="905"/>
      <c r="AI79" s="709" t="str">
        <f ca="1">IF(ISERROR(MATCH(AI$1,INDIRECT("Table!A"&amp;$BV79):INDIRECT("Table!" &amp; $CH$110 &amp; $BV79),0)),"",INDIRECT(CONCATENATE("Table!",ADDRESS($BR79,MATCH(AI$1,INDIRECT("Table!A" &amp; $BV79):INDIRECT("Table!" &amp; $CH$110 &amp; $BV79),0)))))</f>
        <v/>
      </c>
      <c r="AJ79" s="709">
        <f ca="1">IF(ISERROR(MATCH(AJ$1,INDIRECT("Table!A"&amp;$BV79):INDIRECT("Table!" &amp; $CH$110 &amp; $BV79),0)),"",INDIRECT(CONCATENATE("Table!",ADDRESS($BZ79,MATCH(AJ$1,INDIRECT("Table!A" &amp; $BV79):INDIRECT("Table!" &amp; $CH$110 &amp; $BV79),0)))))/1024</f>
        <v>140.03144531250001</v>
      </c>
      <c r="AK79" s="709">
        <f ca="1">IF(ISERROR(MATCH(AK$1,INDIRECT("Table!A"&amp;$BV79):INDIRECT("Table!" &amp; $CH$110 &amp; $BV79),0)),"",INDIRECT(CONCATENATE("Table!",ADDRESS($BZ79,MATCH(AK$1,INDIRECT("Table!A" &amp; $BV79):INDIRECT("Table!" &amp; $CH$110 &amp; $BV79),0)))))/1024</f>
        <v>146.98808593749999</v>
      </c>
      <c r="AL79" s="709">
        <f ca="1">IF(ISERROR(MATCH(AL$1,INDIRECT("Table!A"&amp;$BV79):INDIRECT("Table!" &amp; $CH$110 &amp; $BV79),0)),"",INDIRECT(CONCATENATE("Table!",ADDRESS($BZ79,MATCH(AL$1,INDIRECT("Table!A" &amp; $BV79):INDIRECT("Table!" &amp; $CH$110 &amp; $BV79),0)))))/1024</f>
        <v>146.98808593749999</v>
      </c>
      <c r="AM79" s="709">
        <f ca="1">IF(ISERROR(MATCH(AM$1,INDIRECT("Table!A"&amp;$BV79):INDIRECT("Table!" &amp; $CH$110 &amp; $BV79),0)),"",INDIRECT(CONCATENATE("Table!",ADDRESS($BZ79,MATCH(AM$1,INDIRECT("Table!A" &amp; $BV79):INDIRECT("Table!" &amp; $CH$110 &amp; $BV79),0)))))/1024</f>
        <v>177.73222656249999</v>
      </c>
      <c r="AN79" s="709">
        <f ca="1">IF(ISERROR(MATCH(AN$1,INDIRECT("Table!A"&amp;$BV79):INDIRECT("Table!" &amp; $CH$110 &amp; $BV79),0)),"",INDIRECT(CONCATENATE("Table!",ADDRESS($BZ79,MATCH(AN$1,INDIRECT("Table!A" &amp; $BV79):INDIRECT("Table!" &amp; $CH$110 &amp; $BV79),0)))))/1024</f>
        <v>161.57470703125</v>
      </c>
      <c r="AO79" s="709">
        <f ca="1">IF(ISERROR(MATCH(AO$1,INDIRECT("Table!A"&amp;$BV79):INDIRECT("Table!" &amp; $CH$110 &amp; $BV79),0)),"",INDIRECT(CONCATENATE("Table!",ADDRESS($BZ79,MATCH(AO$1,INDIRECT("Table!A" &amp; $BV79):INDIRECT("Table!" &amp; $CH$110 &amp; $BV79),0)))))/1024</f>
        <v>129.03515625</v>
      </c>
      <c r="AP79" s="709">
        <f ca="1">IF(ISERROR(MATCH(AP$1,INDIRECT("Table!A"&amp;$BV79):INDIRECT("Table!" &amp; $CH$110 &amp; $BV79),0)),"",INDIRECT(CONCATENATE("Table!",ADDRESS($BZ79,MATCH(AP$1,INDIRECT("Table!A" &amp; $BV79):INDIRECT("Table!" &amp; $CH$110 &amp; $BV79),0)))))/1024</f>
        <v>118.4880859375</v>
      </c>
      <c r="AQ79" s="709">
        <f ca="1">IF(ISERROR(MATCH(AQ$1,INDIRECT("Table!A"&amp;$BV79):INDIRECT("Table!" &amp; $CH$110 &amp; $BV79),0)),"",INDIRECT(CONCATENATE("Table!",ADDRESS($BZ79,MATCH(AQ$1,INDIRECT("Table!A" &amp; $BV79):INDIRECT("Table!" &amp; $CH$110 &amp; $BV79),0)))))/1024</f>
        <v>162.18544921874999</v>
      </c>
      <c r="AR79" s="709"/>
      <c r="AS79" s="709"/>
      <c r="AT79" s="709">
        <f ca="1">IF(ISERROR(MATCH(AT$1,INDIRECT("Table!A"&amp;$BV79):INDIRECT("Table!" &amp; $CH$110 &amp; $BV79),0)),"",INDIRECT(CONCATENATE("Table!",ADDRESS($BZ79,MATCH(AT$1,INDIRECT("Table!A" &amp; $BV79):INDIRECT("Table!" &amp; $CH$110 &amp; $BV79),0)))))/1024</f>
        <v>188.5029296875</v>
      </c>
      <c r="AU79" s="709">
        <f ca="1">IF(ISERROR(MATCH(AU$1,INDIRECT("Table!A"&amp;$BV79):INDIRECT("Table!" &amp; $CH$110 &amp; $BV79),0)),"",INDIRECT(CONCATENATE("Table!",ADDRESS($BZ79,MATCH(AU$1,INDIRECT("Table!A" &amp; $BV79):INDIRECT("Table!" &amp; $CH$110 &amp; $BV79),0)))))/1024</f>
        <v>129.03535156250001</v>
      </c>
      <c r="AV79" s="709">
        <f ca="1">IF(ISERROR(MATCH(AV$1,INDIRECT("Table!A"&amp;$BV79):INDIRECT("Table!" &amp; $CH$110 &amp; $BV79),0)),"",INDIRECT(CONCATENATE("Table!",ADDRESS($BZ79,MATCH(AV$1,INDIRECT("Table!A" &amp; $BV79):INDIRECT("Table!" &amp; $CH$110 &amp; $BV79),0)))))/1024</f>
        <v>80.787402343750003</v>
      </c>
      <c r="AW79" s="709">
        <f ca="1">IF(ISERROR(MATCH(AW$1,INDIRECT("Table!A"&amp;$BV79):INDIRECT("Table!" &amp; $CH$110 &amp; $BV79),0)),"",INDIRECT(CONCATENATE("Table!",ADDRESS($BZ79,MATCH(AW$1,INDIRECT("Table!A" &amp; $BV79):INDIRECT("Table!" &amp; $CH$110 &amp; $BV79),0)))))/1024</f>
        <v>172.34638671875001</v>
      </c>
      <c r="AX79" s="709">
        <f ca="1">IF(ISERROR(MATCH(AX$1,INDIRECT("Table!A"&amp;$BV79):INDIRECT("Table!" &amp; $CH$110 &amp; $BV79),0)),"",INDIRECT(CONCATENATE("Table!",ADDRESS($BZ79,MATCH(AX$1,INDIRECT("Table!A" &amp; $BV79):INDIRECT("Table!" &amp; $CH$110 &amp; $BV79),0)))))/1024</f>
        <v>81.0927734375</v>
      </c>
      <c r="AY79" s="709"/>
      <c r="AZ79" s="709"/>
      <c r="BA79" s="709"/>
      <c r="BB79" s="709">
        <f ca="1">IF(ISERROR(MATCH(BB$1,INDIRECT("Table!A"&amp;$BV79):INDIRECT("Table!" &amp; $CH$110 &amp; $BV79),0)),"",INDIRECT(CONCATENATE("Table!",ADDRESS($BZ79,MATCH(BB$1,INDIRECT("Table!A" &amp; $BV79):INDIRECT("Table!" &amp; $CH$110 &amp; $BV79),0)))))/1024</f>
        <v>32.31494140625</v>
      </c>
      <c r="BC79" s="709"/>
      <c r="BD79" s="905"/>
      <c r="BE79" s="905"/>
      <c r="BF79" s="905"/>
      <c r="BG79" s="905"/>
      <c r="BH79" s="905"/>
      <c r="BI79" s="905"/>
      <c r="BJ79" s="905"/>
      <c r="BK79" s="905"/>
      <c r="BL79" s="905"/>
      <c r="BM79" s="905"/>
      <c r="BN79" s="905"/>
      <c r="BO79" s="905"/>
      <c r="BP79" s="905"/>
      <c r="BQ79" s="905"/>
      <c r="BR79" s="704">
        <f>MATCH($A79,Table!$A:$A,0)+$BT$2-1</f>
        <v>1037</v>
      </c>
      <c r="BS79" s="705"/>
      <c r="BT79" s="705"/>
      <c r="BU79" s="705"/>
      <c r="BV79" s="717">
        <f>MATCH($A79,Table!$A:$A,0)+$BX$2-1</f>
        <v>1035</v>
      </c>
      <c r="BW79" s="705"/>
      <c r="BX79" s="705"/>
      <c r="BY79" s="705"/>
      <c r="BZ79" s="704">
        <f>MATCH($A79,Table!$A:$A,0)+$CB$2-1</f>
        <v>1036</v>
      </c>
      <c r="CA79" s="705"/>
      <c r="CB79" s="705"/>
      <c r="CC79" s="705"/>
      <c r="CD79" s="717">
        <f>MATCH($A79,Table!$A:$A,0)+$BX$2-1</f>
        <v>1035</v>
      </c>
      <c r="CE79" s="705"/>
      <c r="CF79" s="705"/>
      <c r="CG79" s="705"/>
      <c r="CH79" s="711" t="s">
        <v>302</v>
      </c>
      <c r="CI79" s="712">
        <f t="shared" ca="1" si="139"/>
        <v>1867.10302734375</v>
      </c>
      <c r="CJ79" s="712">
        <f t="shared" ca="1" si="85"/>
        <v>1018.4715820312498</v>
      </c>
      <c r="CK79" s="712">
        <f t="shared" ca="1" si="137"/>
        <v>848.6314453125002</v>
      </c>
      <c r="CL79" s="718">
        <f t="shared" ca="1" si="138"/>
        <v>0.54548226161905322</v>
      </c>
      <c r="CM79" s="712">
        <f ca="1">SUMIF('Alloc Feed'!A:I,A:A,'Alloc Feed'!I:I)</f>
        <v>0</v>
      </c>
      <c r="CN79" s="718">
        <f t="shared" ca="1" si="136"/>
        <v>0</v>
      </c>
    </row>
    <row r="80" spans="1:92" s="267" customFormat="1" x14ac:dyDescent="0.25">
      <c r="A80" s="703">
        <v>41390</v>
      </c>
      <c r="B80" s="709">
        <f ca="1">IF(ISERROR(MATCH(B$1,INDIRECT("Table!A"&amp;$BV80):INDIRECT("Table!" &amp; $CH$110 &amp; $BV80),0)),"",INDIRECT(CONCATENATE("Table!",ADDRESS($BR80,MATCH(B$1,INDIRECT("Table!A" &amp; $BV80):INDIRECT("Table!" &amp; $CH$110 &amp; $BV80),0)))))/1024</f>
        <v>41.204199218749999</v>
      </c>
      <c r="C80" s="709">
        <f ca="1">IF(ISERROR(MATCH(C$1,INDIRECT("Table!A"&amp;$BV80):INDIRECT("Table!" &amp; $CH$110 &amp; $BV80),0)),"",INDIRECT(CONCATENATE("Table!",ADDRESS($BR80,MATCH(C$1,INDIRECT("Table!A" &amp; $BV80):INDIRECT("Table!" &amp; $CH$110 &amp; $BV80),0)))))/1024</f>
        <v>75.92578125</v>
      </c>
      <c r="D80" s="709">
        <f ca="1">IF(ISERROR(MATCH(D$1,INDIRECT("Table!A"&amp;$BV80):INDIRECT("Table!" &amp; $CH$110 &amp; $BV80),0)),"",INDIRECT(CONCATENATE("Table!",ADDRESS($BR80,MATCH(D$1,INDIRECT("Table!A" &amp; $BV80):INDIRECT("Table!" &amp; $CH$110 &amp; $BV80),0)))))/1024</f>
        <v>77.459082031250006</v>
      </c>
      <c r="E80" s="709">
        <f ca="1">IF(ISERROR(MATCH(E$1,INDIRECT("Table!A"&amp;$BV80):INDIRECT("Table!" &amp; $CH$110 &amp; $BV80),0)),"",INDIRECT(CONCATENATE("Table!",ADDRESS($BR80,MATCH(E$1,INDIRECT("Table!A" &amp; $BV80):INDIRECT("Table!" &amp; $CH$110 &amp; $BV80),0)))))/1024</f>
        <v>154.02968749999999</v>
      </c>
      <c r="F80" s="709">
        <f ca="1">IF(ISERROR(MATCH(F$1,INDIRECT("Table!A"&amp;$BV80):INDIRECT("Table!" &amp; $CH$110 &amp; $BV80),0)),"",INDIRECT(CONCATENATE("Table!",ADDRESS($BR80,MATCH(F$1,INDIRECT("Table!A" &amp; $BV80):INDIRECT("Table!" &amp; $CH$110 &amp; $BV80),0)))))/1024</f>
        <v>94.860546874999997</v>
      </c>
      <c r="G80" s="709">
        <f ca="1">IF(ISERROR(MATCH(G$1,INDIRECT("Table!A"&amp;$BV80):INDIRECT("Table!" &amp; $CH$110 &amp; $BV80),0)),"",INDIRECT(CONCATENATE("Table!",ADDRESS($BR80,MATCH(G$1,INDIRECT("Table!A" &amp; $BV80):INDIRECT("Table!" &amp; $CH$110 &amp; $BV80),0)))))/1024</f>
        <v>48.516699218749999</v>
      </c>
      <c r="H80" s="709">
        <f ca="1">IF(ISERROR(MATCH(H$1,INDIRECT("Table!A"&amp;$BV80):INDIRECT("Table!" &amp; $CH$110 &amp; $BV80),0)),"",INDIRECT(CONCATENATE("Table!",ADDRESS($BR80,MATCH(H$1,INDIRECT("Table!A" &amp; $BV80):INDIRECT("Table!" &amp; $CH$110 &amp; $BV80),0)))))/1024</f>
        <v>81.199804687500006</v>
      </c>
      <c r="I80" s="709">
        <f ca="1">IF(ISERROR(MATCH(I$1,INDIRECT("Table!A"&amp;$BV80):INDIRECT("Table!" &amp; $CH$110 &amp; $BV80),0)),"",INDIRECT(CONCATENATE("Table!",ADDRESS($BR80,MATCH(I$1,INDIRECT("Table!A" &amp; $BV80):INDIRECT("Table!" &amp; $CH$110 &amp; $BV80),0)))))/1024</f>
        <v>6.8104492187499996</v>
      </c>
      <c r="J80" s="709"/>
      <c r="K80" s="709"/>
      <c r="L80" s="709">
        <f ca="1">IF(ISERROR(MATCH(L$1,INDIRECT("Table!A"&amp;$BV80):INDIRECT("Table!" &amp; $CH$110 &amp; $BV80),0)),"",INDIRECT(CONCATENATE("Table!",ADDRESS($BR80,MATCH(L$1,INDIRECT("Table!A" &amp; $BV80):INDIRECT("Table!" &amp; $CH$110 &amp; $BV80),0)))))/1024</f>
        <v>154.7607421875</v>
      </c>
      <c r="M80" s="709">
        <f ca="1">IF(ISERROR(MATCH(M$1,INDIRECT("Table!A"&amp;$BV80):INDIRECT("Table!" &amp; $CH$110 &amp; $BV80),0)),"",INDIRECT(CONCATENATE("Table!",ADDRESS($BR80,MATCH(M$1,INDIRECT("Table!A" &amp; $BV80):INDIRECT("Table!" &amp; $CH$110 &amp; $BV80),0)))))/1024</f>
        <v>60.933496093750001</v>
      </c>
      <c r="N80" s="709">
        <f ca="1">IF(ISERROR(MATCH(N$1,INDIRECT("Table!A"&amp;$BV80):INDIRECT("Table!" &amp; $CH$110 &amp; $BV80),0)),"",INDIRECT(CONCATENATE("Table!",ADDRESS($BR80,MATCH(N$1,INDIRECT("Table!A" &amp; $BV80):INDIRECT("Table!" &amp; $CH$110 &amp; $BV80),0)))))/1024</f>
        <v>48.872656249999999</v>
      </c>
      <c r="O80" s="709">
        <f ca="1">IF(ISERROR(MATCH(O$1,INDIRECT("Table!A"&amp;$BV80):INDIRECT("Table!" &amp; $CH$110 &amp; $BV80),0)),"",INDIRECT(CONCATENATE("Table!",ADDRESS($BR80,MATCH(O$1,INDIRECT("Table!A" &amp; $BV80):INDIRECT("Table!" &amp; $CH$110 &amp; $BV80),0)))))/1024</f>
        <v>148.94687500000001</v>
      </c>
      <c r="P80" s="709">
        <f ca="1">IF(ISERROR(MATCH(P$1,INDIRECT("Table!A"&amp;$BV80):INDIRECT("Table!" &amp; $CH$110 &amp; $BV80),0)),"",INDIRECT(CONCATENATE("Table!",ADDRESS($BR80,MATCH(P$1,INDIRECT("Table!A" &amp; $BV80):INDIRECT("Table!" &amp; $CH$110 &amp; $BV80),0)))))/1024</f>
        <v>13.427929687500001</v>
      </c>
      <c r="Q80" s="709"/>
      <c r="R80" s="709"/>
      <c r="S80" s="709">
        <v>0</v>
      </c>
      <c r="T80" s="709">
        <f ca="1">IF(ISERROR(MATCH(T$1,INDIRECT("Table!A"&amp;$BV80):INDIRECT("Table!" &amp; $CH$65 &amp; $BV80),0)),"",INDIRECT(CONCATENATE("Table!",ADDRESS($BR80,MATCH(T$1,INDIRECT("Table!A" &amp; $BV80):INDIRECT("Table!" &amp; $CH$65 &amp; $BV80),0)))))/1024</f>
        <v>3.361328125</v>
      </c>
      <c r="U80" s="709"/>
      <c r="V80" s="905"/>
      <c r="W80" s="905"/>
      <c r="X80" s="905"/>
      <c r="Y80" s="905"/>
      <c r="Z80" s="905"/>
      <c r="AA80" s="905"/>
      <c r="AB80" s="905"/>
      <c r="AC80" s="905"/>
      <c r="AD80" s="905"/>
      <c r="AE80" s="905"/>
      <c r="AF80" s="905"/>
      <c r="AG80" s="905"/>
      <c r="AH80" s="905"/>
      <c r="AI80" s="709" t="str">
        <f ca="1">IF(ISERROR(MATCH(AI$1,INDIRECT("Table!A"&amp;$BV80):INDIRECT("Table!" &amp; $CH$110 &amp; $BV80),0)),"",INDIRECT(CONCATENATE("Table!",ADDRESS($BR80,MATCH(AI$1,INDIRECT("Table!A" &amp; $BV80):INDIRECT("Table!" &amp; $CH$110 &amp; $BV80),0)))))</f>
        <v/>
      </c>
      <c r="AJ80" s="709">
        <f ca="1">IF(ISERROR(MATCH(AJ$1,INDIRECT("Table!A"&amp;$BV80):INDIRECT("Table!" &amp; $CH$110 &amp; $BV80),0)),"",INDIRECT(CONCATENATE("Table!",ADDRESS($BZ80,MATCH(AJ$1,INDIRECT("Table!A" &amp; $BV80):INDIRECT("Table!" &amp; $CH$110 &amp; $BV80),0)))))/1024</f>
        <v>140.03144531250001</v>
      </c>
      <c r="AK80" s="709">
        <f ca="1">IF(ISERROR(MATCH(AK$1,INDIRECT("Table!A"&amp;$BV80):INDIRECT("Table!" &amp; $CH$110 &amp; $BV80),0)),"",INDIRECT(CONCATENATE("Table!",ADDRESS($BZ80,MATCH(AK$1,INDIRECT("Table!A" &amp; $BV80):INDIRECT("Table!" &amp; $CH$110 &amp; $BV80),0)))))/1024</f>
        <v>146.98808593749999</v>
      </c>
      <c r="AL80" s="709">
        <f ca="1">IF(ISERROR(MATCH(AL$1,INDIRECT("Table!A"&amp;$BV80):INDIRECT("Table!" &amp; $CH$110 &amp; $BV80),0)),"",INDIRECT(CONCATENATE("Table!",ADDRESS($BZ80,MATCH(AL$1,INDIRECT("Table!A" &amp; $BV80):INDIRECT("Table!" &amp; $CH$110 &amp; $BV80),0)))))/1024</f>
        <v>146.98808593749999</v>
      </c>
      <c r="AM80" s="709">
        <f ca="1">IF(ISERROR(MATCH(AM$1,INDIRECT("Table!A"&amp;$BV80):INDIRECT("Table!" &amp; $CH$110 &amp; $BV80),0)),"",INDIRECT(CONCATENATE("Table!",ADDRESS($BZ80,MATCH(AM$1,INDIRECT("Table!A" &amp; $BV80):INDIRECT("Table!" &amp; $CH$110 &amp; $BV80),0)))))/1024</f>
        <v>177.73222656249999</v>
      </c>
      <c r="AN80" s="709">
        <f ca="1">IF(ISERROR(MATCH(AN$1,INDIRECT("Table!A"&amp;$BV80):INDIRECT("Table!" &amp; $CH$110 &amp; $BV80),0)),"",INDIRECT(CONCATENATE("Table!",ADDRESS($BZ80,MATCH(AN$1,INDIRECT("Table!A" &amp; $BV80):INDIRECT("Table!" &amp; $CH$110 &amp; $BV80),0)))))/1024</f>
        <v>161.57470703125</v>
      </c>
      <c r="AO80" s="709">
        <f ca="1">IF(ISERROR(MATCH(AO$1,INDIRECT("Table!A"&amp;$BV80):INDIRECT("Table!" &amp; $CH$110 &amp; $BV80),0)),"",INDIRECT(CONCATENATE("Table!",ADDRESS($BZ80,MATCH(AO$1,INDIRECT("Table!A" &amp; $BV80):INDIRECT("Table!" &amp; $CH$110 &amp; $BV80),0)))))/1024</f>
        <v>129.03515625</v>
      </c>
      <c r="AP80" s="709">
        <f ca="1">IF(ISERROR(MATCH(AP$1,INDIRECT("Table!A"&amp;$BV80):INDIRECT("Table!" &amp; $CH$110 &amp; $BV80),0)),"",INDIRECT(CONCATENATE("Table!",ADDRESS($BZ80,MATCH(AP$1,INDIRECT("Table!A" &amp; $BV80):INDIRECT("Table!" &amp; $CH$110 &amp; $BV80),0)))))/1024</f>
        <v>118.4880859375</v>
      </c>
      <c r="AQ80" s="709">
        <f ca="1">IF(ISERROR(MATCH(AQ$1,INDIRECT("Table!A"&amp;$BV80):INDIRECT("Table!" &amp; $CH$110 &amp; $BV80),0)),"",INDIRECT(CONCATENATE("Table!",ADDRESS($BZ80,MATCH(AQ$1,INDIRECT("Table!A" &amp; $BV80):INDIRECT("Table!" &amp; $CH$110 &amp; $BV80),0)))))/1024</f>
        <v>162.18544921874999</v>
      </c>
      <c r="AR80" s="709"/>
      <c r="AS80" s="709"/>
      <c r="AT80" s="709">
        <f ca="1">IF(ISERROR(MATCH(AT$1,INDIRECT("Table!A"&amp;$BV80):INDIRECT("Table!" &amp; $CH$110 &amp; $BV80),0)),"",INDIRECT(CONCATENATE("Table!",ADDRESS($BZ80,MATCH(AT$1,INDIRECT("Table!A" &amp; $BV80):INDIRECT("Table!" &amp; $CH$110 &amp; $BV80),0)))))/1024</f>
        <v>188.5029296875</v>
      </c>
      <c r="AU80" s="709">
        <f ca="1">IF(ISERROR(MATCH(AU$1,INDIRECT("Table!A"&amp;$BV80):INDIRECT("Table!" &amp; $CH$110 &amp; $BV80),0)),"",INDIRECT(CONCATENATE("Table!",ADDRESS($BZ80,MATCH(AU$1,INDIRECT("Table!A" &amp; $BV80):INDIRECT("Table!" &amp; $CH$110 &amp; $BV80),0)))))/1024</f>
        <v>129.03535156250001</v>
      </c>
      <c r="AV80" s="709">
        <f ca="1">IF(ISERROR(MATCH(AV$1,INDIRECT("Table!A"&amp;$BV80):INDIRECT("Table!" &amp; $CH$110 &amp; $BV80),0)),"",INDIRECT(CONCATENATE("Table!",ADDRESS($BZ80,MATCH(AV$1,INDIRECT("Table!A" &amp; $BV80):INDIRECT("Table!" &amp; $CH$110 &amp; $BV80),0)))))/1024</f>
        <v>80.787402343750003</v>
      </c>
      <c r="AW80" s="709">
        <f ca="1">IF(ISERROR(MATCH(AW$1,INDIRECT("Table!A"&amp;$BV80):INDIRECT("Table!" &amp; $CH$110 &amp; $BV80),0)),"",INDIRECT(CONCATENATE("Table!",ADDRESS($BZ80,MATCH(AW$1,INDIRECT("Table!A" &amp; $BV80):INDIRECT("Table!" &amp; $CH$110 &amp; $BV80),0)))))/1024</f>
        <v>172.34638671875001</v>
      </c>
      <c r="AX80" s="709">
        <f ca="1">IF(ISERROR(MATCH(AX$1,INDIRECT("Table!A"&amp;$BV80):INDIRECT("Table!" &amp; $CH$110 &amp; $BV80),0)),"",INDIRECT(CONCATENATE("Table!",ADDRESS($BZ80,MATCH(AX$1,INDIRECT("Table!A" &amp; $BV80):INDIRECT("Table!" &amp; $CH$110 &amp; $BV80),0)))))/1024</f>
        <v>81.0927734375</v>
      </c>
      <c r="AY80" s="709"/>
      <c r="AZ80" s="709"/>
      <c r="BA80" s="709"/>
      <c r="BB80" s="709">
        <f ca="1">IF(ISERROR(MATCH(BB$1,INDIRECT("Table!A"&amp;$BV80):INDIRECT("Table!" &amp; $CH$110 &amp; $BV80),0)),"",INDIRECT(CONCATENATE("Table!",ADDRESS($BZ80,MATCH(BB$1,INDIRECT("Table!A" &amp; $BV80):INDIRECT("Table!" &amp; $CH$110 &amp; $BV80),0)))))/1024</f>
        <v>32.31494140625</v>
      </c>
      <c r="BC80" s="709"/>
      <c r="BD80" s="905"/>
      <c r="BE80" s="905"/>
      <c r="BF80" s="905"/>
      <c r="BG80" s="905"/>
      <c r="BH80" s="905"/>
      <c r="BI80" s="905"/>
      <c r="BJ80" s="905"/>
      <c r="BK80" s="905"/>
      <c r="BL80" s="905"/>
      <c r="BM80" s="905"/>
      <c r="BN80" s="905"/>
      <c r="BO80" s="905"/>
      <c r="BP80" s="905"/>
      <c r="BQ80" s="905"/>
      <c r="BR80" s="704">
        <f>MATCH($A80,Table!$A:$A,0)+$BT$2-1</f>
        <v>1049</v>
      </c>
      <c r="BS80" s="705"/>
      <c r="BT80" s="705"/>
      <c r="BU80" s="705"/>
      <c r="BV80" s="717">
        <f>MATCH($A80,Table!$A:$A,0)+$BX$2-1</f>
        <v>1047</v>
      </c>
      <c r="BW80" s="705"/>
      <c r="BX80" s="705"/>
      <c r="BY80" s="705"/>
      <c r="BZ80" s="704">
        <f>MATCH($A80,Table!$A:$A,0)+$CB$2-1</f>
        <v>1048</v>
      </c>
      <c r="CA80" s="705"/>
      <c r="CB80" s="705"/>
      <c r="CC80" s="705"/>
      <c r="CD80" s="717">
        <f>MATCH($A80,Table!$A:$A,0)+$BX$2-1</f>
        <v>1047</v>
      </c>
      <c r="CE80" s="705"/>
      <c r="CF80" s="705"/>
      <c r="CG80" s="705"/>
      <c r="CH80" s="711" t="s">
        <v>302</v>
      </c>
      <c r="CI80" s="712">
        <f t="shared" ca="1" si="139"/>
        <v>1867.10302734375</v>
      </c>
      <c r="CJ80" s="712">
        <f t="shared" ca="1" si="85"/>
        <v>1010.30927734375</v>
      </c>
      <c r="CK80" s="712">
        <f t="shared" ca="1" si="137"/>
        <v>856.79375000000005</v>
      </c>
      <c r="CL80" s="718">
        <f t="shared" ca="1" si="138"/>
        <v>0.5411106203287962</v>
      </c>
      <c r="CM80" s="712">
        <f ca="1">SUMIF('Alloc Feed'!A:I,A:A,'Alloc Feed'!I:I)</f>
        <v>0</v>
      </c>
      <c r="CN80" s="718">
        <f t="shared" ca="1" si="136"/>
        <v>0</v>
      </c>
    </row>
    <row r="81" spans="1:92" s="267" customFormat="1" x14ac:dyDescent="0.25">
      <c r="A81" s="703">
        <v>41387</v>
      </c>
      <c r="B81" s="709">
        <f ca="1">IF(ISERROR(MATCH(B$1,INDIRECT("Table!A"&amp;$BV81):INDIRECT("Table!" &amp; $CH$110 &amp; $BV81),0)),"",INDIRECT(CONCATENATE("Table!",ADDRESS($BR81,MATCH(B$1,INDIRECT("Table!A" &amp; $BV81):INDIRECT("Table!" &amp; $CH$110 &amp; $BV81),0)))))/1024</f>
        <v>38.004492187499999</v>
      </c>
      <c r="C81" s="709">
        <f ca="1">IF(ISERROR(MATCH(C$1,INDIRECT("Table!A"&amp;$BV81):INDIRECT("Table!" &amp; $CH$110 &amp; $BV81),0)),"",INDIRECT(CONCATENATE("Table!",ADDRESS($BR81,MATCH(C$1,INDIRECT("Table!A" &amp; $BV81):INDIRECT("Table!" &amp; $CH$110 &amp; $BV81),0)))))/1024</f>
        <v>75.900292968749994</v>
      </c>
      <c r="D81" s="709">
        <f ca="1">IF(ISERROR(MATCH(D$1,INDIRECT("Table!A"&amp;$BV81):INDIRECT("Table!" &amp; $CH$110 &amp; $BV81),0)),"",INDIRECT(CONCATENATE("Table!",ADDRESS($BR81,MATCH(D$1,INDIRECT("Table!A" &amp; $BV81):INDIRECT("Table!" &amp; $CH$110 &amp; $BV81),0)))))/1024</f>
        <v>77.43310546875</v>
      </c>
      <c r="E81" s="709">
        <f ca="1">IF(ISERROR(MATCH(E$1,INDIRECT("Table!A"&amp;$BV81):INDIRECT("Table!" &amp; $CH$110 &amp; $BV81),0)),"",INDIRECT(CONCATENATE("Table!",ADDRESS($BR81,MATCH(E$1,INDIRECT("Table!A" &amp; $BV81):INDIRECT("Table!" &amp; $CH$110 &amp; $BV81),0)))))/1024</f>
        <v>153.89560546875001</v>
      </c>
      <c r="F81" s="709">
        <f ca="1">IF(ISERROR(MATCH(F$1,INDIRECT("Table!A"&amp;$BV81):INDIRECT("Table!" &amp; $CH$110 &amp; $BV81),0)),"",INDIRECT(CONCATENATE("Table!",ADDRESS($BR81,MATCH(F$1,INDIRECT("Table!A" &amp; $BV81):INDIRECT("Table!" &amp; $CH$110 &amp; $BV81),0)))))/1024</f>
        <v>94.177929687499997</v>
      </c>
      <c r="G81" s="709">
        <f ca="1">IF(ISERROR(MATCH(G$1,INDIRECT("Table!A"&amp;$BV81):INDIRECT("Table!" &amp; $CH$110 &amp; $BV81),0)),"",INDIRECT(CONCATENATE("Table!",ADDRESS($BR81,MATCH(G$1,INDIRECT("Table!A" &amp; $BV81):INDIRECT("Table!" &amp; $CH$110 &amp; $BV81),0)))))/1024</f>
        <v>51.995800781249997</v>
      </c>
      <c r="H81" s="709">
        <f ca="1">IF(ISERROR(MATCH(H$1,INDIRECT("Table!A"&amp;$BV81):INDIRECT("Table!" &amp; $CH$110 &amp; $BV81),0)),"",INDIRECT(CONCATENATE("Table!",ADDRESS($BR81,MATCH(H$1,INDIRECT("Table!A" &amp; $BV81):INDIRECT("Table!" &amp; $CH$110 &amp; $BV81),0)))))/1024</f>
        <v>81.075488281250003</v>
      </c>
      <c r="I81" s="709">
        <f ca="1">IF(ISERROR(MATCH(I$1,INDIRECT("Table!A"&amp;$BV81):INDIRECT("Table!" &amp; $CH$110 &amp; $BV81),0)),"",INDIRECT(CONCATENATE("Table!",ADDRESS($BR81,MATCH(I$1,INDIRECT("Table!A" &amp; $BV81):INDIRECT("Table!" &amp; $CH$110 &amp; $BV81),0)))))/1024</f>
        <v>6.6650390625</v>
      </c>
      <c r="J81" s="709"/>
      <c r="K81" s="709"/>
      <c r="L81" s="709">
        <f ca="1">IF(ISERROR(MATCH(L$1,INDIRECT("Table!A"&amp;$BV81):INDIRECT("Table!" &amp; $CH$110 &amp; $BV81),0)),"",INDIRECT(CONCATENATE("Table!",ADDRESS($BR81,MATCH(L$1,INDIRECT("Table!A" &amp; $BV81):INDIRECT("Table!" &amp; $CH$110 &amp; $BV81),0)))))/1024</f>
        <v>154.54091796874999</v>
      </c>
      <c r="M81" s="709">
        <f ca="1">IF(ISERROR(MATCH(M$1,INDIRECT("Table!A"&amp;$BV81):INDIRECT("Table!" &amp; $CH$110 &amp; $BV81),0)),"",INDIRECT(CONCATENATE("Table!",ADDRESS($BR81,MATCH(M$1,INDIRECT("Table!A" &amp; $BV81):INDIRECT("Table!" &amp; $CH$110 &amp; $BV81),0)))))/1024</f>
        <v>62.934277343749997</v>
      </c>
      <c r="N81" s="709">
        <f ca="1">IF(ISERROR(MATCH(N$1,INDIRECT("Table!A"&amp;$BV81):INDIRECT("Table!" &amp; $CH$110 &amp; $BV81),0)),"",INDIRECT(CONCATENATE("Table!",ADDRESS($BR81,MATCH(N$1,INDIRECT("Table!A" &amp; $BV81):INDIRECT("Table!" &amp; $CH$110 &amp; $BV81),0)))))/1024</f>
        <v>48.512597656250001</v>
      </c>
      <c r="O81" s="709">
        <f ca="1">IF(ISERROR(MATCH(O$1,INDIRECT("Table!A"&amp;$BV81):INDIRECT("Table!" &amp; $CH$110 &amp; $BV81),0)),"",INDIRECT(CONCATENATE("Table!",ADDRESS($BR81,MATCH(O$1,INDIRECT("Table!A" &amp; $BV81):INDIRECT("Table!" &amp; $CH$110 &amp; $BV81),0)))))/1024</f>
        <v>147.64970703124999</v>
      </c>
      <c r="P81" s="709">
        <f ca="1">IF(ISERROR(MATCH(P$1,INDIRECT("Table!A"&amp;$BV81):INDIRECT("Table!" &amp; $CH$110 &amp; $BV81),0)),"",INDIRECT(CONCATENATE("Table!",ADDRESS($BR81,MATCH(P$1,INDIRECT("Table!A" &amp; $BV81):INDIRECT("Table!" &amp; $CH$110 &amp; $BV81),0)))))/1024</f>
        <v>13.13720703125</v>
      </c>
      <c r="Q81" s="709"/>
      <c r="R81" s="709"/>
      <c r="S81" s="709">
        <v>0</v>
      </c>
      <c r="T81" s="709">
        <f ca="1">IF(ISERROR(MATCH(T$1,INDIRECT("Table!A"&amp;$BV81):INDIRECT("Table!" &amp; $CH$65 &amp; $BV81),0)),"",INDIRECT(CONCATENATE("Table!",ADDRESS($BR81,MATCH(T$1,INDIRECT("Table!A" &amp; $BV81):INDIRECT("Table!" &amp; $CH$65 &amp; $BV81),0)))))/1024</f>
        <v>3.3580078124999999</v>
      </c>
      <c r="U81" s="709"/>
      <c r="V81" s="905"/>
      <c r="W81" s="905"/>
      <c r="X81" s="905"/>
      <c r="Y81" s="905"/>
      <c r="Z81" s="905"/>
      <c r="AA81" s="905"/>
      <c r="AB81" s="905"/>
      <c r="AC81" s="905"/>
      <c r="AD81" s="905"/>
      <c r="AE81" s="905"/>
      <c r="AF81" s="905"/>
      <c r="AG81" s="905"/>
      <c r="AH81" s="905"/>
      <c r="AI81" s="709" t="str">
        <f ca="1">IF(ISERROR(MATCH(AI$1,INDIRECT("Table!A"&amp;$BV81):INDIRECT("Table!" &amp; $CH$110 &amp; $BV81),0)),"",INDIRECT(CONCATENATE("Table!",ADDRESS($BR81,MATCH(AI$1,INDIRECT("Table!A" &amp; $BV81):INDIRECT("Table!" &amp; $CH$110 &amp; $BV81),0)))))</f>
        <v/>
      </c>
      <c r="AJ81" s="709">
        <f ca="1">IF(ISERROR(MATCH(AJ$1,INDIRECT("Table!A"&amp;$BV81):INDIRECT("Table!" &amp; $CH$110 &amp; $BV81),0)),"",INDIRECT(CONCATENATE("Table!",ADDRESS($BZ81,MATCH(AJ$1,INDIRECT("Table!A" &amp; $BV81):INDIRECT("Table!" &amp; $CH$110 &amp; $BV81),0)))))/1024</f>
        <v>140.03144531250001</v>
      </c>
      <c r="AK81" s="709">
        <f ca="1">IF(ISERROR(MATCH(AK$1,INDIRECT("Table!A"&amp;$BV81):INDIRECT("Table!" &amp; $CH$110 &amp; $BV81),0)),"",INDIRECT(CONCATENATE("Table!",ADDRESS($BZ81,MATCH(AK$1,INDIRECT("Table!A" &amp; $BV81):INDIRECT("Table!" &amp; $CH$110 &amp; $BV81),0)))))/1024</f>
        <v>146.98808593749999</v>
      </c>
      <c r="AL81" s="709">
        <f ca="1">IF(ISERROR(MATCH(AL$1,INDIRECT("Table!A"&amp;$BV81):INDIRECT("Table!" &amp; $CH$110 &amp; $BV81),0)),"",INDIRECT(CONCATENATE("Table!",ADDRESS($BZ81,MATCH(AL$1,INDIRECT("Table!A" &amp; $BV81):INDIRECT("Table!" &amp; $CH$110 &amp; $BV81),0)))))/1024</f>
        <v>146.98808593749999</v>
      </c>
      <c r="AM81" s="709">
        <f ca="1">IF(ISERROR(MATCH(AM$1,INDIRECT("Table!A"&amp;$BV81):INDIRECT("Table!" &amp; $CH$110 &amp; $BV81),0)),"",INDIRECT(CONCATENATE("Table!",ADDRESS($BZ81,MATCH(AM$1,INDIRECT("Table!A" &amp; $BV81):INDIRECT("Table!" &amp; $CH$110 &amp; $BV81),0)))))/1024</f>
        <v>177.73222656249999</v>
      </c>
      <c r="AN81" s="709">
        <f ca="1">IF(ISERROR(MATCH(AN$1,INDIRECT("Table!A"&amp;$BV81):INDIRECT("Table!" &amp; $CH$110 &amp; $BV81),0)),"",INDIRECT(CONCATENATE("Table!",ADDRESS($BZ81,MATCH(AN$1,INDIRECT("Table!A" &amp; $BV81):INDIRECT("Table!" &amp; $CH$110 &amp; $BV81),0)))))/1024</f>
        <v>161.57470703125</v>
      </c>
      <c r="AO81" s="709">
        <f ca="1">IF(ISERROR(MATCH(AO$1,INDIRECT("Table!A"&amp;$BV81):INDIRECT("Table!" &amp; $CH$110 &amp; $BV81),0)),"",INDIRECT(CONCATENATE("Table!",ADDRESS($BZ81,MATCH(AO$1,INDIRECT("Table!A" &amp; $BV81):INDIRECT("Table!" &amp; $CH$110 &amp; $BV81),0)))))/1024</f>
        <v>129.03515625</v>
      </c>
      <c r="AP81" s="709">
        <f ca="1">IF(ISERROR(MATCH(AP$1,INDIRECT("Table!A"&amp;$BV81):INDIRECT("Table!" &amp; $CH$110 &amp; $BV81),0)),"",INDIRECT(CONCATENATE("Table!",ADDRESS($BZ81,MATCH(AP$1,INDIRECT("Table!A" &amp; $BV81):INDIRECT("Table!" &amp; $CH$110 &amp; $BV81),0)))))/1024</f>
        <v>118.4880859375</v>
      </c>
      <c r="AQ81" s="709">
        <f ca="1">IF(ISERROR(MATCH(AQ$1,INDIRECT("Table!A"&amp;$BV81):INDIRECT("Table!" &amp; $CH$110 &amp; $BV81),0)),"",INDIRECT(CONCATENATE("Table!",ADDRESS($BZ81,MATCH(AQ$1,INDIRECT("Table!A" &amp; $BV81):INDIRECT("Table!" &amp; $CH$110 &amp; $BV81),0)))))/1024</f>
        <v>162.18544921874999</v>
      </c>
      <c r="AR81" s="709"/>
      <c r="AS81" s="709"/>
      <c r="AT81" s="709">
        <f ca="1">IF(ISERROR(MATCH(AT$1,INDIRECT("Table!A"&amp;$BV81):INDIRECT("Table!" &amp; $CH$110 &amp; $BV81),0)),"",INDIRECT(CONCATENATE("Table!",ADDRESS($BZ81,MATCH(AT$1,INDIRECT("Table!A" &amp; $BV81):INDIRECT("Table!" &amp; $CH$110 &amp; $BV81),0)))))/1024</f>
        <v>188.5029296875</v>
      </c>
      <c r="AU81" s="709">
        <f ca="1">IF(ISERROR(MATCH(AU$1,INDIRECT("Table!A"&amp;$BV81):INDIRECT("Table!" &amp; $CH$110 &amp; $BV81),0)),"",INDIRECT(CONCATENATE("Table!",ADDRESS($BZ81,MATCH(AU$1,INDIRECT("Table!A" &amp; $BV81):INDIRECT("Table!" &amp; $CH$110 &amp; $BV81),0)))))/1024</f>
        <v>129.03535156250001</v>
      </c>
      <c r="AV81" s="709">
        <f ca="1">IF(ISERROR(MATCH(AV$1,INDIRECT("Table!A"&amp;$BV81):INDIRECT("Table!" &amp; $CH$110 &amp; $BV81),0)),"",INDIRECT(CONCATENATE("Table!",ADDRESS($BZ81,MATCH(AV$1,INDIRECT("Table!A" &amp; $BV81):INDIRECT("Table!" &amp; $CH$110 &amp; $BV81),0)))))/1024</f>
        <v>80.787402343750003</v>
      </c>
      <c r="AW81" s="709">
        <f ca="1">IF(ISERROR(MATCH(AW$1,INDIRECT("Table!A"&amp;$BV81):INDIRECT("Table!" &amp; $CH$110 &amp; $BV81),0)),"",INDIRECT(CONCATENATE("Table!",ADDRESS($BZ81,MATCH(AW$1,INDIRECT("Table!A" &amp; $BV81):INDIRECT("Table!" &amp; $CH$110 &amp; $BV81),0)))))/1024</f>
        <v>172.34638671875001</v>
      </c>
      <c r="AX81" s="709">
        <f ca="1">IF(ISERROR(MATCH(AX$1,INDIRECT("Table!A"&amp;$BV81):INDIRECT("Table!" &amp; $CH$110 &amp; $BV81),0)),"",INDIRECT(CONCATENATE("Table!",ADDRESS($BZ81,MATCH(AX$1,INDIRECT("Table!A" &amp; $BV81):INDIRECT("Table!" &amp; $CH$110 &amp; $BV81),0)))))/1024</f>
        <v>81.0927734375</v>
      </c>
      <c r="AY81" s="709"/>
      <c r="AZ81" s="709"/>
      <c r="BA81" s="709"/>
      <c r="BB81" s="709">
        <f ca="1">IF(ISERROR(MATCH(BB$1,INDIRECT("Table!A"&amp;$BV81):INDIRECT("Table!" &amp; $CH$110 &amp; $BV81),0)),"",INDIRECT(CONCATENATE("Table!",ADDRESS($BZ81,MATCH(BB$1,INDIRECT("Table!A" &amp; $BV81):INDIRECT("Table!" &amp; $CH$110 &amp; $BV81),0)))))/1024</f>
        <v>32.31494140625</v>
      </c>
      <c r="BC81" s="709"/>
      <c r="BD81" s="905"/>
      <c r="BE81" s="905"/>
      <c r="BF81" s="905"/>
      <c r="BG81" s="905"/>
      <c r="BH81" s="905"/>
      <c r="BI81" s="905"/>
      <c r="BJ81" s="905"/>
      <c r="BK81" s="905"/>
      <c r="BL81" s="905"/>
      <c r="BM81" s="905"/>
      <c r="BN81" s="905"/>
      <c r="BO81" s="905"/>
      <c r="BP81" s="905"/>
      <c r="BQ81" s="905"/>
      <c r="BR81" s="704">
        <f>MATCH($A81,Table!$A:$A,0)+$BT$2-1</f>
        <v>1061</v>
      </c>
      <c r="BS81" s="705"/>
      <c r="BT81" s="705"/>
      <c r="BU81" s="705"/>
      <c r="BV81" s="717">
        <f>MATCH($A81,Table!$A:$A,0)+$BX$2-1</f>
        <v>1059</v>
      </c>
      <c r="BW81" s="705"/>
      <c r="BX81" s="705"/>
      <c r="BY81" s="705"/>
      <c r="BZ81" s="704">
        <f>MATCH($A81,Table!$A:$A,0)+$CB$2-1</f>
        <v>1060</v>
      </c>
      <c r="CA81" s="705"/>
      <c r="CB81" s="705"/>
      <c r="CC81" s="705"/>
      <c r="CD81" s="717">
        <f>MATCH($A81,Table!$A:$A,0)+$BX$2-1</f>
        <v>1059</v>
      </c>
      <c r="CE81" s="705"/>
      <c r="CF81" s="705"/>
      <c r="CG81" s="705"/>
      <c r="CH81" s="711" t="s">
        <v>302</v>
      </c>
      <c r="CI81" s="712">
        <f t="shared" ca="1" si="139"/>
        <v>1867.10302734375</v>
      </c>
      <c r="CJ81" s="712">
        <f t="shared" ca="1" si="85"/>
        <v>1009.2804687500001</v>
      </c>
      <c r="CK81" s="712">
        <f t="shared" ca="1" si="137"/>
        <v>857.82255859374993</v>
      </c>
      <c r="CL81" s="718">
        <f t="shared" ca="1" si="138"/>
        <v>0.54055960167654027</v>
      </c>
      <c r="CM81" s="712">
        <f ca="1">SUMIF('Alloc Feed'!A:I,A:A,'Alloc Feed'!I:I)</f>
        <v>0</v>
      </c>
      <c r="CN81" s="718">
        <f t="shared" ca="1" si="136"/>
        <v>0</v>
      </c>
    </row>
    <row r="82" spans="1:92" s="267" customFormat="1" x14ac:dyDescent="0.25">
      <c r="A82" s="703">
        <v>41383</v>
      </c>
      <c r="B82" s="709">
        <f ca="1">IF(ISERROR(MATCH(B$1,INDIRECT("Table!A"&amp;$BV82):INDIRECT("Table!" &amp; $CH$110 &amp; $BV82),0)),"",INDIRECT(CONCATENATE("Table!",ADDRESS($BR82,MATCH(B$1,INDIRECT("Table!A" &amp; $BV82):INDIRECT("Table!" &amp; $CH$110 &amp; $BV82),0)))))/1024</f>
        <v>36.761035156250003</v>
      </c>
      <c r="C82" s="709">
        <f ca="1">IF(ISERROR(MATCH(C$1,INDIRECT("Table!A"&amp;$BV82):INDIRECT("Table!" &amp; $CH$110 &amp; $BV82),0)),"",INDIRECT(CONCATENATE("Table!",ADDRESS($BR82,MATCH(C$1,INDIRECT("Table!A" &amp; $BV82):INDIRECT("Table!" &amp; $CH$110 &amp; $BV82),0)))))/1024</f>
        <v>75.864355468750006</v>
      </c>
      <c r="D82" s="709">
        <f ca="1">IF(ISERROR(MATCH(D$1,INDIRECT("Table!A"&amp;$BV82):INDIRECT("Table!" &amp; $CH$110 &amp; $BV82),0)),"",INDIRECT(CONCATENATE("Table!",ADDRESS($BR82,MATCH(D$1,INDIRECT("Table!A" &amp; $BV82):INDIRECT("Table!" &amp; $CH$110 &amp; $BV82),0)))))/1024</f>
        <v>77.241796875000006</v>
      </c>
      <c r="E82" s="709">
        <f ca="1">IF(ISERROR(MATCH(E$1,INDIRECT("Table!A"&amp;$BV82):INDIRECT("Table!" &amp; $CH$110 &amp; $BV82),0)),"",INDIRECT(CONCATENATE("Table!",ADDRESS($BR82,MATCH(E$1,INDIRECT("Table!A" &amp; $BV82):INDIRECT("Table!" &amp; $CH$110 &amp; $BV82),0)))))/1024</f>
        <v>153.79658203125001</v>
      </c>
      <c r="F82" s="709">
        <f ca="1">IF(ISERROR(MATCH(F$1,INDIRECT("Table!A"&amp;$BV82):INDIRECT("Table!" &amp; $CH$110 &amp; $BV82),0)),"",INDIRECT(CONCATENATE("Table!",ADDRESS($BR82,MATCH(F$1,INDIRECT("Table!A" &amp; $BV82):INDIRECT("Table!" &amp; $CH$110 &amp; $BV82),0)))))/1024</f>
        <v>93.66943359375</v>
      </c>
      <c r="G82" s="709">
        <f ca="1">IF(ISERROR(MATCH(G$1,INDIRECT("Table!A"&amp;$BV82):INDIRECT("Table!" &amp; $CH$110 &amp; $BV82),0)),"",INDIRECT(CONCATENATE("Table!",ADDRESS($BR82,MATCH(G$1,INDIRECT("Table!A" &amp; $BV82):INDIRECT("Table!" &amp; $CH$110 &amp; $BV82),0)))))/1024</f>
        <v>49.321582031250003</v>
      </c>
      <c r="H82" s="709">
        <f ca="1">IF(ISERROR(MATCH(H$1,INDIRECT("Table!A"&amp;$BV82):INDIRECT("Table!" &amp; $CH$110 &amp; $BV82),0)),"",INDIRECT(CONCATENATE("Table!",ADDRESS($BR82,MATCH(H$1,INDIRECT("Table!A" &amp; $BV82):INDIRECT("Table!" &amp; $CH$110 &amp; $BV82),0)))))/1024</f>
        <v>76.269335937500003</v>
      </c>
      <c r="I82" s="709">
        <f ca="1">IF(ISERROR(MATCH(I$1,INDIRECT("Table!A"&amp;$BV82):INDIRECT("Table!" &amp; $CH$110 &amp; $BV82),0)),"",INDIRECT(CONCATENATE("Table!",ADDRESS($BR82,MATCH(I$1,INDIRECT("Table!A" &amp; $BV82):INDIRECT("Table!" &amp; $CH$110 &amp; $BV82),0)))))/1024</f>
        <v>6.6550781250000002</v>
      </c>
      <c r="J82" s="709"/>
      <c r="K82" s="709"/>
      <c r="L82" s="709">
        <f ca="1">IF(ISERROR(MATCH(L$1,INDIRECT("Table!A"&amp;$BV82):INDIRECT("Table!" &amp; $CH$110 &amp; $BV82),0)),"",INDIRECT(CONCATENATE("Table!",ADDRESS($BR82,MATCH(L$1,INDIRECT("Table!A" &amp; $BV82):INDIRECT("Table!" &amp; $CH$110 &amp; $BV82),0)))))/1024</f>
        <v>153.09843749999999</v>
      </c>
      <c r="M82" s="709">
        <f ca="1">IF(ISERROR(MATCH(M$1,INDIRECT("Table!A"&amp;$BV82):INDIRECT("Table!" &amp; $CH$110 &amp; $BV82),0)),"",INDIRECT(CONCATENATE("Table!",ADDRESS($BR82,MATCH(M$1,INDIRECT("Table!A" &amp; $BV82):INDIRECT("Table!" &amp; $CH$110 &amp; $BV82),0)))))/1024</f>
        <v>53.958789062500003</v>
      </c>
      <c r="N82" s="709">
        <f ca="1">IF(ISERROR(MATCH(N$1,INDIRECT("Table!A"&amp;$BV82):INDIRECT("Table!" &amp; $CH$110 &amp; $BV82),0)),"",INDIRECT(CONCATENATE("Table!",ADDRESS($BR82,MATCH(N$1,INDIRECT("Table!A" &amp; $BV82):INDIRECT("Table!" &amp; $CH$110 &amp; $BV82),0)))))/1024</f>
        <v>48.050683593750001</v>
      </c>
      <c r="O82" s="709">
        <f ca="1">IF(ISERROR(MATCH(O$1,INDIRECT("Table!A"&amp;$BV82):INDIRECT("Table!" &amp; $CH$110 &amp; $BV82),0)),"",INDIRECT(CONCATENATE("Table!",ADDRESS($BR82,MATCH(O$1,INDIRECT("Table!A" &amp; $BV82):INDIRECT("Table!" &amp; $CH$110 &amp; $BV82),0)))))/1024</f>
        <v>139.94492187500001</v>
      </c>
      <c r="P82" s="709">
        <f ca="1">IF(ISERROR(MATCH(P$1,INDIRECT("Table!A"&amp;$BV82):INDIRECT("Table!" &amp; $CH$110 &amp; $BV82),0)),"",INDIRECT(CONCATENATE("Table!",ADDRESS($BR82,MATCH(P$1,INDIRECT("Table!A" &amp; $BV82):INDIRECT("Table!" &amp; $CH$110 &amp; $BV82),0)))))/1024</f>
        <v>13.11728515625</v>
      </c>
      <c r="Q82" s="709"/>
      <c r="R82" s="709"/>
      <c r="S82" s="709">
        <v>0</v>
      </c>
      <c r="T82" s="709">
        <f ca="1">IF(ISERROR(MATCH(T$1,INDIRECT("Table!A"&amp;$BV82):INDIRECT("Table!" &amp; $CH$65 &amp; $BV82),0)),"",INDIRECT(CONCATENATE("Table!",ADDRESS($BR82,MATCH(T$1,INDIRECT("Table!A" &amp; $BV82):INDIRECT("Table!" &amp; $CH$65 &amp; $BV82),0)))))/1024</f>
        <v>3.3580078124999999</v>
      </c>
      <c r="U82" s="709"/>
      <c r="V82" s="905"/>
      <c r="W82" s="905"/>
      <c r="X82" s="905"/>
      <c r="Y82" s="905"/>
      <c r="Z82" s="905"/>
      <c r="AA82" s="905"/>
      <c r="AB82" s="905"/>
      <c r="AC82" s="905"/>
      <c r="AD82" s="905"/>
      <c r="AE82" s="905"/>
      <c r="AF82" s="905"/>
      <c r="AG82" s="905"/>
      <c r="AH82" s="905"/>
      <c r="AI82" s="709" t="str">
        <f ca="1">IF(ISERROR(MATCH(AI$1,INDIRECT("Table!A"&amp;$BV82):INDIRECT("Table!" &amp; $CH$110 &amp; $BV82),0)),"",INDIRECT(CONCATENATE("Table!",ADDRESS($BR82,MATCH(AI$1,INDIRECT("Table!A" &amp; $BV82):INDIRECT("Table!" &amp; $CH$110 &amp; $BV82),0)))))</f>
        <v/>
      </c>
      <c r="AJ82" s="709">
        <f ca="1">IF(ISERROR(MATCH(AJ$1,INDIRECT("Table!A"&amp;$BV82):INDIRECT("Table!" &amp; $CH$110 &amp; $BV82),0)),"",INDIRECT(CONCATENATE("Table!",ADDRESS($BZ82,MATCH(AJ$1,INDIRECT("Table!A" &amp; $BV82):INDIRECT("Table!" &amp; $CH$110 &amp; $BV82),0)))))/1024</f>
        <v>140.03144531250001</v>
      </c>
      <c r="AK82" s="709">
        <f ca="1">IF(ISERROR(MATCH(AK$1,INDIRECT("Table!A"&amp;$BV82):INDIRECT("Table!" &amp; $CH$110 &amp; $BV82),0)),"",INDIRECT(CONCATENATE("Table!",ADDRESS($BZ82,MATCH(AK$1,INDIRECT("Table!A" &amp; $BV82):INDIRECT("Table!" &amp; $CH$110 &amp; $BV82),0)))))/1024</f>
        <v>146.98808593749999</v>
      </c>
      <c r="AL82" s="709">
        <f ca="1">IF(ISERROR(MATCH(AL$1,INDIRECT("Table!A"&amp;$BV82):INDIRECT("Table!" &amp; $CH$110 &amp; $BV82),0)),"",INDIRECT(CONCATENATE("Table!",ADDRESS($BZ82,MATCH(AL$1,INDIRECT("Table!A" &amp; $BV82):INDIRECT("Table!" &amp; $CH$110 &amp; $BV82),0)))))/1024</f>
        <v>146.98808593749999</v>
      </c>
      <c r="AM82" s="709">
        <f ca="1">IF(ISERROR(MATCH(AM$1,INDIRECT("Table!A"&amp;$BV82):INDIRECT("Table!" &amp; $CH$110 &amp; $BV82),0)),"",INDIRECT(CONCATENATE("Table!",ADDRESS($BZ82,MATCH(AM$1,INDIRECT("Table!A" &amp; $BV82):INDIRECT("Table!" &amp; $CH$110 &amp; $BV82),0)))))/1024</f>
        <v>177.73222656249999</v>
      </c>
      <c r="AN82" s="709">
        <f ca="1">IF(ISERROR(MATCH(AN$1,INDIRECT("Table!A"&amp;$BV82):INDIRECT("Table!" &amp; $CH$110 &amp; $BV82),0)),"",INDIRECT(CONCATENATE("Table!",ADDRESS($BZ82,MATCH(AN$1,INDIRECT("Table!A" &amp; $BV82):INDIRECT("Table!" &amp; $CH$110 &amp; $BV82),0)))))/1024</f>
        <v>161.57470703125</v>
      </c>
      <c r="AO82" s="709">
        <f ca="1">IF(ISERROR(MATCH(AO$1,INDIRECT("Table!A"&amp;$BV82):INDIRECT("Table!" &amp; $CH$110 &amp; $BV82),0)),"",INDIRECT(CONCATENATE("Table!",ADDRESS($BZ82,MATCH(AO$1,INDIRECT("Table!A" &amp; $BV82):INDIRECT("Table!" &amp; $CH$110 &amp; $BV82),0)))))/1024</f>
        <v>129.03515625</v>
      </c>
      <c r="AP82" s="709">
        <f ca="1">IF(ISERROR(MATCH(AP$1,INDIRECT("Table!A"&amp;$BV82):INDIRECT("Table!" &amp; $CH$110 &amp; $BV82),0)),"",INDIRECT(CONCATENATE("Table!",ADDRESS($BZ82,MATCH(AP$1,INDIRECT("Table!A" &amp; $BV82):INDIRECT("Table!" &amp; $CH$110 &amp; $BV82),0)))))/1024</f>
        <v>118.4880859375</v>
      </c>
      <c r="AQ82" s="709">
        <f ca="1">IF(ISERROR(MATCH(AQ$1,INDIRECT("Table!A"&amp;$BV82):INDIRECT("Table!" &amp; $CH$110 &amp; $BV82),0)),"",INDIRECT(CONCATENATE("Table!",ADDRESS($BZ82,MATCH(AQ$1,INDIRECT("Table!A" &amp; $BV82):INDIRECT("Table!" &amp; $CH$110 &amp; $BV82),0)))))/1024</f>
        <v>162.18544921874999</v>
      </c>
      <c r="AR82" s="709"/>
      <c r="AS82" s="709"/>
      <c r="AT82" s="709">
        <f ca="1">IF(ISERROR(MATCH(AT$1,INDIRECT("Table!A"&amp;$BV82):INDIRECT("Table!" &amp; $CH$110 &amp; $BV82),0)),"",INDIRECT(CONCATENATE("Table!",ADDRESS($BZ82,MATCH(AT$1,INDIRECT("Table!A" &amp; $BV82):INDIRECT("Table!" &amp; $CH$110 &amp; $BV82),0)))))/1024</f>
        <v>188.5029296875</v>
      </c>
      <c r="AU82" s="709">
        <f ca="1">IF(ISERROR(MATCH(AU$1,INDIRECT("Table!A"&amp;$BV82):INDIRECT("Table!" &amp; $CH$110 &amp; $BV82),0)),"",INDIRECT(CONCATENATE("Table!",ADDRESS($BZ82,MATCH(AU$1,INDIRECT("Table!A" &amp; $BV82):INDIRECT("Table!" &amp; $CH$110 &amp; $BV82),0)))))/1024</f>
        <v>129.03535156250001</v>
      </c>
      <c r="AV82" s="709">
        <f ca="1">IF(ISERROR(MATCH(AV$1,INDIRECT("Table!A"&amp;$BV82):INDIRECT("Table!" &amp; $CH$110 &amp; $BV82),0)),"",INDIRECT(CONCATENATE("Table!",ADDRESS($BZ82,MATCH(AV$1,INDIRECT("Table!A" &amp; $BV82):INDIRECT("Table!" &amp; $CH$110 &amp; $BV82),0)))))/1024</f>
        <v>80.787402343750003</v>
      </c>
      <c r="AW82" s="709">
        <f ca="1">IF(ISERROR(MATCH(AW$1,INDIRECT("Table!A"&amp;$BV82):INDIRECT("Table!" &amp; $CH$110 &amp; $BV82),0)),"",INDIRECT(CONCATENATE("Table!",ADDRESS($BZ82,MATCH(AW$1,INDIRECT("Table!A" &amp; $BV82):INDIRECT("Table!" &amp; $CH$110 &amp; $BV82),0)))))/1024</f>
        <v>172.34638671875001</v>
      </c>
      <c r="AX82" s="709">
        <f ca="1">IF(ISERROR(MATCH(AX$1,INDIRECT("Table!A"&amp;$BV82):INDIRECT("Table!" &amp; $CH$110 &amp; $BV82),0)),"",INDIRECT(CONCATENATE("Table!",ADDRESS($BZ82,MATCH(AX$1,INDIRECT("Table!A" &amp; $BV82):INDIRECT("Table!" &amp; $CH$110 &amp; $BV82),0)))))/1024</f>
        <v>81.0927734375</v>
      </c>
      <c r="AY82" s="709"/>
      <c r="AZ82" s="709"/>
      <c r="BA82" s="709"/>
      <c r="BB82" s="709">
        <f ca="1">IF(ISERROR(MATCH(BB$1,INDIRECT("Table!A"&amp;$BV82):INDIRECT("Table!" &amp; $CH$110 &amp; $BV82),0)),"",INDIRECT(CONCATENATE("Table!",ADDRESS($BZ82,MATCH(BB$1,INDIRECT("Table!A" &amp; $BV82):INDIRECT("Table!" &amp; $CH$110 &amp; $BV82),0)))))/1024</f>
        <v>32.31494140625</v>
      </c>
      <c r="BC82" s="709"/>
      <c r="BD82" s="905"/>
      <c r="BE82" s="905"/>
      <c r="BF82" s="905"/>
      <c r="BG82" s="905"/>
      <c r="BH82" s="905"/>
      <c r="BI82" s="905"/>
      <c r="BJ82" s="905"/>
      <c r="BK82" s="905"/>
      <c r="BL82" s="905"/>
      <c r="BM82" s="905"/>
      <c r="BN82" s="905"/>
      <c r="BO82" s="905"/>
      <c r="BP82" s="905"/>
      <c r="BQ82" s="905"/>
      <c r="BR82" s="704">
        <f>MATCH($A82,Table!$A:$A,0)+$BT$2-1</f>
        <v>1073</v>
      </c>
      <c r="BS82" s="705"/>
      <c r="BT82" s="705"/>
      <c r="BU82" s="705"/>
      <c r="BV82" s="717">
        <f>MATCH($A82,Table!$A:$A,0)+$BX$2-1</f>
        <v>1071</v>
      </c>
      <c r="BW82" s="705"/>
      <c r="BX82" s="705"/>
      <c r="BY82" s="705"/>
      <c r="BZ82" s="704">
        <f>MATCH($A82,Table!$A:$A,0)+$CB$2-1</f>
        <v>1072</v>
      </c>
      <c r="CA82" s="705"/>
      <c r="CB82" s="705"/>
      <c r="CC82" s="705"/>
      <c r="CD82" s="717">
        <f>MATCH($A82,Table!$A:$A,0)+$BX$2-1</f>
        <v>1071</v>
      </c>
      <c r="CE82" s="705"/>
      <c r="CF82" s="705"/>
      <c r="CG82" s="705"/>
      <c r="CH82" s="711" t="s">
        <v>302</v>
      </c>
      <c r="CI82" s="712">
        <f t="shared" ca="1" si="139"/>
        <v>1867.10302734375</v>
      </c>
      <c r="CJ82" s="712">
        <f t="shared" ca="1" si="85"/>
        <v>981.10732421875014</v>
      </c>
      <c r="CK82" s="712">
        <f t="shared" ca="1" si="137"/>
        <v>885.99570312499986</v>
      </c>
      <c r="CL82" s="718">
        <f t="shared" ca="1" si="138"/>
        <v>0.52547037300589183</v>
      </c>
      <c r="CM82" s="712">
        <f ca="1">SUMIF('Alloc Feed'!A:I,A:A,'Alloc Feed'!I:I)</f>
        <v>0</v>
      </c>
      <c r="CN82" s="718">
        <f t="shared" ca="1" si="136"/>
        <v>0</v>
      </c>
    </row>
    <row r="83" spans="1:92" s="267" customFormat="1" x14ac:dyDescent="0.25">
      <c r="A83" s="703">
        <v>41379</v>
      </c>
      <c r="B83" s="709">
        <f ca="1">IF(ISERROR(MATCH(B$1,INDIRECT("Table!A"&amp;$BV83):INDIRECT("Table!" &amp; $CH$110 &amp; $BV83),0)),"",INDIRECT(CONCATENATE("Table!",ADDRESS($BR83,MATCH(B$1,INDIRECT("Table!A" &amp; $BV83):INDIRECT("Table!" &amp; $CH$110 &amp; $BV83),0)))))/1024</f>
        <v>36.913378906250003</v>
      </c>
      <c r="C83" s="709">
        <f ca="1">IF(ISERROR(MATCH(C$1,INDIRECT("Table!A"&amp;$BV83):INDIRECT("Table!" &amp; $CH$110 &amp; $BV83),0)),"",INDIRECT(CONCATENATE("Table!",ADDRESS($BR83,MATCH(C$1,INDIRECT("Table!A" &amp; $BV83):INDIRECT("Table!" &amp; $CH$110 &amp; $BV83),0)))))/1024</f>
        <v>75.795703125000003</v>
      </c>
      <c r="D83" s="709">
        <f ca="1">IF(ISERROR(MATCH(D$1,INDIRECT("Table!A"&amp;$BV83):INDIRECT("Table!" &amp; $CH$110 &amp; $BV83),0)),"",INDIRECT(CONCATENATE("Table!",ADDRESS($BR83,MATCH(D$1,INDIRECT("Table!A" &amp; $BV83):INDIRECT("Table!" &amp; $CH$110 &amp; $BV83),0)))))/1024</f>
        <v>77.173242187499994</v>
      </c>
      <c r="E83" s="709">
        <f ca="1">IF(ISERROR(MATCH(E$1,INDIRECT("Table!A"&amp;$BV83):INDIRECT("Table!" &amp; $CH$110 &amp; $BV83),0)),"",INDIRECT(CONCATENATE("Table!",ADDRESS($BR83,MATCH(E$1,INDIRECT("Table!A" &amp; $BV83):INDIRECT("Table!" &amp; $CH$110 &amp; $BV83),0)))))/1024</f>
        <v>153.662109375</v>
      </c>
      <c r="F83" s="709">
        <f ca="1">IF(ISERROR(MATCH(F$1,INDIRECT("Table!A"&amp;$BV83):INDIRECT("Table!" &amp; $CH$110 &amp; $BV83),0)),"",INDIRECT(CONCATENATE("Table!",ADDRESS($BR83,MATCH(F$1,INDIRECT("Table!A" &amp; $BV83):INDIRECT("Table!" &amp; $CH$110 &amp; $BV83),0)))))/1024</f>
        <v>91.659863281249997</v>
      </c>
      <c r="G83" s="709">
        <f ca="1">IF(ISERROR(MATCH(G$1,INDIRECT("Table!A"&amp;$BV83):INDIRECT("Table!" &amp; $CH$110 &amp; $BV83),0)),"",INDIRECT(CONCATENATE("Table!",ADDRESS($BR83,MATCH(G$1,INDIRECT("Table!A" &amp; $BV83):INDIRECT("Table!" &amp; $CH$110 &amp; $BV83),0)))))/1024</f>
        <v>50.501757812500003</v>
      </c>
      <c r="H83" s="709">
        <f ca="1">IF(ISERROR(MATCH(H$1,INDIRECT("Table!A"&amp;$BV83):INDIRECT("Table!" &amp; $CH$110 &amp; $BV83),0)),"",INDIRECT(CONCATENATE("Table!",ADDRESS($BR83,MATCH(H$1,INDIRECT("Table!A" &amp; $BV83):INDIRECT("Table!" &amp; $CH$110 &amp; $BV83),0)))))/1024</f>
        <v>76.172070312499997</v>
      </c>
      <c r="I83" s="709">
        <f ca="1">IF(ISERROR(MATCH(I$1,INDIRECT("Table!A"&amp;$BV83):INDIRECT("Table!" &amp; $CH$110 &amp; $BV83),0)),"",INDIRECT(CONCATENATE("Table!",ADDRESS($BR83,MATCH(I$1,INDIRECT("Table!A" &amp; $BV83):INDIRECT("Table!" &amp; $CH$110 &amp; $BV83),0)))))/1024</f>
        <v>6.5491210937500002</v>
      </c>
      <c r="J83" s="709"/>
      <c r="K83" s="709"/>
      <c r="L83" s="709">
        <f ca="1">IF(ISERROR(MATCH(L$1,INDIRECT("Table!A"&amp;$BV83):INDIRECT("Table!" &amp; $CH$110 &amp; $BV83),0)),"",INDIRECT(CONCATENATE("Table!",ADDRESS($BR83,MATCH(L$1,INDIRECT("Table!A" &amp; $BV83):INDIRECT("Table!" &amp; $CH$110 &amp; $BV83),0)))))/1024</f>
        <v>153.09843749999999</v>
      </c>
      <c r="M83" s="709">
        <f ca="1">IF(ISERROR(MATCH(M$1,INDIRECT("Table!A"&amp;$BV83):INDIRECT("Table!" &amp; $CH$110 &amp; $BV83),0)),"",INDIRECT(CONCATENATE("Table!",ADDRESS($BR83,MATCH(M$1,INDIRECT("Table!A" &amp; $BV83):INDIRECT("Table!" &amp; $CH$110 &amp; $BV83),0)))))/1024</f>
        <v>53.958789062500003</v>
      </c>
      <c r="N83" s="709">
        <f ca="1">IF(ISERROR(MATCH(N$1,INDIRECT("Table!A"&amp;$BV83):INDIRECT("Table!" &amp; $CH$110 &amp; $BV83),0)),"",INDIRECT(CONCATENATE("Table!",ADDRESS($BR83,MATCH(N$1,INDIRECT("Table!A" &amp; $BV83):INDIRECT("Table!" &amp; $CH$110 &amp; $BV83),0)))))/1024</f>
        <v>48.050683593750001</v>
      </c>
      <c r="O83" s="709">
        <f ca="1">IF(ISERROR(MATCH(O$1,INDIRECT("Table!A"&amp;$BV83):INDIRECT("Table!" &amp; $CH$110 &amp; $BV83),0)),"",INDIRECT(CONCATENATE("Table!",ADDRESS($BR83,MATCH(O$1,INDIRECT("Table!A" &amp; $BV83):INDIRECT("Table!" &amp; $CH$110 &amp; $BV83),0)))))/1024</f>
        <v>139.94492187500001</v>
      </c>
      <c r="P83" s="709">
        <f ca="1">IF(ISERROR(MATCH(P$1,INDIRECT("Table!A"&amp;$BV83):INDIRECT("Table!" &amp; $CH$110 &amp; $BV83),0)),"",INDIRECT(CONCATENATE("Table!",ADDRESS($BR83,MATCH(P$1,INDIRECT("Table!A" &amp; $BV83):INDIRECT("Table!" &amp; $CH$110 &amp; $BV83),0)))))/1024</f>
        <v>12.91650390625</v>
      </c>
      <c r="Q83" s="709"/>
      <c r="R83" s="709"/>
      <c r="S83" s="709">
        <v>0</v>
      </c>
      <c r="T83" s="709">
        <f ca="1">IF(ISERROR(MATCH(T$1,INDIRECT("Table!A"&amp;$BV83):INDIRECT("Table!" &amp; $CH$65 &amp; $BV83),0)),"",INDIRECT(CONCATENATE("Table!",ADDRESS($BR83,MATCH(T$1,INDIRECT("Table!A" &amp; $BV83):INDIRECT("Table!" &amp; $CH$65 &amp; $BV83),0)))))/1024</f>
        <v>3.3546874999999998</v>
      </c>
      <c r="U83" s="709"/>
      <c r="V83" s="905"/>
      <c r="W83" s="905"/>
      <c r="X83" s="905"/>
      <c r="Y83" s="905"/>
      <c r="Z83" s="905"/>
      <c r="AA83" s="905"/>
      <c r="AB83" s="905"/>
      <c r="AC83" s="905"/>
      <c r="AD83" s="905"/>
      <c r="AE83" s="905"/>
      <c r="AF83" s="905"/>
      <c r="AG83" s="905"/>
      <c r="AH83" s="905"/>
      <c r="AI83" s="709" t="str">
        <f ca="1">IF(ISERROR(MATCH(AI$1,INDIRECT("Table!A"&amp;$BV83):INDIRECT("Table!" &amp; $CH$110 &amp; $BV83),0)),"",INDIRECT(CONCATENATE("Table!",ADDRESS($BR83,MATCH(AI$1,INDIRECT("Table!A" &amp; $BV83):INDIRECT("Table!" &amp; $CH$110 &amp; $BV83),0)))))</f>
        <v/>
      </c>
      <c r="AJ83" s="709">
        <f ca="1">IF(ISERROR(MATCH(AJ$1,INDIRECT("Table!A"&amp;$BV83):INDIRECT("Table!" &amp; $CH$110 &amp; $BV83),0)),"",INDIRECT(CONCATENATE("Table!",ADDRESS($BZ83,MATCH(AJ$1,INDIRECT("Table!A" &amp; $BV83):INDIRECT("Table!" &amp; $CH$110 &amp; $BV83),0)))))/1024</f>
        <v>140.03144531250001</v>
      </c>
      <c r="AK83" s="709">
        <f ca="1">IF(ISERROR(MATCH(AK$1,INDIRECT("Table!A"&amp;$BV83):INDIRECT("Table!" &amp; $CH$110 &amp; $BV83),0)),"",INDIRECT(CONCATENATE("Table!",ADDRESS($BZ83,MATCH(AK$1,INDIRECT("Table!A" &amp; $BV83):INDIRECT("Table!" &amp; $CH$110 &amp; $BV83),0)))))/1024</f>
        <v>146.98808593749999</v>
      </c>
      <c r="AL83" s="709">
        <f ca="1">IF(ISERROR(MATCH(AL$1,INDIRECT("Table!A"&amp;$BV83):INDIRECT("Table!" &amp; $CH$110 &amp; $BV83),0)),"",INDIRECT(CONCATENATE("Table!",ADDRESS($BZ83,MATCH(AL$1,INDIRECT("Table!A" &amp; $BV83):INDIRECT("Table!" &amp; $CH$110 &amp; $BV83),0)))))/1024</f>
        <v>146.98808593749999</v>
      </c>
      <c r="AM83" s="709">
        <f ca="1">IF(ISERROR(MATCH(AM$1,INDIRECT("Table!A"&amp;$BV83):INDIRECT("Table!" &amp; $CH$110 &amp; $BV83),0)),"",INDIRECT(CONCATENATE("Table!",ADDRESS($BZ83,MATCH(AM$1,INDIRECT("Table!A" &amp; $BV83):INDIRECT("Table!" &amp; $CH$110 &amp; $BV83),0)))))/1024</f>
        <v>177.73222656249999</v>
      </c>
      <c r="AN83" s="709">
        <f ca="1">IF(ISERROR(MATCH(AN$1,INDIRECT("Table!A"&amp;$BV83):INDIRECT("Table!" &amp; $CH$110 &amp; $BV83),0)),"",INDIRECT(CONCATENATE("Table!",ADDRESS($BZ83,MATCH(AN$1,INDIRECT("Table!A" &amp; $BV83):INDIRECT("Table!" &amp; $CH$110 &amp; $BV83),0)))))/1024</f>
        <v>161.57470703125</v>
      </c>
      <c r="AO83" s="709">
        <f ca="1">IF(ISERROR(MATCH(AO$1,INDIRECT("Table!A"&amp;$BV83):INDIRECT("Table!" &amp; $CH$110 &amp; $BV83),0)),"",INDIRECT(CONCATENATE("Table!",ADDRESS($BZ83,MATCH(AO$1,INDIRECT("Table!A" &amp; $BV83):INDIRECT("Table!" &amp; $CH$110 &amp; $BV83),0)))))/1024</f>
        <v>129.03515625</v>
      </c>
      <c r="AP83" s="709">
        <f ca="1">IF(ISERROR(MATCH(AP$1,INDIRECT("Table!A"&amp;$BV83):INDIRECT("Table!" &amp; $CH$110 &amp; $BV83),0)),"",INDIRECT(CONCATENATE("Table!",ADDRESS($BZ83,MATCH(AP$1,INDIRECT("Table!A" &amp; $BV83):INDIRECT("Table!" &amp; $CH$110 &amp; $BV83),0)))))/1024</f>
        <v>118.4880859375</v>
      </c>
      <c r="AQ83" s="709">
        <f ca="1">IF(ISERROR(MATCH(AQ$1,INDIRECT("Table!A"&amp;$BV83):INDIRECT("Table!" &amp; $CH$110 &amp; $BV83),0)),"",INDIRECT(CONCATENATE("Table!",ADDRESS($BZ83,MATCH(AQ$1,INDIRECT("Table!A" &amp; $BV83):INDIRECT("Table!" &amp; $CH$110 &amp; $BV83),0)))))/1024</f>
        <v>162.18544921874999</v>
      </c>
      <c r="AR83" s="709"/>
      <c r="AS83" s="709"/>
      <c r="AT83" s="709">
        <f ca="1">IF(ISERROR(MATCH(AT$1,INDIRECT("Table!A"&amp;$BV83):INDIRECT("Table!" &amp; $CH$110 &amp; $BV83),0)),"",INDIRECT(CONCATENATE("Table!",ADDRESS($BZ83,MATCH(AT$1,INDIRECT("Table!A" &amp; $BV83):INDIRECT("Table!" &amp; $CH$110 &amp; $BV83),0)))))/1024</f>
        <v>188.5029296875</v>
      </c>
      <c r="AU83" s="709">
        <f ca="1">IF(ISERROR(MATCH(AU$1,INDIRECT("Table!A"&amp;$BV83):INDIRECT("Table!" &amp; $CH$110 &amp; $BV83),0)),"",INDIRECT(CONCATENATE("Table!",ADDRESS($BZ83,MATCH(AU$1,INDIRECT("Table!A" &amp; $BV83):INDIRECT("Table!" &amp; $CH$110 &amp; $BV83),0)))))/1024</f>
        <v>129.03535156250001</v>
      </c>
      <c r="AV83" s="709">
        <f ca="1">IF(ISERROR(MATCH(AV$1,INDIRECT("Table!A"&amp;$BV83):INDIRECT("Table!" &amp; $CH$110 &amp; $BV83),0)),"",INDIRECT(CONCATENATE("Table!",ADDRESS($BZ83,MATCH(AV$1,INDIRECT("Table!A" &amp; $BV83):INDIRECT("Table!" &amp; $CH$110 &amp; $BV83),0)))))/1024</f>
        <v>80.787402343750003</v>
      </c>
      <c r="AW83" s="709">
        <f ca="1">IF(ISERROR(MATCH(AW$1,INDIRECT("Table!A"&amp;$BV83):INDIRECT("Table!" &amp; $CH$110 &amp; $BV83),0)),"",INDIRECT(CONCATENATE("Table!",ADDRESS($BZ83,MATCH(AW$1,INDIRECT("Table!A" &amp; $BV83):INDIRECT("Table!" &amp; $CH$110 &amp; $BV83),0)))))/1024</f>
        <v>172.34638671875001</v>
      </c>
      <c r="AX83" s="709">
        <f ca="1">IF(ISERROR(MATCH(AX$1,INDIRECT("Table!A"&amp;$BV83):INDIRECT("Table!" &amp; $CH$110 &amp; $BV83),0)),"",INDIRECT(CONCATENATE("Table!",ADDRESS($BZ83,MATCH(AX$1,INDIRECT("Table!A" &amp; $BV83):INDIRECT("Table!" &amp; $CH$110 &amp; $BV83),0)))))/1024</f>
        <v>81.0927734375</v>
      </c>
      <c r="AY83" s="709"/>
      <c r="AZ83" s="709"/>
      <c r="BA83" s="709"/>
      <c r="BB83" s="709">
        <f ca="1">IF(ISERROR(MATCH(BB$1,INDIRECT("Table!A"&amp;$BV83):INDIRECT("Table!" &amp; $CH$110 &amp; $BV83),0)),"",INDIRECT(CONCATENATE("Table!",ADDRESS($BZ83,MATCH(BB$1,INDIRECT("Table!A" &amp; $BV83):INDIRECT("Table!" &amp; $CH$110 &amp; $BV83),0)))))/1024</f>
        <v>32.31494140625</v>
      </c>
      <c r="BC83" s="709"/>
      <c r="BD83" s="905"/>
      <c r="BE83" s="905"/>
      <c r="BF83" s="905"/>
      <c r="BG83" s="905"/>
      <c r="BH83" s="905"/>
      <c r="BI83" s="905"/>
      <c r="BJ83" s="905"/>
      <c r="BK83" s="905"/>
      <c r="BL83" s="905"/>
      <c r="BM83" s="905"/>
      <c r="BN83" s="905"/>
      <c r="BO83" s="905"/>
      <c r="BP83" s="905"/>
      <c r="BQ83" s="905"/>
      <c r="BR83" s="704">
        <f>MATCH($A83,Table!$A:$A,0)+$BT$2-1</f>
        <v>1085</v>
      </c>
      <c r="BS83" s="705"/>
      <c r="BT83" s="705"/>
      <c r="BU83" s="705"/>
      <c r="BV83" s="717">
        <f>MATCH($A83,Table!$A:$A,0)+$BX$2-1</f>
        <v>1083</v>
      </c>
      <c r="BW83" s="705"/>
      <c r="BX83" s="705"/>
      <c r="BY83" s="705"/>
      <c r="BZ83" s="704">
        <f>MATCH($A83,Table!$A:$A,0)+$CB$2-1</f>
        <v>1084</v>
      </c>
      <c r="CA83" s="705"/>
      <c r="CB83" s="705"/>
      <c r="CC83" s="705"/>
      <c r="CD83" s="717">
        <f>MATCH($A83,Table!$A:$A,0)+$BX$2-1</f>
        <v>1083</v>
      </c>
      <c r="CE83" s="705"/>
      <c r="CF83" s="705"/>
      <c r="CG83" s="705"/>
      <c r="CH83" s="711" t="s">
        <v>302</v>
      </c>
      <c r="CI83" s="712">
        <f t="shared" ca="1" si="139"/>
        <v>1867.10302734375</v>
      </c>
      <c r="CJ83" s="712">
        <f t="shared" ca="1" si="85"/>
        <v>979.75126953125005</v>
      </c>
      <c r="CK83" s="712">
        <f t="shared" ca="1" si="137"/>
        <v>887.35175781249995</v>
      </c>
      <c r="CL83" s="718">
        <f t="shared" ca="1" si="138"/>
        <v>0.52474408491806768</v>
      </c>
      <c r="CM83" s="712">
        <f ca="1">SUMIF('Alloc Feed'!A:I,A:A,'Alloc Feed'!I:I)</f>
        <v>0</v>
      </c>
      <c r="CN83" s="718">
        <f t="shared" ca="1" si="136"/>
        <v>0</v>
      </c>
    </row>
    <row r="84" spans="1:92" s="267" customFormat="1" x14ac:dyDescent="0.25">
      <c r="A84" s="703">
        <v>41374</v>
      </c>
      <c r="B84" s="709">
        <f ca="1">IF(ISERROR(MATCH(B$1,INDIRECT("Table!A"&amp;$BV84):INDIRECT("Table!" &amp; $CH$110 &amp; $BV84),0)),"",INDIRECT(CONCATENATE("Table!",ADDRESS($BR84,MATCH(B$1,INDIRECT("Table!A" &amp; $BV84):INDIRECT("Table!" &amp; $CH$110 &amp; $BV84),0)))))/1024</f>
        <v>38.164843750000003</v>
      </c>
      <c r="C84" s="709">
        <f ca="1">IF(ISERROR(MATCH(C$1,INDIRECT("Table!A"&amp;$BV84):INDIRECT("Table!" &amp; $CH$110 &amp; $BV84),0)),"",INDIRECT(CONCATENATE("Table!",ADDRESS($BR84,MATCH(C$1,INDIRECT("Table!A" &amp; $BV84):INDIRECT("Table!" &amp; $CH$110 &amp; $BV84),0)))))/1024</f>
        <v>75.769140625000006</v>
      </c>
      <c r="D84" s="709">
        <f ca="1">IF(ISERROR(MATCH(D$1,INDIRECT("Table!A"&amp;$BV84):INDIRECT("Table!" &amp; $CH$110 &amp; $BV84),0)),"",INDIRECT(CONCATENATE("Table!",ADDRESS($BR84,MATCH(D$1,INDIRECT("Table!A" &amp; $BV84):INDIRECT("Table!" &amp; $CH$110 &amp; $BV84),0)))))/1024</f>
        <v>77.147070312500006</v>
      </c>
      <c r="E84" s="709">
        <f ca="1">IF(ISERROR(MATCH(E$1,INDIRECT("Table!A"&amp;$BV84):INDIRECT("Table!" &amp; $CH$110 &amp; $BV84),0)),"",INDIRECT(CONCATENATE("Table!",ADDRESS($BR84,MATCH(E$1,INDIRECT("Table!A" &amp; $BV84):INDIRECT("Table!" &amp; $CH$110 &amp; $BV84),0)))))/1024</f>
        <v>154.58457031250001</v>
      </c>
      <c r="F84" s="709">
        <f ca="1">IF(ISERROR(MATCH(F$1,INDIRECT("Table!A"&amp;$BV84):INDIRECT("Table!" &amp; $CH$110 &amp; $BV84),0)),"",INDIRECT(CONCATENATE("Table!",ADDRESS($BR84,MATCH(F$1,INDIRECT("Table!A" &amp; $BV84):INDIRECT("Table!" &amp; $CH$110 &amp; $BV84),0)))))/1024</f>
        <v>91.659863281249997</v>
      </c>
      <c r="G84" s="709">
        <f ca="1">IF(ISERROR(MATCH(G$1,INDIRECT("Table!A"&amp;$BV84):INDIRECT("Table!" &amp; $CH$110 &amp; $BV84),0)),"",INDIRECT(CONCATENATE("Table!",ADDRESS($BR84,MATCH(G$1,INDIRECT("Table!A" &amp; $BV84):INDIRECT("Table!" &amp; $CH$110 &amp; $BV84),0)))))/1024</f>
        <v>49.083984375</v>
      </c>
      <c r="H84" s="709">
        <f ca="1">IF(ISERROR(MATCH(H$1,INDIRECT("Table!A"&amp;$BV84):INDIRECT("Table!" &amp; $CH$110 &amp; $BV84),0)),"",INDIRECT(CONCATENATE("Table!",ADDRESS($BR84,MATCH(H$1,INDIRECT("Table!A" &amp; $BV84):INDIRECT("Table!" &amp; $CH$110 &amp; $BV84),0)))))/1024</f>
        <v>74.6220703125</v>
      </c>
      <c r="I84" s="709">
        <f ca="1">IF(ISERROR(MATCH(I$1,INDIRECT("Table!A"&amp;$BV84):INDIRECT("Table!" &amp; $CH$110 &amp; $BV84),0)),"",INDIRECT(CONCATENATE("Table!",ADDRESS($BR84,MATCH(I$1,INDIRECT("Table!A" &amp; $BV84):INDIRECT("Table!" &amp; $CH$110 &amp; $BV84),0)))))/1024</f>
        <v>6.5939453124999998</v>
      </c>
      <c r="J84" s="709"/>
      <c r="K84" s="709"/>
      <c r="L84" s="709">
        <f ca="1">IF(ISERROR(MATCH(L$1,INDIRECT("Table!A"&amp;$BV84):INDIRECT("Table!" &amp; $CH$110 &amp; $BV84),0)),"",INDIRECT(CONCATENATE("Table!",ADDRESS($BR84,MATCH(L$1,INDIRECT("Table!A" &amp; $BV84):INDIRECT("Table!" &amp; $CH$110 &amp; $BV84),0)))))/1024</f>
        <v>153.17500000000001</v>
      </c>
      <c r="M84" s="709">
        <f ca="1">IF(ISERROR(MATCH(M$1,INDIRECT("Table!A"&amp;$BV84):INDIRECT("Table!" &amp; $CH$110 &amp; $BV84),0)),"",INDIRECT(CONCATENATE("Table!",ADDRESS($BR84,MATCH(M$1,INDIRECT("Table!A" &amp; $BV84):INDIRECT("Table!" &amp; $CH$110 &amp; $BV84),0)))))/1024</f>
        <v>54.5908203125</v>
      </c>
      <c r="N84" s="709">
        <f ca="1">IF(ISERROR(MATCH(N$1,INDIRECT("Table!A"&amp;$BV84):INDIRECT("Table!" &amp; $CH$110 &amp; $BV84),0)),"",INDIRECT(CONCATENATE("Table!",ADDRESS($BR84,MATCH(N$1,INDIRECT("Table!A" &amp; $BV84):INDIRECT("Table!" &amp; $CH$110 &amp; $BV84),0)))))/1024</f>
        <v>47.493066406250001</v>
      </c>
      <c r="O84" s="709">
        <f ca="1">IF(ISERROR(MATCH(O$1,INDIRECT("Table!A"&amp;$BV84):INDIRECT("Table!" &amp; $CH$110 &amp; $BV84),0)),"",INDIRECT(CONCATENATE("Table!",ADDRESS($BR84,MATCH(O$1,INDIRECT("Table!A" &amp; $BV84):INDIRECT("Table!" &amp; $CH$110 &amp; $BV84),0)))))/1024</f>
        <v>135.02275390624999</v>
      </c>
      <c r="P84" s="709">
        <f ca="1">IF(ISERROR(MATCH(P$1,INDIRECT("Table!A"&amp;$BV84):INDIRECT("Table!" &amp; $CH$110 &amp; $BV84),0)),"",INDIRECT(CONCATENATE("Table!",ADDRESS($BR84,MATCH(P$1,INDIRECT("Table!A" &amp; $BV84):INDIRECT("Table!" &amp; $CH$110 &amp; $BV84),0)))))/1024</f>
        <v>12.65478515625</v>
      </c>
      <c r="Q84" s="709"/>
      <c r="R84" s="709"/>
      <c r="S84" s="709">
        <v>0</v>
      </c>
      <c r="T84" s="709">
        <f ca="1">IF(ISERROR(MATCH(T$1,INDIRECT("Table!A"&amp;$BV84):INDIRECT("Table!" &amp; $CH$65 &amp; $BV84),0)),"",INDIRECT(CONCATENATE("Table!",ADDRESS($BR84,MATCH(T$1,INDIRECT("Table!A" &amp; $BV84):INDIRECT("Table!" &amp; $CH$65 &amp; $BV84),0)))))/1024</f>
        <v>3.2506835937499998</v>
      </c>
      <c r="U84" s="709"/>
      <c r="V84" s="905"/>
      <c r="W84" s="905"/>
      <c r="X84" s="905"/>
      <c r="Y84" s="905"/>
      <c r="Z84" s="905"/>
      <c r="AA84" s="905"/>
      <c r="AB84" s="905"/>
      <c r="AC84" s="905"/>
      <c r="AD84" s="905"/>
      <c r="AE84" s="905"/>
      <c r="AF84" s="905"/>
      <c r="AG84" s="905"/>
      <c r="AH84" s="905"/>
      <c r="AI84" s="709" t="str">
        <f ca="1">IF(ISERROR(MATCH(AI$1,INDIRECT("Table!A"&amp;$BV84):INDIRECT("Table!" &amp; $CH$110 &amp; $BV84),0)),"",INDIRECT(CONCATENATE("Table!",ADDRESS($BR84,MATCH(AI$1,INDIRECT("Table!A" &amp; $BV84):INDIRECT("Table!" &amp; $CH$110 &amp; $BV84),0)))))</f>
        <v/>
      </c>
      <c r="AJ84" s="709">
        <f ca="1">IF(ISERROR(MATCH(AJ$1,INDIRECT("Table!A"&amp;$BV84):INDIRECT("Table!" &amp; $CH$110 &amp; $BV84),0)),"",INDIRECT(CONCATENATE("Table!",ADDRESS($BZ84,MATCH(AJ$1,INDIRECT("Table!A" &amp; $BV84):INDIRECT("Table!" &amp; $CH$110 &amp; $BV84),0)))))/1024</f>
        <v>140.03144531250001</v>
      </c>
      <c r="AK84" s="709">
        <f ca="1">IF(ISERROR(MATCH(AK$1,INDIRECT("Table!A"&amp;$BV84):INDIRECT("Table!" &amp; $CH$110 &amp; $BV84),0)),"",INDIRECT(CONCATENATE("Table!",ADDRESS($BZ84,MATCH(AK$1,INDIRECT("Table!A" &amp; $BV84):INDIRECT("Table!" &amp; $CH$110 &amp; $BV84),0)))))/1024</f>
        <v>146.98808593749999</v>
      </c>
      <c r="AL84" s="709">
        <f ca="1">IF(ISERROR(MATCH(AL$1,INDIRECT("Table!A"&amp;$BV84):INDIRECT("Table!" &amp; $CH$110 &amp; $BV84),0)),"",INDIRECT(CONCATENATE("Table!",ADDRESS($BZ84,MATCH(AL$1,INDIRECT("Table!A" &amp; $BV84):INDIRECT("Table!" &amp; $CH$110 &amp; $BV84),0)))))/1024</f>
        <v>146.98808593749999</v>
      </c>
      <c r="AM84" s="709">
        <f ca="1">IF(ISERROR(MATCH(AM$1,INDIRECT("Table!A"&amp;$BV84):INDIRECT("Table!" &amp; $CH$110 &amp; $BV84),0)),"",INDIRECT(CONCATENATE("Table!",ADDRESS($BZ84,MATCH(AM$1,INDIRECT("Table!A" &amp; $BV84):INDIRECT("Table!" &amp; $CH$110 &amp; $BV84),0)))))/1024</f>
        <v>177.73222656249999</v>
      </c>
      <c r="AN84" s="709">
        <f ca="1">IF(ISERROR(MATCH(AN$1,INDIRECT("Table!A"&amp;$BV84):INDIRECT("Table!" &amp; $CH$110 &amp; $BV84),0)),"",INDIRECT(CONCATENATE("Table!",ADDRESS($BZ84,MATCH(AN$1,INDIRECT("Table!A" &amp; $BV84):INDIRECT("Table!" &amp; $CH$110 &amp; $BV84),0)))))/1024</f>
        <v>161.57470703125</v>
      </c>
      <c r="AO84" s="709">
        <f ca="1">IF(ISERROR(MATCH(AO$1,INDIRECT("Table!A"&amp;$BV84):INDIRECT("Table!" &amp; $CH$110 &amp; $BV84),0)),"",INDIRECT(CONCATENATE("Table!",ADDRESS($BZ84,MATCH(AO$1,INDIRECT("Table!A" &amp; $BV84):INDIRECT("Table!" &amp; $CH$110 &amp; $BV84),0)))))/1024</f>
        <v>129.03515625</v>
      </c>
      <c r="AP84" s="709">
        <f ca="1">IF(ISERROR(MATCH(AP$1,INDIRECT("Table!A"&amp;$BV84):INDIRECT("Table!" &amp; $CH$110 &amp; $BV84),0)),"",INDIRECT(CONCATENATE("Table!",ADDRESS($BZ84,MATCH(AP$1,INDIRECT("Table!A" &amp; $BV84):INDIRECT("Table!" &amp; $CH$110 &amp; $BV84),0)))))/1024</f>
        <v>118.4880859375</v>
      </c>
      <c r="AQ84" s="709">
        <f ca="1">IF(ISERROR(MATCH(AQ$1,INDIRECT("Table!A"&amp;$BV84):INDIRECT("Table!" &amp; $CH$110 &amp; $BV84),0)),"",INDIRECT(CONCATENATE("Table!",ADDRESS($BZ84,MATCH(AQ$1,INDIRECT("Table!A" &amp; $BV84):INDIRECT("Table!" &amp; $CH$110 &amp; $BV84),0)))))/1024</f>
        <v>162.18544921874999</v>
      </c>
      <c r="AR84" s="709"/>
      <c r="AS84" s="709"/>
      <c r="AT84" s="709">
        <f ca="1">IF(ISERROR(MATCH(AT$1,INDIRECT("Table!A"&amp;$BV84):INDIRECT("Table!" &amp; $CH$110 &amp; $BV84),0)),"",INDIRECT(CONCATENATE("Table!",ADDRESS($BZ84,MATCH(AT$1,INDIRECT("Table!A" &amp; $BV84):INDIRECT("Table!" &amp; $CH$110 &amp; $BV84),0)))))/1024</f>
        <v>188.5029296875</v>
      </c>
      <c r="AU84" s="709">
        <f ca="1">IF(ISERROR(MATCH(AU$1,INDIRECT("Table!A"&amp;$BV84):INDIRECT("Table!" &amp; $CH$110 &amp; $BV84),0)),"",INDIRECT(CONCATENATE("Table!",ADDRESS($BZ84,MATCH(AU$1,INDIRECT("Table!A" &amp; $BV84):INDIRECT("Table!" &amp; $CH$110 &amp; $BV84),0)))))/1024</f>
        <v>129.03535156250001</v>
      </c>
      <c r="AV84" s="709">
        <f ca="1">IF(ISERROR(MATCH(AV$1,INDIRECT("Table!A"&amp;$BV84):INDIRECT("Table!" &amp; $CH$110 &amp; $BV84),0)),"",INDIRECT(CONCATENATE("Table!",ADDRESS($BZ84,MATCH(AV$1,INDIRECT("Table!A" &amp; $BV84):INDIRECT("Table!" &amp; $CH$110 &amp; $BV84),0)))))/1024</f>
        <v>80.787402343750003</v>
      </c>
      <c r="AW84" s="709">
        <f ca="1">IF(ISERROR(MATCH(AW$1,INDIRECT("Table!A"&amp;$BV84):INDIRECT("Table!" &amp; $CH$110 &amp; $BV84),0)),"",INDIRECT(CONCATENATE("Table!",ADDRESS($BZ84,MATCH(AW$1,INDIRECT("Table!A" &amp; $BV84):INDIRECT("Table!" &amp; $CH$110 &amp; $BV84),0)))))/1024</f>
        <v>172.34638671875001</v>
      </c>
      <c r="AX84" s="709">
        <f ca="1">IF(ISERROR(MATCH(AX$1,INDIRECT("Table!A"&amp;$BV84):INDIRECT("Table!" &amp; $CH$110 &amp; $BV84),0)),"",INDIRECT(CONCATENATE("Table!",ADDRESS($BZ84,MATCH(AX$1,INDIRECT("Table!A" &amp; $BV84):INDIRECT("Table!" &amp; $CH$110 &amp; $BV84),0)))))/1024</f>
        <v>81.0927734375</v>
      </c>
      <c r="AY84" s="709"/>
      <c r="AZ84" s="709"/>
      <c r="BA84" s="709"/>
      <c r="BB84" s="709">
        <f ca="1">IF(ISERROR(MATCH(BB$1,INDIRECT("Table!A"&amp;$BV84):INDIRECT("Table!" &amp; $CH$110 &amp; $BV84),0)),"",INDIRECT(CONCATENATE("Table!",ADDRESS($BZ84,MATCH(BB$1,INDIRECT("Table!A" &amp; $BV84):INDIRECT("Table!" &amp; $CH$110 &amp; $BV84),0)))))/1024</f>
        <v>32.31494140625</v>
      </c>
      <c r="BC84" s="709"/>
      <c r="BD84" s="905"/>
      <c r="BE84" s="905"/>
      <c r="BF84" s="905"/>
      <c r="BG84" s="905"/>
      <c r="BH84" s="905"/>
      <c r="BI84" s="905"/>
      <c r="BJ84" s="905"/>
      <c r="BK84" s="905"/>
      <c r="BL84" s="905"/>
      <c r="BM84" s="905"/>
      <c r="BN84" s="905"/>
      <c r="BO84" s="905"/>
      <c r="BP84" s="905"/>
      <c r="BQ84" s="905"/>
      <c r="BR84" s="704">
        <f>MATCH($A84,Table!$A:$A,0)+$BT$2-1</f>
        <v>1097</v>
      </c>
      <c r="BS84" s="705"/>
      <c r="BT84" s="705"/>
      <c r="BU84" s="705"/>
      <c r="BV84" s="717">
        <f>MATCH($A84,Table!$A:$A,0)+$BX$2-1</f>
        <v>1095</v>
      </c>
      <c r="BW84" s="705"/>
      <c r="BX84" s="705"/>
      <c r="BY84" s="705"/>
      <c r="BZ84" s="704">
        <f>MATCH($A84,Table!$A:$A,0)+$CB$2-1</f>
        <v>1096</v>
      </c>
      <c r="CA84" s="705"/>
      <c r="CB84" s="705"/>
      <c r="CC84" s="705"/>
      <c r="CD84" s="717">
        <f>MATCH($A84,Table!$A:$A,0)+$BX$2-1</f>
        <v>1095</v>
      </c>
      <c r="CE84" s="705"/>
      <c r="CF84" s="705"/>
      <c r="CG84" s="705"/>
      <c r="CH84" s="711" t="s">
        <v>302</v>
      </c>
      <c r="CI84" s="712">
        <f t="shared" ref="CI84:CI110" ca="1" si="140">SUM(AJ84:BP84)</f>
        <v>1867.10302734375</v>
      </c>
      <c r="CJ84" s="712">
        <f t="shared" ca="1" si="85"/>
        <v>973.81259765624986</v>
      </c>
      <c r="CK84" s="712">
        <f t="shared" ca="1" si="137"/>
        <v>893.29042968750014</v>
      </c>
      <c r="CL84" s="718">
        <f t="shared" ca="1" si="138"/>
        <v>0.5215633970888327</v>
      </c>
      <c r="CM84" s="712">
        <f ca="1">SUMIF('Alloc Feed'!A:I,A:A,'Alloc Feed'!I:I)</f>
        <v>0</v>
      </c>
      <c r="CN84" s="718">
        <f t="shared" ca="1" si="136"/>
        <v>0</v>
      </c>
    </row>
    <row r="85" spans="1:92" s="267" customFormat="1" x14ac:dyDescent="0.25">
      <c r="A85" s="703">
        <v>41373</v>
      </c>
      <c r="B85" s="709">
        <f ca="1">IF(ISERROR(MATCH(B$1,INDIRECT("Table!A"&amp;$BV85):INDIRECT("Table!" &amp; $CH$110 &amp; $BV85),0)),"",INDIRECT(CONCATENATE("Table!",ADDRESS($BR85,MATCH(B$1,INDIRECT("Table!A" &amp; $BV85):INDIRECT("Table!" &amp; $CH$110 &amp; $BV85),0)))))/1024</f>
        <v>39.106152343749997</v>
      </c>
      <c r="C85" s="709">
        <f ca="1">IF(ISERROR(MATCH(C$1,INDIRECT("Table!A"&amp;$BV85):INDIRECT("Table!" &amp; $CH$110 &amp; $BV85),0)),"",INDIRECT(CONCATENATE("Table!",ADDRESS($BR85,MATCH(C$1,INDIRECT("Table!A" &amp; $BV85):INDIRECT("Table!" &amp; $CH$110 &amp; $BV85),0)))))/1024</f>
        <v>75.759375000000006</v>
      </c>
      <c r="D85" s="709">
        <f ca="1">IF(ISERROR(MATCH(D$1,INDIRECT("Table!A"&amp;$BV85):INDIRECT("Table!" &amp; $CH$110 &amp; $BV85),0)),"",INDIRECT(CONCATENATE("Table!",ADDRESS($BR85,MATCH(D$1,INDIRECT("Table!A" &amp; $BV85):INDIRECT("Table!" &amp; $CH$110 &amp; $BV85),0)))))/1024</f>
        <v>77.137402343749997</v>
      </c>
      <c r="E85" s="709">
        <f ca="1">IF(ISERROR(MATCH(E$1,INDIRECT("Table!A"&amp;$BV85):INDIRECT("Table!" &amp; $CH$110 &amp; $BV85),0)),"",INDIRECT(CONCATENATE("Table!",ADDRESS($BR85,MATCH(E$1,INDIRECT("Table!A" &amp; $BV85):INDIRECT("Table!" &amp; $CH$110 &amp; $BV85),0)))))/1024</f>
        <v>154.51601562499999</v>
      </c>
      <c r="F85" s="709">
        <f ca="1">IF(ISERROR(MATCH(F$1,INDIRECT("Table!A"&amp;$BV85):INDIRECT("Table!" &amp; $CH$110 &amp; $BV85),0)),"",INDIRECT(CONCATENATE("Table!",ADDRESS($BR85,MATCH(F$1,INDIRECT("Table!A" &amp; $BV85):INDIRECT("Table!" &amp; $CH$110 &amp; $BV85),0)))))/1024</f>
        <v>91.514941406250003</v>
      </c>
      <c r="G85" s="709">
        <f ca="1">IF(ISERROR(MATCH(G$1,INDIRECT("Table!A"&amp;$BV85):INDIRECT("Table!" &amp; $CH$110 &amp; $BV85),0)),"",INDIRECT(CONCATENATE("Table!",ADDRESS($BR85,MATCH(G$1,INDIRECT("Table!A" &amp; $BV85):INDIRECT("Table!" &amp; $CH$110 &amp; $BV85),0)))))/1024</f>
        <v>49.552929687499997</v>
      </c>
      <c r="H85" s="709">
        <f ca="1">IF(ISERROR(MATCH(H$1,INDIRECT("Table!A"&amp;$BV85):INDIRECT("Table!" &amp; $CH$110 &amp; $BV85),0)),"",INDIRECT(CONCATENATE("Table!",ADDRESS($BR85,MATCH(H$1,INDIRECT("Table!A" &amp; $BV85):INDIRECT("Table!" &amp; $CH$110 &amp; $BV85),0)))))/1024</f>
        <v>74.125781250000003</v>
      </c>
      <c r="I85" s="709">
        <f ca="1">IF(ISERROR(MATCH(I$1,INDIRECT("Table!A"&amp;$BV85):INDIRECT("Table!" &amp; $CH$110 &amp; $BV85),0)),"",INDIRECT(CONCATENATE("Table!",ADDRESS($BR85,MATCH(I$1,INDIRECT("Table!A" &amp; $BV85):INDIRECT("Table!" &amp; $CH$110 &amp; $BV85),0)))))/1024</f>
        <v>6.3664062499999998</v>
      </c>
      <c r="J85" s="709"/>
      <c r="K85" s="709"/>
      <c r="L85" s="709">
        <f ca="1">IF(ISERROR(MATCH(L$1,INDIRECT("Table!A"&amp;$BV85):INDIRECT("Table!" &amp; $CH$110 &amp; $BV85),0)),"",INDIRECT(CONCATENATE("Table!",ADDRESS($BR85,MATCH(L$1,INDIRECT("Table!A" &amp; $BV85):INDIRECT("Table!" &amp; $CH$110 &amp; $BV85),0)))))/1024</f>
        <v>153.11464843749999</v>
      </c>
      <c r="M85" s="709">
        <f ca="1">IF(ISERROR(MATCH(M$1,INDIRECT("Table!A"&amp;$BV85):INDIRECT("Table!" &amp; $CH$110 &amp; $BV85),0)),"",INDIRECT(CONCATENATE("Table!",ADDRESS($BR85,MATCH(M$1,INDIRECT("Table!A" &amp; $BV85):INDIRECT("Table!" &amp; $CH$110 &amp; $BV85),0)))))/1024</f>
        <v>55.413281249999997</v>
      </c>
      <c r="N85" s="709">
        <f ca="1">IF(ISERROR(MATCH(N$1,INDIRECT("Table!A"&amp;$BV85):INDIRECT("Table!" &amp; $CH$110 &amp; $BV85),0)),"",INDIRECT(CONCATENATE("Table!",ADDRESS($BR85,MATCH(N$1,INDIRECT("Table!A" &amp; $BV85):INDIRECT("Table!" &amp; $CH$110 &amp; $BV85),0)))))/1024</f>
        <v>47.420312500000001</v>
      </c>
      <c r="O85" s="709">
        <f ca="1">IF(ISERROR(MATCH(O$1,INDIRECT("Table!A"&amp;$BV85):INDIRECT("Table!" &amp; $CH$110 &amp; $BV85),0)),"",INDIRECT(CONCATENATE("Table!",ADDRESS($BR85,MATCH(O$1,INDIRECT("Table!A" &amp; $BV85):INDIRECT("Table!" &amp; $CH$110 &amp; $BV85),0)))))/1024</f>
        <v>135.01162109374999</v>
      </c>
      <c r="P85" s="709">
        <f ca="1">IF(ISERROR(MATCH(P$1,INDIRECT("Table!A"&amp;$BV85):INDIRECT("Table!" &amp; $CH$110 &amp; $BV85),0)),"",INDIRECT(CONCATENATE("Table!",ADDRESS($BR85,MATCH(P$1,INDIRECT("Table!A" &amp; $BV85):INDIRECT("Table!" &amp; $CH$110 &amp; $BV85),0)))))/1024</f>
        <v>8.6953125</v>
      </c>
      <c r="Q85" s="709"/>
      <c r="R85" s="709"/>
      <c r="S85" s="709">
        <v>0</v>
      </c>
      <c r="T85" s="709">
        <f ca="1">IF(ISERROR(MATCH(T$1,INDIRECT("Table!A"&amp;$BV85):INDIRECT("Table!" &amp; $CH$65 &amp; $BV85),0)),"",INDIRECT(CONCATENATE("Table!",ADDRESS($BR85,MATCH(T$1,INDIRECT("Table!A" &amp; $BV85):INDIRECT("Table!" &amp; $CH$65 &amp; $BV85),0)))))/1024</f>
        <v>3.0754882812500002</v>
      </c>
      <c r="U85" s="709"/>
      <c r="V85" s="905"/>
      <c r="W85" s="905"/>
      <c r="X85" s="905"/>
      <c r="Y85" s="905"/>
      <c r="Z85" s="905"/>
      <c r="AA85" s="905"/>
      <c r="AB85" s="905"/>
      <c r="AC85" s="905"/>
      <c r="AD85" s="905"/>
      <c r="AE85" s="905"/>
      <c r="AF85" s="905"/>
      <c r="AG85" s="905"/>
      <c r="AH85" s="905"/>
      <c r="AI85" s="709" t="str">
        <f ca="1">IF(ISERROR(MATCH(AI$1,INDIRECT("Table!A"&amp;$BV85):INDIRECT("Table!" &amp; $CH$110 &amp; $BV85),0)),"",INDIRECT(CONCATENATE("Table!",ADDRESS($BR85,MATCH(AI$1,INDIRECT("Table!A" &amp; $BV85):INDIRECT("Table!" &amp; $CH$110 &amp; $BV85),0)))))</f>
        <v/>
      </c>
      <c r="AJ85" s="709">
        <f ca="1">IF(ISERROR(MATCH(AJ$1,INDIRECT("Table!A"&amp;$BV85):INDIRECT("Table!" &amp; $CH$110 &amp; $BV85),0)),"",INDIRECT(CONCATENATE("Table!",ADDRESS($BZ85,MATCH(AJ$1,INDIRECT("Table!A" &amp; $BV85):INDIRECT("Table!" &amp; $CH$110 &amp; $BV85),0)))))/1024</f>
        <v>140.03144531250001</v>
      </c>
      <c r="AK85" s="709">
        <f ca="1">IF(ISERROR(MATCH(AK$1,INDIRECT("Table!A"&amp;$BV85):INDIRECT("Table!" &amp; $CH$110 &amp; $BV85),0)),"",INDIRECT(CONCATENATE("Table!",ADDRESS($BZ85,MATCH(AK$1,INDIRECT("Table!A" &amp; $BV85):INDIRECT("Table!" &amp; $CH$110 &amp; $BV85),0)))))/1024</f>
        <v>146.98808593749999</v>
      </c>
      <c r="AL85" s="709">
        <f ca="1">IF(ISERROR(MATCH(AL$1,INDIRECT("Table!A"&amp;$BV85):INDIRECT("Table!" &amp; $CH$110 &amp; $BV85),0)),"",INDIRECT(CONCATENATE("Table!",ADDRESS($BZ85,MATCH(AL$1,INDIRECT("Table!A" &amp; $BV85):INDIRECT("Table!" &amp; $CH$110 &amp; $BV85),0)))))/1024</f>
        <v>146.98808593749999</v>
      </c>
      <c r="AM85" s="709">
        <f ca="1">IF(ISERROR(MATCH(AM$1,INDIRECT("Table!A"&amp;$BV85):INDIRECT("Table!" &amp; $CH$110 &amp; $BV85),0)),"",INDIRECT(CONCATENATE("Table!",ADDRESS($BZ85,MATCH(AM$1,INDIRECT("Table!A" &amp; $BV85):INDIRECT("Table!" &amp; $CH$110 &amp; $BV85),0)))))/1024</f>
        <v>177.73222656249999</v>
      </c>
      <c r="AN85" s="709">
        <f ca="1">IF(ISERROR(MATCH(AN$1,INDIRECT("Table!A"&amp;$BV85):INDIRECT("Table!" &amp; $CH$110 &amp; $BV85),0)),"",INDIRECT(CONCATENATE("Table!",ADDRESS($BZ85,MATCH(AN$1,INDIRECT("Table!A" &amp; $BV85):INDIRECT("Table!" &amp; $CH$110 &amp; $BV85),0)))))/1024</f>
        <v>161.57470703125</v>
      </c>
      <c r="AO85" s="709">
        <f ca="1">IF(ISERROR(MATCH(AO$1,INDIRECT("Table!A"&amp;$BV85):INDIRECT("Table!" &amp; $CH$110 &amp; $BV85),0)),"",INDIRECT(CONCATENATE("Table!",ADDRESS($BZ85,MATCH(AO$1,INDIRECT("Table!A" &amp; $BV85):INDIRECT("Table!" &amp; $CH$110 &amp; $BV85),0)))))/1024</f>
        <v>129.03515625</v>
      </c>
      <c r="AP85" s="709">
        <f ca="1">IF(ISERROR(MATCH(AP$1,INDIRECT("Table!A"&amp;$BV85):INDIRECT("Table!" &amp; $CH$110 &amp; $BV85),0)),"",INDIRECT(CONCATENATE("Table!",ADDRESS($BZ85,MATCH(AP$1,INDIRECT("Table!A" &amp; $BV85):INDIRECT("Table!" &amp; $CH$110 &amp; $BV85),0)))))/1024</f>
        <v>118.4880859375</v>
      </c>
      <c r="AQ85" s="709">
        <f ca="1">IF(ISERROR(MATCH(AQ$1,INDIRECT("Table!A"&amp;$BV85):INDIRECT("Table!" &amp; $CH$110 &amp; $BV85),0)),"",INDIRECT(CONCATENATE("Table!",ADDRESS($BZ85,MATCH(AQ$1,INDIRECT("Table!A" &amp; $BV85):INDIRECT("Table!" &amp; $CH$110 &amp; $BV85),0)))))/1024</f>
        <v>162.18544921874999</v>
      </c>
      <c r="AR85" s="709"/>
      <c r="AS85" s="709"/>
      <c r="AT85" s="709">
        <f ca="1">IF(ISERROR(MATCH(AT$1,INDIRECT("Table!A"&amp;$BV85):INDIRECT("Table!" &amp; $CH$110 &amp; $BV85),0)),"",INDIRECT(CONCATENATE("Table!",ADDRESS($BZ85,MATCH(AT$1,INDIRECT("Table!A" &amp; $BV85):INDIRECT("Table!" &amp; $CH$110 &amp; $BV85),0)))))/1024</f>
        <v>188.5029296875</v>
      </c>
      <c r="AU85" s="709">
        <f ca="1">IF(ISERROR(MATCH(AU$1,INDIRECT("Table!A"&amp;$BV85):INDIRECT("Table!" &amp; $CH$110 &amp; $BV85),0)),"",INDIRECT(CONCATENATE("Table!",ADDRESS($BZ85,MATCH(AU$1,INDIRECT("Table!A" &amp; $BV85):INDIRECT("Table!" &amp; $CH$110 &amp; $BV85),0)))))/1024</f>
        <v>129.03535156250001</v>
      </c>
      <c r="AV85" s="709">
        <f ca="1">IF(ISERROR(MATCH(AV$1,INDIRECT("Table!A"&amp;$BV85):INDIRECT("Table!" &amp; $CH$110 &amp; $BV85),0)),"",INDIRECT(CONCATENATE("Table!",ADDRESS($BZ85,MATCH(AV$1,INDIRECT("Table!A" &amp; $BV85):INDIRECT("Table!" &amp; $CH$110 &amp; $BV85),0)))))/1024</f>
        <v>80.787402343750003</v>
      </c>
      <c r="AW85" s="709">
        <f ca="1">IF(ISERROR(MATCH(AW$1,INDIRECT("Table!A"&amp;$BV85):INDIRECT("Table!" &amp; $CH$110 &amp; $BV85),0)),"",INDIRECT(CONCATENATE("Table!",ADDRESS($BZ85,MATCH(AW$1,INDIRECT("Table!A" &amp; $BV85):INDIRECT("Table!" &amp; $CH$110 &amp; $BV85),0)))))/1024</f>
        <v>172.34638671875001</v>
      </c>
      <c r="AX85" s="709">
        <f ca="1">IF(ISERROR(MATCH(AX$1,INDIRECT("Table!A"&amp;$BV85):INDIRECT("Table!" &amp; $CH$110 &amp; $BV85),0)),"",INDIRECT(CONCATENATE("Table!",ADDRESS($BZ85,MATCH(AX$1,INDIRECT("Table!A" &amp; $BV85):INDIRECT("Table!" &amp; $CH$110 &amp; $BV85),0)))))/1024</f>
        <v>81.0927734375</v>
      </c>
      <c r="AY85" s="709"/>
      <c r="AZ85" s="709"/>
      <c r="BA85" s="709"/>
      <c r="BB85" s="709">
        <f ca="1">IF(ISERROR(MATCH(BB$1,INDIRECT("Table!A"&amp;$BV85):INDIRECT("Table!" &amp; $CH$110 &amp; $BV85),0)),"",INDIRECT(CONCATENATE("Table!",ADDRESS($BZ85,MATCH(BB$1,INDIRECT("Table!A" &amp; $BV85):INDIRECT("Table!" &amp; $CH$110 &amp; $BV85),0)))))/1024</f>
        <v>32.31494140625</v>
      </c>
      <c r="BC85" s="709"/>
      <c r="BD85" s="905"/>
      <c r="BE85" s="905"/>
      <c r="BF85" s="905"/>
      <c r="BG85" s="905"/>
      <c r="BH85" s="905"/>
      <c r="BI85" s="905"/>
      <c r="BJ85" s="905"/>
      <c r="BK85" s="905"/>
      <c r="BL85" s="905"/>
      <c r="BM85" s="905"/>
      <c r="BN85" s="905"/>
      <c r="BO85" s="905"/>
      <c r="BP85" s="905"/>
      <c r="BQ85" s="905"/>
      <c r="BR85" s="704">
        <f>MATCH($A85,Table!$A:$A,0)+$BT$2-1</f>
        <v>1109</v>
      </c>
      <c r="BS85" s="705"/>
      <c r="BT85" s="705"/>
      <c r="BU85" s="705"/>
      <c r="BV85" s="717">
        <f>MATCH($A85,Table!$A:$A,0)+$BX$2-1</f>
        <v>1107</v>
      </c>
      <c r="BW85" s="705"/>
      <c r="BX85" s="705"/>
      <c r="BY85" s="705"/>
      <c r="BZ85" s="704">
        <f>MATCH($A85,Table!$A:$A,0)+$CB$2-1</f>
        <v>1108</v>
      </c>
      <c r="CA85" s="705"/>
      <c r="CB85" s="705"/>
      <c r="CC85" s="705"/>
      <c r="CD85" s="717">
        <f>MATCH($A85,Table!$A:$A,0)+$BX$2-1</f>
        <v>1107</v>
      </c>
      <c r="CE85" s="705"/>
      <c r="CF85" s="705"/>
      <c r="CG85" s="705"/>
      <c r="CH85" s="711" t="s">
        <v>302</v>
      </c>
      <c r="CI85" s="712">
        <f t="shared" ca="1" si="140"/>
        <v>1867.10302734375</v>
      </c>
      <c r="CJ85" s="712">
        <f t="shared" ref="CJ85:CJ110" ca="1" si="141">SUM(B85:AH85)</f>
        <v>970.80966796875009</v>
      </c>
      <c r="CK85" s="712">
        <f t="shared" ca="1" si="137"/>
        <v>896.29335937499991</v>
      </c>
      <c r="CL85" s="718">
        <f t="shared" ca="1" si="138"/>
        <v>0.51995506072842734</v>
      </c>
      <c r="CM85" s="712">
        <f ca="1">SUMIF('Alloc Feed'!A:I,A:A,'Alloc Feed'!I:I)</f>
        <v>0</v>
      </c>
      <c r="CN85" s="718">
        <f t="shared" ca="1" si="136"/>
        <v>0</v>
      </c>
    </row>
    <row r="86" spans="1:92" x14ac:dyDescent="0.25">
      <c r="A86" s="703">
        <v>41361</v>
      </c>
      <c r="B86" s="709">
        <f ca="1">IF(ISERROR(MATCH(B$1,INDIRECT("Table!A"&amp;$BV86):INDIRECT("Table!" &amp; $CH$110 &amp; $BV86),0)),"",INDIRECT(CONCATENATE("Table!",ADDRESS($BR86,MATCH(B$1,INDIRECT("Table!A" &amp; $BV86):INDIRECT("Table!" &amp; $CH$110 &amp; $BV86),0)))))/1024</f>
        <v>45.908007812500003</v>
      </c>
      <c r="C86" s="709">
        <f ca="1">IF(ISERROR(MATCH(C$1,INDIRECT("Table!A"&amp;$BV86):INDIRECT("Table!" &amp; $CH$110 &amp; $BV86),0)),"",INDIRECT(CONCATENATE("Table!",ADDRESS($BR86,MATCH(C$1,INDIRECT("Table!A" &amp; $BV86):INDIRECT("Table!" &amp; $CH$110 &amp; $BV86),0)))))/1024</f>
        <v>75.7236328125</v>
      </c>
      <c r="D86" s="709">
        <f ca="1">IF(ISERROR(MATCH(D$1,INDIRECT("Table!A"&amp;$BV86):INDIRECT("Table!" &amp; $CH$110 &amp; $BV86),0)),"",INDIRECT(CONCATENATE("Table!",ADDRESS($BR86,MATCH(D$1,INDIRECT("Table!A" &amp; $BV86):INDIRECT("Table!" &amp; $CH$110 &amp; $BV86),0)))))/1024</f>
        <v>77.102148437500006</v>
      </c>
      <c r="E86" s="709">
        <f ca="1">IF(ISERROR(MATCH(E$1,INDIRECT("Table!A"&amp;$BV86):INDIRECT("Table!" &amp; $CH$110 &amp; $BV86),0)),"",INDIRECT(CONCATENATE("Table!",ADDRESS($BR86,MATCH(E$1,INDIRECT("Table!A" &amp; $BV86):INDIRECT("Table!" &amp; $CH$110 &amp; $BV86),0)))))/1024</f>
        <v>153.91787109374999</v>
      </c>
      <c r="F86" s="709">
        <f ca="1">IF(ISERROR(MATCH(F$1,INDIRECT("Table!A"&amp;$BV86):INDIRECT("Table!" &amp; $CH$110 &amp; $BV86),0)),"",INDIRECT(CONCATENATE("Table!",ADDRESS($BR86,MATCH(F$1,INDIRECT("Table!A" &amp; $BV86):INDIRECT("Table!" &amp; $CH$110 &amp; $BV86),0)))))/1024</f>
        <v>86.633105468750003</v>
      </c>
      <c r="G86" s="709">
        <f ca="1">IF(ISERROR(MATCH(G$1,INDIRECT("Table!A"&amp;$BV86):INDIRECT("Table!" &amp; $CH$110 &amp; $BV86),0)),"",INDIRECT(CONCATENATE("Table!",ADDRESS($BR86,MATCH(G$1,INDIRECT("Table!A" &amp; $BV86):INDIRECT("Table!" &amp; $CH$110 &amp; $BV86),0)))))/1024</f>
        <v>47.360156250000003</v>
      </c>
      <c r="H86" s="709">
        <f ca="1">IF(ISERROR(MATCH(H$1,INDIRECT("Table!A"&amp;$BV86):INDIRECT("Table!" &amp; $CH$110 &amp; $BV86),0)),"",INDIRECT(CONCATENATE("Table!",ADDRESS($BR86,MATCH(H$1,INDIRECT("Table!A" &amp; $BV86):INDIRECT("Table!" &amp; $CH$110 &amp; $BV86),0)))))/1024</f>
        <v>70.6689453125</v>
      </c>
      <c r="I86" s="709">
        <f ca="1">IF(ISERROR(MATCH(I$1,INDIRECT("Table!A"&amp;$BV86):INDIRECT("Table!" &amp; $CH$110 &amp; $BV86),0)),"",INDIRECT(CONCATENATE("Table!",ADDRESS($BR86,MATCH(I$1,INDIRECT("Table!A" &amp; $BV86):INDIRECT("Table!" &amp; $CH$110 &amp; $BV86),0)))))/1024</f>
        <v>4.4387695312500002</v>
      </c>
      <c r="J86" s="709"/>
      <c r="K86" s="709"/>
      <c r="L86" s="709">
        <f ca="1">IF(ISERROR(MATCH(L$1,INDIRECT("Table!A"&amp;$BV86):INDIRECT("Table!" &amp; $CH$110 &amp; $BV86),0)),"",INDIRECT(CONCATENATE("Table!",ADDRESS($BR86,MATCH(L$1,INDIRECT("Table!A" &amp; $BV86):INDIRECT("Table!" &amp; $CH$110 &amp; $BV86),0)))))/1024</f>
        <v>152.31162109375001</v>
      </c>
      <c r="M86" s="709">
        <f ca="1">IF(ISERROR(MATCH(M$1,INDIRECT("Table!A"&amp;$BV86):INDIRECT("Table!" &amp; $CH$110 &amp; $BV86),0)),"",INDIRECT(CONCATENATE("Table!",ADDRESS($BR86,MATCH(M$1,INDIRECT("Table!A" &amp; $BV86):INDIRECT("Table!" &amp; $CH$110 &amp; $BV86),0)))))/1024</f>
        <v>63.481835937500001</v>
      </c>
      <c r="N86" s="709">
        <f ca="1">IF(ISERROR(MATCH(N$1,INDIRECT("Table!A"&amp;$BV86):INDIRECT("Table!" &amp; $CH$110 &amp; $BV86),0)),"",INDIRECT(CONCATENATE("Table!",ADDRESS($BR86,MATCH(N$1,INDIRECT("Table!A" &amp; $BV86):INDIRECT("Table!" &amp; $CH$110 &amp; $BV86),0)))))/1024</f>
        <v>44.94091796875</v>
      </c>
      <c r="O86" s="709">
        <f ca="1">IF(ISERROR(MATCH(O$1,INDIRECT("Table!A"&amp;$BV86):INDIRECT("Table!" &amp; $CH$110 &amp; $BV86),0)),"",INDIRECT(CONCATENATE("Table!",ADDRESS($BR86,MATCH(O$1,INDIRECT("Table!A" &amp; $BV86):INDIRECT("Table!" &amp; $CH$110 &amp; $BV86),0)))))/1024</f>
        <v>133.38525390625</v>
      </c>
      <c r="P86" s="709">
        <f ca="1">IF(ISERROR(MATCH(P$1,INDIRECT("Table!A"&amp;$BV86):INDIRECT("Table!" &amp; $CH$110 &amp; $BV86),0)),"",INDIRECT(CONCATENATE("Table!",ADDRESS($BR86,MATCH(P$1,INDIRECT("Table!A" &amp; $BV86):INDIRECT("Table!" &amp; $CH$110 &amp; $BV86),0)))))/1024</f>
        <v>8.6953125</v>
      </c>
      <c r="Q86" s="709"/>
      <c r="R86" s="709"/>
      <c r="S86" s="709">
        <v>0</v>
      </c>
      <c r="T86" s="709">
        <f ca="1">IF(ISERROR(MATCH(T$1,INDIRECT("Table!A"&amp;$BV86):INDIRECT("Table!" &amp; $CH$65 &amp; $BV86),0)),"",INDIRECT(CONCATENATE("Table!",ADDRESS($BR86,MATCH(T$1,INDIRECT("Table!A" &amp; $BV86):INDIRECT("Table!" &amp; $CH$65 &amp; $BV86),0)))))/1024</f>
        <v>3.0754882812500002</v>
      </c>
      <c r="U86" s="709"/>
      <c r="V86" s="905"/>
      <c r="W86" s="905"/>
      <c r="X86" s="905"/>
      <c r="Y86" s="905"/>
      <c r="Z86" s="905"/>
      <c r="AA86" s="905"/>
      <c r="AB86" s="905"/>
      <c r="AC86" s="905"/>
      <c r="AD86" s="905"/>
      <c r="AE86" s="905"/>
      <c r="AF86" s="905"/>
      <c r="AG86" s="905"/>
      <c r="AH86" s="905"/>
      <c r="AI86" s="709" t="str">
        <f ca="1">IF(ISERROR(MATCH(AI$1,INDIRECT("Table!A"&amp;$BV86):INDIRECT("Table!" &amp; $CH$110 &amp; $BV86),0)),"",INDIRECT(CONCATENATE("Table!",ADDRESS($BR86,MATCH(AI$1,INDIRECT("Table!A" &amp; $BV86):INDIRECT("Table!" &amp; $CH$110 &amp; $BV86),0)))))</f>
        <v/>
      </c>
      <c r="AJ86" s="709">
        <f ca="1">IF(ISERROR(MATCH(AJ$1,INDIRECT("Table!A"&amp;$BV86):INDIRECT("Table!" &amp; $CH$110 &amp; $BV86),0)),"",INDIRECT(CONCATENATE("Table!",ADDRESS($BZ86,MATCH(AJ$1,INDIRECT("Table!A" &amp; $BV86):INDIRECT("Table!" &amp; $CH$110 &amp; $BV86),0)))))/1024</f>
        <v>140.03144531250001</v>
      </c>
      <c r="AK86" s="709">
        <f ca="1">IF(ISERROR(MATCH(AK$1,INDIRECT("Table!A"&amp;$BV86):INDIRECT("Table!" &amp; $CH$110 &amp; $BV86),0)),"",INDIRECT(CONCATENATE("Table!",ADDRESS($BZ86,MATCH(AK$1,INDIRECT("Table!A" &amp; $BV86):INDIRECT("Table!" &amp; $CH$110 &amp; $BV86),0)))))/1024</f>
        <v>146.98808593749999</v>
      </c>
      <c r="AL86" s="709">
        <f ca="1">IF(ISERROR(MATCH(AL$1,INDIRECT("Table!A"&amp;$BV86):INDIRECT("Table!" &amp; $CH$110 &amp; $BV86),0)),"",INDIRECT(CONCATENATE("Table!",ADDRESS($BZ86,MATCH(AL$1,INDIRECT("Table!A" &amp; $BV86):INDIRECT("Table!" &amp; $CH$110 &amp; $BV86),0)))))/1024</f>
        <v>146.98808593749999</v>
      </c>
      <c r="AM86" s="709">
        <f ca="1">IF(ISERROR(MATCH(AM$1,INDIRECT("Table!A"&amp;$BV86):INDIRECT("Table!" &amp; $CH$110 &amp; $BV86),0)),"",INDIRECT(CONCATENATE("Table!",ADDRESS($BZ86,MATCH(AM$1,INDIRECT("Table!A" &amp; $BV86):INDIRECT("Table!" &amp; $CH$110 &amp; $BV86),0)))))/1024</f>
        <v>177.73222656249999</v>
      </c>
      <c r="AN86" s="709">
        <f ca="1">IF(ISERROR(MATCH(AN$1,INDIRECT("Table!A"&amp;$BV86):INDIRECT("Table!" &amp; $CH$110 &amp; $BV86),0)),"",INDIRECT(CONCATENATE("Table!",ADDRESS($BZ86,MATCH(AN$1,INDIRECT("Table!A" &amp; $BV86):INDIRECT("Table!" &amp; $CH$110 &amp; $BV86),0)))))/1024</f>
        <v>161.57470703125</v>
      </c>
      <c r="AO86" s="709">
        <f ca="1">IF(ISERROR(MATCH(AO$1,INDIRECT("Table!A"&amp;$BV86):INDIRECT("Table!" &amp; $CH$110 &amp; $BV86),0)),"",INDIRECT(CONCATENATE("Table!",ADDRESS($BZ86,MATCH(AO$1,INDIRECT("Table!A" &amp; $BV86):INDIRECT("Table!" &amp; $CH$110 &amp; $BV86),0)))))/1024</f>
        <v>129.03515625</v>
      </c>
      <c r="AP86" s="709">
        <f ca="1">IF(ISERROR(MATCH(AP$1,INDIRECT("Table!A"&amp;$BV86):INDIRECT("Table!" &amp; $CH$110 &amp; $BV86),0)),"",INDIRECT(CONCATENATE("Table!",ADDRESS($BZ86,MATCH(AP$1,INDIRECT("Table!A" &amp; $BV86):INDIRECT("Table!" &amp; $CH$110 &amp; $BV86),0)))))/1024</f>
        <v>118.4880859375</v>
      </c>
      <c r="AQ86" s="709">
        <f ca="1">IF(ISERROR(MATCH(AQ$1,INDIRECT("Table!A"&amp;$BV86):INDIRECT("Table!" &amp; $CH$110 &amp; $BV86),0)),"",INDIRECT(CONCATENATE("Table!",ADDRESS($BZ86,MATCH(AQ$1,INDIRECT("Table!A" &amp; $BV86):INDIRECT("Table!" &amp; $CH$110 &amp; $BV86),0)))))/1024</f>
        <v>162.18544921874999</v>
      </c>
      <c r="AR86" s="709"/>
      <c r="AS86" s="709"/>
      <c r="AT86" s="709">
        <f ca="1">IF(ISERROR(MATCH(AT$1,INDIRECT("Table!A"&amp;$BV86):INDIRECT("Table!" &amp; $CH$110 &amp; $BV86),0)),"",INDIRECT(CONCATENATE("Table!",ADDRESS($BZ86,MATCH(AT$1,INDIRECT("Table!A" &amp; $BV86):INDIRECT("Table!" &amp; $CH$110 &amp; $BV86),0)))))/1024</f>
        <v>188.5029296875</v>
      </c>
      <c r="AU86" s="709">
        <f ca="1">IF(ISERROR(MATCH(AU$1,INDIRECT("Table!A"&amp;$BV86):INDIRECT("Table!" &amp; $CH$110 &amp; $BV86),0)),"",INDIRECT(CONCATENATE("Table!",ADDRESS($BZ86,MATCH(AU$1,INDIRECT("Table!A" &amp; $BV86):INDIRECT("Table!" &amp; $CH$110 &amp; $BV86),0)))))/1024</f>
        <v>129.03535156250001</v>
      </c>
      <c r="AV86" s="709">
        <f ca="1">IF(ISERROR(MATCH(AV$1,INDIRECT("Table!A"&amp;$BV86):INDIRECT("Table!" &amp; $CH$110 &amp; $BV86),0)),"",INDIRECT(CONCATENATE("Table!",ADDRESS($BZ86,MATCH(AV$1,INDIRECT("Table!A" &amp; $BV86):INDIRECT("Table!" &amp; $CH$110 &amp; $BV86),0)))))/1024</f>
        <v>80.787402343750003</v>
      </c>
      <c r="AW86" s="709">
        <f ca="1">IF(ISERROR(MATCH(AW$1,INDIRECT("Table!A"&amp;$BV86):INDIRECT("Table!" &amp; $CH$110 &amp; $BV86),0)),"",INDIRECT(CONCATENATE("Table!",ADDRESS($BZ86,MATCH(AW$1,INDIRECT("Table!A" &amp; $BV86):INDIRECT("Table!" &amp; $CH$110 &amp; $BV86),0)))))/1024</f>
        <v>172.34638671875001</v>
      </c>
      <c r="AX86" s="709">
        <f ca="1">IF(ISERROR(MATCH(AX$1,INDIRECT("Table!A"&amp;$BV86):INDIRECT("Table!" &amp; $CH$110 &amp; $BV86),0)),"",INDIRECT(CONCATENATE("Table!",ADDRESS($BZ86,MATCH(AX$1,INDIRECT("Table!A" &amp; $BV86):INDIRECT("Table!" &amp; $CH$110 &amp; $BV86),0)))))/1024</f>
        <v>81.0927734375</v>
      </c>
      <c r="AY86" s="709"/>
      <c r="AZ86" s="709"/>
      <c r="BA86" s="709"/>
      <c r="BB86" s="709">
        <f ca="1">IF(ISERROR(MATCH(BB$1,INDIRECT("Table!A"&amp;$BV86):INDIRECT("Table!" &amp; $CH$110 &amp; $BV86),0)),"",INDIRECT(CONCATENATE("Table!",ADDRESS($BZ86,MATCH(BB$1,INDIRECT("Table!A" &amp; $BV86):INDIRECT("Table!" &amp; $CH$110 &amp; $BV86),0)))))/1024</f>
        <v>32.31494140625</v>
      </c>
      <c r="BC86" s="709"/>
      <c r="BD86" s="905"/>
      <c r="BE86" s="905"/>
      <c r="BF86" s="905"/>
      <c r="BG86" s="905"/>
      <c r="BH86" s="905"/>
      <c r="BI86" s="905"/>
      <c r="BJ86" s="905"/>
      <c r="BK86" s="905"/>
      <c r="BL86" s="905"/>
      <c r="BM86" s="905"/>
      <c r="BN86" s="905"/>
      <c r="BO86" s="905"/>
      <c r="BP86" s="905"/>
      <c r="BQ86" s="905"/>
      <c r="BR86" s="704">
        <f>MATCH($A86,Table!$A:$A,0)+$BT$2-1</f>
        <v>1121</v>
      </c>
      <c r="BS86" s="705"/>
      <c r="BT86" s="705"/>
      <c r="BU86" s="705"/>
      <c r="BV86" s="717">
        <f>MATCH($A86,Table!$A:$A,0)+$BX$2-1</f>
        <v>1119</v>
      </c>
      <c r="BW86" s="705"/>
      <c r="BX86" s="705"/>
      <c r="BY86" s="705"/>
      <c r="BZ86" s="704">
        <f>MATCH($A86,Table!$A:$A,0)+$CB$2-1</f>
        <v>1120</v>
      </c>
      <c r="CA86" s="705"/>
      <c r="CB86" s="705"/>
      <c r="CC86" s="705"/>
      <c r="CD86" s="717">
        <f>MATCH($A86,Table!$A:$A,0)+$BX$2-1</f>
        <v>1119</v>
      </c>
      <c r="CE86" s="705"/>
      <c r="CF86" s="705"/>
      <c r="CG86" s="705"/>
      <c r="CH86" s="711" t="s">
        <v>302</v>
      </c>
      <c r="CI86" s="712">
        <f t="shared" ca="1" si="140"/>
        <v>1867.10302734375</v>
      </c>
      <c r="CJ86" s="712">
        <f t="shared" ca="1" si="141"/>
        <v>967.64306640625011</v>
      </c>
      <c r="CK86" s="712">
        <f t="shared" ca="1" si="137"/>
        <v>899.45996093749989</v>
      </c>
      <c r="CL86" s="718">
        <f t="shared" ca="1" si="138"/>
        <v>0.51825906349842721</v>
      </c>
      <c r="CM86" s="712">
        <f ca="1">SUMIF('Alloc Feed'!A:I,A:A,'Alloc Feed'!I:I)</f>
        <v>0</v>
      </c>
      <c r="CN86" s="718">
        <f t="shared" ca="1" si="136"/>
        <v>0</v>
      </c>
    </row>
    <row r="87" spans="1:92" s="267" customFormat="1" x14ac:dyDescent="0.25">
      <c r="A87" s="703">
        <v>41359</v>
      </c>
      <c r="B87" s="709">
        <f ca="1">IF(ISERROR(MATCH(B$1,INDIRECT("Table!A"&amp;$BV87):INDIRECT("Table!" &amp; $CH$110 &amp; $BV87),0)),"",INDIRECT(CONCATENATE("Table!",ADDRESS($BR87,MATCH(B$1,INDIRECT("Table!A" &amp; $BV87):INDIRECT("Table!" &amp; $CH$110 &amp; $BV87),0)))))/1024</f>
        <v>45.987988281249997</v>
      </c>
      <c r="C87" s="709">
        <f ca="1">IF(ISERROR(MATCH(C$1,INDIRECT("Table!A"&amp;$BV87):INDIRECT("Table!" &amp; $CH$110 &amp; $BV87),0)),"",INDIRECT(CONCATENATE("Table!",ADDRESS($BR87,MATCH(C$1,INDIRECT("Table!A" &amp; $BV87):INDIRECT("Table!" &amp; $CH$110 &amp; $BV87),0)))))/1024</f>
        <v>75.7109375</v>
      </c>
      <c r="D87" s="709">
        <f ca="1">IF(ISERROR(MATCH(D$1,INDIRECT("Table!A"&amp;$BV87):INDIRECT("Table!" &amp; $CH$110 &amp; $BV87),0)),"",INDIRECT(CONCATENATE("Table!",ADDRESS($BR87,MATCH(D$1,INDIRECT("Table!A" &amp; $BV87):INDIRECT("Table!" &amp; $CH$110 &amp; $BV87),0)))))/1024</f>
        <v>77.08935546875</v>
      </c>
      <c r="E87" s="709">
        <f ca="1">IF(ISERROR(MATCH(E$1,INDIRECT("Table!A"&amp;$BV87):INDIRECT("Table!" &amp; $CH$110 &amp; $BV87),0)),"",INDIRECT(CONCATENATE("Table!",ADDRESS($BR87,MATCH(E$1,INDIRECT("Table!A" &amp; $BV87):INDIRECT("Table!" &amp; $CH$110 &amp; $BV87),0)))))/1024</f>
        <v>153.88037109375</v>
      </c>
      <c r="F87" s="709">
        <f ca="1">IF(ISERROR(MATCH(F$1,INDIRECT("Table!A"&amp;$BV87):INDIRECT("Table!" &amp; $CH$110 &amp; $BV87),0)),"",INDIRECT(CONCATENATE("Table!",ADDRESS($BR87,MATCH(F$1,INDIRECT("Table!A" &amp; $BV87):INDIRECT("Table!" &amp; $CH$110 &amp; $BV87),0)))))/1024</f>
        <v>86.491992187500003</v>
      </c>
      <c r="G87" s="709">
        <f ca="1">IF(ISERROR(MATCH(G$1,INDIRECT("Table!A"&amp;$BV87):INDIRECT("Table!" &amp; $CH$110 &amp; $BV87),0)),"",INDIRECT(CONCATENATE("Table!",ADDRESS($BR87,MATCH(G$1,INDIRECT("Table!A" &amp; $BV87):INDIRECT("Table!" &amp; $CH$110 &amp; $BV87),0)))))/1024</f>
        <v>47.667089843749999</v>
      </c>
      <c r="H87" s="709">
        <f ca="1">IF(ISERROR(MATCH(H$1,INDIRECT("Table!A"&amp;$BV87):INDIRECT("Table!" &amp; $CH$110 &amp; $BV87),0)),"",INDIRECT(CONCATENATE("Table!",ADDRESS($BR87,MATCH(H$1,INDIRECT("Table!A" &amp; $BV87):INDIRECT("Table!" &amp; $CH$110 &amp; $BV87),0)))))/1024</f>
        <v>68.473828124999997</v>
      </c>
      <c r="I87" s="709">
        <f ca="1">IF(ISERROR(MATCH(I$1,INDIRECT("Table!A"&amp;$BV87):INDIRECT("Table!" &amp; $CH$110 &amp; $BV87),0)),"",INDIRECT(CONCATENATE("Table!",ADDRESS($BR87,MATCH(I$1,INDIRECT("Table!A" &amp; $BV87):INDIRECT("Table!" &amp; $CH$110 &amp; $BV87),0)))))/1024</f>
        <v>4.4128906250000002</v>
      </c>
      <c r="J87" s="709"/>
      <c r="K87" s="709"/>
      <c r="L87" s="709">
        <f ca="1">IF(ISERROR(MATCH(L$1,INDIRECT("Table!A"&amp;$BV87):INDIRECT("Table!" &amp; $CH$110 &amp; $BV87),0)),"",INDIRECT(CONCATENATE("Table!",ADDRESS($BR87,MATCH(L$1,INDIRECT("Table!A" &amp; $BV87):INDIRECT("Table!" &amp; $CH$110 &amp; $BV87),0)))))/1024</f>
        <v>152.24980468749999</v>
      </c>
      <c r="M87" s="709">
        <f ca="1">IF(ISERROR(MATCH(M$1,INDIRECT("Table!A"&amp;$BV87):INDIRECT("Table!" &amp; $CH$110 &amp; $BV87),0)),"",INDIRECT(CONCATENATE("Table!",ADDRESS($BR87,MATCH(M$1,INDIRECT("Table!A" &amp; $BV87):INDIRECT("Table!" &amp; $CH$110 &amp; $BV87),0)))))/1024</f>
        <v>59.59765625</v>
      </c>
      <c r="N87" s="709">
        <f ca="1">IF(ISERROR(MATCH(N$1,INDIRECT("Table!A"&amp;$BV87):INDIRECT("Table!" &amp; $CH$110 &amp; $BV87),0)),"",INDIRECT(CONCATENATE("Table!",ADDRESS($BR87,MATCH(N$1,INDIRECT("Table!A" &amp; $BV87):INDIRECT("Table!" &amp; $CH$110 &amp; $BV87),0)))))/1024</f>
        <v>44.868066406250001</v>
      </c>
      <c r="O87" s="709">
        <f ca="1">IF(ISERROR(MATCH(O$1,INDIRECT("Table!A"&amp;$BV87):INDIRECT("Table!" &amp; $CH$110 &amp; $BV87),0)),"",INDIRECT(CONCATENATE("Table!",ADDRESS($BR87,MATCH(O$1,INDIRECT("Table!A" &amp; $BV87):INDIRECT("Table!" &amp; $CH$110 &amp; $BV87),0)))))/1024</f>
        <v>133.17578125</v>
      </c>
      <c r="P87" s="709">
        <f ca="1">IF(ISERROR(MATCH(P$1,INDIRECT("Table!A"&amp;$BV87):INDIRECT("Table!" &amp; $CH$110 &amp; $BV87),0)),"",INDIRECT(CONCATENATE("Table!",ADDRESS($BR87,MATCH(P$1,INDIRECT("Table!A" &amp; $BV87):INDIRECT("Table!" &amp; $CH$110 &amp; $BV87),0)))))/1024</f>
        <v>8.6442382812500007</v>
      </c>
      <c r="Q87" s="709"/>
      <c r="R87" s="709"/>
      <c r="S87" s="709">
        <v>0</v>
      </c>
      <c r="T87" s="709">
        <f ca="1">IF(ISERROR(MATCH(T$1,INDIRECT("Table!A"&amp;$BV87):INDIRECT("Table!" &amp; $CH$65 &amp; $BV87),0)),"",INDIRECT(CONCATENATE("Table!",ADDRESS($BR87,MATCH(T$1,INDIRECT("Table!A" &amp; $BV87):INDIRECT("Table!" &amp; $CH$65 &amp; $BV87),0)))))/1024</f>
        <v>2.9167968750000002</v>
      </c>
      <c r="U87" s="709"/>
      <c r="V87" s="905"/>
      <c r="W87" s="905"/>
      <c r="X87" s="905"/>
      <c r="Y87" s="905"/>
      <c r="Z87" s="905"/>
      <c r="AA87" s="905"/>
      <c r="AB87" s="905"/>
      <c r="AC87" s="905"/>
      <c r="AD87" s="905"/>
      <c r="AE87" s="905"/>
      <c r="AF87" s="905"/>
      <c r="AG87" s="905"/>
      <c r="AH87" s="905"/>
      <c r="AI87" s="709" t="str">
        <f ca="1">IF(ISERROR(MATCH(AI$1,INDIRECT("Table!A"&amp;$BV87):INDIRECT("Table!" &amp; $CH$110 &amp; $BV87),0)),"",INDIRECT(CONCATENATE("Table!",ADDRESS($BR87,MATCH(AI$1,INDIRECT("Table!A" &amp; $BV87):INDIRECT("Table!" &amp; $CH$110 &amp; $BV87),0)))))</f>
        <v/>
      </c>
      <c r="AJ87" s="709">
        <f ca="1">IF(ISERROR(MATCH(AJ$1,INDIRECT("Table!A"&amp;$BV87):INDIRECT("Table!" &amp; $CH$110 &amp; $BV87),0)),"",INDIRECT(CONCATENATE("Table!",ADDRESS($BZ87,MATCH(AJ$1,INDIRECT("Table!A" &amp; $BV87):INDIRECT("Table!" &amp; $CH$110 &amp; $BV87),0)))))/1024</f>
        <v>140.03144531250001</v>
      </c>
      <c r="AK87" s="709">
        <f ca="1">IF(ISERROR(MATCH(AK$1,INDIRECT("Table!A"&amp;$BV87):INDIRECT("Table!" &amp; $CH$110 &amp; $BV87),0)),"",INDIRECT(CONCATENATE("Table!",ADDRESS($BZ87,MATCH(AK$1,INDIRECT("Table!A" &amp; $BV87):INDIRECT("Table!" &amp; $CH$110 &amp; $BV87),0)))))/1024</f>
        <v>146.98808593749999</v>
      </c>
      <c r="AL87" s="709">
        <f ca="1">IF(ISERROR(MATCH(AL$1,INDIRECT("Table!A"&amp;$BV87):INDIRECT("Table!" &amp; $CH$110 &amp; $BV87),0)),"",INDIRECT(CONCATENATE("Table!",ADDRESS($BZ87,MATCH(AL$1,INDIRECT("Table!A" &amp; $BV87):INDIRECT("Table!" &amp; $CH$110 &amp; $BV87),0)))))/1024</f>
        <v>146.98808593749999</v>
      </c>
      <c r="AM87" s="709">
        <f ca="1">IF(ISERROR(MATCH(AM$1,INDIRECT("Table!A"&amp;$BV87):INDIRECT("Table!" &amp; $CH$110 &amp; $BV87),0)),"",INDIRECT(CONCATENATE("Table!",ADDRESS($BZ87,MATCH(AM$1,INDIRECT("Table!A" &amp; $BV87):INDIRECT("Table!" &amp; $CH$110 &amp; $BV87),0)))))/1024</f>
        <v>177.73222656249999</v>
      </c>
      <c r="AN87" s="709">
        <f ca="1">IF(ISERROR(MATCH(AN$1,INDIRECT("Table!A"&amp;$BV87):INDIRECT("Table!" &amp; $CH$110 &amp; $BV87),0)),"",INDIRECT(CONCATENATE("Table!",ADDRESS($BZ87,MATCH(AN$1,INDIRECT("Table!A" &amp; $BV87):INDIRECT("Table!" &amp; $CH$110 &amp; $BV87),0)))))/1024</f>
        <v>161.57470703125</v>
      </c>
      <c r="AO87" s="709">
        <f ca="1">IF(ISERROR(MATCH(AO$1,INDIRECT("Table!A"&amp;$BV87):INDIRECT("Table!" &amp; $CH$110 &amp; $BV87),0)),"",INDIRECT(CONCATENATE("Table!",ADDRESS($BZ87,MATCH(AO$1,INDIRECT("Table!A" &amp; $BV87):INDIRECT("Table!" &amp; $CH$110 &amp; $BV87),0)))))/1024</f>
        <v>129.03515625</v>
      </c>
      <c r="AP87" s="709">
        <f ca="1">IF(ISERROR(MATCH(AP$1,INDIRECT("Table!A"&amp;$BV87):INDIRECT("Table!" &amp; $CH$110 &amp; $BV87),0)),"",INDIRECT(CONCATENATE("Table!",ADDRESS($BZ87,MATCH(AP$1,INDIRECT("Table!A" &amp; $BV87):INDIRECT("Table!" &amp; $CH$110 &amp; $BV87),0)))))/1024</f>
        <v>118.4880859375</v>
      </c>
      <c r="AQ87" s="709">
        <f ca="1">IF(ISERROR(MATCH(AQ$1,INDIRECT("Table!A"&amp;$BV87):INDIRECT("Table!" &amp; $CH$110 &amp; $BV87),0)),"",INDIRECT(CONCATENATE("Table!",ADDRESS($BZ87,MATCH(AQ$1,INDIRECT("Table!A" &amp; $BV87):INDIRECT("Table!" &amp; $CH$110 &amp; $BV87),0)))))/1024</f>
        <v>162.18544921874999</v>
      </c>
      <c r="AR87" s="709"/>
      <c r="AS87" s="709"/>
      <c r="AT87" s="709">
        <f ca="1">IF(ISERROR(MATCH(AT$1,INDIRECT("Table!A"&amp;$BV87):INDIRECT("Table!" &amp; $CH$110 &amp; $BV87),0)),"",INDIRECT(CONCATENATE("Table!",ADDRESS($BZ87,MATCH(AT$1,INDIRECT("Table!A" &amp; $BV87):INDIRECT("Table!" &amp; $CH$110 &amp; $BV87),0)))))/1024</f>
        <v>188.5029296875</v>
      </c>
      <c r="AU87" s="709">
        <f ca="1">IF(ISERROR(MATCH(AU$1,INDIRECT("Table!A"&amp;$BV87):INDIRECT("Table!" &amp; $CH$110 &amp; $BV87),0)),"",INDIRECT(CONCATENATE("Table!",ADDRESS($BZ87,MATCH(AU$1,INDIRECT("Table!A" &amp; $BV87):INDIRECT("Table!" &amp; $CH$110 &amp; $BV87),0)))))/1024</f>
        <v>129.03535156250001</v>
      </c>
      <c r="AV87" s="709">
        <f ca="1">IF(ISERROR(MATCH(AV$1,INDIRECT("Table!A"&amp;$BV87):INDIRECT("Table!" &amp; $CH$110 &amp; $BV87),0)),"",INDIRECT(CONCATENATE("Table!",ADDRESS($BZ87,MATCH(AV$1,INDIRECT("Table!A" &amp; $BV87):INDIRECT("Table!" &amp; $CH$110 &amp; $BV87),0)))))/1024</f>
        <v>80.787402343750003</v>
      </c>
      <c r="AW87" s="709">
        <f ca="1">IF(ISERROR(MATCH(AW$1,INDIRECT("Table!A"&amp;$BV87):INDIRECT("Table!" &amp; $CH$110 &amp; $BV87),0)),"",INDIRECT(CONCATENATE("Table!",ADDRESS($BZ87,MATCH(AW$1,INDIRECT("Table!A" &amp; $BV87):INDIRECT("Table!" &amp; $CH$110 &amp; $BV87),0)))))/1024</f>
        <v>172.34638671875001</v>
      </c>
      <c r="AX87" s="709">
        <f ca="1">IF(ISERROR(MATCH(AX$1,INDIRECT("Table!A"&amp;$BV87):INDIRECT("Table!" &amp; $CH$110 &amp; $BV87),0)),"",INDIRECT(CONCATENATE("Table!",ADDRESS($BZ87,MATCH(AX$1,INDIRECT("Table!A" &amp; $BV87):INDIRECT("Table!" &amp; $CH$110 &amp; $BV87),0)))))/1024</f>
        <v>81.0927734375</v>
      </c>
      <c r="AY87" s="709"/>
      <c r="AZ87" s="709"/>
      <c r="BA87" s="709"/>
      <c r="BB87" s="709">
        <f ca="1">IF(ISERROR(MATCH(BB$1,INDIRECT("Table!A"&amp;$BV87):INDIRECT("Table!" &amp; $CH$110 &amp; $BV87),0)),"",INDIRECT(CONCATENATE("Table!",ADDRESS($BZ87,MATCH(BB$1,INDIRECT("Table!A" &amp; $BV87):INDIRECT("Table!" &amp; $CH$110 &amp; $BV87),0)))))/1024</f>
        <v>32.31494140625</v>
      </c>
      <c r="BC87" s="709"/>
      <c r="BD87" s="905"/>
      <c r="BE87" s="905"/>
      <c r="BF87" s="905"/>
      <c r="BG87" s="905"/>
      <c r="BH87" s="905"/>
      <c r="BI87" s="905"/>
      <c r="BJ87" s="905"/>
      <c r="BK87" s="905"/>
      <c r="BL87" s="905"/>
      <c r="BM87" s="905"/>
      <c r="BN87" s="905"/>
      <c r="BO87" s="905"/>
      <c r="BP87" s="905"/>
      <c r="BQ87" s="905"/>
      <c r="BR87" s="704">
        <f>MATCH($A87,Table!$A:$A,0)+$BT$2-1</f>
        <v>1133</v>
      </c>
      <c r="BS87" s="705"/>
      <c r="BT87" s="705"/>
      <c r="BU87" s="705"/>
      <c r="BV87" s="717">
        <f>MATCH($A87,Table!$A:$A,0)+$BX$2-1</f>
        <v>1131</v>
      </c>
      <c r="BW87" s="705"/>
      <c r="BX87" s="705"/>
      <c r="BY87" s="705"/>
      <c r="BZ87" s="704">
        <f>MATCH($A87,Table!$A:$A,0)+$CB$2-1</f>
        <v>1132</v>
      </c>
      <c r="CA87" s="705"/>
      <c r="CB87" s="705"/>
      <c r="CC87" s="705"/>
      <c r="CD87" s="717">
        <f>MATCH($A87,Table!$A:$A,0)+$BX$2-1</f>
        <v>1131</v>
      </c>
      <c r="CE87" s="705"/>
      <c r="CF87" s="705"/>
      <c r="CG87" s="705"/>
      <c r="CH87" s="711" t="s">
        <v>302</v>
      </c>
      <c r="CI87" s="712">
        <f t="shared" ca="1" si="140"/>
        <v>1867.10302734375</v>
      </c>
      <c r="CJ87" s="712">
        <f t="shared" ca="1" si="141"/>
        <v>961.16679687499993</v>
      </c>
      <c r="CK87" s="712">
        <f t="shared" ca="1" si="137"/>
        <v>905.93623046875007</v>
      </c>
      <c r="CL87" s="718">
        <f t="shared" ca="1" si="138"/>
        <v>0.51479044423296338</v>
      </c>
      <c r="CM87" s="712">
        <f ca="1">SUMIF('Alloc Feed'!A:I,A:A,'Alloc Feed'!I:I)</f>
        <v>0</v>
      </c>
      <c r="CN87" s="718">
        <f t="shared" ca="1" si="136"/>
        <v>0</v>
      </c>
    </row>
    <row r="88" spans="1:92" s="267" customFormat="1" x14ac:dyDescent="0.25">
      <c r="A88" s="703">
        <v>41355</v>
      </c>
      <c r="B88" s="709">
        <f ca="1">IF(ISERROR(MATCH(B$1,INDIRECT("Table!A"&amp;$BV88):INDIRECT("Table!" &amp; $CH$110 &amp; $BV88),0)),"",INDIRECT(CONCATENATE("Table!",ADDRESS($BR88,MATCH(B$1,INDIRECT("Table!A" &amp; $BV88):INDIRECT("Table!" &amp; $CH$110 &amp; $BV88),0)))))/1024</f>
        <v>37.79541015625</v>
      </c>
      <c r="C88" s="709">
        <f ca="1">IF(ISERROR(MATCH(C$1,INDIRECT("Table!A"&amp;$BV88):INDIRECT("Table!" &amp; $CH$110 &amp; $BV88),0)),"",INDIRECT(CONCATENATE("Table!",ADDRESS($BR88,MATCH(C$1,INDIRECT("Table!A" &amp; $BV88):INDIRECT("Table!" &amp; $CH$110 &amp; $BV88),0)))))/1024</f>
        <v>75.633203124999994</v>
      </c>
      <c r="D88" s="709">
        <f ca="1">IF(ISERROR(MATCH(D$1,INDIRECT("Table!A"&amp;$BV88):INDIRECT("Table!" &amp; $CH$110 &amp; $BV88),0)),"",INDIRECT(CONCATENATE("Table!",ADDRESS($BR88,MATCH(D$1,INDIRECT("Table!A" &amp; $BV88):INDIRECT("Table!" &amp; $CH$110 &amp; $BV88),0)))))/1024</f>
        <v>77.011914062499997</v>
      </c>
      <c r="E88" s="709">
        <f ca="1">IF(ISERROR(MATCH(E$1,INDIRECT("Table!A"&amp;$BV88):INDIRECT("Table!" &amp; $CH$110 &amp; $BV88),0)),"",INDIRECT(CONCATENATE("Table!",ADDRESS($BR88,MATCH(E$1,INDIRECT("Table!A" &amp; $BV88):INDIRECT("Table!" &amp; $CH$110 &amp; $BV88),0)))))/1024</f>
        <v>153.76279296875001</v>
      </c>
      <c r="F88" s="709">
        <f ca="1">IF(ISERROR(MATCH(F$1,INDIRECT("Table!A"&amp;$BV88):INDIRECT("Table!" &amp; $CH$110 &amp; $BV88),0)),"",INDIRECT(CONCATENATE("Table!",ADDRESS($BR88,MATCH(F$1,INDIRECT("Table!A" &amp; $BV88):INDIRECT("Table!" &amp; $CH$110 &amp; $BV88),0)))))/1024</f>
        <v>86.121386718750003</v>
      </c>
      <c r="G88" s="709">
        <f ca="1">IF(ISERROR(MATCH(G$1,INDIRECT("Table!A"&amp;$BV88):INDIRECT("Table!" &amp; $CH$110 &amp; $BV88),0)),"",INDIRECT(CONCATENATE("Table!",ADDRESS($BR88,MATCH(G$1,INDIRECT("Table!A" &amp; $BV88):INDIRECT("Table!" &amp; $CH$110 &amp; $BV88),0)))))/1024</f>
        <v>44.713281250000001</v>
      </c>
      <c r="H88" s="709">
        <f ca="1">IF(ISERROR(MATCH(H$1,INDIRECT("Table!A"&amp;$BV88):INDIRECT("Table!" &amp; $CH$110 &amp; $BV88),0)),"",INDIRECT(CONCATENATE("Table!",ADDRESS($BR88,MATCH(H$1,INDIRECT("Table!A" &amp; $BV88):INDIRECT("Table!" &amp; $CH$110 &amp; $BV88),0)))))/1024</f>
        <v>66.501269531250003</v>
      </c>
      <c r="I88" s="709">
        <f ca="1">IF(ISERROR(MATCH(I$1,INDIRECT("Table!A"&amp;$BV88):INDIRECT("Table!" &amp; $CH$110 &amp; $BV88),0)),"",INDIRECT(CONCATENATE("Table!",ADDRESS($BR88,MATCH(I$1,INDIRECT("Table!A" &amp; $BV88):INDIRECT("Table!" &amp; $CH$110 &amp; $BV88),0)))))/1024</f>
        <v>4.0497070312499996</v>
      </c>
      <c r="J88" s="709"/>
      <c r="K88" s="709"/>
      <c r="L88" s="709">
        <f ca="1">IF(ISERROR(MATCH(L$1,INDIRECT("Table!A"&amp;$BV88):INDIRECT("Table!" &amp; $CH$110 &amp; $BV88),0)),"",INDIRECT(CONCATENATE("Table!",ADDRESS($BR88,MATCH(L$1,INDIRECT("Table!A" &amp; $BV88):INDIRECT("Table!" &amp; $CH$110 &amp; $BV88),0)))))/1024</f>
        <v>152.11416015624999</v>
      </c>
      <c r="M88" s="709">
        <f ca="1">IF(ISERROR(MATCH(M$1,INDIRECT("Table!A"&amp;$BV88):INDIRECT("Table!" &amp; $CH$110 &amp; $BV88),0)),"",INDIRECT(CONCATENATE("Table!",ADDRESS($BR88,MATCH(M$1,INDIRECT("Table!A" &amp; $BV88):INDIRECT("Table!" &amp; $CH$110 &amp; $BV88),0)))))/1024</f>
        <v>54.888378906249997</v>
      </c>
      <c r="N88" s="709">
        <f ca="1">IF(ISERROR(MATCH(N$1,INDIRECT("Table!A"&amp;$BV88):INDIRECT("Table!" &amp; $CH$110 &amp; $BV88),0)),"",INDIRECT(CONCATENATE("Table!",ADDRESS($BR88,MATCH(N$1,INDIRECT("Table!A" &amp; $BV88):INDIRECT("Table!" &amp; $CH$110 &amp; $BV88),0)))))/1024</f>
        <v>44.681835937499997</v>
      </c>
      <c r="O88" s="709">
        <f ca="1">IF(ISERROR(MATCH(O$1,INDIRECT("Table!A"&amp;$BV88):INDIRECT("Table!" &amp; $CH$110 &amp; $BV88),0)),"",INDIRECT(CONCATENATE("Table!",ADDRESS($BR88,MATCH(O$1,INDIRECT("Table!A" &amp; $BV88):INDIRECT("Table!" &amp; $CH$110 &amp; $BV88),0)))))/1024</f>
        <v>129.27421874999999</v>
      </c>
      <c r="P88" s="709">
        <f ca="1">IF(ISERROR(MATCH(P$1,INDIRECT("Table!A"&amp;$BV88):INDIRECT("Table!" &amp; $CH$110 &amp; $BV88),0)),"",INDIRECT(CONCATENATE("Table!",ADDRESS($BR88,MATCH(P$1,INDIRECT("Table!A" &amp; $BV88):INDIRECT("Table!" &amp; $CH$110 &amp; $BV88),0)))))/1024</f>
        <v>7.9178710937499996</v>
      </c>
      <c r="Q88" s="709"/>
      <c r="R88" s="709"/>
      <c r="S88" s="709">
        <v>0</v>
      </c>
      <c r="T88" s="709">
        <f ca="1">IF(ISERROR(MATCH(T$1,INDIRECT("Table!A"&amp;$BV88):INDIRECT("Table!" &amp; $CH$65 &amp; $BV88),0)),"",INDIRECT(CONCATENATE("Table!",ADDRESS($BR88,MATCH(T$1,INDIRECT("Table!A" &amp; $BV88):INDIRECT("Table!" &amp; $CH$65 &amp; $BV88),0)))))/1024</f>
        <v>2.3234374999999998</v>
      </c>
      <c r="U88" s="709"/>
      <c r="V88" s="905"/>
      <c r="W88" s="905"/>
      <c r="X88" s="905"/>
      <c r="Y88" s="905"/>
      <c r="Z88" s="905"/>
      <c r="AA88" s="905"/>
      <c r="AB88" s="905"/>
      <c r="AC88" s="905"/>
      <c r="AD88" s="905"/>
      <c r="AE88" s="905"/>
      <c r="AF88" s="905"/>
      <c r="AG88" s="905"/>
      <c r="AH88" s="905"/>
      <c r="AI88" s="709" t="str">
        <f ca="1">IF(ISERROR(MATCH(AI$1,INDIRECT("Table!A"&amp;$BV88):INDIRECT("Table!" &amp; $CH$110 &amp; $BV88),0)),"",INDIRECT(CONCATENATE("Table!",ADDRESS($BR88,MATCH(AI$1,INDIRECT("Table!A" &amp; $BV88):INDIRECT("Table!" &amp; $CH$110 &amp; $BV88),0)))))</f>
        <v/>
      </c>
      <c r="AJ88" s="709">
        <f ca="1">IF(ISERROR(MATCH(AJ$1,INDIRECT("Table!A"&amp;$BV88):INDIRECT("Table!" &amp; $CH$110 &amp; $BV88),0)),"",INDIRECT(CONCATENATE("Table!",ADDRESS($BZ88,MATCH(AJ$1,INDIRECT("Table!A" &amp; $BV88):INDIRECT("Table!" &amp; $CH$110 &amp; $BV88),0)))))/1024</f>
        <v>140.03144531250001</v>
      </c>
      <c r="AK88" s="709">
        <f ca="1">IF(ISERROR(MATCH(AK$1,INDIRECT("Table!A"&amp;$BV88):INDIRECT("Table!" &amp; $CH$110 &amp; $BV88),0)),"",INDIRECT(CONCATENATE("Table!",ADDRESS($BZ88,MATCH(AK$1,INDIRECT("Table!A" &amp; $BV88):INDIRECT("Table!" &amp; $CH$110 &amp; $BV88),0)))))/1024</f>
        <v>146.98808593749999</v>
      </c>
      <c r="AL88" s="709">
        <f ca="1">IF(ISERROR(MATCH(AL$1,INDIRECT("Table!A"&amp;$BV88):INDIRECT("Table!" &amp; $CH$110 &amp; $BV88),0)),"",INDIRECT(CONCATENATE("Table!",ADDRESS($BZ88,MATCH(AL$1,INDIRECT("Table!A" &amp; $BV88):INDIRECT("Table!" &amp; $CH$110 &amp; $BV88),0)))))/1024</f>
        <v>146.98808593749999</v>
      </c>
      <c r="AM88" s="709">
        <f ca="1">IF(ISERROR(MATCH(AM$1,INDIRECT("Table!A"&amp;$BV88):INDIRECT("Table!" &amp; $CH$110 &amp; $BV88),0)),"",INDIRECT(CONCATENATE("Table!",ADDRESS($BZ88,MATCH(AM$1,INDIRECT("Table!A" &amp; $BV88):INDIRECT("Table!" &amp; $CH$110 &amp; $BV88),0)))))/1024</f>
        <v>177.73222656249999</v>
      </c>
      <c r="AN88" s="709">
        <f ca="1">IF(ISERROR(MATCH(AN$1,INDIRECT("Table!A"&amp;$BV88):INDIRECT("Table!" &amp; $CH$110 &amp; $BV88),0)),"",INDIRECT(CONCATENATE("Table!",ADDRESS($BZ88,MATCH(AN$1,INDIRECT("Table!A" &amp; $BV88):INDIRECT("Table!" &amp; $CH$110 &amp; $BV88),0)))))/1024</f>
        <v>161.57470703125</v>
      </c>
      <c r="AO88" s="709">
        <f ca="1">IF(ISERROR(MATCH(AO$1,INDIRECT("Table!A"&amp;$BV88):INDIRECT("Table!" &amp; $CH$110 &amp; $BV88),0)),"",INDIRECT(CONCATENATE("Table!",ADDRESS($BZ88,MATCH(AO$1,INDIRECT("Table!A" &amp; $BV88):INDIRECT("Table!" &amp; $CH$110 &amp; $BV88),0)))))/1024</f>
        <v>129.03515625</v>
      </c>
      <c r="AP88" s="709">
        <f ca="1">IF(ISERROR(MATCH(AP$1,INDIRECT("Table!A"&amp;$BV88):INDIRECT("Table!" &amp; $CH$110 &amp; $BV88),0)),"",INDIRECT(CONCATENATE("Table!",ADDRESS($BZ88,MATCH(AP$1,INDIRECT("Table!A" &amp; $BV88):INDIRECT("Table!" &amp; $CH$110 &amp; $BV88),0)))))/1024</f>
        <v>118.4880859375</v>
      </c>
      <c r="AQ88" s="709">
        <f ca="1">IF(ISERROR(MATCH(AQ$1,INDIRECT("Table!A"&amp;$BV88):INDIRECT("Table!" &amp; $CH$110 &amp; $BV88),0)),"",INDIRECT(CONCATENATE("Table!",ADDRESS($BZ88,MATCH(AQ$1,INDIRECT("Table!A" &amp; $BV88):INDIRECT("Table!" &amp; $CH$110 &amp; $BV88),0)))))/1024</f>
        <v>162.18544921874999</v>
      </c>
      <c r="AR88" s="709"/>
      <c r="AS88" s="709"/>
      <c r="AT88" s="709">
        <f ca="1">IF(ISERROR(MATCH(AT$1,INDIRECT("Table!A"&amp;$BV88):INDIRECT("Table!" &amp; $CH$110 &amp; $BV88),0)),"",INDIRECT(CONCATENATE("Table!",ADDRESS($BZ88,MATCH(AT$1,INDIRECT("Table!A" &amp; $BV88):INDIRECT("Table!" &amp; $CH$110 &amp; $BV88),0)))))/1024</f>
        <v>188.5029296875</v>
      </c>
      <c r="AU88" s="709">
        <f ca="1">IF(ISERROR(MATCH(AU$1,INDIRECT("Table!A"&amp;$BV88):INDIRECT("Table!" &amp; $CH$110 &amp; $BV88),0)),"",INDIRECT(CONCATENATE("Table!",ADDRESS($BZ88,MATCH(AU$1,INDIRECT("Table!A" &amp; $BV88):INDIRECT("Table!" &amp; $CH$110 &amp; $BV88),0)))))/1024</f>
        <v>129.03535156250001</v>
      </c>
      <c r="AV88" s="709">
        <f ca="1">IF(ISERROR(MATCH(AV$1,INDIRECT("Table!A"&amp;$BV88):INDIRECT("Table!" &amp; $CH$110 &amp; $BV88),0)),"",INDIRECT(CONCATENATE("Table!",ADDRESS($BZ88,MATCH(AV$1,INDIRECT("Table!A" &amp; $BV88):INDIRECT("Table!" &amp; $CH$110 &amp; $BV88),0)))))/1024</f>
        <v>80.787402343750003</v>
      </c>
      <c r="AW88" s="709">
        <f ca="1">IF(ISERROR(MATCH(AW$1,INDIRECT("Table!A"&amp;$BV88):INDIRECT("Table!" &amp; $CH$110 &amp; $BV88),0)),"",INDIRECT(CONCATENATE("Table!",ADDRESS($BZ88,MATCH(AW$1,INDIRECT("Table!A" &amp; $BV88):INDIRECT("Table!" &amp; $CH$110 &amp; $BV88),0)))))/1024</f>
        <v>172.34638671875001</v>
      </c>
      <c r="AX88" s="709">
        <f ca="1">IF(ISERROR(MATCH(AX$1,INDIRECT("Table!A"&amp;$BV88):INDIRECT("Table!" &amp; $CH$110 &amp; $BV88),0)),"",INDIRECT(CONCATENATE("Table!",ADDRESS($BZ88,MATCH(AX$1,INDIRECT("Table!A" &amp; $BV88):INDIRECT("Table!" &amp; $CH$110 &amp; $BV88),0)))))/1024</f>
        <v>81.0927734375</v>
      </c>
      <c r="AY88" s="709"/>
      <c r="AZ88" s="709"/>
      <c r="BA88" s="709"/>
      <c r="BB88" s="709">
        <f ca="1">IF(ISERROR(MATCH(BB$1,INDIRECT("Table!A"&amp;$BV88):INDIRECT("Table!" &amp; $CH$110 &amp; $BV88),0)),"",INDIRECT(CONCATENATE("Table!",ADDRESS($BZ88,MATCH(BB$1,INDIRECT("Table!A" &amp; $BV88):INDIRECT("Table!" &amp; $CH$110 &amp; $BV88),0)))))/1024</f>
        <v>32.31494140625</v>
      </c>
      <c r="BC88" s="709"/>
      <c r="BD88" s="905"/>
      <c r="BE88" s="905"/>
      <c r="BF88" s="905"/>
      <c r="BG88" s="905"/>
      <c r="BH88" s="905"/>
      <c r="BI88" s="905"/>
      <c r="BJ88" s="905"/>
      <c r="BK88" s="905"/>
      <c r="BL88" s="905"/>
      <c r="BM88" s="905"/>
      <c r="BN88" s="905"/>
      <c r="BO88" s="905"/>
      <c r="BP88" s="905"/>
      <c r="BQ88" s="905"/>
      <c r="BR88" s="704">
        <f>MATCH($A88,Table!$A:$A,0)+$BT$2-1</f>
        <v>1145</v>
      </c>
      <c r="BS88" s="705"/>
      <c r="BT88" s="705"/>
      <c r="BU88" s="705"/>
      <c r="BV88" s="717">
        <f>MATCH($A88,Table!$A:$A,0)+$BX$2-1</f>
        <v>1143</v>
      </c>
      <c r="BW88" s="705"/>
      <c r="BX88" s="705"/>
      <c r="BY88" s="705"/>
      <c r="BZ88" s="704">
        <f>MATCH($A88,Table!$A:$A,0)+$CB$2-1</f>
        <v>1144</v>
      </c>
      <c r="CA88" s="705"/>
      <c r="CB88" s="705"/>
      <c r="CC88" s="705"/>
      <c r="CD88" s="717">
        <f>MATCH($A88,Table!$A:$A,0)+$BX$2-1</f>
        <v>1143</v>
      </c>
      <c r="CE88" s="705"/>
      <c r="CF88" s="705"/>
      <c r="CG88" s="705"/>
      <c r="CH88" s="711" t="s">
        <v>302</v>
      </c>
      <c r="CI88" s="712">
        <f t="shared" ca="1" si="140"/>
        <v>1867.10302734375</v>
      </c>
      <c r="CJ88" s="712">
        <f t="shared" ca="1" si="141"/>
        <v>936.78886718749993</v>
      </c>
      <c r="CK88" s="712">
        <f t="shared" ca="1" si="137"/>
        <v>930.31416015625007</v>
      </c>
      <c r="CL88" s="718">
        <f t="shared" ca="1" si="138"/>
        <v>0.50173389120376</v>
      </c>
      <c r="CM88" s="712">
        <f ca="1">SUMIF('Alloc Feed'!A:I,A:A,'Alloc Feed'!I:I)</f>
        <v>0</v>
      </c>
      <c r="CN88" s="718">
        <f t="shared" ca="1" si="136"/>
        <v>0</v>
      </c>
    </row>
    <row r="89" spans="1:92" s="267" customFormat="1" x14ac:dyDescent="0.25">
      <c r="A89" s="703">
        <v>41353</v>
      </c>
      <c r="B89" s="709">
        <f ca="1">IF(ISERROR(MATCH(B$1,INDIRECT("Table!A"&amp;$BV89):INDIRECT("Table!" &amp; $CH$110 &amp; $BV89),0)),"",INDIRECT(CONCATENATE("Table!",ADDRESS($BR89,MATCH(B$1,INDIRECT("Table!A" &amp; $BV89):INDIRECT("Table!" &amp; $CH$110 &amp; $BV89),0)))))/1024</f>
        <v>38.236914062499999</v>
      </c>
      <c r="C89" s="709">
        <f ca="1">IF(ISERROR(MATCH(C$1,INDIRECT("Table!A"&amp;$BV89):INDIRECT("Table!" &amp; $CH$110 &amp; $BV89),0)),"",INDIRECT(CONCATENATE("Table!",ADDRESS($BR89,MATCH(C$1,INDIRECT("Table!A" &amp; $BV89):INDIRECT("Table!" &amp; $CH$110 &amp; $BV89),0)))))/1024</f>
        <v>75.616113281249994</v>
      </c>
      <c r="D89" s="709">
        <f ca="1">IF(ISERROR(MATCH(D$1,INDIRECT("Table!A"&amp;$BV89):INDIRECT("Table!" &amp; $CH$110 &amp; $BV89),0)),"",INDIRECT(CONCATENATE("Table!",ADDRESS($BR89,MATCH(D$1,INDIRECT("Table!A" &amp; $BV89):INDIRECT("Table!" &amp; $CH$110 &amp; $BV89),0)))))/1024</f>
        <v>76.994824218749997</v>
      </c>
      <c r="E89" s="709">
        <f ca="1">IF(ISERROR(MATCH(E$1,INDIRECT("Table!A"&amp;$BV89):INDIRECT("Table!" &amp; $CH$110 &amp; $BV89),0)),"",INDIRECT(CONCATENATE("Table!",ADDRESS($BR89,MATCH(E$1,INDIRECT("Table!A" &amp; $BV89):INDIRECT("Table!" &amp; $CH$110 &amp; $BV89),0)))))/1024</f>
        <v>153.66669921875001</v>
      </c>
      <c r="F89" s="709">
        <f ca="1">IF(ISERROR(MATCH(F$1,INDIRECT("Table!A"&amp;$BV89):INDIRECT("Table!" &amp; $CH$110 &amp; $BV89),0)),"",INDIRECT(CONCATENATE("Table!",ADDRESS($BR89,MATCH(F$1,INDIRECT("Table!A" &amp; $BV89):INDIRECT("Table!" &amp; $CH$110 &amp; $BV89),0)))))/1024</f>
        <v>85.866601562499994</v>
      </c>
      <c r="G89" s="709">
        <f ca="1">IF(ISERROR(MATCH(G$1,INDIRECT("Table!A"&amp;$BV89):INDIRECT("Table!" &amp; $CH$110 &amp; $BV89),0)),"",INDIRECT(CONCATENATE("Table!",ADDRESS($BR89,MATCH(G$1,INDIRECT("Table!A" &amp; $BV89):INDIRECT("Table!" &amp; $CH$110 &amp; $BV89),0)))))/1024</f>
        <v>45.049218750000001</v>
      </c>
      <c r="H89" s="709">
        <f ca="1">IF(ISERROR(MATCH(H$1,INDIRECT("Table!A"&amp;$BV89):INDIRECT("Table!" &amp; $CH$110 &amp; $BV89),0)),"",INDIRECT(CONCATENATE("Table!",ADDRESS($BR89,MATCH(H$1,INDIRECT("Table!A" &amp; $BV89):INDIRECT("Table!" &amp; $CH$110 &amp; $BV89),0)))))/1024</f>
        <v>66.476269531249997</v>
      </c>
      <c r="I89" s="709">
        <f ca="1">IF(ISERROR(MATCH(I$1,INDIRECT("Table!A"&amp;$BV89):INDIRECT("Table!" &amp; $CH$110 &amp; $BV89),0)),"",INDIRECT(CONCATENATE("Table!",ADDRESS($BR89,MATCH(I$1,INDIRECT("Table!A" &amp; $BV89):INDIRECT("Table!" &amp; $CH$110 &amp; $BV89),0)))))/1024</f>
        <v>4.0481445312500002</v>
      </c>
      <c r="J89" s="709"/>
      <c r="K89" s="709"/>
      <c r="L89" s="709">
        <f ca="1">IF(ISERROR(MATCH(L$1,INDIRECT("Table!A"&amp;$BV89):INDIRECT("Table!" &amp; $CH$110 &amp; $BV89),0)),"",INDIRECT(CONCATENATE("Table!",ADDRESS($BR89,MATCH(L$1,INDIRECT("Table!A" &amp; $BV89):INDIRECT("Table!" &amp; $CH$110 &amp; $BV89),0)))))/1024</f>
        <v>152.0810546875</v>
      </c>
      <c r="M89" s="709">
        <f ca="1">IF(ISERROR(MATCH(M$1,INDIRECT("Table!A"&amp;$BV89):INDIRECT("Table!" &amp; $CH$110 &amp; $BV89),0)),"",INDIRECT(CONCATENATE("Table!",ADDRESS($BR89,MATCH(M$1,INDIRECT("Table!A" &amp; $BV89):INDIRECT("Table!" &amp; $CH$110 &amp; $BV89),0)))))/1024</f>
        <v>56.868066406250001</v>
      </c>
      <c r="N89" s="709">
        <f ca="1">IF(ISERROR(MATCH(N$1,INDIRECT("Table!A"&amp;$BV89):INDIRECT("Table!" &amp; $CH$110 &amp; $BV89),0)),"",INDIRECT(CONCATENATE("Table!",ADDRESS($BR89,MATCH(N$1,INDIRECT("Table!A" &amp; $BV89):INDIRECT("Table!" &amp; $CH$110 &amp; $BV89),0)))))/1024</f>
        <v>44.580468750000001</v>
      </c>
      <c r="O89" s="709">
        <f ca="1">IF(ISERROR(MATCH(O$1,INDIRECT("Table!A"&amp;$BV89):INDIRECT("Table!" &amp; $CH$110 &amp; $BV89),0)),"",INDIRECT(CONCATENATE("Table!",ADDRESS($BR89,MATCH(O$1,INDIRECT("Table!A" &amp; $BV89):INDIRECT("Table!" &amp; $CH$110 &amp; $BV89),0)))))/1024</f>
        <v>129.21132812499999</v>
      </c>
      <c r="P89" s="709">
        <f ca="1">IF(ISERROR(MATCH(P$1,INDIRECT("Table!A"&amp;$BV89):INDIRECT("Table!" &amp; $CH$110 &amp; $BV89),0)),"",INDIRECT(CONCATENATE("Table!",ADDRESS($BR89,MATCH(P$1,INDIRECT("Table!A" &amp; $BV89):INDIRECT("Table!" &amp; $CH$110 &amp; $BV89),0)))))/1024</f>
        <v>7.9152343749999998</v>
      </c>
      <c r="Q89" s="709"/>
      <c r="R89" s="709"/>
      <c r="S89" s="709">
        <v>0</v>
      </c>
      <c r="T89" s="709">
        <f ca="1">IF(ISERROR(MATCH(T$1,INDIRECT("Table!A"&amp;$BV89):INDIRECT("Table!" &amp; $CH$65 &amp; $BV89),0)),"",INDIRECT(CONCATENATE("Table!",ADDRESS($BR89,MATCH(T$1,INDIRECT("Table!A" &amp; $BV89):INDIRECT("Table!" &amp; $CH$65 &amp; $BV89),0)))))/1024</f>
        <v>2.3036132812500001</v>
      </c>
      <c r="U89" s="709"/>
      <c r="V89" s="905"/>
      <c r="W89" s="905"/>
      <c r="X89" s="905"/>
      <c r="Y89" s="905"/>
      <c r="Z89" s="905"/>
      <c r="AA89" s="905"/>
      <c r="AB89" s="905"/>
      <c r="AC89" s="905"/>
      <c r="AD89" s="905"/>
      <c r="AE89" s="905"/>
      <c r="AF89" s="905"/>
      <c r="AG89" s="905"/>
      <c r="AH89" s="905"/>
      <c r="AI89" s="709" t="str">
        <f ca="1">IF(ISERROR(MATCH(AI$1,INDIRECT("Table!A"&amp;$BV89):INDIRECT("Table!" &amp; $CH$110 &amp; $BV89),0)),"",INDIRECT(CONCATENATE("Table!",ADDRESS($BR89,MATCH(AI$1,INDIRECT("Table!A" &amp; $BV89):INDIRECT("Table!" &amp; $CH$110 &amp; $BV89),0)))))</f>
        <v/>
      </c>
      <c r="AJ89" s="709">
        <f ca="1">IF(ISERROR(MATCH(AJ$1,INDIRECT("Table!A"&amp;$BV89):INDIRECT("Table!" &amp; $CH$110 &amp; $BV89),0)),"",INDIRECT(CONCATENATE("Table!",ADDRESS($BZ89,MATCH(AJ$1,INDIRECT("Table!A" &amp; $BV89):INDIRECT("Table!" &amp; $CH$110 &amp; $BV89),0)))))/1024</f>
        <v>140.03144531250001</v>
      </c>
      <c r="AK89" s="709">
        <f ca="1">IF(ISERROR(MATCH(AK$1,INDIRECT("Table!A"&amp;$BV89):INDIRECT("Table!" &amp; $CH$110 &amp; $BV89),0)),"",INDIRECT(CONCATENATE("Table!",ADDRESS($BZ89,MATCH(AK$1,INDIRECT("Table!A" &amp; $BV89):INDIRECT("Table!" &amp; $CH$110 &amp; $BV89),0)))))/1024</f>
        <v>146.98808593749999</v>
      </c>
      <c r="AL89" s="709">
        <f ca="1">IF(ISERROR(MATCH(AL$1,INDIRECT("Table!A"&amp;$BV89):INDIRECT("Table!" &amp; $CH$110 &amp; $BV89),0)),"",INDIRECT(CONCATENATE("Table!",ADDRESS($BZ89,MATCH(AL$1,INDIRECT("Table!A" &amp; $BV89):INDIRECT("Table!" &amp; $CH$110 &amp; $BV89),0)))))/1024</f>
        <v>146.98808593749999</v>
      </c>
      <c r="AM89" s="709">
        <f ca="1">IF(ISERROR(MATCH(AM$1,INDIRECT("Table!A"&amp;$BV89):INDIRECT("Table!" &amp; $CH$110 &amp; $BV89),0)),"",INDIRECT(CONCATENATE("Table!",ADDRESS($BZ89,MATCH(AM$1,INDIRECT("Table!A" &amp; $BV89):INDIRECT("Table!" &amp; $CH$110 &amp; $BV89),0)))))/1024</f>
        <v>177.73222656249999</v>
      </c>
      <c r="AN89" s="709">
        <f ca="1">IF(ISERROR(MATCH(AN$1,INDIRECT("Table!A"&amp;$BV89):INDIRECT("Table!" &amp; $CH$110 &amp; $BV89),0)),"",INDIRECT(CONCATENATE("Table!",ADDRESS($BZ89,MATCH(AN$1,INDIRECT("Table!A" &amp; $BV89):INDIRECT("Table!" &amp; $CH$110 &amp; $BV89),0)))))/1024</f>
        <v>161.57470703125</v>
      </c>
      <c r="AO89" s="709">
        <f ca="1">IF(ISERROR(MATCH(AO$1,INDIRECT("Table!A"&amp;$BV89):INDIRECT("Table!" &amp; $CH$110 &amp; $BV89),0)),"",INDIRECT(CONCATENATE("Table!",ADDRESS($BZ89,MATCH(AO$1,INDIRECT("Table!A" &amp; $BV89):INDIRECT("Table!" &amp; $CH$110 &amp; $BV89),0)))))/1024</f>
        <v>129.03515625</v>
      </c>
      <c r="AP89" s="709">
        <f ca="1">IF(ISERROR(MATCH(AP$1,INDIRECT("Table!A"&amp;$BV89):INDIRECT("Table!" &amp; $CH$110 &amp; $BV89),0)),"",INDIRECT(CONCATENATE("Table!",ADDRESS($BZ89,MATCH(AP$1,INDIRECT("Table!A" &amp; $BV89):INDIRECT("Table!" &amp; $CH$110 &amp; $BV89),0)))))/1024</f>
        <v>118.4880859375</v>
      </c>
      <c r="AQ89" s="709">
        <f ca="1">IF(ISERROR(MATCH(AQ$1,INDIRECT("Table!A"&amp;$BV89):INDIRECT("Table!" &amp; $CH$110 &amp; $BV89),0)),"",INDIRECT(CONCATENATE("Table!",ADDRESS($BZ89,MATCH(AQ$1,INDIRECT("Table!A" &amp; $BV89):INDIRECT("Table!" &amp; $CH$110 &amp; $BV89),0)))))/1024</f>
        <v>162.18544921874999</v>
      </c>
      <c r="AR89" s="709"/>
      <c r="AS89" s="709"/>
      <c r="AT89" s="709">
        <f ca="1">IF(ISERROR(MATCH(AT$1,INDIRECT("Table!A"&amp;$BV89):INDIRECT("Table!" &amp; $CH$110 &amp; $BV89),0)),"",INDIRECT(CONCATENATE("Table!",ADDRESS($BZ89,MATCH(AT$1,INDIRECT("Table!A" &amp; $BV89):INDIRECT("Table!" &amp; $CH$110 &amp; $BV89),0)))))/1024</f>
        <v>188.5029296875</v>
      </c>
      <c r="AU89" s="709">
        <f ca="1">IF(ISERROR(MATCH(AU$1,INDIRECT("Table!A"&amp;$BV89):INDIRECT("Table!" &amp; $CH$110 &amp; $BV89),0)),"",INDIRECT(CONCATENATE("Table!",ADDRESS($BZ89,MATCH(AU$1,INDIRECT("Table!A" &amp; $BV89):INDIRECT("Table!" &amp; $CH$110 &amp; $BV89),0)))))/1024</f>
        <v>129.03535156250001</v>
      </c>
      <c r="AV89" s="709">
        <f ca="1">IF(ISERROR(MATCH(AV$1,INDIRECT("Table!A"&amp;$BV89):INDIRECT("Table!" &amp; $CH$110 &amp; $BV89),0)),"",INDIRECT(CONCATENATE("Table!",ADDRESS($BZ89,MATCH(AV$1,INDIRECT("Table!A" &amp; $BV89):INDIRECT("Table!" &amp; $CH$110 &amp; $BV89),0)))))/1024</f>
        <v>80.787402343750003</v>
      </c>
      <c r="AW89" s="709">
        <f ca="1">IF(ISERROR(MATCH(AW$1,INDIRECT("Table!A"&amp;$BV89):INDIRECT("Table!" &amp; $CH$110 &amp; $BV89),0)),"",INDIRECT(CONCATENATE("Table!",ADDRESS($BZ89,MATCH(AW$1,INDIRECT("Table!A" &amp; $BV89):INDIRECT("Table!" &amp; $CH$110 &amp; $BV89),0)))))/1024</f>
        <v>172.34638671875001</v>
      </c>
      <c r="AX89" s="709">
        <f ca="1">IF(ISERROR(MATCH(AX$1,INDIRECT("Table!A"&amp;$BV89):INDIRECT("Table!" &amp; $CH$110 &amp; $BV89),0)),"",INDIRECT(CONCATENATE("Table!",ADDRESS($BZ89,MATCH(AX$1,INDIRECT("Table!A" &amp; $BV89):INDIRECT("Table!" &amp; $CH$110 &amp; $BV89),0)))))/1024</f>
        <v>81.0927734375</v>
      </c>
      <c r="AY89" s="709"/>
      <c r="AZ89" s="709"/>
      <c r="BA89" s="709"/>
      <c r="BB89" s="709">
        <f ca="1">IF(ISERROR(MATCH(BB$1,INDIRECT("Table!A"&amp;$BV89):INDIRECT("Table!" &amp; $CH$110 &amp; $BV89),0)),"",INDIRECT(CONCATENATE("Table!",ADDRESS($BZ89,MATCH(BB$1,INDIRECT("Table!A" &amp; $BV89):INDIRECT("Table!" &amp; $CH$110 &amp; $BV89),0)))))/1024</f>
        <v>32.31494140625</v>
      </c>
      <c r="BC89" s="709"/>
      <c r="BD89" s="905"/>
      <c r="BE89" s="905"/>
      <c r="BF89" s="905"/>
      <c r="BG89" s="905"/>
      <c r="BH89" s="905"/>
      <c r="BI89" s="905"/>
      <c r="BJ89" s="905"/>
      <c r="BK89" s="905"/>
      <c r="BL89" s="905"/>
      <c r="BM89" s="905"/>
      <c r="BN89" s="905"/>
      <c r="BO89" s="905"/>
      <c r="BP89" s="905"/>
      <c r="BQ89" s="905"/>
      <c r="BR89" s="704">
        <f>MATCH($A89,Table!$A:$A,0)+$BT$2-1</f>
        <v>1157</v>
      </c>
      <c r="BS89" s="705"/>
      <c r="BT89" s="705"/>
      <c r="BU89" s="705"/>
      <c r="BV89" s="717">
        <f>MATCH($A89,Table!$A:$A,0)+$BX$2-1</f>
        <v>1155</v>
      </c>
      <c r="BW89" s="705"/>
      <c r="BX89" s="705"/>
      <c r="BY89" s="705"/>
      <c r="BZ89" s="704">
        <f>MATCH($A89,Table!$A:$A,0)+$CB$2-1</f>
        <v>1156</v>
      </c>
      <c r="CA89" s="705"/>
      <c r="CB89" s="705"/>
      <c r="CC89" s="705"/>
      <c r="CD89" s="717">
        <f>MATCH($A89,Table!$A:$A,0)+$BX$2-1</f>
        <v>1155</v>
      </c>
      <c r="CE89" s="705"/>
      <c r="CF89" s="705"/>
      <c r="CG89" s="705"/>
      <c r="CH89" s="711" t="s">
        <v>302</v>
      </c>
      <c r="CI89" s="712">
        <f t="shared" ca="1" si="140"/>
        <v>1867.10302734375</v>
      </c>
      <c r="CJ89" s="712">
        <f t="shared" ca="1" si="141"/>
        <v>938.91455078125011</v>
      </c>
      <c r="CK89" s="712">
        <f t="shared" ca="1" si="137"/>
        <v>928.18847656249989</v>
      </c>
      <c r="CL89" s="718">
        <f t="shared" ca="1" si="138"/>
        <v>0.50287238413244117</v>
      </c>
      <c r="CM89" s="712">
        <f ca="1">SUMIF('Alloc Feed'!A:I,A:A,'Alloc Feed'!I:I)</f>
        <v>0</v>
      </c>
      <c r="CN89" s="718">
        <f t="shared" ca="1" si="136"/>
        <v>0</v>
      </c>
    </row>
    <row r="90" spans="1:92" s="267" customFormat="1" x14ac:dyDescent="0.25">
      <c r="A90" s="703">
        <v>41351</v>
      </c>
      <c r="B90" s="709">
        <f ca="1">IF(ISERROR(MATCH(B$1,INDIRECT("Table!A"&amp;$BV90):INDIRECT("Table!" &amp; $CH$110 &amp; $BV90),0)),"",INDIRECT(CONCATENATE("Table!",ADDRESS($BR90,MATCH(B$1,INDIRECT("Table!A" &amp; $BV90):INDIRECT("Table!" &amp; $CH$110 &amp; $BV90),0)))))/1024</f>
        <v>38.629980468749999</v>
      </c>
      <c r="C90" s="709">
        <f ca="1">IF(ISERROR(MATCH(C$1,INDIRECT("Table!A"&amp;$BV90):INDIRECT("Table!" &amp; $CH$110 &amp; $BV90),0)),"",INDIRECT(CONCATENATE("Table!",ADDRESS($BR90,MATCH(C$1,INDIRECT("Table!A" &amp; $BV90):INDIRECT("Table!" &amp; $CH$110 &amp; $BV90),0)))))/1024</f>
        <v>75.5986328125</v>
      </c>
      <c r="D90" s="709">
        <f ca="1">IF(ISERROR(MATCH(D$1,INDIRECT("Table!A"&amp;$BV90):INDIRECT("Table!" &amp; $CH$110 &amp; $BV90),0)),"",INDIRECT(CONCATENATE("Table!",ADDRESS($BR90,MATCH(D$1,INDIRECT("Table!A" &amp; $BV90):INDIRECT("Table!" &amp; $CH$110 &amp; $BV90),0)))))/1024</f>
        <v>76.977441406249994</v>
      </c>
      <c r="E90" s="709">
        <f ca="1">IF(ISERROR(MATCH(E$1,INDIRECT("Table!A"&amp;$BV90):INDIRECT("Table!" &amp; $CH$110 &amp; $BV90),0)),"",INDIRECT(CONCATENATE("Table!",ADDRESS($BR90,MATCH(E$1,INDIRECT("Table!A" &amp; $BV90):INDIRECT("Table!" &amp; $CH$110 &amp; $BV90),0)))))/1024</f>
        <v>153.00166015625001</v>
      </c>
      <c r="F90" s="709">
        <f ca="1">IF(ISERROR(MATCH(F$1,INDIRECT("Table!A"&amp;$BV90):INDIRECT("Table!" &amp; $CH$110 &amp; $BV90),0)),"",INDIRECT(CONCATENATE("Table!",ADDRESS($BR90,MATCH(F$1,INDIRECT("Table!A" &amp; $BV90):INDIRECT("Table!" &amp; $CH$110 &amp; $BV90),0)))))/1024</f>
        <v>85.728125000000006</v>
      </c>
      <c r="G90" s="709">
        <f ca="1">IF(ISERROR(MATCH(G$1,INDIRECT("Table!A"&amp;$BV90):INDIRECT("Table!" &amp; $CH$110 &amp; $BV90),0)),"",INDIRECT(CONCATENATE("Table!",ADDRESS($BR90,MATCH(G$1,INDIRECT("Table!A" &amp; $BV90):INDIRECT("Table!" &amp; $CH$110 &amp; $BV90),0)))))/1024</f>
        <v>45.7197265625</v>
      </c>
      <c r="H90" s="709">
        <f ca="1">IF(ISERROR(MATCH(H$1,INDIRECT("Table!A"&amp;$BV90):INDIRECT("Table!" &amp; $CH$110 &amp; $BV90),0)),"",INDIRECT(CONCATENATE("Table!",ADDRESS($BR90,MATCH(H$1,INDIRECT("Table!A" &amp; $BV90):INDIRECT("Table!" &amp; $CH$110 &amp; $BV90),0)))))/1024</f>
        <v>66.450585937499994</v>
      </c>
      <c r="I90" s="709">
        <f ca="1">IF(ISERROR(MATCH(I$1,INDIRECT("Table!A"&amp;$BV90):INDIRECT("Table!" &amp; $CH$110 &amp; $BV90),0)),"",INDIRECT(CONCATENATE("Table!",ADDRESS($BR90,MATCH(I$1,INDIRECT("Table!A" &amp; $BV90):INDIRECT("Table!" &amp; $CH$110 &amp; $BV90),0)))))/1024</f>
        <v>4.04638671875</v>
      </c>
      <c r="J90" s="709"/>
      <c r="K90" s="709"/>
      <c r="L90" s="709">
        <f ca="1">IF(ISERROR(MATCH(L$1,INDIRECT("Table!A"&amp;$BV90):INDIRECT("Table!" &amp; $CH$110 &amp; $BV90),0)),"",INDIRECT(CONCATENATE("Table!",ADDRESS($BR90,MATCH(L$1,INDIRECT("Table!A" &amp; $BV90):INDIRECT("Table!" &amp; $CH$110 &amp; $BV90),0)))))/1024</f>
        <v>152.04707031250001</v>
      </c>
      <c r="M90" s="709">
        <f ca="1">IF(ISERROR(MATCH(M$1,INDIRECT("Table!A"&amp;$BV90):INDIRECT("Table!" &amp; $CH$110 &amp; $BV90),0)),"",INDIRECT(CONCATENATE("Table!",ADDRESS($BR90,MATCH(M$1,INDIRECT("Table!A" &amp; $BV90):INDIRECT("Table!" &amp; $CH$110 &amp; $BV90),0)))))/1024</f>
        <v>56.898046874999999</v>
      </c>
      <c r="N90" s="709">
        <f ca="1">IF(ISERROR(MATCH(N$1,INDIRECT("Table!A"&amp;$BV90):INDIRECT("Table!" &amp; $CH$110 &amp; $BV90),0)),"",INDIRECT(CONCATENATE("Table!",ADDRESS($BR90,MATCH(N$1,INDIRECT("Table!A" &amp; $BV90):INDIRECT("Table!" &amp; $CH$110 &amp; $BV90),0)))))/1024</f>
        <v>43.712499999999999</v>
      </c>
      <c r="O90" s="709">
        <f ca="1">IF(ISERROR(MATCH(O$1,INDIRECT("Table!A"&amp;$BV90):INDIRECT("Table!" &amp; $CH$110 &amp; $BV90),0)),"",INDIRECT(CONCATENATE("Table!",ADDRESS($BR90,MATCH(O$1,INDIRECT("Table!A" &amp; $BV90):INDIRECT("Table!" &amp; $CH$110 &amp; $BV90),0)))))/1024</f>
        <v>129.16630859374999</v>
      </c>
      <c r="P90" s="709">
        <f ca="1">IF(ISERROR(MATCH(P$1,INDIRECT("Table!A"&amp;$BV90):INDIRECT("Table!" &amp; $CH$110 &amp; $BV90),0)),"",INDIRECT(CONCATENATE("Table!",ADDRESS($BR90,MATCH(P$1,INDIRECT("Table!A" &amp; $BV90):INDIRECT("Table!" &amp; $CH$110 &amp; $BV90),0)))))/1024</f>
        <v>7.9126953125000004</v>
      </c>
      <c r="Q90" s="709"/>
      <c r="R90" s="709"/>
      <c r="S90" s="709">
        <v>0</v>
      </c>
      <c r="T90" s="709">
        <f ca="1">IF(ISERROR(MATCH(T$1,INDIRECT("Table!A"&amp;$BV90):INDIRECT("Table!" &amp; $CH$65 &amp; $BV90),0)),"",INDIRECT(CONCATENATE("Table!",ADDRESS($BR90,MATCH(T$1,INDIRECT("Table!A" &amp; $BV90):INDIRECT("Table!" &amp; $CH$65 &amp; $BV90),0)))))/1024</f>
        <v>2.2984374999999999</v>
      </c>
      <c r="U90" s="709"/>
      <c r="V90" s="905"/>
      <c r="W90" s="905"/>
      <c r="X90" s="905"/>
      <c r="Y90" s="905"/>
      <c r="Z90" s="905"/>
      <c r="AA90" s="905"/>
      <c r="AB90" s="905"/>
      <c r="AC90" s="905"/>
      <c r="AD90" s="905"/>
      <c r="AE90" s="905"/>
      <c r="AF90" s="905"/>
      <c r="AG90" s="905"/>
      <c r="AH90" s="905"/>
      <c r="AI90" s="709" t="str">
        <f ca="1">IF(ISERROR(MATCH(AI$1,INDIRECT("Table!A"&amp;$BV90):INDIRECT("Table!" &amp; $CH$110 &amp; $BV90),0)),"",INDIRECT(CONCATENATE("Table!",ADDRESS($BR90,MATCH(AI$1,INDIRECT("Table!A" &amp; $BV90):INDIRECT("Table!" &amp; $CH$110 &amp; $BV90),0)))))</f>
        <v/>
      </c>
      <c r="AJ90" s="709">
        <f ca="1">IF(ISERROR(MATCH(AJ$1,INDIRECT("Table!A"&amp;$BV90):INDIRECT("Table!" &amp; $CH$110 &amp; $BV90),0)),"",INDIRECT(CONCATENATE("Table!",ADDRESS($BZ90,MATCH(AJ$1,INDIRECT("Table!A" &amp; $BV90):INDIRECT("Table!" &amp; $CH$110 &amp; $BV90),0)))))/1024</f>
        <v>140.03144531250001</v>
      </c>
      <c r="AK90" s="709">
        <f ca="1">IF(ISERROR(MATCH(AK$1,INDIRECT("Table!A"&amp;$BV90):INDIRECT("Table!" &amp; $CH$110 &amp; $BV90),0)),"",INDIRECT(CONCATENATE("Table!",ADDRESS($BZ90,MATCH(AK$1,INDIRECT("Table!A" &amp; $BV90):INDIRECT("Table!" &amp; $CH$110 &amp; $BV90),0)))))/1024</f>
        <v>146.98808593749999</v>
      </c>
      <c r="AL90" s="709">
        <f ca="1">IF(ISERROR(MATCH(AL$1,INDIRECT("Table!A"&amp;$BV90):INDIRECT("Table!" &amp; $CH$110 &amp; $BV90),0)),"",INDIRECT(CONCATENATE("Table!",ADDRESS($BZ90,MATCH(AL$1,INDIRECT("Table!A" &amp; $BV90):INDIRECT("Table!" &amp; $CH$110 &amp; $BV90),0)))))/1024</f>
        <v>146.98808593749999</v>
      </c>
      <c r="AM90" s="709">
        <f ca="1">IF(ISERROR(MATCH(AM$1,INDIRECT("Table!A"&amp;$BV90):INDIRECT("Table!" &amp; $CH$110 &amp; $BV90),0)),"",INDIRECT(CONCATENATE("Table!",ADDRESS($BZ90,MATCH(AM$1,INDIRECT("Table!A" &amp; $BV90):INDIRECT("Table!" &amp; $CH$110 &amp; $BV90),0)))))/1024</f>
        <v>177.73222656249999</v>
      </c>
      <c r="AN90" s="709">
        <f ca="1">IF(ISERROR(MATCH(AN$1,INDIRECT("Table!A"&amp;$BV90):INDIRECT("Table!" &amp; $CH$110 &amp; $BV90),0)),"",INDIRECT(CONCATENATE("Table!",ADDRESS($BZ90,MATCH(AN$1,INDIRECT("Table!A" &amp; $BV90):INDIRECT("Table!" &amp; $CH$110 &amp; $BV90),0)))))/1024</f>
        <v>161.57470703125</v>
      </c>
      <c r="AO90" s="709">
        <f ca="1">IF(ISERROR(MATCH(AO$1,INDIRECT("Table!A"&amp;$BV90):INDIRECT("Table!" &amp; $CH$110 &amp; $BV90),0)),"",INDIRECT(CONCATENATE("Table!",ADDRESS($BZ90,MATCH(AO$1,INDIRECT("Table!A" &amp; $BV90):INDIRECT("Table!" &amp; $CH$110 &amp; $BV90),0)))))/1024</f>
        <v>129.03515625</v>
      </c>
      <c r="AP90" s="709">
        <f ca="1">IF(ISERROR(MATCH(AP$1,INDIRECT("Table!A"&amp;$BV90):INDIRECT("Table!" &amp; $CH$110 &amp; $BV90),0)),"",INDIRECT(CONCATENATE("Table!",ADDRESS($BZ90,MATCH(AP$1,INDIRECT("Table!A" &amp; $BV90):INDIRECT("Table!" &amp; $CH$110 &amp; $BV90),0)))))/1024</f>
        <v>118.4880859375</v>
      </c>
      <c r="AQ90" s="709">
        <f ca="1">IF(ISERROR(MATCH(AQ$1,INDIRECT("Table!A"&amp;$BV90):INDIRECT("Table!" &amp; $CH$110 &amp; $BV90),0)),"",INDIRECT(CONCATENATE("Table!",ADDRESS($BZ90,MATCH(AQ$1,INDIRECT("Table!A" &amp; $BV90):INDIRECT("Table!" &amp; $CH$110 &amp; $BV90),0)))))/1024</f>
        <v>162.18544921874999</v>
      </c>
      <c r="AR90" s="709"/>
      <c r="AS90" s="709"/>
      <c r="AT90" s="709">
        <f ca="1">IF(ISERROR(MATCH(AT$1,INDIRECT("Table!A"&amp;$BV90):INDIRECT("Table!" &amp; $CH$110 &amp; $BV90),0)),"",INDIRECT(CONCATENATE("Table!",ADDRESS($BZ90,MATCH(AT$1,INDIRECT("Table!A" &amp; $BV90):INDIRECT("Table!" &amp; $CH$110 &amp; $BV90),0)))))/1024</f>
        <v>188.5029296875</v>
      </c>
      <c r="AU90" s="709">
        <f ca="1">IF(ISERROR(MATCH(AU$1,INDIRECT("Table!A"&amp;$BV90):INDIRECT("Table!" &amp; $CH$110 &amp; $BV90),0)),"",INDIRECT(CONCATENATE("Table!",ADDRESS($BZ90,MATCH(AU$1,INDIRECT("Table!A" &amp; $BV90):INDIRECT("Table!" &amp; $CH$110 &amp; $BV90),0)))))/1024</f>
        <v>129.03535156250001</v>
      </c>
      <c r="AV90" s="709">
        <f ca="1">IF(ISERROR(MATCH(AV$1,INDIRECT("Table!A"&amp;$BV90):INDIRECT("Table!" &amp; $CH$110 &amp; $BV90),0)),"",INDIRECT(CONCATENATE("Table!",ADDRESS($BZ90,MATCH(AV$1,INDIRECT("Table!A" &amp; $BV90):INDIRECT("Table!" &amp; $CH$110 &amp; $BV90),0)))))/1024</f>
        <v>80.787402343750003</v>
      </c>
      <c r="AW90" s="709">
        <f ca="1">IF(ISERROR(MATCH(AW$1,INDIRECT("Table!A"&amp;$BV90):INDIRECT("Table!" &amp; $CH$110 &amp; $BV90),0)),"",INDIRECT(CONCATENATE("Table!",ADDRESS($BZ90,MATCH(AW$1,INDIRECT("Table!A" &amp; $BV90):INDIRECT("Table!" &amp; $CH$110 &amp; $BV90),0)))))/1024</f>
        <v>172.34638671875001</v>
      </c>
      <c r="AX90" s="709">
        <f ca="1">IF(ISERROR(MATCH(AX$1,INDIRECT("Table!A"&amp;$BV90):INDIRECT("Table!" &amp; $CH$110 &amp; $BV90),0)),"",INDIRECT(CONCATENATE("Table!",ADDRESS($BZ90,MATCH(AX$1,INDIRECT("Table!A" &amp; $BV90):INDIRECT("Table!" &amp; $CH$110 &amp; $BV90),0)))))/1024</f>
        <v>81.0927734375</v>
      </c>
      <c r="AY90" s="709"/>
      <c r="AZ90" s="709"/>
      <c r="BA90" s="709"/>
      <c r="BB90" s="709">
        <f ca="1">IF(ISERROR(MATCH(BB$1,INDIRECT("Table!A"&amp;$BV90):INDIRECT("Table!" &amp; $CH$110 &amp; $BV90),0)),"",INDIRECT(CONCATENATE("Table!",ADDRESS($BZ90,MATCH(BB$1,INDIRECT("Table!A" &amp; $BV90):INDIRECT("Table!" &amp; $CH$110 &amp; $BV90),0)))))/1024</f>
        <v>32.31494140625</v>
      </c>
      <c r="BC90" s="709"/>
      <c r="BD90" s="905"/>
      <c r="BE90" s="905"/>
      <c r="BF90" s="905"/>
      <c r="BG90" s="905"/>
      <c r="BH90" s="905"/>
      <c r="BI90" s="905"/>
      <c r="BJ90" s="905"/>
      <c r="BK90" s="905"/>
      <c r="BL90" s="905"/>
      <c r="BM90" s="905"/>
      <c r="BN90" s="905"/>
      <c r="BO90" s="905"/>
      <c r="BP90" s="905"/>
      <c r="BQ90" s="905"/>
      <c r="BR90" s="704">
        <f>MATCH($A90,Table!$A:$A,0)+$BT$2-1</f>
        <v>1169</v>
      </c>
      <c r="BS90" s="705"/>
      <c r="BT90" s="705"/>
      <c r="BU90" s="705"/>
      <c r="BV90" s="717">
        <f>MATCH($A90,Table!$A:$A,0)+$BX$2-1</f>
        <v>1167</v>
      </c>
      <c r="BW90" s="705"/>
      <c r="BX90" s="705"/>
      <c r="BY90" s="705"/>
      <c r="BZ90" s="704">
        <f>MATCH($A90,Table!$A:$A,0)+$CB$2-1</f>
        <v>1168</v>
      </c>
      <c r="CA90" s="705"/>
      <c r="CB90" s="705"/>
      <c r="CC90" s="705"/>
      <c r="CD90" s="717">
        <f>MATCH($A90,Table!$A:$A,0)+$BX$2-1</f>
        <v>1167</v>
      </c>
      <c r="CE90" s="705"/>
      <c r="CF90" s="705"/>
      <c r="CG90" s="705"/>
      <c r="CH90" s="711" t="s">
        <v>302</v>
      </c>
      <c r="CI90" s="712">
        <f t="shared" ca="1" si="140"/>
        <v>1867.10302734375</v>
      </c>
      <c r="CJ90" s="712">
        <f t="shared" ca="1" si="141"/>
        <v>938.18759765625009</v>
      </c>
      <c r="CK90" s="712">
        <f t="shared" ca="1" si="137"/>
        <v>928.91542968749991</v>
      </c>
      <c r="CL90" s="718">
        <f t="shared" ca="1" si="138"/>
        <v>0.50248303597416943</v>
      </c>
      <c r="CM90" s="712">
        <f ca="1">SUMIF('Alloc Feed'!A:I,A:A,'Alloc Feed'!I:I)</f>
        <v>0</v>
      </c>
      <c r="CN90" s="718">
        <f t="shared" ca="1" si="136"/>
        <v>0</v>
      </c>
    </row>
    <row r="91" spans="1:92" s="267" customFormat="1" x14ac:dyDescent="0.25">
      <c r="A91" s="703">
        <v>41347</v>
      </c>
      <c r="B91" s="709">
        <f ca="1">IF(ISERROR(MATCH(B$1,INDIRECT("Table!A"&amp;$BV91):INDIRECT("Table!" &amp; $CH$110 &amp; $BV91),0)),"",INDIRECT(CONCATENATE("Table!",ADDRESS($BR91,MATCH(B$1,INDIRECT("Table!A" &amp; $BV91):INDIRECT("Table!" &amp; $CH$110 &amp; $BV91),0)))))/1024</f>
        <v>39.533886718749997</v>
      </c>
      <c r="C91" s="709">
        <f ca="1">IF(ISERROR(MATCH(C$1,INDIRECT("Table!A"&amp;$BV91):INDIRECT("Table!" &amp; $CH$110 &amp; $BV91),0)),"",INDIRECT(CONCATENATE("Table!",ADDRESS($BR91,MATCH(C$1,INDIRECT("Table!A" &amp; $BV91):INDIRECT("Table!" &amp; $CH$110 &amp; $BV91),0)))))/1024</f>
        <v>75.429589843749994</v>
      </c>
      <c r="D91" s="709">
        <f ca="1">IF(ISERROR(MATCH(D$1,INDIRECT("Table!A"&amp;$BV91):INDIRECT("Table!" &amp; $CH$110 &amp; $BV91),0)),"",INDIRECT(CONCATENATE("Table!",ADDRESS($BR91,MATCH(D$1,INDIRECT("Table!A" &amp; $BV91):INDIRECT("Table!" &amp; $CH$110 &amp; $BV91),0)))))/1024</f>
        <v>76.771289062500003</v>
      </c>
      <c r="E91" s="709">
        <f ca="1">IF(ISERROR(MATCH(E$1,INDIRECT("Table!A"&amp;$BV91):INDIRECT("Table!" &amp; $CH$110 &amp; $BV91),0)),"",INDIRECT(CONCATENATE("Table!",ADDRESS($BR91,MATCH(E$1,INDIRECT("Table!A" &amp; $BV91):INDIRECT("Table!" &amp; $CH$110 &amp; $BV91),0)))))/1024</f>
        <v>152.80947265624999</v>
      </c>
      <c r="F91" s="709">
        <f ca="1">IF(ISERROR(MATCH(F$1,INDIRECT("Table!A"&amp;$BV91):INDIRECT("Table!" &amp; $CH$110 &amp; $BV91),0)),"",INDIRECT(CONCATENATE("Table!",ADDRESS($BR91,MATCH(F$1,INDIRECT("Table!A" &amp; $BV91):INDIRECT("Table!" &amp; $CH$110 &amp; $BV91),0)))))/1024</f>
        <v>83.576855468749997</v>
      </c>
      <c r="G91" s="709">
        <f ca="1">IF(ISERROR(MATCH(G$1,INDIRECT("Table!A"&amp;$BV91):INDIRECT("Table!" &amp; $CH$110 &amp; $BV91),0)),"",INDIRECT(CONCATENATE("Table!",ADDRESS($BR91,MATCH(G$1,INDIRECT("Table!A" &amp; $BV91):INDIRECT("Table!" &amp; $CH$110 &amp; $BV91),0)))))/1024</f>
        <v>44.637500000000003</v>
      </c>
      <c r="H91" s="709">
        <f ca="1">IF(ISERROR(MATCH(H$1,INDIRECT("Table!A"&amp;$BV91):INDIRECT("Table!" &amp; $CH$110 &amp; $BV91),0)),"",INDIRECT(CONCATENATE("Table!",ADDRESS($BR91,MATCH(H$1,INDIRECT("Table!A" &amp; $BV91):INDIRECT("Table!" &amp; $CH$110 &amp; $BV91),0)))))/1024</f>
        <v>66.24169921875</v>
      </c>
      <c r="I91" s="709">
        <f ca="1">IF(ISERROR(MATCH(I$1,INDIRECT("Table!A"&amp;$BV91):INDIRECT("Table!" &amp; $CH$110 &amp; $BV91),0)),"",INDIRECT(CONCATENATE("Table!",ADDRESS($BR91,MATCH(I$1,INDIRECT("Table!A" &amp; $BV91):INDIRECT("Table!" &amp; $CH$110 &amp; $BV91),0)))))/1024</f>
        <v>3.8116210937499999</v>
      </c>
      <c r="J91" s="709"/>
      <c r="K91" s="709"/>
      <c r="L91" s="709">
        <f ca="1">IF(ISERROR(MATCH(L$1,INDIRECT("Table!A"&amp;$BV91):INDIRECT("Table!" &amp; $CH$110 &amp; $BV91),0)),"",INDIRECT(CONCATENATE("Table!",ADDRESS($BR91,MATCH(L$1,INDIRECT("Table!A" &amp; $BV91):INDIRECT("Table!" &amp; $CH$110 &amp; $BV91),0)))))/1024</f>
        <v>151.72148437499999</v>
      </c>
      <c r="M91" s="709">
        <f ca="1">IF(ISERROR(MATCH(M$1,INDIRECT("Table!A"&amp;$BV91):INDIRECT("Table!" &amp; $CH$110 &amp; $BV91),0)),"",INDIRECT(CONCATENATE("Table!",ADDRESS($BR91,MATCH(M$1,INDIRECT("Table!A" &amp; $BV91):INDIRECT("Table!" &amp; $CH$110 &amp; $BV91),0)))))/1024</f>
        <v>53.864355468749999</v>
      </c>
      <c r="N91" s="709">
        <f ca="1">IF(ISERROR(MATCH(N$1,INDIRECT("Table!A"&amp;$BV91):INDIRECT("Table!" &amp; $CH$110 &amp; $BV91),0)),"",INDIRECT(CONCATENATE("Table!",ADDRESS($BR91,MATCH(N$1,INDIRECT("Table!A" &amp; $BV91):INDIRECT("Table!" &amp; $CH$110 &amp; $BV91),0)))))/1024</f>
        <v>43.712499999999999</v>
      </c>
      <c r="O91" s="709">
        <f ca="1">IF(ISERROR(MATCH(O$1,INDIRECT("Table!A"&amp;$BV91):INDIRECT("Table!" &amp; $CH$110 &amp; $BV91),0)),"",INDIRECT(CONCATENATE("Table!",ADDRESS($BR91,MATCH(O$1,INDIRECT("Table!A" &amp; $BV91):INDIRECT("Table!" &amp; $CH$110 &amp; $BV91),0)))))/1024</f>
        <v>128.78310546874999</v>
      </c>
      <c r="P91" s="709">
        <f ca="1">IF(ISERROR(MATCH(P$1,INDIRECT("Table!A"&amp;$BV91):INDIRECT("Table!" &amp; $CH$110 &amp; $BV91),0)),"",INDIRECT(CONCATENATE("Table!",ADDRESS($BR91,MATCH(P$1,INDIRECT("Table!A" &amp; $BV91):INDIRECT("Table!" &amp; $CH$110 &amp; $BV91),0)))))/1024</f>
        <v>7.4441406250000002</v>
      </c>
      <c r="Q91" s="709"/>
      <c r="R91" s="709"/>
      <c r="S91" s="709">
        <v>0</v>
      </c>
      <c r="T91" s="709">
        <f ca="1">IF(ISERROR(MATCH(T$1,INDIRECT("Table!A"&amp;$BV91):INDIRECT("Table!" &amp; $CH$65 &amp; $BV91),0)),"",INDIRECT(CONCATENATE("Table!",ADDRESS($BR91,MATCH(T$1,INDIRECT("Table!A" &amp; $BV91):INDIRECT("Table!" &amp; $CH$65 &amp; $BV91),0)))))/1024</f>
        <v>2.25439453125</v>
      </c>
      <c r="U91" s="709"/>
      <c r="V91" s="905"/>
      <c r="W91" s="905"/>
      <c r="X91" s="905"/>
      <c r="Y91" s="905"/>
      <c r="Z91" s="905"/>
      <c r="AA91" s="905"/>
      <c r="AB91" s="905"/>
      <c r="AC91" s="905"/>
      <c r="AD91" s="905"/>
      <c r="AE91" s="905"/>
      <c r="AF91" s="905"/>
      <c r="AG91" s="905"/>
      <c r="AH91" s="905"/>
      <c r="AI91" s="709" t="str">
        <f ca="1">IF(ISERROR(MATCH(AI$1,INDIRECT("Table!A"&amp;$BV91):INDIRECT("Table!" &amp; $CH$110 &amp; $BV91),0)),"",INDIRECT(CONCATENATE("Table!",ADDRESS($BR91,MATCH(AI$1,INDIRECT("Table!A" &amp; $BV91):INDIRECT("Table!" &amp; $CH$110 &amp; $BV91),0)))))</f>
        <v/>
      </c>
      <c r="AJ91" s="709">
        <f ca="1">IF(ISERROR(MATCH(AJ$1,INDIRECT("Table!A"&amp;$BV91):INDIRECT("Table!" &amp; $CH$110 &amp; $BV91),0)),"",INDIRECT(CONCATENATE("Table!",ADDRESS($BZ91,MATCH(AJ$1,INDIRECT("Table!A" &amp; $BV91):INDIRECT("Table!" &amp; $CH$110 &amp; $BV91),0)))))/1024</f>
        <v>140.03144531250001</v>
      </c>
      <c r="AK91" s="709">
        <f ca="1">IF(ISERROR(MATCH(AK$1,INDIRECT("Table!A"&amp;$BV91):INDIRECT("Table!" &amp; $CH$110 &amp; $BV91),0)),"",INDIRECT(CONCATENATE("Table!",ADDRESS($BZ91,MATCH(AK$1,INDIRECT("Table!A" &amp; $BV91):INDIRECT("Table!" &amp; $CH$110 &amp; $BV91),0)))))/1024</f>
        <v>146.98808593749999</v>
      </c>
      <c r="AL91" s="709">
        <f ca="1">IF(ISERROR(MATCH(AL$1,INDIRECT("Table!A"&amp;$BV91):INDIRECT("Table!" &amp; $CH$110 &amp; $BV91),0)),"",INDIRECT(CONCATENATE("Table!",ADDRESS($BZ91,MATCH(AL$1,INDIRECT("Table!A" &amp; $BV91):INDIRECT("Table!" &amp; $CH$110 &amp; $BV91),0)))))/1024</f>
        <v>146.98808593749999</v>
      </c>
      <c r="AM91" s="709">
        <f ca="1">IF(ISERROR(MATCH(AM$1,INDIRECT("Table!A"&amp;$BV91):INDIRECT("Table!" &amp; $CH$110 &amp; $BV91),0)),"",INDIRECT(CONCATENATE("Table!",ADDRESS($BZ91,MATCH(AM$1,INDIRECT("Table!A" &amp; $BV91):INDIRECT("Table!" &amp; $CH$110 &amp; $BV91),0)))))/1024</f>
        <v>177.73222656249999</v>
      </c>
      <c r="AN91" s="709">
        <f ca="1">IF(ISERROR(MATCH(AN$1,INDIRECT("Table!A"&amp;$BV91):INDIRECT("Table!" &amp; $CH$110 &amp; $BV91),0)),"",INDIRECT(CONCATENATE("Table!",ADDRESS($BZ91,MATCH(AN$1,INDIRECT("Table!A" &amp; $BV91):INDIRECT("Table!" &amp; $CH$110 &amp; $BV91),0)))))/1024</f>
        <v>161.57470703125</v>
      </c>
      <c r="AO91" s="709">
        <f ca="1">IF(ISERROR(MATCH(AO$1,INDIRECT("Table!A"&amp;$BV91):INDIRECT("Table!" &amp; $CH$110 &amp; $BV91),0)),"",INDIRECT(CONCATENATE("Table!",ADDRESS($BZ91,MATCH(AO$1,INDIRECT("Table!A" &amp; $BV91):INDIRECT("Table!" &amp; $CH$110 &amp; $BV91),0)))))/1024</f>
        <v>129.03515625</v>
      </c>
      <c r="AP91" s="709">
        <f ca="1">IF(ISERROR(MATCH(AP$1,INDIRECT("Table!A"&amp;$BV91):INDIRECT("Table!" &amp; $CH$110 &amp; $BV91),0)),"",INDIRECT(CONCATENATE("Table!",ADDRESS($BZ91,MATCH(AP$1,INDIRECT("Table!A" &amp; $BV91):INDIRECT("Table!" &amp; $CH$110 &amp; $BV91),0)))))/1024</f>
        <v>118.4880859375</v>
      </c>
      <c r="AQ91" s="709">
        <f ca="1">IF(ISERROR(MATCH(AQ$1,INDIRECT("Table!A"&amp;$BV91):INDIRECT("Table!" &amp; $CH$110 &amp; $BV91),0)),"",INDIRECT(CONCATENATE("Table!",ADDRESS($BZ91,MATCH(AQ$1,INDIRECT("Table!A" &amp; $BV91):INDIRECT("Table!" &amp; $CH$110 &amp; $BV91),0)))))/1024</f>
        <v>162.18544921874999</v>
      </c>
      <c r="AR91" s="709"/>
      <c r="AS91" s="709"/>
      <c r="AT91" s="709">
        <f ca="1">IF(ISERROR(MATCH(AT$1,INDIRECT("Table!A"&amp;$BV91):INDIRECT("Table!" &amp; $CH$110 &amp; $BV91),0)),"",INDIRECT(CONCATENATE("Table!",ADDRESS($BZ91,MATCH(AT$1,INDIRECT("Table!A" &amp; $BV91):INDIRECT("Table!" &amp; $CH$110 &amp; $BV91),0)))))/1024</f>
        <v>188.5029296875</v>
      </c>
      <c r="AU91" s="709">
        <f ca="1">IF(ISERROR(MATCH(AU$1,INDIRECT("Table!A"&amp;$BV91):INDIRECT("Table!" &amp; $CH$110 &amp; $BV91),0)),"",INDIRECT(CONCATENATE("Table!",ADDRESS($BZ91,MATCH(AU$1,INDIRECT("Table!A" &amp; $BV91):INDIRECT("Table!" &amp; $CH$110 &amp; $BV91),0)))))/1024</f>
        <v>129.03535156250001</v>
      </c>
      <c r="AV91" s="709">
        <f ca="1">IF(ISERROR(MATCH(AV$1,INDIRECT("Table!A"&amp;$BV91):INDIRECT("Table!" &amp; $CH$110 &amp; $BV91),0)),"",INDIRECT(CONCATENATE("Table!",ADDRESS($BZ91,MATCH(AV$1,INDIRECT("Table!A" &amp; $BV91):INDIRECT("Table!" &amp; $CH$110 &amp; $BV91),0)))))/1024</f>
        <v>80.787402343750003</v>
      </c>
      <c r="AW91" s="709">
        <f ca="1">IF(ISERROR(MATCH(AW$1,INDIRECT("Table!A"&amp;$BV91):INDIRECT("Table!" &amp; $CH$110 &amp; $BV91),0)),"",INDIRECT(CONCATENATE("Table!",ADDRESS($BZ91,MATCH(AW$1,INDIRECT("Table!A" &amp; $BV91):INDIRECT("Table!" &amp; $CH$110 &amp; $BV91),0)))))/1024</f>
        <v>172.34638671875001</v>
      </c>
      <c r="AX91" s="709">
        <f ca="1">IF(ISERROR(MATCH(AX$1,INDIRECT("Table!A"&amp;$BV91):INDIRECT("Table!" &amp; $CH$110 &amp; $BV91),0)),"",INDIRECT(CONCATENATE("Table!",ADDRESS($BZ91,MATCH(AX$1,INDIRECT("Table!A" &amp; $BV91):INDIRECT("Table!" &amp; $CH$110 &amp; $BV91),0)))))/1024</f>
        <v>81.0927734375</v>
      </c>
      <c r="AY91" s="709"/>
      <c r="AZ91" s="709"/>
      <c r="BA91" s="709"/>
      <c r="BB91" s="709">
        <f ca="1">IF(ISERROR(MATCH(BB$1,INDIRECT("Table!A"&amp;$BV91):INDIRECT("Table!" &amp; $CH$110 &amp; $BV91),0)),"",INDIRECT(CONCATENATE("Table!",ADDRESS($BZ91,MATCH(BB$1,INDIRECT("Table!A" &amp; $BV91):INDIRECT("Table!" &amp; $CH$110 &amp; $BV91),0)))))/1024</f>
        <v>32.31494140625</v>
      </c>
      <c r="BC91" s="709"/>
      <c r="BD91" s="905"/>
      <c r="BE91" s="905"/>
      <c r="BF91" s="905"/>
      <c r="BG91" s="905"/>
      <c r="BH91" s="905"/>
      <c r="BI91" s="905"/>
      <c r="BJ91" s="905"/>
      <c r="BK91" s="905"/>
      <c r="BL91" s="905"/>
      <c r="BM91" s="905"/>
      <c r="BN91" s="905"/>
      <c r="BO91" s="905"/>
      <c r="BP91" s="905"/>
      <c r="BQ91" s="905"/>
      <c r="BR91" s="704">
        <f>MATCH($A91,Table!$A:$A,0)+$BT$2-1</f>
        <v>1181</v>
      </c>
      <c r="BS91" s="705"/>
      <c r="BT91" s="705"/>
      <c r="BU91" s="705"/>
      <c r="BV91" s="717">
        <f>MATCH($A91,Table!$A:$A,0)+$BX$2-1</f>
        <v>1179</v>
      </c>
      <c r="BW91" s="705"/>
      <c r="BX91" s="705"/>
      <c r="BY91" s="705"/>
      <c r="BZ91" s="704">
        <f>MATCH($A91,Table!$A:$A,0)+$CB$2-1</f>
        <v>1180</v>
      </c>
      <c r="CA91" s="705"/>
      <c r="CB91" s="705"/>
      <c r="CC91" s="705"/>
      <c r="CD91" s="717">
        <f>MATCH($A91,Table!$A:$A,0)+$BX$2-1</f>
        <v>1179</v>
      </c>
      <c r="CE91" s="705"/>
      <c r="CF91" s="705"/>
      <c r="CG91" s="705"/>
      <c r="CH91" s="711" t="s">
        <v>302</v>
      </c>
      <c r="CI91" s="712">
        <f t="shared" ca="1" si="140"/>
        <v>1867.10302734375</v>
      </c>
      <c r="CJ91" s="712">
        <f t="shared" ca="1" si="141"/>
        <v>930.59189453124998</v>
      </c>
      <c r="CK91" s="712">
        <f t="shared" ca="1" si="137"/>
        <v>936.51113281250002</v>
      </c>
      <c r="CL91" s="718">
        <f t="shared" ca="1" si="138"/>
        <v>0.49841486029571941</v>
      </c>
      <c r="CM91" s="712">
        <f ca="1">SUMIF('Alloc Feed'!A:I,A:A,'Alloc Feed'!I:I)</f>
        <v>0</v>
      </c>
      <c r="CN91" s="718">
        <f t="shared" ca="1" si="136"/>
        <v>0</v>
      </c>
    </row>
    <row r="92" spans="1:92" s="267" customFormat="1" x14ac:dyDescent="0.25">
      <c r="A92" s="703">
        <v>41345</v>
      </c>
      <c r="B92" s="709">
        <f ca="1">IF(ISERROR(MATCH(B$1,INDIRECT("Table!A"&amp;$BV92):INDIRECT("Table!" &amp; $CH$110 &amp; $BV92),0)),"",INDIRECT(CONCATENATE("Table!",ADDRESS($BR92,MATCH(B$1,INDIRECT("Table!A" &amp; $BV92):INDIRECT("Table!" &amp; $CH$110 &amp; $BV92),0)))))/1024</f>
        <v>41.055957031250003</v>
      </c>
      <c r="C92" s="709">
        <f ca="1">IF(ISERROR(MATCH(C$1,INDIRECT("Table!A"&amp;$BV92):INDIRECT("Table!" &amp; $CH$110 &amp; $BV92),0)),"",INDIRECT(CONCATENATE("Table!",ADDRESS($BR92,MATCH(C$1,INDIRECT("Table!A" &amp; $BV92):INDIRECT("Table!" &amp; $CH$110 &amp; $BV92),0)))))/1024</f>
        <v>75.399218750000003</v>
      </c>
      <c r="D92" s="709">
        <f ca="1">IF(ISERROR(MATCH(D$1,INDIRECT("Table!A"&amp;$BV92):INDIRECT("Table!" &amp; $CH$110 &amp; $BV92),0)),"",INDIRECT(CONCATENATE("Table!",ADDRESS($BR92,MATCH(D$1,INDIRECT("Table!A" &amp; $BV92):INDIRECT("Table!" &amp; $CH$110 &amp; $BV92),0)))))/1024</f>
        <v>76.771289062500003</v>
      </c>
      <c r="E92" s="709">
        <f ca="1">IF(ISERROR(MATCH(E$1,INDIRECT("Table!A"&amp;$BV92):INDIRECT("Table!" &amp; $CH$110 &amp; $BV92),0)),"",INDIRECT(CONCATENATE("Table!",ADDRESS($BR92,MATCH(E$1,INDIRECT("Table!A" &amp; $BV92):INDIRECT("Table!" &amp; $CH$110 &amp; $BV92),0)))))/1024</f>
        <v>152.77470703124999</v>
      </c>
      <c r="F92" s="709">
        <f ca="1">IF(ISERROR(MATCH(F$1,INDIRECT("Table!A"&amp;$BV92):INDIRECT("Table!" &amp; $CH$110 &amp; $BV92),0)),"",INDIRECT(CONCATENATE("Table!",ADDRESS($BR92,MATCH(F$1,INDIRECT("Table!A" &amp; $BV92):INDIRECT("Table!" &amp; $CH$110 &amp; $BV92),0)))))/1024</f>
        <v>83.576855468749997</v>
      </c>
      <c r="G92" s="709">
        <f ca="1">IF(ISERROR(MATCH(G$1,INDIRECT("Table!A"&amp;$BV92):INDIRECT("Table!" &amp; $CH$110 &amp; $BV92),0)),"",INDIRECT(CONCATENATE("Table!",ADDRESS($BR92,MATCH(G$1,INDIRECT("Table!A" &amp; $BV92):INDIRECT("Table!" &amp; $CH$110 &amp; $BV92),0)))))/1024</f>
        <v>45.738867187499999</v>
      </c>
      <c r="H92" s="709">
        <f ca="1">IF(ISERROR(MATCH(H$1,INDIRECT("Table!A"&amp;$BV92):INDIRECT("Table!" &amp; $CH$110 &amp; $BV92),0)),"",INDIRECT(CONCATENATE("Table!",ADDRESS($BR92,MATCH(H$1,INDIRECT("Table!A" &amp; $BV92):INDIRECT("Table!" &amp; $CH$110 &amp; $BV92),0)))))/1024</f>
        <v>66.147167968749997</v>
      </c>
      <c r="I92" s="709">
        <f ca="1">IF(ISERROR(MATCH(I$1,INDIRECT("Table!A"&amp;$BV92):INDIRECT("Table!" &amp; $CH$110 &amp; $BV92),0)),"",INDIRECT(CONCATENATE("Table!",ADDRESS($BR92,MATCH(I$1,INDIRECT("Table!A" &amp; $BV92):INDIRECT("Table!" &amp; $CH$110 &amp; $BV92),0)))))/1024</f>
        <v>3.8112304687499998</v>
      </c>
      <c r="J92" s="709"/>
      <c r="K92" s="709"/>
      <c r="L92" s="709">
        <f ca="1">IF(ISERROR(MATCH(L$1,INDIRECT("Table!A"&amp;$BV92):INDIRECT("Table!" &amp; $CH$110 &amp; $BV92),0)),"",INDIRECT(CONCATENATE("Table!",ADDRESS($BR92,MATCH(L$1,INDIRECT("Table!A" &amp; $BV92):INDIRECT("Table!" &amp; $CH$110 &amp; $BV92),0)))))/1024</f>
        <v>151.6552734375</v>
      </c>
      <c r="M92" s="709">
        <f ca="1">IF(ISERROR(MATCH(M$1,INDIRECT("Table!A"&amp;$BV92):INDIRECT("Table!" &amp; $CH$110 &amp; $BV92),0)),"",INDIRECT(CONCATENATE("Table!",ADDRESS($BR92,MATCH(M$1,INDIRECT("Table!A" &amp; $BV92):INDIRECT("Table!" &amp; $CH$110 &amp; $BV92),0)))))/1024</f>
        <v>53.27392578125</v>
      </c>
      <c r="N92" s="709">
        <f ca="1">IF(ISERROR(MATCH(N$1,INDIRECT("Table!A"&amp;$BV92):INDIRECT("Table!" &amp; $CH$110 &amp; $BV92),0)),"",INDIRECT(CONCATENATE("Table!",ADDRESS($BR92,MATCH(N$1,INDIRECT("Table!A" &amp; $BV92):INDIRECT("Table!" &amp; $CH$110 &amp; $BV92),0)))))/1024</f>
        <v>43.390039062500001</v>
      </c>
      <c r="O92" s="709">
        <f ca="1">IF(ISERROR(MATCH(O$1,INDIRECT("Table!A"&amp;$BV92):INDIRECT("Table!" &amp; $CH$110 &amp; $BV92),0)),"",INDIRECT(CONCATENATE("Table!",ADDRESS($BR92,MATCH(O$1,INDIRECT("Table!A" &amp; $BV92):INDIRECT("Table!" &amp; $CH$110 &amp; $BV92),0)))))/1024</f>
        <v>128.97802734375</v>
      </c>
      <c r="P92" s="709">
        <f ca="1">IF(ISERROR(MATCH(P$1,INDIRECT("Table!A"&amp;$BV92):INDIRECT("Table!" &amp; $CH$110 &amp; $BV92),0)),"",INDIRECT(CONCATENATE("Table!",ADDRESS($BR92,MATCH(P$1,INDIRECT("Table!A" &amp; $BV92):INDIRECT("Table!" &amp; $CH$110 &amp; $BV92),0)))))/1024</f>
        <v>7.443359375</v>
      </c>
      <c r="Q92" s="709"/>
      <c r="R92" s="709"/>
      <c r="S92" s="709">
        <v>0</v>
      </c>
      <c r="T92" s="709">
        <f ca="1">IF(ISERROR(MATCH(T$1,INDIRECT("Table!A"&amp;$BV92):INDIRECT("Table!" &amp; $CH$65 &amp; $BV92),0)),"",INDIRECT(CONCATENATE("Table!",ADDRESS($BR92,MATCH(T$1,INDIRECT("Table!A" &amp; $BV92):INDIRECT("Table!" &amp; $CH$65 &amp; $BV92),0)))))/1024</f>
        <v>2.14990234375</v>
      </c>
      <c r="U92" s="709"/>
      <c r="V92" s="905"/>
      <c r="W92" s="905"/>
      <c r="X92" s="905"/>
      <c r="Y92" s="905"/>
      <c r="Z92" s="905"/>
      <c r="AA92" s="905"/>
      <c r="AB92" s="905"/>
      <c r="AC92" s="905"/>
      <c r="AD92" s="905"/>
      <c r="AE92" s="905"/>
      <c r="AF92" s="905"/>
      <c r="AG92" s="905"/>
      <c r="AH92" s="905"/>
      <c r="AI92" s="709" t="str">
        <f ca="1">IF(ISERROR(MATCH(AI$1,INDIRECT("Table!A"&amp;$BV92):INDIRECT("Table!" &amp; $CH$110 &amp; $BV92),0)),"",INDIRECT(CONCATENATE("Table!",ADDRESS($BR92,MATCH(AI$1,INDIRECT("Table!A" &amp; $BV92):INDIRECT("Table!" &amp; $CH$110 &amp; $BV92),0)))))</f>
        <v/>
      </c>
      <c r="AJ92" s="709">
        <f ca="1">IF(ISERROR(MATCH(AJ$1,INDIRECT("Table!A"&amp;$BV92):INDIRECT("Table!" &amp; $CH$110 &amp; $BV92),0)),"",INDIRECT(CONCATENATE("Table!",ADDRESS($BZ92,MATCH(AJ$1,INDIRECT("Table!A" &amp; $BV92):INDIRECT("Table!" &amp; $CH$110 &amp; $BV92),0)))))/1024</f>
        <v>140.03144531250001</v>
      </c>
      <c r="AK92" s="709">
        <f ca="1">IF(ISERROR(MATCH(AK$1,INDIRECT("Table!A"&amp;$BV92):INDIRECT("Table!" &amp; $CH$110 &amp; $BV92),0)),"",INDIRECT(CONCATENATE("Table!",ADDRESS($BZ92,MATCH(AK$1,INDIRECT("Table!A" &amp; $BV92):INDIRECT("Table!" &amp; $CH$110 &amp; $BV92),0)))))/1024</f>
        <v>146.98808593749999</v>
      </c>
      <c r="AL92" s="709">
        <f ca="1">IF(ISERROR(MATCH(AL$1,INDIRECT("Table!A"&amp;$BV92):INDIRECT("Table!" &amp; $CH$110 &amp; $BV92),0)),"",INDIRECT(CONCATENATE("Table!",ADDRESS($BZ92,MATCH(AL$1,INDIRECT("Table!A" &amp; $BV92):INDIRECT("Table!" &amp; $CH$110 &amp; $BV92),0)))))/1024</f>
        <v>146.98808593749999</v>
      </c>
      <c r="AM92" s="709">
        <f ca="1">IF(ISERROR(MATCH(AM$1,INDIRECT("Table!A"&amp;$BV92):INDIRECT("Table!" &amp; $CH$110 &amp; $BV92),0)),"",INDIRECT(CONCATENATE("Table!",ADDRESS($BZ92,MATCH(AM$1,INDIRECT("Table!A" &amp; $BV92):INDIRECT("Table!" &amp; $CH$110 &amp; $BV92),0)))))/1024</f>
        <v>177.73222656249999</v>
      </c>
      <c r="AN92" s="709">
        <f ca="1">IF(ISERROR(MATCH(AN$1,INDIRECT("Table!A"&amp;$BV92):INDIRECT("Table!" &amp; $CH$110 &amp; $BV92),0)),"",INDIRECT(CONCATENATE("Table!",ADDRESS($BZ92,MATCH(AN$1,INDIRECT("Table!A" &amp; $BV92):INDIRECT("Table!" &amp; $CH$110 &amp; $BV92),0)))))/1024</f>
        <v>161.57470703125</v>
      </c>
      <c r="AO92" s="709">
        <f ca="1">IF(ISERROR(MATCH(AO$1,INDIRECT("Table!A"&amp;$BV92):INDIRECT("Table!" &amp; $CH$110 &amp; $BV92),0)),"",INDIRECT(CONCATENATE("Table!",ADDRESS($BZ92,MATCH(AO$1,INDIRECT("Table!A" &amp; $BV92):INDIRECT("Table!" &amp; $CH$110 &amp; $BV92),0)))))/1024</f>
        <v>129.03515625</v>
      </c>
      <c r="AP92" s="709">
        <f ca="1">IF(ISERROR(MATCH(AP$1,INDIRECT("Table!A"&amp;$BV92):INDIRECT("Table!" &amp; $CH$110 &amp; $BV92),0)),"",INDIRECT(CONCATENATE("Table!",ADDRESS($BZ92,MATCH(AP$1,INDIRECT("Table!A" &amp; $BV92):INDIRECT("Table!" &amp; $CH$110 &amp; $BV92),0)))))/1024</f>
        <v>118.4880859375</v>
      </c>
      <c r="AQ92" s="709">
        <f ca="1">IF(ISERROR(MATCH(AQ$1,INDIRECT("Table!A"&amp;$BV92):INDIRECT("Table!" &amp; $CH$110 &amp; $BV92),0)),"",INDIRECT(CONCATENATE("Table!",ADDRESS($BZ92,MATCH(AQ$1,INDIRECT("Table!A" &amp; $BV92):INDIRECT("Table!" &amp; $CH$110 &amp; $BV92),0)))))/1024</f>
        <v>162.18544921874999</v>
      </c>
      <c r="AR92" s="709"/>
      <c r="AS92" s="709"/>
      <c r="AT92" s="709">
        <f ca="1">IF(ISERROR(MATCH(AT$1,INDIRECT("Table!A"&amp;$BV92):INDIRECT("Table!" &amp; $CH$110 &amp; $BV92),0)),"",INDIRECT(CONCATENATE("Table!",ADDRESS($BZ92,MATCH(AT$1,INDIRECT("Table!A" &amp; $BV92):INDIRECT("Table!" &amp; $CH$110 &amp; $BV92),0)))))/1024</f>
        <v>188.5029296875</v>
      </c>
      <c r="AU92" s="709">
        <f ca="1">IF(ISERROR(MATCH(AU$1,INDIRECT("Table!A"&amp;$BV92):INDIRECT("Table!" &amp; $CH$110 &amp; $BV92),0)),"",INDIRECT(CONCATENATE("Table!",ADDRESS($BZ92,MATCH(AU$1,INDIRECT("Table!A" &amp; $BV92):INDIRECT("Table!" &amp; $CH$110 &amp; $BV92),0)))))/1024</f>
        <v>129.03535156250001</v>
      </c>
      <c r="AV92" s="709">
        <f ca="1">IF(ISERROR(MATCH(AV$1,INDIRECT("Table!A"&amp;$BV92):INDIRECT("Table!" &amp; $CH$110 &amp; $BV92),0)),"",INDIRECT(CONCATENATE("Table!",ADDRESS($BZ92,MATCH(AV$1,INDIRECT("Table!A" &amp; $BV92):INDIRECT("Table!" &amp; $CH$110 &amp; $BV92),0)))))/1024</f>
        <v>80.787402343750003</v>
      </c>
      <c r="AW92" s="709">
        <f ca="1">IF(ISERROR(MATCH(AW$1,INDIRECT("Table!A"&amp;$BV92):INDIRECT("Table!" &amp; $CH$110 &amp; $BV92),0)),"",INDIRECT(CONCATENATE("Table!",ADDRESS($BZ92,MATCH(AW$1,INDIRECT("Table!A" &amp; $BV92):INDIRECT("Table!" &amp; $CH$110 &amp; $BV92),0)))))/1024</f>
        <v>172.34638671875001</v>
      </c>
      <c r="AX92" s="709">
        <f ca="1">IF(ISERROR(MATCH(AX$1,INDIRECT("Table!A"&amp;$BV92):INDIRECT("Table!" &amp; $CH$110 &amp; $BV92),0)),"",INDIRECT(CONCATENATE("Table!",ADDRESS($BZ92,MATCH(AX$1,INDIRECT("Table!A" &amp; $BV92):INDIRECT("Table!" &amp; $CH$110 &amp; $BV92),0)))))/1024</f>
        <v>81.0927734375</v>
      </c>
      <c r="AY92" s="709"/>
      <c r="AZ92" s="709"/>
      <c r="BA92" s="709"/>
      <c r="BB92" s="709">
        <f ca="1">IF(ISERROR(MATCH(BB$1,INDIRECT("Table!A"&amp;$BV92):INDIRECT("Table!" &amp; $CH$110 &amp; $BV92),0)),"",INDIRECT(CONCATENATE("Table!",ADDRESS($BZ92,MATCH(BB$1,INDIRECT("Table!A" &amp; $BV92):INDIRECT("Table!" &amp; $CH$110 &amp; $BV92),0)))))/1024</f>
        <v>32.31494140625</v>
      </c>
      <c r="BC92" s="709"/>
      <c r="BD92" s="905"/>
      <c r="BE92" s="905"/>
      <c r="BF92" s="905"/>
      <c r="BG92" s="905"/>
      <c r="BH92" s="905"/>
      <c r="BI92" s="905"/>
      <c r="BJ92" s="905"/>
      <c r="BK92" s="905"/>
      <c r="BL92" s="905"/>
      <c r="BM92" s="905"/>
      <c r="BN92" s="905"/>
      <c r="BO92" s="905"/>
      <c r="BP92" s="905"/>
      <c r="BQ92" s="905"/>
      <c r="BR92" s="704">
        <f>MATCH($A92,Table!$A:$A,0)+$BT$2-1</f>
        <v>1193</v>
      </c>
      <c r="BS92" s="705"/>
      <c r="BT92" s="705"/>
      <c r="BU92" s="705"/>
      <c r="BV92" s="717">
        <f>MATCH($A92,Table!$A:$A,0)+$BX$2-1</f>
        <v>1191</v>
      </c>
      <c r="BW92" s="705"/>
      <c r="BX92" s="705"/>
      <c r="BY92" s="705"/>
      <c r="BZ92" s="704">
        <f>MATCH($A92,Table!$A:$A,0)+$CB$2-1</f>
        <v>1192</v>
      </c>
      <c r="CA92" s="705"/>
      <c r="CB92" s="705"/>
      <c r="CC92" s="705"/>
      <c r="CD92" s="717">
        <f>MATCH($A92,Table!$A:$A,0)+$BX$2-1</f>
        <v>1191</v>
      </c>
      <c r="CE92" s="705"/>
      <c r="CF92" s="705"/>
      <c r="CG92" s="705"/>
      <c r="CH92" s="711" t="s">
        <v>302</v>
      </c>
      <c r="CI92" s="712">
        <f t="shared" ca="1" si="140"/>
        <v>1867.10302734375</v>
      </c>
      <c r="CJ92" s="712">
        <f t="shared" ca="1" si="141"/>
        <v>932.16582031249993</v>
      </c>
      <c r="CK92" s="712">
        <f t="shared" ca="1" si="137"/>
        <v>934.93720703125007</v>
      </c>
      <c r="CL92" s="718">
        <f t="shared" ca="1" si="138"/>
        <v>0.49925783776305777</v>
      </c>
      <c r="CM92" s="712">
        <f ca="1">SUMIF('Alloc Feed'!A:I,A:A,'Alloc Feed'!I:I)</f>
        <v>0</v>
      </c>
      <c r="CN92" s="718">
        <f t="shared" ca="1" si="136"/>
        <v>0</v>
      </c>
    </row>
    <row r="93" spans="1:92" s="267" customFormat="1" x14ac:dyDescent="0.25">
      <c r="A93" s="703">
        <v>41344</v>
      </c>
      <c r="B93" s="709">
        <f ca="1">IF(ISERROR(MATCH(B$1,INDIRECT("Table!A"&amp;$BV93):INDIRECT("Table!" &amp; $CH$110 &amp; $BV93),0)),"",INDIRECT(CONCATENATE("Table!",ADDRESS($BR93,MATCH(B$1,INDIRECT("Table!A" &amp; $BV93):INDIRECT("Table!" &amp; $CH$110 &amp; $BV93),0)))))/1024</f>
        <v>41.70068359375</v>
      </c>
      <c r="C93" s="709">
        <f ca="1">IF(ISERROR(MATCH(C$1,INDIRECT("Table!A"&amp;$BV93):INDIRECT("Table!" &amp; $CH$110 &amp; $BV93),0)),"",INDIRECT(CONCATENATE("Table!",ADDRESS($BR93,MATCH(C$1,INDIRECT("Table!A" &amp; $BV93):INDIRECT("Table!" &amp; $CH$110 &amp; $BV93),0)))))/1024</f>
        <v>75.389941406250003</v>
      </c>
      <c r="D93" s="709">
        <f ca="1">IF(ISERROR(MATCH(D$1,INDIRECT("Table!A"&amp;$BV93):INDIRECT("Table!" &amp; $CH$110 &amp; $BV93),0)),"",INDIRECT(CONCATENATE("Table!",ADDRESS($BR93,MATCH(D$1,INDIRECT("Table!A" &amp; $BV93):INDIRECT("Table!" &amp; $CH$110 &amp; $BV93),0)))))/1024</f>
        <v>76.771289062500003</v>
      </c>
      <c r="E93" s="709">
        <f ca="1">IF(ISERROR(MATCH(E$1,INDIRECT("Table!A"&amp;$BV93):INDIRECT("Table!" &amp; $CH$110 &amp; $BV93),0)),"",INDIRECT(CONCATENATE("Table!",ADDRESS($BR93,MATCH(E$1,INDIRECT("Table!A" &amp; $BV93):INDIRECT("Table!" &amp; $CH$110 &amp; $BV93),0)))))/1024</f>
        <v>152.75605468750001</v>
      </c>
      <c r="F93" s="709">
        <f ca="1">IF(ISERROR(MATCH(F$1,INDIRECT("Table!A"&amp;$BV93):INDIRECT("Table!" &amp; $CH$110 &amp; $BV93),0)),"",INDIRECT(CONCATENATE("Table!",ADDRESS($BR93,MATCH(F$1,INDIRECT("Table!A" &amp; $BV93):INDIRECT("Table!" &amp; $CH$110 &amp; $BV93),0)))))/1024</f>
        <v>83.576855468749997</v>
      </c>
      <c r="G93" s="709">
        <f ca="1">IF(ISERROR(MATCH(G$1,INDIRECT("Table!A"&amp;$BV93):INDIRECT("Table!" &amp; $CH$110 &amp; $BV93),0)),"",INDIRECT(CONCATENATE("Table!",ADDRESS($BR93,MATCH(G$1,INDIRECT("Table!A" &amp; $BV93):INDIRECT("Table!" &amp; $CH$110 &amp; $BV93),0)))))/1024</f>
        <v>45.991113281250001</v>
      </c>
      <c r="H93" s="709">
        <f ca="1">IF(ISERROR(MATCH(H$1,INDIRECT("Table!A"&amp;$BV93):INDIRECT("Table!" &amp; $CH$110 &amp; $BV93),0)),"",INDIRECT(CONCATENATE("Table!",ADDRESS($BR93,MATCH(H$1,INDIRECT("Table!A" &amp; $BV93):INDIRECT("Table!" &amp; $CH$110 &amp; $BV93),0)))))/1024</f>
        <v>66.102246093749997</v>
      </c>
      <c r="I93" s="709">
        <f ca="1">IF(ISERROR(MATCH(I$1,INDIRECT("Table!A"&amp;$BV93):INDIRECT("Table!" &amp; $CH$110 &amp; $BV93),0)),"",INDIRECT(CONCATENATE("Table!",ADDRESS($BR93,MATCH(I$1,INDIRECT("Table!A" &amp; $BV93):INDIRECT("Table!" &amp; $CH$110 &amp; $BV93),0)))))/1024</f>
        <v>3.8108398437500002</v>
      </c>
      <c r="J93" s="709"/>
      <c r="K93" s="709"/>
      <c r="L93" s="709">
        <f ca="1">IF(ISERROR(MATCH(L$1,INDIRECT("Table!A"&amp;$BV93):INDIRECT("Table!" &amp; $CH$110 &amp; $BV93),0)),"",INDIRECT(CONCATENATE("Table!",ADDRESS($BR93,MATCH(L$1,INDIRECT("Table!A" &amp; $BV93):INDIRECT("Table!" &amp; $CH$110 &amp; $BV93),0)))))/1024</f>
        <v>151.62099609374999</v>
      </c>
      <c r="M93" s="709">
        <f ca="1">IF(ISERROR(MATCH(M$1,INDIRECT("Table!A"&amp;$BV93):INDIRECT("Table!" &amp; $CH$110 &amp; $BV93),0)),"",INDIRECT(CONCATENATE("Table!",ADDRESS($BR93,MATCH(M$1,INDIRECT("Table!A" &amp; $BV93):INDIRECT("Table!" &amp; $CH$110 &amp; $BV93),0)))))/1024</f>
        <v>53.787011718750001</v>
      </c>
      <c r="N93" s="709">
        <f ca="1">IF(ISERROR(MATCH(N$1,INDIRECT("Table!A"&amp;$BV93):INDIRECT("Table!" &amp; $CH$110 &amp; $BV93),0)),"",INDIRECT(CONCATENATE("Table!",ADDRESS($BR93,MATCH(N$1,INDIRECT("Table!A" &amp; $BV93):INDIRECT("Table!" &amp; $CH$110 &amp; $BV93),0)))))/1024</f>
        <v>43.342089843750003</v>
      </c>
      <c r="O93" s="709">
        <f ca="1">IF(ISERROR(MATCH(O$1,INDIRECT("Table!A"&amp;$BV93):INDIRECT("Table!" &amp; $CH$110 &amp; $BV93),0)),"",INDIRECT(CONCATENATE("Table!",ADDRESS($BR93,MATCH(O$1,INDIRECT("Table!A" &amp; $BV93):INDIRECT("Table!" &amp; $CH$110 &amp; $BV93),0)))))/1024</f>
        <v>128.95283203125001</v>
      </c>
      <c r="P93" s="709">
        <f ca="1">IF(ISERROR(MATCH(P$1,INDIRECT("Table!A"&amp;$BV93):INDIRECT("Table!" &amp; $CH$110 &amp; $BV93),0)),"",INDIRECT(CONCATENATE("Table!",ADDRESS($BR93,MATCH(P$1,INDIRECT("Table!A" &amp; $BV93):INDIRECT("Table!" &amp; $CH$110 &amp; $BV93),0)))))/1024</f>
        <v>7.443359375</v>
      </c>
      <c r="Q93" s="709"/>
      <c r="R93" s="709"/>
      <c r="S93" s="709">
        <v>0</v>
      </c>
      <c r="T93" s="709">
        <f ca="1">IF(ISERROR(MATCH(T$1,INDIRECT("Table!A"&amp;$BV93):INDIRECT("Table!" &amp; $CH$65 &amp; $BV93),0)),"",INDIRECT(CONCATENATE("Table!",ADDRESS($BR93,MATCH(T$1,INDIRECT("Table!A" &amp; $BV93):INDIRECT("Table!" &amp; $CH$65 &amp; $BV93),0)))))/1024</f>
        <v>2.1142578125</v>
      </c>
      <c r="U93" s="709"/>
      <c r="V93" s="905"/>
      <c r="W93" s="905"/>
      <c r="X93" s="905"/>
      <c r="Y93" s="905"/>
      <c r="Z93" s="905"/>
      <c r="AA93" s="905"/>
      <c r="AB93" s="905"/>
      <c r="AC93" s="905"/>
      <c r="AD93" s="905"/>
      <c r="AE93" s="905"/>
      <c r="AF93" s="905"/>
      <c r="AG93" s="905"/>
      <c r="AH93" s="905"/>
      <c r="AI93" s="709" t="str">
        <f ca="1">IF(ISERROR(MATCH(AI$1,INDIRECT("Table!A"&amp;$BV93):INDIRECT("Table!" &amp; $CH$110 &amp; $BV93),0)),"",INDIRECT(CONCATENATE("Table!",ADDRESS($BR93,MATCH(AI$1,INDIRECT("Table!A" &amp; $BV93):INDIRECT("Table!" &amp; $CH$110 &amp; $BV93),0)))))</f>
        <v/>
      </c>
      <c r="AJ93" s="709">
        <f ca="1">IF(ISERROR(MATCH(AJ$1,INDIRECT("Table!A"&amp;$BV93):INDIRECT("Table!" &amp; $CH$110 &amp; $BV93),0)),"",INDIRECT(CONCATENATE("Table!",ADDRESS($BZ93,MATCH(AJ$1,INDIRECT("Table!A" &amp; $BV93):INDIRECT("Table!" &amp; $CH$110 &amp; $BV93),0)))))/1024</f>
        <v>140.03144531250001</v>
      </c>
      <c r="AK93" s="709">
        <f ca="1">IF(ISERROR(MATCH(AK$1,INDIRECT("Table!A"&amp;$BV93):INDIRECT("Table!" &amp; $CH$110 &amp; $BV93),0)),"",INDIRECT(CONCATENATE("Table!",ADDRESS($BZ93,MATCH(AK$1,INDIRECT("Table!A" &amp; $BV93):INDIRECT("Table!" &amp; $CH$110 &amp; $BV93),0)))))/1024</f>
        <v>146.98808593749999</v>
      </c>
      <c r="AL93" s="709">
        <f ca="1">IF(ISERROR(MATCH(AL$1,INDIRECT("Table!A"&amp;$BV93):INDIRECT("Table!" &amp; $CH$110 &amp; $BV93),0)),"",INDIRECT(CONCATENATE("Table!",ADDRESS($BZ93,MATCH(AL$1,INDIRECT("Table!A" &amp; $BV93):INDIRECT("Table!" &amp; $CH$110 &amp; $BV93),0)))))/1024</f>
        <v>146.98808593749999</v>
      </c>
      <c r="AM93" s="709">
        <f ca="1">IF(ISERROR(MATCH(AM$1,INDIRECT("Table!A"&amp;$BV93):INDIRECT("Table!" &amp; $CH$110 &amp; $BV93),0)),"",INDIRECT(CONCATENATE("Table!",ADDRESS($BZ93,MATCH(AM$1,INDIRECT("Table!A" &amp; $BV93):INDIRECT("Table!" &amp; $CH$110 &amp; $BV93),0)))))/1024</f>
        <v>177.73222656249999</v>
      </c>
      <c r="AN93" s="709">
        <f ca="1">IF(ISERROR(MATCH(AN$1,INDIRECT("Table!A"&amp;$BV93):INDIRECT("Table!" &amp; $CH$110 &amp; $BV93),0)),"",INDIRECT(CONCATENATE("Table!",ADDRESS($BZ93,MATCH(AN$1,INDIRECT("Table!A" &amp; $BV93):INDIRECT("Table!" &amp; $CH$110 &amp; $BV93),0)))))/1024</f>
        <v>161.57470703125</v>
      </c>
      <c r="AO93" s="709">
        <f ca="1">IF(ISERROR(MATCH(AO$1,INDIRECT("Table!A"&amp;$BV93):INDIRECT("Table!" &amp; $CH$110 &amp; $BV93),0)),"",INDIRECT(CONCATENATE("Table!",ADDRESS($BZ93,MATCH(AO$1,INDIRECT("Table!A" &amp; $BV93):INDIRECT("Table!" &amp; $CH$110 &amp; $BV93),0)))))/1024</f>
        <v>129.03515625</v>
      </c>
      <c r="AP93" s="709">
        <f ca="1">IF(ISERROR(MATCH(AP$1,INDIRECT("Table!A"&amp;$BV93):INDIRECT("Table!" &amp; $CH$110 &amp; $BV93),0)),"",INDIRECT(CONCATENATE("Table!",ADDRESS($BZ93,MATCH(AP$1,INDIRECT("Table!A" &amp; $BV93):INDIRECT("Table!" &amp; $CH$110 &amp; $BV93),0)))))/1024</f>
        <v>118.4880859375</v>
      </c>
      <c r="AQ93" s="709">
        <f ca="1">IF(ISERROR(MATCH(AQ$1,INDIRECT("Table!A"&amp;$BV93):INDIRECT("Table!" &amp; $CH$110 &amp; $BV93),0)),"",INDIRECT(CONCATENATE("Table!",ADDRESS($BZ93,MATCH(AQ$1,INDIRECT("Table!A" &amp; $BV93):INDIRECT("Table!" &amp; $CH$110 &amp; $BV93),0)))))/1024</f>
        <v>162.18544921874999</v>
      </c>
      <c r="AR93" s="709"/>
      <c r="AS93" s="709"/>
      <c r="AT93" s="709">
        <f ca="1">IF(ISERROR(MATCH(AT$1,INDIRECT("Table!A"&amp;$BV93):INDIRECT("Table!" &amp; $CH$110 &amp; $BV93),0)),"",INDIRECT(CONCATENATE("Table!",ADDRESS($BZ93,MATCH(AT$1,INDIRECT("Table!A" &amp; $BV93):INDIRECT("Table!" &amp; $CH$110 &amp; $BV93),0)))))/1024</f>
        <v>188.5029296875</v>
      </c>
      <c r="AU93" s="709">
        <f ca="1">IF(ISERROR(MATCH(AU$1,INDIRECT("Table!A"&amp;$BV93):INDIRECT("Table!" &amp; $CH$110 &amp; $BV93),0)),"",INDIRECT(CONCATENATE("Table!",ADDRESS($BZ93,MATCH(AU$1,INDIRECT("Table!A" &amp; $BV93):INDIRECT("Table!" &amp; $CH$110 &amp; $BV93),0)))))/1024</f>
        <v>129.03535156250001</v>
      </c>
      <c r="AV93" s="709">
        <f ca="1">IF(ISERROR(MATCH(AV$1,INDIRECT("Table!A"&amp;$BV93):INDIRECT("Table!" &amp; $CH$110 &amp; $BV93),0)),"",INDIRECT(CONCATENATE("Table!",ADDRESS($BZ93,MATCH(AV$1,INDIRECT("Table!A" &amp; $BV93):INDIRECT("Table!" &amp; $CH$110 &amp; $BV93),0)))))/1024</f>
        <v>80.787402343750003</v>
      </c>
      <c r="AW93" s="709">
        <f ca="1">IF(ISERROR(MATCH(AW$1,INDIRECT("Table!A"&amp;$BV93):INDIRECT("Table!" &amp; $CH$110 &amp; $BV93),0)),"",INDIRECT(CONCATENATE("Table!",ADDRESS($BZ93,MATCH(AW$1,INDIRECT("Table!A" &amp; $BV93):INDIRECT("Table!" &amp; $CH$110 &amp; $BV93),0)))))/1024</f>
        <v>172.34638671875001</v>
      </c>
      <c r="AX93" s="709">
        <f ca="1">IF(ISERROR(MATCH(AX$1,INDIRECT("Table!A"&amp;$BV93):INDIRECT("Table!" &amp; $CH$110 &amp; $BV93),0)),"",INDIRECT(CONCATENATE("Table!",ADDRESS($BZ93,MATCH(AX$1,INDIRECT("Table!A" &amp; $BV93):INDIRECT("Table!" &amp; $CH$110 &amp; $BV93),0)))))/1024</f>
        <v>81.0927734375</v>
      </c>
      <c r="AY93" s="709"/>
      <c r="AZ93" s="709"/>
      <c r="BA93" s="709"/>
      <c r="BB93" s="709">
        <f ca="1">IF(ISERROR(MATCH(BB$1,INDIRECT("Table!A"&amp;$BV93):INDIRECT("Table!" &amp; $CH$110 &amp; $BV93),0)),"",INDIRECT(CONCATENATE("Table!",ADDRESS($BZ93,MATCH(BB$1,INDIRECT("Table!A" &amp; $BV93):INDIRECT("Table!" &amp; $CH$110 &amp; $BV93),0)))))/1024</f>
        <v>32.31494140625</v>
      </c>
      <c r="BC93" s="709"/>
      <c r="BD93" s="905"/>
      <c r="BE93" s="905"/>
      <c r="BF93" s="905"/>
      <c r="BG93" s="905"/>
      <c r="BH93" s="905"/>
      <c r="BI93" s="905"/>
      <c r="BJ93" s="905"/>
      <c r="BK93" s="905"/>
      <c r="BL93" s="905"/>
      <c r="BM93" s="905"/>
      <c r="BN93" s="905"/>
      <c r="BO93" s="905"/>
      <c r="BP93" s="905"/>
      <c r="BQ93" s="905"/>
      <c r="BR93" s="704">
        <f>MATCH($A93,Table!$A:$A,0)+$BT$2-1</f>
        <v>1205</v>
      </c>
      <c r="BS93" s="705"/>
      <c r="BT93" s="705"/>
      <c r="BU93" s="705"/>
      <c r="BV93" s="717">
        <f>MATCH($A93,Table!$A:$A,0)+$BX$2-1</f>
        <v>1203</v>
      </c>
      <c r="BW93" s="705"/>
      <c r="BX93" s="705"/>
      <c r="BY93" s="705"/>
      <c r="BZ93" s="704">
        <f>MATCH($A93,Table!$A:$A,0)+$CB$2-1</f>
        <v>1204</v>
      </c>
      <c r="CA93" s="705"/>
      <c r="CB93" s="705"/>
      <c r="CC93" s="705"/>
      <c r="CD93" s="717">
        <f>MATCH($A93,Table!$A:$A,0)+$BX$2-1</f>
        <v>1203</v>
      </c>
      <c r="CE93" s="705"/>
      <c r="CF93" s="705"/>
      <c r="CG93" s="705"/>
      <c r="CH93" s="711" t="s">
        <v>302</v>
      </c>
      <c r="CI93" s="712">
        <f t="shared" ca="1" si="140"/>
        <v>1867.10302734375</v>
      </c>
      <c r="CJ93" s="712">
        <f t="shared" ca="1" si="141"/>
        <v>933.35957031250018</v>
      </c>
      <c r="CK93" s="712">
        <f t="shared" ca="1" si="137"/>
        <v>933.74345703124982</v>
      </c>
      <c r="CL93" s="718">
        <f t="shared" ca="1" si="138"/>
        <v>0.49989719723198783</v>
      </c>
      <c r="CM93" s="712">
        <f ca="1">SUMIF('Alloc Feed'!A:I,A:A,'Alloc Feed'!I:I)</f>
        <v>0</v>
      </c>
      <c r="CN93" s="718">
        <f t="shared" ca="1" si="136"/>
        <v>0</v>
      </c>
    </row>
    <row r="94" spans="1:92" s="267" customFormat="1" x14ac:dyDescent="0.25">
      <c r="A94" s="703">
        <v>41341</v>
      </c>
      <c r="B94" s="709">
        <f ca="1">IF(ISERROR(MATCH(B$1,INDIRECT("Table!A"&amp;$BV94):INDIRECT("Table!" &amp; $CH$110 &amp; $BV94),0)),"",INDIRECT(CONCATENATE("Table!",ADDRESS($BR94,MATCH(B$1,INDIRECT("Table!A" &amp; $BV94):INDIRECT("Table!" &amp; $CH$110 &amp; $BV94),0)))))/1024</f>
        <v>40.440722656250003</v>
      </c>
      <c r="C94" s="709">
        <f ca="1">IF(ISERROR(MATCH(C$1,INDIRECT("Table!A"&amp;$BV94):INDIRECT("Table!" &amp; $CH$110 &amp; $BV94),0)),"",INDIRECT(CONCATENATE("Table!",ADDRESS($BR94,MATCH(C$1,INDIRECT("Table!A" &amp; $BV94):INDIRECT("Table!" &amp; $CH$110 &amp; $BV94),0)))))/1024</f>
        <v>75.371484374999994</v>
      </c>
      <c r="D94" s="709">
        <f ca="1">IF(ISERROR(MATCH(D$1,INDIRECT("Table!A"&amp;$BV94):INDIRECT("Table!" &amp; $CH$110 &amp; $BV94),0)),"",INDIRECT(CONCATENATE("Table!",ADDRESS($BR94,MATCH(D$1,INDIRECT("Table!A" &amp; $BV94):INDIRECT("Table!" &amp; $CH$110 &amp; $BV94),0)))))/1024</f>
        <v>76.752832031249994</v>
      </c>
      <c r="E94" s="709">
        <f ca="1">IF(ISERROR(MATCH(E$1,INDIRECT("Table!A"&amp;$BV94):INDIRECT("Table!" &amp; $CH$110 &amp; $BV94),0)),"",INDIRECT(CONCATENATE("Table!",ADDRESS($BR94,MATCH(E$1,INDIRECT("Table!A" &amp; $BV94):INDIRECT("Table!" &amp; $CH$110 &amp; $BV94),0)))))/1024</f>
        <v>152.28515625</v>
      </c>
      <c r="F94" s="709">
        <f ca="1">IF(ISERROR(MATCH(F$1,INDIRECT("Table!A"&amp;$BV94):INDIRECT("Table!" &amp; $CH$110 &amp; $BV94),0)),"",INDIRECT(CONCATENATE("Table!",ADDRESS($BR94,MATCH(F$1,INDIRECT("Table!A" &amp; $BV94):INDIRECT("Table!" &amp; $CH$110 &amp; $BV94),0)))))/1024</f>
        <v>82.733105468749997</v>
      </c>
      <c r="G94" s="709">
        <f ca="1">IF(ISERROR(MATCH(G$1,INDIRECT("Table!A"&amp;$BV94):INDIRECT("Table!" &amp; $CH$110 &amp; $BV94),0)),"",INDIRECT(CONCATENATE("Table!",ADDRESS($BR94,MATCH(G$1,INDIRECT("Table!A" &amp; $BV94):INDIRECT("Table!" &amp; $CH$110 &amp; $BV94),0)))))/1024</f>
        <v>42.640332031249997</v>
      </c>
      <c r="H94" s="709">
        <f ca="1">IF(ISERROR(MATCH(H$1,INDIRECT("Table!A"&amp;$BV94):INDIRECT("Table!" &amp; $CH$110 &amp; $BV94),0)),"",INDIRECT(CONCATENATE("Table!",ADDRESS($BR94,MATCH(H$1,INDIRECT("Table!A" &amp; $BV94):INDIRECT("Table!" &amp; $CH$110 &amp; $BV94),0)))))/1024</f>
        <v>64.7158203125</v>
      </c>
      <c r="I94" s="709">
        <f ca="1">IF(ISERROR(MATCH(I$1,INDIRECT("Table!A"&amp;$BV94):INDIRECT("Table!" &amp; $CH$110 &amp; $BV94),0)),"",INDIRECT(CONCATENATE("Table!",ADDRESS($BR94,MATCH(I$1,INDIRECT("Table!A" &amp; $BV94):INDIRECT("Table!" &amp; $CH$110 &amp; $BV94),0)))))/1024</f>
        <v>3.8097656249999998</v>
      </c>
      <c r="J94" s="709"/>
      <c r="K94" s="709"/>
      <c r="L94" s="709">
        <f ca="1">IF(ISERROR(MATCH(L$1,INDIRECT("Table!A"&amp;$BV94):INDIRECT("Table!" &amp; $CH$110 &amp; $BV94),0)),"",INDIRECT(CONCATENATE("Table!",ADDRESS($BR94,MATCH(L$1,INDIRECT("Table!A" &amp; $BV94):INDIRECT("Table!" &amp; $CH$110 &amp; $BV94),0)))))/1024</f>
        <v>151.37236328124999</v>
      </c>
      <c r="M94" s="709">
        <f ca="1">IF(ISERROR(MATCH(M$1,INDIRECT("Table!A"&amp;$BV94):INDIRECT("Table!" &amp; $CH$110 &amp; $BV94),0)),"",INDIRECT(CONCATENATE("Table!",ADDRESS($BR94,MATCH(M$1,INDIRECT("Table!A" &amp; $BV94):INDIRECT("Table!" &amp; $CH$110 &amp; $BV94),0)))))/1024</f>
        <v>51.195507812499997</v>
      </c>
      <c r="N94" s="709">
        <f ca="1">IF(ISERROR(MATCH(N$1,INDIRECT("Table!A"&amp;$BV94):INDIRECT("Table!" &amp; $CH$110 &amp; $BV94),0)),"",INDIRECT(CONCATENATE("Table!",ADDRESS($BR94,MATCH(N$1,INDIRECT("Table!A" &amp; $BV94):INDIRECT("Table!" &amp; $CH$110 &amp; $BV94),0)))))/1024</f>
        <v>42.8857421875</v>
      </c>
      <c r="O94" s="709">
        <f ca="1">IF(ISERROR(MATCH(O$1,INDIRECT("Table!A"&amp;$BV94):INDIRECT("Table!" &amp; $CH$110 &amp; $BV94),0)),"",INDIRECT(CONCATENATE("Table!",ADDRESS($BR94,MATCH(O$1,INDIRECT("Table!A" &amp; $BV94):INDIRECT("Table!" &amp; $CH$110 &amp; $BV94),0)))))/1024</f>
        <v>126.396484375</v>
      </c>
      <c r="P94" s="709">
        <f ca="1">IF(ISERROR(MATCH(P$1,INDIRECT("Table!A"&amp;$BV94):INDIRECT("Table!" &amp; $CH$110 &amp; $BV94),0)),"",INDIRECT(CONCATENATE("Table!",ADDRESS($BR94,MATCH(P$1,INDIRECT("Table!A" &amp; $BV94):INDIRECT("Table!" &amp; $CH$110 &amp; $BV94),0)))))/1024</f>
        <v>7.4412109375000002</v>
      </c>
      <c r="Q94" s="709"/>
      <c r="R94" s="709"/>
      <c r="S94" s="709">
        <v>0</v>
      </c>
      <c r="T94" s="709">
        <f ca="1">IF(ISERROR(MATCH(T$1,INDIRECT("Table!A"&amp;$BV94):INDIRECT("Table!" &amp; $CH$65 &amp; $BV94),0)),"",INDIRECT(CONCATENATE("Table!",ADDRESS($BR94,MATCH(T$1,INDIRECT("Table!A" &amp; $BV94):INDIRECT("Table!" &amp; $CH$65 &amp; $BV94),0)))))/1024</f>
        <v>2.0006835937499998</v>
      </c>
      <c r="U94" s="709"/>
      <c r="V94" s="905"/>
      <c r="W94" s="905"/>
      <c r="X94" s="905"/>
      <c r="Y94" s="905"/>
      <c r="Z94" s="905"/>
      <c r="AA94" s="905"/>
      <c r="AB94" s="905"/>
      <c r="AC94" s="905"/>
      <c r="AD94" s="905"/>
      <c r="AE94" s="905"/>
      <c r="AF94" s="905"/>
      <c r="AG94" s="905"/>
      <c r="AH94" s="905"/>
      <c r="AI94" s="709" t="str">
        <f ca="1">IF(ISERROR(MATCH(AI$1,INDIRECT("Table!A"&amp;$BV94):INDIRECT("Table!" &amp; $CH$110 &amp; $BV94),0)),"",INDIRECT(CONCATENATE("Table!",ADDRESS($BR94,MATCH(AI$1,INDIRECT("Table!A" &amp; $BV94):INDIRECT("Table!" &amp; $CH$110 &amp; $BV94),0)))))</f>
        <v/>
      </c>
      <c r="AJ94" s="709">
        <f ca="1">IF(ISERROR(MATCH(AJ$1,INDIRECT("Table!A"&amp;$BV94):INDIRECT("Table!" &amp; $CH$110 &amp; $BV94),0)),"",INDIRECT(CONCATENATE("Table!",ADDRESS($BZ94,MATCH(AJ$1,INDIRECT("Table!A" &amp; $BV94):INDIRECT("Table!" &amp; $CH$110 &amp; $BV94),0)))))/1024</f>
        <v>140.03144531250001</v>
      </c>
      <c r="AK94" s="709">
        <f ca="1">IF(ISERROR(MATCH(AK$1,INDIRECT("Table!A"&amp;$BV94):INDIRECT("Table!" &amp; $CH$110 &amp; $BV94),0)),"",INDIRECT(CONCATENATE("Table!",ADDRESS($BZ94,MATCH(AK$1,INDIRECT("Table!A" &amp; $BV94):INDIRECT("Table!" &amp; $CH$110 &amp; $BV94),0)))))/1024</f>
        <v>146.98808593749999</v>
      </c>
      <c r="AL94" s="709">
        <f ca="1">IF(ISERROR(MATCH(AL$1,INDIRECT("Table!A"&amp;$BV94):INDIRECT("Table!" &amp; $CH$110 &amp; $BV94),0)),"",INDIRECT(CONCATENATE("Table!",ADDRESS($BZ94,MATCH(AL$1,INDIRECT("Table!A" &amp; $BV94):INDIRECT("Table!" &amp; $CH$110 &amp; $BV94),0)))))/1024</f>
        <v>146.98808593749999</v>
      </c>
      <c r="AM94" s="709">
        <f ca="1">IF(ISERROR(MATCH(AM$1,INDIRECT("Table!A"&amp;$BV94):INDIRECT("Table!" &amp; $CH$110 &amp; $BV94),0)),"",INDIRECT(CONCATENATE("Table!",ADDRESS($BZ94,MATCH(AM$1,INDIRECT("Table!A" &amp; $BV94):INDIRECT("Table!" &amp; $CH$110 &amp; $BV94),0)))))/1024</f>
        <v>177.73222656249999</v>
      </c>
      <c r="AN94" s="709">
        <f ca="1">IF(ISERROR(MATCH(AN$1,INDIRECT("Table!A"&amp;$BV94):INDIRECT("Table!" &amp; $CH$110 &amp; $BV94),0)),"",INDIRECT(CONCATENATE("Table!",ADDRESS($BZ94,MATCH(AN$1,INDIRECT("Table!A" &amp; $BV94):INDIRECT("Table!" &amp; $CH$110 &amp; $BV94),0)))))/1024</f>
        <v>161.57470703125</v>
      </c>
      <c r="AO94" s="709">
        <f ca="1">IF(ISERROR(MATCH(AO$1,INDIRECT("Table!A"&amp;$BV94):INDIRECT("Table!" &amp; $CH$110 &amp; $BV94),0)),"",INDIRECT(CONCATENATE("Table!",ADDRESS($BZ94,MATCH(AO$1,INDIRECT("Table!A" &amp; $BV94):INDIRECT("Table!" &amp; $CH$110 &amp; $BV94),0)))))/1024</f>
        <v>129.03515625</v>
      </c>
      <c r="AP94" s="709">
        <f ca="1">IF(ISERROR(MATCH(AP$1,INDIRECT("Table!A"&amp;$BV94):INDIRECT("Table!" &amp; $CH$110 &amp; $BV94),0)),"",INDIRECT(CONCATENATE("Table!",ADDRESS($BZ94,MATCH(AP$1,INDIRECT("Table!A" &amp; $BV94):INDIRECT("Table!" &amp; $CH$110 &amp; $BV94),0)))))/1024</f>
        <v>118.4880859375</v>
      </c>
      <c r="AQ94" s="709">
        <f ca="1">IF(ISERROR(MATCH(AQ$1,INDIRECT("Table!A"&amp;$BV94):INDIRECT("Table!" &amp; $CH$110 &amp; $BV94),0)),"",INDIRECT(CONCATENATE("Table!",ADDRESS($BZ94,MATCH(AQ$1,INDIRECT("Table!A" &amp; $BV94):INDIRECT("Table!" &amp; $CH$110 &amp; $BV94),0)))))/1024</f>
        <v>162.18544921874999</v>
      </c>
      <c r="AR94" s="709"/>
      <c r="AS94" s="709"/>
      <c r="AT94" s="709">
        <f ca="1">IF(ISERROR(MATCH(AT$1,INDIRECT("Table!A"&amp;$BV94):INDIRECT("Table!" &amp; $CH$110 &amp; $BV94),0)),"",INDIRECT(CONCATENATE("Table!",ADDRESS($BZ94,MATCH(AT$1,INDIRECT("Table!A" &amp; $BV94):INDIRECT("Table!" &amp; $CH$110 &amp; $BV94),0)))))/1024</f>
        <v>188.5029296875</v>
      </c>
      <c r="AU94" s="709">
        <f ca="1">IF(ISERROR(MATCH(AU$1,INDIRECT("Table!A"&amp;$BV94):INDIRECT("Table!" &amp; $CH$110 &amp; $BV94),0)),"",INDIRECT(CONCATENATE("Table!",ADDRESS($BZ94,MATCH(AU$1,INDIRECT("Table!A" &amp; $BV94):INDIRECT("Table!" &amp; $CH$110 &amp; $BV94),0)))))/1024</f>
        <v>129.03535156250001</v>
      </c>
      <c r="AV94" s="709">
        <f ca="1">IF(ISERROR(MATCH(AV$1,INDIRECT("Table!A"&amp;$BV94):INDIRECT("Table!" &amp; $CH$110 &amp; $BV94),0)),"",INDIRECT(CONCATENATE("Table!",ADDRESS($BZ94,MATCH(AV$1,INDIRECT("Table!A" &amp; $BV94):INDIRECT("Table!" &amp; $CH$110 &amp; $BV94),0)))))/1024</f>
        <v>80.787402343750003</v>
      </c>
      <c r="AW94" s="709">
        <f ca="1">IF(ISERROR(MATCH(AW$1,INDIRECT("Table!A"&amp;$BV94):INDIRECT("Table!" &amp; $CH$110 &amp; $BV94),0)),"",INDIRECT(CONCATENATE("Table!",ADDRESS($BZ94,MATCH(AW$1,INDIRECT("Table!A" &amp; $BV94):INDIRECT("Table!" &amp; $CH$110 &amp; $BV94),0)))))/1024</f>
        <v>172.34638671875001</v>
      </c>
      <c r="AX94" s="709">
        <f ca="1">IF(ISERROR(MATCH(AX$1,INDIRECT("Table!A"&amp;$BV94):INDIRECT("Table!" &amp; $CH$110 &amp; $BV94),0)),"",INDIRECT(CONCATENATE("Table!",ADDRESS($BZ94,MATCH(AX$1,INDIRECT("Table!A" &amp; $BV94):INDIRECT("Table!" &amp; $CH$110 &amp; $BV94),0)))))/1024</f>
        <v>81.0927734375</v>
      </c>
      <c r="AY94" s="709"/>
      <c r="AZ94" s="709"/>
      <c r="BA94" s="709"/>
      <c r="BB94" s="709">
        <f ca="1">IF(ISERROR(MATCH(BB$1,INDIRECT("Table!A"&amp;$BV94):INDIRECT("Table!" &amp; $CH$110 &amp; $BV94),0)),"",INDIRECT(CONCATENATE("Table!",ADDRESS($BZ94,MATCH(BB$1,INDIRECT("Table!A" &amp; $BV94):INDIRECT("Table!" &amp; $CH$110 &amp; $BV94),0)))))/1024</f>
        <v>32.31494140625</v>
      </c>
      <c r="BC94" s="709"/>
      <c r="BD94" s="905"/>
      <c r="BE94" s="905"/>
      <c r="BF94" s="905"/>
      <c r="BG94" s="905"/>
      <c r="BH94" s="905"/>
      <c r="BI94" s="905"/>
      <c r="BJ94" s="905"/>
      <c r="BK94" s="905"/>
      <c r="BL94" s="905"/>
      <c r="BM94" s="905"/>
      <c r="BN94" s="905"/>
      <c r="BO94" s="905"/>
      <c r="BP94" s="905"/>
      <c r="BQ94" s="905"/>
      <c r="BR94" s="704">
        <f>MATCH($A94,Table!$A:$A,0)+$BT$2-1</f>
        <v>1217</v>
      </c>
      <c r="BS94" s="705"/>
      <c r="BT94" s="705"/>
      <c r="BU94" s="705"/>
      <c r="BV94" s="717">
        <f>MATCH($A94,Table!$A:$A,0)+$BX$2-1</f>
        <v>1215</v>
      </c>
      <c r="BW94" s="705"/>
      <c r="BX94" s="705"/>
      <c r="BY94" s="705"/>
      <c r="BZ94" s="704">
        <f>MATCH($A94,Table!$A:$A,0)+$CB$2-1</f>
        <v>1216</v>
      </c>
      <c r="CA94" s="705"/>
      <c r="CB94" s="705"/>
      <c r="CC94" s="705"/>
      <c r="CD94" s="717">
        <f>MATCH($A94,Table!$A:$A,0)+$BX$2-1</f>
        <v>1215</v>
      </c>
      <c r="CE94" s="705"/>
      <c r="CF94" s="705"/>
      <c r="CG94" s="705"/>
      <c r="CH94" s="711" t="s">
        <v>302</v>
      </c>
      <c r="CI94" s="712">
        <f t="shared" ca="1" si="140"/>
        <v>1867.10302734375</v>
      </c>
      <c r="CJ94" s="712">
        <f t="shared" ca="1" si="141"/>
        <v>920.04121093749995</v>
      </c>
      <c r="CK94" s="712">
        <f t="shared" ca="1" si="137"/>
        <v>947.06181640625005</v>
      </c>
      <c r="CL94" s="718">
        <f t="shared" ca="1" si="138"/>
        <v>0.49276402933500912</v>
      </c>
      <c r="CM94" s="712">
        <f ca="1">SUMIF('Alloc Feed'!A:I,A:A,'Alloc Feed'!I:I)</f>
        <v>0</v>
      </c>
      <c r="CN94" s="718">
        <f t="shared" ca="1" si="136"/>
        <v>0</v>
      </c>
    </row>
    <row r="95" spans="1:92" s="267" customFormat="1" x14ac:dyDescent="0.25">
      <c r="A95" s="703">
        <v>41340</v>
      </c>
      <c r="B95" s="709">
        <f ca="1">IF(ISERROR(MATCH(B$1,INDIRECT("Table!A"&amp;$BV95):INDIRECT("Table!" &amp; $CH$110 &amp; $BV95),0)),"",INDIRECT(CONCATENATE("Table!",ADDRESS($BR95,MATCH(B$1,INDIRECT("Table!A" &amp; $BV95):INDIRECT("Table!" &amp; $CH$110 &amp; $BV95),0)))))/1024</f>
        <v>40.6318359375</v>
      </c>
      <c r="C95" s="709">
        <f ca="1">IF(ISERROR(MATCH(C$1,INDIRECT("Table!A"&amp;$BV95):INDIRECT("Table!" &amp; $CH$110 &amp; $BV95),0)),"",INDIRECT(CONCATENATE("Table!",ADDRESS($BR95,MATCH(C$1,INDIRECT("Table!A" &amp; $BV95):INDIRECT("Table!" &amp; $CH$110 &amp; $BV95),0)))))/1024</f>
        <v>75.336035156250006</v>
      </c>
      <c r="D95" s="709">
        <f ca="1">IF(ISERROR(MATCH(D$1,INDIRECT("Table!A"&amp;$BV95):INDIRECT("Table!" &amp; $CH$110 &amp; $BV95),0)),"",INDIRECT(CONCATENATE("Table!",ADDRESS($BR95,MATCH(D$1,INDIRECT("Table!A" &amp; $BV95):INDIRECT("Table!" &amp; $CH$110 &amp; $BV95),0)))))/1024</f>
        <v>76.744921875000003</v>
      </c>
      <c r="E95" s="709">
        <f ca="1">IF(ISERROR(MATCH(E$1,INDIRECT("Table!A"&amp;$BV95):INDIRECT("Table!" &amp; $CH$110 &amp; $BV95),0)),"",INDIRECT(CONCATENATE("Table!",ADDRESS($BR95,MATCH(E$1,INDIRECT("Table!A" &amp; $BV95):INDIRECT("Table!" &amp; $CH$110 &amp; $BV95),0)))))/1024</f>
        <v>152.07822265625001</v>
      </c>
      <c r="F95" s="709">
        <f ca="1">IF(ISERROR(MATCH(F$1,INDIRECT("Table!A"&amp;$BV95):INDIRECT("Table!" &amp; $CH$110 &amp; $BV95),0)),"",INDIRECT(CONCATENATE("Table!",ADDRESS($BR95,MATCH(F$1,INDIRECT("Table!A" &amp; $BV95):INDIRECT("Table!" &amp; $CH$110 &amp; $BV95),0)))))/1024</f>
        <v>82.639355468749997</v>
      </c>
      <c r="G95" s="709">
        <f ca="1">IF(ISERROR(MATCH(G$1,INDIRECT("Table!A"&amp;$BV95):INDIRECT("Table!" &amp; $CH$110 &amp; $BV95),0)),"",INDIRECT(CONCATENATE("Table!",ADDRESS($BR95,MATCH(G$1,INDIRECT("Table!A" &amp; $BV95):INDIRECT("Table!" &amp; $CH$110 &amp; $BV95),0)))))/1024</f>
        <v>43.3896484375</v>
      </c>
      <c r="H95" s="709">
        <f ca="1">IF(ISERROR(MATCH(H$1,INDIRECT("Table!A"&amp;$BV95):INDIRECT("Table!" &amp; $CH$110 &amp; $BV95),0)),"",INDIRECT(CONCATENATE("Table!",ADDRESS($BR95,MATCH(H$1,INDIRECT("Table!A" &amp; $BV95):INDIRECT("Table!" &amp; $CH$110 &amp; $BV95),0)))))/1024</f>
        <v>64.677734375</v>
      </c>
      <c r="I95" s="709">
        <f ca="1">IF(ISERROR(MATCH(I$1,INDIRECT("Table!A"&amp;$BV95):INDIRECT("Table!" &amp; $CH$110 &amp; $BV95),0)),"",INDIRECT(CONCATENATE("Table!",ADDRESS($BR95,MATCH(I$1,INDIRECT("Table!A" &amp; $BV95):INDIRECT("Table!" &amp; $CH$110 &amp; $BV95),0)))))/1024</f>
        <v>3.8097656249999998</v>
      </c>
      <c r="J95" s="709"/>
      <c r="K95" s="709"/>
      <c r="L95" s="709">
        <f ca="1">IF(ISERROR(MATCH(L$1,INDIRECT("Table!A"&amp;$BV95):INDIRECT("Table!" &amp; $CH$110 &amp; $BV95),0)),"",INDIRECT(CONCATENATE("Table!",ADDRESS($BR95,MATCH(L$1,INDIRECT("Table!A" &amp; $BV95):INDIRECT("Table!" &amp; $CH$110 &amp; $BV95),0)))))/1024</f>
        <v>151.29374999999999</v>
      </c>
      <c r="M95" s="709">
        <f ca="1">IF(ISERROR(MATCH(M$1,INDIRECT("Table!A"&amp;$BV95):INDIRECT("Table!" &amp; $CH$110 &amp; $BV95),0)),"",INDIRECT(CONCATENATE("Table!",ADDRESS($BR95,MATCH(M$1,INDIRECT("Table!A" &amp; $BV95):INDIRECT("Table!" &amp; $CH$110 &amp; $BV95),0)))))/1024</f>
        <v>51.931933593750003</v>
      </c>
      <c r="N95" s="709">
        <f ca="1">IF(ISERROR(MATCH(N$1,INDIRECT("Table!A"&amp;$BV95):INDIRECT("Table!" &amp; $CH$110 &amp; $BV95),0)),"",INDIRECT(CONCATENATE("Table!",ADDRESS($BR95,MATCH(N$1,INDIRECT("Table!A" &amp; $BV95):INDIRECT("Table!" &amp; $CH$110 &amp; $BV95),0)))))/1024</f>
        <v>42.838671875000003</v>
      </c>
      <c r="O95" s="709">
        <f ca="1">IF(ISERROR(MATCH(O$1,INDIRECT("Table!A"&amp;$BV95):INDIRECT("Table!" &amp; $CH$110 &amp; $BV95),0)),"",INDIRECT(CONCATENATE("Table!",ADDRESS($BR95,MATCH(O$1,INDIRECT("Table!A" &amp; $BV95):INDIRECT("Table!" &amp; $CH$110 &amp; $BV95),0)))))/1024</f>
        <v>126.33876953124999</v>
      </c>
      <c r="P95" s="709">
        <f ca="1">IF(ISERROR(MATCH(P$1,INDIRECT("Table!A"&amp;$BV95):INDIRECT("Table!" &amp; $CH$110 &amp; $BV95),0)),"",INDIRECT(CONCATENATE("Table!",ADDRESS($BR95,MATCH(P$1,INDIRECT("Table!A" &amp; $BV95):INDIRECT("Table!" &amp; $CH$110 &amp; $BV95),0)))))/1024</f>
        <v>7.4412109375000002</v>
      </c>
      <c r="Q95" s="709"/>
      <c r="R95" s="709"/>
      <c r="S95" s="709">
        <v>0</v>
      </c>
      <c r="T95" s="709">
        <f ca="1">IF(ISERROR(MATCH(T$1,INDIRECT("Table!A"&amp;$BV95):INDIRECT("Table!" &amp; $CH$65 &amp; $BV95),0)),"",INDIRECT(CONCATENATE("Table!",ADDRESS($BR95,MATCH(T$1,INDIRECT("Table!A" &amp; $BV95):INDIRECT("Table!" &amp; $CH$65 &amp; $BV95),0)))))/1024</f>
        <v>1.9149414062500001</v>
      </c>
      <c r="U95" s="709"/>
      <c r="V95" s="905"/>
      <c r="W95" s="905"/>
      <c r="X95" s="905"/>
      <c r="Y95" s="905"/>
      <c r="Z95" s="905"/>
      <c r="AA95" s="905"/>
      <c r="AB95" s="905"/>
      <c r="AC95" s="905"/>
      <c r="AD95" s="905"/>
      <c r="AE95" s="905"/>
      <c r="AF95" s="905"/>
      <c r="AG95" s="905"/>
      <c r="AH95" s="905"/>
      <c r="AI95" s="709" t="str">
        <f ca="1">IF(ISERROR(MATCH(AI$1,INDIRECT("Table!A"&amp;$BV95):INDIRECT("Table!" &amp; $CH$110 &amp; $BV95),0)),"",INDIRECT(CONCATENATE("Table!",ADDRESS($BR95,MATCH(AI$1,INDIRECT("Table!A" &amp; $BV95):INDIRECT("Table!" &amp; $CH$110 &amp; $BV95),0)))))</f>
        <v/>
      </c>
      <c r="AJ95" s="709">
        <f ca="1">IF(ISERROR(MATCH(AJ$1,INDIRECT("Table!A"&amp;$BV95):INDIRECT("Table!" &amp; $CH$110 &amp; $BV95),0)),"",INDIRECT(CONCATENATE("Table!",ADDRESS($BZ95,MATCH(AJ$1,INDIRECT("Table!A" &amp; $BV95):INDIRECT("Table!" &amp; $CH$110 &amp; $BV95),0)))))/1024</f>
        <v>140.03144531250001</v>
      </c>
      <c r="AK95" s="709">
        <f ca="1">IF(ISERROR(MATCH(AK$1,INDIRECT("Table!A"&amp;$BV95):INDIRECT("Table!" &amp; $CH$110 &amp; $BV95),0)),"",INDIRECT(CONCATENATE("Table!",ADDRESS($BZ95,MATCH(AK$1,INDIRECT("Table!A" &amp; $BV95):INDIRECT("Table!" &amp; $CH$110 &amp; $BV95),0)))))/1024</f>
        <v>146.98808593749999</v>
      </c>
      <c r="AL95" s="709">
        <f ca="1">IF(ISERROR(MATCH(AL$1,INDIRECT("Table!A"&amp;$BV95):INDIRECT("Table!" &amp; $CH$110 &amp; $BV95),0)),"",INDIRECT(CONCATENATE("Table!",ADDRESS($BZ95,MATCH(AL$1,INDIRECT("Table!A" &amp; $BV95):INDIRECT("Table!" &amp; $CH$110 &amp; $BV95),0)))))/1024</f>
        <v>146.98808593749999</v>
      </c>
      <c r="AM95" s="709">
        <f ca="1">IF(ISERROR(MATCH(AM$1,INDIRECT("Table!A"&amp;$BV95):INDIRECT("Table!" &amp; $CH$110 &amp; $BV95),0)),"",INDIRECT(CONCATENATE("Table!",ADDRESS($BZ95,MATCH(AM$1,INDIRECT("Table!A" &amp; $BV95):INDIRECT("Table!" &amp; $CH$110 &amp; $BV95),0)))))/1024</f>
        <v>177.73222656249999</v>
      </c>
      <c r="AN95" s="709">
        <f ca="1">IF(ISERROR(MATCH(AN$1,INDIRECT("Table!A"&amp;$BV95):INDIRECT("Table!" &amp; $CH$110 &amp; $BV95),0)),"",INDIRECT(CONCATENATE("Table!",ADDRESS($BZ95,MATCH(AN$1,INDIRECT("Table!A" &amp; $BV95):INDIRECT("Table!" &amp; $CH$110 &amp; $BV95),0)))))/1024</f>
        <v>161.57470703125</v>
      </c>
      <c r="AO95" s="709">
        <f ca="1">IF(ISERROR(MATCH(AO$1,INDIRECT("Table!A"&amp;$BV95):INDIRECT("Table!" &amp; $CH$110 &amp; $BV95),0)),"",INDIRECT(CONCATENATE("Table!",ADDRESS($BZ95,MATCH(AO$1,INDIRECT("Table!A" &amp; $BV95):INDIRECT("Table!" &amp; $CH$110 &amp; $BV95),0)))))/1024</f>
        <v>129.03515625</v>
      </c>
      <c r="AP95" s="709">
        <f ca="1">IF(ISERROR(MATCH(AP$1,INDIRECT("Table!A"&amp;$BV95):INDIRECT("Table!" &amp; $CH$110 &amp; $BV95),0)),"",INDIRECT(CONCATENATE("Table!",ADDRESS($BZ95,MATCH(AP$1,INDIRECT("Table!A" &amp; $BV95):INDIRECT("Table!" &amp; $CH$110 &amp; $BV95),0)))))/1024</f>
        <v>118.4880859375</v>
      </c>
      <c r="AQ95" s="709">
        <f ca="1">IF(ISERROR(MATCH(AQ$1,INDIRECT("Table!A"&amp;$BV95):INDIRECT("Table!" &amp; $CH$110 &amp; $BV95),0)),"",INDIRECT(CONCATENATE("Table!",ADDRESS($BZ95,MATCH(AQ$1,INDIRECT("Table!A" &amp; $BV95):INDIRECT("Table!" &amp; $CH$110 &amp; $BV95),0)))))/1024</f>
        <v>162.18544921874999</v>
      </c>
      <c r="AR95" s="709"/>
      <c r="AS95" s="709"/>
      <c r="AT95" s="709">
        <f ca="1">IF(ISERROR(MATCH(AT$1,INDIRECT("Table!A"&amp;$BV95):INDIRECT("Table!" &amp; $CH$110 &amp; $BV95),0)),"",INDIRECT(CONCATENATE("Table!",ADDRESS($BZ95,MATCH(AT$1,INDIRECT("Table!A" &amp; $BV95):INDIRECT("Table!" &amp; $CH$110 &amp; $BV95),0)))))/1024</f>
        <v>188.5029296875</v>
      </c>
      <c r="AU95" s="709">
        <f ca="1">IF(ISERROR(MATCH(AU$1,INDIRECT("Table!A"&amp;$BV95):INDIRECT("Table!" &amp; $CH$110 &amp; $BV95),0)),"",INDIRECT(CONCATENATE("Table!",ADDRESS($BZ95,MATCH(AU$1,INDIRECT("Table!A" &amp; $BV95):INDIRECT("Table!" &amp; $CH$110 &amp; $BV95),0)))))/1024</f>
        <v>129.03535156250001</v>
      </c>
      <c r="AV95" s="709">
        <f ca="1">IF(ISERROR(MATCH(AV$1,INDIRECT("Table!A"&amp;$BV95):INDIRECT("Table!" &amp; $CH$110 &amp; $BV95),0)),"",INDIRECT(CONCATENATE("Table!",ADDRESS($BZ95,MATCH(AV$1,INDIRECT("Table!A" &amp; $BV95):INDIRECT("Table!" &amp; $CH$110 &amp; $BV95),0)))))/1024</f>
        <v>80.787402343750003</v>
      </c>
      <c r="AW95" s="709">
        <f ca="1">IF(ISERROR(MATCH(AW$1,INDIRECT("Table!A"&amp;$BV95):INDIRECT("Table!" &amp; $CH$110 &amp; $BV95),0)),"",INDIRECT(CONCATENATE("Table!",ADDRESS($BZ95,MATCH(AW$1,INDIRECT("Table!A" &amp; $BV95):INDIRECT("Table!" &amp; $CH$110 &amp; $BV95),0)))))/1024</f>
        <v>172.34638671875001</v>
      </c>
      <c r="AX95" s="709">
        <f ca="1">IF(ISERROR(MATCH(AX$1,INDIRECT("Table!A"&amp;$BV95):INDIRECT("Table!" &amp; $CH$110 &amp; $BV95),0)),"",INDIRECT(CONCATENATE("Table!",ADDRESS($BZ95,MATCH(AX$1,INDIRECT("Table!A" &amp; $BV95):INDIRECT("Table!" &amp; $CH$110 &amp; $BV95),0)))))/1024</f>
        <v>81.0927734375</v>
      </c>
      <c r="AY95" s="709"/>
      <c r="AZ95" s="709"/>
      <c r="BA95" s="709"/>
      <c r="BB95" s="709">
        <f ca="1">IF(ISERROR(MATCH(BB$1,INDIRECT("Table!A"&amp;$BV95):INDIRECT("Table!" &amp; $CH$110 &amp; $BV95),0)),"",INDIRECT(CONCATENATE("Table!",ADDRESS($BZ95,MATCH(BB$1,INDIRECT("Table!A" &amp; $BV95):INDIRECT("Table!" &amp; $CH$110 &amp; $BV95),0)))))/1024</f>
        <v>32.31494140625</v>
      </c>
      <c r="BC95" s="709"/>
      <c r="BD95" s="905"/>
      <c r="BE95" s="905"/>
      <c r="BF95" s="905"/>
      <c r="BG95" s="905"/>
      <c r="BH95" s="905"/>
      <c r="BI95" s="905"/>
      <c r="BJ95" s="905"/>
      <c r="BK95" s="905"/>
      <c r="BL95" s="905"/>
      <c r="BM95" s="905"/>
      <c r="BN95" s="905"/>
      <c r="BO95" s="905"/>
      <c r="BP95" s="905"/>
      <c r="BQ95" s="905"/>
      <c r="BR95" s="704">
        <f>MATCH($A95,Table!$A:$A,0)+$BT$2-1</f>
        <v>1229</v>
      </c>
      <c r="BS95" s="705"/>
      <c r="BT95" s="705"/>
      <c r="BU95" s="705"/>
      <c r="BV95" s="717">
        <f>MATCH($A95,Table!$A:$A,0)+$BX$2-1</f>
        <v>1227</v>
      </c>
      <c r="BW95" s="705"/>
      <c r="BX95" s="705"/>
      <c r="BY95" s="705"/>
      <c r="BZ95" s="704">
        <f>MATCH($A95,Table!$A:$A,0)+$CB$2-1</f>
        <v>1228</v>
      </c>
      <c r="CA95" s="705"/>
      <c r="CB95" s="705"/>
      <c r="CC95" s="705"/>
      <c r="CD95" s="717">
        <f>MATCH($A95,Table!$A:$A,0)+$BX$2-1</f>
        <v>1227</v>
      </c>
      <c r="CE95" s="705"/>
      <c r="CF95" s="705"/>
      <c r="CG95" s="705"/>
      <c r="CH95" s="711" t="s">
        <v>302</v>
      </c>
      <c r="CI95" s="712">
        <f t="shared" ca="1" si="140"/>
        <v>1867.10302734375</v>
      </c>
      <c r="CJ95" s="712">
        <f t="shared" ca="1" si="141"/>
        <v>921.06679687500014</v>
      </c>
      <c r="CK95" s="712">
        <f t="shared" ca="1" si="137"/>
        <v>946.03623046874986</v>
      </c>
      <c r="CL95" s="718">
        <f t="shared" ca="1" si="138"/>
        <v>0.49331332196775646</v>
      </c>
      <c r="CM95" s="712">
        <f ca="1">SUMIF('Alloc Feed'!A:I,A:A,'Alloc Feed'!I:I)</f>
        <v>0</v>
      </c>
      <c r="CN95" s="718">
        <f t="shared" ca="1" si="136"/>
        <v>0</v>
      </c>
    </row>
    <row r="96" spans="1:92" s="267" customFormat="1" x14ac:dyDescent="0.25">
      <c r="A96" s="703">
        <v>41337</v>
      </c>
      <c r="B96" s="709">
        <f ca="1">IF(ISERROR(MATCH(B$1,INDIRECT("Table!A"&amp;$BV96):INDIRECT("Table!" &amp; $CH$110 &amp; $BV96),0)),"",INDIRECT(CONCATENATE("Table!",ADDRESS($BR96,MATCH(B$1,INDIRECT("Table!A" &amp; $BV96):INDIRECT("Table!" &amp; $CH$110 &amp; $BV96),0)))))/1024</f>
        <v>39.122167968749999</v>
      </c>
      <c r="C96" s="709">
        <f ca="1">IF(ISERROR(MATCH(C$1,INDIRECT("Table!A"&amp;$BV96):INDIRECT("Table!" &amp; $CH$110 &amp; $BV96),0)),"",INDIRECT(CONCATENATE("Table!",ADDRESS($BR96,MATCH(C$1,INDIRECT("Table!A" &amp; $BV96):INDIRECT("Table!" &amp; $CH$110 &amp; $BV96),0)))))/1024</f>
        <v>75.336035156250006</v>
      </c>
      <c r="D96" s="709">
        <f ca="1">IF(ISERROR(MATCH(D$1,INDIRECT("Table!A"&amp;$BV96):INDIRECT("Table!" &amp; $CH$110 &amp; $BV96),0)),"",INDIRECT(CONCATENATE("Table!",ADDRESS($BR96,MATCH(D$1,INDIRECT("Table!A" &amp; $BV96):INDIRECT("Table!" &amp; $CH$110 &amp; $BV96),0)))))/1024</f>
        <v>76.717187499999994</v>
      </c>
      <c r="E96" s="709">
        <f ca="1">IF(ISERROR(MATCH(E$1,INDIRECT("Table!A"&amp;$BV96):INDIRECT("Table!" &amp; $CH$110 &amp; $BV96),0)),"",INDIRECT(CONCATENATE("Table!",ADDRESS($BR96,MATCH(E$1,INDIRECT("Table!A" &amp; $BV96):INDIRECT("Table!" &amp; $CH$110 &amp; $BV96),0)))))/1024</f>
        <v>152.03330078125001</v>
      </c>
      <c r="F96" s="709">
        <f ca="1">IF(ISERROR(MATCH(F$1,INDIRECT("Table!A"&amp;$BV96):INDIRECT("Table!" &amp; $CH$110 &amp; $BV96),0)),"",INDIRECT(CONCATENATE("Table!",ADDRESS($BR96,MATCH(F$1,INDIRECT("Table!A" &amp; $BV96):INDIRECT("Table!" &amp; $CH$110 &amp; $BV96),0)))))/1024</f>
        <v>82.197656249999994</v>
      </c>
      <c r="G96" s="709">
        <f ca="1">IF(ISERROR(MATCH(G$1,INDIRECT("Table!A"&amp;$BV96):INDIRECT("Table!" &amp; $CH$110 &amp; $BV96),0)),"",INDIRECT(CONCATENATE("Table!",ADDRESS($BR96,MATCH(G$1,INDIRECT("Table!A" &amp; $BV96):INDIRECT("Table!" &amp; $CH$110 &amp; $BV96),0)))))/1024</f>
        <v>44.185546875</v>
      </c>
      <c r="H96" s="709">
        <f ca="1">IF(ISERROR(MATCH(H$1,INDIRECT("Table!A"&amp;$BV96):INDIRECT("Table!" &amp; $CH$110 &amp; $BV96),0)),"",INDIRECT(CONCATENATE("Table!",ADDRESS($BR96,MATCH(H$1,INDIRECT("Table!A" &amp; $BV96):INDIRECT("Table!" &amp; $CH$110 &amp; $BV96),0)))))/1024</f>
        <v>64.599316406249997</v>
      </c>
      <c r="I96" s="709">
        <f ca="1">IF(ISERROR(MATCH(I$1,INDIRECT("Table!A"&amp;$BV96):INDIRECT("Table!" &amp; $CH$110 &amp; $BV96),0)),"",INDIRECT(CONCATENATE("Table!",ADDRESS($BR96,MATCH(I$1,INDIRECT("Table!A" &amp; $BV96):INDIRECT("Table!" &amp; $CH$110 &amp; $BV96),0)))))/1024</f>
        <v>3.6421874999999999</v>
      </c>
      <c r="J96" s="709"/>
      <c r="K96" s="709"/>
      <c r="L96" s="709">
        <f ca="1">IF(ISERROR(MATCH(L$1,INDIRECT("Table!A"&amp;$BV96):INDIRECT("Table!" &amp; $CH$110 &amp; $BV96),0)),"",INDIRECT(CONCATENATE("Table!",ADDRESS($BR96,MATCH(L$1,INDIRECT("Table!A" &amp; $BV96):INDIRECT("Table!" &amp; $CH$110 &amp; $BV96),0)))))/1024</f>
        <v>151.13710937499999</v>
      </c>
      <c r="M96" s="709">
        <f ca="1">IF(ISERROR(MATCH(M$1,INDIRECT("Table!A"&amp;$BV96):INDIRECT("Table!" &amp; $CH$110 &amp; $BV96),0)),"",INDIRECT(CONCATENATE("Table!",ADDRESS($BR96,MATCH(M$1,INDIRECT("Table!A" &amp; $BV96):INDIRECT("Table!" &amp; $CH$110 &amp; $BV96),0)))))/1024</f>
        <v>50.7607421875</v>
      </c>
      <c r="N96" s="709">
        <f ca="1">IF(ISERROR(MATCH(N$1,INDIRECT("Table!A"&amp;$BV96):INDIRECT("Table!" &amp; $CH$110 &amp; $BV96),0)),"",INDIRECT(CONCATENATE("Table!",ADDRESS($BR96,MATCH(N$1,INDIRECT("Table!A" &amp; $BV96):INDIRECT("Table!" &amp; $CH$110 &amp; $BV96),0)))))/1024</f>
        <v>42.496679687499999</v>
      </c>
      <c r="O96" s="709">
        <f ca="1">IF(ISERROR(MATCH(O$1,INDIRECT("Table!A"&amp;$BV96):INDIRECT("Table!" &amp; $CH$110 &amp; $BV96),0)),"",INDIRECT(CONCATENATE("Table!",ADDRESS($BR96,MATCH(O$1,INDIRECT("Table!A" &amp; $BV96):INDIRECT("Table!" &amp; $CH$110 &amp; $BV96),0)))))/1024</f>
        <v>126.280078125</v>
      </c>
      <c r="P96" s="709">
        <f ca="1">IF(ISERROR(MATCH(P$1,INDIRECT("Table!A"&amp;$BV96):INDIRECT("Table!" &amp; $CH$110 &amp; $BV96),0)),"",INDIRECT(CONCATENATE("Table!",ADDRESS($BR96,MATCH(P$1,INDIRECT("Table!A" &amp; $BV96):INDIRECT("Table!" &amp; $CH$110 &amp; $BV96),0)))))/1024</f>
        <v>7.1061523437499998</v>
      </c>
      <c r="Q96" s="709"/>
      <c r="R96" s="709"/>
      <c r="S96" s="709">
        <v>0</v>
      </c>
      <c r="T96" s="709"/>
      <c r="U96" s="709"/>
      <c r="V96" s="905"/>
      <c r="W96" s="905"/>
      <c r="X96" s="905"/>
      <c r="Y96" s="905"/>
      <c r="Z96" s="905"/>
      <c r="AA96" s="905"/>
      <c r="AB96" s="905"/>
      <c r="AC96" s="905"/>
      <c r="AD96" s="905"/>
      <c r="AE96" s="905"/>
      <c r="AF96" s="905"/>
      <c r="AG96" s="905"/>
      <c r="AH96" s="905"/>
      <c r="AI96" s="709" t="str">
        <f ca="1">IF(ISERROR(MATCH(AI$1,INDIRECT("Table!A"&amp;$BV96):INDIRECT("Table!" &amp; $CH$110 &amp; $BV96),0)),"",INDIRECT(CONCATENATE("Table!",ADDRESS($BR96,MATCH(AI$1,INDIRECT("Table!A" &amp; $BV96):INDIRECT("Table!" &amp; $CH$110 &amp; $BV96),0)))))</f>
        <v/>
      </c>
      <c r="AJ96" s="709">
        <f ca="1">IF(ISERROR(MATCH(AJ$1,INDIRECT("Table!A"&amp;$BV96):INDIRECT("Table!" &amp; $CH$110 &amp; $BV96),0)),"",INDIRECT(CONCATENATE("Table!",ADDRESS($BZ96,MATCH(AJ$1,INDIRECT("Table!A" &amp; $BV96):INDIRECT("Table!" &amp; $CH$110 &amp; $BV96),0)))))/1024</f>
        <v>140.03144531250001</v>
      </c>
      <c r="AK96" s="709">
        <f ca="1">IF(ISERROR(MATCH(AK$1,INDIRECT("Table!A"&amp;$BV96):INDIRECT("Table!" &amp; $CH$110 &amp; $BV96),0)),"",INDIRECT(CONCATENATE("Table!",ADDRESS($BZ96,MATCH(AK$1,INDIRECT("Table!A" &amp; $BV96):INDIRECT("Table!" &amp; $CH$110 &amp; $BV96),0)))))/1024</f>
        <v>146.98808593749999</v>
      </c>
      <c r="AL96" s="709">
        <f ca="1">IF(ISERROR(MATCH(AL$1,INDIRECT("Table!A"&amp;$BV96):INDIRECT("Table!" &amp; $CH$110 &amp; $BV96),0)),"",INDIRECT(CONCATENATE("Table!",ADDRESS($BZ96,MATCH(AL$1,INDIRECT("Table!A" &amp; $BV96):INDIRECT("Table!" &amp; $CH$110 &amp; $BV96),0)))))/1024</f>
        <v>146.98808593749999</v>
      </c>
      <c r="AM96" s="709">
        <f ca="1">IF(ISERROR(MATCH(AM$1,INDIRECT("Table!A"&amp;$BV96):INDIRECT("Table!" &amp; $CH$110 &amp; $BV96),0)),"",INDIRECT(CONCATENATE("Table!",ADDRESS($BZ96,MATCH(AM$1,INDIRECT("Table!A" &amp; $BV96):INDIRECT("Table!" &amp; $CH$110 &amp; $BV96),0)))))/1024</f>
        <v>177.73222656249999</v>
      </c>
      <c r="AN96" s="709">
        <f ca="1">IF(ISERROR(MATCH(AN$1,INDIRECT("Table!A"&amp;$BV96):INDIRECT("Table!" &amp; $CH$110 &amp; $BV96),0)),"",INDIRECT(CONCATENATE("Table!",ADDRESS($BZ96,MATCH(AN$1,INDIRECT("Table!A" &amp; $BV96):INDIRECT("Table!" &amp; $CH$110 &amp; $BV96),0)))))/1024</f>
        <v>161.57470703125</v>
      </c>
      <c r="AO96" s="709">
        <f ca="1">IF(ISERROR(MATCH(AO$1,INDIRECT("Table!A"&amp;$BV96):INDIRECT("Table!" &amp; $CH$110 &amp; $BV96),0)),"",INDIRECT(CONCATENATE("Table!",ADDRESS($BZ96,MATCH(AO$1,INDIRECT("Table!A" &amp; $BV96):INDIRECT("Table!" &amp; $CH$110 &amp; $BV96),0)))))/1024</f>
        <v>129.03515625</v>
      </c>
      <c r="AP96" s="709">
        <f ca="1">IF(ISERROR(MATCH(AP$1,INDIRECT("Table!A"&amp;$BV96):INDIRECT("Table!" &amp; $CH$110 &amp; $BV96),0)),"",INDIRECT(CONCATENATE("Table!",ADDRESS($BZ96,MATCH(AP$1,INDIRECT("Table!A" &amp; $BV96):INDIRECT("Table!" &amp; $CH$110 &amp; $BV96),0)))))/1024</f>
        <v>118.4880859375</v>
      </c>
      <c r="AQ96" s="709">
        <f ca="1">IF(ISERROR(MATCH(AQ$1,INDIRECT("Table!A"&amp;$BV96):INDIRECT("Table!" &amp; $CH$110 &amp; $BV96),0)),"",INDIRECT(CONCATENATE("Table!",ADDRESS($BZ96,MATCH(AQ$1,INDIRECT("Table!A" &amp; $BV96):INDIRECT("Table!" &amp; $CH$110 &amp; $BV96),0)))))/1024</f>
        <v>162.18544921874999</v>
      </c>
      <c r="AR96" s="709"/>
      <c r="AS96" s="709"/>
      <c r="AT96" s="709">
        <f ca="1">IF(ISERROR(MATCH(AT$1,INDIRECT("Table!A"&amp;$BV96):INDIRECT("Table!" &amp; $CH$110 &amp; $BV96),0)),"",INDIRECT(CONCATENATE("Table!",ADDRESS($BZ96,MATCH(AT$1,INDIRECT("Table!A" &amp; $BV96):INDIRECT("Table!" &amp; $CH$110 &amp; $BV96),0)))))/1024</f>
        <v>188.5029296875</v>
      </c>
      <c r="AU96" s="709">
        <f ca="1">IF(ISERROR(MATCH(AU$1,INDIRECT("Table!A"&amp;$BV96):INDIRECT("Table!" &amp; $CH$110 &amp; $BV96),0)),"",INDIRECT(CONCATENATE("Table!",ADDRESS($BZ96,MATCH(AU$1,INDIRECT("Table!A" &amp; $BV96):INDIRECT("Table!" &amp; $CH$110 &amp; $BV96),0)))))/1024</f>
        <v>129.03535156250001</v>
      </c>
      <c r="AV96" s="709">
        <f ca="1">IF(ISERROR(MATCH(AV$1,INDIRECT("Table!A"&amp;$BV96):INDIRECT("Table!" &amp; $CH$110 &amp; $BV96),0)),"",INDIRECT(CONCATENATE("Table!",ADDRESS($BZ96,MATCH(AV$1,INDIRECT("Table!A" &amp; $BV96):INDIRECT("Table!" &amp; $CH$110 &amp; $BV96),0)))))/1024</f>
        <v>80.787402343750003</v>
      </c>
      <c r="AW96" s="709">
        <f ca="1">IF(ISERROR(MATCH(AW$1,INDIRECT("Table!A"&amp;$BV96):INDIRECT("Table!" &amp; $CH$110 &amp; $BV96),0)),"",INDIRECT(CONCATENATE("Table!",ADDRESS($BZ96,MATCH(AW$1,INDIRECT("Table!A" &amp; $BV96):INDIRECT("Table!" &amp; $CH$110 &amp; $BV96),0)))))/1024</f>
        <v>172.34638671875001</v>
      </c>
      <c r="AX96" s="709">
        <f ca="1">IF(ISERROR(MATCH(AX$1,INDIRECT("Table!A"&amp;$BV96):INDIRECT("Table!" &amp; $CH$110 &amp; $BV96),0)),"",INDIRECT(CONCATENATE("Table!",ADDRESS($BZ96,MATCH(AX$1,INDIRECT("Table!A" &amp; $BV96):INDIRECT("Table!" &amp; $CH$110 &amp; $BV96),0)))))/1024</f>
        <v>81.0927734375</v>
      </c>
      <c r="AY96" s="709"/>
      <c r="AZ96" s="709"/>
      <c r="BA96" s="709"/>
      <c r="BB96" s="709"/>
      <c r="BC96" s="709"/>
      <c r="BD96" s="905"/>
      <c r="BE96" s="905"/>
      <c r="BF96" s="905"/>
      <c r="BG96" s="905"/>
      <c r="BH96" s="905"/>
      <c r="BI96" s="905"/>
      <c r="BJ96" s="905"/>
      <c r="BK96" s="905"/>
      <c r="BL96" s="905"/>
      <c r="BM96" s="905"/>
      <c r="BN96" s="905"/>
      <c r="BO96" s="905"/>
      <c r="BP96" s="905"/>
      <c r="BQ96" s="905"/>
      <c r="BR96" s="704">
        <f>MATCH($A96,Table!$A:$A,0)+$BT$2-1</f>
        <v>1241</v>
      </c>
      <c r="BS96" s="705"/>
      <c r="BT96" s="705"/>
      <c r="BU96" s="705"/>
      <c r="BV96" s="717">
        <f>MATCH($A96,Table!$A:$A,0)+$BX$2-1</f>
        <v>1239</v>
      </c>
      <c r="BW96" s="705"/>
      <c r="BX96" s="705"/>
      <c r="BY96" s="705"/>
      <c r="BZ96" s="704">
        <f>MATCH($A96,Table!$A:$A,0)+$CB$2-1</f>
        <v>1240</v>
      </c>
      <c r="CA96" s="705"/>
      <c r="CB96" s="705"/>
      <c r="CC96" s="705"/>
      <c r="CD96" s="717">
        <f>MATCH($A96,Table!$A:$A,0)+$BX$2-1</f>
        <v>1239</v>
      </c>
      <c r="CE96" s="705"/>
      <c r="CF96" s="705"/>
      <c r="CG96" s="705"/>
      <c r="CH96" s="711" t="s">
        <v>302</v>
      </c>
      <c r="CI96" s="712">
        <f t="shared" ca="1" si="140"/>
        <v>1834.7880859375</v>
      </c>
      <c r="CJ96" s="712">
        <f t="shared" ca="1" si="141"/>
        <v>915.61416015624991</v>
      </c>
      <c r="CK96" s="712">
        <f t="shared" ca="1" si="137"/>
        <v>919.17392578125009</v>
      </c>
      <c r="CL96" s="718">
        <f t="shared" ca="1" si="138"/>
        <v>0.49902992458576456</v>
      </c>
      <c r="CM96" s="712">
        <f ca="1">SUMIF('Alloc Feed'!A:I,A:A,'Alloc Feed'!I:I)</f>
        <v>0</v>
      </c>
      <c r="CN96" s="718">
        <f t="shared" ca="1" si="136"/>
        <v>0</v>
      </c>
    </row>
    <row r="97" spans="1:92" s="267" customFormat="1" x14ac:dyDescent="0.25">
      <c r="A97" s="703">
        <v>41334</v>
      </c>
      <c r="B97" s="709">
        <f ca="1">IF(ISERROR(MATCH(B$1,INDIRECT("Table!A"&amp;$BV97):INDIRECT("Table!" &amp; $CH$110 &amp; $BV97),0)),"",INDIRECT(CONCATENATE("Table!",ADDRESS($BR97,MATCH(B$1,INDIRECT("Table!A" &amp; $BV97):INDIRECT("Table!" &amp; $CH$110 &amp; $BV97),0)))))/1024</f>
        <v>41.118066406250001</v>
      </c>
      <c r="C97" s="709">
        <f ca="1">IF(ISERROR(MATCH(C$1,INDIRECT("Table!A"&amp;$BV97):INDIRECT("Table!" &amp; $CH$110 &amp; $BV97),0)),"",INDIRECT(CONCATENATE("Table!",ADDRESS($BR97,MATCH(C$1,INDIRECT("Table!A" &amp; $BV97):INDIRECT("Table!" &amp; $CH$110 &amp; $BV97),0)))))/1024</f>
        <v>75.27587890625</v>
      </c>
      <c r="D97" s="709">
        <f ca="1">IF(ISERROR(MATCH(D$1,INDIRECT("Table!A"&amp;$BV97):INDIRECT("Table!" &amp; $CH$110 &amp; $BV97),0)),"",INDIRECT(CONCATENATE("Table!",ADDRESS($BR97,MATCH(D$1,INDIRECT("Table!A" &amp; $BV97):INDIRECT("Table!" &amp; $CH$110 &amp; $BV97),0)))))/1024</f>
        <v>76.657128906249994</v>
      </c>
      <c r="E97" s="709">
        <f ca="1">IF(ISERROR(MATCH(E$1,INDIRECT("Table!A"&amp;$BV97):INDIRECT("Table!" &amp; $CH$110 &amp; $BV97),0)),"",INDIRECT(CONCATENATE("Table!",ADDRESS($BR97,MATCH(E$1,INDIRECT("Table!A" &amp; $BV97):INDIRECT("Table!" &amp; $CH$110 &amp; $BV97),0)))))/1024</f>
        <v>151.07587890625001</v>
      </c>
      <c r="F97" s="709">
        <f ca="1">IF(ISERROR(MATCH(F$1,INDIRECT("Table!A"&amp;$BV97):INDIRECT("Table!" &amp; $CH$110 &amp; $BV97),0)),"",INDIRECT(CONCATENATE("Table!",ADDRESS($BR97,MATCH(F$1,INDIRECT("Table!A" &amp; $BV97):INDIRECT("Table!" &amp; $CH$110 &amp; $BV97),0)))))/1024</f>
        <v>81.535058593749994</v>
      </c>
      <c r="G97" s="709">
        <f ca="1">IF(ISERROR(MATCH(G$1,INDIRECT("Table!A"&amp;$BV97):INDIRECT("Table!" &amp; $CH$110 &amp; $BV97),0)),"",INDIRECT(CONCATENATE("Table!",ADDRESS($BR97,MATCH(G$1,INDIRECT("Table!A" &amp; $BV97):INDIRECT("Table!" &amp; $CH$110 &amp; $BV97),0)))))/1024</f>
        <v>38.643457031250001</v>
      </c>
      <c r="H97" s="709">
        <f ca="1">IF(ISERROR(MATCH(H$1,INDIRECT("Table!A"&amp;$BV97):INDIRECT("Table!" &amp; $CH$110 &amp; $BV97),0)),"",INDIRECT(CONCATENATE("Table!",ADDRESS($BR97,MATCH(H$1,INDIRECT("Table!A" &amp; $BV97):INDIRECT("Table!" &amp; $CH$110 &amp; $BV97),0)))))/1024</f>
        <v>64.529882812500006</v>
      </c>
      <c r="I97" s="709"/>
      <c r="J97" s="709"/>
      <c r="K97" s="709"/>
      <c r="L97" s="709">
        <f ca="1">IF(ISERROR(MATCH(L$1,INDIRECT("Table!A"&amp;$BV97):INDIRECT("Table!" &amp; $CH$110 &amp; $BV97),0)),"",INDIRECT(CONCATENATE("Table!",ADDRESS($BR97,MATCH(L$1,INDIRECT("Table!A" &amp; $BV97):INDIRECT("Table!" &amp; $CH$110 &amp; $BV97),0)))))/1024</f>
        <v>150.4970703125</v>
      </c>
      <c r="M97" s="709">
        <f ca="1">IF(ISERROR(MATCH(M$1,INDIRECT("Table!A"&amp;$BV97):INDIRECT("Table!" &amp; $CH$110 &amp; $BV97),0)),"",INDIRECT(CONCATENATE("Table!",ADDRESS($BR97,MATCH(M$1,INDIRECT("Table!A" &amp; $BV97):INDIRECT("Table!" &amp; $CH$110 &amp; $BV97),0)))))/1024</f>
        <v>50.913964843750001</v>
      </c>
      <c r="N97" s="709">
        <f ca="1">IF(ISERROR(MATCH(N$1,INDIRECT("Table!A"&amp;$BV97):INDIRECT("Table!" &amp; $CH$110 &amp; $BV97),0)),"",INDIRECT(CONCATENATE("Table!",ADDRESS($BR97,MATCH(N$1,INDIRECT("Table!A" &amp; $BV97):INDIRECT("Table!" &amp; $CH$110 &amp; $BV97),0)))))/1024</f>
        <v>42.139550781250001</v>
      </c>
      <c r="O97" s="709">
        <f ca="1">IF(ISERROR(MATCH(O$1,INDIRECT("Table!A"&amp;$BV97):INDIRECT("Table!" &amp; $CH$110 &amp; $BV97),0)),"",INDIRECT(CONCATENATE("Table!",ADDRESS($BR97,MATCH(O$1,INDIRECT("Table!A" &amp; $BV97):INDIRECT("Table!" &amp; $CH$110 &amp; $BV97),0)))))/1024</f>
        <v>125.76298828125</v>
      </c>
      <c r="P97" s="709"/>
      <c r="Q97" s="709"/>
      <c r="R97" s="709"/>
      <c r="S97" s="709">
        <v>0</v>
      </c>
      <c r="T97" s="709"/>
      <c r="U97" s="709"/>
      <c r="V97" s="905"/>
      <c r="W97" s="905"/>
      <c r="X97" s="905"/>
      <c r="Y97" s="905"/>
      <c r="Z97" s="905"/>
      <c r="AA97" s="905"/>
      <c r="AB97" s="905"/>
      <c r="AC97" s="905"/>
      <c r="AD97" s="905"/>
      <c r="AE97" s="905"/>
      <c r="AF97" s="905"/>
      <c r="AG97" s="905"/>
      <c r="AH97" s="905"/>
      <c r="AI97" s="709" t="str">
        <f ca="1">IF(ISERROR(MATCH(AI$1,INDIRECT("Table!A"&amp;$BV97):INDIRECT("Table!" &amp; $CH$110 &amp; $BV97),0)),"",INDIRECT(CONCATENATE("Table!",ADDRESS($BR97,MATCH(AI$1,INDIRECT("Table!A" &amp; $BV97):INDIRECT("Table!" &amp; $CH$110 &amp; $BV97),0)))))</f>
        <v/>
      </c>
      <c r="AJ97" s="709">
        <f ca="1">IF(ISERROR(MATCH(AJ$1,INDIRECT("Table!A"&amp;$BV97):INDIRECT("Table!" &amp; $CH$110 &amp; $BV97),0)),"",INDIRECT(CONCATENATE("Table!",ADDRESS($BZ97,MATCH(AJ$1,INDIRECT("Table!A" &amp; $BV97):INDIRECT("Table!" &amp; $CH$110 &amp; $BV97),0)))))/1024</f>
        <v>140.03144531250001</v>
      </c>
      <c r="AK97" s="709">
        <f ca="1">IF(ISERROR(MATCH(AK$1,INDIRECT("Table!A"&amp;$BV97):INDIRECT("Table!" &amp; $CH$110 &amp; $BV97),0)),"",INDIRECT(CONCATENATE("Table!",ADDRESS($BZ97,MATCH(AK$1,INDIRECT("Table!A" &amp; $BV97):INDIRECT("Table!" &amp; $CH$110 &amp; $BV97),0)))))/1024</f>
        <v>146.98808593749999</v>
      </c>
      <c r="AL97" s="709">
        <f ca="1">IF(ISERROR(MATCH(AL$1,INDIRECT("Table!A"&amp;$BV97):INDIRECT("Table!" &amp; $CH$110 &amp; $BV97),0)),"",INDIRECT(CONCATENATE("Table!",ADDRESS($BZ97,MATCH(AL$1,INDIRECT("Table!A" &amp; $BV97):INDIRECT("Table!" &amp; $CH$110 &amp; $BV97),0)))))/1024</f>
        <v>146.98808593749999</v>
      </c>
      <c r="AM97" s="709">
        <f ca="1">IF(ISERROR(MATCH(AM$1,INDIRECT("Table!A"&amp;$BV97):INDIRECT("Table!" &amp; $CH$110 &amp; $BV97),0)),"",INDIRECT(CONCATENATE("Table!",ADDRESS($BZ97,MATCH(AM$1,INDIRECT("Table!A" &amp; $BV97):INDIRECT("Table!" &amp; $CH$110 &amp; $BV97),0)))))/1024</f>
        <v>177.73222656249999</v>
      </c>
      <c r="AN97" s="709">
        <f ca="1">IF(ISERROR(MATCH(AN$1,INDIRECT("Table!A"&amp;$BV97):INDIRECT("Table!" &amp; $CH$110 &amp; $BV97),0)),"",INDIRECT(CONCATENATE("Table!",ADDRESS($BZ97,MATCH(AN$1,INDIRECT("Table!A" &amp; $BV97):INDIRECT("Table!" &amp; $CH$110 &amp; $BV97),0)))))/1024</f>
        <v>161.57470703125</v>
      </c>
      <c r="AO97" s="709">
        <f ca="1">IF(ISERROR(MATCH(AO$1,INDIRECT("Table!A"&amp;$BV97):INDIRECT("Table!" &amp; $CH$110 &amp; $BV97),0)),"",INDIRECT(CONCATENATE("Table!",ADDRESS($BZ97,MATCH(AO$1,INDIRECT("Table!A" &amp; $BV97):INDIRECT("Table!" &amp; $CH$110 &amp; $BV97),0)))))/1024</f>
        <v>129.03515625</v>
      </c>
      <c r="AP97" s="709">
        <f ca="1">IF(ISERROR(MATCH(AP$1,INDIRECT("Table!A"&amp;$BV97):INDIRECT("Table!" &amp; $CH$110 &amp; $BV97),0)),"",INDIRECT(CONCATENATE("Table!",ADDRESS($BZ97,MATCH(AP$1,INDIRECT("Table!A" &amp; $BV97):INDIRECT("Table!" &amp; $CH$110 &amp; $BV97),0)))))/1024</f>
        <v>118.4880859375</v>
      </c>
      <c r="AQ97" s="709"/>
      <c r="AR97" s="709"/>
      <c r="AS97" s="709"/>
      <c r="AT97" s="709">
        <f ca="1">IF(ISERROR(MATCH(AT$1,INDIRECT("Table!A"&amp;$BV97):INDIRECT("Table!" &amp; $CH$110 &amp; $BV97),0)),"",INDIRECT(CONCATENATE("Table!",ADDRESS($BZ97,MATCH(AT$1,INDIRECT("Table!A" &amp; $BV97):INDIRECT("Table!" &amp; $CH$110 &amp; $BV97),0)))))/1024</f>
        <v>188.5029296875</v>
      </c>
      <c r="AU97" s="709">
        <f ca="1">IF(ISERROR(MATCH(AU$1,INDIRECT("Table!A"&amp;$BV97):INDIRECT("Table!" &amp; $CH$110 &amp; $BV97),0)),"",INDIRECT(CONCATENATE("Table!",ADDRESS($BZ97,MATCH(AU$1,INDIRECT("Table!A" &amp; $BV97):INDIRECT("Table!" &amp; $CH$110 &amp; $BV97),0)))))/1024</f>
        <v>129.03535156250001</v>
      </c>
      <c r="AV97" s="709">
        <f ca="1">IF(ISERROR(MATCH(AV$1,INDIRECT("Table!A"&amp;$BV97):INDIRECT("Table!" &amp; $CH$110 &amp; $BV97),0)),"",INDIRECT(CONCATENATE("Table!",ADDRESS($BZ97,MATCH(AV$1,INDIRECT("Table!A" &amp; $BV97):INDIRECT("Table!" &amp; $CH$110 &amp; $BV97),0)))))/1024</f>
        <v>80.787402343750003</v>
      </c>
      <c r="AW97" s="709">
        <f ca="1">IF(ISERROR(MATCH(AW$1,INDIRECT("Table!A"&amp;$BV97):INDIRECT("Table!" &amp; $CH$110 &amp; $BV97),0)),"",INDIRECT(CONCATENATE("Table!",ADDRESS($BZ97,MATCH(AW$1,INDIRECT("Table!A" &amp; $BV97):INDIRECT("Table!" &amp; $CH$110 &amp; $BV97),0)))))/1024</f>
        <v>172.34638671875001</v>
      </c>
      <c r="AX97" s="709"/>
      <c r="AY97" s="709"/>
      <c r="AZ97" s="709"/>
      <c r="BA97" s="709"/>
      <c r="BB97" s="704"/>
      <c r="BC97" s="709"/>
      <c r="BD97" s="905"/>
      <c r="BE97" s="905"/>
      <c r="BF97" s="905"/>
      <c r="BG97" s="905"/>
      <c r="BH97" s="905"/>
      <c r="BI97" s="905"/>
      <c r="BJ97" s="905"/>
      <c r="BK97" s="905"/>
      <c r="BL97" s="905"/>
      <c r="BM97" s="905"/>
      <c r="BN97" s="905"/>
      <c r="BO97" s="905"/>
      <c r="BP97" s="905"/>
      <c r="BQ97" s="905"/>
      <c r="BR97" s="704">
        <f>MATCH($A97,Table!$A:$A,0)+$BT$2-1</f>
        <v>1253</v>
      </c>
      <c r="BS97" s="705"/>
      <c r="BT97" s="705"/>
      <c r="BU97" s="705"/>
      <c r="BV97" s="717">
        <f>MATCH($A97,Table!$A:$A,0)+$BX$2-1</f>
        <v>1251</v>
      </c>
      <c r="BW97" s="705"/>
      <c r="BX97" s="705"/>
      <c r="BY97" s="705"/>
      <c r="BZ97" s="704">
        <f>MATCH($A97,Table!$A:$A,0)+$CB$2-1</f>
        <v>1252</v>
      </c>
      <c r="CA97" s="705"/>
      <c r="CB97" s="705"/>
      <c r="CC97" s="705"/>
      <c r="CD97" s="717">
        <f>MATCH($A97,Table!$A:$A,0)+$BX$2-1</f>
        <v>1251</v>
      </c>
      <c r="CE97" s="705"/>
      <c r="CF97" s="705"/>
      <c r="CG97" s="705"/>
      <c r="CH97" s="711" t="s">
        <v>302</v>
      </c>
      <c r="CI97" s="712">
        <f t="shared" ca="1" si="140"/>
        <v>1591.5098632812499</v>
      </c>
      <c r="CJ97" s="712">
        <f t="shared" ca="1" si="141"/>
        <v>898.14892578125011</v>
      </c>
      <c r="CK97" s="712">
        <f t="shared" ca="1" si="137"/>
        <v>693.36093749999975</v>
      </c>
      <c r="CL97" s="718">
        <f t="shared" ca="1" si="138"/>
        <v>0.56433764345608095</v>
      </c>
      <c r="CM97" s="712">
        <f ca="1">SUMIF('Alloc Feed'!A:I,A:A,'Alloc Feed'!I:I)</f>
        <v>0</v>
      </c>
      <c r="CN97" s="718">
        <f t="shared" ca="1" si="136"/>
        <v>0</v>
      </c>
    </row>
    <row r="98" spans="1:92" x14ac:dyDescent="0.25">
      <c r="A98" s="703">
        <v>41330</v>
      </c>
      <c r="B98" s="709">
        <f ca="1">IF(ISERROR(MATCH(B$1,INDIRECT("Table!A"&amp;$BV98):INDIRECT("Table!" &amp; $CH$110 &amp; $BV98),0)),"",INDIRECT(CONCATENATE("Table!",ADDRESS($BR98,MATCH(B$1,INDIRECT("Table!A" &amp; $BV98):INDIRECT("Table!" &amp; $CH$110 &amp; $BV98),0)))))/1024</f>
        <v>43.072949218749997</v>
      </c>
      <c r="C98" s="709">
        <f ca="1">IF(ISERROR(MATCH(C$1,INDIRECT("Table!A"&amp;$BV98):INDIRECT("Table!" &amp; $CH$110 &amp; $BV98),0)),"",INDIRECT(CONCATENATE("Table!",ADDRESS($BR98,MATCH(C$1,INDIRECT("Table!A" &amp; $BV98):INDIRECT("Table!" &amp; $CH$110 &amp; $BV98),0)))))/1024</f>
        <v>75.235937500000006</v>
      </c>
      <c r="D98" s="709">
        <f ca="1">IF(ISERROR(MATCH(D$1,INDIRECT("Table!A"&amp;$BV98):INDIRECT("Table!" &amp; $CH$110 &amp; $BV98),0)),"",INDIRECT(CONCATENATE("Table!",ADDRESS($BR98,MATCH(D$1,INDIRECT("Table!A" &amp; $BV98):INDIRECT("Table!" &amp; $CH$110 &amp; $BV98),0)))))/1024</f>
        <v>76.616992187500003</v>
      </c>
      <c r="E98" s="709">
        <f ca="1">IF(ISERROR(MATCH(E$1,INDIRECT("Table!A"&amp;$BV98):INDIRECT("Table!" &amp; $CH$110 &amp; $BV98),0)),"",INDIRECT(CONCATENATE("Table!",ADDRESS($BR98,MATCH(E$1,INDIRECT("Table!A" &amp; $BV98):INDIRECT("Table!" &amp; $CH$110 &amp; $BV98),0)))))/1024</f>
        <v>150.84746093749999</v>
      </c>
      <c r="F98" s="709">
        <f ca="1">IF(ISERROR(MATCH(F$1,INDIRECT("Table!A"&amp;$BV98):INDIRECT("Table!" &amp; $CH$110 &amp; $BV98),0)),"",INDIRECT(CONCATENATE("Table!",ADDRESS($BR98,MATCH(F$1,INDIRECT("Table!A" &amp; $BV98):INDIRECT("Table!" &amp; $CH$110 &amp; $BV98),0)))))/1024</f>
        <v>80.898144531249997</v>
      </c>
      <c r="G98" s="709">
        <f ca="1">IF(ISERROR(MATCH(G$1,INDIRECT("Table!A"&amp;$BV98):INDIRECT("Table!" &amp; $CH$110 &amp; $BV98),0)),"",INDIRECT(CONCATENATE("Table!",ADDRESS($BR98,MATCH(G$1,INDIRECT("Table!A" &amp; $BV98):INDIRECT("Table!" &amp; $CH$110 &amp; $BV98),0)))))/1024</f>
        <v>40.475488281250001</v>
      </c>
      <c r="H98" s="709">
        <f ca="1">IF(ISERROR(MATCH(H$1,INDIRECT("Table!A"&amp;$BV98):INDIRECT("Table!" &amp; $CH$110 &amp; $BV98),0)),"",INDIRECT(CONCATENATE("Table!",ADDRESS($BR98,MATCH(H$1,INDIRECT("Table!A" &amp; $BV98):INDIRECT("Table!" &amp; $CH$110 &amp; $BV98),0)))))/1024</f>
        <v>63.561328125000003</v>
      </c>
      <c r="I98" s="709"/>
      <c r="J98" s="709"/>
      <c r="K98" s="709"/>
      <c r="L98" s="709">
        <f ca="1">IF(ISERROR(MATCH(L$1,INDIRECT("Table!A"&amp;$BV98):INDIRECT("Table!" &amp; $CH$110 &amp; $BV98),0)),"",INDIRECT(CONCATENATE("Table!",ADDRESS($BR98,MATCH(L$1,INDIRECT("Table!A" &amp; $BV98):INDIRECT("Table!" &amp; $CH$110 &amp; $BV98),0)))))/1024</f>
        <v>150.07314453124999</v>
      </c>
      <c r="M98" s="709">
        <f ca="1">IF(ISERROR(MATCH(M$1,INDIRECT("Table!A"&amp;$BV98):INDIRECT("Table!" &amp; $CH$110 &amp; $BV98),0)),"",INDIRECT(CONCATENATE("Table!",ADDRESS($BR98,MATCH(M$1,INDIRECT("Table!A" &amp; $BV98):INDIRECT("Table!" &amp; $CH$110 &amp; $BV98),0)))))/1024</f>
        <v>50.0009765625</v>
      </c>
      <c r="N98" s="709">
        <f ca="1">IF(ISERROR(MATCH(N$1,INDIRECT("Table!A"&amp;$BV98):INDIRECT("Table!" &amp; $CH$110 &amp; $BV98),0)),"",INDIRECT(CONCATENATE("Table!",ADDRESS($BR98,MATCH(N$1,INDIRECT("Table!A" &amp; $BV98):INDIRECT("Table!" &amp; $CH$110 &amp; $BV98),0)))))/1024</f>
        <v>41.821093750000003</v>
      </c>
      <c r="O98" s="709">
        <f ca="1">IF(ISERROR(MATCH(O$1,INDIRECT("Table!A"&amp;$BV98):INDIRECT("Table!" &amp; $CH$110 &amp; $BV98),0)),"",INDIRECT(CONCATENATE("Table!",ADDRESS($BR98,MATCH(O$1,INDIRECT("Table!A" &amp; $BV98):INDIRECT("Table!" &amp; $CH$110 &amp; $BV98),0)))))/1024</f>
        <v>125.47763671875001</v>
      </c>
      <c r="P98" s="709"/>
      <c r="Q98" s="709"/>
      <c r="R98" s="709"/>
      <c r="S98" s="709">
        <v>0</v>
      </c>
      <c r="T98" s="709"/>
      <c r="U98" s="709"/>
      <c r="V98" s="905"/>
      <c r="W98" s="905"/>
      <c r="X98" s="905"/>
      <c r="Y98" s="905"/>
      <c r="Z98" s="905"/>
      <c r="AA98" s="905"/>
      <c r="AB98" s="905"/>
      <c r="AC98" s="905"/>
      <c r="AD98" s="905"/>
      <c r="AE98" s="905"/>
      <c r="AF98" s="905"/>
      <c r="AG98" s="905"/>
      <c r="AH98" s="905"/>
      <c r="AI98" s="709" t="str">
        <f ca="1">IF(ISERROR(MATCH(AI$1,INDIRECT("Table!A"&amp;$BV98):INDIRECT("Table!" &amp; $CH$110 &amp; $BV98),0)),"",INDIRECT(CONCATENATE("Table!",ADDRESS($BR98,MATCH(AI$1,INDIRECT("Table!A" &amp; $BV98):INDIRECT("Table!" &amp; $CH$110 &amp; $BV98),0)))))</f>
        <v/>
      </c>
      <c r="AJ98" s="709">
        <f ca="1">IF(ISERROR(MATCH(AJ$1,INDIRECT("Table!A"&amp;$BV98):INDIRECT("Table!" &amp; $CH$110 &amp; $BV98),0)),"",INDIRECT(CONCATENATE("Table!",ADDRESS($BZ98,MATCH(AJ$1,INDIRECT("Table!A" &amp; $BV98):INDIRECT("Table!" &amp; $CH$110 &amp; $BV98),0)))))/1024</f>
        <v>140.03144531250001</v>
      </c>
      <c r="AK98" s="709">
        <f ca="1">IF(ISERROR(MATCH(AK$1,INDIRECT("Table!A"&amp;$BV98):INDIRECT("Table!" &amp; $CH$110 &amp; $BV98),0)),"",INDIRECT(CONCATENATE("Table!",ADDRESS($BZ98,MATCH(AK$1,INDIRECT("Table!A" &amp; $BV98):INDIRECT("Table!" &amp; $CH$110 &amp; $BV98),0)))))/1024</f>
        <v>146.98808593749999</v>
      </c>
      <c r="AL98" s="709">
        <f ca="1">IF(ISERROR(MATCH(AL$1,INDIRECT("Table!A"&amp;$BV98):INDIRECT("Table!" &amp; $CH$110 &amp; $BV98),0)),"",INDIRECT(CONCATENATE("Table!",ADDRESS($BZ98,MATCH(AL$1,INDIRECT("Table!A" &amp; $BV98):INDIRECT("Table!" &amp; $CH$110 &amp; $BV98),0)))))/1024</f>
        <v>146.98808593749999</v>
      </c>
      <c r="AM98" s="709">
        <f ca="1">IF(ISERROR(MATCH(AM$1,INDIRECT("Table!A"&amp;$BV98):INDIRECT("Table!" &amp; $CH$110 &amp; $BV98),0)),"",INDIRECT(CONCATENATE("Table!",ADDRESS($BZ98,MATCH(AM$1,INDIRECT("Table!A" &amp; $BV98):INDIRECT("Table!" &amp; $CH$110 &amp; $BV98),0)))))/1024</f>
        <v>177.73222656249999</v>
      </c>
      <c r="AN98" s="709">
        <f ca="1">IF(ISERROR(MATCH(AN$1,INDIRECT("Table!A"&amp;$BV98):INDIRECT("Table!" &amp; $CH$110 &amp; $BV98),0)),"",INDIRECT(CONCATENATE("Table!",ADDRESS($BZ98,MATCH(AN$1,INDIRECT("Table!A" &amp; $BV98):INDIRECT("Table!" &amp; $CH$110 &amp; $BV98),0)))))/1024</f>
        <v>161.57470703125</v>
      </c>
      <c r="AO98" s="709">
        <f ca="1">IF(ISERROR(MATCH(AO$1,INDIRECT("Table!A"&amp;$BV98):INDIRECT("Table!" &amp; $CH$110 &amp; $BV98),0)),"",INDIRECT(CONCATENATE("Table!",ADDRESS($BZ98,MATCH(AO$1,INDIRECT("Table!A" &amp; $BV98):INDIRECT("Table!" &amp; $CH$110 &amp; $BV98),0)))))/1024</f>
        <v>129.03515625</v>
      </c>
      <c r="AP98" s="709">
        <f ca="1">IF(ISERROR(MATCH(AP$1,INDIRECT("Table!A"&amp;$BV98):INDIRECT("Table!" &amp; $CH$110 &amp; $BV98),0)),"",INDIRECT(CONCATENATE("Table!",ADDRESS($BZ98,MATCH(AP$1,INDIRECT("Table!A" &amp; $BV98):INDIRECT("Table!" &amp; $CH$110 &amp; $BV98),0)))))/1024</f>
        <v>118.4880859375</v>
      </c>
      <c r="AQ98" s="709"/>
      <c r="AR98" s="709"/>
      <c r="AS98" s="709"/>
      <c r="AT98" s="709">
        <f ca="1">IF(ISERROR(MATCH(AT$1,INDIRECT("Table!A"&amp;$BV98):INDIRECT("Table!" &amp; $CH$110 &amp; $BV98),0)),"",INDIRECT(CONCATENATE("Table!",ADDRESS($BZ98,MATCH(AT$1,INDIRECT("Table!A" &amp; $BV98):INDIRECT("Table!" &amp; $CH$110 &amp; $BV98),0)))))/1024</f>
        <v>188.5029296875</v>
      </c>
      <c r="AU98" s="709">
        <f ca="1">IF(ISERROR(MATCH(AU$1,INDIRECT("Table!A"&amp;$BV98):INDIRECT("Table!" &amp; $CH$110 &amp; $BV98),0)),"",INDIRECT(CONCATENATE("Table!",ADDRESS($BZ98,MATCH(AU$1,INDIRECT("Table!A" &amp; $BV98):INDIRECT("Table!" &amp; $CH$110 &amp; $BV98),0)))))/1024</f>
        <v>129.03535156250001</v>
      </c>
      <c r="AV98" s="709">
        <f ca="1">IF(ISERROR(MATCH(AV$1,INDIRECT("Table!A"&amp;$BV98):INDIRECT("Table!" &amp; $CH$110 &amp; $BV98),0)),"",INDIRECT(CONCATENATE("Table!",ADDRESS($BZ98,MATCH(AV$1,INDIRECT("Table!A" &amp; $BV98):INDIRECT("Table!" &amp; $CH$110 &amp; $BV98),0)))))/1024</f>
        <v>80.787402343750003</v>
      </c>
      <c r="AW98" s="709">
        <f ca="1">IF(ISERROR(MATCH(AW$1,INDIRECT("Table!A"&amp;$BV98):INDIRECT("Table!" &amp; $CH$110 &amp; $BV98),0)),"",INDIRECT(CONCATENATE("Table!",ADDRESS($BZ98,MATCH(AW$1,INDIRECT("Table!A" &amp; $BV98):INDIRECT("Table!" &amp; $CH$110 &amp; $BV98),0)))))/1024</f>
        <v>172.34638671875001</v>
      </c>
      <c r="AX98" s="709"/>
      <c r="AY98" s="709"/>
      <c r="AZ98" s="709"/>
      <c r="BA98" s="709"/>
      <c r="BB98" s="704"/>
      <c r="BC98" s="709"/>
      <c r="BD98" s="905"/>
      <c r="BE98" s="905"/>
      <c r="BF98" s="905"/>
      <c r="BG98" s="905"/>
      <c r="BH98" s="905"/>
      <c r="BI98" s="905"/>
      <c r="BJ98" s="905"/>
      <c r="BK98" s="905"/>
      <c r="BL98" s="905"/>
      <c r="BM98" s="905"/>
      <c r="BN98" s="905"/>
      <c r="BO98" s="905"/>
      <c r="BP98" s="905"/>
      <c r="BQ98" s="905"/>
      <c r="BR98" s="704">
        <f>MATCH($A98,Table!$A:$A,0)+$BT$2-1</f>
        <v>1265</v>
      </c>
      <c r="BS98" s="705"/>
      <c r="BT98" s="705"/>
      <c r="BU98" s="705"/>
      <c r="BV98" s="717">
        <f>MATCH($A98,Table!$A:$A,0)+$BX$2-1</f>
        <v>1263</v>
      </c>
      <c r="BW98" s="705"/>
      <c r="BX98" s="705"/>
      <c r="BY98" s="705"/>
      <c r="BZ98" s="704">
        <f>MATCH($A98,Table!$A:$A,0)+$CB$2-1</f>
        <v>1264</v>
      </c>
      <c r="CA98" s="705"/>
      <c r="CB98" s="705"/>
      <c r="CC98" s="705"/>
      <c r="CD98" s="717">
        <f>MATCH($A98,Table!$A:$A,0)+$BX$2-1</f>
        <v>1263</v>
      </c>
      <c r="CE98" s="705"/>
      <c r="CF98" s="705"/>
      <c r="CG98" s="705"/>
      <c r="CH98" s="711" t="s">
        <v>302</v>
      </c>
      <c r="CI98" s="712">
        <f t="shared" ca="1" si="140"/>
        <v>1591.5098632812499</v>
      </c>
      <c r="CJ98" s="712">
        <f t="shared" ca="1" si="141"/>
        <v>898.08115234375009</v>
      </c>
      <c r="CK98" s="712">
        <f t="shared" ca="1" si="137"/>
        <v>693.42871093749977</v>
      </c>
      <c r="CL98" s="718">
        <f t="shared" ca="1" si="138"/>
        <v>0.56429505909071587</v>
      </c>
      <c r="CM98" s="712">
        <f ca="1">SUMIF('Alloc Feed'!A:I,A:A,'Alloc Feed'!I:I)</f>
        <v>0</v>
      </c>
      <c r="CN98" s="718">
        <f t="shared" ca="1" si="136"/>
        <v>0</v>
      </c>
    </row>
    <row r="99" spans="1:92" x14ac:dyDescent="0.25">
      <c r="A99" s="703">
        <v>41327</v>
      </c>
      <c r="B99" s="709">
        <f ca="1">IF(ISERROR(MATCH(B$1,INDIRECT("Table!A"&amp;$BV99):INDIRECT("Table!" &amp; $CH$110 &amp; $BV99),0)),"",INDIRECT(CONCATENATE("Table!",ADDRESS($BR99,MATCH(B$1,INDIRECT("Table!A" &amp; $BV99):INDIRECT("Table!" &amp; $CH$110 &amp; $BV99),0)))))/1024</f>
        <v>42.998437500000001</v>
      </c>
      <c r="C99" s="709">
        <f ca="1">IF(ISERROR(MATCH(C$1,INDIRECT("Table!A"&amp;$BV99):INDIRECT("Table!" &amp; $CH$110 &amp; $BV99),0)),"",INDIRECT(CONCATENATE("Table!",ADDRESS($BR99,MATCH(C$1,INDIRECT("Table!A" &amp; $BV99):INDIRECT("Table!" &amp; $CH$110 &amp; $BV99),0)))))/1024</f>
        <v>75.220507812500003</v>
      </c>
      <c r="D99" s="709">
        <f ca="1">IF(ISERROR(MATCH(D$1,INDIRECT("Table!A"&amp;$BV99):INDIRECT("Table!" &amp; $CH$110 &amp; $BV99),0)),"",INDIRECT(CONCATENATE("Table!",ADDRESS($BR99,MATCH(D$1,INDIRECT("Table!A" &amp; $BV99):INDIRECT("Table!" &amp; $CH$110 &amp; $BV99),0)))))/1024</f>
        <v>76.601660156250006</v>
      </c>
      <c r="E99" s="709">
        <f ca="1">IF(ISERROR(MATCH(E$1,INDIRECT("Table!A"&amp;$BV99):INDIRECT("Table!" &amp; $CH$110 &amp; $BV99),0)),"",INDIRECT(CONCATENATE("Table!",ADDRESS($BR99,MATCH(E$1,INDIRECT("Table!A" &amp; $BV99):INDIRECT("Table!" &amp; $CH$110 &amp; $BV99),0)))))/1024</f>
        <v>150.75390625</v>
      </c>
      <c r="F99" s="709">
        <f ca="1">IF(ISERROR(MATCH(F$1,INDIRECT("Table!A"&amp;$BV99):INDIRECT("Table!" &amp; $CH$110 &amp; $BV99),0)),"",INDIRECT(CONCATENATE("Table!",ADDRESS($BR99,MATCH(F$1,INDIRECT("Table!A" &amp; $BV99):INDIRECT("Table!" &amp; $CH$110 &amp; $BV99),0)))))/1024</f>
        <v>79.837207031250003</v>
      </c>
      <c r="G99" s="709">
        <f ca="1">IF(ISERROR(MATCH(G$1,INDIRECT("Table!A"&amp;$BV99):INDIRECT("Table!" &amp; $CH$110 &amp; $BV99),0)),"",INDIRECT(CONCATENATE("Table!",ADDRESS($BR99,MATCH(G$1,INDIRECT("Table!A" &amp; $BV99):INDIRECT("Table!" &amp; $CH$110 &amp; $BV99),0)))))/1024</f>
        <v>39.251855468750001</v>
      </c>
      <c r="H99" s="709">
        <f ca="1">IF(ISERROR(MATCH(H$1,INDIRECT("Table!A"&amp;$BV99):INDIRECT("Table!" &amp; $CH$110 &amp; $BV99),0)),"",INDIRECT(CONCATENATE("Table!",ADDRESS($BR99,MATCH(H$1,INDIRECT("Table!A" &amp; $BV99):INDIRECT("Table!" &amp; $CH$110 &amp; $BV99),0)))))/1024</f>
        <v>63.317187500000003</v>
      </c>
      <c r="I99" s="709"/>
      <c r="J99" s="709"/>
      <c r="K99" s="709"/>
      <c r="L99" s="709">
        <f ca="1">IF(ISERROR(MATCH(L$1,INDIRECT("Table!A"&amp;$BV99):INDIRECT("Table!" &amp; $CH$110 &amp; $BV99),0)),"",INDIRECT(CONCATENATE("Table!",ADDRESS($BR99,MATCH(L$1,INDIRECT("Table!A" &amp; $BV99):INDIRECT("Table!" &amp; $CH$110 &amp; $BV99),0)))))/1024</f>
        <v>149.73369140624999</v>
      </c>
      <c r="M99" s="709">
        <f ca="1">IF(ISERROR(MATCH(M$1,INDIRECT("Table!A"&amp;$BV99):INDIRECT("Table!" &amp; $CH$110 &amp; $BV99),0)),"",INDIRECT(CONCATENATE("Table!",ADDRESS($BR99,MATCH(M$1,INDIRECT("Table!A" &amp; $BV99):INDIRECT("Table!" &amp; $CH$110 &amp; $BV99),0)))))/1024</f>
        <v>49.338476562499999</v>
      </c>
      <c r="N99" s="709">
        <f ca="1">IF(ISERROR(MATCH(N$1,INDIRECT("Table!A"&amp;$BV99):INDIRECT("Table!" &amp; $CH$110 &amp; $BV99),0)),"",INDIRECT(CONCATENATE("Table!",ADDRESS($BR99,MATCH(N$1,INDIRECT("Table!A" &amp; $BV99):INDIRECT("Table!" &amp; $CH$110 &amp; $BV99),0)))))/1024</f>
        <v>41.715917968749999</v>
      </c>
      <c r="O99" s="709">
        <f ca="1">IF(ISERROR(MATCH(O$1,INDIRECT("Table!A"&amp;$BV99):INDIRECT("Table!" &amp; $CH$110 &amp; $BV99),0)),"",INDIRECT(CONCATENATE("Table!",ADDRESS($BR99,MATCH(O$1,INDIRECT("Table!A" &amp; $BV99):INDIRECT("Table!" &amp; $CH$110 &amp; $BV99),0)))))/1024</f>
        <v>124.99062499999999</v>
      </c>
      <c r="P99" s="709"/>
      <c r="Q99" s="709"/>
      <c r="R99" s="709"/>
      <c r="S99" s="709">
        <v>0</v>
      </c>
      <c r="T99" s="709"/>
      <c r="U99" s="709"/>
      <c r="V99" s="905"/>
      <c r="W99" s="905"/>
      <c r="X99" s="905"/>
      <c r="Y99" s="905"/>
      <c r="Z99" s="905"/>
      <c r="AA99" s="905"/>
      <c r="AB99" s="905"/>
      <c r="AC99" s="905"/>
      <c r="AD99" s="905"/>
      <c r="AE99" s="905"/>
      <c r="AF99" s="905"/>
      <c r="AG99" s="905"/>
      <c r="AH99" s="905"/>
      <c r="AI99" s="709" t="str">
        <f ca="1">IF(ISERROR(MATCH(AI$1,INDIRECT("Table!A"&amp;$BV99):INDIRECT("Table!" &amp; $CH$110 &amp; $BV99),0)),"",INDIRECT(CONCATENATE("Table!",ADDRESS($BR99,MATCH(AI$1,INDIRECT("Table!A" &amp; $BV99):INDIRECT("Table!" &amp; $CH$110 &amp; $BV99),0)))))</f>
        <v/>
      </c>
      <c r="AJ99" s="709">
        <f ca="1">IF(ISERROR(MATCH(AJ$1,INDIRECT("Table!A"&amp;$BV99):INDIRECT("Table!" &amp; $CH$110 &amp; $BV99),0)),"",INDIRECT(CONCATENATE("Table!",ADDRESS($BZ99,MATCH(AJ$1,INDIRECT("Table!A" &amp; $BV99):INDIRECT("Table!" &amp; $CH$110 &amp; $BV99),0)))))/1024</f>
        <v>140.03144531250001</v>
      </c>
      <c r="AK99" s="709">
        <f ca="1">IF(ISERROR(MATCH(AK$1,INDIRECT("Table!A"&amp;$BV99):INDIRECT("Table!" &amp; $CH$110 &amp; $BV99),0)),"",INDIRECT(CONCATENATE("Table!",ADDRESS($BZ99,MATCH(AK$1,INDIRECT("Table!A" &amp; $BV99):INDIRECT("Table!" &amp; $CH$110 &amp; $BV99),0)))))/1024</f>
        <v>146.98808593749999</v>
      </c>
      <c r="AL99" s="709">
        <f ca="1">IF(ISERROR(MATCH(AL$1,INDIRECT("Table!A"&amp;$BV99):INDIRECT("Table!" &amp; $CH$110 &amp; $BV99),0)),"",INDIRECT(CONCATENATE("Table!",ADDRESS($BZ99,MATCH(AL$1,INDIRECT("Table!A" &amp; $BV99):INDIRECT("Table!" &amp; $CH$110 &amp; $BV99),0)))))/1024</f>
        <v>146.98808593749999</v>
      </c>
      <c r="AM99" s="709">
        <f ca="1">IF(ISERROR(MATCH(AM$1,INDIRECT("Table!A"&amp;$BV99):INDIRECT("Table!" &amp; $CH$110 &amp; $BV99),0)),"",INDIRECT(CONCATENATE("Table!",ADDRESS($BZ99,MATCH(AM$1,INDIRECT("Table!A" &amp; $BV99):INDIRECT("Table!" &amp; $CH$110 &amp; $BV99),0)))))/1024</f>
        <v>177.73222656249999</v>
      </c>
      <c r="AN99" s="709">
        <f ca="1">IF(ISERROR(MATCH(AN$1,INDIRECT("Table!A"&amp;$BV99):INDIRECT("Table!" &amp; $CH$110 &amp; $BV99),0)),"",INDIRECT(CONCATENATE("Table!",ADDRESS($BZ99,MATCH(AN$1,INDIRECT("Table!A" &amp; $BV99):INDIRECT("Table!" &amp; $CH$110 &amp; $BV99),0)))))/1024</f>
        <v>161.57470703125</v>
      </c>
      <c r="AO99" s="709">
        <f ca="1">IF(ISERROR(MATCH(AO$1,INDIRECT("Table!A"&amp;$BV99):INDIRECT("Table!" &amp; $CH$110 &amp; $BV99),0)),"",INDIRECT(CONCATENATE("Table!",ADDRESS($BZ99,MATCH(AO$1,INDIRECT("Table!A" &amp; $BV99):INDIRECT("Table!" &amp; $CH$110 &amp; $BV99),0)))))/1024</f>
        <v>129.03515625</v>
      </c>
      <c r="AP99" s="709">
        <f ca="1">IF(ISERROR(MATCH(AP$1,INDIRECT("Table!A"&amp;$BV99):INDIRECT("Table!" &amp; $CH$110 &amp; $BV99),0)),"",INDIRECT(CONCATENATE("Table!",ADDRESS($BZ99,MATCH(AP$1,INDIRECT("Table!A" &amp; $BV99):INDIRECT("Table!" &amp; $CH$110 &amp; $BV99),0)))))/1024</f>
        <v>118.4880859375</v>
      </c>
      <c r="AQ99" s="709"/>
      <c r="AR99" s="709"/>
      <c r="AS99" s="709"/>
      <c r="AT99" s="709">
        <f ca="1">IF(ISERROR(MATCH(AT$1,INDIRECT("Table!A"&amp;$BV99):INDIRECT("Table!" &amp; $CH$110 &amp; $BV99),0)),"",INDIRECT(CONCATENATE("Table!",ADDRESS($BZ99,MATCH(AT$1,INDIRECT("Table!A" &amp; $BV99):INDIRECT("Table!" &amp; $CH$110 &amp; $BV99),0)))))/1024</f>
        <v>188.5029296875</v>
      </c>
      <c r="AU99" s="709">
        <f ca="1">IF(ISERROR(MATCH(AU$1,INDIRECT("Table!A"&amp;$BV99):INDIRECT("Table!" &amp; $CH$110 &amp; $BV99),0)),"",INDIRECT(CONCATENATE("Table!",ADDRESS($BZ99,MATCH(AU$1,INDIRECT("Table!A" &amp; $BV99):INDIRECT("Table!" &amp; $CH$110 &amp; $BV99),0)))))/1024</f>
        <v>129.03535156250001</v>
      </c>
      <c r="AV99" s="709">
        <f ca="1">IF(ISERROR(MATCH(AV$1,INDIRECT("Table!A"&amp;$BV99):INDIRECT("Table!" &amp; $CH$110 &amp; $BV99),0)),"",INDIRECT(CONCATENATE("Table!",ADDRESS($BZ99,MATCH(AV$1,INDIRECT("Table!A" &amp; $BV99):INDIRECT("Table!" &amp; $CH$110 &amp; $BV99),0)))))/1024</f>
        <v>80.787402343750003</v>
      </c>
      <c r="AW99" s="709">
        <f ca="1">IF(ISERROR(MATCH(AW$1,INDIRECT("Table!A"&amp;$BV99):INDIRECT("Table!" &amp; $CH$110 &amp; $BV99),0)),"",INDIRECT(CONCATENATE("Table!",ADDRESS($BZ99,MATCH(AW$1,INDIRECT("Table!A" &amp; $BV99):INDIRECT("Table!" &amp; $CH$110 &amp; $BV99),0)))))/1024</f>
        <v>172.34638671875001</v>
      </c>
      <c r="AX99" s="709"/>
      <c r="AY99" s="709"/>
      <c r="AZ99" s="709"/>
      <c r="BA99" s="709"/>
      <c r="BB99" s="704"/>
      <c r="BC99" s="709"/>
      <c r="BD99" s="905"/>
      <c r="BE99" s="905"/>
      <c r="BF99" s="905"/>
      <c r="BG99" s="905"/>
      <c r="BH99" s="905"/>
      <c r="BI99" s="905"/>
      <c r="BJ99" s="905"/>
      <c r="BK99" s="905"/>
      <c r="BL99" s="905"/>
      <c r="BM99" s="905"/>
      <c r="BN99" s="905"/>
      <c r="BO99" s="905"/>
      <c r="BP99" s="905"/>
      <c r="BQ99" s="905"/>
      <c r="BR99" s="704">
        <f>MATCH($A99,Table!$A:$A,0)+$BT$2-1</f>
        <v>1277</v>
      </c>
      <c r="BS99" s="705"/>
      <c r="BT99" s="705"/>
      <c r="BU99" s="705"/>
      <c r="BV99" s="717">
        <f>MATCH($A99,Table!$A:$A,0)+$BX$2-1</f>
        <v>1275</v>
      </c>
      <c r="BW99" s="705"/>
      <c r="BX99" s="705"/>
      <c r="BY99" s="705"/>
      <c r="BZ99" s="704">
        <f>MATCH($A99,Table!$A:$A,0)+$CB$2-1</f>
        <v>1276</v>
      </c>
      <c r="CA99" s="705"/>
      <c r="CB99" s="705"/>
      <c r="CC99" s="705"/>
      <c r="CD99" s="717">
        <f>MATCH($A99,Table!$A:$A,0)+$BX$2-1</f>
        <v>1275</v>
      </c>
      <c r="CE99" s="705"/>
      <c r="CF99" s="705"/>
      <c r="CG99" s="705"/>
      <c r="CH99" s="711" t="s">
        <v>302</v>
      </c>
      <c r="CI99" s="712">
        <f t="shared" ca="1" si="140"/>
        <v>1591.5098632812499</v>
      </c>
      <c r="CJ99" s="712">
        <f t="shared" ca="1" si="141"/>
        <v>893.75947265625007</v>
      </c>
      <c r="CK99" s="712">
        <f t="shared" ca="1" si="137"/>
        <v>697.7503906249998</v>
      </c>
      <c r="CL99" s="718">
        <f t="shared" ca="1" si="138"/>
        <v>0.56157960014999031</v>
      </c>
      <c r="CM99" s="712">
        <f ca="1">SUMIF('Alloc Feed'!A:I,A:A,'Alloc Feed'!I:I)</f>
        <v>0</v>
      </c>
      <c r="CN99" s="718">
        <f t="shared" ca="1" si="136"/>
        <v>0</v>
      </c>
    </row>
    <row r="100" spans="1:92" x14ac:dyDescent="0.25">
      <c r="A100" s="703">
        <v>41326</v>
      </c>
      <c r="B100" s="709">
        <f ca="1">IF(ISERROR(MATCH(B$1,INDIRECT("Table!A"&amp;$BV100):INDIRECT("Table!" &amp; $CH$110 &amp; $BV100),0)),"",INDIRECT(CONCATENATE("Table!",ADDRESS($BR100,MATCH(B$1,INDIRECT("Table!A" &amp; $BV100):INDIRECT("Table!" &amp; $CH$110 &amp; $BV100),0)))))/1024</f>
        <v>42.943261718750001</v>
      </c>
      <c r="C100" s="709">
        <f ca="1">IF(ISERROR(MATCH(C$1,INDIRECT("Table!A"&amp;$BV100):INDIRECT("Table!" &amp; $CH$110 &amp; $BV100),0)),"",INDIRECT(CONCATENATE("Table!",ADDRESS($BR100,MATCH(C$1,INDIRECT("Table!A" &amp; $BV100):INDIRECT("Table!" &amp; $CH$110 &amp; $BV100),0)))))/1024</f>
        <v>75.214453125000006</v>
      </c>
      <c r="D100" s="709">
        <f ca="1">IF(ISERROR(MATCH(D$1,INDIRECT("Table!A"&amp;$BV100):INDIRECT("Table!" &amp; $CH$110 &amp; $BV100),0)),"",INDIRECT(CONCATENATE("Table!",ADDRESS($BR100,MATCH(D$1,INDIRECT("Table!A" &amp; $BV100):INDIRECT("Table!" &amp; $CH$110 &amp; $BV100),0)))))/1024</f>
        <v>76.234570312499997</v>
      </c>
      <c r="E100" s="709">
        <f ca="1">IF(ISERROR(MATCH(E$1,INDIRECT("Table!A"&amp;$BV100):INDIRECT("Table!" &amp; $CH$110 &amp; $BV100),0)),"",INDIRECT(CONCATENATE("Table!",ADDRESS($BR100,MATCH(E$1,INDIRECT("Table!A" &amp; $BV100):INDIRECT("Table!" &amp; $CH$110 &amp; $BV100),0)))))/1024</f>
        <v>150.51191406250001</v>
      </c>
      <c r="F100" s="709">
        <f ca="1">IF(ISERROR(MATCH(F$1,INDIRECT("Table!A"&amp;$BV100):INDIRECT("Table!" &amp; $CH$110 &amp; $BV100),0)),"",INDIRECT(CONCATENATE("Table!",ADDRESS($BR100,MATCH(F$1,INDIRECT("Table!A" &amp; $BV100):INDIRECT("Table!" &amp; $CH$110 &amp; $BV100),0)))))/1024</f>
        <v>79.837207031250003</v>
      </c>
      <c r="G100" s="709">
        <f ca="1">IF(ISERROR(MATCH(G$1,INDIRECT("Table!A"&amp;$BV100):INDIRECT("Table!" &amp; $CH$110 &amp; $BV100),0)),"",INDIRECT(CONCATENATE("Table!",ADDRESS($BR100,MATCH(G$1,INDIRECT("Table!A" &amp; $BV100):INDIRECT("Table!" &amp; $CH$110 &amp; $BV100),0)))))/1024</f>
        <v>39.291894531250001</v>
      </c>
      <c r="H100" s="709">
        <f ca="1">IF(ISERROR(MATCH(H$1,INDIRECT("Table!A"&amp;$BV100):INDIRECT("Table!" &amp; $CH$110 &amp; $BV100),0)),"",INDIRECT(CONCATENATE("Table!",ADDRESS($BR100,MATCH(H$1,INDIRECT("Table!A" &amp; $BV100):INDIRECT("Table!" &amp; $CH$110 &amp; $BV100),0)))))/1024</f>
        <v>63.23193359375</v>
      </c>
      <c r="I100" s="709"/>
      <c r="J100" s="709"/>
      <c r="K100" s="709"/>
      <c r="L100" s="709">
        <f ca="1">IF(ISERROR(MATCH(L$1,INDIRECT("Table!A"&amp;$BV100):INDIRECT("Table!" &amp; $CH$110 &amp; $BV100),0)),"",INDIRECT(CONCATENATE("Table!",ADDRESS($BR100,MATCH(L$1,INDIRECT("Table!A" &amp; $BV100):INDIRECT("Table!" &amp; $CH$110 &amp; $BV100),0)))))/1024</f>
        <v>149.60312500000001</v>
      </c>
      <c r="M100" s="709">
        <f ca="1">IF(ISERROR(MATCH(M$1,INDIRECT("Table!A"&amp;$BV100):INDIRECT("Table!" &amp; $CH$110 &amp; $BV100),0)),"",INDIRECT(CONCATENATE("Table!",ADDRESS($BR100,MATCH(M$1,INDIRECT("Table!A" &amp; $BV100):INDIRECT("Table!" &amp; $CH$110 &amp; $BV100),0)))))/1024</f>
        <v>49.151171875000003</v>
      </c>
      <c r="N100" s="709">
        <f ca="1">IF(ISERROR(MATCH(N$1,INDIRECT("Table!A"&amp;$BV100):INDIRECT("Table!" &amp; $CH$110 &amp; $BV100),0)),"",INDIRECT(CONCATENATE("Table!",ADDRESS($BR100,MATCH(N$1,INDIRECT("Table!A" &amp; $BV100):INDIRECT("Table!" &amp; $CH$110 &amp; $BV100),0)))))/1024</f>
        <v>41.246972656250001</v>
      </c>
      <c r="O100" s="709">
        <f ca="1">IF(ISERROR(MATCH(O$1,INDIRECT("Table!A"&amp;$BV100):INDIRECT("Table!" &amp; $CH$110 &amp; $BV100),0)),"",INDIRECT(CONCATENATE("Table!",ADDRESS($BR100,MATCH(O$1,INDIRECT("Table!A" &amp; $BV100):INDIRECT("Table!" &amp; $CH$110 &amp; $BV100),0)))))/1024</f>
        <v>124.83339843749999</v>
      </c>
      <c r="P100" s="709"/>
      <c r="Q100" s="709"/>
      <c r="R100" s="709"/>
      <c r="S100" s="709">
        <v>0</v>
      </c>
      <c r="T100" s="709"/>
      <c r="U100" s="709"/>
      <c r="V100" s="905"/>
      <c r="W100" s="905"/>
      <c r="X100" s="905"/>
      <c r="Y100" s="905"/>
      <c r="Z100" s="905"/>
      <c r="AA100" s="905"/>
      <c r="AB100" s="905"/>
      <c r="AC100" s="905"/>
      <c r="AD100" s="905"/>
      <c r="AE100" s="905"/>
      <c r="AF100" s="905"/>
      <c r="AG100" s="905"/>
      <c r="AH100" s="905"/>
      <c r="AI100" s="709" t="str">
        <f ca="1">IF(ISERROR(MATCH(AI$1,INDIRECT("Table!A"&amp;$BV100):INDIRECT("Table!" &amp; $CH$110 &amp; $BV100),0)),"",INDIRECT(CONCATENATE("Table!",ADDRESS($BR100,MATCH(AI$1,INDIRECT("Table!A" &amp; $BV100):INDIRECT("Table!" &amp; $CH$110 &amp; $BV100),0)))))</f>
        <v/>
      </c>
      <c r="AJ100" s="709">
        <f ca="1">IF(ISERROR(MATCH(AJ$1,INDIRECT("Table!A"&amp;$BV100):INDIRECT("Table!" &amp; $CH$110 &amp; $BV100),0)),"",INDIRECT(CONCATENATE("Table!",ADDRESS($BZ100,MATCH(AJ$1,INDIRECT("Table!A" &amp; $BV100):INDIRECT("Table!" &amp; $CH$110 &amp; $BV100),0)))))/1024</f>
        <v>140.03144531250001</v>
      </c>
      <c r="AK100" s="709">
        <f ca="1">IF(ISERROR(MATCH(AK$1,INDIRECT("Table!A"&amp;$BV100):INDIRECT("Table!" &amp; $CH$110 &amp; $BV100),0)),"",INDIRECT(CONCATENATE("Table!",ADDRESS($BZ100,MATCH(AK$1,INDIRECT("Table!A" &amp; $BV100):INDIRECT("Table!" &amp; $CH$110 &amp; $BV100),0)))))/1024</f>
        <v>146.98808593749999</v>
      </c>
      <c r="AL100" s="709">
        <f ca="1">IF(ISERROR(MATCH(AL$1,INDIRECT("Table!A"&amp;$BV100):INDIRECT("Table!" &amp; $CH$110 &amp; $BV100),0)),"",INDIRECT(CONCATENATE("Table!",ADDRESS($BZ100,MATCH(AL$1,INDIRECT("Table!A" &amp; $BV100):INDIRECT("Table!" &amp; $CH$110 &amp; $BV100),0)))))/1024</f>
        <v>146.98808593749999</v>
      </c>
      <c r="AM100" s="709">
        <f ca="1">IF(ISERROR(MATCH(AM$1,INDIRECT("Table!A"&amp;$BV100):INDIRECT("Table!" &amp; $CH$110 &amp; $BV100),0)),"",INDIRECT(CONCATENATE("Table!",ADDRESS($BZ100,MATCH(AM$1,INDIRECT("Table!A" &amp; $BV100):INDIRECT("Table!" &amp; $CH$110 &amp; $BV100),0)))))/1024</f>
        <v>177.73222656249999</v>
      </c>
      <c r="AN100" s="709">
        <f ca="1">IF(ISERROR(MATCH(AN$1,INDIRECT("Table!A"&amp;$BV100):INDIRECT("Table!" &amp; $CH$110 &amp; $BV100),0)),"",INDIRECT(CONCATENATE("Table!",ADDRESS($BZ100,MATCH(AN$1,INDIRECT("Table!A" &amp; $BV100):INDIRECT("Table!" &amp; $CH$110 &amp; $BV100),0)))))/1024</f>
        <v>161.57470703125</v>
      </c>
      <c r="AO100" s="709">
        <f ca="1">IF(ISERROR(MATCH(AO$1,INDIRECT("Table!A"&amp;$BV100):INDIRECT("Table!" &amp; $CH$110 &amp; $BV100),0)),"",INDIRECT(CONCATENATE("Table!",ADDRESS($BZ100,MATCH(AO$1,INDIRECT("Table!A" &amp; $BV100):INDIRECT("Table!" &amp; $CH$110 &amp; $BV100),0)))))/1024</f>
        <v>129.03515625</v>
      </c>
      <c r="AP100" s="709">
        <f ca="1">IF(ISERROR(MATCH(AP$1,INDIRECT("Table!A"&amp;$BV100):INDIRECT("Table!" &amp; $CH$110 &amp; $BV100),0)),"",INDIRECT(CONCATENATE("Table!",ADDRESS($BZ100,MATCH(AP$1,INDIRECT("Table!A" &amp; $BV100):INDIRECT("Table!" &amp; $CH$110 &amp; $BV100),0)))))/1024</f>
        <v>118.4880859375</v>
      </c>
      <c r="AQ100" s="709"/>
      <c r="AR100" s="709"/>
      <c r="AS100" s="709"/>
      <c r="AT100" s="709">
        <f ca="1">IF(ISERROR(MATCH(AT$1,INDIRECT("Table!A"&amp;$BV100):INDIRECT("Table!" &amp; $CH$110 &amp; $BV100),0)),"",INDIRECT(CONCATENATE("Table!",ADDRESS($BZ100,MATCH(AT$1,INDIRECT("Table!A" &amp; $BV100):INDIRECT("Table!" &amp; $CH$110 &amp; $BV100),0)))))/1024</f>
        <v>188.5029296875</v>
      </c>
      <c r="AU100" s="709">
        <f ca="1">IF(ISERROR(MATCH(AU$1,INDIRECT("Table!A"&amp;$BV100):INDIRECT("Table!" &amp; $CH$110 &amp; $BV100),0)),"",INDIRECT(CONCATENATE("Table!",ADDRESS($BZ100,MATCH(AU$1,INDIRECT("Table!A" &amp; $BV100):INDIRECT("Table!" &amp; $CH$110 &amp; $BV100),0)))))/1024</f>
        <v>129.03535156250001</v>
      </c>
      <c r="AV100" s="709">
        <f ca="1">IF(ISERROR(MATCH(AV$1,INDIRECT("Table!A"&amp;$BV100):INDIRECT("Table!" &amp; $CH$110 &amp; $BV100),0)),"",INDIRECT(CONCATENATE("Table!",ADDRESS($BZ100,MATCH(AV$1,INDIRECT("Table!A" &amp; $BV100):INDIRECT("Table!" &amp; $CH$110 &amp; $BV100),0)))))/1024</f>
        <v>80.787402343750003</v>
      </c>
      <c r="AW100" s="709">
        <f ca="1">IF(ISERROR(MATCH(AW$1,INDIRECT("Table!A"&amp;$BV100):INDIRECT("Table!" &amp; $CH$110 &amp; $BV100),0)),"",INDIRECT(CONCATENATE("Table!",ADDRESS($BZ100,MATCH(AW$1,INDIRECT("Table!A" &amp; $BV100):INDIRECT("Table!" &amp; $CH$110 &amp; $BV100),0)))))/1024</f>
        <v>172.34638671875001</v>
      </c>
      <c r="AX100" s="709"/>
      <c r="AY100" s="709"/>
      <c r="AZ100" s="709"/>
      <c r="BA100" s="709"/>
      <c r="BB100" s="704"/>
      <c r="BC100" s="709"/>
      <c r="BD100" s="905"/>
      <c r="BE100" s="905"/>
      <c r="BF100" s="905"/>
      <c r="BG100" s="905"/>
      <c r="BH100" s="905"/>
      <c r="BI100" s="905"/>
      <c r="BJ100" s="905"/>
      <c r="BK100" s="905"/>
      <c r="BL100" s="905"/>
      <c r="BM100" s="905"/>
      <c r="BN100" s="905"/>
      <c r="BO100" s="905"/>
      <c r="BP100" s="905"/>
      <c r="BQ100" s="905"/>
      <c r="BR100" s="704">
        <f>MATCH($A100,Table!$A:$A,0)+$BT$2-1</f>
        <v>1289</v>
      </c>
      <c r="BS100" s="705"/>
      <c r="BT100" s="705"/>
      <c r="BU100" s="705"/>
      <c r="BV100" s="717">
        <f>MATCH($A100,Table!$A:$A,0)+$BX$2-1</f>
        <v>1287</v>
      </c>
      <c r="BW100" s="705"/>
      <c r="BX100" s="705"/>
      <c r="BY100" s="705"/>
      <c r="BZ100" s="704">
        <f>MATCH($A100,Table!$A:$A,0)+$CB$2-1</f>
        <v>1288</v>
      </c>
      <c r="CA100" s="705"/>
      <c r="CB100" s="705"/>
      <c r="CC100" s="705"/>
      <c r="CD100" s="717">
        <f>MATCH($A100,Table!$A:$A,0)+$BX$2-1</f>
        <v>1287</v>
      </c>
      <c r="CE100" s="705"/>
      <c r="CF100" s="705"/>
      <c r="CG100" s="705"/>
      <c r="CH100" s="711" t="s">
        <v>302</v>
      </c>
      <c r="CI100" s="712">
        <f t="shared" ca="1" si="140"/>
        <v>1591.5098632812499</v>
      </c>
      <c r="CJ100" s="712">
        <f t="shared" ca="1" si="141"/>
        <v>892.09990234375016</v>
      </c>
      <c r="CK100" s="712">
        <f t="shared" ca="1" si="137"/>
        <v>699.4099609374997</v>
      </c>
      <c r="CL100" s="718">
        <f t="shared" ca="1" si="138"/>
        <v>0.56053683544536048</v>
      </c>
      <c r="CM100" s="712">
        <f ca="1">SUMIF('Alloc Feed'!A:I,A:A,'Alloc Feed'!I:I)</f>
        <v>0</v>
      </c>
      <c r="CN100" s="718">
        <f t="shared" ca="1" si="136"/>
        <v>0</v>
      </c>
    </row>
    <row r="101" spans="1:92" x14ac:dyDescent="0.25">
      <c r="A101" s="703">
        <v>41323</v>
      </c>
      <c r="B101" s="709">
        <f ca="1">IF(ISERROR(MATCH(B$1,INDIRECT("Table!A"&amp;$BV101):INDIRECT("Table!" &amp; $CH$110 &amp; $BV101),0)),"",INDIRECT(CONCATENATE("Table!",ADDRESS($BR101,MATCH(B$1,INDIRECT("Table!A" &amp; $BV101):INDIRECT("Table!" &amp; $CH$110 &amp; $BV101),0)))))/1024</f>
        <v>42.153710937500001</v>
      </c>
      <c r="C101" s="709">
        <f ca="1">IF(ISERROR(MATCH(C$1,INDIRECT("Table!A"&amp;$BV101):INDIRECT("Table!" &amp; $CH$110 &amp; $BV101),0)),"",INDIRECT(CONCATENATE("Table!",ADDRESS($BR101,MATCH(C$1,INDIRECT("Table!A" &amp; $BV101):INDIRECT("Table!" &amp; $CH$110 &amp; $BV101),0)))))/1024</f>
        <v>74.853417968749994</v>
      </c>
      <c r="D101" s="709">
        <f ca="1">IF(ISERROR(MATCH(D$1,INDIRECT("Table!A"&amp;$BV101):INDIRECT("Table!" &amp; $CH$110 &amp; $BV101),0)),"",INDIRECT(CONCATENATE("Table!",ADDRESS($BR101,MATCH(D$1,INDIRECT("Table!A" &amp; $BV101):INDIRECT("Table!" &amp; $CH$110 &amp; $BV101),0)))))/1024</f>
        <v>76.234570312499997</v>
      </c>
      <c r="E101" s="709">
        <f ca="1">IF(ISERROR(MATCH(E$1,INDIRECT("Table!A"&amp;$BV101):INDIRECT("Table!" &amp; $CH$110 &amp; $BV101),0)),"",INDIRECT(CONCATENATE("Table!",ADDRESS($BR101,MATCH(E$1,INDIRECT("Table!A" &amp; $BV101):INDIRECT("Table!" &amp; $CH$110 &amp; $BV101),0)))))/1024</f>
        <v>150.51191406250001</v>
      </c>
      <c r="F101" s="709">
        <f ca="1">IF(ISERROR(MATCH(F$1,INDIRECT("Table!A"&amp;$BV101):INDIRECT("Table!" &amp; $CH$110 &amp; $BV101),0)),"",INDIRECT(CONCATENATE("Table!",ADDRESS($BR101,MATCH(F$1,INDIRECT("Table!A" &amp; $BV101):INDIRECT("Table!" &amp; $CH$110 &amp; $BV101),0)))))/1024</f>
        <v>79.837207031250003</v>
      </c>
      <c r="G101" s="709">
        <f ca="1">IF(ISERROR(MATCH(G$1,INDIRECT("Table!A"&amp;$BV101):INDIRECT("Table!" &amp; $CH$110 &amp; $BV101),0)),"",INDIRECT(CONCATENATE("Table!",ADDRESS($BR101,MATCH(G$1,INDIRECT("Table!A" &amp; $BV101):INDIRECT("Table!" &amp; $CH$110 &amp; $BV101),0)))))/1024</f>
        <v>39.291894531250001</v>
      </c>
      <c r="H101" s="709">
        <f ca="1">IF(ISERROR(MATCH(H$1,INDIRECT("Table!A"&amp;$BV101):INDIRECT("Table!" &amp; $CH$110 &amp; $BV101),0)),"",INDIRECT(CONCATENATE("Table!",ADDRESS($BR101,MATCH(H$1,INDIRECT("Table!A" &amp; $BV101):INDIRECT("Table!" &amp; $CH$110 &amp; $BV101),0)))))/1024</f>
        <v>63.23193359375</v>
      </c>
      <c r="I101" s="709"/>
      <c r="J101" s="709"/>
      <c r="K101" s="709"/>
      <c r="L101" s="709">
        <f ca="1">IF(ISERROR(MATCH(L$1,INDIRECT("Table!A"&amp;$BV101):INDIRECT("Table!" &amp; $CH$110 &amp; $BV101),0)),"",INDIRECT(CONCATENATE("Table!",ADDRESS($BR101,MATCH(L$1,INDIRECT("Table!A" &amp; $BV101):INDIRECT("Table!" &amp; $CH$110 &amp; $BV101),0)))))/1024</f>
        <v>149.60312500000001</v>
      </c>
      <c r="M101" s="709">
        <f ca="1">IF(ISERROR(MATCH(M$1,INDIRECT("Table!A"&amp;$BV101):INDIRECT("Table!" &amp; $CH$110 &amp; $BV101),0)),"",INDIRECT(CONCATENATE("Table!",ADDRESS($BR101,MATCH(M$1,INDIRECT("Table!A" &amp; $BV101):INDIRECT("Table!" &amp; $CH$110 &amp; $BV101),0)))))/1024</f>
        <v>49.151171875000003</v>
      </c>
      <c r="N101" s="709">
        <f ca="1">IF(ISERROR(MATCH(N$1,INDIRECT("Table!A"&amp;$BV101):INDIRECT("Table!" &amp; $CH$110 &amp; $BV101),0)),"",INDIRECT(CONCATENATE("Table!",ADDRESS($BR101,MATCH(N$1,INDIRECT("Table!A" &amp; $BV101):INDIRECT("Table!" &amp; $CH$110 &amp; $BV101),0)))))/1024</f>
        <v>41.246972656250001</v>
      </c>
      <c r="O101" s="709">
        <f ca="1">IF(ISERROR(MATCH(O$1,INDIRECT("Table!A"&amp;$BV101):INDIRECT("Table!" &amp; $CH$110 &amp; $BV101),0)),"",INDIRECT(CONCATENATE("Table!",ADDRESS($BR101,MATCH(O$1,INDIRECT("Table!A" &amp; $BV101):INDIRECT("Table!" &amp; $CH$110 &amp; $BV101),0)))))/1024</f>
        <v>124.83339843749999</v>
      </c>
      <c r="P101" s="709"/>
      <c r="Q101" s="709"/>
      <c r="R101" s="709"/>
      <c r="S101" s="709">
        <v>0</v>
      </c>
      <c r="T101" s="709"/>
      <c r="U101" s="709"/>
      <c r="V101" s="905"/>
      <c r="W101" s="905"/>
      <c r="X101" s="905"/>
      <c r="Y101" s="905"/>
      <c r="Z101" s="905"/>
      <c r="AA101" s="905"/>
      <c r="AB101" s="905"/>
      <c r="AC101" s="905"/>
      <c r="AD101" s="905"/>
      <c r="AE101" s="905"/>
      <c r="AF101" s="905"/>
      <c r="AG101" s="905"/>
      <c r="AH101" s="905"/>
      <c r="AI101" s="709" t="str">
        <f ca="1">IF(ISERROR(MATCH(AI$1,INDIRECT("Table!A"&amp;$BV101):INDIRECT("Table!" &amp; $CH$110 &amp; $BV101),0)),"",INDIRECT(CONCATENATE("Table!",ADDRESS($BR101,MATCH(AI$1,INDIRECT("Table!A" &amp; $BV101):INDIRECT("Table!" &amp; $CH$110 &amp; $BV101),0)))))</f>
        <v/>
      </c>
      <c r="AJ101" s="709">
        <f ca="1">IF(ISERROR(MATCH(AJ$1,INDIRECT("Table!A"&amp;$BV101):INDIRECT("Table!" &amp; $CH$110 &amp; $BV101),0)),"",INDIRECT(CONCATENATE("Table!",ADDRESS($BZ101,MATCH(AJ$1,INDIRECT("Table!A" &amp; $BV101):INDIRECT("Table!" &amp; $CH$110 &amp; $BV101),0)))))/1024</f>
        <v>140.03144531250001</v>
      </c>
      <c r="AK101" s="709">
        <f ca="1">IF(ISERROR(MATCH(AK$1,INDIRECT("Table!A"&amp;$BV101):INDIRECT("Table!" &amp; $CH$110 &amp; $BV101),0)),"",INDIRECT(CONCATENATE("Table!",ADDRESS($BZ101,MATCH(AK$1,INDIRECT("Table!A" &amp; $BV101):INDIRECT("Table!" &amp; $CH$110 &amp; $BV101),0)))))/1024</f>
        <v>146.98808593749999</v>
      </c>
      <c r="AL101" s="709">
        <f ca="1">IF(ISERROR(MATCH(AL$1,INDIRECT("Table!A"&amp;$BV101):INDIRECT("Table!" &amp; $CH$110 &amp; $BV101),0)),"",INDIRECT(CONCATENATE("Table!",ADDRESS($BZ101,MATCH(AL$1,INDIRECT("Table!A" &amp; $BV101):INDIRECT("Table!" &amp; $CH$110 &amp; $BV101),0)))))/1024</f>
        <v>146.98808593749999</v>
      </c>
      <c r="AM101" s="709">
        <f ca="1">IF(ISERROR(MATCH(AM$1,INDIRECT("Table!A"&amp;$BV101):INDIRECT("Table!" &amp; $CH$110 &amp; $BV101),0)),"",INDIRECT(CONCATENATE("Table!",ADDRESS($BZ101,MATCH(AM$1,INDIRECT("Table!A" &amp; $BV101):INDIRECT("Table!" &amp; $CH$110 &amp; $BV101),0)))))/1024</f>
        <v>177.73222656249999</v>
      </c>
      <c r="AN101" s="709">
        <f ca="1">IF(ISERROR(MATCH(AN$1,INDIRECT("Table!A"&amp;$BV101):INDIRECT("Table!" &amp; $CH$110 &amp; $BV101),0)),"",INDIRECT(CONCATENATE("Table!",ADDRESS($BZ101,MATCH(AN$1,INDIRECT("Table!A" &amp; $BV101):INDIRECT("Table!" &amp; $CH$110 &amp; $BV101),0)))))/1024</f>
        <v>161.57470703125</v>
      </c>
      <c r="AO101" s="709">
        <f ca="1">IF(ISERROR(MATCH(AO$1,INDIRECT("Table!A"&amp;$BV101):INDIRECT("Table!" &amp; $CH$110 &amp; $BV101),0)),"",INDIRECT(CONCATENATE("Table!",ADDRESS($BZ101,MATCH(AO$1,INDIRECT("Table!A" &amp; $BV101):INDIRECT("Table!" &amp; $CH$110 &amp; $BV101),0)))))/1024</f>
        <v>129.03515625</v>
      </c>
      <c r="AP101" s="709">
        <f ca="1">IF(ISERROR(MATCH(AP$1,INDIRECT("Table!A"&amp;$BV101):INDIRECT("Table!" &amp; $CH$110 &amp; $BV101),0)),"",INDIRECT(CONCATENATE("Table!",ADDRESS($BZ101,MATCH(AP$1,INDIRECT("Table!A" &amp; $BV101):INDIRECT("Table!" &amp; $CH$110 &amp; $BV101),0)))))/1024</f>
        <v>118.4880859375</v>
      </c>
      <c r="AQ101" s="709"/>
      <c r="AR101" s="709"/>
      <c r="AS101" s="709"/>
      <c r="AT101" s="709">
        <f ca="1">IF(ISERROR(MATCH(AT$1,INDIRECT("Table!A"&amp;$BV101):INDIRECT("Table!" &amp; $CH$110 &amp; $BV101),0)),"",INDIRECT(CONCATENATE("Table!",ADDRESS($BZ101,MATCH(AT$1,INDIRECT("Table!A" &amp; $BV101):INDIRECT("Table!" &amp; $CH$110 &amp; $BV101),0)))))/1024</f>
        <v>188.5029296875</v>
      </c>
      <c r="AU101" s="709">
        <f ca="1">IF(ISERROR(MATCH(AU$1,INDIRECT("Table!A"&amp;$BV101):INDIRECT("Table!" &amp; $CH$110 &amp; $BV101),0)),"",INDIRECT(CONCATENATE("Table!",ADDRESS($BZ101,MATCH(AU$1,INDIRECT("Table!A" &amp; $BV101):INDIRECT("Table!" &amp; $CH$110 &amp; $BV101),0)))))/1024</f>
        <v>129.03535156250001</v>
      </c>
      <c r="AV101" s="709">
        <f ca="1">IF(ISERROR(MATCH(AV$1,INDIRECT("Table!A"&amp;$BV101):INDIRECT("Table!" &amp; $CH$110 &amp; $BV101),0)),"",INDIRECT(CONCATENATE("Table!",ADDRESS($BZ101,MATCH(AV$1,INDIRECT("Table!A" &amp; $BV101):INDIRECT("Table!" &amp; $CH$110 &amp; $BV101),0)))))/1024</f>
        <v>80.787402343750003</v>
      </c>
      <c r="AW101" s="709">
        <f ca="1">IF(ISERROR(MATCH(AW$1,INDIRECT("Table!A"&amp;$BV101):INDIRECT("Table!" &amp; $CH$110 &amp; $BV101),0)),"",INDIRECT(CONCATENATE("Table!",ADDRESS($BZ101,MATCH(AW$1,INDIRECT("Table!A" &amp; $BV101):INDIRECT("Table!" &amp; $CH$110 &amp; $BV101),0)))))/1024</f>
        <v>172.34638671875001</v>
      </c>
      <c r="AX101" s="709"/>
      <c r="AY101" s="709"/>
      <c r="AZ101" s="709"/>
      <c r="BA101" s="709"/>
      <c r="BB101" s="704"/>
      <c r="BC101" s="709"/>
      <c r="BD101" s="905"/>
      <c r="BE101" s="905"/>
      <c r="BF101" s="905"/>
      <c r="BG101" s="905"/>
      <c r="BH101" s="905"/>
      <c r="BI101" s="905"/>
      <c r="BJ101" s="905"/>
      <c r="BK101" s="905"/>
      <c r="BL101" s="905"/>
      <c r="BM101" s="905"/>
      <c r="BN101" s="905"/>
      <c r="BO101" s="905"/>
      <c r="BP101" s="905"/>
      <c r="BQ101" s="905"/>
      <c r="BR101" s="704">
        <f>MATCH($A101,Table!$A:$A,0)+$BT$2-1</f>
        <v>1301</v>
      </c>
      <c r="BS101" s="705"/>
      <c r="BT101" s="705"/>
      <c r="BU101" s="705"/>
      <c r="BV101" s="717">
        <f>MATCH($A101,Table!$A:$A,0)+$BX$2-1</f>
        <v>1299</v>
      </c>
      <c r="BW101" s="705"/>
      <c r="BX101" s="705"/>
      <c r="BY101" s="705"/>
      <c r="BZ101" s="704">
        <f>MATCH($A101,Table!$A:$A,0)+$CB$2-1</f>
        <v>1300</v>
      </c>
      <c r="CA101" s="705"/>
      <c r="CB101" s="705"/>
      <c r="CC101" s="705"/>
      <c r="CD101" s="717">
        <f>MATCH($A101,Table!$A:$A,0)+$BX$2-1</f>
        <v>1299</v>
      </c>
      <c r="CE101" s="705"/>
      <c r="CF101" s="705"/>
      <c r="CG101" s="705"/>
      <c r="CH101" s="711" t="s">
        <v>302</v>
      </c>
      <c r="CI101" s="712">
        <f t="shared" ca="1" si="140"/>
        <v>1591.5098632812499</v>
      </c>
      <c r="CJ101" s="712">
        <f t="shared" ca="1" si="141"/>
        <v>890.94931640625009</v>
      </c>
      <c r="CK101" s="712">
        <f t="shared" ca="1" si="137"/>
        <v>700.56054687499977</v>
      </c>
      <c r="CL101" s="718">
        <f t="shared" ca="1" si="138"/>
        <v>0.55981388300626733</v>
      </c>
      <c r="CM101" s="712">
        <f ca="1">SUMIF('Alloc Feed'!A:I,A:A,'Alloc Feed'!I:I)</f>
        <v>0</v>
      </c>
      <c r="CN101" s="718">
        <f t="shared" ca="1" si="136"/>
        <v>0</v>
      </c>
    </row>
    <row r="102" spans="1:92" x14ac:dyDescent="0.25">
      <c r="A102" s="703">
        <v>41310</v>
      </c>
      <c r="B102" s="709">
        <f ca="1">IF(ISERROR(MATCH(B$1,INDIRECT("Table!A"&amp;$BV102):INDIRECT("Table!" &amp; $CH$110 &amp; $BV102),0)),"",INDIRECT(CONCATENATE("Table!",ADDRESS($BR102,MATCH(B$1,INDIRECT("Table!A" &amp; $BV102):INDIRECT("Table!" &amp; $CH$110 &amp; $BV102),0)))))/1024</f>
        <v>42.112499999999997</v>
      </c>
      <c r="C102" s="709">
        <f ca="1">IF(ISERROR(MATCH(C$1,INDIRECT("Table!A"&amp;$BV102):INDIRECT("Table!" &amp; $CH$110 &amp; $BV102),0)),"",INDIRECT(CONCATENATE("Table!",ADDRESS($BR102,MATCH(C$1,INDIRECT("Table!A" &amp; $BV102):INDIRECT("Table!" &amp; $CH$110 &amp; $BV102),0)))))/1024</f>
        <v>74.623046875</v>
      </c>
      <c r="D102" s="709">
        <f ca="1">IF(ISERROR(MATCH(D$1,INDIRECT("Table!A"&amp;$BV102):INDIRECT("Table!" &amp; $CH$110 &amp; $BV102),0)),"",INDIRECT(CONCATENATE("Table!",ADDRESS($BR102,MATCH(D$1,INDIRECT("Table!A" &amp; $BV102):INDIRECT("Table!" &amp; $CH$110 &amp; $BV102),0)))))/1024</f>
        <v>76.00390625</v>
      </c>
      <c r="E102" s="709">
        <f ca="1">IF(ISERROR(MATCH(E$1,INDIRECT("Table!A"&amp;$BV102):INDIRECT("Table!" &amp; $CH$110 &amp; $BV102),0)),"",INDIRECT(CONCATENATE("Table!",ADDRESS($BR102,MATCH(E$1,INDIRECT("Table!A" &amp; $BV102):INDIRECT("Table!" &amp; $CH$110 &amp; $BV102),0)))))/1024</f>
        <v>149.92753906249999</v>
      </c>
      <c r="F102" s="709">
        <f ca="1">IF(ISERROR(MATCH(F$1,INDIRECT("Table!A"&amp;$BV102):INDIRECT("Table!" &amp; $CH$110 &amp; $BV102),0)),"",INDIRECT(CONCATENATE("Table!",ADDRESS($BR102,MATCH(F$1,INDIRECT("Table!A" &amp; $BV102):INDIRECT("Table!" &amp; $CH$110 &amp; $BV102),0)))))/1024</f>
        <v>77.374121093750006</v>
      </c>
      <c r="G102" s="709">
        <f ca="1">IF(ISERROR(MATCH(G$1,INDIRECT("Table!A"&amp;$BV102):INDIRECT("Table!" &amp; $CH$110 &amp; $BV102),0)),"",INDIRECT(CONCATENATE("Table!",ADDRESS($BR102,MATCH(G$1,INDIRECT("Table!A" &amp; $BV102):INDIRECT("Table!" &amp; $CH$110 &amp; $BV102),0)))))/1024</f>
        <v>37.427148437500001</v>
      </c>
      <c r="H102" s="709">
        <f ca="1">IF(ISERROR(MATCH(H$1,INDIRECT("Table!A"&amp;$BV102):INDIRECT("Table!" &amp; $CH$110 &amp; $BV102),0)),"",INDIRECT(CONCATENATE("Table!",ADDRESS($BR102,MATCH(H$1,INDIRECT("Table!A" &amp; $BV102):INDIRECT("Table!" &amp; $CH$110 &amp; $BV102),0)))))/1024</f>
        <v>59.985937499999999</v>
      </c>
      <c r="I102" s="709"/>
      <c r="J102" s="709"/>
      <c r="K102" s="709"/>
      <c r="L102" s="709">
        <f ca="1">IF(ISERROR(MATCH(L$1,INDIRECT("Table!A"&amp;$BV102):INDIRECT("Table!" &amp; $CH$110 &amp; $BV102),0)),"",INDIRECT(CONCATENATE("Table!",ADDRESS($BR102,MATCH(L$1,INDIRECT("Table!A" &amp; $BV102):INDIRECT("Table!" &amp; $CH$110 &amp; $BV102),0)))))/1024</f>
        <v>148.64042968749999</v>
      </c>
      <c r="M102" s="709">
        <f ca="1">IF(ISERROR(MATCH(M$1,INDIRECT("Table!A"&amp;$BV102):INDIRECT("Table!" &amp; $CH$110 &amp; $BV102),0)),"",INDIRECT(CONCATENATE("Table!",ADDRESS($BR102,MATCH(M$1,INDIRECT("Table!A" &amp; $BV102):INDIRECT("Table!" &amp; $CH$110 &amp; $BV102),0)))))/1024</f>
        <v>48.874414062500001</v>
      </c>
      <c r="N102" s="709">
        <f ca="1">IF(ISERROR(MATCH(N$1,INDIRECT("Table!A"&amp;$BV102):INDIRECT("Table!" &amp; $CH$110 &amp; $BV102),0)),"",INDIRECT(CONCATENATE("Table!",ADDRESS($BR102,MATCH(N$1,INDIRECT("Table!A" &amp; $BV102):INDIRECT("Table!" &amp; $CH$110 &amp; $BV102),0)))))/1024</f>
        <v>39.971777343749999</v>
      </c>
      <c r="O102" s="709">
        <f ca="1">IF(ISERROR(MATCH(O$1,INDIRECT("Table!A"&amp;$BV102):INDIRECT("Table!" &amp; $CH$110 &amp; $BV102),0)),"",INDIRECT(CONCATENATE("Table!",ADDRESS($BR102,MATCH(O$1,INDIRECT("Table!A" &amp; $BV102):INDIRECT("Table!" &amp; $CH$110 &amp; $BV102),0)))))/1024</f>
        <v>120.4794921875</v>
      </c>
      <c r="P102" s="709"/>
      <c r="Q102" s="709"/>
      <c r="R102" s="709"/>
      <c r="S102" s="709">
        <v>0</v>
      </c>
      <c r="T102" s="709"/>
      <c r="U102" s="709"/>
      <c r="V102" s="905"/>
      <c r="W102" s="905"/>
      <c r="X102" s="905"/>
      <c r="Y102" s="905"/>
      <c r="Z102" s="905"/>
      <c r="AA102" s="905"/>
      <c r="AB102" s="905"/>
      <c r="AC102" s="905"/>
      <c r="AD102" s="905"/>
      <c r="AE102" s="905"/>
      <c r="AF102" s="905"/>
      <c r="AG102" s="905"/>
      <c r="AH102" s="905"/>
      <c r="AI102" s="709" t="str">
        <f ca="1">IF(ISERROR(MATCH(AI$1,INDIRECT("Table!A"&amp;$BV102):INDIRECT("Table!" &amp; $CH$110 &amp; $BV102),0)),"",INDIRECT(CONCATENATE("Table!",ADDRESS($BR102,MATCH(AI$1,INDIRECT("Table!A" &amp; $BV102):INDIRECT("Table!" &amp; $CH$110 &amp; $BV102),0)))))</f>
        <v/>
      </c>
      <c r="AJ102" s="709">
        <f ca="1">IF(ISERROR(MATCH(AJ$1,INDIRECT("Table!A"&amp;$BV102):INDIRECT("Table!" &amp; $CH$110 &amp; $BV102),0)),"",INDIRECT(CONCATENATE("Table!",ADDRESS($BZ102,MATCH(AJ$1,INDIRECT("Table!A" &amp; $BV102):INDIRECT("Table!" &amp; $CH$110 &amp; $BV102),0)))))/1024</f>
        <v>140.03144531250001</v>
      </c>
      <c r="AK102" s="709">
        <f ca="1">IF(ISERROR(MATCH(AK$1,INDIRECT("Table!A"&amp;$BV102):INDIRECT("Table!" &amp; $CH$110 &amp; $BV102),0)),"",INDIRECT(CONCATENATE("Table!",ADDRESS($BZ102,MATCH(AK$1,INDIRECT("Table!A" &amp; $BV102):INDIRECT("Table!" &amp; $CH$110 &amp; $BV102),0)))))/1024</f>
        <v>146.98808593749999</v>
      </c>
      <c r="AL102" s="709">
        <f ca="1">IF(ISERROR(MATCH(AL$1,INDIRECT("Table!A"&amp;$BV102):INDIRECT("Table!" &amp; $CH$110 &amp; $BV102),0)),"",INDIRECT(CONCATENATE("Table!",ADDRESS($BZ102,MATCH(AL$1,INDIRECT("Table!A" &amp; $BV102):INDIRECT("Table!" &amp; $CH$110 &amp; $BV102),0)))))/1024</f>
        <v>146.98808593749999</v>
      </c>
      <c r="AM102" s="709">
        <f ca="1">IF(ISERROR(MATCH(AM$1,INDIRECT("Table!A"&amp;$BV102):INDIRECT("Table!" &amp; $CH$110 &amp; $BV102),0)),"",INDIRECT(CONCATENATE("Table!",ADDRESS($BZ102,MATCH(AM$1,INDIRECT("Table!A" &amp; $BV102):INDIRECT("Table!" &amp; $CH$110 &amp; $BV102),0)))))/1024</f>
        <v>177.73222656249999</v>
      </c>
      <c r="AN102" s="709">
        <f ca="1">IF(ISERROR(MATCH(AN$1,INDIRECT("Table!A"&amp;$BV102):INDIRECT("Table!" &amp; $CH$110 &amp; $BV102),0)),"",INDIRECT(CONCATENATE("Table!",ADDRESS($BZ102,MATCH(AN$1,INDIRECT("Table!A" &amp; $BV102):INDIRECT("Table!" &amp; $CH$110 &amp; $BV102),0)))))/1024</f>
        <v>161.57470703125</v>
      </c>
      <c r="AO102" s="709">
        <f ca="1">IF(ISERROR(MATCH(AO$1,INDIRECT("Table!A"&amp;$BV102):INDIRECT("Table!" &amp; $CH$110 &amp; $BV102),0)),"",INDIRECT(CONCATENATE("Table!",ADDRESS($BZ102,MATCH(AO$1,INDIRECT("Table!A" &amp; $BV102):INDIRECT("Table!" &amp; $CH$110 &amp; $BV102),0)))))/1024</f>
        <v>129.03515625</v>
      </c>
      <c r="AP102" s="709">
        <f ca="1">IF(ISERROR(MATCH(AP$1,INDIRECT("Table!A"&amp;$BV102):INDIRECT("Table!" &amp; $CH$110 &amp; $BV102),0)),"",INDIRECT(CONCATENATE("Table!",ADDRESS($BZ102,MATCH(AP$1,INDIRECT("Table!A" &amp; $BV102):INDIRECT("Table!" &amp; $CH$110 &amp; $BV102),0)))))/1024</f>
        <v>118.4880859375</v>
      </c>
      <c r="AQ102" s="709"/>
      <c r="AR102" s="709"/>
      <c r="AS102" s="709"/>
      <c r="AT102" s="709">
        <f ca="1">IF(ISERROR(MATCH(AT$1,INDIRECT("Table!A"&amp;$BV102):INDIRECT("Table!" &amp; $CH$110 &amp; $BV102),0)),"",INDIRECT(CONCATENATE("Table!",ADDRESS($BZ102,MATCH(AT$1,INDIRECT("Table!A" &amp; $BV102):INDIRECT("Table!" &amp; $CH$110 &amp; $BV102),0)))))/1024</f>
        <v>188.5029296875</v>
      </c>
      <c r="AU102" s="709">
        <f ca="1">IF(ISERROR(MATCH(AU$1,INDIRECT("Table!A"&amp;$BV102):INDIRECT("Table!" &amp; $CH$110 &amp; $BV102),0)),"",INDIRECT(CONCATENATE("Table!",ADDRESS($BZ102,MATCH(AU$1,INDIRECT("Table!A" &amp; $BV102):INDIRECT("Table!" &amp; $CH$110 &amp; $BV102),0)))))/1024</f>
        <v>129.03535156250001</v>
      </c>
      <c r="AV102" s="709">
        <f ca="1">IF(ISERROR(MATCH(AV$1,INDIRECT("Table!A"&amp;$BV102):INDIRECT("Table!" &amp; $CH$110 &amp; $BV102),0)),"",INDIRECT(CONCATENATE("Table!",ADDRESS($BZ102,MATCH(AV$1,INDIRECT("Table!A" &amp; $BV102):INDIRECT("Table!" &amp; $CH$110 &amp; $BV102),0)))))/1024</f>
        <v>80.787402343750003</v>
      </c>
      <c r="AW102" s="709">
        <f ca="1">IF(ISERROR(MATCH(AW$1,INDIRECT("Table!A"&amp;$BV102):INDIRECT("Table!" &amp; $CH$110 &amp; $BV102),0)),"",INDIRECT(CONCATENATE("Table!",ADDRESS($BZ102,MATCH(AW$1,INDIRECT("Table!A" &amp; $BV102):INDIRECT("Table!" &amp; $CH$110 &amp; $BV102),0)))))/1024</f>
        <v>172.34638671875001</v>
      </c>
      <c r="AX102" s="709"/>
      <c r="AY102" s="709"/>
      <c r="AZ102" s="709"/>
      <c r="BA102" s="709"/>
      <c r="BB102" s="704"/>
      <c r="BC102" s="709"/>
      <c r="BD102" s="905"/>
      <c r="BE102" s="905"/>
      <c r="BF102" s="905"/>
      <c r="BG102" s="905"/>
      <c r="BH102" s="905"/>
      <c r="BI102" s="905"/>
      <c r="BJ102" s="905"/>
      <c r="BK102" s="905"/>
      <c r="BL102" s="905"/>
      <c r="BM102" s="905"/>
      <c r="BN102" s="905"/>
      <c r="BO102" s="905"/>
      <c r="BP102" s="905"/>
      <c r="BQ102" s="905"/>
      <c r="BR102" s="704">
        <f>MATCH($A102,Table!$A:$A,0)+$BT$2-1</f>
        <v>1313</v>
      </c>
      <c r="BS102" s="705"/>
      <c r="BT102" s="705"/>
      <c r="BU102" s="705"/>
      <c r="BV102" s="717">
        <f>MATCH($A102,Table!$A:$A,0)+$BX$2-1</f>
        <v>1311</v>
      </c>
      <c r="BW102" s="705"/>
      <c r="BX102" s="705"/>
      <c r="BY102" s="705"/>
      <c r="BZ102" s="704">
        <f>MATCH($A102,Table!$A:$A,0)+$CB$2-1</f>
        <v>1312</v>
      </c>
      <c r="CA102" s="705"/>
      <c r="CB102" s="705"/>
      <c r="CC102" s="705"/>
      <c r="CD102" s="717">
        <f>MATCH($A102,Table!$A:$A,0)+$BX$2-1</f>
        <v>1311</v>
      </c>
      <c r="CE102" s="705"/>
      <c r="CF102" s="705"/>
      <c r="CG102" s="705"/>
      <c r="CH102" s="711" t="s">
        <v>302</v>
      </c>
      <c r="CI102" s="712">
        <f t="shared" ca="1" si="140"/>
        <v>1591.5098632812499</v>
      </c>
      <c r="CJ102" s="712">
        <f t="shared" ca="1" si="141"/>
        <v>875.42031249999991</v>
      </c>
      <c r="CK102" s="712">
        <f t="shared" ca="1" si="137"/>
        <v>716.08955078124995</v>
      </c>
      <c r="CL102" s="718">
        <f t="shared" ca="1" si="138"/>
        <v>0.55005647950879</v>
      </c>
      <c r="CM102" s="712">
        <f ca="1">SUMIF('Alloc Feed'!A:I,A:A,'Alloc Feed'!I:I)</f>
        <v>0</v>
      </c>
      <c r="CN102" s="718">
        <f t="shared" ca="1" si="136"/>
        <v>0</v>
      </c>
    </row>
    <row r="103" spans="1:92" x14ac:dyDescent="0.25">
      <c r="A103" s="703">
        <v>41304</v>
      </c>
      <c r="B103" s="709">
        <f ca="1">IF(ISERROR(MATCH(B$1,INDIRECT("Table!A"&amp;$BV103):INDIRECT("Table!" &amp; $CH$110 &amp; $BV103),0)),"",INDIRECT(CONCATENATE("Table!",ADDRESS($BR103,MATCH(B$1,INDIRECT("Table!A" &amp; $BV103):INDIRECT("Table!" &amp; $CH$110 &amp; $BV103),0)))))/1024</f>
        <v>41.427148437500001</v>
      </c>
      <c r="C103" s="709">
        <f ca="1">IF(ISERROR(MATCH(C$1,INDIRECT("Table!A"&amp;$BV103):INDIRECT("Table!" &amp; $CH$110 &amp; $BV103),0)),"",INDIRECT(CONCATENATE("Table!",ADDRESS($BR103,MATCH(C$1,INDIRECT("Table!A" &amp; $BV103):INDIRECT("Table!" &amp; $CH$110 &amp; $BV103),0)))))/1024</f>
        <v>74.590039062499997</v>
      </c>
      <c r="D103" s="709">
        <f ca="1">IF(ISERROR(MATCH(D$1,INDIRECT("Table!A"&amp;$BV103):INDIRECT("Table!" &amp; $CH$110 &amp; $BV103),0)),"",INDIRECT(CONCATENATE("Table!",ADDRESS($BR103,MATCH(D$1,INDIRECT("Table!A" &amp; $BV103):INDIRECT("Table!" &amp; $CH$110 &amp; $BV103),0)))))/1024</f>
        <v>75.970996093750003</v>
      </c>
      <c r="E103" s="709">
        <f ca="1">IF(ISERROR(MATCH(E$1,INDIRECT("Table!A"&amp;$BV103):INDIRECT("Table!" &amp; $CH$110 &amp; $BV103),0)),"",INDIRECT(CONCATENATE("Table!",ADDRESS($BR103,MATCH(E$1,INDIRECT("Table!A" &amp; $BV103):INDIRECT("Table!" &amp; $CH$110 &amp; $BV103),0)))))/1024</f>
        <v>149.76191406250001</v>
      </c>
      <c r="F103" s="709">
        <f ca="1">IF(ISERROR(MATCH(F$1,INDIRECT("Table!A"&amp;$BV103):INDIRECT("Table!" &amp; $CH$110 &amp; $BV103),0)),"",INDIRECT(CONCATENATE("Table!",ADDRESS($BR103,MATCH(F$1,INDIRECT("Table!A" &amp; $BV103):INDIRECT("Table!" &amp; $CH$110 &amp; $BV103),0)))))/1024</f>
        <v>75.521874999999994</v>
      </c>
      <c r="G103" s="709">
        <f ca="1">IF(ISERROR(MATCH(G$1,INDIRECT("Table!A"&amp;$BV103):INDIRECT("Table!" &amp; $CH$110 &amp; $BV103),0)),"",INDIRECT(CONCATENATE("Table!",ADDRESS($BR103,MATCH(G$1,INDIRECT("Table!A" &amp; $BV103):INDIRECT("Table!" &amp; $CH$110 &amp; $BV103),0)))))/1024</f>
        <v>36.910839843749997</v>
      </c>
      <c r="H103" s="709">
        <f ca="1">IF(ISERROR(MATCH(H$1,INDIRECT("Table!A"&amp;$BV103):INDIRECT("Table!" &amp; $CH$110 &amp; $BV103),0)),"",INDIRECT(CONCATENATE("Table!",ADDRESS($BR103,MATCH(H$1,INDIRECT("Table!A" &amp; $BV103):INDIRECT("Table!" &amp; $CH$110 &amp; $BV103),0)))))/1024</f>
        <v>55.088183593750003</v>
      </c>
      <c r="I103" s="709"/>
      <c r="J103" s="709"/>
      <c r="K103" s="709"/>
      <c r="L103" s="709">
        <f ca="1">IF(ISERROR(MATCH(L$1,INDIRECT("Table!A"&amp;$BV103):INDIRECT("Table!" &amp; $CH$110 &amp; $BV103),0)),"",INDIRECT(CONCATENATE("Table!",ADDRESS($BR103,MATCH(L$1,INDIRECT("Table!A" &amp; $BV103):INDIRECT("Table!" &amp; $CH$110 &amp; $BV103),0)))))/1024</f>
        <v>148.47158203124999</v>
      </c>
      <c r="M103" s="709">
        <f ca="1">IF(ISERROR(MATCH(M$1,INDIRECT("Table!A"&amp;$BV103):INDIRECT("Table!" &amp; $CH$110 &amp; $BV103),0)),"",INDIRECT(CONCATENATE("Table!",ADDRESS($BR103,MATCH(M$1,INDIRECT("Table!A" &amp; $BV103):INDIRECT("Table!" &amp; $CH$110 &amp; $BV103),0)))))/1024</f>
        <v>46.58837890625</v>
      </c>
      <c r="N103" s="709">
        <f ca="1">IF(ISERROR(MATCH(N$1,INDIRECT("Table!A"&amp;$BV103):INDIRECT("Table!" &amp; $CH$110 &amp; $BV103),0)),"",INDIRECT(CONCATENATE("Table!",ADDRESS($BR103,MATCH(N$1,INDIRECT("Table!A" &amp; $BV103):INDIRECT("Table!" &amp; $CH$110 &amp; $BV103),0)))))/1024</f>
        <v>38.963671875000003</v>
      </c>
      <c r="O103" s="709">
        <f ca="1">IF(ISERROR(MATCH(O$1,INDIRECT("Table!A"&amp;$BV103):INDIRECT("Table!" &amp; $CH$110 &amp; $BV103),0)),"",INDIRECT(CONCATENATE("Table!",ADDRESS($BR103,MATCH(O$1,INDIRECT("Table!A" &amp; $BV103):INDIRECT("Table!" &amp; $CH$110 &amp; $BV103),0)))))/1024</f>
        <v>108.74375000000001</v>
      </c>
      <c r="P103" s="709"/>
      <c r="Q103" s="709"/>
      <c r="R103" s="709"/>
      <c r="S103" s="709">
        <v>0</v>
      </c>
      <c r="T103" s="709"/>
      <c r="U103" s="709"/>
      <c r="V103" s="905"/>
      <c r="W103" s="905"/>
      <c r="X103" s="905"/>
      <c r="Y103" s="905"/>
      <c r="Z103" s="905"/>
      <c r="AA103" s="905"/>
      <c r="AB103" s="905"/>
      <c r="AC103" s="905"/>
      <c r="AD103" s="905"/>
      <c r="AE103" s="905"/>
      <c r="AF103" s="905"/>
      <c r="AG103" s="905"/>
      <c r="AH103" s="905"/>
      <c r="AI103" s="709" t="str">
        <f ca="1">IF(ISERROR(MATCH(AI$1,INDIRECT("Table!A"&amp;$BV103):INDIRECT("Table!" &amp; $CH$110 &amp; $BV103),0)),"",INDIRECT(CONCATENATE("Table!",ADDRESS($BR103,MATCH(AI$1,INDIRECT("Table!A" &amp; $BV103):INDIRECT("Table!" &amp; $CH$110 &amp; $BV103),0)))))</f>
        <v/>
      </c>
      <c r="AJ103" s="709">
        <f ca="1">IF(ISERROR(MATCH(AJ$1,INDIRECT("Table!A"&amp;$BV103):INDIRECT("Table!" &amp; $CH$110 &amp; $BV103),0)),"",INDIRECT(CONCATENATE("Table!",ADDRESS($BZ103,MATCH(AJ$1,INDIRECT("Table!A" &amp; $BV103):INDIRECT("Table!" &amp; $CH$110 &amp; $BV103),0)))))/1024</f>
        <v>140.03144531250001</v>
      </c>
      <c r="AK103" s="709">
        <f ca="1">IF(ISERROR(MATCH(AK$1,INDIRECT("Table!A"&amp;$BV103):INDIRECT("Table!" &amp; $CH$110 &amp; $BV103),0)),"",INDIRECT(CONCATENATE("Table!",ADDRESS($BZ103,MATCH(AK$1,INDIRECT("Table!A" &amp; $BV103):INDIRECT("Table!" &amp; $CH$110 &amp; $BV103),0)))))/1024</f>
        <v>146.98808593749999</v>
      </c>
      <c r="AL103" s="709">
        <f ca="1">IF(ISERROR(MATCH(AL$1,INDIRECT("Table!A"&amp;$BV103):INDIRECT("Table!" &amp; $CH$110 &amp; $BV103),0)),"",INDIRECT(CONCATENATE("Table!",ADDRESS($BZ103,MATCH(AL$1,INDIRECT("Table!A" &amp; $BV103):INDIRECT("Table!" &amp; $CH$110 &amp; $BV103),0)))))/1024</f>
        <v>146.98808593749999</v>
      </c>
      <c r="AM103" s="709">
        <f ca="1">IF(ISERROR(MATCH(AM$1,INDIRECT("Table!A"&amp;$BV103):INDIRECT("Table!" &amp; $CH$110 &amp; $BV103),0)),"",INDIRECT(CONCATENATE("Table!",ADDRESS($BZ103,MATCH(AM$1,INDIRECT("Table!A" &amp; $BV103):INDIRECT("Table!" &amp; $CH$110 &amp; $BV103),0)))))/1024</f>
        <v>177.73222656249999</v>
      </c>
      <c r="AN103" s="709">
        <f ca="1">IF(ISERROR(MATCH(AN$1,INDIRECT("Table!A"&amp;$BV103):INDIRECT("Table!" &amp; $CH$110 &amp; $BV103),0)),"",INDIRECT(CONCATENATE("Table!",ADDRESS($BZ103,MATCH(AN$1,INDIRECT("Table!A" &amp; $BV103):INDIRECT("Table!" &amp; $CH$110 &amp; $BV103),0)))))/1024</f>
        <v>161.57470703125</v>
      </c>
      <c r="AO103" s="709">
        <f ca="1">IF(ISERROR(MATCH(AO$1,INDIRECT("Table!A"&amp;$BV103):INDIRECT("Table!" &amp; $CH$110 &amp; $BV103),0)),"",INDIRECT(CONCATENATE("Table!",ADDRESS($BZ103,MATCH(AO$1,INDIRECT("Table!A" &amp; $BV103):INDIRECT("Table!" &amp; $CH$110 &amp; $BV103),0)))))/1024</f>
        <v>129.03515625</v>
      </c>
      <c r="AP103" s="709">
        <f ca="1">IF(ISERROR(MATCH(AP$1,INDIRECT("Table!A"&amp;$BV103):INDIRECT("Table!" &amp; $CH$110 &amp; $BV103),0)),"",INDIRECT(CONCATENATE("Table!",ADDRESS($BZ103,MATCH(AP$1,INDIRECT("Table!A" &amp; $BV103):INDIRECT("Table!" &amp; $CH$110 &amp; $BV103),0)))))/1024</f>
        <v>118.4880859375</v>
      </c>
      <c r="AQ103" s="709"/>
      <c r="AR103" s="709"/>
      <c r="AS103" s="709"/>
      <c r="AT103" s="709">
        <f ca="1">IF(ISERROR(MATCH(AT$1,INDIRECT("Table!A"&amp;$BV103):INDIRECT("Table!" &amp; $CH$110 &amp; $BV103),0)),"",INDIRECT(CONCATENATE("Table!",ADDRESS($BZ103,MATCH(AT$1,INDIRECT("Table!A" &amp; $BV103):INDIRECT("Table!" &amp; $CH$110 &amp; $BV103),0)))))/1024</f>
        <v>188.5029296875</v>
      </c>
      <c r="AU103" s="709">
        <f ca="1">IF(ISERROR(MATCH(AU$1,INDIRECT("Table!A"&amp;$BV103):INDIRECT("Table!" &amp; $CH$110 &amp; $BV103),0)),"",INDIRECT(CONCATENATE("Table!",ADDRESS($BZ103,MATCH(AU$1,INDIRECT("Table!A" &amp; $BV103):INDIRECT("Table!" &amp; $CH$110 &amp; $BV103),0)))))/1024</f>
        <v>129.03535156250001</v>
      </c>
      <c r="AV103" s="709">
        <f ca="1">IF(ISERROR(MATCH(AV$1,INDIRECT("Table!A"&amp;$BV103):INDIRECT("Table!" &amp; $CH$110 &amp; $BV103),0)),"",INDIRECT(CONCATENATE("Table!",ADDRESS($BZ103,MATCH(AV$1,INDIRECT("Table!A" &amp; $BV103):INDIRECT("Table!" &amp; $CH$110 &amp; $BV103),0)))))/1024</f>
        <v>80.787402343750003</v>
      </c>
      <c r="AW103" s="709">
        <f ca="1">IF(ISERROR(MATCH(AW$1,INDIRECT("Table!A"&amp;$BV103):INDIRECT("Table!" &amp; $CH$110 &amp; $BV103),0)),"",INDIRECT(CONCATENATE("Table!",ADDRESS($BZ103,MATCH(AW$1,INDIRECT("Table!A" &amp; $BV103):INDIRECT("Table!" &amp; $CH$110 &amp; $BV103),0)))))/1024</f>
        <v>172.34638671875001</v>
      </c>
      <c r="AX103" s="709"/>
      <c r="AY103" s="709"/>
      <c r="AZ103" s="709"/>
      <c r="BA103" s="709"/>
      <c r="BB103" s="704"/>
      <c r="BC103" s="709"/>
      <c r="BD103" s="905"/>
      <c r="BE103" s="905"/>
      <c r="BF103" s="905"/>
      <c r="BG103" s="905"/>
      <c r="BH103" s="905"/>
      <c r="BI103" s="905"/>
      <c r="BJ103" s="905"/>
      <c r="BK103" s="905"/>
      <c r="BL103" s="905"/>
      <c r="BM103" s="905"/>
      <c r="BN103" s="905"/>
      <c r="BO103" s="905"/>
      <c r="BP103" s="905"/>
      <c r="BQ103" s="905"/>
      <c r="BR103" s="704">
        <f>MATCH($A103,Table!$A:$A,0)+$BT$2-1</f>
        <v>1325</v>
      </c>
      <c r="BS103" s="705"/>
      <c r="BT103" s="705"/>
      <c r="BU103" s="705"/>
      <c r="BV103" s="717">
        <f>MATCH($A103,Table!$A:$A,0)+$BX$2-1</f>
        <v>1323</v>
      </c>
      <c r="BW103" s="705"/>
      <c r="BX103" s="705"/>
      <c r="BY103" s="705"/>
      <c r="BZ103" s="704">
        <f>MATCH($A103,Table!$A:$A,0)+$CB$2-1</f>
        <v>1324</v>
      </c>
      <c r="CA103" s="705"/>
      <c r="CB103" s="705"/>
      <c r="CC103" s="705"/>
      <c r="CD103" s="717">
        <f>MATCH($A103,Table!$A:$A,0)+$BX$2-1</f>
        <v>1323</v>
      </c>
      <c r="CE103" s="705"/>
      <c r="CF103" s="705"/>
      <c r="CG103" s="705"/>
      <c r="CH103" s="711" t="s">
        <v>302</v>
      </c>
      <c r="CI103" s="712">
        <f t="shared" ca="1" si="140"/>
        <v>1591.5098632812499</v>
      </c>
      <c r="CJ103" s="712">
        <f t="shared" ca="1" si="141"/>
        <v>852.03837890625005</v>
      </c>
      <c r="CK103" s="712">
        <f t="shared" ca="1" si="137"/>
        <v>739.47148437499982</v>
      </c>
      <c r="CL103" s="718">
        <f t="shared" ca="1" si="138"/>
        <v>0.53536481209710152</v>
      </c>
      <c r="CM103" s="712">
        <f ca="1">SUMIF('Alloc Feed'!A:I,A:A,'Alloc Feed'!I:I)</f>
        <v>0</v>
      </c>
      <c r="CN103" s="718">
        <f t="shared" ca="1" si="136"/>
        <v>0</v>
      </c>
    </row>
    <row r="104" spans="1:92" x14ac:dyDescent="0.25">
      <c r="A104" s="703">
        <v>41297</v>
      </c>
      <c r="B104" s="709">
        <f ca="1">IF(ISERROR(MATCH(B$1,INDIRECT("Table!A"&amp;$BV104):INDIRECT("Table!" &amp; $CH$110 &amp; $BV104),0)),"",INDIRECT(CONCATENATE("Table!",ADDRESS($BR104,MATCH(B$1,INDIRECT("Table!A" &amp; $BV104):INDIRECT("Table!" &amp; $CH$110 &amp; $BV104),0)))))/1024</f>
        <v>41.076757812499999</v>
      </c>
      <c r="C104" s="709">
        <f ca="1">IF(ISERROR(MATCH(C$1,INDIRECT("Table!A"&amp;$BV104):INDIRECT("Table!" &amp; $CH$110 &amp; $BV104),0)),"",INDIRECT(CONCATENATE("Table!",ADDRESS($BR104,MATCH(C$1,INDIRECT("Table!A" &amp; $BV104):INDIRECT("Table!" &amp; $CH$110 &amp; $BV104),0)))))/1024</f>
        <v>74.56787109375</v>
      </c>
      <c r="D104" s="709">
        <f ca="1">IF(ISERROR(MATCH(D$1,INDIRECT("Table!A"&amp;$BV104):INDIRECT("Table!" &amp; $CH$110 &amp; $BV104),0)),"",INDIRECT(CONCATENATE("Table!",ADDRESS($BR104,MATCH(D$1,INDIRECT("Table!A" &amp; $BV104):INDIRECT("Table!" &amp; $CH$110 &amp; $BV104),0)))))/1024</f>
        <v>75.94873046875</v>
      </c>
      <c r="E104" s="709">
        <f ca="1">IF(ISERROR(MATCH(E$1,INDIRECT("Table!A"&amp;$BV104):INDIRECT("Table!" &amp; $CH$110 &amp; $BV104),0)),"",INDIRECT(CONCATENATE("Table!",ADDRESS($BR104,MATCH(E$1,INDIRECT("Table!A" &amp; $BV104):INDIRECT("Table!" &amp; $CH$110 &amp; $BV104),0)))))/1024</f>
        <v>159.10195312499999</v>
      </c>
      <c r="F104" s="709">
        <f ca="1">IF(ISERROR(MATCH(F$1,INDIRECT("Table!A"&amp;$BV104):INDIRECT("Table!" &amp; $CH$110 &amp; $BV104),0)),"",INDIRECT(CONCATENATE("Table!",ADDRESS($BR104,MATCH(F$1,INDIRECT("Table!A" &amp; $BV104):INDIRECT("Table!" &amp; $CH$110 &amp; $BV104),0)))))/1024</f>
        <v>75.369531249999994</v>
      </c>
      <c r="G104" s="709">
        <f ca="1">IF(ISERROR(MATCH(G$1,INDIRECT("Table!A"&amp;$BV104):INDIRECT("Table!" &amp; $CH$110 &amp; $BV104),0)),"",INDIRECT(CONCATENATE("Table!",ADDRESS($BR104,MATCH(G$1,INDIRECT("Table!A" &amp; $BV104):INDIRECT("Table!" &amp; $CH$110 &amp; $BV104),0)))))/1024</f>
        <v>37.582128906249999</v>
      </c>
      <c r="H104" s="709">
        <f ca="1">IF(ISERROR(MATCH(H$1,INDIRECT("Table!A"&amp;$BV104):INDIRECT("Table!" &amp; $CH$110 &amp; $BV104),0)),"",INDIRECT(CONCATENATE("Table!",ADDRESS($BR104,MATCH(H$1,INDIRECT("Table!A" &amp; $BV104):INDIRECT("Table!" &amp; $CH$110 &amp; $BV104),0)))))/1024</f>
        <v>54.588964843749999</v>
      </c>
      <c r="I104" s="709"/>
      <c r="J104" s="709"/>
      <c r="K104" s="709"/>
      <c r="L104" s="709">
        <f ca="1">IF(ISERROR(MATCH(L$1,INDIRECT("Table!A"&amp;$BV104):INDIRECT("Table!" &amp; $CH$110 &amp; $BV104),0)),"",INDIRECT(CONCATENATE("Table!",ADDRESS($BR104,MATCH(L$1,INDIRECT("Table!A" &amp; $BV104):INDIRECT("Table!" &amp; $CH$110 &amp; $BV104),0)))))/1024</f>
        <v>148.31923828124999</v>
      </c>
      <c r="M104" s="709">
        <f ca="1">IF(ISERROR(MATCH(M$1,INDIRECT("Table!A"&amp;$BV104):INDIRECT("Table!" &amp; $CH$110 &amp; $BV104),0)),"",INDIRECT(CONCATENATE("Table!",ADDRESS($BR104,MATCH(M$1,INDIRECT("Table!A" &amp; $BV104):INDIRECT("Table!" &amp; $CH$110 &amp; $BV104),0)))))/1024</f>
        <v>46.034570312500001</v>
      </c>
      <c r="N104" s="709">
        <f ca="1">IF(ISERROR(MATCH(N$1,INDIRECT("Table!A"&amp;$BV104):INDIRECT("Table!" &amp; $CH$110 &amp; $BV104),0)),"",INDIRECT(CONCATENATE("Table!",ADDRESS($BR104,MATCH(N$1,INDIRECT("Table!A" &amp; $BV104):INDIRECT("Table!" &amp; $CH$110 &amp; $BV104),0)))))/1024</f>
        <v>38.898535156249999</v>
      </c>
      <c r="O104" s="709">
        <f ca="1">IF(ISERROR(MATCH(O$1,INDIRECT("Table!A"&amp;$BV104):INDIRECT("Table!" &amp; $CH$110 &amp; $BV104),0)),"",INDIRECT(CONCATENATE("Table!",ADDRESS($BR104,MATCH(O$1,INDIRECT("Table!A" &amp; $BV104):INDIRECT("Table!" &amp; $CH$110 &amp; $BV104),0)))))/1024</f>
        <v>107.7470703125</v>
      </c>
      <c r="P104" s="709"/>
      <c r="Q104" s="709"/>
      <c r="R104" s="709"/>
      <c r="S104" s="709">
        <v>0</v>
      </c>
      <c r="T104" s="709"/>
      <c r="U104" s="709"/>
      <c r="V104" s="905"/>
      <c r="W104" s="905"/>
      <c r="X104" s="905"/>
      <c r="Y104" s="905"/>
      <c r="Z104" s="905"/>
      <c r="AA104" s="905"/>
      <c r="AB104" s="905"/>
      <c r="AC104" s="905"/>
      <c r="AD104" s="905"/>
      <c r="AE104" s="905"/>
      <c r="AF104" s="905"/>
      <c r="AG104" s="905"/>
      <c r="AH104" s="905"/>
      <c r="AI104" s="709" t="str">
        <f ca="1">IF(ISERROR(MATCH(AI$1,INDIRECT("Table!A"&amp;$BV104):INDIRECT("Table!" &amp; $CH$110 &amp; $BV104),0)),"",INDIRECT(CONCATENATE("Table!",ADDRESS($BR104,MATCH(AI$1,INDIRECT("Table!A" &amp; $BV104):INDIRECT("Table!" &amp; $CH$110 &amp; $BV104),0)))))</f>
        <v/>
      </c>
      <c r="AJ104" s="709">
        <f ca="1">IF(ISERROR(MATCH(AJ$1,INDIRECT("Table!A"&amp;$BV104):INDIRECT("Table!" &amp; $CH$110 &amp; $BV104),0)),"",INDIRECT(CONCATENATE("Table!",ADDRESS($BZ104,MATCH(AJ$1,INDIRECT("Table!A" &amp; $BV104):INDIRECT("Table!" &amp; $CH$110 &amp; $BV104),0)))))/1024</f>
        <v>140.03144531250001</v>
      </c>
      <c r="AK104" s="709">
        <f ca="1">IF(ISERROR(MATCH(AK$1,INDIRECT("Table!A"&amp;$BV104):INDIRECT("Table!" &amp; $CH$110 &amp; $BV104),0)),"",INDIRECT(CONCATENATE("Table!",ADDRESS($BZ104,MATCH(AK$1,INDIRECT("Table!A" &amp; $BV104):INDIRECT("Table!" &amp; $CH$110 &amp; $BV104),0)))))/1024</f>
        <v>146.98808593749999</v>
      </c>
      <c r="AL104" s="709">
        <f ca="1">IF(ISERROR(MATCH(AL$1,INDIRECT("Table!A"&amp;$BV104):INDIRECT("Table!" &amp; $CH$110 &amp; $BV104),0)),"",INDIRECT(CONCATENATE("Table!",ADDRESS($BZ104,MATCH(AL$1,INDIRECT("Table!A" &amp; $BV104):INDIRECT("Table!" &amp; $CH$110 &amp; $BV104),0)))))/1024</f>
        <v>146.98808593749999</v>
      </c>
      <c r="AM104" s="709">
        <f ca="1">IF(ISERROR(MATCH(AM$1,INDIRECT("Table!A"&amp;$BV104):INDIRECT("Table!" &amp; $CH$110 &amp; $BV104),0)),"",INDIRECT(CONCATENATE("Table!",ADDRESS($BZ104,MATCH(AM$1,INDIRECT("Table!A" &amp; $BV104):INDIRECT("Table!" &amp; $CH$110 &amp; $BV104),0)))))/1024</f>
        <v>177.73222656249999</v>
      </c>
      <c r="AN104" s="709">
        <f ca="1">IF(ISERROR(MATCH(AN$1,INDIRECT("Table!A"&amp;$BV104):INDIRECT("Table!" &amp; $CH$110 &amp; $BV104),0)),"",INDIRECT(CONCATENATE("Table!",ADDRESS($BZ104,MATCH(AN$1,INDIRECT("Table!A" &amp; $BV104):INDIRECT("Table!" &amp; $CH$110 &amp; $BV104),0)))))/1024</f>
        <v>161.57470703125</v>
      </c>
      <c r="AO104" s="709">
        <f ca="1">IF(ISERROR(MATCH(AO$1,INDIRECT("Table!A"&amp;$BV104):INDIRECT("Table!" &amp; $CH$110 &amp; $BV104),0)),"",INDIRECT(CONCATENATE("Table!",ADDRESS($BZ104,MATCH(AO$1,INDIRECT("Table!A" &amp; $BV104):INDIRECT("Table!" &amp; $CH$110 &amp; $BV104),0)))))/1024</f>
        <v>129.03515625</v>
      </c>
      <c r="AP104" s="709">
        <f ca="1">IF(ISERROR(MATCH(AP$1,INDIRECT("Table!A"&amp;$BV104):INDIRECT("Table!" &amp; $CH$110 &amp; $BV104),0)),"",INDIRECT(CONCATENATE("Table!",ADDRESS($BZ104,MATCH(AP$1,INDIRECT("Table!A" &amp; $BV104):INDIRECT("Table!" &amp; $CH$110 &amp; $BV104),0)))))/1024</f>
        <v>118.4880859375</v>
      </c>
      <c r="AQ104" s="709"/>
      <c r="AR104" s="709"/>
      <c r="AS104" s="709"/>
      <c r="AT104" s="709">
        <f ca="1">IF(ISERROR(MATCH(AT$1,INDIRECT("Table!A"&amp;$BV104):INDIRECT("Table!" &amp; $CH$110 &amp; $BV104),0)),"",INDIRECT(CONCATENATE("Table!",ADDRESS($BZ104,MATCH(AT$1,INDIRECT("Table!A" &amp; $BV104):INDIRECT("Table!" &amp; $CH$110 &amp; $BV104),0)))))/1024</f>
        <v>188.5029296875</v>
      </c>
      <c r="AU104" s="709">
        <f ca="1">IF(ISERROR(MATCH(AU$1,INDIRECT("Table!A"&amp;$BV104):INDIRECT("Table!" &amp; $CH$110 &amp; $BV104),0)),"",INDIRECT(CONCATENATE("Table!",ADDRESS($BZ104,MATCH(AU$1,INDIRECT("Table!A" &amp; $BV104):INDIRECT("Table!" &amp; $CH$110 &amp; $BV104),0)))))/1024</f>
        <v>129.03535156250001</v>
      </c>
      <c r="AV104" s="709">
        <f ca="1">IF(ISERROR(MATCH(AV$1,INDIRECT("Table!A"&amp;$BV104):INDIRECT("Table!" &amp; $CH$110 &amp; $BV104),0)),"",INDIRECT(CONCATENATE("Table!",ADDRESS($BZ104,MATCH(AV$1,INDIRECT("Table!A" &amp; $BV104):INDIRECT("Table!" &amp; $CH$110 &amp; $BV104),0)))))/1024</f>
        <v>80.787402343750003</v>
      </c>
      <c r="AW104" s="709">
        <f ca="1">IF(ISERROR(MATCH(AW$1,INDIRECT("Table!A"&amp;$BV104):INDIRECT("Table!" &amp; $CH$110 &amp; $BV104),0)),"",INDIRECT(CONCATENATE("Table!",ADDRESS($BZ104,MATCH(AW$1,INDIRECT("Table!A" &amp; $BV104):INDIRECT("Table!" &amp; $CH$110 &amp; $BV104),0)))))/1024</f>
        <v>172.34638671875001</v>
      </c>
      <c r="AX104" s="709"/>
      <c r="AY104" s="709"/>
      <c r="AZ104" s="709"/>
      <c r="BA104" s="709"/>
      <c r="BB104" s="704"/>
      <c r="BC104" s="709"/>
      <c r="BD104" s="905"/>
      <c r="BE104" s="905"/>
      <c r="BF104" s="905"/>
      <c r="BG104" s="905"/>
      <c r="BH104" s="905"/>
      <c r="BI104" s="905"/>
      <c r="BJ104" s="905"/>
      <c r="BK104" s="905"/>
      <c r="BL104" s="905"/>
      <c r="BM104" s="905"/>
      <c r="BN104" s="905"/>
      <c r="BO104" s="905"/>
      <c r="BP104" s="905"/>
      <c r="BQ104" s="905"/>
      <c r="BR104" s="704">
        <f>MATCH($A104,Table!$A:$A,0)+$BT$2-1</f>
        <v>1337</v>
      </c>
      <c r="BS104" s="705"/>
      <c r="BT104" s="705"/>
      <c r="BU104" s="705"/>
      <c r="BV104" s="717">
        <f>MATCH($A104,Table!$A:$A,0)+$BX$2-1</f>
        <v>1335</v>
      </c>
      <c r="BW104" s="705"/>
      <c r="BX104" s="705"/>
      <c r="BY104" s="705"/>
      <c r="BZ104" s="704">
        <f>MATCH($A104,Table!$A:$A,0)+$CB$2-1</f>
        <v>1336</v>
      </c>
      <c r="CA104" s="705"/>
      <c r="CB104" s="705"/>
      <c r="CC104" s="705"/>
      <c r="CD104" s="717">
        <f>MATCH($A104,Table!$A:$A,0)+$BX$2-1</f>
        <v>1335</v>
      </c>
      <c r="CE104" s="705"/>
      <c r="CF104" s="705"/>
      <c r="CG104" s="705"/>
      <c r="CH104" s="711" t="s">
        <v>302</v>
      </c>
      <c r="CI104" s="712">
        <f t="shared" ca="1" si="140"/>
        <v>1591.5098632812499</v>
      </c>
      <c r="CJ104" s="712">
        <f t="shared" ca="1" si="141"/>
        <v>859.2353515625</v>
      </c>
      <c r="CK104" s="712">
        <f t="shared" ca="1" si="137"/>
        <v>732.27451171874986</v>
      </c>
      <c r="CL104" s="718">
        <f t="shared" ca="1" si="138"/>
        <v>0.53988691580647585</v>
      </c>
      <c r="CM104" s="712">
        <f ca="1">SUMIF('Alloc Feed'!A:I,A:A,'Alloc Feed'!I:I)</f>
        <v>0</v>
      </c>
      <c r="CN104" s="718">
        <f t="shared" ca="1" si="136"/>
        <v>0</v>
      </c>
    </row>
    <row r="105" spans="1:92" x14ac:dyDescent="0.25">
      <c r="A105" s="703">
        <v>41296</v>
      </c>
      <c r="B105" s="709">
        <f ca="1">IF(ISERROR(MATCH(B$1,INDIRECT("Table!A"&amp;$BV105):INDIRECT("Table!" &amp; $CH$110 &amp; $BV105),0)),"",INDIRECT(CONCATENATE("Table!",ADDRESS($BR105,MATCH(B$1,INDIRECT("Table!A" &amp; $BV105):INDIRECT("Table!" &amp; $CH$110 &amp; $BV105),0)))))/1024</f>
        <v>41.658984375000003</v>
      </c>
      <c r="C105" s="709">
        <f ca="1">IF(ISERROR(MATCH(C$1,INDIRECT("Table!A"&amp;$BV105):INDIRECT("Table!" &amp; $CH$110 &amp; $BV105),0)),"",INDIRECT(CONCATENATE("Table!",ADDRESS($BR105,MATCH(C$1,INDIRECT("Table!A" &amp; $BV105):INDIRECT("Table!" &amp; $CH$110 &amp; $BV105),0)))))/1024</f>
        <v>74.542871093749994</v>
      </c>
      <c r="D105" s="709">
        <f ca="1">IF(ISERROR(MATCH(D$1,INDIRECT("Table!A"&amp;$BV105):INDIRECT("Table!" &amp; $CH$110 &amp; $BV105),0)),"",INDIRECT(CONCATENATE("Table!",ADDRESS($BR105,MATCH(D$1,INDIRECT("Table!A" &amp; $BV105):INDIRECT("Table!" &amp; $CH$110 &amp; $BV105),0)))))/1024</f>
        <v>75.923925781250006</v>
      </c>
      <c r="E105" s="709">
        <f ca="1">IF(ISERROR(MATCH(E$1,INDIRECT("Table!A"&amp;$BV105):INDIRECT("Table!" &amp; $CH$110 &amp; $BV105),0)),"",INDIRECT(CONCATENATE("Table!",ADDRESS($BR105,MATCH(E$1,INDIRECT("Table!A" &amp; $BV105):INDIRECT("Table!" &amp; $CH$110 &amp; $BV105),0)))))/1024</f>
        <v>158.89736328124999</v>
      </c>
      <c r="F105" s="709">
        <f ca="1">IF(ISERROR(MATCH(F$1,INDIRECT("Table!A"&amp;$BV105):INDIRECT("Table!" &amp; $CH$110 &amp; $BV105),0)),"",INDIRECT(CONCATENATE("Table!",ADDRESS($BR105,MATCH(F$1,INDIRECT("Table!A" &amp; $BV105):INDIRECT("Table!" &amp; $CH$110 &amp; $BV105),0)))))/1024</f>
        <v>74.704882812500003</v>
      </c>
      <c r="G105" s="709">
        <f ca="1">IF(ISERROR(MATCH(G$1,INDIRECT("Table!A"&amp;$BV105):INDIRECT("Table!" &amp; $CH$110 &amp; $BV105),0)),"",INDIRECT(CONCATENATE("Table!",ADDRESS($BR105,MATCH(G$1,INDIRECT("Table!A" &amp; $BV105):INDIRECT("Table!" &amp; $CH$110 &amp; $BV105),0)))))/1024</f>
        <v>34.120410156250003</v>
      </c>
      <c r="H105" s="709">
        <f ca="1">IF(ISERROR(MATCH(H$1,INDIRECT("Table!A"&amp;$BV105):INDIRECT("Table!" &amp; $CH$110 &amp; $BV105),0)),"",INDIRECT(CONCATENATE("Table!",ADDRESS($BR105,MATCH(H$1,INDIRECT("Table!A" &amp; $BV105):INDIRECT("Table!" &amp; $CH$110 &amp; $BV105),0)))))/1024</f>
        <v>52.8779296875</v>
      </c>
      <c r="I105" s="709"/>
      <c r="J105" s="709"/>
      <c r="K105" s="709"/>
      <c r="L105" s="709">
        <f ca="1">IF(ISERROR(MATCH(L$1,INDIRECT("Table!A"&amp;$BV105):INDIRECT("Table!" &amp; $CH$110 &amp; $BV105),0)),"",INDIRECT(CONCATENATE("Table!",ADDRESS($BR105,MATCH(L$1,INDIRECT("Table!A" &amp; $BV105):INDIRECT("Table!" &amp; $CH$110 &amp; $BV105),0)))))/1024</f>
        <v>147.76972656250001</v>
      </c>
      <c r="M105" s="709">
        <f ca="1">IF(ISERROR(MATCH(M$1,INDIRECT("Table!A"&amp;$BV105):INDIRECT("Table!" &amp; $CH$110 &amp; $BV105),0)),"",INDIRECT(CONCATENATE("Table!",ADDRESS($BR105,MATCH(M$1,INDIRECT("Table!A" &amp; $BV105):INDIRECT("Table!" &amp; $CH$110 &amp; $BV105),0)))))/1024</f>
        <v>45.696874999999999</v>
      </c>
      <c r="N105" s="709">
        <f ca="1">IF(ISERROR(MATCH(N$1,INDIRECT("Table!A"&amp;$BV105):INDIRECT("Table!" &amp; $CH$110 &amp; $BV105),0)),"",INDIRECT(CONCATENATE("Table!",ADDRESS($BR105,MATCH(N$1,INDIRECT("Table!A" &amp; $BV105):INDIRECT("Table!" &amp; $CH$110 &amp; $BV105),0)))))/1024</f>
        <v>38.544531249999999</v>
      </c>
      <c r="O105" s="709">
        <f ca="1">IF(ISERROR(MATCH(O$1,INDIRECT("Table!A"&amp;$BV105):INDIRECT("Table!" &amp; $CH$110 &amp; $BV105),0)),"",INDIRECT(CONCATENATE("Table!",ADDRESS($BR105,MATCH(O$1,INDIRECT("Table!A" &amp; $BV105):INDIRECT("Table!" &amp; $CH$110 &amp; $BV105),0)))))/1024</f>
        <v>106.3048828125</v>
      </c>
      <c r="P105" s="709"/>
      <c r="Q105" s="709"/>
      <c r="R105" s="709"/>
      <c r="S105" s="709">
        <v>0</v>
      </c>
      <c r="T105" s="709"/>
      <c r="U105" s="709"/>
      <c r="V105" s="905"/>
      <c r="W105" s="905"/>
      <c r="X105" s="905"/>
      <c r="Y105" s="905"/>
      <c r="Z105" s="905"/>
      <c r="AA105" s="905"/>
      <c r="AB105" s="905"/>
      <c r="AC105" s="905"/>
      <c r="AD105" s="905"/>
      <c r="AE105" s="905"/>
      <c r="AF105" s="905"/>
      <c r="AG105" s="905"/>
      <c r="AH105" s="905"/>
      <c r="AI105" s="709" t="str">
        <f ca="1">IF(ISERROR(MATCH(AI$1,INDIRECT("Table!A"&amp;$BV105):INDIRECT("Table!" &amp; $CH$110 &amp; $BV105),0)),"",INDIRECT(CONCATENATE("Table!",ADDRESS($BR105,MATCH(AI$1,INDIRECT("Table!A" &amp; $BV105):INDIRECT("Table!" &amp; $CH$110 &amp; $BV105),0)))))</f>
        <v/>
      </c>
      <c r="AJ105" s="709">
        <f ca="1">IF(ISERROR(MATCH(AJ$1,INDIRECT("Table!A"&amp;$BV105):INDIRECT("Table!" &amp; $CH$110 &amp; $BV105),0)),"",INDIRECT(CONCATENATE("Table!",ADDRESS($BZ105,MATCH(AJ$1,INDIRECT("Table!A" &amp; $BV105):INDIRECT("Table!" &amp; $CH$110 &amp; $BV105),0)))))/1024</f>
        <v>140.03144531250001</v>
      </c>
      <c r="AK105" s="709">
        <f ca="1">IF(ISERROR(MATCH(AK$1,INDIRECT("Table!A"&amp;$BV105):INDIRECT("Table!" &amp; $CH$110 &amp; $BV105),0)),"",INDIRECT(CONCATENATE("Table!",ADDRESS($BZ105,MATCH(AK$1,INDIRECT("Table!A" &amp; $BV105):INDIRECT("Table!" &amp; $CH$110 &amp; $BV105),0)))))/1024</f>
        <v>146.98808593749999</v>
      </c>
      <c r="AL105" s="709">
        <f ca="1">IF(ISERROR(MATCH(AL$1,INDIRECT("Table!A"&amp;$BV105):INDIRECT("Table!" &amp; $CH$110 &amp; $BV105),0)),"",INDIRECT(CONCATENATE("Table!",ADDRESS($BZ105,MATCH(AL$1,INDIRECT("Table!A" &amp; $BV105):INDIRECT("Table!" &amp; $CH$110 &amp; $BV105),0)))))/1024</f>
        <v>146.98808593749999</v>
      </c>
      <c r="AM105" s="709">
        <f ca="1">IF(ISERROR(MATCH(AM$1,INDIRECT("Table!A"&amp;$BV105):INDIRECT("Table!" &amp; $CH$110 &amp; $BV105),0)),"",INDIRECT(CONCATENATE("Table!",ADDRESS($BZ105,MATCH(AM$1,INDIRECT("Table!A" &amp; $BV105):INDIRECT("Table!" &amp; $CH$110 &amp; $BV105),0)))))/1024</f>
        <v>177.73222656249999</v>
      </c>
      <c r="AN105" s="709">
        <f ca="1">IF(ISERROR(MATCH(AN$1,INDIRECT("Table!A"&amp;$BV105):INDIRECT("Table!" &amp; $CH$110 &amp; $BV105),0)),"",INDIRECT(CONCATENATE("Table!",ADDRESS($BZ105,MATCH(AN$1,INDIRECT("Table!A" &amp; $BV105):INDIRECT("Table!" &amp; $CH$110 &amp; $BV105),0)))))/1024</f>
        <v>161.57470703125</v>
      </c>
      <c r="AO105" s="709">
        <f ca="1">IF(ISERROR(MATCH(AO$1,INDIRECT("Table!A"&amp;$BV105):INDIRECT("Table!" &amp; $CH$110 &amp; $BV105),0)),"",INDIRECT(CONCATENATE("Table!",ADDRESS($BZ105,MATCH(AO$1,INDIRECT("Table!A" &amp; $BV105):INDIRECT("Table!" &amp; $CH$110 &amp; $BV105),0)))))/1024</f>
        <v>129.03515625</v>
      </c>
      <c r="AP105" s="709">
        <f ca="1">IF(ISERROR(MATCH(AP$1,INDIRECT("Table!A"&amp;$BV105):INDIRECT("Table!" &amp; $CH$110 &amp; $BV105),0)),"",INDIRECT(CONCATENATE("Table!",ADDRESS($BZ105,MATCH(AP$1,INDIRECT("Table!A" &amp; $BV105):INDIRECT("Table!" &amp; $CH$110 &amp; $BV105),0)))))/1024</f>
        <v>118.4880859375</v>
      </c>
      <c r="AQ105" s="709"/>
      <c r="AR105" s="709"/>
      <c r="AS105" s="709"/>
      <c r="AT105" s="709">
        <f ca="1">IF(ISERROR(MATCH(AT$1,INDIRECT("Table!A"&amp;$BV105):INDIRECT("Table!" &amp; $CH$110 &amp; $BV105),0)),"",INDIRECT(CONCATENATE("Table!",ADDRESS($BZ105,MATCH(AT$1,INDIRECT("Table!A" &amp; $BV105):INDIRECT("Table!" &amp; $CH$110 &amp; $BV105),0)))))/1024</f>
        <v>188.5029296875</v>
      </c>
      <c r="AU105" s="709">
        <f ca="1">IF(ISERROR(MATCH(AU$1,INDIRECT("Table!A"&amp;$BV105):INDIRECT("Table!" &amp; $CH$110 &amp; $BV105),0)),"",INDIRECT(CONCATENATE("Table!",ADDRESS($BZ105,MATCH(AU$1,INDIRECT("Table!A" &amp; $BV105):INDIRECT("Table!" &amp; $CH$110 &amp; $BV105),0)))))/1024</f>
        <v>129.03535156250001</v>
      </c>
      <c r="AV105" s="709">
        <f ca="1">IF(ISERROR(MATCH(AV$1,INDIRECT("Table!A"&amp;$BV105):INDIRECT("Table!" &amp; $CH$110 &amp; $BV105),0)),"",INDIRECT(CONCATENATE("Table!",ADDRESS($BZ105,MATCH(AV$1,INDIRECT("Table!A" &amp; $BV105):INDIRECT("Table!" &amp; $CH$110 &amp; $BV105),0)))))/1024</f>
        <v>80.787402343750003</v>
      </c>
      <c r="AW105" s="709">
        <f ca="1">IF(ISERROR(MATCH(AW$1,INDIRECT("Table!A"&amp;$BV105):INDIRECT("Table!" &amp; $CH$110 &amp; $BV105),0)),"",INDIRECT(CONCATENATE("Table!",ADDRESS($BZ105,MATCH(AW$1,INDIRECT("Table!A" &amp; $BV105):INDIRECT("Table!" &amp; $CH$110 &amp; $BV105),0)))))/1024</f>
        <v>172.34638671875001</v>
      </c>
      <c r="AX105" s="709"/>
      <c r="AY105" s="709"/>
      <c r="AZ105" s="709"/>
      <c r="BA105" s="709"/>
      <c r="BB105" s="704"/>
      <c r="BC105" s="709"/>
      <c r="BD105" s="905"/>
      <c r="BE105" s="905"/>
      <c r="BF105" s="905"/>
      <c r="BG105" s="905"/>
      <c r="BH105" s="905"/>
      <c r="BI105" s="905"/>
      <c r="BJ105" s="905"/>
      <c r="BK105" s="905"/>
      <c r="BL105" s="905"/>
      <c r="BM105" s="905"/>
      <c r="BN105" s="905"/>
      <c r="BO105" s="905"/>
      <c r="BP105" s="905"/>
      <c r="BQ105" s="905"/>
      <c r="BR105" s="704">
        <f>MATCH($A105,Table!$A:$A,0)+$BT$2-1</f>
        <v>1349</v>
      </c>
      <c r="BS105" s="705"/>
      <c r="BT105" s="705"/>
      <c r="BU105" s="705"/>
      <c r="BV105" s="717">
        <f>MATCH($A105,Table!$A:$A,0)+$BX$2-1</f>
        <v>1347</v>
      </c>
      <c r="BW105" s="705"/>
      <c r="BX105" s="705"/>
      <c r="BY105" s="705"/>
      <c r="BZ105" s="704">
        <f>MATCH($A105,Table!$A:$A,0)+$CB$2-1</f>
        <v>1348</v>
      </c>
      <c r="CA105" s="705"/>
      <c r="CB105" s="705"/>
      <c r="CC105" s="705"/>
      <c r="CD105" s="717">
        <f>MATCH($A105,Table!$A:$A,0)+$BX$2-1</f>
        <v>1347</v>
      </c>
      <c r="CE105" s="705"/>
      <c r="CF105" s="705"/>
      <c r="CG105" s="705"/>
      <c r="CH105" s="711" t="s">
        <v>302</v>
      </c>
      <c r="CI105" s="712">
        <f t="shared" ca="1" si="140"/>
        <v>1591.5098632812499</v>
      </c>
      <c r="CJ105" s="712">
        <f t="shared" ca="1" si="141"/>
        <v>851.04238281249991</v>
      </c>
      <c r="CK105" s="712">
        <f t="shared" ca="1" si="137"/>
        <v>740.46748046874995</v>
      </c>
      <c r="CL105" s="718">
        <f t="shared" ca="1" si="138"/>
        <v>0.53473899373635525</v>
      </c>
      <c r="CM105" s="712">
        <f ca="1">SUMIF('Alloc Feed'!A:I,A:A,'Alloc Feed'!I:I)</f>
        <v>0</v>
      </c>
      <c r="CN105" s="718">
        <f t="shared" ca="1" si="136"/>
        <v>0</v>
      </c>
    </row>
    <row r="106" spans="1:92" x14ac:dyDescent="0.25">
      <c r="A106" s="703">
        <v>41292</v>
      </c>
      <c r="B106" s="709">
        <f ca="1">IF(ISERROR(MATCH(B$1,INDIRECT("Table!A"&amp;$BV106):INDIRECT("Table!" &amp; $CH$110 &amp; $BV106),0)),"",INDIRECT(CONCATENATE("Table!",ADDRESS($BR106,MATCH(B$1,INDIRECT("Table!A" &amp; $BV106):INDIRECT("Table!" &amp; $CH$110 &amp; $BV106),0)))))/1024</f>
        <v>41.570507812499997</v>
      </c>
      <c r="C106" s="709">
        <f ca="1">IF(ISERROR(MATCH(C$1,INDIRECT("Table!A"&amp;$BV106):INDIRECT("Table!" &amp; $CH$110 &amp; $BV106),0)),"",INDIRECT(CONCATENATE("Table!",ADDRESS($BR106,MATCH(C$1,INDIRECT("Table!A" &amp; $BV106):INDIRECT("Table!" &amp; $CH$110 &amp; $BV106),0)))))/1024</f>
        <v>74.41796875</v>
      </c>
      <c r="D106" s="709">
        <f ca="1">IF(ISERROR(MATCH(D$1,INDIRECT("Table!A"&amp;$BV106):INDIRECT("Table!" &amp; $CH$110 &amp; $BV106),0)),"",INDIRECT(CONCATENATE("Table!",ADDRESS($BR106,MATCH(D$1,INDIRECT("Table!A" &amp; $BV106):INDIRECT("Table!" &amp; $CH$110 &amp; $BV106),0)))))/1024</f>
        <v>75.799121093750003</v>
      </c>
      <c r="E106" s="709">
        <f ca="1">IF(ISERROR(MATCH(E$1,INDIRECT("Table!A"&amp;$BV106):INDIRECT("Table!" &amp; $CH$110 &amp; $BV106),0)),"",INDIRECT(CONCATENATE("Table!",ADDRESS($BR106,MATCH(E$1,INDIRECT("Table!A" &amp; $BV106):INDIRECT("Table!" &amp; $CH$110 &amp; $BV106),0)))))/1024</f>
        <v>158.64638671874999</v>
      </c>
      <c r="F106" s="709">
        <f ca="1">IF(ISERROR(MATCH(F$1,INDIRECT("Table!A"&amp;$BV106):INDIRECT("Table!" &amp; $CH$110 &amp; $BV106),0)),"",INDIRECT(CONCATENATE("Table!",ADDRESS($BR106,MATCH(F$1,INDIRECT("Table!A" &amp; $BV106):INDIRECT("Table!" &amp; $CH$110 &amp; $BV106),0)))))/1024</f>
        <v>74.519921874999994</v>
      </c>
      <c r="G106" s="709">
        <f ca="1">IF(ISERROR(MATCH(G$1,INDIRECT("Table!A"&amp;$BV106):INDIRECT("Table!" &amp; $CH$110 &amp; $BV106),0)),"",INDIRECT(CONCATENATE("Table!",ADDRESS($BR106,MATCH(G$1,INDIRECT("Table!A" &amp; $BV106):INDIRECT("Table!" &amp; $CH$110 &amp; $BV106),0)))))/1024</f>
        <v>32.347558593750001</v>
      </c>
      <c r="H106" s="709">
        <f ca="1">IF(ISERROR(MATCH(H$1,INDIRECT("Table!A"&amp;$BV106):INDIRECT("Table!" &amp; $CH$110 &amp; $BV106),0)),"",INDIRECT(CONCATENATE("Table!",ADDRESS($BR106,MATCH(H$1,INDIRECT("Table!A" &amp; $BV106):INDIRECT("Table!" &amp; $CH$110 &amp; $BV106),0)))))/1024</f>
        <v>52.561621093749999</v>
      </c>
      <c r="I106" s="709"/>
      <c r="J106" s="709"/>
      <c r="K106" s="709"/>
      <c r="L106" s="709">
        <f ca="1">IF(ISERROR(MATCH(L$1,INDIRECT("Table!A"&amp;$BV106):INDIRECT("Table!" &amp; $CH$110 &amp; $BV106),0)),"",INDIRECT(CONCATENATE("Table!",ADDRESS($BR106,MATCH(L$1,INDIRECT("Table!A" &amp; $BV106):INDIRECT("Table!" &amp; $CH$110 &amp; $BV106),0)))))/1024</f>
        <v>147.69912109374999</v>
      </c>
      <c r="M106" s="709">
        <f ca="1">IF(ISERROR(MATCH(M$1,INDIRECT("Table!A"&amp;$BV106):INDIRECT("Table!" &amp; $CH$110 &amp; $BV106),0)),"",INDIRECT(CONCATENATE("Table!",ADDRESS($BR106,MATCH(M$1,INDIRECT("Table!A" &amp; $BV106):INDIRECT("Table!" &amp; $CH$110 &amp; $BV106),0)))))/1024</f>
        <v>41.232031249999999</v>
      </c>
      <c r="N106" s="709">
        <f ca="1">IF(ISERROR(MATCH(N$1,INDIRECT("Table!A"&amp;$BV106):INDIRECT("Table!" &amp; $CH$110 &amp; $BV106),0)),"",INDIRECT(CONCATENATE("Table!",ADDRESS($BR106,MATCH(N$1,INDIRECT("Table!A" &amp; $BV106):INDIRECT("Table!" &amp; $CH$110 &amp; $BV106),0)))))/1024</f>
        <v>38.446972656249997</v>
      </c>
      <c r="O106" s="709">
        <f ca="1">IF(ISERROR(MATCH(O$1,INDIRECT("Table!A"&amp;$BV106):INDIRECT("Table!" &amp; $CH$110 &amp; $BV106),0)),"",INDIRECT(CONCATENATE("Table!",ADDRESS($BR106,MATCH(O$1,INDIRECT("Table!A" &amp; $BV106):INDIRECT("Table!" &amp; $CH$110 &amp; $BV106),0)))))/1024</f>
        <v>105.71621093749999</v>
      </c>
      <c r="P106" s="709"/>
      <c r="Q106" s="709"/>
      <c r="R106" s="709"/>
      <c r="S106" s="709">
        <v>0</v>
      </c>
      <c r="T106" s="709"/>
      <c r="U106" s="709"/>
      <c r="V106" s="905"/>
      <c r="W106" s="905"/>
      <c r="X106" s="905"/>
      <c r="Y106" s="905"/>
      <c r="Z106" s="905"/>
      <c r="AA106" s="905"/>
      <c r="AB106" s="905"/>
      <c r="AC106" s="905"/>
      <c r="AD106" s="905"/>
      <c r="AE106" s="905"/>
      <c r="AF106" s="905"/>
      <c r="AG106" s="905"/>
      <c r="AH106" s="905"/>
      <c r="AI106" s="709" t="str">
        <f ca="1">IF(ISERROR(MATCH(AI$1,INDIRECT("Table!A"&amp;$BV106):INDIRECT("Table!" &amp; $CH$110 &amp; $BV106),0)),"",INDIRECT(CONCATENATE("Table!",ADDRESS($BR106,MATCH(AI$1,INDIRECT("Table!A" &amp; $BV106):INDIRECT("Table!" &amp; $CH$110 &amp; $BV106),0)))))</f>
        <v/>
      </c>
      <c r="AJ106" s="709">
        <f ca="1">IF(ISERROR(MATCH(AJ$1,INDIRECT("Table!A"&amp;$BV106):INDIRECT("Table!" &amp; $CH$110 &amp; $BV106),0)),"",INDIRECT(CONCATENATE("Table!",ADDRESS($BZ106,MATCH(AJ$1,INDIRECT("Table!A" &amp; $BV106):INDIRECT("Table!" &amp; $CH$110 &amp; $BV106),0)))))/1024</f>
        <v>140.03144531250001</v>
      </c>
      <c r="AK106" s="709">
        <f ca="1">IF(ISERROR(MATCH(AK$1,INDIRECT("Table!A"&amp;$BV106):INDIRECT("Table!" &amp; $CH$110 &amp; $BV106),0)),"",INDIRECT(CONCATENATE("Table!",ADDRESS($BZ106,MATCH(AK$1,INDIRECT("Table!A" &amp; $BV106):INDIRECT("Table!" &amp; $CH$110 &amp; $BV106),0)))))/1024</f>
        <v>146.98808593749999</v>
      </c>
      <c r="AL106" s="709">
        <f ca="1">IF(ISERROR(MATCH(AL$1,INDIRECT("Table!A"&amp;$BV106):INDIRECT("Table!" &amp; $CH$110 &amp; $BV106),0)),"",INDIRECT(CONCATENATE("Table!",ADDRESS($BZ106,MATCH(AL$1,INDIRECT("Table!A" &amp; $BV106):INDIRECT("Table!" &amp; $CH$110 &amp; $BV106),0)))))/1024</f>
        <v>146.98808593749999</v>
      </c>
      <c r="AM106" s="709">
        <f ca="1">IF(ISERROR(MATCH(AM$1,INDIRECT("Table!A"&amp;$BV106):INDIRECT("Table!" &amp; $CH$110 &amp; $BV106),0)),"",INDIRECT(CONCATENATE("Table!",ADDRESS($BZ106,MATCH(AM$1,INDIRECT("Table!A" &amp; $BV106):INDIRECT("Table!" &amp; $CH$110 &amp; $BV106),0)))))/1024</f>
        <v>177.73222656249999</v>
      </c>
      <c r="AN106" s="709">
        <f ca="1">IF(ISERROR(MATCH(AN$1,INDIRECT("Table!A"&amp;$BV106):INDIRECT("Table!" &amp; $CH$110 &amp; $BV106),0)),"",INDIRECT(CONCATENATE("Table!",ADDRESS($BZ106,MATCH(AN$1,INDIRECT("Table!A" &amp; $BV106):INDIRECT("Table!" &amp; $CH$110 &amp; $BV106),0)))))/1024</f>
        <v>161.57470703125</v>
      </c>
      <c r="AO106" s="709">
        <f ca="1">IF(ISERROR(MATCH(AO$1,INDIRECT("Table!A"&amp;$BV106):INDIRECT("Table!" &amp; $CH$110 &amp; $BV106),0)),"",INDIRECT(CONCATENATE("Table!",ADDRESS($BZ106,MATCH(AO$1,INDIRECT("Table!A" &amp; $BV106):INDIRECT("Table!" &amp; $CH$110 &amp; $BV106),0)))))/1024</f>
        <v>129.03515625</v>
      </c>
      <c r="AP106" s="709">
        <f ca="1">IF(ISERROR(MATCH(AP$1,INDIRECT("Table!A"&amp;$BV106):INDIRECT("Table!" &amp; $CH$110 &amp; $BV106),0)),"",INDIRECT(CONCATENATE("Table!",ADDRESS($BZ106,MATCH(AP$1,INDIRECT("Table!A" &amp; $BV106):INDIRECT("Table!" &amp; $CH$110 &amp; $BV106),0)))))/1024</f>
        <v>118.4880859375</v>
      </c>
      <c r="AQ106" s="709"/>
      <c r="AR106" s="709"/>
      <c r="AS106" s="709"/>
      <c r="AT106" s="709">
        <f ca="1">IF(ISERROR(MATCH(AT$1,INDIRECT("Table!A"&amp;$BV106):INDIRECT("Table!" &amp; $CH$110 &amp; $BV106),0)),"",INDIRECT(CONCATENATE("Table!",ADDRESS($BZ106,MATCH(AT$1,INDIRECT("Table!A" &amp; $BV106):INDIRECT("Table!" &amp; $CH$110 &amp; $BV106),0)))))/1024</f>
        <v>188.5029296875</v>
      </c>
      <c r="AU106" s="709">
        <f ca="1">IF(ISERROR(MATCH(AU$1,INDIRECT("Table!A"&amp;$BV106):INDIRECT("Table!" &amp; $CH$110 &amp; $BV106),0)),"",INDIRECT(CONCATENATE("Table!",ADDRESS($BZ106,MATCH(AU$1,INDIRECT("Table!A" &amp; $BV106):INDIRECT("Table!" &amp; $CH$110 &amp; $BV106),0)))))/1024</f>
        <v>129.03535156250001</v>
      </c>
      <c r="AV106" s="709">
        <f ca="1">IF(ISERROR(MATCH(AV$1,INDIRECT("Table!A"&amp;$BV106):INDIRECT("Table!" &amp; $CH$110 &amp; $BV106),0)),"",INDIRECT(CONCATENATE("Table!",ADDRESS($BZ106,MATCH(AV$1,INDIRECT("Table!A" &amp; $BV106):INDIRECT("Table!" &amp; $CH$110 &amp; $BV106),0)))))/1024</f>
        <v>80.787402343750003</v>
      </c>
      <c r="AW106" s="709">
        <f ca="1">IF(ISERROR(MATCH(AW$1,INDIRECT("Table!A"&amp;$BV106):INDIRECT("Table!" &amp; $CH$110 &amp; $BV106),0)),"",INDIRECT(CONCATENATE("Table!",ADDRESS($BZ106,MATCH(AW$1,INDIRECT("Table!A" &amp; $BV106):INDIRECT("Table!" &amp; $CH$110 &amp; $BV106),0)))))/1024</f>
        <v>172.34638671875001</v>
      </c>
      <c r="AX106" s="709"/>
      <c r="AY106" s="709"/>
      <c r="AZ106" s="709"/>
      <c r="BA106" s="709"/>
      <c r="BB106" s="704"/>
      <c r="BC106" s="709"/>
      <c r="BD106" s="905"/>
      <c r="BE106" s="905"/>
      <c r="BF106" s="905"/>
      <c r="BG106" s="905"/>
      <c r="BH106" s="905"/>
      <c r="BI106" s="905"/>
      <c r="BJ106" s="905"/>
      <c r="BK106" s="905"/>
      <c r="BL106" s="905"/>
      <c r="BM106" s="905"/>
      <c r="BN106" s="905"/>
      <c r="BO106" s="905"/>
      <c r="BP106" s="905"/>
      <c r="BQ106" s="905"/>
      <c r="BR106" s="704">
        <f>MATCH($A106,Table!$A:$A,0)+$BT$2-1</f>
        <v>1361</v>
      </c>
      <c r="BS106" s="705"/>
      <c r="BT106" s="705"/>
      <c r="BU106" s="705"/>
      <c r="BV106" s="717">
        <f>MATCH($A106,Table!$A:$A,0)+$BX$2-1</f>
        <v>1359</v>
      </c>
      <c r="BW106" s="705"/>
      <c r="BX106" s="705"/>
      <c r="BY106" s="705"/>
      <c r="BZ106" s="704">
        <f>MATCH($A106,Table!$A:$A,0)+$CB$2-1</f>
        <v>1360</v>
      </c>
      <c r="CA106" s="705"/>
      <c r="CB106" s="705"/>
      <c r="CC106" s="705"/>
      <c r="CD106" s="717">
        <f>MATCH($A106,Table!$A:$A,0)+$BX$2-1</f>
        <v>1359</v>
      </c>
      <c r="CE106" s="705"/>
      <c r="CF106" s="705"/>
      <c r="CG106" s="705"/>
      <c r="CH106" s="711" t="s">
        <v>302</v>
      </c>
      <c r="CI106" s="712">
        <f t="shared" ca="1" si="140"/>
        <v>1591.5098632812499</v>
      </c>
      <c r="CJ106" s="712">
        <f t="shared" ca="1" si="141"/>
        <v>842.95742187500002</v>
      </c>
      <c r="CK106" s="712">
        <f t="shared" ca="1" si="137"/>
        <v>748.55244140624984</v>
      </c>
      <c r="CL106" s="718">
        <f t="shared" ca="1" si="138"/>
        <v>0.52965893666348807</v>
      </c>
      <c r="CM106" s="712">
        <f ca="1">SUMIF('Alloc Feed'!A:I,A:A,'Alloc Feed'!I:I)</f>
        <v>0</v>
      </c>
      <c r="CN106" s="718">
        <f t="shared" ref="CN106:CN110" ca="1" si="142">CM106/CI106</f>
        <v>0</v>
      </c>
    </row>
    <row r="107" spans="1:92" x14ac:dyDescent="0.25">
      <c r="A107" s="703">
        <v>41289</v>
      </c>
      <c r="B107" s="709">
        <f ca="1">IF(ISERROR(MATCH(B$1,INDIRECT("Table!A"&amp;$BV107):INDIRECT("Table!" &amp; $CH$110 &amp; $BV107),0)),"",INDIRECT(CONCATENATE("Table!",ADDRESS($BR107,MATCH(B$1,INDIRECT("Table!A" &amp; $BV107):INDIRECT("Table!" &amp; $CH$110 &amp; $BV107),0)))))/1024</f>
        <v>42.352148437499999</v>
      </c>
      <c r="C107" s="709">
        <f ca="1">IF(ISERROR(MATCH(C$1,INDIRECT("Table!A"&amp;$BV107):INDIRECT("Table!" &amp; $CH$110 &amp; $BV107),0)),"",INDIRECT(CONCATENATE("Table!",ADDRESS($BR107,MATCH(C$1,INDIRECT("Table!A" &amp; $BV107):INDIRECT("Table!" &amp; $CH$110 &amp; $BV107),0)))))/1024</f>
        <v>74.395117187500006</v>
      </c>
      <c r="D107" s="709">
        <f ca="1">IF(ISERROR(MATCH(D$1,INDIRECT("Table!A"&amp;$BV107):INDIRECT("Table!" &amp; $CH$110 &amp; $BV107),0)),"",INDIRECT(CONCATENATE("Table!",ADDRESS($BR107,MATCH(D$1,INDIRECT("Table!A" &amp; $BV107):INDIRECT("Table!" &amp; $CH$110 &amp; $BV107),0)))))/1024</f>
        <v>75.776269531249994</v>
      </c>
      <c r="E107" s="709">
        <f ca="1">IF(ISERROR(MATCH(E$1,INDIRECT("Table!A"&amp;$BV107):INDIRECT("Table!" &amp; $CH$110 &amp; $BV107),0)),"",INDIRECT(CONCATENATE("Table!",ADDRESS($BR107,MATCH(E$1,INDIRECT("Table!A" &amp; $BV107):INDIRECT("Table!" &amp; $CH$110 &amp; $BV107),0)))))/1024</f>
        <v>158.54062500000001</v>
      </c>
      <c r="F107" s="709">
        <f ca="1">IF(ISERROR(MATCH(F$1,INDIRECT("Table!A"&amp;$BV107):INDIRECT("Table!" &amp; $CH$110 &amp; $BV107),0)),"",INDIRECT(CONCATENATE("Table!",ADDRESS($BR107,MATCH(F$1,INDIRECT("Table!A" &amp; $BV107):INDIRECT("Table!" &amp; $CH$110 &amp; $BV107),0)))))/1024</f>
        <v>73.849707031250006</v>
      </c>
      <c r="G107" s="709">
        <f ca="1">IF(ISERROR(MATCH(G$1,INDIRECT("Table!A"&amp;$BV107):INDIRECT("Table!" &amp; $CH$110 &amp; $BV107),0)),"",INDIRECT(CONCATENATE("Table!",ADDRESS($BR107,MATCH(G$1,INDIRECT("Table!A" &amp; $BV107):INDIRECT("Table!" &amp; $CH$110 &amp; $BV107),0)))))/1024</f>
        <v>33.705273437499997</v>
      </c>
      <c r="H107" s="709">
        <f ca="1">IF(ISERROR(MATCH(H$1,INDIRECT("Table!A"&amp;$BV107):INDIRECT("Table!" &amp; $CH$110 &amp; $BV107),0)),"",INDIRECT(CONCATENATE("Table!",ADDRESS($BR107,MATCH(H$1,INDIRECT("Table!A" &amp; $BV107):INDIRECT("Table!" &amp; $CH$110 &amp; $BV107),0)))))/1024</f>
        <v>52.436816406250003</v>
      </c>
      <c r="I107" s="709"/>
      <c r="J107" s="709"/>
      <c r="K107" s="709"/>
      <c r="L107" s="709">
        <f ca="1">IF(ISERROR(MATCH(L$1,INDIRECT("Table!A"&amp;$BV107):INDIRECT("Table!" &amp; $CH$110 &amp; $BV107),0)),"",INDIRECT(CONCATENATE("Table!",ADDRESS($BR107,MATCH(L$1,INDIRECT("Table!A" &amp; $BV107):INDIRECT("Table!" &amp; $CH$110 &amp; $BV107),0)))))/1024</f>
        <v>147.35781249999999</v>
      </c>
      <c r="M107" s="709">
        <f ca="1">IF(ISERROR(MATCH(M$1,INDIRECT("Table!A"&amp;$BV107):INDIRECT("Table!" &amp; $CH$110 &amp; $BV107),0)),"",INDIRECT(CONCATENATE("Table!",ADDRESS($BR107,MATCH(M$1,INDIRECT("Table!A" &amp; $BV107):INDIRECT("Table!" &amp; $CH$110 &amp; $BV107),0)))))/1024</f>
        <v>40.573632812500001</v>
      </c>
      <c r="N107" s="709">
        <f ca="1">IF(ISERROR(MATCH(N$1,INDIRECT("Table!A"&amp;$BV107):INDIRECT("Table!" &amp; $CH$110 &amp; $BV107),0)),"",INDIRECT(CONCATENATE("Table!",ADDRESS($BR107,MATCH(N$1,INDIRECT("Table!A" &amp; $BV107):INDIRECT("Table!" &amp; $CH$110 &amp; $BV107),0)))))/1024</f>
        <v>38.103417968750001</v>
      </c>
      <c r="O107" s="709">
        <f ca="1">IF(ISERROR(MATCH(O$1,INDIRECT("Table!A"&amp;$BV107):INDIRECT("Table!" &amp; $CH$110 &amp; $BV107),0)),"",INDIRECT(CONCATENATE("Table!",ADDRESS($BR107,MATCH(O$1,INDIRECT("Table!A" &amp; $BV107):INDIRECT("Table!" &amp; $CH$110 &amp; $BV107),0)))))/1024</f>
        <v>105.47080078125001</v>
      </c>
      <c r="P107" s="709"/>
      <c r="Q107" s="709"/>
      <c r="R107" s="709"/>
      <c r="S107" s="709">
        <v>0</v>
      </c>
      <c r="T107" s="709"/>
      <c r="U107" s="709"/>
      <c r="V107" s="905"/>
      <c r="W107" s="905"/>
      <c r="X107" s="905"/>
      <c r="Y107" s="905"/>
      <c r="Z107" s="905"/>
      <c r="AA107" s="905"/>
      <c r="AB107" s="905"/>
      <c r="AC107" s="905"/>
      <c r="AD107" s="905"/>
      <c r="AE107" s="905"/>
      <c r="AF107" s="905"/>
      <c r="AG107" s="905"/>
      <c r="AH107" s="905"/>
      <c r="AI107" s="709" t="str">
        <f ca="1">IF(ISERROR(MATCH(AI$1,INDIRECT("Table!A"&amp;$BV107):INDIRECT("Table!" &amp; $CH$110 &amp; $BV107),0)),"",INDIRECT(CONCATENATE("Table!",ADDRESS($BR107,MATCH(AI$1,INDIRECT("Table!A" &amp; $BV107):INDIRECT("Table!" &amp; $CH$110 &amp; $BV107),0)))))</f>
        <v/>
      </c>
      <c r="AJ107" s="709">
        <f ca="1">IF(ISERROR(MATCH(AJ$1,INDIRECT("Table!A"&amp;$BV107):INDIRECT("Table!" &amp; $CH$110 &amp; $BV107),0)),"",INDIRECT(CONCATENATE("Table!",ADDRESS($BZ107,MATCH(AJ$1,INDIRECT("Table!A" &amp; $BV107):INDIRECT("Table!" &amp; $CH$110 &amp; $BV107),0)))))/1024</f>
        <v>140.03144531250001</v>
      </c>
      <c r="AK107" s="709">
        <f ca="1">IF(ISERROR(MATCH(AK$1,INDIRECT("Table!A"&amp;$BV107):INDIRECT("Table!" &amp; $CH$110 &amp; $BV107),0)),"",INDIRECT(CONCATENATE("Table!",ADDRESS($BZ107,MATCH(AK$1,INDIRECT("Table!A" &amp; $BV107):INDIRECT("Table!" &amp; $CH$110 &amp; $BV107),0)))))/1024</f>
        <v>146.98808593749999</v>
      </c>
      <c r="AL107" s="709">
        <f ca="1">IF(ISERROR(MATCH(AL$1,INDIRECT("Table!A"&amp;$BV107):INDIRECT("Table!" &amp; $CH$110 &amp; $BV107),0)),"",INDIRECT(CONCATENATE("Table!",ADDRESS($BZ107,MATCH(AL$1,INDIRECT("Table!A" &amp; $BV107):INDIRECT("Table!" &amp; $CH$110 &amp; $BV107),0)))))/1024</f>
        <v>146.98808593749999</v>
      </c>
      <c r="AM107" s="709">
        <f ca="1">IF(ISERROR(MATCH(AM$1,INDIRECT("Table!A"&amp;$BV107):INDIRECT("Table!" &amp; $CH$110 &amp; $BV107),0)),"",INDIRECT(CONCATENATE("Table!",ADDRESS($BZ107,MATCH(AM$1,INDIRECT("Table!A" &amp; $BV107):INDIRECT("Table!" &amp; $CH$110 &amp; $BV107),0)))))/1024</f>
        <v>177.73222656249999</v>
      </c>
      <c r="AN107" s="709">
        <f ca="1">IF(ISERROR(MATCH(AN$1,INDIRECT("Table!A"&amp;$BV107):INDIRECT("Table!" &amp; $CH$110 &amp; $BV107),0)),"",INDIRECT(CONCATENATE("Table!",ADDRESS($BZ107,MATCH(AN$1,INDIRECT("Table!A" &amp; $BV107):INDIRECT("Table!" &amp; $CH$110 &amp; $BV107),0)))))/1024</f>
        <v>161.57470703125</v>
      </c>
      <c r="AO107" s="709">
        <f ca="1">IF(ISERROR(MATCH(AO$1,INDIRECT("Table!A"&amp;$BV107):INDIRECT("Table!" &amp; $CH$110 &amp; $BV107),0)),"",INDIRECT(CONCATENATE("Table!",ADDRESS($BZ107,MATCH(AO$1,INDIRECT("Table!A" &amp; $BV107):INDIRECT("Table!" &amp; $CH$110 &amp; $BV107),0)))))/1024</f>
        <v>129.03515625</v>
      </c>
      <c r="AP107" s="709">
        <f ca="1">IF(ISERROR(MATCH(AP$1,INDIRECT("Table!A"&amp;$BV107):INDIRECT("Table!" &amp; $CH$110 &amp; $BV107),0)),"",INDIRECT(CONCATENATE("Table!",ADDRESS($BZ107,MATCH(AP$1,INDIRECT("Table!A" &amp; $BV107):INDIRECT("Table!" &amp; $CH$110 &amp; $BV107),0)))))/1024</f>
        <v>118.4880859375</v>
      </c>
      <c r="AQ107" s="709"/>
      <c r="AR107" s="709"/>
      <c r="AS107" s="709"/>
      <c r="AT107" s="709">
        <f ca="1">IF(ISERROR(MATCH(AT$1,INDIRECT("Table!A"&amp;$BV107):INDIRECT("Table!" &amp; $CH$110 &amp; $BV107),0)),"",INDIRECT(CONCATENATE("Table!",ADDRESS($BZ107,MATCH(AT$1,INDIRECT("Table!A" &amp; $BV107):INDIRECT("Table!" &amp; $CH$110 &amp; $BV107),0)))))/1024</f>
        <v>188.5029296875</v>
      </c>
      <c r="AU107" s="709">
        <f ca="1">IF(ISERROR(MATCH(AU$1,INDIRECT("Table!A"&amp;$BV107):INDIRECT("Table!" &amp; $CH$110 &amp; $BV107),0)),"",INDIRECT(CONCATENATE("Table!",ADDRESS($BZ107,MATCH(AU$1,INDIRECT("Table!A" &amp; $BV107):INDIRECT("Table!" &amp; $CH$110 &amp; $BV107),0)))))/1024</f>
        <v>129.03535156250001</v>
      </c>
      <c r="AV107" s="709">
        <f ca="1">IF(ISERROR(MATCH(AV$1,INDIRECT("Table!A"&amp;$BV107):INDIRECT("Table!" &amp; $CH$110 &amp; $BV107),0)),"",INDIRECT(CONCATENATE("Table!",ADDRESS($BZ107,MATCH(AV$1,INDIRECT("Table!A" &amp; $BV107):INDIRECT("Table!" &amp; $CH$110 &amp; $BV107),0)))))/1024</f>
        <v>80.787402343750003</v>
      </c>
      <c r="AW107" s="709">
        <f ca="1">IF(ISERROR(MATCH(AW$1,INDIRECT("Table!A"&amp;$BV107):INDIRECT("Table!" &amp; $CH$110 &amp; $BV107),0)),"",INDIRECT(CONCATENATE("Table!",ADDRESS($BZ107,MATCH(AW$1,INDIRECT("Table!A" &amp; $BV107):INDIRECT("Table!" &amp; $CH$110 &amp; $BV107),0)))))/1024</f>
        <v>172.34638671875001</v>
      </c>
      <c r="AX107" s="709"/>
      <c r="AY107" s="709"/>
      <c r="AZ107" s="709"/>
      <c r="BA107" s="709"/>
      <c r="BB107" s="704"/>
      <c r="BC107" s="709"/>
      <c r="BD107" s="905"/>
      <c r="BE107" s="905"/>
      <c r="BF107" s="905"/>
      <c r="BG107" s="905"/>
      <c r="BH107" s="905"/>
      <c r="BI107" s="905"/>
      <c r="BJ107" s="905"/>
      <c r="BK107" s="905"/>
      <c r="BL107" s="905"/>
      <c r="BM107" s="905"/>
      <c r="BN107" s="905"/>
      <c r="BO107" s="905"/>
      <c r="BP107" s="905"/>
      <c r="BQ107" s="905"/>
      <c r="BR107" s="704">
        <f>MATCH($A107,Table!$A:$A,0)+$BT$2-1</f>
        <v>1373</v>
      </c>
      <c r="BS107" s="705"/>
      <c r="BT107" s="705"/>
      <c r="BU107" s="705"/>
      <c r="BV107" s="717">
        <f>MATCH($A107,Table!$A:$A,0)+$BX$2-1</f>
        <v>1371</v>
      </c>
      <c r="BW107" s="705"/>
      <c r="BX107" s="705"/>
      <c r="BY107" s="705"/>
      <c r="BZ107" s="704">
        <f>MATCH($A107,Table!$A:$A,0)+$CB$2-1</f>
        <v>1372</v>
      </c>
      <c r="CA107" s="705"/>
      <c r="CB107" s="705"/>
      <c r="CC107" s="705"/>
      <c r="CD107" s="717">
        <f>MATCH($A107,Table!$A:$A,0)+$BX$2-1</f>
        <v>1371</v>
      </c>
      <c r="CE107" s="705"/>
      <c r="CF107" s="705"/>
      <c r="CG107" s="705"/>
      <c r="CH107" s="711" t="s">
        <v>302</v>
      </c>
      <c r="CI107" s="712">
        <f t="shared" ca="1" si="140"/>
        <v>1591.5098632812499</v>
      </c>
      <c r="CJ107" s="712">
        <f t="shared" ca="1" si="141"/>
        <v>842.56162109375009</v>
      </c>
      <c r="CK107" s="712">
        <f t="shared" ref="CK107:CK110" ca="1" si="143">CI107-CJ107</f>
        <v>748.94824218749977</v>
      </c>
      <c r="CL107" s="718">
        <f t="shared" ref="CL107:CL110" ca="1" si="144">CJ107/CI107</f>
        <v>0.52941024151532612</v>
      </c>
      <c r="CM107" s="712">
        <f ca="1">SUMIF('Alloc Feed'!A:I,A:A,'Alloc Feed'!I:I)</f>
        <v>0</v>
      </c>
      <c r="CN107" s="718">
        <f t="shared" ca="1" si="142"/>
        <v>0</v>
      </c>
    </row>
    <row r="108" spans="1:92" x14ac:dyDescent="0.25">
      <c r="A108" s="703">
        <v>41285</v>
      </c>
      <c r="B108" s="709">
        <f ca="1">IF(ISERROR(MATCH(B$1,INDIRECT("Table!A"&amp;$BV108):INDIRECT("Table!" &amp; $CH$110 &amp; $BV108),0)),"",INDIRECT(CONCATENATE("Table!",ADDRESS($BR108,MATCH(B$1,INDIRECT("Table!A" &amp; $BV108):INDIRECT("Table!" &amp; $CH$110 &amp; $BV108),0)))))/1024</f>
        <v>41.707226562499997</v>
      </c>
      <c r="C108" s="709">
        <f ca="1">IF(ISERROR(MATCH(C$1,INDIRECT("Table!A"&amp;$BV108):INDIRECT("Table!" &amp; $CH$110 &amp; $BV108),0)),"",INDIRECT(CONCATENATE("Table!",ADDRESS($BR108,MATCH(C$1,INDIRECT("Table!A" &amp; $BV108):INDIRECT("Table!" &amp; $CH$110 &amp; $BV108),0)))))/1024</f>
        <v>74.3466796875</v>
      </c>
      <c r="D108" s="709">
        <f ca="1">IF(ISERROR(MATCH(D$1,INDIRECT("Table!A"&amp;$BV108):INDIRECT("Table!" &amp; $CH$110 &amp; $BV108),0)),"",INDIRECT(CONCATENATE("Table!",ADDRESS($BR108,MATCH(D$1,INDIRECT("Table!A" &amp; $BV108):INDIRECT("Table!" &amp; $CH$110 &amp; $BV108),0)))))/1024</f>
        <v>75.727832031250003</v>
      </c>
      <c r="E108" s="709">
        <f ca="1">IF(ISERROR(MATCH(E$1,INDIRECT("Table!A"&amp;$BV108):INDIRECT("Table!" &amp; $CH$110 &amp; $BV108),0)),"",INDIRECT(CONCATENATE("Table!",ADDRESS($BR108,MATCH(E$1,INDIRECT("Table!A" &amp; $BV108):INDIRECT("Table!" &amp; $CH$110 &amp; $BV108),0)))))/1024</f>
        <v>158.11093750000001</v>
      </c>
      <c r="F108" s="709">
        <f ca="1">IF(ISERROR(MATCH(F$1,INDIRECT("Table!A"&amp;$BV108):INDIRECT("Table!" &amp; $CH$110 &amp; $BV108),0)),"",INDIRECT(CONCATENATE("Table!",ADDRESS($BR108,MATCH(F$1,INDIRECT("Table!A" &amp; $BV108):INDIRECT("Table!" &amp; $CH$110 &amp; $BV108),0)))))/1024</f>
        <v>73.48291015625</v>
      </c>
      <c r="G108" s="709">
        <f ca="1">IF(ISERROR(MATCH(G$1,INDIRECT("Table!A"&amp;$BV108):INDIRECT("Table!" &amp; $CH$110 &amp; $BV108),0)),"",INDIRECT(CONCATENATE("Table!",ADDRESS($BR108,MATCH(G$1,INDIRECT("Table!A" &amp; $BV108):INDIRECT("Table!" &amp; $CH$110 &amp; $BV108),0)))))/1024</f>
        <v>31.025390625</v>
      </c>
      <c r="H108" s="709">
        <f ca="1">IF(ISERROR(MATCH(H$1,INDIRECT("Table!A"&amp;$BV108):INDIRECT("Table!" &amp; $CH$110 &amp; $BV108),0)),"",INDIRECT(CONCATENATE("Table!",ADDRESS($BR108,MATCH(H$1,INDIRECT("Table!A" &amp; $BV108):INDIRECT("Table!" &amp; $CH$110 &amp; $BV108),0)))))/1024</f>
        <v>52.34619140625</v>
      </c>
      <c r="I108" s="709"/>
      <c r="J108" s="709"/>
      <c r="K108" s="709"/>
      <c r="L108" s="709">
        <f ca="1">IF(ISERROR(MATCH(L$1,INDIRECT("Table!A"&amp;$BV108):INDIRECT("Table!" &amp; $CH$110 &amp; $BV108),0)),"",INDIRECT(CONCATENATE("Table!",ADDRESS($BR108,MATCH(L$1,INDIRECT("Table!A" &amp; $BV108):INDIRECT("Table!" &amp; $CH$110 &amp; $BV108),0)))))/1024</f>
        <v>147.24941406249999</v>
      </c>
      <c r="M108" s="709">
        <f ca="1">IF(ISERROR(MATCH(M$1,INDIRECT("Table!A"&amp;$BV108):INDIRECT("Table!" &amp; $CH$110 &amp; $BV108),0)),"",INDIRECT(CONCATENATE("Table!",ADDRESS($BR108,MATCH(M$1,INDIRECT("Table!A" &amp; $BV108):INDIRECT("Table!" &amp; $CH$110 &amp; $BV108),0)))))/1024</f>
        <v>40.164453125000001</v>
      </c>
      <c r="N108" s="709">
        <f ca="1">IF(ISERROR(MATCH(N$1,INDIRECT("Table!A"&amp;$BV108):INDIRECT("Table!" &amp; $CH$110 &amp; $BV108),0)),"",INDIRECT(CONCATENATE("Table!",ADDRESS($BR108,MATCH(N$1,INDIRECT("Table!A" &amp; $BV108):INDIRECT("Table!" &amp; $CH$110 &amp; $BV108),0)))))/1024</f>
        <v>37.911425781250003</v>
      </c>
      <c r="O108" s="709">
        <f ca="1">IF(ISERROR(MATCH(O$1,INDIRECT("Table!A"&amp;$BV108):INDIRECT("Table!" &amp; $CH$110 &amp; $BV108),0)),"",INDIRECT(CONCATENATE("Table!",ADDRESS($BR108,MATCH(O$1,INDIRECT("Table!A" &amp; $BV108):INDIRECT("Table!" &amp; $CH$110 &amp; $BV108),0)))))/1024</f>
        <v>105.29482421874999</v>
      </c>
      <c r="P108" s="709"/>
      <c r="Q108" s="709"/>
      <c r="R108" s="709"/>
      <c r="S108" s="709">
        <v>0</v>
      </c>
      <c r="T108" s="709"/>
      <c r="U108" s="709"/>
      <c r="V108" s="905"/>
      <c r="W108" s="905"/>
      <c r="X108" s="905"/>
      <c r="Y108" s="905"/>
      <c r="Z108" s="905"/>
      <c r="AA108" s="905"/>
      <c r="AB108" s="905"/>
      <c r="AC108" s="905"/>
      <c r="AD108" s="905"/>
      <c r="AE108" s="905"/>
      <c r="AF108" s="905"/>
      <c r="AG108" s="905"/>
      <c r="AH108" s="905"/>
      <c r="AI108" s="709" t="str">
        <f ca="1">IF(ISERROR(MATCH(AI$1,INDIRECT("Table!A"&amp;$BV108):INDIRECT("Table!" &amp; $CH$110 &amp; $BV108),0)),"",INDIRECT(CONCATENATE("Table!",ADDRESS($BR108,MATCH(AI$1,INDIRECT("Table!A" &amp; $BV108):INDIRECT("Table!" &amp; $CH$110 &amp; $BV108),0)))))</f>
        <v/>
      </c>
      <c r="AJ108" s="709">
        <f ca="1">IF(ISERROR(MATCH(AJ$1,INDIRECT("Table!A"&amp;$BV108):INDIRECT("Table!" &amp; $CH$110 &amp; $BV108),0)),"",INDIRECT(CONCATENATE("Table!",ADDRESS($BZ108,MATCH(AJ$1,INDIRECT("Table!A" &amp; $BV108):INDIRECT("Table!" &amp; $CH$110 &amp; $BV108),0)))))/1024</f>
        <v>140.03144531250001</v>
      </c>
      <c r="AK108" s="709">
        <f ca="1">IF(ISERROR(MATCH(AK$1,INDIRECT("Table!A"&amp;$BV108):INDIRECT("Table!" &amp; $CH$110 &amp; $BV108),0)),"",INDIRECT(CONCATENATE("Table!",ADDRESS($BZ108,MATCH(AK$1,INDIRECT("Table!A" &amp; $BV108):INDIRECT("Table!" &amp; $CH$110 &amp; $BV108),0)))))/1024</f>
        <v>146.98808593749999</v>
      </c>
      <c r="AL108" s="709">
        <f ca="1">IF(ISERROR(MATCH(AL$1,INDIRECT("Table!A"&amp;$BV108):INDIRECT("Table!" &amp; $CH$110 &amp; $BV108),0)),"",INDIRECT(CONCATENATE("Table!",ADDRESS($BZ108,MATCH(AL$1,INDIRECT("Table!A" &amp; $BV108):INDIRECT("Table!" &amp; $CH$110 &amp; $BV108),0)))))/1024</f>
        <v>146.98808593749999</v>
      </c>
      <c r="AM108" s="709">
        <f ca="1">IF(ISERROR(MATCH(AM$1,INDIRECT("Table!A"&amp;$BV108):INDIRECT("Table!" &amp; $CH$110 &amp; $BV108),0)),"",INDIRECT(CONCATENATE("Table!",ADDRESS($BZ108,MATCH(AM$1,INDIRECT("Table!A" &amp; $BV108):INDIRECT("Table!" &amp; $CH$110 &amp; $BV108),0)))))/1024</f>
        <v>177.73222656249999</v>
      </c>
      <c r="AN108" s="709">
        <f ca="1">IF(ISERROR(MATCH(AN$1,INDIRECT("Table!A"&amp;$BV108):INDIRECT("Table!" &amp; $CH$110 &amp; $BV108),0)),"",INDIRECT(CONCATENATE("Table!",ADDRESS($BZ108,MATCH(AN$1,INDIRECT("Table!A" &amp; $BV108):INDIRECT("Table!" &amp; $CH$110 &amp; $BV108),0)))))/1024</f>
        <v>161.57470703125</v>
      </c>
      <c r="AO108" s="709">
        <f ca="1">IF(ISERROR(MATCH(AO$1,INDIRECT("Table!A"&amp;$BV108):INDIRECT("Table!" &amp; $CH$110 &amp; $BV108),0)),"",INDIRECT(CONCATENATE("Table!",ADDRESS($BZ108,MATCH(AO$1,INDIRECT("Table!A" &amp; $BV108):INDIRECT("Table!" &amp; $CH$110 &amp; $BV108),0)))))/1024</f>
        <v>129.03515625</v>
      </c>
      <c r="AP108" s="709">
        <f ca="1">IF(ISERROR(MATCH(AP$1,INDIRECT("Table!A"&amp;$BV108):INDIRECT("Table!" &amp; $CH$110 &amp; $BV108),0)),"",INDIRECT(CONCATENATE("Table!",ADDRESS($BZ108,MATCH(AP$1,INDIRECT("Table!A" &amp; $BV108):INDIRECT("Table!" &amp; $CH$110 &amp; $BV108),0)))))/1024</f>
        <v>118.4880859375</v>
      </c>
      <c r="AQ108" s="709"/>
      <c r="AR108" s="709"/>
      <c r="AS108" s="709"/>
      <c r="AT108" s="709">
        <f ca="1">IF(ISERROR(MATCH(AT$1,INDIRECT("Table!A"&amp;$BV108):INDIRECT("Table!" &amp; $CH$110 &amp; $BV108),0)),"",INDIRECT(CONCATENATE("Table!",ADDRESS($BZ108,MATCH(AT$1,INDIRECT("Table!A" &amp; $BV108):INDIRECT("Table!" &amp; $CH$110 &amp; $BV108),0)))))/1024</f>
        <v>188.5029296875</v>
      </c>
      <c r="AU108" s="709">
        <f ca="1">IF(ISERROR(MATCH(AU$1,INDIRECT("Table!A"&amp;$BV108):INDIRECT("Table!" &amp; $CH$110 &amp; $BV108),0)),"",INDIRECT(CONCATENATE("Table!",ADDRESS($BZ108,MATCH(AU$1,INDIRECT("Table!A" &amp; $BV108):INDIRECT("Table!" &amp; $CH$110 &amp; $BV108),0)))))/1024</f>
        <v>129.03535156250001</v>
      </c>
      <c r="AV108" s="709">
        <f ca="1">IF(ISERROR(MATCH(AV$1,INDIRECT("Table!A"&amp;$BV108):INDIRECT("Table!" &amp; $CH$110 &amp; $BV108),0)),"",INDIRECT(CONCATENATE("Table!",ADDRESS($BZ108,MATCH(AV$1,INDIRECT("Table!A" &amp; $BV108):INDIRECT("Table!" &amp; $CH$110 &amp; $BV108),0)))))/1024</f>
        <v>80.787402343750003</v>
      </c>
      <c r="AW108" s="709">
        <f ca="1">IF(ISERROR(MATCH(AW$1,INDIRECT("Table!A"&amp;$BV108):INDIRECT("Table!" &amp; $CH$110 &amp; $BV108),0)),"",INDIRECT(CONCATENATE("Table!",ADDRESS($BZ108,MATCH(AW$1,INDIRECT("Table!A" &amp; $BV108):INDIRECT("Table!" &amp; $CH$110 &amp; $BV108),0)))))/1024</f>
        <v>172.34638671875001</v>
      </c>
      <c r="AX108" s="709"/>
      <c r="AY108" s="709"/>
      <c r="AZ108" s="709"/>
      <c r="BA108" s="709"/>
      <c r="BB108" s="704"/>
      <c r="BC108" s="709"/>
      <c r="BD108" s="905"/>
      <c r="BE108" s="905"/>
      <c r="BF108" s="905"/>
      <c r="BG108" s="905"/>
      <c r="BH108" s="905"/>
      <c r="BI108" s="905"/>
      <c r="BJ108" s="905"/>
      <c r="BK108" s="905"/>
      <c r="BL108" s="905"/>
      <c r="BM108" s="905"/>
      <c r="BN108" s="905"/>
      <c r="BO108" s="905"/>
      <c r="BP108" s="905"/>
      <c r="BQ108" s="905"/>
      <c r="BR108" s="704">
        <f>MATCH($A108,Table!$A:$A,0)+$BT$2-1</f>
        <v>1385</v>
      </c>
      <c r="BS108" s="705"/>
      <c r="BT108" s="705"/>
      <c r="BU108" s="705"/>
      <c r="BV108" s="717">
        <f>MATCH($A108,Table!$A:$A,0)+$BX$2-1</f>
        <v>1383</v>
      </c>
      <c r="BW108" s="705"/>
      <c r="BX108" s="705"/>
      <c r="BY108" s="705"/>
      <c r="BZ108" s="704">
        <f>MATCH($A108,Table!$A:$A,0)+$CB$2-1</f>
        <v>1384</v>
      </c>
      <c r="CA108" s="705"/>
      <c r="CB108" s="705"/>
      <c r="CC108" s="705"/>
      <c r="CD108" s="717">
        <f>MATCH($A108,Table!$A:$A,0)+$BX$2-1</f>
        <v>1383</v>
      </c>
      <c r="CE108" s="705"/>
      <c r="CF108" s="705"/>
      <c r="CG108" s="705"/>
      <c r="CH108" s="711" t="s">
        <v>302</v>
      </c>
      <c r="CI108" s="712">
        <f t="shared" ca="1" si="140"/>
        <v>1591.5098632812499</v>
      </c>
      <c r="CJ108" s="712">
        <f t="shared" ca="1" si="141"/>
        <v>837.36728515625009</v>
      </c>
      <c r="CK108" s="712">
        <f t="shared" ca="1" si="143"/>
        <v>754.14257812499977</v>
      </c>
      <c r="CL108" s="718">
        <f t="shared" ca="1" si="144"/>
        <v>0.52614646284995814</v>
      </c>
      <c r="CM108" s="712">
        <f ca="1">SUMIF('Alloc Feed'!A:I,A:A,'Alloc Feed'!I:I)</f>
        <v>0</v>
      </c>
      <c r="CN108" s="718">
        <f t="shared" ca="1" si="142"/>
        <v>0</v>
      </c>
    </row>
    <row r="109" spans="1:92" x14ac:dyDescent="0.25">
      <c r="A109" s="703">
        <v>41283</v>
      </c>
      <c r="B109" s="709">
        <f ca="1">IF(ISERROR(MATCH(B$1,INDIRECT("Table!A"&amp;$BV109):INDIRECT("Table!" &amp; $CH$110 &amp; $BV109),0)),"",INDIRECT(CONCATENATE("Table!",ADDRESS($BR109,MATCH(B$1,INDIRECT("Table!A" &amp; $BV109):INDIRECT("Table!" &amp; $CH$110 &amp; $BV109),0)))))/1024</f>
        <v>41.028906249999999</v>
      </c>
      <c r="C109" s="709">
        <f ca="1">IF(ISERROR(MATCH(C$1,INDIRECT("Table!A"&amp;$BV109):INDIRECT("Table!" &amp; $CH$110 &amp; $BV109),0)),"",INDIRECT(CONCATENATE("Table!",ADDRESS($BR109,MATCH(C$1,INDIRECT("Table!A" &amp; $BV109):INDIRECT("Table!" &amp; $CH$110 &amp; $BV109),0)))))/1024</f>
        <v>74.333105468750006</v>
      </c>
      <c r="D109" s="709">
        <f ca="1">IF(ISERROR(MATCH(D$1,INDIRECT("Table!A"&amp;$BV109):INDIRECT("Table!" &amp; $CH$110 &amp; $BV109),0)),"",INDIRECT(CONCATENATE("Table!",ADDRESS($BR109,MATCH(D$1,INDIRECT("Table!A" &amp; $BV109):INDIRECT("Table!" &amp; $CH$110 &amp; $BV109),0)))))/1024</f>
        <v>75.714257812499994</v>
      </c>
      <c r="E109" s="709">
        <f ca="1">IF(ISERROR(MATCH(E$1,INDIRECT("Table!A"&amp;$BV109):INDIRECT("Table!" &amp; $CH$110 &amp; $BV109),0)),"",INDIRECT(CONCATENATE("Table!",ADDRESS($BR109,MATCH(E$1,INDIRECT("Table!A" &amp; $BV109):INDIRECT("Table!" &amp; $CH$110 &amp; $BV109),0)))))/1024</f>
        <v>158.03583984375001</v>
      </c>
      <c r="F109" s="709">
        <f ca="1">IF(ISERROR(MATCH(F$1,INDIRECT("Table!A"&amp;$BV109):INDIRECT("Table!" &amp; $CH$110 &amp; $BV109),0)),"",INDIRECT(CONCATENATE("Table!",ADDRESS($BR109,MATCH(F$1,INDIRECT("Table!A" &amp; $BV109):INDIRECT("Table!" &amp; $CH$110 &amp; $BV109),0)))))/1024</f>
        <v>72.965722656249994</v>
      </c>
      <c r="G109" s="709">
        <f ca="1">IF(ISERROR(MATCH(G$1,INDIRECT("Table!A"&amp;$BV109):INDIRECT("Table!" &amp; $CH$110 &amp; $BV109),0)),"",INDIRECT(CONCATENATE("Table!",ADDRESS($BR109,MATCH(G$1,INDIRECT("Table!A" &amp; $BV109):INDIRECT("Table!" &amp; $CH$110 &amp; $BV109),0)))))/1024</f>
        <v>30.301367187499999</v>
      </c>
      <c r="H109" s="709">
        <f ca="1">IF(ISERROR(MATCH(H$1,INDIRECT("Table!A"&amp;$BV109):INDIRECT("Table!" &amp; $CH$110 &amp; $BV109),0)),"",INDIRECT(CONCATENATE("Table!",ADDRESS($BR109,MATCH(H$1,INDIRECT("Table!A" &amp; $BV109):INDIRECT("Table!" &amp; $CH$110 &amp; $BV109),0)))))/1024</f>
        <v>52.180761718749999</v>
      </c>
      <c r="I109" s="709"/>
      <c r="J109" s="709"/>
      <c r="K109" s="709"/>
      <c r="L109" s="709">
        <f ca="1">IF(ISERROR(MATCH(L$1,INDIRECT("Table!A"&amp;$BV109):INDIRECT("Table!" &amp; $CH$110 &amp; $BV109),0)),"",INDIRECT(CONCATENATE("Table!",ADDRESS($BR109,MATCH(L$1,INDIRECT("Table!A" &amp; $BV109):INDIRECT("Table!" &amp; $CH$110 &amp; $BV109),0)))))/1024</f>
        <v>147.13759765624999</v>
      </c>
      <c r="M109" s="709">
        <f ca="1">IF(ISERROR(MATCH(M$1,INDIRECT("Table!A"&amp;$BV109):INDIRECT("Table!" &amp; $CH$110 &amp; $BV109),0)),"",INDIRECT(CONCATENATE("Table!",ADDRESS($BR109,MATCH(M$1,INDIRECT("Table!A" &amp; $BV109):INDIRECT("Table!" &amp; $CH$110 &amp; $BV109),0)))))/1024</f>
        <v>40.971582031250001</v>
      </c>
      <c r="N109" s="709">
        <f ca="1">IF(ISERROR(MATCH(N$1,INDIRECT("Table!A"&amp;$BV109):INDIRECT("Table!" &amp; $CH$110 &amp; $BV109),0)),"",INDIRECT(CONCATENATE("Table!",ADDRESS($BR109,MATCH(N$1,INDIRECT("Table!A" &amp; $BV109):INDIRECT("Table!" &amp; $CH$110 &amp; $BV109),0)))))/1024</f>
        <v>37.646679687499997</v>
      </c>
      <c r="O109" s="709">
        <f ca="1">IF(ISERROR(MATCH(O$1,INDIRECT("Table!A"&amp;$BV109):INDIRECT("Table!" &amp; $CH$110 &amp; $BV109),0)),"",INDIRECT(CONCATENATE("Table!",ADDRESS($BR109,MATCH(O$1,INDIRECT("Table!A" &amp; $BV109):INDIRECT("Table!" &amp; $CH$110 &amp; $BV109),0)))))/1024</f>
        <v>104.9814453125</v>
      </c>
      <c r="P109" s="709"/>
      <c r="Q109" s="709"/>
      <c r="R109" s="709"/>
      <c r="S109" s="709">
        <v>0</v>
      </c>
      <c r="T109" s="709"/>
      <c r="U109" s="709"/>
      <c r="V109" s="905"/>
      <c r="W109" s="905"/>
      <c r="X109" s="905"/>
      <c r="Y109" s="905"/>
      <c r="Z109" s="905"/>
      <c r="AA109" s="905"/>
      <c r="AB109" s="905"/>
      <c r="AC109" s="905"/>
      <c r="AD109" s="905"/>
      <c r="AE109" s="905"/>
      <c r="AF109" s="905"/>
      <c r="AG109" s="905"/>
      <c r="AH109" s="905"/>
      <c r="AI109" s="709" t="str">
        <f ca="1">IF(ISERROR(MATCH(AI$1,INDIRECT("Table!A"&amp;$BV109):INDIRECT("Table!" &amp; $CH$110 &amp; $BV109),0)),"",INDIRECT(CONCATENATE("Table!",ADDRESS($BR109,MATCH(AI$1,INDIRECT("Table!A" &amp; $BV109):INDIRECT("Table!" &amp; $CH$110 &amp; $BV109),0)))))</f>
        <v/>
      </c>
      <c r="AJ109" s="709">
        <f ca="1">IF(ISERROR(MATCH(AJ$1,INDIRECT("Table!A"&amp;$BV109):INDIRECT("Table!" &amp; $CH$110 &amp; $BV109),0)),"",INDIRECT(CONCATENATE("Table!",ADDRESS($BZ109,MATCH(AJ$1,INDIRECT("Table!A" &amp; $BV109):INDIRECT("Table!" &amp; $CH$110 &amp; $BV109),0)))))/1024</f>
        <v>140.03144531250001</v>
      </c>
      <c r="AK109" s="709">
        <f ca="1">IF(ISERROR(MATCH(AK$1,INDIRECT("Table!A"&amp;$BV109):INDIRECT("Table!" &amp; $CH$110 &amp; $BV109),0)),"",INDIRECT(CONCATENATE("Table!",ADDRESS($BZ109,MATCH(AK$1,INDIRECT("Table!A" &amp; $BV109):INDIRECT("Table!" &amp; $CH$110 &amp; $BV109),0)))))/1024</f>
        <v>146.98808593749999</v>
      </c>
      <c r="AL109" s="709">
        <f ca="1">IF(ISERROR(MATCH(AL$1,INDIRECT("Table!A"&amp;$BV109):INDIRECT("Table!" &amp; $CH$110 &amp; $BV109),0)),"",INDIRECT(CONCATENATE("Table!",ADDRESS($BZ109,MATCH(AL$1,INDIRECT("Table!A" &amp; $BV109):INDIRECT("Table!" &amp; $CH$110 &amp; $BV109),0)))))/1024</f>
        <v>146.98808593749999</v>
      </c>
      <c r="AM109" s="709">
        <f ca="1">IF(ISERROR(MATCH(AM$1,INDIRECT("Table!A"&amp;$BV109):INDIRECT("Table!" &amp; $CH$110 &amp; $BV109),0)),"",INDIRECT(CONCATENATE("Table!",ADDRESS($BZ109,MATCH(AM$1,INDIRECT("Table!A" &amp; $BV109):INDIRECT("Table!" &amp; $CH$110 &amp; $BV109),0)))))/1024</f>
        <v>177.73222656249999</v>
      </c>
      <c r="AN109" s="709">
        <f ca="1">IF(ISERROR(MATCH(AN$1,INDIRECT("Table!A"&amp;$BV109):INDIRECT("Table!" &amp; $CH$110 &amp; $BV109),0)),"",INDIRECT(CONCATENATE("Table!",ADDRESS($BZ109,MATCH(AN$1,INDIRECT("Table!A" &amp; $BV109):INDIRECT("Table!" &amp; $CH$110 &amp; $BV109),0)))))/1024</f>
        <v>161.57470703125</v>
      </c>
      <c r="AO109" s="709">
        <f ca="1">IF(ISERROR(MATCH(AO$1,INDIRECT("Table!A"&amp;$BV109):INDIRECT("Table!" &amp; $CH$110 &amp; $BV109),0)),"",INDIRECT(CONCATENATE("Table!",ADDRESS($BZ109,MATCH(AO$1,INDIRECT("Table!A" &amp; $BV109):INDIRECT("Table!" &amp; $CH$110 &amp; $BV109),0)))))/1024</f>
        <v>129.03515625</v>
      </c>
      <c r="AP109" s="709">
        <f ca="1">IF(ISERROR(MATCH(AP$1,INDIRECT("Table!A"&amp;$BV109):INDIRECT("Table!" &amp; $CH$110 &amp; $BV109),0)),"",INDIRECT(CONCATENATE("Table!",ADDRESS($BZ109,MATCH(AP$1,INDIRECT("Table!A" &amp; $BV109):INDIRECT("Table!" &amp; $CH$110 &amp; $BV109),0)))))/1024</f>
        <v>118.4880859375</v>
      </c>
      <c r="AQ109" s="709"/>
      <c r="AR109" s="709"/>
      <c r="AS109" s="709"/>
      <c r="AT109" s="709">
        <f ca="1">IF(ISERROR(MATCH(AT$1,INDIRECT("Table!A"&amp;$BV109):INDIRECT("Table!" &amp; $CH$110 &amp; $BV109),0)),"",INDIRECT(CONCATENATE("Table!",ADDRESS($BZ109,MATCH(AT$1,INDIRECT("Table!A" &amp; $BV109):INDIRECT("Table!" &amp; $CH$110 &amp; $BV109),0)))))/1024</f>
        <v>188.5029296875</v>
      </c>
      <c r="AU109" s="709">
        <f ca="1">IF(ISERROR(MATCH(AU$1,INDIRECT("Table!A"&amp;$BV109):INDIRECT("Table!" &amp; $CH$110 &amp; $BV109),0)),"",INDIRECT(CONCATENATE("Table!",ADDRESS($BZ109,MATCH(AU$1,INDIRECT("Table!A" &amp; $BV109):INDIRECT("Table!" &amp; $CH$110 &amp; $BV109),0)))))/1024</f>
        <v>129.03535156250001</v>
      </c>
      <c r="AV109" s="709">
        <f ca="1">IF(ISERROR(MATCH(AV$1,INDIRECT("Table!A"&amp;$BV109):INDIRECT("Table!" &amp; $CH$110 &amp; $BV109),0)),"",INDIRECT(CONCATENATE("Table!",ADDRESS($BZ109,MATCH(AV$1,INDIRECT("Table!A" &amp; $BV109):INDIRECT("Table!" &amp; $CH$110 &amp; $BV109),0)))))/1024</f>
        <v>80.787402343750003</v>
      </c>
      <c r="AW109" s="709">
        <f ca="1">IF(ISERROR(MATCH(AW$1,INDIRECT("Table!A"&amp;$BV109):INDIRECT("Table!" &amp; $CH$110 &amp; $BV109),0)),"",INDIRECT(CONCATENATE("Table!",ADDRESS($BZ109,MATCH(AW$1,INDIRECT("Table!A" &amp; $BV109):INDIRECT("Table!" &amp; $CH$110 &amp; $BV109),0)))))/1024</f>
        <v>172.34638671875001</v>
      </c>
      <c r="AX109" s="709"/>
      <c r="AY109" s="709"/>
      <c r="AZ109" s="709"/>
      <c r="BA109" s="709"/>
      <c r="BB109" s="704"/>
      <c r="BC109" s="709"/>
      <c r="BD109" s="905"/>
      <c r="BE109" s="905"/>
      <c r="BF109" s="905"/>
      <c r="BG109" s="905"/>
      <c r="BH109" s="905"/>
      <c r="BI109" s="905"/>
      <c r="BJ109" s="905"/>
      <c r="BK109" s="905"/>
      <c r="BL109" s="905"/>
      <c r="BM109" s="905"/>
      <c r="BN109" s="905"/>
      <c r="BO109" s="905"/>
      <c r="BP109" s="905"/>
      <c r="BQ109" s="905"/>
      <c r="BR109" s="704">
        <f>MATCH($A109,Table!$A:$A,0)+$BT$2-1</f>
        <v>1397</v>
      </c>
      <c r="BS109" s="705"/>
      <c r="BT109" s="705"/>
      <c r="BU109" s="705"/>
      <c r="BV109" s="717">
        <f>MATCH($A109,Table!$A:$A,0)+$BX$2-1</f>
        <v>1395</v>
      </c>
      <c r="BW109" s="705"/>
      <c r="BX109" s="705"/>
      <c r="BY109" s="705"/>
      <c r="BZ109" s="704">
        <f>MATCH($A109,Table!$A:$A,0)+$CB$2-1</f>
        <v>1396</v>
      </c>
      <c r="CA109" s="705"/>
      <c r="CB109" s="705"/>
      <c r="CC109" s="705"/>
      <c r="CD109" s="717">
        <f>MATCH($A109,Table!$A:$A,0)+$BX$2-1</f>
        <v>1395</v>
      </c>
      <c r="CE109" s="705"/>
      <c r="CF109" s="705"/>
      <c r="CG109" s="705"/>
      <c r="CH109" s="711" t="s">
        <v>302</v>
      </c>
      <c r="CI109" s="712">
        <f t="shared" ca="1" si="140"/>
        <v>1591.5098632812499</v>
      </c>
      <c r="CJ109" s="712">
        <f t="shared" ca="1" si="141"/>
        <v>835.29726562500002</v>
      </c>
      <c r="CK109" s="712">
        <f t="shared" ca="1" si="143"/>
        <v>756.21259765624984</v>
      </c>
      <c r="CL109" s="718">
        <f t="shared" ca="1" si="144"/>
        <v>0.52484579888361471</v>
      </c>
      <c r="CM109" s="712">
        <f ca="1">SUMIF('Alloc Feed'!A:I,A:A,'Alloc Feed'!I:I)</f>
        <v>0</v>
      </c>
      <c r="CN109" s="718">
        <f t="shared" ca="1" si="142"/>
        <v>0</v>
      </c>
    </row>
    <row r="110" spans="1:92" x14ac:dyDescent="0.25">
      <c r="A110" s="703">
        <v>41281</v>
      </c>
      <c r="B110" s="709">
        <f ca="1">IF(ISERROR(MATCH(B$1,INDIRECT("Table!A"&amp;$BV110):INDIRECT("Table!" &amp; $CH$110 &amp; $BV110),0)),"",INDIRECT(CONCATENATE("Table!",ADDRESS($BR110,MATCH(B$1,INDIRECT("Table!A" &amp; $BV110):INDIRECT("Table!" &amp; $CH$110 &amp; $BV110),0)))))/1024</f>
        <v>39.268652343749999</v>
      </c>
      <c r="C110" s="709">
        <f ca="1">IF(ISERROR(MATCH(C$1,INDIRECT("Table!A"&amp;$BV110):INDIRECT("Table!" &amp; $CH$110 &amp; $BV110),0)),"",INDIRECT(CONCATENATE("Table!",ADDRESS($BR110,MATCH(C$1,INDIRECT("Table!A" &amp; $BV110):INDIRECT("Table!" &amp; $CH$110 &amp; $BV110),0)))))/1024</f>
        <v>74.3076171875</v>
      </c>
      <c r="D110" s="709">
        <f ca="1">IF(ISERROR(MATCH(D$1,INDIRECT("Table!A"&amp;$BV110):INDIRECT("Table!" &amp; $CH$110 &amp; $BV110),0)),"",INDIRECT(CONCATENATE("Table!",ADDRESS($BR110,MATCH(D$1,INDIRECT("Table!A" &amp; $BV110):INDIRECT("Table!" &amp; $CH$110 &amp; $BV110),0)))))/1024</f>
        <v>75.688867187499994</v>
      </c>
      <c r="E110" s="709">
        <f ca="1">IF(ISERROR(MATCH(E$1,INDIRECT("Table!A"&amp;$BV110):INDIRECT("Table!" &amp; $CH$110 &amp; $BV110),0)),"",INDIRECT(CONCATENATE("Table!",ADDRESS($BR110,MATCH(E$1,INDIRECT("Table!A" &amp; $BV110):INDIRECT("Table!" &amp; $CH$110 &amp; $BV110),0)))))/1024</f>
        <v>157.95976562499999</v>
      </c>
      <c r="F110" s="709">
        <f ca="1">IF(ISERROR(MATCH(F$1,INDIRECT("Table!A"&amp;$BV110):INDIRECT("Table!" &amp; $CH$110 &amp; $BV110),0)),"",INDIRECT(CONCATENATE("Table!",ADDRESS($BR110,MATCH(F$1,INDIRECT("Table!A" &amp; $BV110):INDIRECT("Table!" &amp; $CH$110 &amp; $BV110),0)))))/1024</f>
        <v>72.280371093750006</v>
      </c>
      <c r="G110" s="709">
        <f ca="1">IF(ISERROR(MATCH(G$1,INDIRECT("Table!A"&amp;$BV110):INDIRECT("Table!" &amp; $CH$110 &amp; $BV110),0)),"",INDIRECT(CONCATENATE("Table!",ADDRESS($BR110,MATCH(G$1,INDIRECT("Table!A" &amp; $BV110):INDIRECT("Table!" &amp; $CH$110 &amp; $BV110),0)))))/1024</f>
        <v>30.283203125</v>
      </c>
      <c r="H110" s="709">
        <f ca="1">IF(ISERROR(MATCH(H$1,INDIRECT("Table!A"&amp;$BV110):INDIRECT("Table!" &amp; $CH$110 &amp; $BV110),0)),"",INDIRECT(CONCATENATE("Table!",ADDRESS($BR110,MATCH(H$1,INDIRECT("Table!A" &amp; $BV110):INDIRECT("Table!" &amp; $CH$110 &amp; $BV110),0)))))/1024</f>
        <v>52.158496093750003</v>
      </c>
      <c r="I110" s="709"/>
      <c r="J110" s="709"/>
      <c r="K110" s="709"/>
      <c r="L110" s="709">
        <f ca="1">IF(ISERROR(MATCH(L$1,INDIRECT("Table!A"&amp;$BV110):INDIRECT("Table!" &amp; $CH$110 &amp; $BV110),0)),"",INDIRECT(CONCATENATE("Table!",ADDRESS($BR110,MATCH(L$1,INDIRECT("Table!A" &amp; $BV110):INDIRECT("Table!" &amp; $CH$110 &amp; $BV110),0)))))/1024</f>
        <v>146.97724609375001</v>
      </c>
      <c r="M110" s="709">
        <f ca="1">IF(ISERROR(MATCH(M$1,INDIRECT("Table!A"&amp;$BV110):INDIRECT("Table!" &amp; $CH$110 &amp; $BV110),0)),"",INDIRECT(CONCATENATE("Table!",ADDRESS($BR110,MATCH(M$1,INDIRECT("Table!A" &amp; $BV110):INDIRECT("Table!" &amp; $CH$110 &amp; $BV110),0)))))/1024</f>
        <v>40.655371093749999</v>
      </c>
      <c r="N110" s="709">
        <f ca="1">IF(ISERROR(MATCH(N$1,INDIRECT("Table!A"&amp;$BV110):INDIRECT("Table!" &amp; $CH$110 &amp; $BV110),0)),"",INDIRECT(CONCATENATE("Table!",ADDRESS($BR110,MATCH(N$1,INDIRECT("Table!A" &amp; $BV110):INDIRECT("Table!" &amp; $CH$110 &amp; $BV110),0)))))/1024</f>
        <v>37.3037109375</v>
      </c>
      <c r="O110" s="709">
        <f ca="1">IF(ISERROR(MATCH(O$1,INDIRECT("Table!A"&amp;$BV110):INDIRECT("Table!" &amp; $CH$110 &amp; $BV110),0)),"",INDIRECT(CONCATENATE("Table!",ADDRESS($BR110,MATCH(O$1,INDIRECT("Table!A" &amp; $BV110):INDIRECT("Table!" &amp; $CH$110 &amp; $BV110),0)))))/1024</f>
        <v>104.936328125</v>
      </c>
      <c r="P110" s="709"/>
      <c r="Q110" s="709"/>
      <c r="R110" s="709"/>
      <c r="S110" s="709">
        <v>0</v>
      </c>
      <c r="T110" s="709"/>
      <c r="U110" s="709"/>
      <c r="V110" s="905"/>
      <c r="W110" s="905"/>
      <c r="X110" s="905"/>
      <c r="Y110" s="905"/>
      <c r="Z110" s="905"/>
      <c r="AA110" s="905"/>
      <c r="AB110" s="905"/>
      <c r="AC110" s="905"/>
      <c r="AD110" s="905"/>
      <c r="AE110" s="905"/>
      <c r="AF110" s="905"/>
      <c r="AG110" s="905"/>
      <c r="AH110" s="905"/>
      <c r="AI110" s="709" t="str">
        <f ca="1">IF(ISERROR(MATCH(AI$1,INDIRECT("Table!A"&amp;$BV110):INDIRECT("Table!" &amp; $CH$110 &amp; $BV110),0)),"",INDIRECT(CONCATENATE("Table!",ADDRESS($BR110,MATCH(AI$1,INDIRECT("Table!A" &amp; $BV110):INDIRECT("Table!" &amp; $CH$110 &amp; $BV110),0)))))</f>
        <v/>
      </c>
      <c r="AJ110" s="709">
        <f ca="1">IF(ISERROR(MATCH(AJ$1,INDIRECT("Table!A"&amp;$BV110):INDIRECT("Table!" &amp; $CH$110 &amp; $BV110),0)),"",INDIRECT(CONCATENATE("Table!",ADDRESS($BZ110,MATCH(AJ$1,INDIRECT("Table!A" &amp; $BV110):INDIRECT("Table!" &amp; $CH$110 &amp; $BV110),0)))))/1024</f>
        <v>140.03144531250001</v>
      </c>
      <c r="AK110" s="709">
        <f ca="1">IF(ISERROR(MATCH(AK$1,INDIRECT("Table!A"&amp;$BV110):INDIRECT("Table!" &amp; $CH$110 &amp; $BV110),0)),"",INDIRECT(CONCATENATE("Table!",ADDRESS($BZ110,MATCH(AK$1,INDIRECT("Table!A" &amp; $BV110):INDIRECT("Table!" &amp; $CH$110 &amp; $BV110),0)))))/1024</f>
        <v>146.98808593749999</v>
      </c>
      <c r="AL110" s="709">
        <f ca="1">IF(ISERROR(MATCH(AL$1,INDIRECT("Table!A"&amp;$BV110):INDIRECT("Table!" &amp; $CH$110 &amp; $BV110),0)),"",INDIRECT(CONCATENATE("Table!",ADDRESS($BZ110,MATCH(AL$1,INDIRECT("Table!A" &amp; $BV110):INDIRECT("Table!" &amp; $CH$110 &amp; $BV110),0)))))/1024</f>
        <v>146.98808593749999</v>
      </c>
      <c r="AM110" s="709">
        <f ca="1">IF(ISERROR(MATCH(AM$1,INDIRECT("Table!A"&amp;$BV110):INDIRECT("Table!" &amp; $CH$110 &amp; $BV110),0)),"",INDIRECT(CONCATENATE("Table!",ADDRESS($BZ110,MATCH(AM$1,INDIRECT("Table!A" &amp; $BV110):INDIRECT("Table!" &amp; $CH$110 &amp; $BV110),0)))))/1024</f>
        <v>177.73222656249999</v>
      </c>
      <c r="AN110" s="709">
        <f ca="1">IF(ISERROR(MATCH(AN$1,INDIRECT("Table!A"&amp;$BV110):INDIRECT("Table!" &amp; $CH$110 &amp; $BV110),0)),"",INDIRECT(CONCATENATE("Table!",ADDRESS($BZ110,MATCH(AN$1,INDIRECT("Table!A" &amp; $BV110):INDIRECT("Table!" &amp; $CH$110 &amp; $BV110),0)))))/1024</f>
        <v>161.57470703125</v>
      </c>
      <c r="AO110" s="709">
        <f ca="1">IF(ISERROR(MATCH(AO$1,INDIRECT("Table!A"&amp;$BV110):INDIRECT("Table!" &amp; $CH$110 &amp; $BV110),0)),"",INDIRECT(CONCATENATE("Table!",ADDRESS($BZ110,MATCH(AO$1,INDIRECT("Table!A" &amp; $BV110):INDIRECT("Table!" &amp; $CH$110 &amp; $BV110),0)))))/1024</f>
        <v>129.03515625</v>
      </c>
      <c r="AP110" s="709">
        <f ca="1">IF(ISERROR(MATCH(AP$1,INDIRECT("Table!A"&amp;$BV110):INDIRECT("Table!" &amp; $CH$110 &amp; $BV110),0)),"",INDIRECT(CONCATENATE("Table!",ADDRESS($BZ110,MATCH(AP$1,INDIRECT("Table!A" &amp; $BV110):INDIRECT("Table!" &amp; $CH$110 &amp; $BV110),0)))))/1024</f>
        <v>118.4880859375</v>
      </c>
      <c r="AQ110" s="709"/>
      <c r="AR110" s="709"/>
      <c r="AS110" s="709"/>
      <c r="AT110" s="709">
        <f ca="1">IF(ISERROR(MATCH(AT$1,INDIRECT("Table!A"&amp;$BV110):INDIRECT("Table!" &amp; $CH$110 &amp; $BV110),0)),"",INDIRECT(CONCATENATE("Table!",ADDRESS($BZ110,MATCH(AT$1,INDIRECT("Table!A" &amp; $BV110):INDIRECT("Table!" &amp; $CH$110 &amp; $BV110),0)))))/1024</f>
        <v>188.5029296875</v>
      </c>
      <c r="AU110" s="709">
        <f ca="1">IF(ISERROR(MATCH(AU$1,INDIRECT("Table!A"&amp;$BV110):INDIRECT("Table!" &amp; $CH$110 &amp; $BV110),0)),"",INDIRECT(CONCATENATE("Table!",ADDRESS($BZ110,MATCH(AU$1,INDIRECT("Table!A" &amp; $BV110):INDIRECT("Table!" &amp; $CH$110 &amp; $BV110),0)))))/1024</f>
        <v>129.03535156250001</v>
      </c>
      <c r="AV110" s="709">
        <f ca="1">IF(ISERROR(MATCH(AV$1,INDIRECT("Table!A"&amp;$BV110):INDIRECT("Table!" &amp; $CH$110 &amp; $BV110),0)),"",INDIRECT(CONCATENATE("Table!",ADDRESS($BZ110,MATCH(AV$1,INDIRECT("Table!A" &amp; $BV110):INDIRECT("Table!" &amp; $CH$110 &amp; $BV110),0)))))/1024</f>
        <v>80.787402343750003</v>
      </c>
      <c r="AW110" s="709">
        <f ca="1">IF(ISERROR(MATCH(AW$1,INDIRECT("Table!A"&amp;$BV110):INDIRECT("Table!" &amp; $CH$110 &amp; $BV110),0)),"",INDIRECT(CONCATENATE("Table!",ADDRESS($BZ110,MATCH(AW$1,INDIRECT("Table!A" &amp; $BV110):INDIRECT("Table!" &amp; $CH$110 &amp; $BV110),0)))))/1024</f>
        <v>172.34638671875001</v>
      </c>
      <c r="AX110" s="709"/>
      <c r="AY110" s="709"/>
      <c r="AZ110" s="709"/>
      <c r="BA110" s="709"/>
      <c r="BB110" s="704"/>
      <c r="BC110" s="709"/>
      <c r="BD110" s="905"/>
      <c r="BE110" s="905"/>
      <c r="BF110" s="905"/>
      <c r="BG110" s="905"/>
      <c r="BH110" s="905"/>
      <c r="BI110" s="905"/>
      <c r="BJ110" s="905"/>
      <c r="BK110" s="905"/>
      <c r="BL110" s="905"/>
      <c r="BM110" s="905"/>
      <c r="BN110" s="905"/>
      <c r="BO110" s="905"/>
      <c r="BP110" s="905"/>
      <c r="BQ110" s="905"/>
      <c r="BR110" s="704">
        <f>MATCH($A110,Table!$A:$A,0)+$BT$2-1</f>
        <v>1409</v>
      </c>
      <c r="BS110" s="705"/>
      <c r="BT110" s="705"/>
      <c r="BU110" s="705"/>
      <c r="BV110" s="717">
        <f>MATCH($A110,Table!$A:$A,0)+$BX$2-1</f>
        <v>1407</v>
      </c>
      <c r="BW110" s="705"/>
      <c r="BX110" s="705"/>
      <c r="BY110" s="705"/>
      <c r="BZ110" s="704">
        <f>MATCH($A110,Table!$A:$A,0)+$CB$2-1</f>
        <v>1408</v>
      </c>
      <c r="CA110" s="705"/>
      <c r="CB110" s="705"/>
      <c r="CC110" s="705"/>
      <c r="CD110" s="717">
        <f>MATCH($A110,Table!$A:$A,0)+$BX$2-1</f>
        <v>1407</v>
      </c>
      <c r="CE110" s="705"/>
      <c r="CF110" s="705"/>
      <c r="CG110" s="705"/>
      <c r="CH110" s="711" t="s">
        <v>302</v>
      </c>
      <c r="CI110" s="712">
        <f t="shared" ca="1" si="140"/>
        <v>1591.5098632812499</v>
      </c>
      <c r="CJ110" s="712">
        <f t="shared" ca="1" si="141"/>
        <v>831.81962890625005</v>
      </c>
      <c r="CK110" s="712">
        <f t="shared" ca="1" si="143"/>
        <v>759.69023437499982</v>
      </c>
      <c r="CL110" s="718">
        <f t="shared" ca="1" si="144"/>
        <v>0.5226606809657276</v>
      </c>
      <c r="CM110" s="712">
        <f ca="1">SUMIF('Alloc Feed'!A:I,A:A,'Alloc Feed'!I:I)</f>
        <v>0</v>
      </c>
      <c r="CN110" s="718">
        <f t="shared" ca="1" si="142"/>
        <v>0</v>
      </c>
    </row>
    <row r="111" spans="1:92" x14ac:dyDescent="0.25">
      <c r="A111" s="4"/>
      <c r="B111" s="26"/>
      <c r="C111" s="26"/>
      <c r="D111" s="26"/>
      <c r="E111" s="26"/>
      <c r="F111" s="26"/>
      <c r="G111" s="26"/>
      <c r="H111" s="26"/>
      <c r="I111" s="274"/>
      <c r="J111" s="274"/>
      <c r="K111" s="26"/>
      <c r="L111" s="26"/>
      <c r="M111" s="26"/>
      <c r="N111" s="26"/>
      <c r="O111" s="274"/>
      <c r="P111" s="274"/>
      <c r="Q111" s="274"/>
      <c r="R111" s="274"/>
      <c r="S111" s="597"/>
      <c r="T111" s="597"/>
      <c r="U111" s="26"/>
      <c r="V111" s="597"/>
      <c r="W111" s="597"/>
      <c r="X111" s="597"/>
      <c r="Y111" s="597"/>
      <c r="Z111" s="597"/>
      <c r="AA111" s="597"/>
      <c r="AB111" s="597"/>
      <c r="AC111" s="597"/>
      <c r="AD111" s="597"/>
      <c r="AE111" s="597"/>
      <c r="AF111" s="597"/>
      <c r="AG111" s="597"/>
      <c r="AH111" s="597"/>
      <c r="AI111" s="26"/>
      <c r="AJ111" s="26"/>
      <c r="AK111" s="26"/>
      <c r="AL111" s="26"/>
      <c r="AM111" s="26"/>
      <c r="AN111" s="26"/>
      <c r="AO111" s="274"/>
      <c r="AP111" s="274"/>
      <c r="AQ111" s="26"/>
      <c r="AR111" s="26"/>
      <c r="AS111" s="26"/>
      <c r="AT111" s="26"/>
      <c r="AU111" s="26"/>
      <c r="AV111" s="274"/>
      <c r="AW111" s="274"/>
      <c r="AX111" s="10"/>
      <c r="AY111" s="10"/>
      <c r="BR111" s="22"/>
      <c r="BV111" s="10"/>
      <c r="BZ111" s="22"/>
      <c r="CD111" s="51"/>
    </row>
    <row r="112" spans="1:92" x14ac:dyDescent="0.25">
      <c r="A112" s="4"/>
      <c r="B112" s="26"/>
      <c r="C112" s="26"/>
      <c r="D112" s="26"/>
      <c r="E112" s="26"/>
      <c r="F112" s="26"/>
      <c r="G112" s="26"/>
      <c r="H112" s="26"/>
      <c r="I112" s="274"/>
      <c r="J112" s="274"/>
      <c r="K112" s="26"/>
      <c r="L112" s="26"/>
      <c r="M112" s="26"/>
      <c r="N112" s="26"/>
      <c r="O112" s="274"/>
      <c r="P112" s="274"/>
      <c r="Q112" s="274"/>
      <c r="R112" s="274"/>
      <c r="S112" s="597"/>
      <c r="T112" s="597"/>
      <c r="U112" s="26"/>
      <c r="V112" s="597"/>
      <c r="W112" s="597"/>
      <c r="X112" s="597"/>
      <c r="Y112" s="597"/>
      <c r="Z112" s="597"/>
      <c r="AA112" s="597"/>
      <c r="AB112" s="597"/>
      <c r="AC112" s="597"/>
      <c r="AD112" s="597"/>
      <c r="AE112" s="597"/>
      <c r="AF112" s="597"/>
      <c r="AG112" s="597"/>
      <c r="AH112" s="597"/>
      <c r="AI112" s="26"/>
      <c r="AJ112" s="26"/>
      <c r="AK112" s="26"/>
      <c r="AL112" s="26"/>
      <c r="AM112" s="26"/>
      <c r="AN112" s="26"/>
      <c r="AO112" s="274"/>
      <c r="AP112" s="274"/>
      <c r="AQ112" s="26"/>
      <c r="AR112" s="26"/>
      <c r="AS112" s="26"/>
      <c r="AT112" s="26"/>
      <c r="AU112" s="26"/>
      <c r="AV112" s="274"/>
      <c r="AW112" s="274"/>
      <c r="AX112" s="10"/>
      <c r="AY112" s="10"/>
      <c r="BR112" s="22"/>
      <c r="BV112" s="10"/>
      <c r="BZ112" s="22"/>
      <c r="CD112" s="50"/>
    </row>
    <row r="113" spans="1:82" x14ac:dyDescent="0.25">
      <c r="A113" s="4"/>
      <c r="B113" s="26"/>
      <c r="C113" s="26"/>
      <c r="D113" s="26"/>
      <c r="E113" s="26"/>
      <c r="F113" s="26"/>
      <c r="G113" s="26"/>
      <c r="H113" s="26"/>
      <c r="I113" s="274"/>
      <c r="J113" s="274"/>
      <c r="K113" s="26"/>
      <c r="L113" s="26"/>
      <c r="M113" s="26"/>
      <c r="N113" s="26"/>
      <c r="O113" s="274"/>
      <c r="P113" s="274"/>
      <c r="Q113" s="274"/>
      <c r="R113" s="274"/>
      <c r="S113" s="597"/>
      <c r="T113" s="597"/>
      <c r="U113" s="26"/>
      <c r="V113" s="597"/>
      <c r="W113" s="597"/>
      <c r="X113" s="597"/>
      <c r="Y113" s="597"/>
      <c r="Z113" s="597"/>
      <c r="AA113" s="597"/>
      <c r="AB113" s="597"/>
      <c r="AC113" s="597"/>
      <c r="AD113" s="597"/>
      <c r="AE113" s="597"/>
      <c r="AF113" s="597"/>
      <c r="AG113" s="597"/>
      <c r="AH113" s="597"/>
      <c r="AI113" s="26"/>
      <c r="AJ113" s="26"/>
      <c r="AK113" s="26"/>
      <c r="AL113" s="26"/>
      <c r="AM113" s="26"/>
      <c r="AN113" s="26"/>
      <c r="AO113" s="274"/>
      <c r="AP113" s="274"/>
      <c r="AQ113" s="26"/>
      <c r="AR113" s="26"/>
      <c r="AS113" s="26"/>
      <c r="AT113" s="26"/>
      <c r="AU113" s="26"/>
      <c r="AV113" s="274"/>
      <c r="AW113" s="274"/>
      <c r="AX113" s="10"/>
      <c r="AY113" s="10"/>
      <c r="BR113" s="22"/>
      <c r="BV113" s="10"/>
      <c r="BZ113" s="22"/>
      <c r="CD113" s="49"/>
    </row>
    <row r="114" spans="1:82" x14ac:dyDescent="0.25">
      <c r="A114" s="4"/>
      <c r="B114" s="26"/>
      <c r="C114" s="26"/>
      <c r="D114" s="26"/>
      <c r="E114" s="26"/>
      <c r="F114" s="26"/>
      <c r="G114" s="26"/>
      <c r="H114" s="26"/>
      <c r="I114" s="274"/>
      <c r="J114" s="274"/>
      <c r="K114" s="26"/>
      <c r="L114" s="26"/>
      <c r="M114" s="26"/>
      <c r="N114" s="26"/>
      <c r="O114" s="274"/>
      <c r="P114" s="274"/>
      <c r="Q114" s="274"/>
      <c r="R114" s="274"/>
      <c r="S114" s="597"/>
      <c r="T114" s="597"/>
      <c r="U114" s="26"/>
      <c r="V114" s="597"/>
      <c r="W114" s="597"/>
      <c r="X114" s="597"/>
      <c r="Y114" s="597"/>
      <c r="Z114" s="597"/>
      <c r="AA114" s="597"/>
      <c r="AB114" s="597"/>
      <c r="AC114" s="597"/>
      <c r="AD114" s="597"/>
      <c r="AE114" s="597"/>
      <c r="AF114" s="597"/>
      <c r="AG114" s="597"/>
      <c r="AH114" s="597"/>
      <c r="AI114" s="26"/>
      <c r="AJ114" s="26"/>
      <c r="AK114" s="26"/>
      <c r="AL114" s="26"/>
      <c r="AM114" s="26"/>
      <c r="AN114" s="26"/>
      <c r="AO114" s="274"/>
      <c r="AP114" s="274"/>
      <c r="AQ114" s="26"/>
      <c r="AR114" s="26"/>
      <c r="AS114" s="26"/>
      <c r="AT114" s="26"/>
      <c r="AU114" s="26"/>
      <c r="AV114" s="274"/>
      <c r="AW114" s="274"/>
      <c r="AX114" s="10"/>
      <c r="AY114" s="10"/>
      <c r="BR114" s="22"/>
      <c r="BV114" s="10"/>
      <c r="BZ114" s="22"/>
      <c r="CD114" s="48"/>
    </row>
    <row r="115" spans="1:82" x14ac:dyDescent="0.25">
      <c r="A115" s="4"/>
      <c r="B115" s="26"/>
      <c r="C115" s="26"/>
      <c r="D115" s="26"/>
      <c r="E115" s="26"/>
      <c r="F115" s="26"/>
      <c r="G115" s="26"/>
      <c r="H115" s="26"/>
      <c r="I115" s="274"/>
      <c r="J115" s="274"/>
      <c r="K115" s="26"/>
      <c r="L115" s="26"/>
      <c r="M115" s="26"/>
      <c r="N115" s="26"/>
      <c r="O115" s="274"/>
      <c r="P115" s="274"/>
      <c r="Q115" s="274"/>
      <c r="R115" s="274"/>
      <c r="S115" s="597"/>
      <c r="T115" s="597"/>
      <c r="U115" s="26"/>
      <c r="V115" s="597"/>
      <c r="W115" s="597"/>
      <c r="X115" s="597"/>
      <c r="Y115" s="597"/>
      <c r="Z115" s="597"/>
      <c r="AA115" s="597"/>
      <c r="AB115" s="597"/>
      <c r="AC115" s="597"/>
      <c r="AD115" s="597"/>
      <c r="AE115" s="597"/>
      <c r="AF115" s="597"/>
      <c r="AG115" s="597"/>
      <c r="AH115" s="597"/>
      <c r="AI115" s="26"/>
      <c r="AJ115" s="26"/>
      <c r="AK115" s="26"/>
      <c r="AL115" s="26"/>
      <c r="AM115" s="26"/>
      <c r="AN115" s="26"/>
      <c r="AO115" s="274"/>
      <c r="AP115" s="274"/>
      <c r="AQ115" s="26"/>
      <c r="AR115" s="26"/>
      <c r="AS115" s="26"/>
      <c r="AT115" s="26"/>
      <c r="AU115" s="26"/>
      <c r="AV115" s="274"/>
      <c r="AW115" s="274"/>
      <c r="AX115" s="10"/>
      <c r="AY115" s="10"/>
      <c r="BR115" s="22"/>
      <c r="BV115" s="10"/>
      <c r="BZ115" s="22"/>
      <c r="CD115" s="47"/>
    </row>
    <row r="116" spans="1:82" x14ac:dyDescent="0.25">
      <c r="A116" s="4"/>
      <c r="B116" s="26"/>
      <c r="C116" s="26"/>
      <c r="D116" s="26"/>
      <c r="E116" s="26"/>
      <c r="F116" s="26"/>
      <c r="G116" s="26"/>
      <c r="H116" s="26"/>
      <c r="I116" s="274"/>
      <c r="J116" s="274"/>
      <c r="K116" s="26"/>
      <c r="L116" s="26"/>
      <c r="M116" s="26"/>
      <c r="N116" s="26"/>
      <c r="O116" s="274"/>
      <c r="P116" s="274"/>
      <c r="Q116" s="274"/>
      <c r="R116" s="274"/>
      <c r="S116" s="597"/>
      <c r="T116" s="597"/>
      <c r="U116" s="26"/>
      <c r="V116" s="597"/>
      <c r="W116" s="597"/>
      <c r="X116" s="597"/>
      <c r="Y116" s="597"/>
      <c r="Z116" s="597"/>
      <c r="AA116" s="597"/>
      <c r="AB116" s="597"/>
      <c r="AC116" s="597"/>
      <c r="AD116" s="597"/>
      <c r="AE116" s="597"/>
      <c r="AF116" s="597"/>
      <c r="AG116" s="597"/>
      <c r="AH116" s="597"/>
      <c r="AI116" s="26"/>
      <c r="AJ116" s="26"/>
      <c r="AK116" s="26"/>
      <c r="AL116" s="26"/>
      <c r="AM116" s="26"/>
      <c r="AN116" s="26"/>
      <c r="AO116" s="274"/>
      <c r="AP116" s="274"/>
      <c r="AQ116" s="26"/>
      <c r="AR116" s="26"/>
      <c r="AS116" s="26"/>
      <c r="AT116" s="26"/>
      <c r="AU116" s="26"/>
      <c r="AV116" s="274"/>
      <c r="AW116" s="274"/>
      <c r="AX116" s="10"/>
      <c r="AY116" s="10"/>
      <c r="BR116" s="22"/>
      <c r="BV116" s="10"/>
      <c r="BZ116" s="22"/>
      <c r="CD116" s="46"/>
    </row>
    <row r="117" spans="1:82" x14ac:dyDescent="0.25">
      <c r="A117" s="4"/>
      <c r="B117" s="26"/>
      <c r="C117" s="26"/>
      <c r="D117" s="26"/>
      <c r="E117" s="26"/>
      <c r="F117" s="26"/>
      <c r="G117" s="26"/>
      <c r="H117" s="26"/>
      <c r="I117" s="274"/>
      <c r="J117" s="274"/>
      <c r="K117" s="26"/>
      <c r="L117" s="26"/>
      <c r="M117" s="26"/>
      <c r="N117" s="26"/>
      <c r="O117" s="274"/>
      <c r="P117" s="274"/>
      <c r="Q117" s="274"/>
      <c r="R117" s="274"/>
      <c r="S117" s="597"/>
      <c r="T117" s="597"/>
      <c r="U117" s="26"/>
      <c r="V117" s="597"/>
      <c r="W117" s="597"/>
      <c r="X117" s="597"/>
      <c r="Y117" s="597"/>
      <c r="Z117" s="597"/>
      <c r="AA117" s="597"/>
      <c r="AB117" s="597"/>
      <c r="AC117" s="597"/>
      <c r="AD117" s="597"/>
      <c r="AE117" s="597"/>
      <c r="AF117" s="597"/>
      <c r="AG117" s="597"/>
      <c r="AH117" s="597"/>
      <c r="AI117" s="26"/>
      <c r="AJ117" s="26"/>
      <c r="AK117" s="26"/>
      <c r="AL117" s="26"/>
      <c r="AM117" s="26"/>
      <c r="AN117" s="26"/>
      <c r="AO117" s="274"/>
      <c r="AP117" s="274"/>
      <c r="AQ117" s="26"/>
      <c r="AR117" s="26"/>
      <c r="AS117" s="26"/>
      <c r="AT117" s="26"/>
      <c r="AU117" s="26"/>
      <c r="AV117" s="274"/>
      <c r="AW117" s="274"/>
      <c r="AX117" s="10"/>
      <c r="AY117" s="10"/>
      <c r="BR117" s="22"/>
      <c r="BV117" s="10"/>
      <c r="BZ117" s="22"/>
      <c r="CD117" s="45"/>
    </row>
    <row r="118" spans="1:82" x14ac:dyDescent="0.25">
      <c r="A118" s="4"/>
      <c r="B118" s="26"/>
      <c r="C118" s="26"/>
      <c r="D118" s="26"/>
      <c r="E118" s="26"/>
      <c r="F118" s="26"/>
      <c r="G118" s="26"/>
      <c r="H118" s="26"/>
      <c r="I118" s="274"/>
      <c r="J118" s="274"/>
      <c r="K118" s="26"/>
      <c r="L118" s="26"/>
      <c r="M118" s="26"/>
      <c r="N118" s="26"/>
      <c r="O118" s="274"/>
      <c r="P118" s="274"/>
      <c r="Q118" s="274"/>
      <c r="R118" s="274"/>
      <c r="S118" s="597"/>
      <c r="T118" s="597"/>
      <c r="U118" s="26"/>
      <c r="V118" s="597"/>
      <c r="W118" s="597"/>
      <c r="X118" s="597"/>
      <c r="Y118" s="597"/>
      <c r="Z118" s="597"/>
      <c r="AA118" s="597"/>
      <c r="AB118" s="597"/>
      <c r="AC118" s="597"/>
      <c r="AD118" s="597"/>
      <c r="AE118" s="597"/>
      <c r="AF118" s="597"/>
      <c r="AG118" s="597"/>
      <c r="AH118" s="597"/>
      <c r="AI118" s="26"/>
      <c r="AJ118" s="26"/>
      <c r="AK118" s="26"/>
      <c r="AL118" s="26"/>
      <c r="AM118" s="26"/>
      <c r="AN118" s="26"/>
      <c r="AO118" s="274"/>
      <c r="AP118" s="274"/>
      <c r="AQ118" s="26"/>
      <c r="AR118" s="26"/>
      <c r="AS118" s="26"/>
      <c r="AT118" s="26"/>
      <c r="AU118" s="26"/>
      <c r="AV118" s="274"/>
      <c r="AW118" s="274"/>
      <c r="AX118" s="10"/>
      <c r="AY118" s="10"/>
      <c r="BR118" s="22"/>
      <c r="BV118" s="10"/>
      <c r="BZ118" s="22"/>
      <c r="CD118" s="45"/>
    </row>
    <row r="119" spans="1:82" x14ac:dyDescent="0.25">
      <c r="A119" s="4"/>
      <c r="B119" s="26"/>
      <c r="C119" s="26"/>
      <c r="D119" s="26"/>
      <c r="E119" s="26"/>
      <c r="F119" s="26"/>
      <c r="G119" s="26"/>
      <c r="H119" s="26"/>
      <c r="I119" s="274"/>
      <c r="J119" s="274"/>
      <c r="K119" s="26"/>
      <c r="L119" s="26"/>
      <c r="M119" s="26"/>
      <c r="N119" s="26"/>
      <c r="O119" s="274"/>
      <c r="P119" s="274"/>
      <c r="Q119" s="274"/>
      <c r="R119" s="274"/>
      <c r="S119" s="597"/>
      <c r="T119" s="597"/>
      <c r="U119" s="26"/>
      <c r="V119" s="597"/>
      <c r="W119" s="597"/>
      <c r="X119" s="597"/>
      <c r="Y119" s="597"/>
      <c r="Z119" s="597"/>
      <c r="AA119" s="597"/>
      <c r="AB119" s="597"/>
      <c r="AC119" s="597"/>
      <c r="AD119" s="597"/>
      <c r="AE119" s="597"/>
      <c r="AF119" s="597"/>
      <c r="AG119" s="597"/>
      <c r="AH119" s="597"/>
      <c r="AI119" s="26"/>
      <c r="AJ119" s="26"/>
      <c r="AK119" s="26"/>
      <c r="AL119" s="26"/>
      <c r="AM119" s="26"/>
      <c r="AN119" s="26"/>
      <c r="AO119" s="274"/>
      <c r="AP119" s="274"/>
      <c r="AQ119" s="26"/>
      <c r="AR119" s="26"/>
      <c r="AS119" s="26"/>
      <c r="AT119" s="26"/>
      <c r="AU119" s="26"/>
      <c r="AV119" s="274"/>
      <c r="AW119" s="274"/>
      <c r="AX119" s="10"/>
      <c r="AY119" s="10"/>
      <c r="BR119" s="22"/>
      <c r="BV119" s="10"/>
      <c r="BZ119" s="22"/>
      <c r="CD119" s="44"/>
    </row>
    <row r="120" spans="1:82" x14ac:dyDescent="0.25">
      <c r="A120" s="4"/>
      <c r="B120" s="26"/>
      <c r="C120" s="26"/>
      <c r="D120" s="26"/>
      <c r="E120" s="26"/>
      <c r="F120" s="26"/>
      <c r="G120" s="26"/>
      <c r="H120" s="26"/>
      <c r="I120" s="274"/>
      <c r="J120" s="274"/>
      <c r="K120" s="26"/>
      <c r="L120" s="26"/>
      <c r="M120" s="26"/>
      <c r="N120" s="26"/>
      <c r="O120" s="274"/>
      <c r="P120" s="274"/>
      <c r="Q120" s="274"/>
      <c r="R120" s="274"/>
      <c r="S120" s="597"/>
      <c r="T120" s="597"/>
      <c r="U120" s="26"/>
      <c r="V120" s="597"/>
      <c r="W120" s="597"/>
      <c r="X120" s="597"/>
      <c r="Y120" s="597"/>
      <c r="Z120" s="597"/>
      <c r="AA120" s="597"/>
      <c r="AB120" s="597"/>
      <c r="AC120" s="597"/>
      <c r="AD120" s="597"/>
      <c r="AE120" s="597"/>
      <c r="AF120" s="597"/>
      <c r="AG120" s="597"/>
      <c r="AH120" s="597"/>
      <c r="AI120" s="26"/>
      <c r="AJ120" s="26"/>
      <c r="AK120" s="26"/>
      <c r="AL120" s="26"/>
      <c r="AM120" s="26"/>
      <c r="AN120" s="26"/>
      <c r="AO120" s="274"/>
      <c r="AP120" s="274"/>
      <c r="AQ120" s="26"/>
      <c r="AR120" s="26"/>
      <c r="AS120" s="26"/>
      <c r="AT120" s="26"/>
      <c r="AU120" s="26"/>
      <c r="AV120" s="274"/>
      <c r="AW120" s="274"/>
      <c r="AX120" s="10"/>
      <c r="AY120" s="10"/>
      <c r="BR120" s="22"/>
      <c r="BV120" s="10"/>
      <c r="BZ120" s="22"/>
      <c r="CD120" s="43"/>
    </row>
    <row r="121" spans="1:82" x14ac:dyDescent="0.25">
      <c r="A121" s="4"/>
      <c r="B121" s="26"/>
      <c r="C121" s="26"/>
      <c r="D121" s="26"/>
      <c r="E121" s="26"/>
      <c r="F121" s="26"/>
      <c r="G121" s="26"/>
      <c r="H121" s="26"/>
      <c r="I121" s="274"/>
      <c r="J121" s="274"/>
      <c r="K121" s="26"/>
      <c r="L121" s="26"/>
      <c r="M121" s="26"/>
      <c r="N121" s="26"/>
      <c r="O121" s="274"/>
      <c r="P121" s="274"/>
      <c r="Q121" s="274"/>
      <c r="R121" s="274"/>
      <c r="S121" s="597"/>
      <c r="T121" s="597"/>
      <c r="U121" s="26"/>
      <c r="V121" s="597"/>
      <c r="W121" s="597"/>
      <c r="X121" s="597"/>
      <c r="Y121" s="597"/>
      <c r="Z121" s="597"/>
      <c r="AA121" s="597"/>
      <c r="AB121" s="597"/>
      <c r="AC121" s="597"/>
      <c r="AD121" s="597"/>
      <c r="AE121" s="597"/>
      <c r="AF121" s="597"/>
      <c r="AG121" s="597"/>
      <c r="AH121" s="597"/>
      <c r="AI121" s="26"/>
      <c r="AJ121" s="26"/>
      <c r="AK121" s="26"/>
      <c r="AL121" s="26"/>
      <c r="AM121" s="26"/>
      <c r="AN121" s="26"/>
      <c r="AO121" s="274"/>
      <c r="AP121" s="274"/>
      <c r="AQ121" s="26"/>
      <c r="AR121" s="26"/>
      <c r="AS121" s="26"/>
      <c r="AT121" s="26"/>
      <c r="AU121" s="26"/>
      <c r="AV121" s="274"/>
      <c r="AW121" s="274"/>
      <c r="AX121" s="10"/>
      <c r="AY121" s="10"/>
      <c r="BR121" s="22"/>
      <c r="BV121" s="10"/>
      <c r="BZ121" s="22"/>
      <c r="CD121" s="43"/>
    </row>
    <row r="122" spans="1:82" x14ac:dyDescent="0.25">
      <c r="A122" s="4"/>
      <c r="B122" s="26"/>
      <c r="C122" s="26"/>
      <c r="D122" s="26"/>
      <c r="E122" s="26"/>
      <c r="F122" s="26"/>
      <c r="G122" s="26"/>
      <c r="H122" s="26"/>
      <c r="I122" s="274"/>
      <c r="J122" s="274"/>
      <c r="K122" s="26"/>
      <c r="L122" s="26"/>
      <c r="M122" s="26"/>
      <c r="N122" s="26"/>
      <c r="O122" s="274"/>
      <c r="P122" s="274"/>
      <c r="Q122" s="274"/>
      <c r="R122" s="274"/>
      <c r="S122" s="597"/>
      <c r="T122" s="597"/>
      <c r="U122" s="26"/>
      <c r="V122" s="597"/>
      <c r="W122" s="597"/>
      <c r="X122" s="597"/>
      <c r="Y122" s="597"/>
      <c r="Z122" s="597"/>
      <c r="AA122" s="597"/>
      <c r="AB122" s="597"/>
      <c r="AC122" s="597"/>
      <c r="AD122" s="597"/>
      <c r="AE122" s="597"/>
      <c r="AF122" s="597"/>
      <c r="AG122" s="597"/>
      <c r="AH122" s="597"/>
      <c r="AI122" s="26"/>
      <c r="AJ122" s="26"/>
      <c r="AK122" s="26"/>
      <c r="AL122" s="26"/>
      <c r="AM122" s="26"/>
      <c r="AN122" s="26"/>
      <c r="AO122" s="274"/>
      <c r="AP122" s="274"/>
      <c r="AQ122" s="26"/>
      <c r="AR122" s="26"/>
      <c r="AS122" s="26"/>
      <c r="AT122" s="26"/>
      <c r="AU122" s="26"/>
      <c r="AV122" s="274"/>
      <c r="AW122" s="274"/>
      <c r="AX122" s="10"/>
      <c r="AY122" s="10"/>
      <c r="BR122" s="22"/>
      <c r="BV122" s="10"/>
      <c r="BZ122" s="22"/>
      <c r="CD122" s="42"/>
    </row>
    <row r="123" spans="1:82" x14ac:dyDescent="0.25">
      <c r="A123" s="4"/>
      <c r="B123" s="26"/>
      <c r="C123" s="26"/>
      <c r="D123" s="26"/>
      <c r="E123" s="26"/>
      <c r="F123" s="26"/>
      <c r="G123" s="26"/>
      <c r="H123" s="26"/>
      <c r="I123" s="274"/>
      <c r="J123" s="274"/>
      <c r="K123" s="26"/>
      <c r="L123" s="26"/>
      <c r="M123" s="26"/>
      <c r="N123" s="26"/>
      <c r="O123" s="274"/>
      <c r="P123" s="274"/>
      <c r="Q123" s="274"/>
      <c r="R123" s="274"/>
      <c r="S123" s="597"/>
      <c r="T123" s="597"/>
      <c r="U123" s="26"/>
      <c r="V123" s="597"/>
      <c r="W123" s="597"/>
      <c r="X123" s="597"/>
      <c r="Y123" s="597"/>
      <c r="Z123" s="597"/>
      <c r="AA123" s="597"/>
      <c r="AB123" s="597"/>
      <c r="AC123" s="597"/>
      <c r="AD123" s="597"/>
      <c r="AE123" s="597"/>
      <c r="AF123" s="597"/>
      <c r="AG123" s="597"/>
      <c r="AH123" s="597"/>
      <c r="AI123" s="26"/>
      <c r="AJ123" s="26"/>
      <c r="AK123" s="26"/>
      <c r="AL123" s="26"/>
      <c r="AM123" s="26"/>
      <c r="AN123" s="26"/>
      <c r="AO123" s="274"/>
      <c r="AP123" s="274"/>
      <c r="AQ123" s="26"/>
      <c r="AR123" s="26"/>
      <c r="AS123" s="26"/>
      <c r="AT123" s="26"/>
      <c r="AU123" s="26"/>
      <c r="AV123" s="274"/>
      <c r="AW123" s="274"/>
      <c r="AX123" s="10"/>
      <c r="AY123" s="10"/>
      <c r="BR123" s="22"/>
      <c r="BV123" s="10"/>
      <c r="BZ123" s="22"/>
      <c r="CD123" s="41"/>
    </row>
    <row r="124" spans="1:82" x14ac:dyDescent="0.25">
      <c r="A124" s="4"/>
      <c r="B124" s="26"/>
      <c r="C124" s="26"/>
      <c r="D124" s="26"/>
      <c r="E124" s="26"/>
      <c r="F124" s="26"/>
      <c r="G124" s="26"/>
      <c r="H124" s="26"/>
      <c r="I124" s="274"/>
      <c r="J124" s="274"/>
      <c r="K124" s="26"/>
      <c r="L124" s="26"/>
      <c r="M124" s="26"/>
      <c r="N124" s="26"/>
      <c r="O124" s="274"/>
      <c r="P124" s="274"/>
      <c r="Q124" s="274"/>
      <c r="R124" s="274"/>
      <c r="S124" s="597"/>
      <c r="T124" s="597"/>
      <c r="U124" s="26"/>
      <c r="V124" s="597"/>
      <c r="W124" s="597"/>
      <c r="X124" s="597"/>
      <c r="Y124" s="597"/>
      <c r="Z124" s="597"/>
      <c r="AA124" s="597"/>
      <c r="AB124" s="597"/>
      <c r="AC124" s="597"/>
      <c r="AD124" s="597"/>
      <c r="AE124" s="597"/>
      <c r="AF124" s="597"/>
      <c r="AG124" s="597"/>
      <c r="AH124" s="597"/>
      <c r="AI124" s="26"/>
      <c r="AJ124" s="26"/>
      <c r="AK124" s="26"/>
      <c r="AL124" s="26"/>
      <c r="AM124" s="26"/>
      <c r="AN124" s="26"/>
      <c r="AO124" s="274"/>
      <c r="AP124" s="274"/>
      <c r="AQ124" s="26"/>
      <c r="AR124" s="26"/>
      <c r="AS124" s="26"/>
      <c r="AT124" s="26"/>
      <c r="AU124" s="26"/>
      <c r="AV124" s="274"/>
      <c r="AW124" s="274"/>
      <c r="AX124" s="10"/>
      <c r="AY124" s="10"/>
      <c r="BR124" s="22"/>
      <c r="BV124" s="10"/>
      <c r="BZ124" s="22"/>
      <c r="CD124" s="40"/>
    </row>
    <row r="125" spans="1:82" x14ac:dyDescent="0.25">
      <c r="A125" s="4"/>
      <c r="B125" s="26"/>
      <c r="C125" s="26"/>
      <c r="D125" s="26"/>
      <c r="E125" s="26"/>
      <c r="F125" s="26"/>
      <c r="G125" s="26"/>
      <c r="H125" s="26"/>
      <c r="I125" s="274"/>
      <c r="J125" s="274"/>
      <c r="K125" s="26"/>
      <c r="L125" s="26"/>
      <c r="M125" s="26"/>
      <c r="N125" s="26"/>
      <c r="O125" s="274"/>
      <c r="P125" s="274"/>
      <c r="Q125" s="274"/>
      <c r="R125" s="274"/>
      <c r="S125" s="597"/>
      <c r="T125" s="597"/>
      <c r="U125" s="26"/>
      <c r="V125" s="597"/>
      <c r="W125" s="597"/>
      <c r="X125" s="597"/>
      <c r="Y125" s="597"/>
      <c r="Z125" s="597"/>
      <c r="AA125" s="597"/>
      <c r="AB125" s="597"/>
      <c r="AC125" s="597"/>
      <c r="AD125" s="597"/>
      <c r="AE125" s="597"/>
      <c r="AF125" s="597"/>
      <c r="AG125" s="597"/>
      <c r="AH125" s="597"/>
      <c r="AI125" s="26"/>
      <c r="AJ125" s="26"/>
      <c r="AK125" s="26"/>
      <c r="AL125" s="26"/>
      <c r="AM125" s="26"/>
      <c r="AN125" s="26"/>
      <c r="AO125" s="274"/>
      <c r="AP125" s="274"/>
      <c r="AQ125" s="26"/>
      <c r="AR125" s="26"/>
      <c r="AS125" s="26"/>
      <c r="AT125" s="26"/>
      <c r="AU125" s="26"/>
      <c r="AV125" s="274"/>
      <c r="AW125" s="274"/>
      <c r="AX125" s="10"/>
      <c r="AY125" s="10"/>
      <c r="BR125" s="22"/>
      <c r="BV125" s="10"/>
      <c r="BZ125" s="22"/>
      <c r="CD125" s="39"/>
    </row>
    <row r="126" spans="1:82" x14ac:dyDescent="0.25">
      <c r="A126" s="4"/>
      <c r="B126" s="26"/>
      <c r="C126" s="26"/>
      <c r="D126" s="26"/>
      <c r="E126" s="26"/>
      <c r="F126" s="26"/>
      <c r="G126" s="26"/>
      <c r="H126" s="26"/>
      <c r="I126" s="274"/>
      <c r="J126" s="274"/>
      <c r="K126" s="26"/>
      <c r="L126" s="26"/>
      <c r="M126" s="26"/>
      <c r="N126" s="26"/>
      <c r="O126" s="274"/>
      <c r="P126" s="274"/>
      <c r="Q126" s="274"/>
      <c r="R126" s="274"/>
      <c r="S126" s="597"/>
      <c r="T126" s="597"/>
      <c r="U126" s="26"/>
      <c r="V126" s="597"/>
      <c r="W126" s="597"/>
      <c r="X126" s="597"/>
      <c r="Y126" s="597"/>
      <c r="Z126" s="597"/>
      <c r="AA126" s="597"/>
      <c r="AB126" s="597"/>
      <c r="AC126" s="597"/>
      <c r="AD126" s="597"/>
      <c r="AE126" s="597"/>
      <c r="AF126" s="597"/>
      <c r="AG126" s="597"/>
      <c r="AH126" s="597"/>
      <c r="AI126" s="26"/>
      <c r="AJ126" s="26"/>
      <c r="AK126" s="26"/>
      <c r="AL126" s="26"/>
      <c r="AM126" s="26"/>
      <c r="AN126" s="26"/>
      <c r="AO126" s="274"/>
      <c r="AP126" s="274"/>
      <c r="AQ126" s="26"/>
      <c r="AR126" s="26"/>
      <c r="AS126" s="26"/>
      <c r="AT126" s="26"/>
      <c r="AU126" s="26"/>
      <c r="AV126" s="274"/>
      <c r="AW126" s="274"/>
      <c r="AX126" s="10"/>
      <c r="AY126" s="10"/>
      <c r="BR126" s="22"/>
      <c r="BV126" s="10"/>
      <c r="BZ126" s="22"/>
      <c r="CD126" s="36"/>
    </row>
    <row r="127" spans="1:82" x14ac:dyDescent="0.25">
      <c r="A127" s="4"/>
      <c r="B127" s="26"/>
      <c r="C127" s="26"/>
      <c r="D127" s="26"/>
      <c r="E127" s="26"/>
      <c r="F127" s="26"/>
      <c r="G127" s="26"/>
      <c r="H127" s="26"/>
      <c r="I127" s="274"/>
      <c r="J127" s="274"/>
      <c r="K127" s="26"/>
      <c r="L127" s="26"/>
      <c r="M127" s="26"/>
      <c r="N127" s="26"/>
      <c r="O127" s="274"/>
      <c r="P127" s="274"/>
      <c r="Q127" s="274"/>
      <c r="R127" s="274"/>
      <c r="S127" s="597"/>
      <c r="T127" s="597"/>
      <c r="U127" s="26"/>
      <c r="V127" s="597"/>
      <c r="W127" s="597"/>
      <c r="X127" s="597"/>
      <c r="Y127" s="597"/>
      <c r="Z127" s="597"/>
      <c r="AA127" s="597"/>
      <c r="AB127" s="597"/>
      <c r="AC127" s="597"/>
      <c r="AD127" s="597"/>
      <c r="AE127" s="597"/>
      <c r="AF127" s="597"/>
      <c r="AG127" s="597"/>
      <c r="AH127" s="597"/>
      <c r="AI127" s="26"/>
      <c r="AJ127" s="26"/>
      <c r="AK127" s="26"/>
      <c r="AL127" s="26"/>
      <c r="AM127" s="26"/>
      <c r="AN127" s="26"/>
      <c r="AO127" s="274"/>
      <c r="AP127" s="274"/>
      <c r="AQ127" s="26"/>
      <c r="AR127" s="26"/>
      <c r="AS127" s="26"/>
      <c r="AT127" s="26"/>
      <c r="AU127" s="26"/>
      <c r="AV127" s="274"/>
      <c r="AW127" s="274"/>
      <c r="AX127" s="10"/>
      <c r="AY127" s="10"/>
      <c r="BR127" s="22"/>
      <c r="BV127" s="10"/>
      <c r="BZ127" s="22"/>
      <c r="CD127" s="33"/>
    </row>
    <row r="128" spans="1:82" x14ac:dyDescent="0.25">
      <c r="A128" s="4"/>
      <c r="B128" s="26"/>
      <c r="C128" s="26"/>
      <c r="D128" s="26"/>
      <c r="E128" s="26"/>
      <c r="F128" s="26"/>
      <c r="G128" s="26"/>
      <c r="H128" s="26"/>
      <c r="I128" s="274"/>
      <c r="J128" s="274"/>
      <c r="K128" s="26"/>
      <c r="L128" s="26"/>
      <c r="M128" s="26"/>
      <c r="N128" s="26"/>
      <c r="O128" s="274"/>
      <c r="P128" s="274"/>
      <c r="Q128" s="274"/>
      <c r="R128" s="274"/>
      <c r="S128" s="597"/>
      <c r="T128" s="597"/>
      <c r="U128" s="26"/>
      <c r="V128" s="597"/>
      <c r="W128" s="597"/>
      <c r="X128" s="597"/>
      <c r="Y128" s="597"/>
      <c r="Z128" s="597"/>
      <c r="AA128" s="597"/>
      <c r="AB128" s="597"/>
      <c r="AC128" s="597"/>
      <c r="AD128" s="597"/>
      <c r="AE128" s="597"/>
      <c r="AF128" s="597"/>
      <c r="AG128" s="597"/>
      <c r="AH128" s="597"/>
      <c r="AI128" s="26"/>
      <c r="AJ128" s="26"/>
      <c r="AK128" s="26"/>
      <c r="AL128" s="26"/>
      <c r="AM128" s="26"/>
      <c r="AN128" s="26"/>
      <c r="AO128" s="274"/>
      <c r="AP128" s="274"/>
      <c r="AQ128" s="26"/>
      <c r="AR128" s="26"/>
      <c r="AS128" s="26"/>
      <c r="AT128" s="26"/>
      <c r="AU128" s="26"/>
      <c r="AV128" s="274"/>
      <c r="AW128" s="274"/>
      <c r="AX128" s="10"/>
      <c r="AY128" s="10"/>
      <c r="BR128" s="22"/>
      <c r="BV128" s="10"/>
      <c r="BZ128" s="22"/>
      <c r="CD128" s="31"/>
    </row>
    <row r="129" spans="1:82" x14ac:dyDescent="0.25">
      <c r="A129" s="4"/>
      <c r="B129" s="26"/>
      <c r="C129" s="26"/>
      <c r="D129" s="26"/>
      <c r="E129" s="26"/>
      <c r="F129" s="26"/>
      <c r="G129" s="26"/>
      <c r="H129" s="26"/>
      <c r="I129" s="274"/>
      <c r="J129" s="274"/>
      <c r="K129" s="26"/>
      <c r="L129" s="26"/>
      <c r="M129" s="26"/>
      <c r="N129" s="26"/>
      <c r="O129" s="274"/>
      <c r="P129" s="274"/>
      <c r="Q129" s="274"/>
      <c r="R129" s="274"/>
      <c r="S129" s="597"/>
      <c r="T129" s="597"/>
      <c r="U129" s="26"/>
      <c r="V129" s="597"/>
      <c r="W129" s="597"/>
      <c r="X129" s="597"/>
      <c r="Y129" s="597"/>
      <c r="Z129" s="597"/>
      <c r="AA129" s="597"/>
      <c r="AB129" s="597"/>
      <c r="AC129" s="597"/>
      <c r="AD129" s="597"/>
      <c r="AE129" s="597"/>
      <c r="AF129" s="597"/>
      <c r="AG129" s="597"/>
      <c r="AH129" s="597"/>
      <c r="AI129" s="26"/>
      <c r="AJ129" s="26"/>
      <c r="AK129" s="26"/>
      <c r="AL129" s="26"/>
      <c r="AM129" s="26"/>
      <c r="AN129" s="26"/>
      <c r="AO129" s="274"/>
      <c r="AP129" s="274"/>
      <c r="AQ129" s="26"/>
      <c r="AR129" s="26"/>
      <c r="AS129" s="26"/>
      <c r="AT129" s="26"/>
      <c r="AU129" s="26"/>
      <c r="AV129" s="274"/>
      <c r="AW129" s="274"/>
      <c r="AX129" s="10"/>
      <c r="AY129" s="10"/>
      <c r="BR129" s="22"/>
      <c r="BV129" s="10"/>
      <c r="BZ129" s="22"/>
      <c r="CD129" s="29"/>
    </row>
    <row r="130" spans="1:82" x14ac:dyDescent="0.25">
      <c r="A130" s="4"/>
      <c r="B130" s="26"/>
      <c r="C130" s="26"/>
      <c r="D130" s="26"/>
      <c r="E130" s="26"/>
      <c r="F130" s="26"/>
      <c r="G130" s="26"/>
      <c r="H130" s="26"/>
      <c r="I130" s="274"/>
      <c r="J130" s="274"/>
      <c r="K130" s="26"/>
      <c r="L130" s="26"/>
      <c r="M130" s="26"/>
      <c r="N130" s="26"/>
      <c r="O130" s="274"/>
      <c r="P130" s="274"/>
      <c r="Q130" s="274"/>
      <c r="R130" s="274"/>
      <c r="S130" s="597"/>
      <c r="T130" s="597"/>
      <c r="U130" s="26"/>
      <c r="V130" s="597"/>
      <c r="W130" s="597"/>
      <c r="X130" s="597"/>
      <c r="Y130" s="597"/>
      <c r="Z130" s="597"/>
      <c r="AA130" s="597"/>
      <c r="AB130" s="597"/>
      <c r="AC130" s="597"/>
      <c r="AD130" s="597"/>
      <c r="AE130" s="597"/>
      <c r="AF130" s="597"/>
      <c r="AG130" s="597"/>
      <c r="AH130" s="597"/>
      <c r="AI130" s="26"/>
      <c r="AJ130" s="26"/>
      <c r="AK130" s="26"/>
      <c r="AL130" s="26"/>
      <c r="AM130" s="26"/>
      <c r="AN130" s="26"/>
      <c r="AO130" s="274"/>
      <c r="AP130" s="274"/>
      <c r="AQ130" s="26"/>
      <c r="AR130" s="26"/>
      <c r="AS130" s="26"/>
      <c r="AT130" s="26"/>
      <c r="AU130" s="26"/>
      <c r="AV130" s="274"/>
      <c r="AW130" s="274"/>
      <c r="AX130" s="10"/>
      <c r="AY130" s="10"/>
      <c r="BR130" s="22"/>
      <c r="BV130" s="10"/>
      <c r="BZ130" s="22"/>
      <c r="CD130" s="29"/>
    </row>
    <row r="131" spans="1:82" x14ac:dyDescent="0.25">
      <c r="A131" s="4"/>
      <c r="B131" s="26"/>
      <c r="C131" s="26"/>
      <c r="D131" s="26"/>
      <c r="E131" s="26"/>
      <c r="F131" s="26"/>
      <c r="G131" s="26"/>
      <c r="H131" s="26"/>
      <c r="I131" s="274"/>
      <c r="J131" s="274"/>
      <c r="K131" s="26"/>
      <c r="L131" s="26"/>
      <c r="M131" s="26"/>
      <c r="N131" s="26"/>
      <c r="O131" s="274"/>
      <c r="P131" s="274"/>
      <c r="Q131" s="274"/>
      <c r="R131" s="274"/>
      <c r="S131" s="597"/>
      <c r="T131" s="597"/>
      <c r="U131" s="26"/>
      <c r="V131" s="597"/>
      <c r="W131" s="597"/>
      <c r="X131" s="597"/>
      <c r="Y131" s="597"/>
      <c r="Z131" s="597"/>
      <c r="AA131" s="597"/>
      <c r="AB131" s="597"/>
      <c r="AC131" s="597"/>
      <c r="AD131" s="597"/>
      <c r="AE131" s="597"/>
      <c r="AF131" s="597"/>
      <c r="AG131" s="597"/>
      <c r="AH131" s="597"/>
      <c r="AI131" s="26"/>
      <c r="AJ131" s="26"/>
      <c r="AK131" s="26"/>
      <c r="AL131" s="26"/>
      <c r="AM131" s="26"/>
      <c r="AN131" s="26"/>
      <c r="AO131" s="274"/>
      <c r="AP131" s="274"/>
      <c r="AQ131" s="26"/>
      <c r="AR131" s="26"/>
      <c r="AS131" s="26"/>
      <c r="AT131" s="26"/>
      <c r="AU131" s="26"/>
      <c r="AV131" s="274"/>
      <c r="AW131" s="274"/>
      <c r="AX131" s="10"/>
      <c r="AY131" s="10"/>
      <c r="BR131" s="22"/>
      <c r="BV131" s="10"/>
      <c r="BZ131" s="22"/>
      <c r="CD131" s="29"/>
    </row>
    <row r="132" spans="1:82" x14ac:dyDescent="0.25">
      <c r="A132" s="4"/>
      <c r="B132" s="26"/>
      <c r="C132" s="26"/>
      <c r="D132" s="26"/>
      <c r="E132" s="26"/>
      <c r="F132" s="26"/>
      <c r="G132" s="26"/>
      <c r="H132" s="26"/>
      <c r="I132" s="274"/>
      <c r="J132" s="274"/>
      <c r="K132" s="26"/>
      <c r="L132" s="26"/>
      <c r="M132" s="26"/>
      <c r="N132" s="26"/>
      <c r="O132" s="274"/>
      <c r="P132" s="274"/>
      <c r="Q132" s="274"/>
      <c r="R132" s="274"/>
      <c r="S132" s="597"/>
      <c r="T132" s="597"/>
      <c r="U132" s="26"/>
      <c r="V132" s="597"/>
      <c r="W132" s="597"/>
      <c r="X132" s="597"/>
      <c r="Y132" s="597"/>
      <c r="Z132" s="597"/>
      <c r="AA132" s="597"/>
      <c r="AB132" s="597"/>
      <c r="AC132" s="597"/>
      <c r="AD132" s="597"/>
      <c r="AE132" s="597"/>
      <c r="AF132" s="597"/>
      <c r="AG132" s="597"/>
      <c r="AH132" s="597"/>
      <c r="AI132" s="26"/>
      <c r="AJ132" s="26"/>
      <c r="AK132" s="26"/>
      <c r="AL132" s="26"/>
      <c r="AM132" s="26"/>
      <c r="AN132" s="26"/>
      <c r="AO132" s="274"/>
      <c r="AP132" s="274"/>
      <c r="AQ132" s="26"/>
      <c r="AR132" s="26"/>
      <c r="AS132" s="26"/>
      <c r="AT132" s="26"/>
      <c r="AU132" s="26"/>
      <c r="AV132" s="274"/>
      <c r="AW132" s="274"/>
      <c r="AX132" s="10"/>
      <c r="AY132" s="10"/>
      <c r="BR132" s="22"/>
      <c r="BV132" s="10"/>
      <c r="BZ132" s="22"/>
      <c r="CD132" s="29"/>
    </row>
    <row r="133" spans="1:82" x14ac:dyDescent="0.25">
      <c r="A133" s="4"/>
      <c r="B133" s="26"/>
      <c r="C133" s="26"/>
      <c r="D133" s="26"/>
      <c r="E133" s="26"/>
      <c r="F133" s="26"/>
      <c r="G133" s="26"/>
      <c r="H133" s="26"/>
      <c r="I133" s="274"/>
      <c r="J133" s="274"/>
      <c r="K133" s="26"/>
      <c r="L133" s="26"/>
      <c r="M133" s="26"/>
      <c r="N133" s="26"/>
      <c r="O133" s="274"/>
      <c r="P133" s="274"/>
      <c r="Q133" s="274"/>
      <c r="R133" s="274"/>
      <c r="S133" s="597"/>
      <c r="T133" s="597"/>
      <c r="U133" s="26"/>
      <c r="V133" s="597"/>
      <c r="W133" s="597"/>
      <c r="X133" s="597"/>
      <c r="Y133" s="597"/>
      <c r="Z133" s="597"/>
      <c r="AA133" s="597"/>
      <c r="AB133" s="597"/>
      <c r="AC133" s="597"/>
      <c r="AD133" s="597"/>
      <c r="AE133" s="597"/>
      <c r="AF133" s="597"/>
      <c r="AG133" s="597"/>
      <c r="AH133" s="597"/>
      <c r="AI133" s="26"/>
      <c r="AJ133" s="26"/>
      <c r="AK133" s="26"/>
      <c r="AL133" s="26"/>
      <c r="AM133" s="26"/>
      <c r="AN133" s="26"/>
      <c r="AO133" s="274"/>
      <c r="AP133" s="274"/>
      <c r="AQ133" s="26"/>
      <c r="AR133" s="26"/>
      <c r="AS133" s="26"/>
      <c r="AT133" s="26"/>
      <c r="AU133" s="26"/>
      <c r="AV133" s="274"/>
      <c r="AW133" s="274"/>
      <c r="AX133" s="10"/>
      <c r="AY133" s="10"/>
      <c r="BR133" s="22"/>
      <c r="BV133" s="10"/>
      <c r="BZ133" s="22"/>
    </row>
    <row r="134" spans="1:82" x14ac:dyDescent="0.25">
      <c r="A134" s="4"/>
      <c r="B134" s="26"/>
      <c r="C134" s="26"/>
      <c r="D134" s="26"/>
      <c r="E134" s="26"/>
      <c r="F134" s="26"/>
      <c r="G134" s="26"/>
      <c r="H134" s="26"/>
      <c r="I134" s="274"/>
      <c r="J134" s="274"/>
      <c r="K134" s="26"/>
      <c r="L134" s="26"/>
      <c r="M134" s="26"/>
      <c r="N134" s="26"/>
      <c r="O134" s="274"/>
      <c r="P134" s="274"/>
      <c r="Q134" s="274"/>
      <c r="R134" s="274"/>
      <c r="S134" s="597"/>
      <c r="T134" s="597"/>
      <c r="U134" s="26"/>
      <c r="V134" s="597"/>
      <c r="W134" s="597"/>
      <c r="X134" s="597"/>
      <c r="Y134" s="597"/>
      <c r="Z134" s="597"/>
      <c r="AA134" s="597"/>
      <c r="AB134" s="597"/>
      <c r="AC134" s="597"/>
      <c r="AD134" s="597"/>
      <c r="AE134" s="597"/>
      <c r="AF134" s="597"/>
      <c r="AG134" s="597"/>
      <c r="AH134" s="597"/>
      <c r="AI134" s="26"/>
      <c r="AJ134" s="26"/>
      <c r="AK134" s="26"/>
      <c r="AL134" s="26"/>
      <c r="AM134" s="26"/>
      <c r="AN134" s="26"/>
      <c r="AO134" s="274"/>
      <c r="AP134" s="274"/>
      <c r="AQ134" s="26"/>
      <c r="AR134" s="26"/>
      <c r="AS134" s="26"/>
      <c r="AT134" s="26"/>
      <c r="AU134" s="26"/>
      <c r="AV134" s="274"/>
      <c r="AW134" s="274"/>
      <c r="AX134" s="10"/>
      <c r="AY134" s="10"/>
      <c r="BR134" s="22"/>
      <c r="BV134" s="10"/>
      <c r="BZ134" s="22"/>
    </row>
    <row r="135" spans="1:82" x14ac:dyDescent="0.25">
      <c r="A135" s="4"/>
      <c r="B135" s="26"/>
      <c r="C135" s="26"/>
      <c r="D135" s="26"/>
      <c r="E135" s="26"/>
      <c r="F135" s="26"/>
      <c r="G135" s="26"/>
      <c r="H135" s="26"/>
      <c r="I135" s="274"/>
      <c r="J135" s="274"/>
      <c r="K135" s="26"/>
      <c r="L135" s="26"/>
      <c r="M135" s="26"/>
      <c r="N135" s="26"/>
      <c r="O135" s="274"/>
      <c r="P135" s="274"/>
      <c r="Q135" s="274"/>
      <c r="R135" s="274"/>
      <c r="S135" s="597"/>
      <c r="T135" s="597"/>
      <c r="U135" s="26"/>
      <c r="V135" s="597"/>
      <c r="W135" s="597"/>
      <c r="X135" s="597"/>
      <c r="Y135" s="597"/>
      <c r="Z135" s="597"/>
      <c r="AA135" s="597"/>
      <c r="AB135" s="597"/>
      <c r="AC135" s="597"/>
      <c r="AD135" s="597"/>
      <c r="AE135" s="597"/>
      <c r="AF135" s="597"/>
      <c r="AG135" s="597"/>
      <c r="AH135" s="597"/>
      <c r="AI135" s="26"/>
      <c r="AJ135" s="26"/>
      <c r="AK135" s="26"/>
      <c r="AL135" s="26"/>
      <c r="AM135" s="26"/>
      <c r="AN135" s="26"/>
      <c r="AO135" s="274"/>
      <c r="AP135" s="274"/>
      <c r="AQ135" s="26"/>
      <c r="AR135" s="26"/>
      <c r="AS135" s="26"/>
      <c r="AT135" s="26"/>
      <c r="AU135" s="26"/>
      <c r="AV135" s="274"/>
      <c r="AW135" s="274"/>
      <c r="AX135" s="10"/>
      <c r="AY135" s="10"/>
      <c r="BR135" s="22"/>
      <c r="BV135" s="10"/>
      <c r="BZ135" s="22"/>
    </row>
    <row r="136" spans="1:82" x14ac:dyDescent="0.25">
      <c r="A136" s="4"/>
      <c r="B136" s="26"/>
      <c r="C136" s="26"/>
      <c r="D136" s="26"/>
      <c r="E136" s="26"/>
      <c r="F136" s="26"/>
      <c r="G136" s="26"/>
      <c r="H136" s="26"/>
      <c r="I136" s="274"/>
      <c r="J136" s="274"/>
      <c r="K136" s="26"/>
      <c r="L136" s="26"/>
      <c r="M136" s="26"/>
      <c r="N136" s="26"/>
      <c r="O136" s="274"/>
      <c r="P136" s="274"/>
      <c r="Q136" s="274"/>
      <c r="R136" s="274"/>
      <c r="S136" s="597"/>
      <c r="T136" s="597"/>
      <c r="U136" s="26"/>
      <c r="V136" s="597"/>
      <c r="W136" s="597"/>
      <c r="X136" s="597"/>
      <c r="Y136" s="597"/>
      <c r="Z136" s="597"/>
      <c r="AA136" s="597"/>
      <c r="AB136" s="597"/>
      <c r="AC136" s="597"/>
      <c r="AD136" s="597"/>
      <c r="AE136" s="597"/>
      <c r="AF136" s="597"/>
      <c r="AG136" s="597"/>
      <c r="AH136" s="597"/>
      <c r="AI136" s="26"/>
      <c r="AJ136" s="26"/>
      <c r="AK136" s="26"/>
      <c r="AL136" s="26"/>
      <c r="AM136" s="26"/>
      <c r="AN136" s="26"/>
      <c r="AO136" s="274"/>
      <c r="AP136" s="274"/>
      <c r="AQ136" s="26"/>
      <c r="AR136" s="26"/>
      <c r="AS136" s="26"/>
      <c r="AT136" s="26"/>
      <c r="AU136" s="26"/>
      <c r="AV136" s="274"/>
      <c r="AW136" s="274"/>
      <c r="AX136" s="10"/>
      <c r="AY136" s="10"/>
      <c r="BR136" s="22"/>
      <c r="BV136" s="10"/>
      <c r="BZ136" s="22"/>
    </row>
    <row r="137" spans="1:82" x14ac:dyDescent="0.25">
      <c r="A137" s="4"/>
      <c r="B137" s="26"/>
      <c r="C137" s="26"/>
      <c r="D137" s="26"/>
      <c r="E137" s="26"/>
      <c r="F137" s="26"/>
      <c r="G137" s="26"/>
      <c r="H137" s="26"/>
      <c r="I137" s="274"/>
      <c r="J137" s="274"/>
      <c r="K137" s="26"/>
      <c r="L137" s="26"/>
      <c r="M137" s="26"/>
      <c r="N137" s="26"/>
      <c r="O137" s="274"/>
      <c r="P137" s="274"/>
      <c r="Q137" s="274"/>
      <c r="R137" s="274"/>
      <c r="S137" s="597"/>
      <c r="T137" s="597"/>
      <c r="U137" s="26"/>
      <c r="V137" s="597"/>
      <c r="W137" s="597"/>
      <c r="X137" s="597"/>
      <c r="Y137" s="597"/>
      <c r="Z137" s="597"/>
      <c r="AA137" s="597"/>
      <c r="AB137" s="597"/>
      <c r="AC137" s="597"/>
      <c r="AD137" s="597"/>
      <c r="AE137" s="597"/>
      <c r="AF137" s="597"/>
      <c r="AG137" s="597"/>
      <c r="AH137" s="597"/>
      <c r="AI137" s="26"/>
      <c r="AJ137" s="26"/>
      <c r="AK137" s="26"/>
      <c r="AL137" s="26"/>
      <c r="AM137" s="26"/>
      <c r="AN137" s="26"/>
      <c r="AO137" s="274"/>
      <c r="AP137" s="274"/>
      <c r="AQ137" s="26"/>
      <c r="AR137" s="26"/>
      <c r="AS137" s="26"/>
      <c r="AT137" s="26"/>
      <c r="AU137" s="26"/>
      <c r="AV137" s="274"/>
      <c r="AW137" s="274"/>
      <c r="AX137" s="10"/>
      <c r="AY137" s="10"/>
      <c r="BR137" s="22"/>
      <c r="BV137" s="10"/>
      <c r="BZ137" s="22"/>
    </row>
    <row r="138" spans="1:82" x14ac:dyDescent="0.25">
      <c r="A138" s="4"/>
      <c r="B138" s="26"/>
      <c r="C138" s="26"/>
      <c r="D138" s="26"/>
      <c r="E138" s="26"/>
      <c r="F138" s="26"/>
      <c r="G138" s="26"/>
      <c r="H138" s="26"/>
      <c r="I138" s="274"/>
      <c r="J138" s="274"/>
      <c r="K138" s="26"/>
      <c r="L138" s="26"/>
      <c r="M138" s="26"/>
      <c r="N138" s="26"/>
      <c r="O138" s="274"/>
      <c r="P138" s="274"/>
      <c r="Q138" s="274"/>
      <c r="R138" s="274"/>
      <c r="S138" s="597"/>
      <c r="T138" s="597"/>
      <c r="U138" s="26"/>
      <c r="V138" s="597"/>
      <c r="W138" s="597"/>
      <c r="X138" s="597"/>
      <c r="Y138" s="597"/>
      <c r="Z138" s="597"/>
      <c r="AA138" s="597"/>
      <c r="AB138" s="597"/>
      <c r="AC138" s="597"/>
      <c r="AD138" s="597"/>
      <c r="AE138" s="597"/>
      <c r="AF138" s="597"/>
      <c r="AG138" s="597"/>
      <c r="AH138" s="597"/>
      <c r="AI138" s="26"/>
      <c r="AJ138" s="26"/>
      <c r="AK138" s="26"/>
      <c r="AL138" s="26"/>
      <c r="AM138" s="26"/>
      <c r="AN138" s="26"/>
      <c r="AO138" s="274"/>
      <c r="AP138" s="274"/>
      <c r="AQ138" s="26"/>
      <c r="AR138" s="26"/>
      <c r="AS138" s="26"/>
      <c r="AT138" s="26"/>
      <c r="AU138" s="26"/>
      <c r="AV138" s="274"/>
      <c r="AW138" s="274"/>
      <c r="AX138" s="10"/>
      <c r="AY138" s="10"/>
      <c r="BR138" s="22"/>
      <c r="BV138" s="10"/>
      <c r="BZ138" s="22"/>
    </row>
    <row r="139" spans="1:82" x14ac:dyDescent="0.25">
      <c r="A139" s="4"/>
      <c r="B139" s="26"/>
      <c r="C139" s="26"/>
      <c r="D139" s="26"/>
      <c r="E139" s="26"/>
      <c r="F139" s="26"/>
      <c r="G139" s="26"/>
      <c r="H139" s="26"/>
      <c r="I139" s="274"/>
      <c r="J139" s="274"/>
      <c r="K139" s="26"/>
      <c r="L139" s="26"/>
      <c r="M139" s="26"/>
      <c r="N139" s="26"/>
      <c r="O139" s="274"/>
      <c r="P139" s="274"/>
      <c r="Q139" s="274"/>
      <c r="R139" s="274"/>
      <c r="S139" s="271"/>
      <c r="T139" s="597"/>
      <c r="U139" s="17"/>
      <c r="V139" s="271"/>
      <c r="W139" s="271"/>
      <c r="X139" s="271"/>
      <c r="Y139" s="271"/>
      <c r="Z139" s="271"/>
      <c r="AA139" s="271"/>
      <c r="AB139" s="271"/>
      <c r="AC139" s="271"/>
      <c r="AD139" s="271"/>
      <c r="AE139" s="271"/>
      <c r="AF139" s="271"/>
      <c r="AG139" s="271"/>
      <c r="AH139" s="271"/>
      <c r="AI139" s="26"/>
      <c r="AJ139" s="26"/>
      <c r="AK139" s="26"/>
      <c r="AL139" s="26"/>
      <c r="AM139" s="26"/>
      <c r="AN139" s="26"/>
      <c r="AO139" s="274"/>
      <c r="AP139" s="274"/>
      <c r="AQ139" s="26"/>
      <c r="AR139" s="26"/>
      <c r="AS139" s="26"/>
      <c r="AT139" s="26"/>
      <c r="AU139" s="26"/>
      <c r="AV139" s="274"/>
      <c r="AW139" s="274"/>
      <c r="AX139" s="10"/>
      <c r="AY139" s="10"/>
      <c r="BR139" s="22"/>
      <c r="BV139" s="10"/>
      <c r="BZ139" s="22"/>
    </row>
    <row r="140" spans="1:82" x14ac:dyDescent="0.25">
      <c r="A140" s="4"/>
      <c r="B140" s="26"/>
      <c r="C140" s="26"/>
      <c r="D140" s="26"/>
      <c r="E140" s="26"/>
      <c r="F140" s="26"/>
      <c r="G140" s="26"/>
      <c r="H140" s="26"/>
      <c r="I140" s="274"/>
      <c r="J140" s="274"/>
      <c r="K140" s="26"/>
      <c r="L140" s="26"/>
      <c r="M140" s="26"/>
      <c r="N140" s="26"/>
      <c r="O140" s="274"/>
      <c r="P140" s="274"/>
      <c r="Q140" s="274"/>
      <c r="R140" s="274"/>
      <c r="S140" s="271"/>
      <c r="T140" s="597"/>
      <c r="U140" s="17"/>
      <c r="V140" s="271"/>
      <c r="W140" s="271"/>
      <c r="X140" s="271"/>
      <c r="Y140" s="271"/>
      <c r="Z140" s="271"/>
      <c r="AA140" s="271"/>
      <c r="AB140" s="271"/>
      <c r="AC140" s="271"/>
      <c r="AD140" s="271"/>
      <c r="AE140" s="271"/>
      <c r="AF140" s="271"/>
      <c r="AG140" s="271"/>
      <c r="AH140" s="271"/>
      <c r="AI140" s="26"/>
      <c r="AJ140" s="26"/>
      <c r="AK140" s="26"/>
      <c r="AL140" s="26"/>
      <c r="AM140" s="26"/>
      <c r="AN140" s="26"/>
      <c r="AO140" s="274"/>
      <c r="AP140" s="274"/>
      <c r="AQ140" s="26"/>
      <c r="AR140" s="26"/>
      <c r="AS140" s="26"/>
      <c r="AT140" s="26"/>
      <c r="AU140" s="26"/>
      <c r="AV140" s="274"/>
      <c r="AW140" s="274"/>
      <c r="AX140" s="10"/>
      <c r="AY140" s="10"/>
      <c r="BR140" s="22"/>
      <c r="BV140" s="10"/>
      <c r="BZ140" s="22"/>
    </row>
    <row r="141" spans="1:82" x14ac:dyDescent="0.25">
      <c r="A141" s="4"/>
      <c r="B141" s="26"/>
      <c r="C141" s="26"/>
      <c r="D141" s="26"/>
      <c r="E141" s="26"/>
      <c r="F141" s="26"/>
      <c r="G141" s="26"/>
      <c r="H141" s="26"/>
      <c r="I141" s="274"/>
      <c r="J141" s="274"/>
      <c r="K141" s="26"/>
      <c r="L141" s="26"/>
      <c r="M141" s="26"/>
      <c r="N141" s="26"/>
      <c r="O141" s="274"/>
      <c r="P141" s="274"/>
      <c r="Q141" s="274"/>
      <c r="R141" s="274"/>
      <c r="S141" s="271"/>
      <c r="T141" s="597"/>
      <c r="U141" s="17"/>
      <c r="V141" s="271"/>
      <c r="W141" s="271"/>
      <c r="X141" s="271"/>
      <c r="Y141" s="271"/>
      <c r="Z141" s="271"/>
      <c r="AA141" s="271"/>
      <c r="AB141" s="271"/>
      <c r="AC141" s="271"/>
      <c r="AD141" s="271"/>
      <c r="AE141" s="271"/>
      <c r="AF141" s="271"/>
      <c r="AG141" s="271"/>
      <c r="AH141" s="271"/>
      <c r="AI141" s="26"/>
      <c r="AJ141" s="26"/>
      <c r="AK141" s="26"/>
      <c r="AL141" s="26"/>
      <c r="AM141" s="26"/>
      <c r="AN141" s="26"/>
      <c r="AO141" s="274"/>
      <c r="AP141" s="274"/>
      <c r="AQ141" s="26"/>
      <c r="AR141" s="26"/>
      <c r="AS141" s="26"/>
      <c r="AT141" s="26"/>
      <c r="AU141" s="26"/>
      <c r="AV141" s="274"/>
      <c r="AW141" s="274"/>
      <c r="AX141" s="10"/>
      <c r="AY141" s="10"/>
      <c r="BR141" s="22"/>
      <c r="BV141" s="10"/>
      <c r="BZ141" s="22"/>
    </row>
    <row r="142" spans="1:82" x14ac:dyDescent="0.25">
      <c r="A142" s="4"/>
      <c r="B142" s="26"/>
      <c r="C142" s="26"/>
      <c r="D142" s="26"/>
      <c r="E142" s="26"/>
      <c r="F142" s="26"/>
      <c r="G142" s="26"/>
      <c r="H142" s="26"/>
      <c r="I142" s="274"/>
      <c r="J142" s="274"/>
      <c r="K142" s="26"/>
      <c r="L142" s="26"/>
      <c r="M142" s="26"/>
      <c r="N142" s="26"/>
      <c r="O142" s="274"/>
      <c r="P142" s="274"/>
      <c r="Q142" s="274"/>
      <c r="R142" s="274"/>
      <c r="S142" s="271"/>
      <c r="T142" s="597"/>
      <c r="U142" s="17"/>
      <c r="V142" s="271"/>
      <c r="W142" s="271"/>
      <c r="X142" s="271"/>
      <c r="Y142" s="271"/>
      <c r="Z142" s="271"/>
      <c r="AA142" s="271"/>
      <c r="AB142" s="271"/>
      <c r="AC142" s="271"/>
      <c r="AD142" s="271"/>
      <c r="AE142" s="271"/>
      <c r="AF142" s="271"/>
      <c r="AG142" s="271"/>
      <c r="AH142" s="271"/>
      <c r="AI142" s="26"/>
      <c r="AJ142" s="26"/>
      <c r="AK142" s="26"/>
      <c r="AL142" s="26"/>
      <c r="AM142" s="26"/>
      <c r="AN142" s="26"/>
      <c r="AO142" s="274"/>
      <c r="AP142" s="274"/>
      <c r="AQ142" s="26"/>
      <c r="AR142" s="26"/>
      <c r="AS142" s="26"/>
      <c r="AT142" s="26"/>
      <c r="AU142" s="26"/>
      <c r="AV142" s="274"/>
      <c r="AW142" s="274"/>
      <c r="AX142" s="10"/>
      <c r="AY142" s="10"/>
      <c r="BR142" s="22"/>
      <c r="BV142" s="10"/>
      <c r="BZ142" s="22"/>
    </row>
    <row r="143" spans="1:82" x14ac:dyDescent="0.25">
      <c r="A143" s="4"/>
      <c r="B143" s="26"/>
      <c r="C143" s="26"/>
      <c r="D143" s="26"/>
      <c r="E143" s="26"/>
      <c r="F143" s="26"/>
      <c r="G143" s="26"/>
      <c r="H143" s="26"/>
      <c r="I143" s="274"/>
      <c r="J143" s="274"/>
      <c r="K143" s="26"/>
      <c r="L143" s="26"/>
      <c r="M143" s="26"/>
      <c r="N143" s="26"/>
      <c r="O143" s="274"/>
      <c r="P143" s="274"/>
      <c r="Q143" s="274"/>
      <c r="R143" s="274"/>
      <c r="S143" s="271"/>
      <c r="T143" s="597"/>
      <c r="U143" s="17"/>
      <c r="V143" s="271"/>
      <c r="W143" s="271"/>
      <c r="X143" s="271"/>
      <c r="Y143" s="271"/>
      <c r="Z143" s="271"/>
      <c r="AA143" s="271"/>
      <c r="AB143" s="271"/>
      <c r="AC143" s="271"/>
      <c r="AD143" s="271"/>
      <c r="AE143" s="271"/>
      <c r="AF143" s="271"/>
      <c r="AG143" s="271"/>
      <c r="AH143" s="271"/>
      <c r="AI143" s="26"/>
      <c r="AJ143" s="26"/>
      <c r="AK143" s="26"/>
      <c r="AL143" s="26"/>
      <c r="AM143" s="26"/>
      <c r="AN143" s="26"/>
      <c r="AO143" s="274"/>
      <c r="AP143" s="274"/>
      <c r="AQ143" s="26"/>
      <c r="AR143" s="26"/>
      <c r="AS143" s="26"/>
      <c r="AT143" s="26"/>
      <c r="AU143" s="26"/>
      <c r="AV143" s="274"/>
      <c r="AW143" s="274"/>
      <c r="AX143" s="10"/>
      <c r="AY143" s="10"/>
      <c r="BR143" s="22"/>
      <c r="BV143" s="10"/>
      <c r="BZ143" s="22"/>
    </row>
    <row r="144" spans="1:82" x14ac:dyDescent="0.25">
      <c r="A144" s="4"/>
      <c r="B144" s="26"/>
      <c r="C144" s="26"/>
      <c r="D144" s="26"/>
      <c r="E144" s="26"/>
      <c r="F144" s="26"/>
      <c r="G144" s="26"/>
      <c r="H144" s="26"/>
      <c r="I144" s="274"/>
      <c r="J144" s="274"/>
      <c r="K144" s="26"/>
      <c r="L144" s="26"/>
      <c r="M144" s="26"/>
      <c r="N144" s="26"/>
      <c r="O144" s="274"/>
      <c r="P144" s="274"/>
      <c r="Q144" s="274"/>
      <c r="R144" s="274"/>
      <c r="S144" s="271"/>
      <c r="T144" s="597"/>
      <c r="U144" s="17"/>
      <c r="V144" s="271"/>
      <c r="W144" s="271"/>
      <c r="X144" s="271"/>
      <c r="Y144" s="271"/>
      <c r="Z144" s="271"/>
      <c r="AA144" s="271"/>
      <c r="AB144" s="271"/>
      <c r="AC144" s="271"/>
      <c r="AD144" s="271"/>
      <c r="AE144" s="271"/>
      <c r="AF144" s="271"/>
      <c r="AG144" s="271"/>
      <c r="AH144" s="271"/>
      <c r="AI144" s="26"/>
      <c r="AJ144" s="26"/>
      <c r="AK144" s="26"/>
      <c r="AL144" s="26"/>
      <c r="AM144" s="26"/>
      <c r="AN144" s="26"/>
      <c r="AO144" s="274"/>
      <c r="AP144" s="274"/>
      <c r="AQ144" s="26"/>
      <c r="AR144" s="26"/>
      <c r="AS144" s="26"/>
      <c r="AT144" s="26"/>
      <c r="AU144" s="26"/>
      <c r="AV144" s="274"/>
      <c r="AW144" s="274"/>
      <c r="AX144" s="10"/>
      <c r="AY144" s="10"/>
      <c r="BR144" s="22"/>
      <c r="BV144" s="10"/>
      <c r="BZ144" s="22"/>
    </row>
    <row r="145" spans="1:78" x14ac:dyDescent="0.25">
      <c r="A145" s="4"/>
      <c r="B145" s="26"/>
      <c r="C145" s="26"/>
      <c r="D145" s="26"/>
      <c r="E145" s="26"/>
      <c r="F145" s="26"/>
      <c r="G145" s="26"/>
      <c r="H145" s="26"/>
      <c r="I145" s="274"/>
      <c r="J145" s="274"/>
      <c r="K145" s="26"/>
      <c r="L145" s="26"/>
      <c r="M145" s="26"/>
      <c r="N145" s="26"/>
      <c r="O145" s="274"/>
      <c r="P145" s="274"/>
      <c r="Q145" s="274"/>
      <c r="R145" s="274"/>
      <c r="S145" s="271"/>
      <c r="T145" s="597"/>
      <c r="U145" s="17"/>
      <c r="V145" s="271"/>
      <c r="W145" s="271"/>
      <c r="X145" s="271"/>
      <c r="Y145" s="271"/>
      <c r="Z145" s="271"/>
      <c r="AA145" s="271"/>
      <c r="AB145" s="271"/>
      <c r="AC145" s="271"/>
      <c r="AD145" s="271"/>
      <c r="AE145" s="271"/>
      <c r="AF145" s="271"/>
      <c r="AG145" s="271"/>
      <c r="AH145" s="271"/>
      <c r="AI145" s="26"/>
      <c r="AJ145" s="26"/>
      <c r="AK145" s="26"/>
      <c r="AL145" s="26"/>
      <c r="AM145" s="26"/>
      <c r="AN145" s="26"/>
      <c r="AO145" s="274"/>
      <c r="AP145" s="274"/>
      <c r="AQ145" s="26"/>
      <c r="AR145" s="26"/>
      <c r="AS145" s="26"/>
      <c r="AT145" s="26"/>
      <c r="AU145" s="26"/>
      <c r="AV145" s="274"/>
      <c r="AW145" s="274"/>
      <c r="AX145" s="10"/>
      <c r="AY145" s="10"/>
      <c r="BR145" s="22"/>
      <c r="BV145" s="10"/>
      <c r="BZ145" s="22"/>
    </row>
    <row r="146" spans="1:78" x14ac:dyDescent="0.25">
      <c r="A146" s="4"/>
      <c r="B146" s="26"/>
      <c r="C146" s="26"/>
      <c r="D146" s="26"/>
      <c r="E146" s="26"/>
      <c r="F146" s="26"/>
      <c r="G146" s="26"/>
      <c r="H146" s="26"/>
      <c r="I146" s="274"/>
      <c r="J146" s="274"/>
      <c r="K146" s="26"/>
      <c r="L146" s="26"/>
      <c r="M146" s="26"/>
      <c r="N146" s="26"/>
      <c r="O146" s="274"/>
      <c r="P146" s="274"/>
      <c r="Q146" s="274"/>
      <c r="R146" s="274"/>
      <c r="S146" s="271"/>
      <c r="T146" s="597"/>
      <c r="U146" s="17"/>
      <c r="V146" s="271"/>
      <c r="W146" s="271"/>
      <c r="X146" s="271"/>
      <c r="Y146" s="271"/>
      <c r="Z146" s="271"/>
      <c r="AA146" s="271"/>
      <c r="AB146" s="271"/>
      <c r="AC146" s="271"/>
      <c r="AD146" s="271"/>
      <c r="AE146" s="271"/>
      <c r="AF146" s="271"/>
      <c r="AG146" s="271"/>
      <c r="AH146" s="271"/>
      <c r="AI146" s="26"/>
      <c r="AJ146" s="26"/>
      <c r="AK146" s="26"/>
      <c r="AL146" s="26"/>
      <c r="AM146" s="26"/>
      <c r="AN146" s="26"/>
      <c r="AO146" s="274"/>
      <c r="AP146" s="274"/>
      <c r="AQ146" s="26"/>
      <c r="AR146" s="26"/>
      <c r="AS146" s="26"/>
      <c r="AT146" s="26"/>
      <c r="AU146" s="26"/>
      <c r="AV146" s="274"/>
      <c r="AW146" s="274"/>
      <c r="AX146" s="10"/>
      <c r="AY146" s="10"/>
      <c r="BR146" s="22"/>
      <c r="BV146" s="10"/>
      <c r="BZ146" s="22"/>
    </row>
    <row r="147" spans="1:78" x14ac:dyDescent="0.25">
      <c r="A147" s="4"/>
      <c r="B147" s="26"/>
      <c r="C147" s="26"/>
      <c r="D147" s="26"/>
      <c r="E147" s="26"/>
      <c r="F147" s="26"/>
      <c r="G147" s="26"/>
      <c r="H147" s="26"/>
      <c r="I147" s="274"/>
      <c r="J147" s="274"/>
      <c r="K147" s="26"/>
      <c r="L147" s="26"/>
      <c r="M147" s="26"/>
      <c r="N147" s="26"/>
      <c r="O147" s="274"/>
      <c r="P147" s="274"/>
      <c r="Q147" s="274"/>
      <c r="R147" s="274"/>
      <c r="S147" s="271"/>
      <c r="T147" s="597"/>
      <c r="U147" s="17"/>
      <c r="V147" s="271"/>
      <c r="W147" s="271"/>
      <c r="X147" s="271"/>
      <c r="Y147" s="271"/>
      <c r="Z147" s="271"/>
      <c r="AA147" s="271"/>
      <c r="AB147" s="271"/>
      <c r="AC147" s="271"/>
      <c r="AD147" s="271"/>
      <c r="AE147" s="271"/>
      <c r="AF147" s="271"/>
      <c r="AG147" s="271"/>
      <c r="AH147" s="271"/>
      <c r="AI147" s="26"/>
      <c r="AJ147" s="26"/>
      <c r="AK147" s="26"/>
      <c r="AL147" s="26"/>
      <c r="AM147" s="26"/>
      <c r="AN147" s="26"/>
      <c r="AO147" s="274"/>
      <c r="AP147" s="274"/>
      <c r="AQ147" s="26"/>
      <c r="AR147" s="26"/>
      <c r="AS147" s="26"/>
      <c r="AT147" s="26"/>
      <c r="AU147" s="26"/>
      <c r="AV147" s="274"/>
      <c r="AW147" s="274"/>
      <c r="AX147" s="10"/>
      <c r="AY147" s="10"/>
      <c r="BR147" s="22"/>
      <c r="BV147" s="10"/>
      <c r="BZ147" s="22"/>
    </row>
    <row r="148" spans="1:78" x14ac:dyDescent="0.25">
      <c r="A148" s="4"/>
      <c r="B148" s="26"/>
      <c r="C148" s="26"/>
      <c r="D148" s="26"/>
      <c r="E148" s="26"/>
      <c r="F148" s="26"/>
      <c r="G148" s="26"/>
      <c r="H148" s="26"/>
      <c r="I148" s="274"/>
      <c r="J148" s="274"/>
      <c r="K148" s="26"/>
      <c r="L148" s="26"/>
      <c r="M148" s="26"/>
      <c r="N148" s="26"/>
      <c r="O148" s="274"/>
      <c r="P148" s="274"/>
      <c r="Q148" s="274"/>
      <c r="R148" s="274"/>
      <c r="S148" s="271"/>
      <c r="T148" s="597"/>
      <c r="U148" s="17"/>
      <c r="V148" s="271"/>
      <c r="W148" s="271"/>
      <c r="X148" s="271"/>
      <c r="Y148" s="271"/>
      <c r="Z148" s="271"/>
      <c r="AA148" s="271"/>
      <c r="AB148" s="271"/>
      <c r="AC148" s="271"/>
      <c r="AD148" s="271"/>
      <c r="AE148" s="271"/>
      <c r="AF148" s="271"/>
      <c r="AG148" s="271"/>
      <c r="AH148" s="271"/>
      <c r="AI148" s="26"/>
      <c r="AJ148" s="26"/>
      <c r="AK148" s="26"/>
      <c r="AL148" s="26"/>
      <c r="AM148" s="26"/>
      <c r="AN148" s="26"/>
      <c r="AO148" s="274"/>
      <c r="AP148" s="274"/>
      <c r="AQ148" s="26"/>
      <c r="AR148" s="26"/>
      <c r="AS148" s="26"/>
      <c r="AT148" s="26"/>
      <c r="AU148" s="26"/>
      <c r="AV148" s="274"/>
      <c r="AW148" s="274"/>
      <c r="AX148" s="10"/>
      <c r="AY148" s="10"/>
      <c r="BR148" s="22"/>
      <c r="BV148" s="10"/>
      <c r="BZ148" s="22"/>
    </row>
    <row r="149" spans="1:78" x14ac:dyDescent="0.25">
      <c r="A149" s="4"/>
      <c r="B149" s="26"/>
      <c r="C149" s="26"/>
      <c r="D149" s="26"/>
      <c r="E149" s="26"/>
      <c r="F149" s="26"/>
      <c r="G149" s="26"/>
      <c r="H149" s="26"/>
      <c r="I149" s="274"/>
      <c r="J149" s="274"/>
      <c r="K149" s="26"/>
      <c r="L149" s="26"/>
      <c r="M149" s="26"/>
      <c r="N149" s="26"/>
      <c r="O149" s="274"/>
      <c r="P149" s="274"/>
      <c r="Q149" s="274"/>
      <c r="R149" s="274"/>
      <c r="S149" s="271"/>
      <c r="T149" s="597"/>
      <c r="U149" s="17"/>
      <c r="V149" s="271"/>
      <c r="W149" s="271"/>
      <c r="X149" s="271"/>
      <c r="Y149" s="271"/>
      <c r="Z149" s="271"/>
      <c r="AA149" s="271"/>
      <c r="AB149" s="271"/>
      <c r="AC149" s="271"/>
      <c r="AD149" s="271"/>
      <c r="AE149" s="271"/>
      <c r="AF149" s="271"/>
      <c r="AG149" s="271"/>
      <c r="AH149" s="271"/>
      <c r="AI149" s="26"/>
      <c r="AJ149" s="26"/>
      <c r="AK149" s="26"/>
      <c r="AL149" s="26"/>
      <c r="AM149" s="26"/>
      <c r="AN149" s="26"/>
      <c r="AO149" s="274"/>
      <c r="AP149" s="274"/>
      <c r="AQ149" s="26"/>
      <c r="AR149" s="26"/>
      <c r="AS149" s="26"/>
      <c r="AT149" s="26"/>
      <c r="AU149" s="26"/>
      <c r="AV149" s="274"/>
      <c r="AW149" s="274"/>
      <c r="AX149" s="10"/>
      <c r="AY149" s="10"/>
      <c r="BR149" s="22"/>
      <c r="BV149" s="10"/>
      <c r="BZ149" s="22"/>
    </row>
    <row r="150" spans="1:78" x14ac:dyDescent="0.25">
      <c r="A150" s="4"/>
      <c r="B150" s="26"/>
      <c r="C150" s="26"/>
      <c r="D150" s="26"/>
      <c r="E150" s="26"/>
      <c r="F150" s="26"/>
      <c r="G150" s="26"/>
      <c r="H150" s="26"/>
      <c r="I150" s="274"/>
      <c r="J150" s="274"/>
      <c r="K150" s="26"/>
      <c r="L150" s="26"/>
      <c r="M150" s="26"/>
      <c r="N150" s="26"/>
      <c r="O150" s="274"/>
      <c r="P150" s="274"/>
      <c r="Q150" s="274"/>
      <c r="R150" s="274"/>
      <c r="S150" s="271"/>
      <c r="T150" s="597"/>
      <c r="U150" s="17"/>
      <c r="V150" s="271"/>
      <c r="W150" s="271"/>
      <c r="X150" s="271"/>
      <c r="Y150" s="271"/>
      <c r="Z150" s="271"/>
      <c r="AA150" s="271"/>
      <c r="AB150" s="271"/>
      <c r="AC150" s="271"/>
      <c r="AD150" s="271"/>
      <c r="AE150" s="271"/>
      <c r="AF150" s="271"/>
      <c r="AG150" s="271"/>
      <c r="AH150" s="271"/>
      <c r="AI150" s="26"/>
      <c r="AJ150" s="26"/>
      <c r="AK150" s="26"/>
      <c r="AL150" s="26"/>
      <c r="AM150" s="26"/>
      <c r="AN150" s="26"/>
      <c r="AO150" s="274"/>
      <c r="AP150" s="274"/>
      <c r="AQ150" s="26"/>
      <c r="AR150" s="26"/>
      <c r="AS150" s="26"/>
      <c r="AT150" s="26"/>
      <c r="AU150" s="26"/>
      <c r="AV150" s="274"/>
      <c r="AW150" s="274"/>
      <c r="AX150" s="10"/>
      <c r="AY150" s="10"/>
      <c r="BR150" s="22"/>
      <c r="BV150" s="10"/>
      <c r="BZ150" s="22"/>
    </row>
    <row r="151" spans="1:78" x14ac:dyDescent="0.25">
      <c r="A151" s="4"/>
      <c r="B151" s="26"/>
      <c r="C151" s="26"/>
      <c r="D151" s="26"/>
      <c r="E151" s="26"/>
      <c r="F151" s="26"/>
      <c r="G151" s="26"/>
      <c r="H151" s="26"/>
      <c r="I151" s="274"/>
      <c r="J151" s="274"/>
      <c r="K151" s="26"/>
      <c r="L151" s="26"/>
      <c r="M151" s="26"/>
      <c r="N151" s="26"/>
      <c r="O151" s="274"/>
      <c r="P151" s="274"/>
      <c r="Q151" s="274"/>
      <c r="R151" s="274"/>
      <c r="S151" s="271"/>
      <c r="T151" s="597"/>
      <c r="U151" s="17"/>
      <c r="V151" s="271"/>
      <c r="W151" s="271"/>
      <c r="X151" s="271"/>
      <c r="Y151" s="271"/>
      <c r="Z151" s="271"/>
      <c r="AA151" s="271"/>
      <c r="AB151" s="271"/>
      <c r="AC151" s="271"/>
      <c r="AD151" s="271"/>
      <c r="AE151" s="271"/>
      <c r="AF151" s="271"/>
      <c r="AG151" s="271"/>
      <c r="AH151" s="271"/>
      <c r="AI151" s="26"/>
      <c r="AJ151" s="26"/>
      <c r="AK151" s="26"/>
      <c r="AL151" s="26"/>
      <c r="AM151" s="26"/>
      <c r="AN151" s="26"/>
      <c r="AO151" s="274"/>
      <c r="AP151" s="274"/>
      <c r="AQ151" s="26"/>
      <c r="AR151" s="26"/>
      <c r="AS151" s="26"/>
      <c r="AT151" s="26"/>
      <c r="AU151" s="26"/>
      <c r="AV151" s="274"/>
      <c r="AW151" s="274"/>
      <c r="AX151" s="10"/>
      <c r="AY151" s="10"/>
      <c r="BR151" s="22"/>
      <c r="BV151" s="10"/>
      <c r="BZ151" s="22"/>
    </row>
    <row r="152" spans="1:78" x14ac:dyDescent="0.25">
      <c r="A152" s="4"/>
      <c r="B152" s="26"/>
      <c r="C152" s="26"/>
      <c r="D152" s="26"/>
      <c r="E152" s="26"/>
      <c r="F152" s="26"/>
      <c r="G152" s="26"/>
      <c r="H152" s="26"/>
      <c r="I152" s="274"/>
      <c r="J152" s="274"/>
      <c r="K152" s="26"/>
      <c r="L152" s="26"/>
      <c r="M152" s="26"/>
      <c r="N152" s="26"/>
      <c r="O152" s="274"/>
      <c r="P152" s="274"/>
      <c r="Q152" s="274"/>
      <c r="R152" s="274"/>
      <c r="S152" s="271"/>
      <c r="T152" s="597"/>
      <c r="U152" s="17"/>
      <c r="V152" s="271"/>
      <c r="W152" s="271"/>
      <c r="X152" s="271"/>
      <c r="Y152" s="271"/>
      <c r="Z152" s="271"/>
      <c r="AA152" s="271"/>
      <c r="AB152" s="271"/>
      <c r="AC152" s="271"/>
      <c r="AD152" s="271"/>
      <c r="AE152" s="271"/>
      <c r="AF152" s="271"/>
      <c r="AG152" s="271"/>
      <c r="AH152" s="271"/>
      <c r="AI152" s="26"/>
      <c r="AJ152" s="26"/>
      <c r="AK152" s="26"/>
      <c r="AL152" s="26"/>
      <c r="AM152" s="26"/>
      <c r="AN152" s="26"/>
      <c r="AO152" s="274"/>
      <c r="AP152" s="274"/>
      <c r="AQ152" s="26"/>
      <c r="AR152" s="26"/>
      <c r="AS152" s="26"/>
      <c r="AT152" s="26"/>
      <c r="AU152" s="26"/>
      <c r="AV152" s="274"/>
      <c r="AW152" s="274"/>
      <c r="AX152" s="10"/>
      <c r="AY152" s="10"/>
      <c r="BR152" s="22"/>
      <c r="BV152" s="10"/>
      <c r="BZ152" s="22"/>
    </row>
    <row r="153" spans="1:78" x14ac:dyDescent="0.25">
      <c r="A153" s="4"/>
      <c r="B153" s="26"/>
      <c r="C153" s="26"/>
      <c r="D153" s="26"/>
      <c r="E153" s="26"/>
      <c r="F153" s="26"/>
      <c r="G153" s="26"/>
      <c r="H153" s="26"/>
      <c r="I153" s="274"/>
      <c r="J153" s="274"/>
      <c r="K153" s="26"/>
      <c r="L153" s="26"/>
      <c r="M153" s="26"/>
      <c r="N153" s="26"/>
      <c r="O153" s="274"/>
      <c r="P153" s="274"/>
      <c r="Q153" s="274"/>
      <c r="R153" s="274"/>
      <c r="S153" s="271"/>
      <c r="T153" s="597"/>
      <c r="U153" s="17"/>
      <c r="V153" s="271"/>
      <c r="W153" s="271"/>
      <c r="X153" s="271"/>
      <c r="Y153" s="271"/>
      <c r="Z153" s="271"/>
      <c r="AA153" s="271"/>
      <c r="AB153" s="271"/>
      <c r="AC153" s="271"/>
      <c r="AD153" s="271"/>
      <c r="AE153" s="271"/>
      <c r="AF153" s="271"/>
      <c r="AG153" s="271"/>
      <c r="AH153" s="271"/>
      <c r="AI153" s="26"/>
      <c r="AJ153" s="26"/>
      <c r="AK153" s="26"/>
      <c r="AL153" s="26"/>
      <c r="AM153" s="26"/>
      <c r="AN153" s="26"/>
      <c r="AO153" s="274"/>
      <c r="AP153" s="274"/>
      <c r="AQ153" s="26"/>
      <c r="AR153" s="26"/>
      <c r="AS153" s="26"/>
      <c r="AT153" s="26"/>
      <c r="AU153" s="26"/>
      <c r="AV153" s="274"/>
      <c r="AW153" s="274"/>
      <c r="AX153" s="10"/>
      <c r="AY153" s="10"/>
      <c r="BR153" s="22"/>
      <c r="BV153" s="10"/>
      <c r="BZ153" s="22"/>
    </row>
    <row r="154" spans="1:78" x14ac:dyDescent="0.25">
      <c r="A154" s="4"/>
      <c r="B154" s="26"/>
      <c r="C154" s="26"/>
      <c r="D154" s="26"/>
      <c r="E154" s="26"/>
      <c r="F154" s="26"/>
      <c r="G154" s="26"/>
      <c r="H154" s="26"/>
      <c r="I154" s="274"/>
      <c r="J154" s="274"/>
      <c r="K154" s="26"/>
      <c r="L154" s="26"/>
      <c r="M154" s="26"/>
      <c r="N154" s="26"/>
      <c r="O154" s="274"/>
      <c r="P154" s="274"/>
      <c r="Q154" s="274"/>
      <c r="R154" s="274"/>
      <c r="S154" s="271"/>
      <c r="T154" s="597"/>
      <c r="U154" s="17"/>
      <c r="V154" s="271"/>
      <c r="W154" s="271"/>
      <c r="X154" s="271"/>
      <c r="Y154" s="271"/>
      <c r="Z154" s="271"/>
      <c r="AA154" s="271"/>
      <c r="AB154" s="271"/>
      <c r="AC154" s="271"/>
      <c r="AD154" s="271"/>
      <c r="AE154" s="271"/>
      <c r="AF154" s="271"/>
      <c r="AG154" s="271"/>
      <c r="AH154" s="271"/>
      <c r="AI154" s="26"/>
      <c r="AJ154" s="26"/>
      <c r="AK154" s="26"/>
      <c r="AL154" s="26"/>
      <c r="AM154" s="26"/>
      <c r="AN154" s="26"/>
      <c r="AO154" s="274"/>
      <c r="AP154" s="274"/>
      <c r="AQ154" s="26"/>
      <c r="AR154" s="26"/>
      <c r="AS154" s="26"/>
      <c r="AT154" s="26"/>
      <c r="AU154" s="26"/>
      <c r="AV154" s="274"/>
      <c r="AW154" s="274"/>
      <c r="AX154" s="10"/>
      <c r="AY154" s="10"/>
      <c r="BR154" s="22"/>
      <c r="BV154" s="10"/>
      <c r="BZ154" s="22"/>
    </row>
    <row r="155" spans="1:78" x14ac:dyDescent="0.25">
      <c r="A155" s="4"/>
      <c r="B155" s="26"/>
      <c r="C155" s="26"/>
      <c r="D155" s="26"/>
      <c r="E155" s="26"/>
      <c r="F155" s="26"/>
      <c r="G155" s="26"/>
      <c r="H155" s="26"/>
      <c r="I155" s="274"/>
      <c r="J155" s="274"/>
      <c r="K155" s="26"/>
      <c r="L155" s="26"/>
      <c r="M155" s="26"/>
      <c r="N155" s="26"/>
      <c r="O155" s="274"/>
      <c r="P155" s="274"/>
      <c r="Q155" s="274"/>
      <c r="R155" s="274"/>
      <c r="S155" s="271"/>
      <c r="T155" s="597"/>
      <c r="U155" s="17"/>
      <c r="V155" s="271"/>
      <c r="W155" s="271"/>
      <c r="X155" s="271"/>
      <c r="Y155" s="271"/>
      <c r="Z155" s="271"/>
      <c r="AA155" s="271"/>
      <c r="AB155" s="271"/>
      <c r="AC155" s="271"/>
      <c r="AD155" s="271"/>
      <c r="AE155" s="271"/>
      <c r="AF155" s="271"/>
      <c r="AG155" s="271"/>
      <c r="AH155" s="271"/>
      <c r="AI155" s="26"/>
      <c r="AJ155" s="26"/>
      <c r="AK155" s="26"/>
      <c r="AL155" s="26"/>
      <c r="AM155" s="26"/>
      <c r="AN155" s="26"/>
      <c r="AO155" s="274"/>
      <c r="AP155" s="274"/>
      <c r="AQ155" s="26"/>
      <c r="AR155" s="26"/>
      <c r="AS155" s="26"/>
      <c r="AT155" s="26"/>
      <c r="AU155" s="26"/>
      <c r="AV155" s="274"/>
      <c r="AW155" s="274"/>
      <c r="AX155" s="10"/>
      <c r="AY155" s="10"/>
      <c r="BR155" s="22"/>
      <c r="BV155" s="10"/>
      <c r="BZ155" s="22"/>
    </row>
    <row r="156" spans="1:78" x14ac:dyDescent="0.25">
      <c r="A156" s="4"/>
      <c r="B156" s="26"/>
      <c r="C156" s="26"/>
      <c r="D156" s="26"/>
      <c r="E156" s="26"/>
      <c r="F156" s="26"/>
      <c r="G156" s="26"/>
      <c r="H156" s="26"/>
      <c r="I156" s="274"/>
      <c r="J156" s="274"/>
      <c r="K156" s="26"/>
      <c r="L156" s="26"/>
      <c r="M156" s="26"/>
      <c r="N156" s="26"/>
      <c r="O156" s="274"/>
      <c r="P156" s="274"/>
      <c r="Q156" s="274"/>
      <c r="R156" s="274"/>
      <c r="S156" s="271"/>
      <c r="T156" s="597"/>
      <c r="U156" s="17"/>
      <c r="V156" s="271"/>
      <c r="W156" s="271"/>
      <c r="X156" s="271"/>
      <c r="Y156" s="271"/>
      <c r="Z156" s="271"/>
      <c r="AA156" s="271"/>
      <c r="AB156" s="271"/>
      <c r="AC156" s="271"/>
      <c r="AD156" s="271"/>
      <c r="AE156" s="271"/>
      <c r="AF156" s="271"/>
      <c r="AG156" s="271"/>
      <c r="AH156" s="271"/>
      <c r="AI156" s="26"/>
      <c r="AJ156" s="26"/>
      <c r="AK156" s="26"/>
      <c r="AL156" s="26"/>
      <c r="AM156" s="26"/>
      <c r="AN156" s="26"/>
      <c r="AO156" s="274"/>
      <c r="AP156" s="274"/>
      <c r="AQ156" s="26"/>
      <c r="AR156" s="26"/>
      <c r="AS156" s="26"/>
      <c r="AT156" s="26"/>
      <c r="AU156" s="26"/>
      <c r="AV156" s="274"/>
      <c r="AW156" s="274"/>
      <c r="AX156" s="10"/>
      <c r="AY156" s="10"/>
      <c r="BR156" s="22"/>
      <c r="BV156" s="10"/>
      <c r="BZ156" s="22"/>
    </row>
    <row r="157" spans="1:78" x14ac:dyDescent="0.25">
      <c r="A157" s="4"/>
      <c r="B157" s="26"/>
      <c r="C157" s="26"/>
      <c r="D157" s="26"/>
      <c r="E157" s="26"/>
      <c r="F157" s="26"/>
      <c r="G157" s="26"/>
      <c r="H157" s="26"/>
      <c r="I157" s="274"/>
      <c r="J157" s="274"/>
      <c r="K157" s="26"/>
      <c r="L157" s="26"/>
      <c r="M157" s="26"/>
      <c r="N157" s="26"/>
      <c r="O157" s="274"/>
      <c r="P157" s="274"/>
      <c r="Q157" s="274"/>
      <c r="R157" s="274"/>
      <c r="S157" s="271"/>
      <c r="T157" s="597"/>
      <c r="U157" s="17"/>
      <c r="V157" s="271"/>
      <c r="W157" s="271"/>
      <c r="X157" s="271"/>
      <c r="Y157" s="271"/>
      <c r="Z157" s="271"/>
      <c r="AA157" s="271"/>
      <c r="AB157" s="271"/>
      <c r="AC157" s="271"/>
      <c r="AD157" s="271"/>
      <c r="AE157" s="271"/>
      <c r="AF157" s="271"/>
      <c r="AG157" s="271"/>
      <c r="AH157" s="271"/>
      <c r="AI157" s="26"/>
      <c r="AJ157" s="26"/>
      <c r="AK157" s="26"/>
      <c r="AL157" s="26"/>
      <c r="AM157" s="26"/>
      <c r="AN157" s="26"/>
      <c r="AO157" s="274"/>
      <c r="AP157" s="274"/>
      <c r="AQ157" s="26"/>
      <c r="AR157" s="26"/>
      <c r="AS157" s="26"/>
      <c r="AT157" s="26"/>
      <c r="AU157" s="26"/>
      <c r="AV157" s="274"/>
      <c r="AW157" s="274"/>
      <c r="AX157" s="10"/>
      <c r="AY157" s="10"/>
      <c r="BR157" s="22"/>
      <c r="BV157" s="10"/>
      <c r="BZ157" s="22"/>
    </row>
    <row r="158" spans="1:78" x14ac:dyDescent="0.25">
      <c r="A158" s="4"/>
      <c r="B158" s="26"/>
      <c r="C158" s="26"/>
      <c r="D158" s="26"/>
      <c r="E158" s="26"/>
      <c r="F158" s="26"/>
      <c r="G158" s="26"/>
      <c r="H158" s="26"/>
      <c r="I158" s="274"/>
      <c r="J158" s="274"/>
      <c r="K158" s="26"/>
      <c r="L158" s="26"/>
      <c r="M158" s="26"/>
      <c r="N158" s="26"/>
      <c r="O158" s="274"/>
      <c r="P158" s="274"/>
      <c r="Q158" s="274"/>
      <c r="R158" s="274"/>
      <c r="S158" s="271"/>
      <c r="T158" s="597"/>
      <c r="U158" s="17"/>
      <c r="V158" s="271"/>
      <c r="W158" s="271"/>
      <c r="X158" s="271"/>
      <c r="Y158" s="271"/>
      <c r="Z158" s="271"/>
      <c r="AA158" s="271"/>
      <c r="AB158" s="271"/>
      <c r="AC158" s="271"/>
      <c r="AD158" s="271"/>
      <c r="AE158" s="271"/>
      <c r="AF158" s="271"/>
      <c r="AG158" s="271"/>
      <c r="AH158" s="271"/>
      <c r="AI158" s="26"/>
      <c r="AJ158" s="26"/>
      <c r="AK158" s="26"/>
      <c r="AL158" s="26"/>
      <c r="AM158" s="26"/>
      <c r="AN158" s="26"/>
      <c r="AO158" s="274"/>
      <c r="AP158" s="274"/>
      <c r="AQ158" s="26"/>
      <c r="AR158" s="26"/>
      <c r="AS158" s="26"/>
      <c r="AT158" s="26"/>
      <c r="AU158" s="26"/>
      <c r="AV158" s="274"/>
      <c r="AW158" s="274"/>
      <c r="AX158" s="10"/>
      <c r="AY158" s="10"/>
      <c r="BR158" s="22"/>
      <c r="BV158" s="10"/>
      <c r="BZ158" s="22"/>
    </row>
    <row r="159" spans="1:78" x14ac:dyDescent="0.25">
      <c r="A159" s="4"/>
      <c r="B159" s="26"/>
      <c r="C159" s="26"/>
      <c r="D159" s="26"/>
      <c r="E159" s="26"/>
      <c r="F159" s="26"/>
      <c r="G159" s="26"/>
      <c r="H159" s="26"/>
      <c r="I159" s="274"/>
      <c r="J159" s="274"/>
      <c r="K159" s="26"/>
      <c r="L159" s="26"/>
      <c r="M159" s="26"/>
      <c r="N159" s="26"/>
      <c r="O159" s="274"/>
      <c r="P159" s="274"/>
      <c r="Q159" s="274"/>
      <c r="R159" s="274"/>
      <c r="S159" s="271"/>
      <c r="T159" s="597"/>
      <c r="U159" s="17"/>
      <c r="V159" s="271"/>
      <c r="W159" s="271"/>
      <c r="X159" s="271"/>
      <c r="Y159" s="271"/>
      <c r="Z159" s="271"/>
      <c r="AA159" s="271"/>
      <c r="AB159" s="271"/>
      <c r="AC159" s="271"/>
      <c r="AD159" s="271"/>
      <c r="AE159" s="271"/>
      <c r="AF159" s="271"/>
      <c r="AG159" s="271"/>
      <c r="AH159" s="271"/>
      <c r="AI159" s="26"/>
      <c r="AJ159" s="26"/>
      <c r="AK159" s="26"/>
      <c r="AL159" s="26"/>
      <c r="AM159" s="26"/>
      <c r="AN159" s="26"/>
      <c r="AO159" s="274"/>
      <c r="AP159" s="274"/>
      <c r="AQ159" s="26"/>
      <c r="AR159" s="26"/>
      <c r="AS159" s="26"/>
      <c r="AT159" s="26"/>
      <c r="AU159" s="26"/>
      <c r="AV159" s="274"/>
      <c r="AW159" s="274"/>
      <c r="AX159" s="10"/>
      <c r="AY159" s="10"/>
      <c r="BR159" s="22"/>
      <c r="BV159" s="10"/>
      <c r="BZ159" s="22"/>
    </row>
    <row r="160" spans="1:78" x14ac:dyDescent="0.25">
      <c r="A160" s="4"/>
      <c r="B160" s="26"/>
      <c r="C160" s="26"/>
      <c r="D160" s="26"/>
      <c r="E160" s="26"/>
      <c r="F160" s="26"/>
      <c r="G160" s="26"/>
      <c r="H160" s="26"/>
      <c r="I160" s="274"/>
      <c r="J160" s="274"/>
      <c r="K160" s="26"/>
      <c r="L160" s="26"/>
      <c r="M160" s="26"/>
      <c r="N160" s="26"/>
      <c r="O160" s="274"/>
      <c r="P160" s="274"/>
      <c r="Q160" s="274"/>
      <c r="R160" s="274"/>
      <c r="S160" s="271"/>
      <c r="T160" s="597"/>
      <c r="U160" s="17"/>
      <c r="V160" s="271"/>
      <c r="W160" s="271"/>
      <c r="X160" s="271"/>
      <c r="Y160" s="271"/>
      <c r="Z160" s="271"/>
      <c r="AA160" s="271"/>
      <c r="AB160" s="271"/>
      <c r="AC160" s="271"/>
      <c r="AD160" s="271"/>
      <c r="AE160" s="271"/>
      <c r="AF160" s="271"/>
      <c r="AG160" s="271"/>
      <c r="AH160" s="271"/>
      <c r="AI160" s="26"/>
      <c r="AJ160" s="26"/>
      <c r="AK160" s="26"/>
      <c r="AL160" s="26"/>
      <c r="AM160" s="26"/>
      <c r="AN160" s="26"/>
      <c r="AO160" s="274"/>
      <c r="AP160" s="274"/>
      <c r="AQ160" s="26"/>
      <c r="AR160" s="26"/>
      <c r="AS160" s="26"/>
      <c r="AT160" s="26"/>
      <c r="AU160" s="26"/>
      <c r="AV160" s="274"/>
      <c r="AW160" s="274"/>
      <c r="AX160" s="10"/>
      <c r="AY160" s="10"/>
      <c r="BR160" s="22"/>
      <c r="BV160" s="10"/>
      <c r="BZ160" s="22"/>
    </row>
    <row r="161" spans="1:78" x14ac:dyDescent="0.25">
      <c r="A161" s="4"/>
      <c r="B161" s="26"/>
      <c r="C161" s="26"/>
      <c r="D161" s="26"/>
      <c r="E161" s="26"/>
      <c r="F161" s="26"/>
      <c r="G161" s="26"/>
      <c r="H161" s="26"/>
      <c r="I161" s="274"/>
      <c r="J161" s="274"/>
      <c r="K161" s="26"/>
      <c r="L161" s="26"/>
      <c r="M161" s="26"/>
      <c r="N161" s="26"/>
      <c r="O161" s="274"/>
      <c r="P161" s="274"/>
      <c r="Q161" s="274"/>
      <c r="R161" s="274"/>
      <c r="S161" s="271"/>
      <c r="T161" s="597"/>
      <c r="U161" s="17"/>
      <c r="V161" s="271"/>
      <c r="W161" s="271"/>
      <c r="X161" s="271"/>
      <c r="Y161" s="271"/>
      <c r="Z161" s="271"/>
      <c r="AA161" s="271"/>
      <c r="AB161" s="271"/>
      <c r="AC161" s="271"/>
      <c r="AD161" s="271"/>
      <c r="AE161" s="271"/>
      <c r="AF161" s="271"/>
      <c r="AG161" s="271"/>
      <c r="AH161" s="271"/>
      <c r="AI161" s="26"/>
      <c r="AJ161" s="26"/>
      <c r="AK161" s="26"/>
      <c r="AL161" s="26"/>
      <c r="AM161" s="26"/>
      <c r="AN161" s="26"/>
      <c r="AO161" s="274"/>
      <c r="AP161" s="274"/>
      <c r="AQ161" s="26"/>
      <c r="AR161" s="26"/>
      <c r="AS161" s="26"/>
      <c r="AT161" s="26"/>
      <c r="AU161" s="26"/>
      <c r="AV161" s="274"/>
      <c r="AW161" s="274"/>
      <c r="AX161" s="10"/>
      <c r="AY161" s="10"/>
      <c r="BR161" s="22"/>
      <c r="BV161" s="10"/>
      <c r="BZ161" s="22"/>
    </row>
    <row r="162" spans="1:78" x14ac:dyDescent="0.25">
      <c r="A162" s="4"/>
      <c r="B162" s="26"/>
      <c r="C162" s="26"/>
      <c r="D162" s="26"/>
      <c r="E162" s="26"/>
      <c r="F162" s="26"/>
      <c r="G162" s="26"/>
      <c r="H162" s="26"/>
      <c r="I162" s="274"/>
      <c r="J162" s="274"/>
      <c r="K162" s="26"/>
      <c r="L162" s="26"/>
      <c r="M162" s="26"/>
      <c r="N162" s="26"/>
      <c r="O162" s="274"/>
      <c r="P162" s="274"/>
      <c r="Q162" s="274"/>
      <c r="R162" s="274"/>
      <c r="S162" s="271"/>
      <c r="T162" s="597"/>
      <c r="U162" s="17"/>
      <c r="V162" s="271"/>
      <c r="W162" s="271"/>
      <c r="X162" s="271"/>
      <c r="Y162" s="271"/>
      <c r="Z162" s="271"/>
      <c r="AA162" s="271"/>
      <c r="AB162" s="271"/>
      <c r="AC162" s="271"/>
      <c r="AD162" s="271"/>
      <c r="AE162" s="271"/>
      <c r="AF162" s="271"/>
      <c r="AG162" s="271"/>
      <c r="AH162" s="271"/>
      <c r="AI162" s="26"/>
      <c r="AJ162" s="26"/>
      <c r="AK162" s="26"/>
      <c r="AL162" s="26"/>
      <c r="AM162" s="26"/>
      <c r="AN162" s="26"/>
      <c r="AO162" s="274"/>
      <c r="AP162" s="274"/>
      <c r="AQ162" s="26"/>
      <c r="AR162" s="26"/>
      <c r="AS162" s="26"/>
      <c r="AT162" s="26"/>
      <c r="AU162" s="26"/>
      <c r="AV162" s="274"/>
      <c r="AW162" s="274"/>
      <c r="AX162" s="10"/>
      <c r="AY162" s="10"/>
      <c r="BR162" s="22"/>
      <c r="BV162" s="10"/>
      <c r="BZ162" s="22"/>
    </row>
    <row r="163" spans="1:78" x14ac:dyDescent="0.25">
      <c r="A163" s="4"/>
      <c r="B163" s="26"/>
      <c r="C163" s="26"/>
      <c r="D163" s="26"/>
      <c r="E163" s="26"/>
      <c r="F163" s="26"/>
      <c r="G163" s="26"/>
      <c r="H163" s="26"/>
      <c r="I163" s="274"/>
      <c r="J163" s="274"/>
      <c r="K163" s="26"/>
      <c r="L163" s="26"/>
      <c r="M163" s="26"/>
      <c r="N163" s="26"/>
      <c r="O163" s="274"/>
      <c r="P163" s="274"/>
      <c r="Q163" s="274"/>
      <c r="R163" s="274"/>
      <c r="S163" s="271"/>
      <c r="T163" s="597"/>
      <c r="U163" s="17"/>
      <c r="V163" s="271"/>
      <c r="W163" s="271"/>
      <c r="X163" s="271"/>
      <c r="Y163" s="271"/>
      <c r="Z163" s="271"/>
      <c r="AA163" s="271"/>
      <c r="AB163" s="271"/>
      <c r="AC163" s="271"/>
      <c r="AD163" s="271"/>
      <c r="AE163" s="271"/>
      <c r="AF163" s="271"/>
      <c r="AG163" s="271"/>
      <c r="AH163" s="271"/>
      <c r="AI163" s="26"/>
      <c r="AJ163" s="26"/>
      <c r="AK163" s="26"/>
      <c r="AL163" s="26"/>
      <c r="AM163" s="26"/>
      <c r="AN163" s="26"/>
      <c r="AO163" s="274"/>
      <c r="AP163" s="274"/>
      <c r="AQ163" s="26"/>
      <c r="AR163" s="26"/>
      <c r="AS163" s="26"/>
      <c r="AT163" s="26"/>
      <c r="AU163" s="26"/>
      <c r="AV163" s="274"/>
      <c r="AW163" s="274"/>
      <c r="AX163" s="10"/>
      <c r="AY163" s="10"/>
      <c r="BR163" s="22"/>
      <c r="BV163" s="10"/>
      <c r="BZ163" s="22"/>
    </row>
    <row r="164" spans="1:78" x14ac:dyDescent="0.25">
      <c r="A164" s="4"/>
      <c r="B164" s="26"/>
      <c r="C164" s="26"/>
      <c r="D164" s="26"/>
      <c r="E164" s="26"/>
      <c r="F164" s="26"/>
      <c r="G164" s="26"/>
      <c r="H164" s="26"/>
      <c r="I164" s="274"/>
      <c r="J164" s="274"/>
      <c r="K164" s="26"/>
      <c r="L164" s="26"/>
      <c r="M164" s="26"/>
      <c r="N164" s="26"/>
      <c r="O164" s="274"/>
      <c r="P164" s="274"/>
      <c r="Q164" s="274"/>
      <c r="R164" s="274"/>
      <c r="S164" s="271"/>
      <c r="T164" s="597"/>
      <c r="U164" s="17"/>
      <c r="V164" s="271"/>
      <c r="W164" s="271"/>
      <c r="X164" s="271"/>
      <c r="Y164" s="271"/>
      <c r="Z164" s="271"/>
      <c r="AA164" s="271"/>
      <c r="AB164" s="271"/>
      <c r="AC164" s="271"/>
      <c r="AD164" s="271"/>
      <c r="AE164" s="271"/>
      <c r="AF164" s="271"/>
      <c r="AG164" s="271"/>
      <c r="AH164" s="271"/>
      <c r="AI164" s="26"/>
      <c r="AJ164" s="26"/>
      <c r="AK164" s="26"/>
      <c r="AL164" s="26"/>
      <c r="AM164" s="26"/>
      <c r="AN164" s="26"/>
      <c r="AO164" s="274"/>
      <c r="AP164" s="274"/>
      <c r="AQ164" s="26"/>
      <c r="AR164" s="26"/>
      <c r="AS164" s="26"/>
      <c r="AT164" s="26"/>
      <c r="AU164" s="26"/>
      <c r="AV164" s="274"/>
      <c r="AW164" s="274"/>
      <c r="AX164" s="10"/>
      <c r="AY164" s="10"/>
      <c r="BR164" s="22"/>
      <c r="BV164" s="10"/>
      <c r="BZ164" s="22"/>
    </row>
    <row r="165" spans="1:78" x14ac:dyDescent="0.25">
      <c r="A165" s="4"/>
      <c r="B165" s="26"/>
      <c r="C165" s="26"/>
      <c r="D165" s="26"/>
      <c r="E165" s="26"/>
      <c r="F165" s="26"/>
      <c r="G165" s="26"/>
      <c r="H165" s="26"/>
      <c r="I165" s="274"/>
      <c r="J165" s="274"/>
      <c r="K165" s="26"/>
      <c r="L165" s="26"/>
      <c r="M165" s="26"/>
      <c r="N165" s="26"/>
      <c r="O165" s="274"/>
      <c r="P165" s="274"/>
      <c r="Q165" s="274"/>
      <c r="R165" s="274"/>
      <c r="S165" s="271"/>
      <c r="T165" s="597"/>
      <c r="U165" s="17"/>
      <c r="V165" s="271"/>
      <c r="W165" s="271"/>
      <c r="X165" s="271"/>
      <c r="Y165" s="271"/>
      <c r="Z165" s="271"/>
      <c r="AA165" s="271"/>
      <c r="AB165" s="271"/>
      <c r="AC165" s="271"/>
      <c r="AD165" s="271"/>
      <c r="AE165" s="271"/>
      <c r="AF165" s="271"/>
      <c r="AG165" s="271"/>
      <c r="AH165" s="271"/>
      <c r="AI165" s="26"/>
      <c r="AJ165" s="26"/>
      <c r="AK165" s="26"/>
      <c r="AL165" s="26"/>
      <c r="AM165" s="26"/>
      <c r="AN165" s="26"/>
      <c r="AO165" s="274"/>
      <c r="AP165" s="274"/>
      <c r="AQ165" s="26"/>
      <c r="AR165" s="26"/>
      <c r="AS165" s="26"/>
      <c r="AT165" s="26"/>
      <c r="AU165" s="26"/>
      <c r="AV165" s="274"/>
      <c r="AW165" s="274"/>
      <c r="AX165" s="10"/>
      <c r="AY165" s="10"/>
      <c r="BR165" s="22"/>
      <c r="BV165" s="10"/>
      <c r="BZ165" s="22"/>
    </row>
    <row r="166" spans="1:78" x14ac:dyDescent="0.25">
      <c r="A166" s="4"/>
      <c r="B166" s="26"/>
      <c r="C166" s="26"/>
      <c r="D166" s="26"/>
      <c r="E166" s="26"/>
      <c r="F166" s="26"/>
      <c r="G166" s="26"/>
      <c r="H166" s="26"/>
      <c r="I166" s="274"/>
      <c r="J166" s="274"/>
      <c r="K166" s="26"/>
      <c r="L166" s="26"/>
      <c r="M166" s="26"/>
      <c r="N166" s="26"/>
      <c r="O166" s="274"/>
      <c r="P166" s="274"/>
      <c r="Q166" s="274"/>
      <c r="R166" s="274"/>
      <c r="S166" s="271"/>
      <c r="T166" s="597"/>
      <c r="U166" s="17"/>
      <c r="V166" s="271"/>
      <c r="W166" s="271"/>
      <c r="X166" s="271"/>
      <c r="Y166" s="271"/>
      <c r="Z166" s="271"/>
      <c r="AA166" s="271"/>
      <c r="AB166" s="271"/>
      <c r="AC166" s="271"/>
      <c r="AD166" s="271"/>
      <c r="AE166" s="271"/>
      <c r="AF166" s="271"/>
      <c r="AG166" s="271"/>
      <c r="AH166" s="271"/>
      <c r="AI166" s="26"/>
      <c r="AJ166" s="26"/>
      <c r="AK166" s="26"/>
      <c r="AL166" s="26"/>
      <c r="AM166" s="26"/>
      <c r="AN166" s="26"/>
      <c r="AO166" s="274"/>
      <c r="AP166" s="274"/>
      <c r="AQ166" s="26"/>
      <c r="AR166" s="26"/>
      <c r="AS166" s="26"/>
      <c r="AT166" s="26"/>
      <c r="AU166" s="26"/>
      <c r="AV166" s="274"/>
      <c r="AW166" s="274"/>
      <c r="AX166" s="10"/>
      <c r="AY166" s="10"/>
      <c r="BR166" s="22"/>
      <c r="BV166" s="10"/>
      <c r="BZ166" s="22"/>
    </row>
    <row r="167" spans="1:78" x14ac:dyDescent="0.25">
      <c r="A167" s="4"/>
      <c r="B167" s="26"/>
      <c r="C167" s="26"/>
      <c r="D167" s="26"/>
      <c r="E167" s="26"/>
      <c r="F167" s="26"/>
      <c r="G167" s="26"/>
      <c r="H167" s="26"/>
      <c r="I167" s="274"/>
      <c r="J167" s="274"/>
      <c r="K167" s="26"/>
      <c r="L167" s="26"/>
      <c r="M167" s="26"/>
      <c r="N167" s="26"/>
      <c r="O167" s="274"/>
      <c r="P167" s="274"/>
      <c r="Q167" s="274"/>
      <c r="R167" s="274"/>
      <c r="S167" s="271"/>
      <c r="T167" s="597"/>
      <c r="U167" s="17"/>
      <c r="V167" s="271"/>
      <c r="W167" s="271"/>
      <c r="X167" s="271"/>
      <c r="Y167" s="271"/>
      <c r="Z167" s="271"/>
      <c r="AA167" s="271"/>
      <c r="AB167" s="271"/>
      <c r="AC167" s="271"/>
      <c r="AD167" s="271"/>
      <c r="AE167" s="271"/>
      <c r="AF167" s="271"/>
      <c r="AG167" s="271"/>
      <c r="AH167" s="271"/>
      <c r="AI167" s="26"/>
      <c r="AJ167" s="26"/>
      <c r="AK167" s="26"/>
      <c r="AL167" s="26"/>
      <c r="AM167" s="26"/>
      <c r="AN167" s="26"/>
      <c r="AO167" s="274"/>
      <c r="AP167" s="274"/>
      <c r="AQ167" s="26"/>
      <c r="AR167" s="26"/>
      <c r="AS167" s="26"/>
      <c r="AT167" s="26"/>
      <c r="AU167" s="26"/>
      <c r="AV167" s="274"/>
      <c r="AW167" s="274"/>
      <c r="AX167" s="10"/>
      <c r="AY167" s="10"/>
      <c r="BR167" s="22"/>
      <c r="BV167" s="10"/>
      <c r="BZ167" s="22"/>
    </row>
    <row r="168" spans="1:78" x14ac:dyDescent="0.25">
      <c r="A168" s="4"/>
      <c r="B168" s="26"/>
      <c r="C168" s="26"/>
      <c r="D168" s="26"/>
      <c r="E168" s="26"/>
      <c r="F168" s="26"/>
      <c r="G168" s="26"/>
      <c r="H168" s="26"/>
      <c r="I168" s="274"/>
      <c r="J168" s="274"/>
      <c r="K168" s="26"/>
      <c r="L168" s="26"/>
      <c r="M168" s="26"/>
      <c r="N168" s="26"/>
      <c r="O168" s="274"/>
      <c r="P168" s="274"/>
      <c r="Q168" s="274"/>
      <c r="R168" s="274"/>
      <c r="S168" s="271"/>
      <c r="T168" s="597"/>
      <c r="U168" s="17"/>
      <c r="V168" s="271"/>
      <c r="W168" s="271"/>
      <c r="X168" s="271"/>
      <c r="Y168" s="271"/>
      <c r="Z168" s="271"/>
      <c r="AA168" s="271"/>
      <c r="AB168" s="271"/>
      <c r="AC168" s="271"/>
      <c r="AD168" s="271"/>
      <c r="AE168" s="271"/>
      <c r="AF168" s="271"/>
      <c r="AG168" s="271"/>
      <c r="AH168" s="271"/>
      <c r="AI168" s="26"/>
      <c r="AJ168" s="26"/>
      <c r="AK168" s="26"/>
      <c r="AL168" s="26"/>
      <c r="AM168" s="26"/>
      <c r="AN168" s="26"/>
      <c r="AO168" s="274"/>
      <c r="AP168" s="274"/>
      <c r="AQ168" s="26"/>
      <c r="AR168" s="26"/>
      <c r="AS168" s="26"/>
      <c r="AT168" s="26"/>
      <c r="AU168" s="26"/>
      <c r="AV168" s="274"/>
      <c r="AW168" s="274"/>
      <c r="AX168" s="10"/>
      <c r="AY168" s="10"/>
      <c r="BR168" s="22"/>
      <c r="BV168" s="10"/>
      <c r="BZ168" s="22"/>
    </row>
    <row r="169" spans="1:78" x14ac:dyDescent="0.25">
      <c r="A169" s="4"/>
      <c r="B169" s="26"/>
      <c r="C169" s="26"/>
      <c r="D169" s="26"/>
      <c r="E169" s="26"/>
      <c r="F169" s="26"/>
      <c r="G169" s="26"/>
      <c r="H169" s="26"/>
      <c r="I169" s="274"/>
      <c r="J169" s="274"/>
      <c r="K169" s="26"/>
      <c r="L169" s="26"/>
      <c r="M169" s="26"/>
      <c r="N169" s="26"/>
      <c r="O169" s="274"/>
      <c r="P169" s="274"/>
      <c r="Q169" s="274"/>
      <c r="R169" s="274"/>
      <c r="S169" s="271"/>
      <c r="T169" s="597"/>
      <c r="U169" s="17"/>
      <c r="V169" s="271"/>
      <c r="W169" s="271"/>
      <c r="X169" s="271"/>
      <c r="Y169" s="271"/>
      <c r="Z169" s="271"/>
      <c r="AA169" s="271"/>
      <c r="AB169" s="271"/>
      <c r="AC169" s="271"/>
      <c r="AD169" s="271"/>
      <c r="AE169" s="271"/>
      <c r="AF169" s="271"/>
      <c r="AG169" s="271"/>
      <c r="AH169" s="271"/>
      <c r="AI169" s="26"/>
      <c r="AJ169" s="26"/>
      <c r="AK169" s="26"/>
      <c r="AL169" s="26"/>
      <c r="AM169" s="26"/>
      <c r="AN169" s="26"/>
      <c r="AO169" s="274"/>
      <c r="AP169" s="274"/>
      <c r="AQ169" s="26"/>
      <c r="AR169" s="26"/>
      <c r="AS169" s="26"/>
      <c r="AT169" s="26"/>
      <c r="AU169" s="26"/>
      <c r="AV169" s="274"/>
      <c r="AW169" s="274"/>
      <c r="AX169" s="10"/>
      <c r="AY169" s="10"/>
      <c r="BR169" s="22"/>
      <c r="BV169" s="10"/>
      <c r="BZ169" s="22"/>
    </row>
    <row r="170" spans="1:78" x14ac:dyDescent="0.25">
      <c r="A170" s="4"/>
      <c r="B170" s="26"/>
      <c r="C170" s="26"/>
      <c r="D170" s="26"/>
      <c r="E170" s="26"/>
      <c r="F170" s="26"/>
      <c r="G170" s="26"/>
      <c r="H170" s="26"/>
      <c r="I170" s="274"/>
      <c r="J170" s="274"/>
      <c r="K170" s="26"/>
      <c r="L170" s="26"/>
      <c r="M170" s="26"/>
      <c r="N170" s="26"/>
      <c r="O170" s="274"/>
      <c r="P170" s="274"/>
      <c r="Q170" s="274"/>
      <c r="R170" s="274"/>
      <c r="S170" s="271"/>
      <c r="T170" s="597"/>
      <c r="U170" s="17"/>
      <c r="V170" s="271"/>
      <c r="W170" s="271"/>
      <c r="X170" s="271"/>
      <c r="Y170" s="271"/>
      <c r="Z170" s="271"/>
      <c r="AA170" s="271"/>
      <c r="AB170" s="271"/>
      <c r="AC170" s="271"/>
      <c r="AD170" s="271"/>
      <c r="AE170" s="271"/>
      <c r="AF170" s="271"/>
      <c r="AG170" s="271"/>
      <c r="AH170" s="271"/>
      <c r="AI170" s="26"/>
      <c r="AJ170" s="26"/>
      <c r="AK170" s="26"/>
      <c r="AL170" s="26"/>
      <c r="AM170" s="26"/>
      <c r="AN170" s="26"/>
      <c r="AO170" s="274"/>
      <c r="AP170" s="274"/>
      <c r="AQ170" s="26"/>
      <c r="AR170" s="26"/>
      <c r="AS170" s="26"/>
      <c r="AT170" s="26"/>
      <c r="AU170" s="26"/>
      <c r="AV170" s="274"/>
      <c r="AW170" s="274"/>
      <c r="AX170" s="10"/>
      <c r="AY170" s="10"/>
      <c r="BR170" s="22"/>
      <c r="BV170" s="10"/>
      <c r="BZ170" s="22"/>
    </row>
    <row r="171" spans="1:78" x14ac:dyDescent="0.25">
      <c r="A171" s="4"/>
      <c r="B171" s="26"/>
      <c r="C171" s="26"/>
      <c r="D171" s="26"/>
      <c r="E171" s="26"/>
      <c r="F171" s="26"/>
      <c r="G171" s="26"/>
      <c r="H171" s="26"/>
      <c r="I171" s="274"/>
      <c r="J171" s="274"/>
      <c r="K171" s="26"/>
      <c r="L171" s="26"/>
      <c r="M171" s="26"/>
      <c r="N171" s="26"/>
      <c r="O171" s="274"/>
      <c r="P171" s="274"/>
      <c r="Q171" s="274"/>
      <c r="R171" s="274"/>
      <c r="S171" s="271"/>
      <c r="T171" s="597"/>
      <c r="U171" s="17"/>
      <c r="V171" s="271"/>
      <c r="W171" s="271"/>
      <c r="X171" s="271"/>
      <c r="Y171" s="271"/>
      <c r="Z171" s="271"/>
      <c r="AA171" s="271"/>
      <c r="AB171" s="271"/>
      <c r="AC171" s="271"/>
      <c r="AD171" s="271"/>
      <c r="AE171" s="271"/>
      <c r="AF171" s="271"/>
      <c r="AG171" s="271"/>
      <c r="AH171" s="271"/>
      <c r="AI171" s="26"/>
      <c r="AJ171" s="26"/>
      <c r="AK171" s="26"/>
      <c r="AL171" s="26"/>
      <c r="AM171" s="26"/>
      <c r="AN171" s="26"/>
      <c r="AO171" s="274"/>
      <c r="AP171" s="274"/>
      <c r="AQ171" s="26"/>
      <c r="AR171" s="26"/>
      <c r="AS171" s="26"/>
      <c r="AT171" s="26"/>
      <c r="AU171" s="26"/>
      <c r="AV171" s="274"/>
      <c r="AW171" s="274"/>
      <c r="AX171" s="10"/>
      <c r="AY171" s="10"/>
      <c r="BR171" s="22"/>
      <c r="BV171" s="10"/>
      <c r="BZ171" s="22"/>
    </row>
    <row r="172" spans="1:78" x14ac:dyDescent="0.25">
      <c r="A172" s="4"/>
      <c r="B172" s="26"/>
      <c r="C172" s="26"/>
      <c r="D172" s="26"/>
      <c r="E172" s="26"/>
      <c r="F172" s="26"/>
      <c r="G172" s="26"/>
      <c r="H172" s="26"/>
      <c r="I172" s="274"/>
      <c r="J172" s="274"/>
      <c r="K172" s="26"/>
      <c r="L172" s="26"/>
      <c r="M172" s="26"/>
      <c r="N172" s="26"/>
      <c r="O172" s="274"/>
      <c r="P172" s="274"/>
      <c r="Q172" s="274"/>
      <c r="R172" s="274"/>
      <c r="S172" s="271"/>
      <c r="T172" s="597"/>
      <c r="U172" s="17"/>
      <c r="V172" s="271"/>
      <c r="W172" s="271"/>
      <c r="X172" s="271"/>
      <c r="Y172" s="271"/>
      <c r="Z172" s="271"/>
      <c r="AA172" s="271"/>
      <c r="AB172" s="271"/>
      <c r="AC172" s="271"/>
      <c r="AD172" s="271"/>
      <c r="AE172" s="271"/>
      <c r="AF172" s="271"/>
      <c r="AG172" s="271"/>
      <c r="AH172" s="271"/>
      <c r="AI172" s="26"/>
      <c r="AJ172" s="26"/>
      <c r="AK172" s="26"/>
      <c r="AL172" s="26"/>
      <c r="AM172" s="26"/>
      <c r="AN172" s="26"/>
      <c r="AO172" s="274"/>
      <c r="AP172" s="274"/>
      <c r="AQ172" s="26"/>
      <c r="AR172" s="26"/>
      <c r="AS172" s="26"/>
      <c r="AT172" s="26"/>
      <c r="AU172" s="26"/>
      <c r="AV172" s="274"/>
      <c r="AW172" s="274"/>
      <c r="AX172" s="10"/>
      <c r="AY172" s="10"/>
      <c r="BR172" s="22"/>
      <c r="BV172" s="10"/>
      <c r="BZ172" s="22"/>
    </row>
    <row r="173" spans="1:78" x14ac:dyDescent="0.25">
      <c r="A173" s="4"/>
      <c r="B173" s="26"/>
      <c r="C173" s="26"/>
      <c r="D173" s="26"/>
      <c r="E173" s="26"/>
      <c r="F173" s="26"/>
      <c r="G173" s="26"/>
      <c r="H173" s="26"/>
      <c r="I173" s="274"/>
      <c r="J173" s="274"/>
      <c r="K173" s="26"/>
      <c r="L173" s="26"/>
      <c r="M173" s="26"/>
      <c r="N173" s="26"/>
      <c r="O173" s="274"/>
      <c r="P173" s="274"/>
      <c r="Q173" s="274"/>
      <c r="R173" s="274"/>
      <c r="S173" s="271"/>
      <c r="T173" s="597"/>
      <c r="U173" s="17"/>
      <c r="V173" s="271"/>
      <c r="W173" s="271"/>
      <c r="X173" s="271"/>
      <c r="Y173" s="271"/>
      <c r="Z173" s="271"/>
      <c r="AA173" s="271"/>
      <c r="AB173" s="271"/>
      <c r="AC173" s="271"/>
      <c r="AD173" s="271"/>
      <c r="AE173" s="271"/>
      <c r="AF173" s="271"/>
      <c r="AG173" s="271"/>
      <c r="AH173" s="271"/>
      <c r="AI173" s="26"/>
      <c r="AJ173" s="26"/>
      <c r="AK173" s="26"/>
      <c r="AL173" s="26"/>
      <c r="AM173" s="26"/>
      <c r="AN173" s="26"/>
      <c r="AO173" s="274"/>
      <c r="AP173" s="274"/>
      <c r="AQ173" s="26"/>
      <c r="AR173" s="26"/>
      <c r="AS173" s="26"/>
      <c r="AT173" s="26"/>
      <c r="AU173" s="26"/>
      <c r="AV173" s="274"/>
      <c r="AW173" s="274"/>
      <c r="AX173" s="10"/>
      <c r="AY173" s="10"/>
      <c r="BR173" s="22"/>
      <c r="BV173" s="10"/>
      <c r="BZ173" s="22"/>
    </row>
    <row r="174" spans="1:78" x14ac:dyDescent="0.25">
      <c r="A174" s="4"/>
      <c r="B174" s="26"/>
      <c r="C174" s="26"/>
      <c r="D174" s="26"/>
      <c r="E174" s="26"/>
      <c r="F174" s="26"/>
      <c r="G174" s="26"/>
      <c r="H174" s="26"/>
      <c r="I174" s="274"/>
      <c r="J174" s="274"/>
      <c r="K174" s="26"/>
      <c r="L174" s="26"/>
      <c r="M174" s="26"/>
      <c r="N174" s="26"/>
      <c r="O174" s="274"/>
      <c r="P174" s="274"/>
      <c r="Q174" s="274"/>
      <c r="R174" s="274"/>
      <c r="S174" s="271"/>
      <c r="T174" s="597"/>
      <c r="U174" s="17"/>
      <c r="V174" s="271"/>
      <c r="W174" s="271"/>
      <c r="X174" s="271"/>
      <c r="Y174" s="271"/>
      <c r="Z174" s="271"/>
      <c r="AA174" s="271"/>
      <c r="AB174" s="271"/>
      <c r="AC174" s="271"/>
      <c r="AD174" s="271"/>
      <c r="AE174" s="271"/>
      <c r="AF174" s="271"/>
      <c r="AG174" s="271"/>
      <c r="AH174" s="271"/>
      <c r="AI174" s="26"/>
      <c r="AJ174" s="26"/>
      <c r="AK174" s="26"/>
      <c r="AL174" s="26"/>
      <c r="AM174" s="26"/>
      <c r="AN174" s="26"/>
      <c r="AO174" s="274"/>
      <c r="AP174" s="274"/>
      <c r="AQ174" s="26"/>
      <c r="AR174" s="26"/>
      <c r="AS174" s="26"/>
      <c r="AT174" s="26"/>
      <c r="AU174" s="26"/>
      <c r="AV174" s="274"/>
      <c r="AW174" s="274"/>
      <c r="AX174" s="10"/>
      <c r="AY174" s="10"/>
      <c r="BR174" s="22"/>
      <c r="BV174" s="10"/>
      <c r="BZ174" s="22"/>
    </row>
    <row r="175" spans="1:78" x14ac:dyDescent="0.25">
      <c r="A175" s="4"/>
      <c r="B175" s="26"/>
      <c r="C175" s="26"/>
      <c r="D175" s="26"/>
      <c r="E175" s="26"/>
      <c r="F175" s="26"/>
      <c r="G175" s="26"/>
      <c r="H175" s="26"/>
      <c r="I175" s="274"/>
      <c r="J175" s="274"/>
      <c r="K175" s="26"/>
      <c r="L175" s="26"/>
      <c r="M175" s="26"/>
      <c r="N175" s="26"/>
      <c r="O175" s="274"/>
      <c r="P175" s="274"/>
      <c r="Q175" s="274"/>
      <c r="R175" s="274"/>
      <c r="S175" s="271"/>
      <c r="T175" s="597"/>
      <c r="U175" s="17"/>
      <c r="V175" s="271"/>
      <c r="W175" s="271"/>
      <c r="X175" s="271"/>
      <c r="Y175" s="271"/>
      <c r="Z175" s="271"/>
      <c r="AA175" s="271"/>
      <c r="AB175" s="271"/>
      <c r="AC175" s="271"/>
      <c r="AD175" s="271"/>
      <c r="AE175" s="271"/>
      <c r="AF175" s="271"/>
      <c r="AG175" s="271"/>
      <c r="AH175" s="271"/>
      <c r="AI175" s="26"/>
      <c r="AJ175" s="26"/>
      <c r="AK175" s="26"/>
      <c r="AL175" s="26"/>
      <c r="AM175" s="26"/>
      <c r="AN175" s="26"/>
      <c r="AO175" s="274"/>
      <c r="AP175" s="274"/>
      <c r="AQ175" s="26"/>
      <c r="AR175" s="26"/>
      <c r="AS175" s="26"/>
      <c r="AT175" s="26"/>
      <c r="AU175" s="26"/>
      <c r="AV175" s="274"/>
      <c r="AW175" s="274"/>
      <c r="AX175" s="10"/>
      <c r="AY175" s="10"/>
      <c r="BR175" s="22"/>
      <c r="BV175" s="10"/>
      <c r="BZ175" s="22"/>
    </row>
    <row r="176" spans="1:78" x14ac:dyDescent="0.25">
      <c r="A176" s="4"/>
      <c r="B176" s="26"/>
      <c r="C176" s="26"/>
      <c r="D176" s="26"/>
      <c r="E176" s="26"/>
      <c r="F176" s="26"/>
      <c r="G176" s="26"/>
      <c r="H176" s="26"/>
      <c r="I176" s="274"/>
      <c r="J176" s="274"/>
      <c r="K176" s="26"/>
      <c r="L176" s="26"/>
      <c r="M176" s="26"/>
      <c r="N176" s="26"/>
      <c r="O176" s="274"/>
      <c r="P176" s="274"/>
      <c r="Q176" s="274"/>
      <c r="R176" s="274"/>
      <c r="S176" s="271"/>
      <c r="T176" s="597"/>
      <c r="U176" s="17"/>
      <c r="V176" s="271"/>
      <c r="W176" s="271"/>
      <c r="X176" s="271"/>
      <c r="Y176" s="271"/>
      <c r="Z176" s="271"/>
      <c r="AA176" s="271"/>
      <c r="AB176" s="271"/>
      <c r="AC176" s="271"/>
      <c r="AD176" s="271"/>
      <c r="AE176" s="271"/>
      <c r="AF176" s="271"/>
      <c r="AG176" s="271"/>
      <c r="AH176" s="271"/>
      <c r="AI176" s="26"/>
      <c r="AJ176" s="26"/>
      <c r="AK176" s="26"/>
      <c r="AL176" s="26"/>
      <c r="AM176" s="26"/>
      <c r="AN176" s="26"/>
      <c r="AO176" s="274"/>
      <c r="AP176" s="274"/>
      <c r="AQ176" s="26"/>
      <c r="AR176" s="26"/>
      <c r="AS176" s="26"/>
      <c r="AT176" s="26"/>
      <c r="AU176" s="26"/>
      <c r="AV176" s="274"/>
      <c r="AW176" s="274"/>
      <c r="AX176" s="10"/>
      <c r="AY176" s="10"/>
      <c r="BR176" s="22"/>
      <c r="BV176" s="10"/>
      <c r="BZ176" s="22"/>
    </row>
    <row r="177" spans="1:78" x14ac:dyDescent="0.25">
      <c r="A177" s="4"/>
      <c r="B177" s="26"/>
      <c r="C177" s="26"/>
      <c r="D177" s="26"/>
      <c r="E177" s="26"/>
      <c r="F177" s="26"/>
      <c r="G177" s="26"/>
      <c r="H177" s="26"/>
      <c r="I177" s="274"/>
      <c r="J177" s="274"/>
      <c r="K177" s="26"/>
      <c r="L177" s="26"/>
      <c r="M177" s="26"/>
      <c r="N177" s="26"/>
      <c r="O177" s="274"/>
      <c r="P177" s="274"/>
      <c r="Q177" s="274"/>
      <c r="R177" s="274"/>
      <c r="S177" s="271"/>
      <c r="T177" s="597"/>
      <c r="U177" s="17"/>
      <c r="V177" s="271"/>
      <c r="W177" s="271"/>
      <c r="X177" s="271"/>
      <c r="Y177" s="271"/>
      <c r="Z177" s="271"/>
      <c r="AA177" s="271"/>
      <c r="AB177" s="271"/>
      <c r="AC177" s="271"/>
      <c r="AD177" s="271"/>
      <c r="AE177" s="271"/>
      <c r="AF177" s="271"/>
      <c r="AG177" s="271"/>
      <c r="AH177" s="271"/>
      <c r="AI177" s="26"/>
      <c r="AJ177" s="26"/>
      <c r="AK177" s="26"/>
      <c r="AL177" s="26"/>
      <c r="AM177" s="26"/>
      <c r="AN177" s="26"/>
      <c r="AO177" s="274"/>
      <c r="AP177" s="274"/>
      <c r="AQ177" s="26"/>
      <c r="AR177" s="26"/>
      <c r="AS177" s="26"/>
      <c r="AT177" s="26"/>
      <c r="AU177" s="26"/>
      <c r="AV177" s="274"/>
      <c r="AW177" s="274"/>
      <c r="AX177" s="10"/>
      <c r="AY177" s="10"/>
      <c r="BR177" s="22"/>
      <c r="BV177" s="10"/>
      <c r="BZ177" s="22"/>
    </row>
    <row r="178" spans="1:78" x14ac:dyDescent="0.25">
      <c r="A178" s="4"/>
      <c r="B178" s="26"/>
      <c r="C178" s="26"/>
      <c r="D178" s="26"/>
      <c r="E178" s="26"/>
      <c r="F178" s="26"/>
      <c r="G178" s="26"/>
      <c r="H178" s="26"/>
      <c r="I178" s="274"/>
      <c r="J178" s="274"/>
      <c r="K178" s="26"/>
      <c r="L178" s="26"/>
      <c r="M178" s="26"/>
      <c r="N178" s="26"/>
      <c r="O178" s="274"/>
      <c r="P178" s="274"/>
      <c r="Q178" s="274"/>
      <c r="R178" s="274"/>
      <c r="S178" s="271"/>
      <c r="T178" s="597"/>
      <c r="U178" s="17"/>
      <c r="V178" s="271"/>
      <c r="W178" s="271"/>
      <c r="X178" s="271"/>
      <c r="Y178" s="271"/>
      <c r="Z178" s="271"/>
      <c r="AA178" s="271"/>
      <c r="AB178" s="271"/>
      <c r="AC178" s="271"/>
      <c r="AD178" s="271"/>
      <c r="AE178" s="271"/>
      <c r="AF178" s="271"/>
      <c r="AG178" s="271"/>
      <c r="AH178" s="271"/>
      <c r="AI178" s="26"/>
      <c r="AJ178" s="26"/>
      <c r="AK178" s="26"/>
      <c r="AL178" s="26"/>
      <c r="AM178" s="26"/>
      <c r="AN178" s="26"/>
      <c r="AO178" s="274"/>
      <c r="AP178" s="274"/>
      <c r="AQ178" s="26"/>
      <c r="AR178" s="26"/>
      <c r="AS178" s="26"/>
      <c r="AT178" s="26"/>
      <c r="AU178" s="26"/>
      <c r="AV178" s="274"/>
      <c r="AW178" s="274"/>
      <c r="AX178" s="10"/>
      <c r="AY178" s="10"/>
      <c r="BR178" s="22"/>
      <c r="BV178" s="10"/>
      <c r="BZ178" s="22"/>
    </row>
    <row r="179" spans="1:78" x14ac:dyDescent="0.25">
      <c r="A179" s="4"/>
      <c r="B179" s="26"/>
      <c r="C179" s="26"/>
      <c r="D179" s="26"/>
      <c r="E179" s="26"/>
      <c r="F179" s="26"/>
      <c r="G179" s="26"/>
      <c r="H179" s="26"/>
      <c r="I179" s="274"/>
      <c r="J179" s="274"/>
      <c r="K179" s="26"/>
      <c r="L179" s="26"/>
      <c r="M179" s="26"/>
      <c r="N179" s="26"/>
      <c r="O179" s="274"/>
      <c r="P179" s="274"/>
      <c r="Q179" s="274"/>
      <c r="R179" s="274"/>
      <c r="S179" s="271"/>
      <c r="T179" s="597"/>
      <c r="U179" s="17"/>
      <c r="V179" s="271"/>
      <c r="W179" s="271"/>
      <c r="X179" s="271"/>
      <c r="Y179" s="271"/>
      <c r="Z179" s="271"/>
      <c r="AA179" s="271"/>
      <c r="AB179" s="271"/>
      <c r="AC179" s="271"/>
      <c r="AD179" s="271"/>
      <c r="AE179" s="271"/>
      <c r="AF179" s="271"/>
      <c r="AG179" s="271"/>
      <c r="AH179" s="271"/>
      <c r="AI179" s="26"/>
      <c r="AJ179" s="26"/>
      <c r="AK179" s="26"/>
      <c r="AL179" s="26"/>
      <c r="AM179" s="26"/>
      <c r="AN179" s="26"/>
      <c r="AO179" s="274"/>
      <c r="AP179" s="274"/>
      <c r="AQ179" s="26"/>
      <c r="AR179" s="26"/>
      <c r="AS179" s="26"/>
      <c r="AT179" s="26"/>
      <c r="AU179" s="26"/>
      <c r="AV179" s="274"/>
      <c r="AW179" s="274"/>
      <c r="AX179" s="10"/>
      <c r="AY179" s="10"/>
      <c r="BR179" s="22"/>
      <c r="BV179" s="10"/>
      <c r="BZ179" s="22"/>
    </row>
    <row r="180" spans="1:78" x14ac:dyDescent="0.25">
      <c r="A180" s="4"/>
      <c r="B180" s="26"/>
      <c r="C180" s="26"/>
      <c r="D180" s="26"/>
      <c r="E180" s="26"/>
      <c r="F180" s="26"/>
      <c r="G180" s="26"/>
      <c r="H180" s="26"/>
      <c r="I180" s="274"/>
      <c r="J180" s="274"/>
      <c r="K180" s="26"/>
      <c r="L180" s="26"/>
      <c r="M180" s="26"/>
      <c r="N180" s="26"/>
      <c r="O180" s="274"/>
      <c r="P180" s="274"/>
      <c r="Q180" s="274"/>
      <c r="R180" s="274"/>
      <c r="S180" s="271"/>
      <c r="T180" s="597"/>
      <c r="U180" s="17"/>
      <c r="V180" s="271"/>
      <c r="W180" s="271"/>
      <c r="X180" s="271"/>
      <c r="Y180" s="271"/>
      <c r="Z180" s="271"/>
      <c r="AA180" s="271"/>
      <c r="AB180" s="271"/>
      <c r="AC180" s="271"/>
      <c r="AD180" s="271"/>
      <c r="AE180" s="271"/>
      <c r="AF180" s="271"/>
      <c r="AG180" s="271"/>
      <c r="AH180" s="271"/>
      <c r="AI180" s="26"/>
      <c r="AJ180" s="26"/>
      <c r="AK180" s="26"/>
      <c r="AL180" s="26"/>
      <c r="AM180" s="26"/>
      <c r="AN180" s="26"/>
      <c r="AO180" s="274"/>
      <c r="AP180" s="274"/>
      <c r="AQ180" s="26"/>
      <c r="AR180" s="26"/>
      <c r="AS180" s="26"/>
      <c r="AT180" s="26"/>
      <c r="AU180" s="26"/>
      <c r="AV180" s="274"/>
      <c r="AW180" s="274"/>
      <c r="AX180" s="10"/>
      <c r="AY180" s="10"/>
      <c r="BR180" s="22"/>
      <c r="BV180" s="10"/>
      <c r="BZ180" s="22"/>
    </row>
    <row r="181" spans="1:78" x14ac:dyDescent="0.25">
      <c r="A181" s="4"/>
      <c r="B181" s="26"/>
      <c r="C181" s="26"/>
      <c r="D181" s="26"/>
      <c r="E181" s="26"/>
      <c r="F181" s="26"/>
      <c r="G181" s="26"/>
      <c r="H181" s="26"/>
      <c r="I181" s="274"/>
      <c r="J181" s="274"/>
      <c r="K181" s="26"/>
      <c r="L181" s="26"/>
      <c r="M181" s="26"/>
      <c r="N181" s="26"/>
      <c r="O181" s="274"/>
      <c r="P181" s="274"/>
      <c r="Q181" s="274"/>
      <c r="R181" s="274"/>
      <c r="S181" s="271"/>
      <c r="T181" s="597"/>
      <c r="U181" s="17"/>
      <c r="V181" s="271"/>
      <c r="W181" s="271"/>
      <c r="X181" s="271"/>
      <c r="Y181" s="271"/>
      <c r="Z181" s="271"/>
      <c r="AA181" s="271"/>
      <c r="AB181" s="271"/>
      <c r="AC181" s="271"/>
      <c r="AD181" s="271"/>
      <c r="AE181" s="271"/>
      <c r="AF181" s="271"/>
      <c r="AG181" s="271"/>
      <c r="AH181" s="271"/>
      <c r="AI181" s="26"/>
      <c r="AJ181" s="26"/>
      <c r="AK181" s="26"/>
      <c r="AL181" s="26"/>
      <c r="AM181" s="26"/>
      <c r="AN181" s="26"/>
      <c r="AO181" s="274"/>
      <c r="AP181" s="274"/>
      <c r="AQ181" s="26"/>
      <c r="AR181" s="26"/>
      <c r="AS181" s="26"/>
      <c r="AT181" s="26"/>
      <c r="AU181" s="26"/>
      <c r="AV181" s="274"/>
      <c r="AW181" s="274"/>
      <c r="AX181" s="10"/>
      <c r="AY181" s="10"/>
      <c r="BR181" s="22"/>
      <c r="BV181" s="10"/>
      <c r="BZ181" s="22"/>
    </row>
    <row r="182" spans="1:78" x14ac:dyDescent="0.25">
      <c r="A182" s="4"/>
      <c r="B182" s="26"/>
      <c r="C182" s="26"/>
      <c r="D182" s="26"/>
      <c r="E182" s="26"/>
      <c r="F182" s="26"/>
      <c r="G182" s="26"/>
      <c r="H182" s="26"/>
      <c r="I182" s="274"/>
      <c r="J182" s="274"/>
      <c r="K182" s="26"/>
      <c r="L182" s="26"/>
      <c r="M182" s="26"/>
      <c r="N182" s="26"/>
      <c r="O182" s="274"/>
      <c r="P182" s="274"/>
      <c r="Q182" s="274"/>
      <c r="R182" s="274"/>
      <c r="S182" s="271"/>
      <c r="T182" s="597"/>
      <c r="U182" s="17"/>
      <c r="V182" s="271"/>
      <c r="W182" s="271"/>
      <c r="X182" s="271"/>
      <c r="Y182" s="271"/>
      <c r="Z182" s="271"/>
      <c r="AA182" s="271"/>
      <c r="AB182" s="271"/>
      <c r="AC182" s="271"/>
      <c r="AD182" s="271"/>
      <c r="AE182" s="271"/>
      <c r="AF182" s="271"/>
      <c r="AG182" s="271"/>
      <c r="AH182" s="271"/>
      <c r="AI182" s="26"/>
      <c r="AJ182" s="26"/>
      <c r="AK182" s="26"/>
      <c r="AL182" s="26"/>
      <c r="AM182" s="26"/>
      <c r="AN182" s="26"/>
      <c r="AO182" s="274"/>
      <c r="AP182" s="274"/>
      <c r="AQ182" s="26"/>
      <c r="AR182" s="26"/>
      <c r="AS182" s="26"/>
      <c r="AT182" s="26"/>
      <c r="AU182" s="26"/>
      <c r="AV182" s="274"/>
      <c r="AW182" s="274"/>
      <c r="AX182" s="10"/>
      <c r="AY182" s="10"/>
      <c r="BR182" s="22"/>
      <c r="BV182" s="10"/>
      <c r="BZ182" s="22"/>
    </row>
    <row r="183" spans="1:78" x14ac:dyDescent="0.25">
      <c r="A183" s="4"/>
      <c r="B183" s="26"/>
      <c r="C183" s="26"/>
      <c r="D183" s="26"/>
      <c r="E183" s="26"/>
      <c r="F183" s="26"/>
      <c r="G183" s="26"/>
      <c r="H183" s="26"/>
      <c r="I183" s="274"/>
      <c r="J183" s="274"/>
      <c r="K183" s="26"/>
      <c r="L183" s="26"/>
      <c r="M183" s="26"/>
      <c r="N183" s="26"/>
      <c r="O183" s="274"/>
      <c r="P183" s="274"/>
      <c r="Q183" s="274"/>
      <c r="R183" s="274"/>
      <c r="S183" s="271"/>
      <c r="T183" s="597"/>
      <c r="U183" s="17"/>
      <c r="V183" s="271"/>
      <c r="W183" s="271"/>
      <c r="X183" s="271"/>
      <c r="Y183" s="271"/>
      <c r="Z183" s="271"/>
      <c r="AA183" s="271"/>
      <c r="AB183" s="271"/>
      <c r="AC183" s="271"/>
      <c r="AD183" s="271"/>
      <c r="AE183" s="271"/>
      <c r="AF183" s="271"/>
      <c r="AG183" s="271"/>
      <c r="AH183" s="271"/>
      <c r="AI183" s="26"/>
      <c r="AJ183" s="26"/>
      <c r="AK183" s="26"/>
      <c r="AL183" s="26"/>
      <c r="AM183" s="26"/>
      <c r="AN183" s="26"/>
      <c r="AO183" s="274"/>
      <c r="AP183" s="274"/>
      <c r="AQ183" s="26"/>
      <c r="AR183" s="26"/>
      <c r="AS183" s="26"/>
      <c r="AT183" s="26"/>
      <c r="AU183" s="26"/>
      <c r="AV183" s="274"/>
      <c r="AW183" s="274"/>
      <c r="AX183" s="10"/>
      <c r="AY183" s="10"/>
      <c r="BR183" s="22"/>
      <c r="BV183" s="10"/>
      <c r="BZ183" s="22"/>
    </row>
    <row r="184" spans="1:78" x14ac:dyDescent="0.25">
      <c r="A184" s="4"/>
      <c r="B184" s="26"/>
      <c r="C184" s="26"/>
      <c r="D184" s="26"/>
      <c r="E184" s="26"/>
      <c r="F184" s="26"/>
      <c r="G184" s="26"/>
      <c r="H184" s="26"/>
      <c r="I184" s="274"/>
      <c r="J184" s="274"/>
      <c r="K184" s="26"/>
      <c r="L184" s="26"/>
      <c r="M184" s="26"/>
      <c r="N184" s="26"/>
      <c r="O184" s="274"/>
      <c r="P184" s="274"/>
      <c r="Q184" s="274"/>
      <c r="R184" s="274"/>
      <c r="S184" s="271"/>
      <c r="T184" s="597"/>
      <c r="U184" s="17"/>
      <c r="V184" s="271"/>
      <c r="W184" s="271"/>
      <c r="X184" s="271"/>
      <c r="Y184" s="271"/>
      <c r="Z184" s="271"/>
      <c r="AA184" s="271"/>
      <c r="AB184" s="271"/>
      <c r="AC184" s="271"/>
      <c r="AD184" s="271"/>
      <c r="AE184" s="271"/>
      <c r="AF184" s="271"/>
      <c r="AG184" s="271"/>
      <c r="AH184" s="271"/>
      <c r="AI184" s="26"/>
      <c r="AJ184" s="26"/>
      <c r="AK184" s="26"/>
      <c r="AL184" s="26"/>
      <c r="AM184" s="26"/>
      <c r="AN184" s="26"/>
      <c r="AO184" s="274"/>
      <c r="AP184" s="274"/>
      <c r="AQ184" s="26"/>
      <c r="AR184" s="26"/>
      <c r="AS184" s="26"/>
      <c r="AT184" s="26"/>
      <c r="AU184" s="26"/>
      <c r="AV184" s="274"/>
      <c r="AW184" s="274"/>
      <c r="AX184" s="10"/>
      <c r="AY184" s="10"/>
      <c r="BR184" s="22"/>
      <c r="BV184" s="10"/>
      <c r="BZ184" s="22"/>
    </row>
    <row r="185" spans="1:78" x14ac:dyDescent="0.25">
      <c r="A185" s="4"/>
      <c r="B185" s="26"/>
      <c r="C185" s="26"/>
      <c r="D185" s="26"/>
      <c r="E185" s="26"/>
      <c r="F185" s="26"/>
      <c r="G185" s="26"/>
      <c r="H185" s="26"/>
      <c r="I185" s="274"/>
      <c r="J185" s="274"/>
      <c r="K185" s="26"/>
      <c r="L185" s="26"/>
      <c r="M185" s="26"/>
      <c r="N185" s="26"/>
      <c r="O185" s="274"/>
      <c r="P185" s="274"/>
      <c r="Q185" s="274"/>
      <c r="R185" s="274"/>
      <c r="S185" s="271"/>
      <c r="T185" s="597"/>
      <c r="U185" s="17"/>
      <c r="V185" s="271"/>
      <c r="W185" s="271"/>
      <c r="X185" s="271"/>
      <c r="Y185" s="271"/>
      <c r="Z185" s="271"/>
      <c r="AA185" s="271"/>
      <c r="AB185" s="271"/>
      <c r="AC185" s="271"/>
      <c r="AD185" s="271"/>
      <c r="AE185" s="271"/>
      <c r="AF185" s="271"/>
      <c r="AG185" s="271"/>
      <c r="AH185" s="271"/>
      <c r="AI185" s="26"/>
      <c r="AJ185" s="26"/>
      <c r="AK185" s="26"/>
      <c r="AL185" s="26"/>
      <c r="AM185" s="26"/>
      <c r="AN185" s="26"/>
      <c r="AO185" s="274"/>
      <c r="AP185" s="274"/>
      <c r="AQ185" s="26"/>
      <c r="AR185" s="26"/>
      <c r="AS185" s="26"/>
      <c r="AT185" s="26"/>
      <c r="AU185" s="26"/>
      <c r="AV185" s="274"/>
      <c r="AW185" s="274"/>
      <c r="AX185" s="10"/>
      <c r="AY185" s="10"/>
      <c r="BR185" s="22"/>
      <c r="BV185" s="10"/>
      <c r="BZ185" s="22"/>
    </row>
    <row r="186" spans="1:78" x14ac:dyDescent="0.25">
      <c r="A186" s="4"/>
      <c r="B186" s="26"/>
      <c r="C186" s="26"/>
      <c r="D186" s="26"/>
      <c r="E186" s="26"/>
      <c r="F186" s="26"/>
      <c r="G186" s="26"/>
      <c r="H186" s="26"/>
      <c r="I186" s="274"/>
      <c r="J186" s="274"/>
      <c r="K186" s="26"/>
      <c r="L186" s="26"/>
      <c r="M186" s="26"/>
      <c r="N186" s="26"/>
      <c r="O186" s="274"/>
      <c r="P186" s="274"/>
      <c r="Q186" s="274"/>
      <c r="R186" s="274"/>
      <c r="S186" s="271"/>
      <c r="T186" s="597"/>
      <c r="U186" s="17"/>
      <c r="V186" s="271"/>
      <c r="W186" s="271"/>
      <c r="X186" s="271"/>
      <c r="Y186" s="271"/>
      <c r="Z186" s="271"/>
      <c r="AA186" s="271"/>
      <c r="AB186" s="271"/>
      <c r="AC186" s="271"/>
      <c r="AD186" s="271"/>
      <c r="AE186" s="271"/>
      <c r="AF186" s="271"/>
      <c r="AG186" s="271"/>
      <c r="AH186" s="271"/>
      <c r="AI186" s="26"/>
      <c r="AJ186" s="26"/>
      <c r="AK186" s="26"/>
      <c r="AL186" s="26"/>
      <c r="AM186" s="26"/>
      <c r="AN186" s="26"/>
      <c r="AO186" s="274"/>
      <c r="AP186" s="274"/>
      <c r="AQ186" s="26"/>
      <c r="AR186" s="26"/>
      <c r="AS186" s="26"/>
      <c r="AT186" s="26"/>
      <c r="AU186" s="26"/>
      <c r="AV186" s="274"/>
      <c r="AW186" s="274"/>
      <c r="AX186" s="10"/>
      <c r="AY186" s="10"/>
      <c r="BR186" s="22"/>
      <c r="BV186" s="10"/>
      <c r="BZ186" s="22"/>
    </row>
    <row r="187" spans="1:78" x14ac:dyDescent="0.25">
      <c r="A187" s="4"/>
      <c r="B187" s="26"/>
      <c r="C187" s="26"/>
      <c r="D187" s="26"/>
      <c r="E187" s="26"/>
      <c r="F187" s="26"/>
      <c r="G187" s="26"/>
      <c r="H187" s="26"/>
      <c r="I187" s="274"/>
      <c r="J187" s="274"/>
      <c r="K187" s="26"/>
      <c r="L187" s="26"/>
      <c r="M187" s="26"/>
      <c r="N187" s="26"/>
      <c r="O187" s="274"/>
      <c r="P187" s="274"/>
      <c r="Q187" s="274"/>
      <c r="R187" s="274"/>
      <c r="S187" s="271"/>
      <c r="T187" s="597"/>
      <c r="U187" s="17"/>
      <c r="V187" s="271"/>
      <c r="W187" s="271"/>
      <c r="X187" s="271"/>
      <c r="Y187" s="271"/>
      <c r="Z187" s="271"/>
      <c r="AA187" s="271"/>
      <c r="AB187" s="271"/>
      <c r="AC187" s="271"/>
      <c r="AD187" s="271"/>
      <c r="AE187" s="271"/>
      <c r="AF187" s="271"/>
      <c r="AG187" s="271"/>
      <c r="AH187" s="271"/>
      <c r="AI187" s="26"/>
      <c r="AJ187" s="26"/>
      <c r="AK187" s="26"/>
      <c r="AL187" s="26"/>
      <c r="AM187" s="26"/>
      <c r="AN187" s="26"/>
      <c r="AO187" s="274"/>
      <c r="AP187" s="274"/>
      <c r="AQ187" s="26"/>
      <c r="AR187" s="26"/>
      <c r="AS187" s="26"/>
      <c r="AT187" s="26"/>
      <c r="AU187" s="26"/>
      <c r="AV187" s="274"/>
      <c r="AW187" s="274"/>
      <c r="AX187" s="10"/>
      <c r="AY187" s="10"/>
      <c r="BR187" s="22"/>
      <c r="BV187" s="10"/>
      <c r="BZ187" s="22"/>
    </row>
    <row r="188" spans="1:78" x14ac:dyDescent="0.25">
      <c r="A188" s="4"/>
      <c r="B188" s="26"/>
      <c r="C188" s="26"/>
      <c r="D188" s="26"/>
      <c r="E188" s="26"/>
      <c r="F188" s="26"/>
      <c r="G188" s="26"/>
      <c r="H188" s="26"/>
      <c r="I188" s="274"/>
      <c r="J188" s="274"/>
      <c r="K188" s="26"/>
      <c r="L188" s="26"/>
      <c r="M188" s="26"/>
      <c r="N188" s="26"/>
      <c r="O188" s="274"/>
      <c r="P188" s="274"/>
      <c r="Q188" s="274"/>
      <c r="R188" s="274"/>
      <c r="S188" s="271"/>
      <c r="T188" s="597"/>
      <c r="U188" s="17"/>
      <c r="V188" s="271"/>
      <c r="W188" s="271"/>
      <c r="X188" s="271"/>
      <c r="Y188" s="271"/>
      <c r="Z188" s="271"/>
      <c r="AA188" s="271"/>
      <c r="AB188" s="271"/>
      <c r="AC188" s="271"/>
      <c r="AD188" s="271"/>
      <c r="AE188" s="271"/>
      <c r="AF188" s="271"/>
      <c r="AG188" s="271"/>
      <c r="AH188" s="271"/>
      <c r="AI188" s="26"/>
      <c r="AJ188" s="26"/>
      <c r="AK188" s="26"/>
      <c r="AL188" s="26"/>
      <c r="AM188" s="26"/>
      <c r="AN188" s="26"/>
      <c r="AO188" s="274"/>
      <c r="AP188" s="274"/>
      <c r="AQ188" s="26"/>
      <c r="AR188" s="26"/>
      <c r="AS188" s="26"/>
      <c r="AT188" s="26"/>
      <c r="AU188" s="26"/>
      <c r="AV188" s="274"/>
      <c r="AW188" s="274"/>
      <c r="AX188" s="10"/>
      <c r="AY188" s="10"/>
      <c r="BR188" s="22"/>
      <c r="BV188" s="10"/>
      <c r="BZ188" s="22"/>
    </row>
    <row r="189" spans="1:78" x14ac:dyDescent="0.25">
      <c r="A189" s="4"/>
      <c r="B189" s="26"/>
      <c r="C189" s="26"/>
      <c r="D189" s="26"/>
      <c r="E189" s="26"/>
      <c r="F189" s="26"/>
      <c r="G189" s="26"/>
      <c r="H189" s="26"/>
      <c r="I189" s="274"/>
      <c r="J189" s="274"/>
      <c r="K189" s="26"/>
      <c r="L189" s="26"/>
      <c r="M189" s="26"/>
      <c r="N189" s="26"/>
      <c r="O189" s="274"/>
      <c r="P189" s="274"/>
      <c r="Q189" s="274"/>
      <c r="R189" s="274"/>
      <c r="S189" s="271"/>
      <c r="T189" s="597"/>
      <c r="U189" s="17"/>
      <c r="V189" s="271"/>
      <c r="W189" s="271"/>
      <c r="X189" s="271"/>
      <c r="Y189" s="271"/>
      <c r="Z189" s="271"/>
      <c r="AA189" s="271"/>
      <c r="AB189" s="271"/>
      <c r="AC189" s="271"/>
      <c r="AD189" s="271"/>
      <c r="AE189" s="271"/>
      <c r="AF189" s="271"/>
      <c r="AG189" s="271"/>
      <c r="AH189" s="271"/>
      <c r="AI189" s="26"/>
      <c r="AJ189" s="26"/>
      <c r="AK189" s="26"/>
      <c r="AL189" s="26"/>
      <c r="AM189" s="26"/>
      <c r="AN189" s="26"/>
      <c r="AO189" s="274"/>
      <c r="AP189" s="274"/>
      <c r="AQ189" s="26"/>
      <c r="AR189" s="26"/>
      <c r="AS189" s="26"/>
      <c r="AT189" s="26"/>
      <c r="AU189" s="26"/>
      <c r="AV189" s="274"/>
      <c r="AW189" s="274"/>
      <c r="AX189" s="10"/>
      <c r="AY189" s="10"/>
      <c r="BR189" s="22"/>
      <c r="BV189" s="10"/>
      <c r="BZ189" s="22"/>
    </row>
    <row r="190" spans="1:78" x14ac:dyDescent="0.25">
      <c r="A190" s="4"/>
      <c r="B190" s="26"/>
      <c r="C190" s="26"/>
      <c r="D190" s="26"/>
      <c r="E190" s="26"/>
      <c r="F190" s="26"/>
      <c r="G190" s="26"/>
      <c r="H190" s="26"/>
      <c r="I190" s="274"/>
      <c r="J190" s="274"/>
      <c r="K190" s="26"/>
      <c r="L190" s="26"/>
      <c r="M190" s="26"/>
      <c r="N190" s="26"/>
      <c r="O190" s="274"/>
      <c r="P190" s="274"/>
      <c r="Q190" s="274"/>
      <c r="R190" s="274"/>
      <c r="S190" s="271"/>
      <c r="T190" s="597"/>
      <c r="U190" s="17"/>
      <c r="V190" s="271"/>
      <c r="W190" s="271"/>
      <c r="X190" s="271"/>
      <c r="Y190" s="271"/>
      <c r="Z190" s="271"/>
      <c r="AA190" s="271"/>
      <c r="AB190" s="271"/>
      <c r="AC190" s="271"/>
      <c r="AD190" s="271"/>
      <c r="AE190" s="271"/>
      <c r="AF190" s="271"/>
      <c r="AG190" s="271"/>
      <c r="AH190" s="271"/>
      <c r="AI190" s="26"/>
      <c r="AJ190" s="26"/>
      <c r="AK190" s="26"/>
      <c r="AL190" s="26"/>
      <c r="AM190" s="26"/>
      <c r="AN190" s="26"/>
      <c r="AO190" s="274"/>
      <c r="AP190" s="274"/>
      <c r="AQ190" s="26"/>
      <c r="AR190" s="26"/>
      <c r="AS190" s="26"/>
      <c r="AT190" s="26"/>
      <c r="AU190" s="26"/>
      <c r="AV190" s="274"/>
      <c r="AW190" s="274"/>
      <c r="AX190" s="10"/>
      <c r="AY190" s="10"/>
      <c r="BR190" s="22"/>
      <c r="BV190" s="10"/>
      <c r="BZ190" s="22"/>
    </row>
    <row r="191" spans="1:78" x14ac:dyDescent="0.25">
      <c r="A191" s="4"/>
      <c r="B191" s="26"/>
      <c r="C191" s="26"/>
      <c r="D191" s="26"/>
      <c r="E191" s="26"/>
      <c r="F191" s="26"/>
      <c r="G191" s="26"/>
      <c r="H191" s="26"/>
      <c r="I191" s="274"/>
      <c r="J191" s="274"/>
      <c r="K191" s="26"/>
      <c r="L191" s="26"/>
      <c r="M191" s="26"/>
      <c r="N191" s="26"/>
      <c r="O191" s="274"/>
      <c r="P191" s="274"/>
      <c r="Q191" s="274"/>
      <c r="R191" s="274"/>
      <c r="S191" s="271"/>
      <c r="T191" s="597"/>
      <c r="U191" s="17"/>
      <c r="V191" s="271"/>
      <c r="W191" s="271"/>
      <c r="X191" s="271"/>
      <c r="Y191" s="271"/>
      <c r="Z191" s="271"/>
      <c r="AA191" s="271"/>
      <c r="AB191" s="271"/>
      <c r="AC191" s="271"/>
      <c r="AD191" s="271"/>
      <c r="AE191" s="271"/>
      <c r="AF191" s="271"/>
      <c r="AG191" s="271"/>
      <c r="AH191" s="271"/>
      <c r="AI191" s="26"/>
      <c r="AJ191" s="26"/>
      <c r="AK191" s="26"/>
      <c r="AL191" s="26"/>
      <c r="AM191" s="26"/>
      <c r="AN191" s="26"/>
      <c r="AO191" s="274"/>
      <c r="AP191" s="274"/>
      <c r="AQ191" s="26"/>
      <c r="AR191" s="26"/>
      <c r="AS191" s="26"/>
      <c r="AT191" s="26"/>
      <c r="AU191" s="26"/>
      <c r="AV191" s="274"/>
      <c r="AW191" s="274"/>
      <c r="AX191" s="10"/>
      <c r="AY191" s="10"/>
      <c r="BR191" s="22"/>
      <c r="BV191" s="10"/>
      <c r="BZ191" s="22"/>
    </row>
    <row r="192" spans="1:78" x14ac:dyDescent="0.25">
      <c r="A192" s="4"/>
      <c r="B192" s="26"/>
      <c r="C192" s="26"/>
      <c r="D192" s="26"/>
      <c r="E192" s="26"/>
      <c r="F192" s="26"/>
      <c r="G192" s="26"/>
      <c r="H192" s="26"/>
      <c r="I192" s="274"/>
      <c r="J192" s="274"/>
      <c r="K192" s="26"/>
      <c r="L192" s="26"/>
      <c r="M192" s="26"/>
      <c r="N192" s="26"/>
      <c r="O192" s="274"/>
      <c r="P192" s="274"/>
      <c r="Q192" s="274"/>
      <c r="R192" s="274"/>
      <c r="S192" s="271"/>
      <c r="T192" s="597"/>
      <c r="U192" s="17"/>
      <c r="V192" s="271"/>
      <c r="W192" s="271"/>
      <c r="X192" s="271"/>
      <c r="Y192" s="271"/>
      <c r="Z192" s="271"/>
      <c r="AA192" s="271"/>
      <c r="AB192" s="271"/>
      <c r="AC192" s="271"/>
      <c r="AD192" s="271"/>
      <c r="AE192" s="271"/>
      <c r="AF192" s="271"/>
      <c r="AG192" s="271"/>
      <c r="AH192" s="271"/>
      <c r="AI192" s="26"/>
      <c r="AJ192" s="26"/>
      <c r="AK192" s="26"/>
      <c r="AL192" s="26"/>
      <c r="AM192" s="26"/>
      <c r="AN192" s="26"/>
      <c r="AO192" s="274"/>
      <c r="AP192" s="274"/>
      <c r="AQ192" s="26"/>
      <c r="AR192" s="26"/>
      <c r="AS192" s="26"/>
      <c r="AT192" s="26"/>
      <c r="AU192" s="26"/>
      <c r="AV192" s="274"/>
      <c r="AW192" s="274"/>
      <c r="AX192" s="10"/>
      <c r="AY192" s="10"/>
      <c r="BR192" s="22"/>
      <c r="BV192" s="10"/>
      <c r="BZ192" s="22"/>
    </row>
    <row r="193" spans="1:78" x14ac:dyDescent="0.25">
      <c r="A193" s="4"/>
      <c r="B193" s="26"/>
      <c r="C193" s="26"/>
      <c r="D193" s="26"/>
      <c r="E193" s="26"/>
      <c r="F193" s="26"/>
      <c r="G193" s="26"/>
      <c r="H193" s="26"/>
      <c r="I193" s="274"/>
      <c r="J193" s="274"/>
      <c r="K193" s="26"/>
      <c r="L193" s="26"/>
      <c r="M193" s="26"/>
      <c r="N193" s="26"/>
      <c r="O193" s="274"/>
      <c r="P193" s="274"/>
      <c r="Q193" s="274"/>
      <c r="R193" s="274"/>
      <c r="S193" s="271"/>
      <c r="T193" s="597"/>
      <c r="U193" s="17"/>
      <c r="V193" s="271"/>
      <c r="W193" s="271"/>
      <c r="X193" s="271"/>
      <c r="Y193" s="271"/>
      <c r="Z193" s="271"/>
      <c r="AA193" s="271"/>
      <c r="AB193" s="271"/>
      <c r="AC193" s="271"/>
      <c r="AD193" s="271"/>
      <c r="AE193" s="271"/>
      <c r="AF193" s="271"/>
      <c r="AG193" s="271"/>
      <c r="AH193" s="271"/>
      <c r="AI193" s="26"/>
      <c r="AJ193" s="26"/>
      <c r="AK193" s="26"/>
      <c r="AL193" s="26"/>
      <c r="AM193" s="26"/>
      <c r="AN193" s="26"/>
      <c r="AO193" s="274"/>
      <c r="AP193" s="274"/>
      <c r="AQ193" s="26"/>
      <c r="AR193" s="26"/>
      <c r="AS193" s="26"/>
      <c r="AT193" s="26"/>
      <c r="AU193" s="26"/>
      <c r="AV193" s="274"/>
      <c r="AW193" s="274"/>
      <c r="AX193" s="10"/>
      <c r="AY193" s="10"/>
      <c r="BR193" s="22"/>
      <c r="BV193" s="10"/>
      <c r="BZ193" s="22"/>
    </row>
    <row r="194" spans="1:78" x14ac:dyDescent="0.25">
      <c r="A194" s="4"/>
      <c r="B194" s="26"/>
      <c r="C194" s="26"/>
      <c r="D194" s="26"/>
      <c r="E194" s="26"/>
      <c r="F194" s="26"/>
      <c r="G194" s="26"/>
      <c r="H194" s="26"/>
      <c r="I194" s="274"/>
      <c r="J194" s="274"/>
      <c r="K194" s="26"/>
      <c r="L194" s="26"/>
      <c r="M194" s="26"/>
      <c r="N194" s="26"/>
      <c r="O194" s="274"/>
      <c r="P194" s="274"/>
      <c r="Q194" s="274"/>
      <c r="R194" s="274"/>
      <c r="S194" s="271"/>
      <c r="T194" s="597"/>
      <c r="U194" s="17"/>
      <c r="V194" s="271"/>
      <c r="W194" s="271"/>
      <c r="X194" s="271"/>
      <c r="Y194" s="271"/>
      <c r="Z194" s="271"/>
      <c r="AA194" s="271"/>
      <c r="AB194" s="271"/>
      <c r="AC194" s="271"/>
      <c r="AD194" s="271"/>
      <c r="AE194" s="271"/>
      <c r="AF194" s="271"/>
      <c r="AG194" s="271"/>
      <c r="AH194" s="271"/>
      <c r="AI194" s="26"/>
      <c r="AJ194" s="26"/>
      <c r="AK194" s="26"/>
      <c r="AL194" s="26"/>
      <c r="AM194" s="26"/>
      <c r="AN194" s="26"/>
      <c r="AO194" s="274"/>
      <c r="AP194" s="274"/>
      <c r="AQ194" s="26"/>
      <c r="AR194" s="26"/>
      <c r="AS194" s="26"/>
      <c r="AT194" s="26"/>
      <c r="AU194" s="26"/>
      <c r="AV194" s="274"/>
      <c r="AW194" s="274"/>
      <c r="AX194" s="10"/>
      <c r="AY194" s="10"/>
      <c r="BR194" s="22"/>
      <c r="BV194" s="10"/>
      <c r="BZ194" s="22"/>
    </row>
    <row r="195" spans="1:78" x14ac:dyDescent="0.25">
      <c r="A195" s="4"/>
      <c r="B195" s="26"/>
      <c r="C195" s="26"/>
      <c r="D195" s="26"/>
      <c r="E195" s="26"/>
      <c r="F195" s="26"/>
      <c r="G195" s="26"/>
      <c r="H195" s="26"/>
      <c r="I195" s="274"/>
      <c r="J195" s="274"/>
      <c r="K195" s="26"/>
      <c r="L195" s="26"/>
      <c r="M195" s="26"/>
      <c r="N195" s="26"/>
      <c r="O195" s="274"/>
      <c r="P195" s="274"/>
      <c r="Q195" s="274"/>
      <c r="R195" s="274"/>
      <c r="S195" s="271"/>
      <c r="T195" s="597"/>
      <c r="U195" s="17"/>
      <c r="V195" s="271"/>
      <c r="W195" s="271"/>
      <c r="X195" s="271"/>
      <c r="Y195" s="271"/>
      <c r="Z195" s="271"/>
      <c r="AA195" s="271"/>
      <c r="AB195" s="271"/>
      <c r="AC195" s="271"/>
      <c r="AD195" s="271"/>
      <c r="AE195" s="271"/>
      <c r="AF195" s="271"/>
      <c r="AG195" s="271"/>
      <c r="AH195" s="271"/>
      <c r="AI195" s="26"/>
      <c r="AJ195" s="26"/>
      <c r="AK195" s="26"/>
      <c r="AL195" s="26"/>
      <c r="AM195" s="26"/>
      <c r="AN195" s="26"/>
      <c r="AO195" s="274"/>
      <c r="AP195" s="274"/>
      <c r="AQ195" s="26"/>
      <c r="AR195" s="26"/>
      <c r="AS195" s="26"/>
      <c r="AT195" s="26"/>
      <c r="AU195" s="26"/>
      <c r="AV195" s="274"/>
      <c r="AW195" s="274"/>
      <c r="AX195" s="10"/>
      <c r="AY195" s="10"/>
      <c r="BR195" s="22"/>
      <c r="BV195" s="10"/>
      <c r="BZ195" s="22"/>
    </row>
    <row r="196" spans="1:78" x14ac:dyDescent="0.25">
      <c r="A196" s="4"/>
      <c r="B196" s="26"/>
      <c r="C196" s="26"/>
      <c r="D196" s="26"/>
      <c r="E196" s="26"/>
      <c r="F196" s="26"/>
      <c r="G196" s="26"/>
      <c r="H196" s="26"/>
      <c r="I196" s="274"/>
      <c r="J196" s="274"/>
      <c r="K196" s="26"/>
      <c r="L196" s="26"/>
      <c r="M196" s="26"/>
      <c r="N196" s="26"/>
      <c r="O196" s="274"/>
      <c r="P196" s="274"/>
      <c r="Q196" s="274"/>
      <c r="R196" s="274"/>
      <c r="S196" s="271"/>
      <c r="T196" s="597"/>
      <c r="U196" s="17"/>
      <c r="V196" s="271"/>
      <c r="W196" s="271"/>
      <c r="X196" s="271"/>
      <c r="Y196" s="271"/>
      <c r="Z196" s="271"/>
      <c r="AA196" s="271"/>
      <c r="AB196" s="271"/>
      <c r="AC196" s="271"/>
      <c r="AD196" s="271"/>
      <c r="AE196" s="271"/>
      <c r="AF196" s="271"/>
      <c r="AG196" s="271"/>
      <c r="AH196" s="271"/>
      <c r="AI196" s="26"/>
      <c r="AJ196" s="26"/>
      <c r="AK196" s="26"/>
      <c r="AL196" s="26"/>
      <c r="AM196" s="26"/>
      <c r="AN196" s="26"/>
      <c r="AO196" s="274"/>
      <c r="AP196" s="274"/>
      <c r="AQ196" s="26"/>
      <c r="AR196" s="26"/>
      <c r="AS196" s="26"/>
      <c r="AT196" s="26"/>
      <c r="AU196" s="26"/>
      <c r="AV196" s="274"/>
      <c r="AW196" s="274"/>
      <c r="AX196" s="10"/>
      <c r="AY196" s="10"/>
      <c r="BR196" s="22"/>
      <c r="BV196" s="10"/>
      <c r="BZ196" s="22"/>
    </row>
    <row r="197" spans="1:78" x14ac:dyDescent="0.25">
      <c r="A197" s="4"/>
      <c r="B197" s="26"/>
      <c r="C197" s="26"/>
      <c r="D197" s="26"/>
      <c r="E197" s="26"/>
      <c r="F197" s="26"/>
      <c r="G197" s="26"/>
      <c r="H197" s="26"/>
      <c r="I197" s="274"/>
      <c r="J197" s="274"/>
      <c r="K197" s="26"/>
      <c r="L197" s="26"/>
      <c r="M197" s="26"/>
      <c r="N197" s="26"/>
      <c r="O197" s="274"/>
      <c r="P197" s="274"/>
      <c r="Q197" s="274"/>
      <c r="R197" s="274"/>
      <c r="S197" s="271"/>
      <c r="T197" s="597"/>
      <c r="U197" s="17"/>
      <c r="V197" s="271"/>
      <c r="W197" s="271"/>
      <c r="X197" s="271"/>
      <c r="Y197" s="271"/>
      <c r="Z197" s="271"/>
      <c r="AA197" s="271"/>
      <c r="AB197" s="271"/>
      <c r="AC197" s="271"/>
      <c r="AD197" s="271"/>
      <c r="AE197" s="271"/>
      <c r="AF197" s="271"/>
      <c r="AG197" s="271"/>
      <c r="AH197" s="271"/>
      <c r="AI197" s="26"/>
      <c r="AJ197" s="26"/>
      <c r="AK197" s="26"/>
      <c r="AL197" s="26"/>
      <c r="AM197" s="26"/>
      <c r="AN197" s="26"/>
      <c r="AO197" s="274"/>
      <c r="AP197" s="274"/>
      <c r="AQ197" s="26"/>
      <c r="AR197" s="26"/>
      <c r="AS197" s="26"/>
      <c r="AT197" s="26"/>
      <c r="AU197" s="26"/>
      <c r="AV197" s="274"/>
      <c r="AW197" s="274"/>
      <c r="AX197" s="10"/>
      <c r="AY197" s="10"/>
      <c r="BR197" s="22"/>
      <c r="BV197" s="10"/>
      <c r="BZ197" s="22"/>
    </row>
    <row r="198" spans="1:78" x14ac:dyDescent="0.25">
      <c r="A198" s="4"/>
      <c r="B198" s="26"/>
      <c r="C198" s="26"/>
      <c r="D198" s="26"/>
      <c r="E198" s="26"/>
      <c r="F198" s="26"/>
      <c r="G198" s="26"/>
      <c r="H198" s="26"/>
      <c r="I198" s="274"/>
      <c r="J198" s="274"/>
      <c r="K198" s="26"/>
      <c r="L198" s="26"/>
      <c r="M198" s="26"/>
      <c r="N198" s="26"/>
      <c r="O198" s="274"/>
      <c r="P198" s="274"/>
      <c r="Q198" s="274"/>
      <c r="R198" s="274"/>
      <c r="S198" s="271"/>
      <c r="T198" s="597"/>
      <c r="U198" s="17"/>
      <c r="V198" s="271"/>
      <c r="W198" s="271"/>
      <c r="X198" s="271"/>
      <c r="Y198" s="271"/>
      <c r="Z198" s="271"/>
      <c r="AA198" s="271"/>
      <c r="AB198" s="271"/>
      <c r="AC198" s="271"/>
      <c r="AD198" s="271"/>
      <c r="AE198" s="271"/>
      <c r="AF198" s="271"/>
      <c r="AG198" s="271"/>
      <c r="AH198" s="271"/>
      <c r="AI198" s="26"/>
      <c r="AJ198" s="26"/>
      <c r="AK198" s="26"/>
      <c r="AL198" s="26"/>
      <c r="AM198" s="26"/>
      <c r="AN198" s="26"/>
      <c r="AO198" s="274"/>
      <c r="AP198" s="274"/>
      <c r="AQ198" s="26"/>
      <c r="AR198" s="26"/>
      <c r="AS198" s="26"/>
      <c r="AT198" s="26"/>
      <c r="AU198" s="26"/>
      <c r="AV198" s="274"/>
      <c r="AW198" s="274"/>
      <c r="AX198" s="10"/>
      <c r="AY198" s="10"/>
      <c r="BR198" s="22"/>
      <c r="BV198" s="10"/>
      <c r="BZ198" s="22"/>
    </row>
    <row r="199" spans="1:78" x14ac:dyDescent="0.25">
      <c r="A199" s="4"/>
      <c r="B199" s="26"/>
      <c r="C199" s="26"/>
      <c r="D199" s="26"/>
      <c r="E199" s="26"/>
      <c r="F199" s="26"/>
      <c r="G199" s="26"/>
      <c r="H199" s="26"/>
      <c r="I199" s="274"/>
      <c r="J199" s="274"/>
      <c r="K199" s="26"/>
      <c r="L199" s="26"/>
      <c r="M199" s="26"/>
      <c r="N199" s="26"/>
      <c r="O199" s="274"/>
      <c r="P199" s="274"/>
      <c r="Q199" s="274"/>
      <c r="R199" s="274"/>
      <c r="S199" s="271"/>
      <c r="T199" s="597"/>
      <c r="U199" s="17"/>
      <c r="V199" s="271"/>
      <c r="W199" s="271"/>
      <c r="X199" s="271"/>
      <c r="Y199" s="271"/>
      <c r="Z199" s="271"/>
      <c r="AA199" s="271"/>
      <c r="AB199" s="271"/>
      <c r="AC199" s="271"/>
      <c r="AD199" s="271"/>
      <c r="AE199" s="271"/>
      <c r="AF199" s="271"/>
      <c r="AG199" s="271"/>
      <c r="AH199" s="271"/>
      <c r="AI199" s="26"/>
      <c r="AJ199" s="26"/>
      <c r="AK199" s="26"/>
      <c r="AL199" s="26"/>
      <c r="AM199" s="26"/>
      <c r="AN199" s="26"/>
      <c r="AO199" s="274"/>
      <c r="AP199" s="274"/>
      <c r="AQ199" s="26"/>
      <c r="AR199" s="26"/>
      <c r="AS199" s="26"/>
      <c r="AT199" s="26"/>
      <c r="AU199" s="26"/>
      <c r="AV199" s="274"/>
      <c r="AW199" s="274"/>
      <c r="AX199" s="10"/>
      <c r="AY199" s="10"/>
      <c r="BR199" s="22"/>
      <c r="BV199" s="10"/>
      <c r="BZ199" s="22"/>
    </row>
    <row r="200" spans="1:78" x14ac:dyDescent="0.25">
      <c r="A200" s="4"/>
      <c r="B200" s="26"/>
      <c r="C200" s="26"/>
      <c r="D200" s="26"/>
      <c r="E200" s="26"/>
      <c r="F200" s="26"/>
      <c r="G200" s="26"/>
      <c r="H200" s="26"/>
      <c r="I200" s="274"/>
      <c r="J200" s="274"/>
      <c r="K200" s="26"/>
      <c r="L200" s="26"/>
      <c r="M200" s="26"/>
      <c r="N200" s="26"/>
      <c r="O200" s="274"/>
      <c r="P200" s="274"/>
      <c r="Q200" s="274"/>
      <c r="R200" s="274"/>
      <c r="S200" s="271"/>
      <c r="T200" s="597"/>
      <c r="U200" s="17"/>
      <c r="V200" s="271"/>
      <c r="W200" s="271"/>
      <c r="X200" s="271"/>
      <c r="Y200" s="271"/>
      <c r="Z200" s="271"/>
      <c r="AA200" s="271"/>
      <c r="AB200" s="271"/>
      <c r="AC200" s="271"/>
      <c r="AD200" s="271"/>
      <c r="AE200" s="271"/>
      <c r="AF200" s="271"/>
      <c r="AG200" s="271"/>
      <c r="AH200" s="271"/>
      <c r="AI200" s="26"/>
      <c r="AJ200" s="26"/>
      <c r="AK200" s="26"/>
      <c r="AL200" s="26"/>
      <c r="AM200" s="26"/>
      <c r="AN200" s="26"/>
      <c r="AO200" s="274"/>
      <c r="AP200" s="274"/>
      <c r="AQ200" s="26"/>
      <c r="AR200" s="26"/>
      <c r="AS200" s="26"/>
      <c r="AT200" s="26"/>
      <c r="AU200" s="26"/>
      <c r="AV200" s="274"/>
      <c r="AW200" s="274"/>
      <c r="AX200" s="10"/>
      <c r="AY200" s="10"/>
      <c r="BR200" s="22"/>
      <c r="BV200" s="10"/>
      <c r="BZ200" s="22"/>
    </row>
    <row r="201" spans="1:78" x14ac:dyDescent="0.25">
      <c r="A201" s="4"/>
      <c r="B201" s="26"/>
      <c r="C201" s="26"/>
      <c r="D201" s="26"/>
      <c r="E201" s="26"/>
      <c r="F201" s="26"/>
      <c r="G201" s="26"/>
      <c r="H201" s="26"/>
      <c r="I201" s="274"/>
      <c r="J201" s="274"/>
      <c r="K201" s="26"/>
      <c r="L201" s="26"/>
      <c r="M201" s="26"/>
      <c r="N201" s="26"/>
      <c r="O201" s="274"/>
      <c r="P201" s="274"/>
      <c r="Q201" s="274"/>
      <c r="R201" s="274"/>
      <c r="S201" s="271"/>
      <c r="T201" s="597"/>
      <c r="U201" s="17"/>
      <c r="V201" s="271"/>
      <c r="W201" s="271"/>
      <c r="X201" s="271"/>
      <c r="Y201" s="271"/>
      <c r="Z201" s="271"/>
      <c r="AA201" s="271"/>
      <c r="AB201" s="271"/>
      <c r="AC201" s="271"/>
      <c r="AD201" s="271"/>
      <c r="AE201" s="271"/>
      <c r="AF201" s="271"/>
      <c r="AG201" s="271"/>
      <c r="AH201" s="271"/>
      <c r="AI201" s="26"/>
      <c r="AJ201" s="26"/>
      <c r="AK201" s="26"/>
      <c r="AL201" s="26"/>
      <c r="AM201" s="26"/>
      <c r="AN201" s="26"/>
      <c r="AO201" s="274"/>
      <c r="AP201" s="274"/>
      <c r="AQ201" s="26"/>
      <c r="AR201" s="26"/>
      <c r="AS201" s="26"/>
      <c r="AT201" s="26"/>
      <c r="AU201" s="26"/>
      <c r="AV201" s="274"/>
      <c r="AW201" s="274"/>
      <c r="AX201" s="10"/>
      <c r="AY201" s="10"/>
      <c r="BR201" s="22"/>
      <c r="BV201" s="10"/>
      <c r="BZ201" s="22"/>
    </row>
    <row r="202" spans="1:78" x14ac:dyDescent="0.25">
      <c r="A202" s="4"/>
      <c r="B202" s="26"/>
      <c r="C202" s="26"/>
      <c r="D202" s="26"/>
      <c r="E202" s="26"/>
      <c r="F202" s="26"/>
      <c r="G202" s="26"/>
      <c r="H202" s="26"/>
      <c r="I202" s="274"/>
      <c r="J202" s="274"/>
      <c r="K202" s="26"/>
      <c r="L202" s="26"/>
      <c r="M202" s="26"/>
      <c r="N202" s="26"/>
      <c r="O202" s="274"/>
      <c r="P202" s="274"/>
      <c r="Q202" s="274"/>
      <c r="R202" s="274"/>
      <c r="S202" s="271"/>
      <c r="T202" s="597"/>
      <c r="U202" s="17"/>
      <c r="V202" s="271"/>
      <c r="W202" s="271"/>
      <c r="X202" s="271"/>
      <c r="Y202" s="271"/>
      <c r="Z202" s="271"/>
      <c r="AA202" s="271"/>
      <c r="AB202" s="271"/>
      <c r="AC202" s="271"/>
      <c r="AD202" s="271"/>
      <c r="AE202" s="271"/>
      <c r="AF202" s="271"/>
      <c r="AG202" s="271"/>
      <c r="AH202" s="271"/>
      <c r="AI202" s="26"/>
      <c r="AJ202" s="26"/>
      <c r="AK202" s="26"/>
      <c r="AL202" s="26"/>
      <c r="AM202" s="26"/>
      <c r="AN202" s="26"/>
      <c r="AO202" s="274"/>
      <c r="AP202" s="274"/>
      <c r="AQ202" s="26"/>
      <c r="AR202" s="26"/>
      <c r="AS202" s="26"/>
      <c r="AT202" s="26"/>
      <c r="AU202" s="26"/>
      <c r="AV202" s="274"/>
      <c r="AW202" s="274"/>
      <c r="AX202" s="10"/>
      <c r="AY202" s="10"/>
      <c r="BR202" s="22"/>
      <c r="BV202" s="10"/>
      <c r="BZ202" s="22"/>
    </row>
    <row r="203" spans="1:78" x14ac:dyDescent="0.25">
      <c r="A203" s="4"/>
      <c r="B203" s="26"/>
      <c r="C203" s="26"/>
      <c r="D203" s="26"/>
      <c r="E203" s="26"/>
      <c r="F203" s="26"/>
      <c r="G203" s="26"/>
      <c r="H203" s="26"/>
      <c r="I203" s="274"/>
      <c r="J203" s="274"/>
      <c r="K203" s="26"/>
      <c r="L203" s="26"/>
      <c r="M203" s="26"/>
      <c r="N203" s="26"/>
      <c r="O203" s="274"/>
      <c r="P203" s="274"/>
      <c r="Q203" s="274"/>
      <c r="R203" s="274"/>
      <c r="S203" s="271"/>
      <c r="T203" s="597"/>
      <c r="U203" s="17"/>
      <c r="V203" s="271"/>
      <c r="W203" s="271"/>
      <c r="X203" s="271"/>
      <c r="Y203" s="271"/>
      <c r="Z203" s="271"/>
      <c r="AA203" s="271"/>
      <c r="AB203" s="271"/>
      <c r="AC203" s="271"/>
      <c r="AD203" s="271"/>
      <c r="AE203" s="271"/>
      <c r="AF203" s="271"/>
      <c r="AG203" s="271"/>
      <c r="AH203" s="271"/>
      <c r="AI203" s="26"/>
      <c r="AJ203" s="26"/>
      <c r="AK203" s="26"/>
      <c r="AL203" s="26"/>
      <c r="AM203" s="26"/>
      <c r="AN203" s="26"/>
      <c r="AO203" s="274"/>
      <c r="AP203" s="274"/>
      <c r="AQ203" s="26"/>
      <c r="AR203" s="26"/>
      <c r="AS203" s="26"/>
      <c r="AT203" s="26"/>
      <c r="AU203" s="26"/>
      <c r="AV203" s="274"/>
      <c r="AW203" s="274"/>
      <c r="AX203" s="10"/>
      <c r="AY203" s="10"/>
      <c r="BR203" s="22"/>
      <c r="BV203" s="10"/>
      <c r="BZ203" s="22"/>
    </row>
    <row r="204" spans="1:78" x14ac:dyDescent="0.25">
      <c r="A204" s="4"/>
      <c r="B204" s="26"/>
      <c r="C204" s="26"/>
      <c r="D204" s="26"/>
      <c r="E204" s="26"/>
      <c r="F204" s="26"/>
      <c r="G204" s="26"/>
      <c r="H204" s="26"/>
      <c r="I204" s="274"/>
      <c r="J204" s="274"/>
      <c r="K204" s="26"/>
      <c r="L204" s="26"/>
      <c r="M204" s="26"/>
      <c r="N204" s="26"/>
      <c r="O204" s="274"/>
      <c r="P204" s="274"/>
      <c r="Q204" s="274"/>
      <c r="R204" s="274"/>
      <c r="S204" s="271"/>
      <c r="T204" s="597"/>
      <c r="U204" s="17"/>
      <c r="V204" s="271"/>
      <c r="W204" s="271"/>
      <c r="X204" s="271"/>
      <c r="Y204" s="271"/>
      <c r="Z204" s="271"/>
      <c r="AA204" s="271"/>
      <c r="AB204" s="271"/>
      <c r="AC204" s="271"/>
      <c r="AD204" s="271"/>
      <c r="AE204" s="271"/>
      <c r="AF204" s="271"/>
      <c r="AG204" s="271"/>
      <c r="AH204" s="271"/>
      <c r="AI204" s="26"/>
      <c r="AJ204" s="26"/>
      <c r="AK204" s="26"/>
      <c r="AL204" s="26"/>
      <c r="AM204" s="26"/>
      <c r="AN204" s="26"/>
      <c r="AO204" s="274"/>
      <c r="AP204" s="274"/>
      <c r="AQ204" s="26"/>
      <c r="AR204" s="26"/>
      <c r="AS204" s="26"/>
      <c r="AT204" s="26"/>
      <c r="AU204" s="26"/>
      <c r="AV204" s="274"/>
      <c r="AW204" s="274"/>
      <c r="AX204" s="10"/>
      <c r="AY204" s="10"/>
      <c r="BR204" s="22"/>
      <c r="BV204" s="10"/>
      <c r="BZ204" s="22"/>
    </row>
    <row r="205" spans="1:78" x14ac:dyDescent="0.25">
      <c r="A205" s="4"/>
      <c r="B205" s="26"/>
      <c r="C205" s="26"/>
      <c r="D205" s="26"/>
      <c r="E205" s="26"/>
      <c r="F205" s="26"/>
      <c r="G205" s="26"/>
      <c r="H205" s="26"/>
      <c r="I205" s="274"/>
      <c r="J205" s="274"/>
      <c r="K205" s="26"/>
      <c r="L205" s="26"/>
      <c r="M205" s="26"/>
      <c r="N205" s="26"/>
      <c r="O205" s="274"/>
      <c r="P205" s="274"/>
      <c r="Q205" s="274"/>
      <c r="R205" s="274"/>
      <c r="S205" s="271"/>
      <c r="T205" s="597"/>
      <c r="U205" s="17"/>
      <c r="V205" s="271"/>
      <c r="W205" s="271"/>
      <c r="X205" s="271"/>
      <c r="Y205" s="271"/>
      <c r="Z205" s="271"/>
      <c r="AA205" s="271"/>
      <c r="AB205" s="271"/>
      <c r="AC205" s="271"/>
      <c r="AD205" s="271"/>
      <c r="AE205" s="271"/>
      <c r="AF205" s="271"/>
      <c r="AG205" s="271"/>
      <c r="AH205" s="271"/>
      <c r="AI205" s="26"/>
      <c r="AJ205" s="26"/>
      <c r="AK205" s="26"/>
      <c r="AL205" s="26"/>
      <c r="AM205" s="26"/>
      <c r="AN205" s="26"/>
      <c r="AO205" s="274"/>
      <c r="AP205" s="274"/>
      <c r="AQ205" s="26"/>
      <c r="AR205" s="26"/>
      <c r="AS205" s="26"/>
      <c r="AT205" s="26"/>
      <c r="AU205" s="26"/>
      <c r="AV205" s="274"/>
      <c r="AW205" s="274"/>
      <c r="AX205" s="10"/>
      <c r="AY205" s="10"/>
      <c r="BR205" s="22"/>
      <c r="BV205" s="10"/>
      <c r="BZ205" s="22"/>
    </row>
    <row r="206" spans="1:78" x14ac:dyDescent="0.25">
      <c r="A206" s="4"/>
      <c r="B206" s="26"/>
      <c r="C206" s="26"/>
      <c r="D206" s="26"/>
      <c r="E206" s="26"/>
      <c r="F206" s="26"/>
      <c r="G206" s="26"/>
      <c r="H206" s="26"/>
      <c r="I206" s="274"/>
      <c r="J206" s="274"/>
      <c r="K206" s="26"/>
      <c r="L206" s="26"/>
      <c r="M206" s="26"/>
      <c r="N206" s="26"/>
      <c r="O206" s="274"/>
      <c r="P206" s="274"/>
      <c r="Q206" s="274"/>
      <c r="R206" s="274"/>
      <c r="S206" s="271"/>
      <c r="T206" s="597"/>
      <c r="U206" s="17"/>
      <c r="V206" s="271"/>
      <c r="W206" s="271"/>
      <c r="X206" s="271"/>
      <c r="Y206" s="271"/>
      <c r="Z206" s="271"/>
      <c r="AA206" s="271"/>
      <c r="AB206" s="271"/>
      <c r="AC206" s="271"/>
      <c r="AD206" s="271"/>
      <c r="AE206" s="271"/>
      <c r="AF206" s="271"/>
      <c r="AG206" s="271"/>
      <c r="AH206" s="271"/>
      <c r="AI206" s="26"/>
      <c r="AJ206" s="26"/>
      <c r="AK206" s="26"/>
      <c r="AL206" s="26"/>
      <c r="AM206" s="26"/>
      <c r="AN206" s="26"/>
      <c r="AO206" s="274"/>
      <c r="AP206" s="274"/>
      <c r="AQ206" s="26"/>
      <c r="AR206" s="26"/>
      <c r="AS206" s="26"/>
      <c r="AT206" s="26"/>
      <c r="AU206" s="26"/>
      <c r="AV206" s="274"/>
      <c r="AW206" s="274"/>
      <c r="AX206" s="10"/>
      <c r="AY206" s="10"/>
      <c r="BR206" s="22"/>
      <c r="BV206" s="10"/>
      <c r="BZ206" s="22"/>
    </row>
    <row r="207" spans="1:78" x14ac:dyDescent="0.25">
      <c r="A207" s="4"/>
      <c r="B207" s="26"/>
      <c r="C207" s="26"/>
      <c r="D207" s="26"/>
      <c r="E207" s="26"/>
      <c r="F207" s="26"/>
      <c r="G207" s="26"/>
      <c r="H207" s="26"/>
      <c r="I207" s="274"/>
      <c r="J207" s="274"/>
      <c r="K207" s="26"/>
      <c r="L207" s="26"/>
      <c r="M207" s="26"/>
      <c r="N207" s="26"/>
      <c r="O207" s="274"/>
      <c r="P207" s="274"/>
      <c r="Q207" s="274"/>
      <c r="R207" s="274"/>
      <c r="S207" s="271"/>
      <c r="T207" s="597"/>
      <c r="U207" s="17"/>
      <c r="V207" s="271"/>
      <c r="W207" s="271"/>
      <c r="X207" s="271"/>
      <c r="Y207" s="271"/>
      <c r="Z207" s="271"/>
      <c r="AA207" s="271"/>
      <c r="AB207" s="271"/>
      <c r="AC207" s="271"/>
      <c r="AD207" s="271"/>
      <c r="AE207" s="271"/>
      <c r="AF207" s="271"/>
      <c r="AG207" s="271"/>
      <c r="AH207" s="271"/>
      <c r="AI207" s="26"/>
      <c r="AJ207" s="26"/>
      <c r="AK207" s="26"/>
      <c r="AL207" s="26"/>
      <c r="AM207" s="26"/>
      <c r="AN207" s="26"/>
      <c r="AO207" s="274"/>
      <c r="AP207" s="274"/>
      <c r="AQ207" s="26"/>
      <c r="AR207" s="26"/>
      <c r="AS207" s="26"/>
      <c r="AT207" s="26"/>
      <c r="AU207" s="26"/>
      <c r="AV207" s="274"/>
      <c r="AW207" s="274"/>
      <c r="AX207" s="10"/>
      <c r="AY207" s="10"/>
      <c r="BR207" s="22"/>
      <c r="BV207" s="10"/>
      <c r="BZ207" s="22"/>
    </row>
    <row r="208" spans="1:78" x14ac:dyDescent="0.25">
      <c r="A208" s="4"/>
      <c r="B208" s="26"/>
      <c r="C208" s="26"/>
      <c r="D208" s="26"/>
      <c r="E208" s="26"/>
      <c r="F208" s="26"/>
      <c r="G208" s="26"/>
      <c r="H208" s="26"/>
      <c r="I208" s="274"/>
      <c r="J208" s="274"/>
      <c r="K208" s="26"/>
      <c r="L208" s="26"/>
      <c r="M208" s="26"/>
      <c r="N208" s="26"/>
      <c r="O208" s="274"/>
      <c r="P208" s="274"/>
      <c r="Q208" s="274"/>
      <c r="R208" s="274"/>
      <c r="S208" s="271"/>
      <c r="T208" s="597"/>
      <c r="U208" s="17"/>
      <c r="V208" s="271"/>
      <c r="W208" s="271"/>
      <c r="X208" s="271"/>
      <c r="Y208" s="271"/>
      <c r="Z208" s="271"/>
      <c r="AA208" s="271"/>
      <c r="AB208" s="271"/>
      <c r="AC208" s="271"/>
      <c r="AD208" s="271"/>
      <c r="AE208" s="271"/>
      <c r="AF208" s="271"/>
      <c r="AG208" s="271"/>
      <c r="AH208" s="271"/>
      <c r="AI208" s="26"/>
      <c r="AJ208" s="26"/>
      <c r="AK208" s="26"/>
      <c r="AL208" s="26"/>
      <c r="AM208" s="26"/>
      <c r="AN208" s="26"/>
      <c r="AO208" s="274"/>
      <c r="AP208" s="274"/>
      <c r="AQ208" s="26"/>
      <c r="AR208" s="26"/>
      <c r="AS208" s="26"/>
      <c r="AT208" s="26"/>
      <c r="AU208" s="26"/>
      <c r="AV208" s="274"/>
      <c r="AW208" s="274"/>
      <c r="AX208" s="10"/>
      <c r="AY208" s="10"/>
      <c r="BR208" s="22"/>
      <c r="BV208" s="10"/>
      <c r="BZ208" s="22"/>
    </row>
    <row r="209" spans="1:78" x14ac:dyDescent="0.25">
      <c r="A209" s="4"/>
      <c r="B209" s="26"/>
      <c r="C209" s="26"/>
      <c r="D209" s="26"/>
      <c r="E209" s="26"/>
      <c r="F209" s="26"/>
      <c r="G209" s="26"/>
      <c r="H209" s="26"/>
      <c r="I209" s="274"/>
      <c r="J209" s="274"/>
      <c r="K209" s="26"/>
      <c r="L209" s="26"/>
      <c r="M209" s="26"/>
      <c r="N209" s="26"/>
      <c r="O209" s="274"/>
      <c r="P209" s="274"/>
      <c r="Q209" s="274"/>
      <c r="R209" s="274"/>
      <c r="S209" s="271"/>
      <c r="T209" s="597"/>
      <c r="U209" s="17"/>
      <c r="V209" s="271"/>
      <c r="W209" s="271"/>
      <c r="X209" s="271"/>
      <c r="Y209" s="271"/>
      <c r="Z209" s="271"/>
      <c r="AA209" s="271"/>
      <c r="AB209" s="271"/>
      <c r="AC209" s="271"/>
      <c r="AD209" s="271"/>
      <c r="AE209" s="271"/>
      <c r="AF209" s="271"/>
      <c r="AG209" s="271"/>
      <c r="AH209" s="271"/>
      <c r="AI209" s="26"/>
      <c r="AJ209" s="26"/>
      <c r="AK209" s="26"/>
      <c r="AL209" s="26"/>
      <c r="AM209" s="26"/>
      <c r="AN209" s="26"/>
      <c r="AO209" s="274"/>
      <c r="AP209" s="274"/>
      <c r="AQ209" s="26"/>
      <c r="AR209" s="26"/>
      <c r="AS209" s="26"/>
      <c r="AT209" s="26"/>
      <c r="AU209" s="26"/>
      <c r="AV209" s="274"/>
      <c r="AW209" s="274"/>
      <c r="AX209" s="10"/>
      <c r="AY209" s="10"/>
      <c r="BR209" s="22"/>
      <c r="BV209" s="10"/>
      <c r="BZ209" s="22"/>
    </row>
    <row r="210" spans="1:78" x14ac:dyDescent="0.25">
      <c r="A210" s="4"/>
      <c r="B210" s="26"/>
      <c r="C210" s="26"/>
      <c r="D210" s="26"/>
      <c r="E210" s="26"/>
      <c r="F210" s="26"/>
      <c r="G210" s="26"/>
      <c r="H210" s="26"/>
      <c r="I210" s="274"/>
      <c r="J210" s="274"/>
      <c r="K210" s="26"/>
      <c r="L210" s="26"/>
      <c r="M210" s="26"/>
      <c r="N210" s="26"/>
      <c r="O210" s="274"/>
      <c r="P210" s="274"/>
      <c r="Q210" s="274"/>
      <c r="R210" s="274"/>
      <c r="S210" s="271"/>
      <c r="T210" s="597"/>
      <c r="U210" s="17"/>
      <c r="V210" s="271"/>
      <c r="W210" s="271"/>
      <c r="X210" s="271"/>
      <c r="Y210" s="271"/>
      <c r="Z210" s="271"/>
      <c r="AA210" s="271"/>
      <c r="AB210" s="271"/>
      <c r="AC210" s="271"/>
      <c r="AD210" s="271"/>
      <c r="AE210" s="271"/>
      <c r="AF210" s="271"/>
      <c r="AG210" s="271"/>
      <c r="AH210" s="271"/>
      <c r="AI210" s="26"/>
      <c r="AJ210" s="26"/>
      <c r="AK210" s="26"/>
      <c r="AL210" s="26"/>
      <c r="AM210" s="26"/>
      <c r="AN210" s="26"/>
      <c r="AO210" s="274"/>
      <c r="AP210" s="274"/>
      <c r="AQ210" s="26"/>
      <c r="AR210" s="26"/>
      <c r="AS210" s="26"/>
      <c r="AT210" s="26"/>
      <c r="AU210" s="26"/>
      <c r="AV210" s="274"/>
      <c r="AW210" s="274"/>
      <c r="AX210" s="10"/>
      <c r="AY210" s="10"/>
      <c r="BR210" s="22"/>
      <c r="BV210" s="10"/>
      <c r="BZ210" s="22"/>
    </row>
    <row r="211" spans="1:78" x14ac:dyDescent="0.25">
      <c r="A211" s="4"/>
      <c r="B211" s="26"/>
      <c r="C211" s="26"/>
      <c r="D211" s="26"/>
      <c r="E211" s="26"/>
      <c r="F211" s="26"/>
      <c r="G211" s="26"/>
      <c r="H211" s="26"/>
      <c r="I211" s="274"/>
      <c r="J211" s="274"/>
      <c r="K211" s="26"/>
      <c r="L211" s="26"/>
      <c r="M211" s="26"/>
      <c r="N211" s="26"/>
      <c r="O211" s="274"/>
      <c r="P211" s="274"/>
      <c r="Q211" s="274"/>
      <c r="R211" s="274"/>
      <c r="S211" s="271"/>
      <c r="T211" s="597"/>
      <c r="U211" s="17"/>
      <c r="V211" s="271"/>
      <c r="W211" s="271"/>
      <c r="X211" s="271"/>
      <c r="Y211" s="271"/>
      <c r="Z211" s="271"/>
      <c r="AA211" s="271"/>
      <c r="AB211" s="271"/>
      <c r="AC211" s="271"/>
      <c r="AD211" s="271"/>
      <c r="AE211" s="271"/>
      <c r="AF211" s="271"/>
      <c r="AG211" s="271"/>
      <c r="AH211" s="271"/>
      <c r="AI211" s="26"/>
      <c r="AJ211" s="26"/>
      <c r="AK211" s="26"/>
      <c r="AL211" s="26"/>
      <c r="AM211" s="26"/>
      <c r="AN211" s="26"/>
      <c r="AO211" s="274"/>
      <c r="AP211" s="274"/>
      <c r="AQ211" s="26"/>
      <c r="AR211" s="26"/>
      <c r="AS211" s="26"/>
      <c r="AT211" s="26"/>
      <c r="AU211" s="26"/>
      <c r="AV211" s="274"/>
      <c r="AW211" s="274"/>
      <c r="AX211" s="10"/>
      <c r="AY211" s="10"/>
      <c r="BR211" s="22"/>
      <c r="BV211" s="10"/>
      <c r="BZ211" s="22"/>
    </row>
    <row r="212" spans="1:78" x14ac:dyDescent="0.25">
      <c r="A212" s="4"/>
      <c r="B212" s="26"/>
      <c r="C212" s="26"/>
      <c r="D212" s="26"/>
      <c r="E212" s="26"/>
      <c r="F212" s="26"/>
      <c r="G212" s="26"/>
      <c r="H212" s="26"/>
      <c r="I212" s="274"/>
      <c r="J212" s="274"/>
      <c r="K212" s="26"/>
      <c r="L212" s="26"/>
      <c r="M212" s="26"/>
      <c r="N212" s="26"/>
      <c r="O212" s="274"/>
      <c r="P212" s="274"/>
      <c r="Q212" s="274"/>
      <c r="R212" s="274"/>
      <c r="S212" s="271"/>
      <c r="T212" s="597"/>
      <c r="U212" s="17"/>
      <c r="V212" s="271"/>
      <c r="W212" s="271"/>
      <c r="X212" s="271"/>
      <c r="Y212" s="271"/>
      <c r="Z212" s="271"/>
      <c r="AA212" s="271"/>
      <c r="AB212" s="271"/>
      <c r="AC212" s="271"/>
      <c r="AD212" s="271"/>
      <c r="AE212" s="271"/>
      <c r="AF212" s="271"/>
      <c r="AG212" s="271"/>
      <c r="AH212" s="271"/>
      <c r="AI212" s="26"/>
      <c r="AJ212" s="26"/>
      <c r="AK212" s="26"/>
      <c r="AL212" s="26"/>
      <c r="AM212" s="26"/>
      <c r="AN212" s="26"/>
      <c r="AO212" s="274"/>
      <c r="AP212" s="274"/>
      <c r="AQ212" s="26"/>
      <c r="AR212" s="26"/>
      <c r="AS212" s="26"/>
      <c r="AT212" s="26"/>
      <c r="AU212" s="26"/>
      <c r="AV212" s="274"/>
      <c r="AW212" s="274"/>
      <c r="AX212" s="10"/>
      <c r="AY212" s="10"/>
      <c r="BR212" s="22"/>
      <c r="BV212" s="10"/>
      <c r="BZ212" s="22"/>
    </row>
    <row r="213" spans="1:78" x14ac:dyDescent="0.25">
      <c r="A213" s="4"/>
      <c r="B213" s="26"/>
      <c r="C213" s="26"/>
      <c r="D213" s="26"/>
      <c r="E213" s="26"/>
      <c r="F213" s="26"/>
      <c r="G213" s="26"/>
      <c r="H213" s="26"/>
      <c r="I213" s="274"/>
      <c r="J213" s="274"/>
      <c r="K213" s="26"/>
      <c r="L213" s="26"/>
      <c r="M213" s="26"/>
      <c r="N213" s="26"/>
      <c r="O213" s="274"/>
      <c r="P213" s="274"/>
      <c r="Q213" s="274"/>
      <c r="R213" s="274"/>
      <c r="S213" s="271"/>
      <c r="T213" s="597"/>
      <c r="U213" s="17"/>
      <c r="V213" s="271"/>
      <c r="W213" s="271"/>
      <c r="X213" s="271"/>
      <c r="Y213" s="271"/>
      <c r="Z213" s="271"/>
      <c r="AA213" s="271"/>
      <c r="AB213" s="271"/>
      <c r="AC213" s="271"/>
      <c r="AD213" s="271"/>
      <c r="AE213" s="271"/>
      <c r="AF213" s="271"/>
      <c r="AG213" s="271"/>
      <c r="AH213" s="271"/>
      <c r="AI213" s="26"/>
      <c r="AJ213" s="26"/>
      <c r="AK213" s="26"/>
      <c r="AL213" s="26"/>
      <c r="AM213" s="26"/>
      <c r="AN213" s="26"/>
      <c r="AO213" s="274"/>
      <c r="AP213" s="274"/>
      <c r="AQ213" s="26"/>
      <c r="AR213" s="26"/>
      <c r="AS213" s="26"/>
      <c r="AT213" s="26"/>
      <c r="AU213" s="26"/>
      <c r="AV213" s="274"/>
      <c r="AW213" s="274"/>
      <c r="AX213" s="10"/>
      <c r="AY213" s="10"/>
      <c r="BR213" s="22"/>
      <c r="BV213" s="10"/>
      <c r="BZ213" s="22"/>
    </row>
    <row r="214" spans="1:78" x14ac:dyDescent="0.25">
      <c r="A214" s="4"/>
      <c r="B214" s="26"/>
      <c r="C214" s="26"/>
      <c r="D214" s="26"/>
      <c r="E214" s="26"/>
      <c r="F214" s="26"/>
      <c r="G214" s="26"/>
      <c r="H214" s="26"/>
      <c r="I214" s="274"/>
      <c r="J214" s="274"/>
      <c r="K214" s="26"/>
      <c r="L214" s="26"/>
      <c r="M214" s="26"/>
      <c r="N214" s="26"/>
      <c r="O214" s="274"/>
      <c r="P214" s="274"/>
      <c r="Q214" s="274"/>
      <c r="R214" s="274"/>
      <c r="S214" s="271"/>
      <c r="T214" s="597"/>
      <c r="U214" s="17"/>
      <c r="V214" s="271"/>
      <c r="W214" s="271"/>
      <c r="X214" s="271"/>
      <c r="Y214" s="271"/>
      <c r="Z214" s="271"/>
      <c r="AA214" s="271"/>
      <c r="AB214" s="271"/>
      <c r="AC214" s="271"/>
      <c r="AD214" s="271"/>
      <c r="AE214" s="271"/>
      <c r="AF214" s="271"/>
      <c r="AG214" s="271"/>
      <c r="AH214" s="271"/>
      <c r="AI214" s="26"/>
      <c r="AJ214" s="26"/>
      <c r="AK214" s="26"/>
      <c r="AL214" s="26"/>
      <c r="AM214" s="26"/>
      <c r="AN214" s="26"/>
      <c r="AO214" s="274"/>
      <c r="AP214" s="274"/>
      <c r="AQ214" s="26"/>
      <c r="AR214" s="26"/>
      <c r="AS214" s="26"/>
      <c r="AT214" s="26"/>
      <c r="AU214" s="26"/>
      <c r="AV214" s="274"/>
      <c r="AW214" s="274"/>
      <c r="AX214" s="10"/>
      <c r="AY214" s="10"/>
      <c r="BR214" s="22"/>
      <c r="BV214" s="10"/>
      <c r="BZ214" s="22"/>
    </row>
    <row r="215" spans="1:78" x14ac:dyDescent="0.25">
      <c r="A215" s="4"/>
      <c r="B215" s="26"/>
      <c r="C215" s="26"/>
      <c r="D215" s="26"/>
      <c r="E215" s="26"/>
      <c r="F215" s="26"/>
      <c r="G215" s="26"/>
      <c r="H215" s="26"/>
      <c r="I215" s="274"/>
      <c r="J215" s="274"/>
      <c r="K215" s="26"/>
      <c r="L215" s="26"/>
      <c r="M215" s="26"/>
      <c r="N215" s="26"/>
      <c r="O215" s="274"/>
      <c r="P215" s="274"/>
      <c r="Q215" s="274"/>
      <c r="R215" s="274"/>
      <c r="S215" s="271"/>
      <c r="T215" s="597"/>
      <c r="U215" s="17"/>
      <c r="V215" s="271"/>
      <c r="W215" s="271"/>
      <c r="X215" s="271"/>
      <c r="Y215" s="271"/>
      <c r="Z215" s="271"/>
      <c r="AA215" s="271"/>
      <c r="AB215" s="271"/>
      <c r="AC215" s="271"/>
      <c r="AD215" s="271"/>
      <c r="AE215" s="271"/>
      <c r="AF215" s="271"/>
      <c r="AG215" s="271"/>
      <c r="AH215" s="271"/>
      <c r="AI215" s="26"/>
      <c r="AJ215" s="26"/>
      <c r="AK215" s="26"/>
      <c r="AL215" s="26"/>
      <c r="AM215" s="26"/>
      <c r="AN215" s="26"/>
      <c r="AO215" s="274"/>
      <c r="AP215" s="274"/>
      <c r="AQ215" s="26"/>
      <c r="AR215" s="26"/>
      <c r="AS215" s="26"/>
      <c r="AT215" s="26"/>
      <c r="AU215" s="26"/>
      <c r="AV215" s="274"/>
      <c r="AW215" s="274"/>
      <c r="AX215" s="10"/>
      <c r="AY215" s="10"/>
      <c r="BR215" s="22"/>
      <c r="BV215" s="10"/>
      <c r="BZ215" s="22"/>
    </row>
    <row r="216" spans="1:78" x14ac:dyDescent="0.25">
      <c r="A216" s="4"/>
      <c r="B216" s="26"/>
      <c r="C216" s="26"/>
      <c r="D216" s="26"/>
      <c r="E216" s="26"/>
      <c r="F216" s="26"/>
      <c r="G216" s="26"/>
      <c r="H216" s="26"/>
      <c r="I216" s="274"/>
      <c r="J216" s="274"/>
      <c r="K216" s="26"/>
      <c r="L216" s="26"/>
      <c r="M216" s="26"/>
      <c r="N216" s="26"/>
      <c r="O216" s="274"/>
      <c r="P216" s="274"/>
      <c r="Q216" s="274"/>
      <c r="R216" s="274"/>
      <c r="S216" s="271"/>
      <c r="T216" s="597"/>
      <c r="U216" s="17"/>
      <c r="V216" s="271"/>
      <c r="W216" s="271"/>
      <c r="X216" s="271"/>
      <c r="Y216" s="271"/>
      <c r="Z216" s="271"/>
      <c r="AA216" s="271"/>
      <c r="AB216" s="271"/>
      <c r="AC216" s="271"/>
      <c r="AD216" s="271"/>
      <c r="AE216" s="271"/>
      <c r="AF216" s="271"/>
      <c r="AG216" s="271"/>
      <c r="AH216" s="271"/>
      <c r="AI216" s="26"/>
      <c r="AJ216" s="26"/>
      <c r="AK216" s="26"/>
      <c r="AL216" s="26"/>
      <c r="AM216" s="26"/>
      <c r="AN216" s="26"/>
      <c r="AO216" s="274"/>
      <c r="AP216" s="274"/>
      <c r="AQ216" s="26"/>
      <c r="AR216" s="26"/>
      <c r="AS216" s="26"/>
      <c r="AT216" s="26"/>
      <c r="AU216" s="26"/>
      <c r="AV216" s="274"/>
      <c r="AW216" s="274"/>
      <c r="AX216" s="10"/>
      <c r="AY216" s="10"/>
      <c r="BR216" s="22"/>
      <c r="BV216" s="10"/>
      <c r="BZ216" s="22"/>
    </row>
    <row r="217" spans="1:78" x14ac:dyDescent="0.25">
      <c r="A217" s="4"/>
      <c r="B217" s="26"/>
      <c r="C217" s="26"/>
      <c r="D217" s="26"/>
      <c r="E217" s="26"/>
      <c r="F217" s="26"/>
      <c r="G217" s="26"/>
      <c r="H217" s="26"/>
      <c r="I217" s="274"/>
      <c r="J217" s="274"/>
      <c r="K217" s="26"/>
      <c r="L217" s="26"/>
      <c r="M217" s="26"/>
      <c r="N217" s="26"/>
      <c r="O217" s="274"/>
      <c r="P217" s="274"/>
      <c r="Q217" s="274"/>
      <c r="R217" s="274"/>
      <c r="S217" s="271"/>
      <c r="T217" s="597"/>
      <c r="U217" s="17"/>
      <c r="V217" s="271"/>
      <c r="W217" s="271"/>
      <c r="X217" s="271"/>
      <c r="Y217" s="271"/>
      <c r="Z217" s="271"/>
      <c r="AA217" s="271"/>
      <c r="AB217" s="271"/>
      <c r="AC217" s="271"/>
      <c r="AD217" s="271"/>
      <c r="AE217" s="271"/>
      <c r="AF217" s="271"/>
      <c r="AG217" s="271"/>
      <c r="AH217" s="271"/>
      <c r="AI217" s="26"/>
      <c r="AJ217" s="26"/>
      <c r="AK217" s="26"/>
      <c r="AL217" s="26"/>
      <c r="AM217" s="26"/>
      <c r="AN217" s="26"/>
      <c r="AO217" s="274"/>
      <c r="AP217" s="274"/>
      <c r="AQ217" s="26"/>
      <c r="AR217" s="26"/>
      <c r="AS217" s="26"/>
      <c r="AT217" s="26"/>
      <c r="AU217" s="26"/>
      <c r="AV217" s="274"/>
      <c r="AW217" s="274"/>
      <c r="AX217" s="10"/>
      <c r="AY217" s="10"/>
      <c r="BR217" s="22"/>
      <c r="BV217" s="10"/>
      <c r="BZ217" s="22"/>
    </row>
    <row r="218" spans="1:78" x14ac:dyDescent="0.25">
      <c r="A218" s="4"/>
      <c r="B218" s="26"/>
      <c r="C218" s="26"/>
      <c r="D218" s="26"/>
      <c r="E218" s="26"/>
      <c r="F218" s="26"/>
      <c r="G218" s="26"/>
      <c r="H218" s="26"/>
      <c r="I218" s="274"/>
      <c r="J218" s="274"/>
      <c r="K218" s="26"/>
      <c r="L218" s="26"/>
      <c r="M218" s="26"/>
      <c r="N218" s="26"/>
      <c r="O218" s="274"/>
      <c r="P218" s="274"/>
      <c r="Q218" s="274"/>
      <c r="R218" s="274"/>
      <c r="S218" s="271"/>
      <c r="T218" s="597"/>
      <c r="U218" s="17"/>
      <c r="V218" s="271"/>
      <c r="W218" s="271"/>
      <c r="X218" s="271"/>
      <c r="Y218" s="271"/>
      <c r="Z218" s="271"/>
      <c r="AA218" s="271"/>
      <c r="AB218" s="271"/>
      <c r="AC218" s="271"/>
      <c r="AD218" s="271"/>
      <c r="AE218" s="271"/>
      <c r="AF218" s="271"/>
      <c r="AG218" s="271"/>
      <c r="AH218" s="271"/>
      <c r="AI218" s="26"/>
      <c r="AJ218" s="26"/>
      <c r="AK218" s="26"/>
      <c r="AL218" s="26"/>
      <c r="AM218" s="26"/>
      <c r="AN218" s="26"/>
      <c r="AO218" s="274"/>
      <c r="AP218" s="274"/>
      <c r="AQ218" s="26"/>
      <c r="AR218" s="26"/>
      <c r="AS218" s="26"/>
      <c r="AT218" s="26"/>
      <c r="AU218" s="26"/>
      <c r="AV218" s="274"/>
      <c r="AW218" s="274"/>
      <c r="AX218" s="10"/>
      <c r="AY218" s="10"/>
      <c r="BR218" s="22"/>
      <c r="BV218" s="10"/>
      <c r="BZ218" s="22"/>
    </row>
    <row r="219" spans="1:78" x14ac:dyDescent="0.25">
      <c r="A219" s="4"/>
      <c r="B219" s="26"/>
      <c r="C219" s="26"/>
      <c r="D219" s="26"/>
      <c r="E219" s="26"/>
      <c r="F219" s="26"/>
      <c r="G219" s="26"/>
      <c r="H219" s="26"/>
      <c r="I219" s="274"/>
      <c r="J219" s="274"/>
      <c r="K219" s="26"/>
      <c r="L219" s="26"/>
      <c r="M219" s="26"/>
      <c r="N219" s="26"/>
      <c r="O219" s="274"/>
      <c r="P219" s="274"/>
      <c r="Q219" s="274"/>
      <c r="R219" s="274"/>
      <c r="S219" s="271"/>
      <c r="T219" s="597"/>
      <c r="U219" s="17"/>
      <c r="V219" s="271"/>
      <c r="W219" s="271"/>
      <c r="X219" s="271"/>
      <c r="Y219" s="271"/>
      <c r="Z219" s="271"/>
      <c r="AA219" s="271"/>
      <c r="AB219" s="271"/>
      <c r="AC219" s="271"/>
      <c r="AD219" s="271"/>
      <c r="AE219" s="271"/>
      <c r="AF219" s="271"/>
      <c r="AG219" s="271"/>
      <c r="AH219" s="271"/>
      <c r="AI219" s="26"/>
      <c r="AJ219" s="26"/>
      <c r="AK219" s="26"/>
      <c r="AL219" s="26"/>
      <c r="AM219" s="26"/>
      <c r="AN219" s="26"/>
      <c r="AO219" s="274"/>
      <c r="AP219" s="274"/>
      <c r="AQ219" s="26"/>
      <c r="AR219" s="26"/>
      <c r="AS219" s="26"/>
      <c r="AT219" s="26"/>
      <c r="AU219" s="26"/>
      <c r="AV219" s="274"/>
      <c r="AW219" s="274"/>
      <c r="AX219" s="10"/>
      <c r="AY219" s="10"/>
      <c r="BR219" s="22"/>
      <c r="BV219" s="10"/>
      <c r="BZ219" s="22"/>
    </row>
    <row r="220" spans="1:78" x14ac:dyDescent="0.25">
      <c r="A220" s="4"/>
      <c r="B220" s="26"/>
      <c r="C220" s="26"/>
      <c r="D220" s="26"/>
      <c r="E220" s="26"/>
      <c r="F220" s="26"/>
      <c r="G220" s="26"/>
      <c r="H220" s="26"/>
      <c r="I220" s="274"/>
      <c r="J220" s="274"/>
      <c r="K220" s="26"/>
      <c r="L220" s="26"/>
      <c r="M220" s="26"/>
      <c r="N220" s="26"/>
      <c r="O220" s="274"/>
      <c r="P220" s="274"/>
      <c r="Q220" s="274"/>
      <c r="R220" s="274"/>
      <c r="S220" s="271"/>
      <c r="T220" s="597"/>
      <c r="U220" s="17"/>
      <c r="V220" s="271"/>
      <c r="W220" s="271"/>
      <c r="X220" s="271"/>
      <c r="Y220" s="271"/>
      <c r="Z220" s="271"/>
      <c r="AA220" s="271"/>
      <c r="AB220" s="271"/>
      <c r="AC220" s="271"/>
      <c r="AD220" s="271"/>
      <c r="AE220" s="271"/>
      <c r="AF220" s="271"/>
      <c r="AG220" s="271"/>
      <c r="AH220" s="271"/>
      <c r="AI220" s="26"/>
      <c r="AJ220" s="26"/>
      <c r="AK220" s="26"/>
      <c r="AL220" s="26"/>
      <c r="AM220" s="26"/>
      <c r="AN220" s="26"/>
      <c r="AO220" s="274"/>
      <c r="AP220" s="274"/>
      <c r="AQ220" s="26"/>
      <c r="AR220" s="26"/>
      <c r="AS220" s="26"/>
      <c r="AT220" s="26"/>
      <c r="AU220" s="26"/>
      <c r="AV220" s="274"/>
      <c r="AW220" s="274"/>
      <c r="AX220" s="10"/>
      <c r="AY220" s="10"/>
      <c r="BR220" s="22"/>
      <c r="BV220" s="10"/>
      <c r="BZ220" s="22"/>
    </row>
    <row r="221" spans="1:78" x14ac:dyDescent="0.25">
      <c r="A221" s="4"/>
      <c r="B221" s="26"/>
      <c r="C221" s="26"/>
      <c r="D221" s="26"/>
      <c r="E221" s="26"/>
      <c r="F221" s="26"/>
      <c r="G221" s="26"/>
      <c r="H221" s="26"/>
      <c r="I221" s="274"/>
      <c r="J221" s="274"/>
      <c r="K221" s="26"/>
      <c r="L221" s="26"/>
      <c r="M221" s="26"/>
      <c r="N221" s="26"/>
      <c r="O221" s="274"/>
      <c r="P221" s="274"/>
      <c r="Q221" s="274"/>
      <c r="R221" s="274"/>
      <c r="S221" s="271"/>
      <c r="T221" s="597"/>
      <c r="U221" s="17"/>
      <c r="V221" s="271"/>
      <c r="W221" s="271"/>
      <c r="X221" s="271"/>
      <c r="Y221" s="271"/>
      <c r="Z221" s="271"/>
      <c r="AA221" s="271"/>
      <c r="AB221" s="271"/>
      <c r="AC221" s="271"/>
      <c r="AD221" s="271"/>
      <c r="AE221" s="271"/>
      <c r="AF221" s="271"/>
      <c r="AG221" s="271"/>
      <c r="AH221" s="271"/>
      <c r="AI221" s="26"/>
      <c r="AJ221" s="26"/>
      <c r="AK221" s="26"/>
      <c r="AL221" s="26"/>
      <c r="AM221" s="26"/>
      <c r="AN221" s="26"/>
      <c r="AO221" s="274"/>
      <c r="AP221" s="274"/>
      <c r="AQ221" s="26"/>
      <c r="AR221" s="26"/>
      <c r="AS221" s="26"/>
      <c r="AT221" s="26"/>
      <c r="AU221" s="26"/>
      <c r="AV221" s="274"/>
      <c r="AW221" s="274"/>
      <c r="AX221" s="10"/>
      <c r="AY221" s="10"/>
      <c r="BR221" s="22"/>
      <c r="BV221" s="10"/>
      <c r="BZ221" s="22"/>
    </row>
    <row r="222" spans="1:78" x14ac:dyDescent="0.25">
      <c r="A222" s="4"/>
      <c r="B222" s="26"/>
      <c r="C222" s="26"/>
      <c r="D222" s="26"/>
      <c r="E222" s="26"/>
      <c r="F222" s="26"/>
      <c r="G222" s="26"/>
      <c r="H222" s="26"/>
      <c r="I222" s="274"/>
      <c r="J222" s="274"/>
      <c r="K222" s="26"/>
      <c r="L222" s="26"/>
      <c r="M222" s="26"/>
      <c r="N222" s="26"/>
      <c r="O222" s="274"/>
      <c r="P222" s="274"/>
      <c r="Q222" s="274"/>
      <c r="R222" s="274"/>
      <c r="S222" s="271"/>
      <c r="T222" s="597"/>
      <c r="U222" s="17"/>
      <c r="V222" s="271"/>
      <c r="W222" s="271"/>
      <c r="X222" s="271"/>
      <c r="Y222" s="271"/>
      <c r="Z222" s="271"/>
      <c r="AA222" s="271"/>
      <c r="AB222" s="271"/>
      <c r="AC222" s="271"/>
      <c r="AD222" s="271"/>
      <c r="AE222" s="271"/>
      <c r="AF222" s="271"/>
      <c r="AG222" s="271"/>
      <c r="AH222" s="271"/>
      <c r="AI222" s="26"/>
      <c r="AJ222" s="26"/>
      <c r="AK222" s="26"/>
      <c r="AL222" s="26"/>
      <c r="AM222" s="26"/>
      <c r="AN222" s="26"/>
      <c r="AO222" s="274"/>
      <c r="AP222" s="274"/>
      <c r="AQ222" s="26"/>
      <c r="AR222" s="26"/>
      <c r="AS222" s="26"/>
      <c r="AT222" s="26"/>
      <c r="AU222" s="26"/>
      <c r="AV222" s="274"/>
      <c r="AW222" s="274"/>
      <c r="AX222" s="10"/>
      <c r="AY222" s="10"/>
      <c r="BR222" s="22"/>
      <c r="BV222" s="10"/>
      <c r="BZ222" s="22"/>
    </row>
    <row r="223" spans="1:78" x14ac:dyDescent="0.25">
      <c r="A223" s="4"/>
      <c r="B223" s="26"/>
      <c r="C223" s="26"/>
      <c r="D223" s="26"/>
      <c r="E223" s="26"/>
      <c r="F223" s="26"/>
      <c r="G223" s="26"/>
      <c r="H223" s="26"/>
      <c r="I223" s="274"/>
      <c r="J223" s="274"/>
      <c r="K223" s="26"/>
      <c r="L223" s="26"/>
      <c r="M223" s="26"/>
      <c r="N223" s="26"/>
      <c r="O223" s="274"/>
      <c r="P223" s="274"/>
      <c r="Q223" s="274"/>
      <c r="R223" s="274"/>
      <c r="S223" s="271"/>
      <c r="T223" s="597"/>
      <c r="U223" s="17"/>
      <c r="V223" s="271"/>
      <c r="W223" s="271"/>
      <c r="X223" s="271"/>
      <c r="Y223" s="271"/>
      <c r="Z223" s="271"/>
      <c r="AA223" s="271"/>
      <c r="AB223" s="271"/>
      <c r="AC223" s="271"/>
      <c r="AD223" s="271"/>
      <c r="AE223" s="271"/>
      <c r="AF223" s="271"/>
      <c r="AG223" s="271"/>
      <c r="AH223" s="271"/>
      <c r="AI223" s="26"/>
      <c r="AJ223" s="26"/>
      <c r="AK223" s="26"/>
      <c r="AL223" s="26"/>
      <c r="AM223" s="26"/>
      <c r="AN223" s="26"/>
      <c r="AO223" s="274"/>
      <c r="AP223" s="274"/>
      <c r="AQ223" s="26"/>
      <c r="AR223" s="26"/>
      <c r="AS223" s="26"/>
      <c r="AT223" s="26"/>
      <c r="AU223" s="26"/>
      <c r="AV223" s="274"/>
      <c r="AW223" s="274"/>
      <c r="AX223" s="10"/>
      <c r="AY223" s="10"/>
      <c r="BR223" s="22"/>
      <c r="BV223" s="10"/>
      <c r="BZ223" s="22"/>
    </row>
    <row r="224" spans="1:78" x14ac:dyDescent="0.25">
      <c r="A224" s="4"/>
      <c r="B224" s="26"/>
      <c r="C224" s="26"/>
      <c r="D224" s="26"/>
      <c r="E224" s="26"/>
      <c r="F224" s="26"/>
      <c r="G224" s="26"/>
      <c r="H224" s="26"/>
      <c r="I224" s="274"/>
      <c r="J224" s="274"/>
      <c r="K224" s="26"/>
      <c r="L224" s="26"/>
      <c r="M224" s="26"/>
      <c r="N224" s="26"/>
      <c r="O224" s="274"/>
      <c r="P224" s="274"/>
      <c r="Q224" s="274"/>
      <c r="R224" s="274"/>
      <c r="S224" s="271"/>
      <c r="T224" s="597"/>
      <c r="U224" s="17"/>
      <c r="V224" s="271"/>
      <c r="W224" s="271"/>
      <c r="X224" s="271"/>
      <c r="Y224" s="271"/>
      <c r="Z224" s="271"/>
      <c r="AA224" s="271"/>
      <c r="AB224" s="271"/>
      <c r="AC224" s="271"/>
      <c r="AD224" s="271"/>
      <c r="AE224" s="271"/>
      <c r="AF224" s="271"/>
      <c r="AG224" s="271"/>
      <c r="AH224" s="271"/>
      <c r="AI224" s="26"/>
      <c r="AJ224" s="26"/>
      <c r="AK224" s="26"/>
      <c r="AL224" s="26"/>
      <c r="AM224" s="26"/>
      <c r="AN224" s="26"/>
      <c r="AO224" s="274"/>
      <c r="AP224" s="274"/>
      <c r="AQ224" s="26"/>
      <c r="AR224" s="26"/>
      <c r="AS224" s="26"/>
      <c r="AT224" s="26"/>
      <c r="AU224" s="26"/>
      <c r="AV224" s="274"/>
      <c r="AW224" s="274"/>
      <c r="AX224" s="10"/>
      <c r="AY224" s="10"/>
      <c r="BR224" s="22"/>
      <c r="BV224" s="10"/>
      <c r="BZ224" s="22"/>
    </row>
    <row r="225" spans="1:78" x14ac:dyDescent="0.25">
      <c r="A225" s="4"/>
      <c r="B225" s="26"/>
      <c r="C225" s="26"/>
      <c r="D225" s="26"/>
      <c r="E225" s="26"/>
      <c r="F225" s="26"/>
      <c r="G225" s="26"/>
      <c r="H225" s="26"/>
      <c r="I225" s="274"/>
      <c r="J225" s="274"/>
      <c r="K225" s="26"/>
      <c r="L225" s="26"/>
      <c r="M225" s="26"/>
      <c r="N225" s="26"/>
      <c r="O225" s="274"/>
      <c r="P225" s="274"/>
      <c r="Q225" s="274"/>
      <c r="R225" s="274"/>
      <c r="S225" s="271"/>
      <c r="T225" s="597"/>
      <c r="U225" s="17"/>
      <c r="V225" s="271"/>
      <c r="W225" s="271"/>
      <c r="X225" s="271"/>
      <c r="Y225" s="271"/>
      <c r="Z225" s="271"/>
      <c r="AA225" s="271"/>
      <c r="AB225" s="271"/>
      <c r="AC225" s="271"/>
      <c r="AD225" s="271"/>
      <c r="AE225" s="271"/>
      <c r="AF225" s="271"/>
      <c r="AG225" s="271"/>
      <c r="AH225" s="271"/>
      <c r="AI225" s="26"/>
      <c r="AJ225" s="26"/>
      <c r="AK225" s="26"/>
      <c r="AL225" s="26"/>
      <c r="AM225" s="26"/>
      <c r="AN225" s="26"/>
      <c r="AO225" s="274"/>
      <c r="AP225" s="274"/>
      <c r="AQ225" s="26"/>
      <c r="AR225" s="26"/>
      <c r="AS225" s="26"/>
      <c r="AT225" s="26"/>
      <c r="AU225" s="26"/>
      <c r="AV225" s="274"/>
      <c r="AW225" s="274"/>
      <c r="AX225" s="10"/>
      <c r="AY225" s="10"/>
      <c r="BR225" s="22"/>
      <c r="BV225" s="10"/>
      <c r="BZ225" s="22"/>
    </row>
    <row r="226" spans="1:78" x14ac:dyDescent="0.25">
      <c r="A226" s="4"/>
      <c r="B226" s="26"/>
      <c r="C226" s="26"/>
      <c r="D226" s="26"/>
      <c r="E226" s="26"/>
      <c r="F226" s="26"/>
      <c r="G226" s="26"/>
      <c r="H226" s="26"/>
      <c r="I226" s="274"/>
      <c r="J226" s="274"/>
      <c r="K226" s="26"/>
      <c r="L226" s="26"/>
      <c r="M226" s="26"/>
      <c r="N226" s="26"/>
      <c r="O226" s="274"/>
      <c r="P226" s="274"/>
      <c r="Q226" s="274"/>
      <c r="R226" s="274"/>
      <c r="S226" s="271"/>
      <c r="T226" s="597"/>
      <c r="U226" s="17"/>
      <c r="V226" s="271"/>
      <c r="W226" s="271"/>
      <c r="X226" s="271"/>
      <c r="Y226" s="271"/>
      <c r="Z226" s="271"/>
      <c r="AA226" s="271"/>
      <c r="AB226" s="271"/>
      <c r="AC226" s="271"/>
      <c r="AD226" s="271"/>
      <c r="AE226" s="271"/>
      <c r="AF226" s="271"/>
      <c r="AG226" s="271"/>
      <c r="AH226" s="271"/>
      <c r="AI226" s="26"/>
      <c r="AJ226" s="26"/>
      <c r="AK226" s="26"/>
      <c r="AL226" s="26"/>
      <c r="AM226" s="26"/>
      <c r="AN226" s="26"/>
      <c r="AO226" s="274"/>
      <c r="AP226" s="274"/>
      <c r="AQ226" s="26"/>
      <c r="AR226" s="26"/>
      <c r="AS226" s="26"/>
      <c r="AT226" s="26"/>
      <c r="AU226" s="26"/>
      <c r="AV226" s="274"/>
      <c r="AW226" s="274"/>
      <c r="AX226" s="10"/>
      <c r="AY226" s="10"/>
      <c r="BR226" s="22"/>
      <c r="BV226" s="10"/>
      <c r="BZ226" s="22"/>
    </row>
    <row r="227" spans="1:78" x14ac:dyDescent="0.25">
      <c r="A227" s="4"/>
      <c r="B227" s="26"/>
      <c r="C227" s="26"/>
      <c r="D227" s="26"/>
      <c r="E227" s="26"/>
      <c r="F227" s="26"/>
      <c r="G227" s="26"/>
      <c r="H227" s="26"/>
      <c r="I227" s="274"/>
      <c r="J227" s="274"/>
      <c r="K227" s="26"/>
      <c r="L227" s="26"/>
      <c r="M227" s="26"/>
      <c r="N227" s="26"/>
      <c r="O227" s="274"/>
      <c r="P227" s="274"/>
      <c r="Q227" s="274"/>
      <c r="R227" s="274"/>
      <c r="S227" s="271"/>
      <c r="T227" s="597"/>
      <c r="U227" s="17"/>
      <c r="V227" s="271"/>
      <c r="W227" s="271"/>
      <c r="X227" s="271"/>
      <c r="Y227" s="271"/>
      <c r="Z227" s="271"/>
      <c r="AA227" s="271"/>
      <c r="AB227" s="271"/>
      <c r="AC227" s="271"/>
      <c r="AD227" s="271"/>
      <c r="AE227" s="271"/>
      <c r="AF227" s="271"/>
      <c r="AG227" s="271"/>
      <c r="AH227" s="271"/>
      <c r="AI227" s="26"/>
      <c r="AJ227" s="26"/>
      <c r="AK227" s="26"/>
      <c r="AL227" s="26"/>
      <c r="AM227" s="26"/>
      <c r="AN227" s="26"/>
      <c r="AO227" s="274"/>
      <c r="AP227" s="274"/>
      <c r="AQ227" s="26"/>
      <c r="AR227" s="26"/>
      <c r="AS227" s="26"/>
      <c r="AT227" s="26"/>
      <c r="AU227" s="26"/>
      <c r="AV227" s="274"/>
      <c r="AW227" s="274"/>
      <c r="AX227" s="10"/>
      <c r="AY227" s="10"/>
      <c r="BR227" s="22"/>
      <c r="BV227" s="10"/>
      <c r="BZ227" s="22"/>
    </row>
    <row r="228" spans="1:78" x14ac:dyDescent="0.25">
      <c r="A228" s="4"/>
      <c r="B228" s="26"/>
      <c r="C228" s="26"/>
      <c r="D228" s="26"/>
      <c r="E228" s="26"/>
      <c r="F228" s="26"/>
      <c r="G228" s="26"/>
      <c r="H228" s="26"/>
      <c r="I228" s="274"/>
      <c r="J228" s="274"/>
      <c r="K228" s="26"/>
      <c r="L228" s="26"/>
      <c r="M228" s="26"/>
      <c r="N228" s="26"/>
      <c r="O228" s="274"/>
      <c r="P228" s="274"/>
      <c r="Q228" s="274"/>
      <c r="R228" s="274"/>
      <c r="S228" s="271"/>
      <c r="T228" s="597"/>
      <c r="U228" s="17"/>
      <c r="V228" s="271"/>
      <c r="W228" s="271"/>
      <c r="X228" s="271"/>
      <c r="Y228" s="271"/>
      <c r="Z228" s="271"/>
      <c r="AA228" s="271"/>
      <c r="AB228" s="271"/>
      <c r="AC228" s="271"/>
      <c r="AD228" s="271"/>
      <c r="AE228" s="271"/>
      <c r="AF228" s="271"/>
      <c r="AG228" s="271"/>
      <c r="AH228" s="271"/>
      <c r="AI228" s="26"/>
      <c r="AJ228" s="26"/>
      <c r="AK228" s="26"/>
      <c r="AL228" s="26"/>
      <c r="AM228" s="26"/>
      <c r="AN228" s="26"/>
      <c r="AO228" s="274"/>
      <c r="AP228" s="274"/>
      <c r="AQ228" s="26"/>
      <c r="AR228" s="26"/>
      <c r="AS228" s="26"/>
      <c r="AT228" s="26"/>
      <c r="AU228" s="26"/>
      <c r="AV228" s="274"/>
      <c r="AW228" s="274"/>
      <c r="AX228" s="10"/>
      <c r="AY228" s="10"/>
      <c r="BR228" s="22"/>
      <c r="BV228" s="10"/>
      <c r="BZ228" s="22"/>
    </row>
    <row r="229" spans="1:78" x14ac:dyDescent="0.25">
      <c r="A229" s="4"/>
      <c r="B229" s="26"/>
      <c r="C229" s="26"/>
      <c r="D229" s="26"/>
      <c r="E229" s="26"/>
      <c r="F229" s="26"/>
      <c r="G229" s="26"/>
      <c r="H229" s="26"/>
      <c r="I229" s="274"/>
      <c r="J229" s="274"/>
      <c r="K229" s="26"/>
      <c r="L229" s="26"/>
      <c r="M229" s="26"/>
      <c r="N229" s="26"/>
      <c r="O229" s="274"/>
      <c r="P229" s="274"/>
      <c r="Q229" s="274"/>
      <c r="R229" s="274"/>
      <c r="S229" s="271"/>
      <c r="T229" s="597"/>
      <c r="U229" s="17"/>
      <c r="V229" s="271"/>
      <c r="W229" s="271"/>
      <c r="X229" s="271"/>
      <c r="Y229" s="271"/>
      <c r="Z229" s="271"/>
      <c r="AA229" s="271"/>
      <c r="AB229" s="271"/>
      <c r="AC229" s="271"/>
      <c r="AD229" s="271"/>
      <c r="AE229" s="271"/>
      <c r="AF229" s="271"/>
      <c r="AG229" s="271"/>
      <c r="AH229" s="271"/>
      <c r="AI229" s="26"/>
      <c r="AJ229" s="26"/>
      <c r="AK229" s="26"/>
      <c r="AL229" s="26"/>
      <c r="AM229" s="26"/>
      <c r="AN229" s="26"/>
      <c r="AO229" s="274"/>
      <c r="AP229" s="274"/>
      <c r="AQ229" s="26"/>
      <c r="AR229" s="26"/>
      <c r="AS229" s="26"/>
      <c r="AT229" s="26"/>
      <c r="AU229" s="26"/>
      <c r="AV229" s="274"/>
      <c r="AW229" s="274"/>
      <c r="AX229" s="10"/>
      <c r="AY229" s="10"/>
      <c r="BR229" s="22"/>
      <c r="BV229" s="10"/>
      <c r="BZ229" s="22"/>
    </row>
    <row r="230" spans="1:78" x14ac:dyDescent="0.25">
      <c r="A230" s="4"/>
      <c r="B230" s="26"/>
      <c r="C230" s="26"/>
      <c r="D230" s="26"/>
      <c r="E230" s="26"/>
      <c r="F230" s="26"/>
      <c r="G230" s="26"/>
      <c r="H230" s="26"/>
      <c r="I230" s="274"/>
      <c r="J230" s="274"/>
      <c r="K230" s="26"/>
      <c r="L230" s="26"/>
      <c r="M230" s="26"/>
      <c r="N230" s="26"/>
      <c r="O230" s="274"/>
      <c r="P230" s="274"/>
      <c r="Q230" s="274"/>
      <c r="R230" s="274"/>
      <c r="S230" s="271"/>
      <c r="T230" s="597"/>
      <c r="U230" s="17"/>
      <c r="V230" s="271"/>
      <c r="W230" s="271"/>
      <c r="X230" s="271"/>
      <c r="Y230" s="271"/>
      <c r="Z230" s="271"/>
      <c r="AA230" s="271"/>
      <c r="AB230" s="271"/>
      <c r="AC230" s="271"/>
      <c r="AD230" s="271"/>
      <c r="AE230" s="271"/>
      <c r="AF230" s="271"/>
      <c r="AG230" s="271"/>
      <c r="AH230" s="271"/>
      <c r="AI230" s="26"/>
      <c r="AJ230" s="26"/>
      <c r="AK230" s="26"/>
      <c r="AL230" s="26"/>
      <c r="AM230" s="26"/>
      <c r="AN230" s="26"/>
      <c r="AO230" s="274"/>
      <c r="AP230" s="274"/>
      <c r="AQ230" s="26"/>
      <c r="AR230" s="26"/>
      <c r="AS230" s="26"/>
      <c r="AT230" s="26"/>
      <c r="AU230" s="26"/>
      <c r="AV230" s="274"/>
      <c r="AW230" s="274"/>
      <c r="AX230" s="10"/>
      <c r="AY230" s="10"/>
      <c r="BR230" s="22"/>
      <c r="BV230" s="10"/>
      <c r="BZ230" s="22"/>
    </row>
    <row r="231" spans="1:78" x14ac:dyDescent="0.25">
      <c r="A231" s="4"/>
      <c r="B231" s="26"/>
      <c r="C231" s="26"/>
      <c r="D231" s="26"/>
      <c r="E231" s="26"/>
      <c r="F231" s="26"/>
      <c r="G231" s="26"/>
      <c r="H231" s="26"/>
      <c r="I231" s="274"/>
      <c r="J231" s="274"/>
      <c r="K231" s="26"/>
      <c r="L231" s="26"/>
      <c r="M231" s="26"/>
      <c r="N231" s="26"/>
      <c r="O231" s="274"/>
      <c r="P231" s="274"/>
      <c r="Q231" s="274"/>
      <c r="R231" s="274"/>
      <c r="S231" s="271"/>
      <c r="T231" s="597"/>
      <c r="U231" s="17"/>
      <c r="V231" s="271"/>
      <c r="W231" s="271"/>
      <c r="X231" s="271"/>
      <c r="Y231" s="271"/>
      <c r="Z231" s="271"/>
      <c r="AA231" s="271"/>
      <c r="AB231" s="271"/>
      <c r="AC231" s="271"/>
      <c r="AD231" s="271"/>
      <c r="AE231" s="271"/>
      <c r="AF231" s="271"/>
      <c r="AG231" s="271"/>
      <c r="AH231" s="271"/>
      <c r="AI231" s="26"/>
      <c r="AJ231" s="26"/>
      <c r="AK231" s="26"/>
      <c r="AL231" s="26"/>
      <c r="AM231" s="26"/>
      <c r="AN231" s="26"/>
      <c r="AO231" s="274"/>
      <c r="AP231" s="274"/>
      <c r="AQ231" s="26"/>
      <c r="AR231" s="26"/>
      <c r="AS231" s="26"/>
      <c r="AT231" s="26"/>
      <c r="AU231" s="26"/>
      <c r="AV231" s="274"/>
      <c r="AW231" s="274"/>
      <c r="AX231" s="10"/>
      <c r="AY231" s="10"/>
      <c r="BR231" s="22"/>
      <c r="BV231" s="10"/>
      <c r="BZ231" s="22"/>
    </row>
    <row r="232" spans="1:78" x14ac:dyDescent="0.25">
      <c r="A232" s="4"/>
      <c r="B232" s="26"/>
      <c r="C232" s="26"/>
      <c r="D232" s="26"/>
      <c r="E232" s="26"/>
      <c r="F232" s="26"/>
      <c r="G232" s="26"/>
      <c r="H232" s="26"/>
      <c r="I232" s="274"/>
      <c r="J232" s="274"/>
      <c r="K232" s="26"/>
      <c r="L232" s="26"/>
      <c r="M232" s="26"/>
      <c r="N232" s="26"/>
      <c r="O232" s="274"/>
      <c r="P232" s="274"/>
      <c r="Q232" s="274"/>
      <c r="R232" s="274"/>
      <c r="S232" s="271"/>
      <c r="T232" s="597"/>
      <c r="U232" s="17"/>
      <c r="V232" s="271"/>
      <c r="W232" s="271"/>
      <c r="X232" s="271"/>
      <c r="Y232" s="271"/>
      <c r="Z232" s="271"/>
      <c r="AA232" s="271"/>
      <c r="AB232" s="271"/>
      <c r="AC232" s="271"/>
      <c r="AD232" s="271"/>
      <c r="AE232" s="271"/>
      <c r="AF232" s="271"/>
      <c r="AG232" s="271"/>
      <c r="AH232" s="271"/>
      <c r="AI232" s="26"/>
      <c r="AJ232" s="26"/>
      <c r="AK232" s="26"/>
      <c r="AL232" s="26"/>
      <c r="AM232" s="26"/>
      <c r="AN232" s="26"/>
      <c r="AO232" s="274"/>
      <c r="AP232" s="274"/>
      <c r="AQ232" s="26"/>
      <c r="AR232" s="26"/>
      <c r="AS232" s="26"/>
      <c r="AT232" s="26"/>
      <c r="AU232" s="26"/>
      <c r="AV232" s="274"/>
      <c r="AW232" s="274"/>
      <c r="AX232" s="10"/>
      <c r="AY232" s="10"/>
      <c r="BR232" s="22"/>
      <c r="BV232" s="10"/>
      <c r="BZ232" s="22"/>
    </row>
    <row r="233" spans="1:78" x14ac:dyDescent="0.25">
      <c r="A233" s="4"/>
      <c r="B233" s="26"/>
      <c r="C233" s="26"/>
      <c r="D233" s="26"/>
      <c r="E233" s="26"/>
      <c r="F233" s="26"/>
      <c r="G233" s="26"/>
      <c r="H233" s="26"/>
      <c r="I233" s="274"/>
      <c r="J233" s="274"/>
      <c r="K233" s="26"/>
      <c r="L233" s="26"/>
      <c r="M233" s="26"/>
      <c r="N233" s="26"/>
      <c r="O233" s="274"/>
      <c r="P233" s="274"/>
      <c r="Q233" s="274"/>
      <c r="R233" s="274"/>
      <c r="S233" s="271"/>
      <c r="T233" s="597"/>
      <c r="U233" s="17"/>
      <c r="V233" s="271"/>
      <c r="W233" s="271"/>
      <c r="X233" s="271"/>
      <c r="Y233" s="271"/>
      <c r="Z233" s="271"/>
      <c r="AA233" s="271"/>
      <c r="AB233" s="271"/>
      <c r="AC233" s="271"/>
      <c r="AD233" s="271"/>
      <c r="AE233" s="271"/>
      <c r="AF233" s="271"/>
      <c r="AG233" s="271"/>
      <c r="AH233" s="271"/>
      <c r="AI233" s="26"/>
      <c r="AJ233" s="26"/>
      <c r="AK233" s="26"/>
      <c r="AL233" s="26"/>
      <c r="AM233" s="26"/>
      <c r="AN233" s="26"/>
      <c r="AO233" s="274"/>
      <c r="AP233" s="274"/>
      <c r="AQ233" s="26"/>
      <c r="AR233" s="26"/>
      <c r="AS233" s="26"/>
      <c r="AT233" s="26"/>
      <c r="AU233" s="26"/>
      <c r="AV233" s="274"/>
      <c r="AW233" s="274"/>
      <c r="AX233" s="10"/>
      <c r="AY233" s="10"/>
      <c r="BR233" s="22"/>
      <c r="BV233" s="10"/>
      <c r="BZ233" s="22"/>
    </row>
    <row r="234" spans="1:78" x14ac:dyDescent="0.25">
      <c r="A234" s="4"/>
      <c r="B234" s="26"/>
      <c r="C234" s="26"/>
      <c r="D234" s="26"/>
      <c r="E234" s="26"/>
      <c r="F234" s="26"/>
      <c r="G234" s="26"/>
      <c r="H234" s="26"/>
      <c r="I234" s="274"/>
      <c r="J234" s="274"/>
      <c r="K234" s="26"/>
      <c r="L234" s="26"/>
      <c r="M234" s="26"/>
      <c r="N234" s="26"/>
      <c r="O234" s="274"/>
      <c r="P234" s="274"/>
      <c r="Q234" s="274"/>
      <c r="R234" s="274"/>
      <c r="S234" s="271"/>
      <c r="T234" s="597"/>
      <c r="U234" s="17"/>
      <c r="V234" s="271"/>
      <c r="W234" s="271"/>
      <c r="X234" s="271"/>
      <c r="Y234" s="271"/>
      <c r="Z234" s="271"/>
      <c r="AA234" s="271"/>
      <c r="AB234" s="271"/>
      <c r="AC234" s="271"/>
      <c r="AD234" s="271"/>
      <c r="AE234" s="271"/>
      <c r="AF234" s="271"/>
      <c r="AG234" s="271"/>
      <c r="AH234" s="271"/>
      <c r="AI234" s="26"/>
      <c r="AJ234" s="26"/>
      <c r="AK234" s="26"/>
      <c r="AL234" s="26"/>
      <c r="AM234" s="26"/>
      <c r="AN234" s="26"/>
      <c r="AO234" s="274"/>
      <c r="AP234" s="274"/>
      <c r="AQ234" s="26"/>
      <c r="AR234" s="26"/>
      <c r="AS234" s="26"/>
      <c r="AT234" s="26"/>
      <c r="AU234" s="26"/>
      <c r="AV234" s="274"/>
      <c r="AW234" s="274"/>
      <c r="AX234" s="10"/>
      <c r="AY234" s="10"/>
      <c r="BR234" s="22"/>
      <c r="BV234" s="10"/>
      <c r="BZ234" s="22"/>
    </row>
    <row r="235" spans="1:78" x14ac:dyDescent="0.25">
      <c r="A235" s="4"/>
      <c r="B235" s="26"/>
      <c r="C235" s="26"/>
      <c r="D235" s="26"/>
      <c r="E235" s="26"/>
      <c r="F235" s="26"/>
      <c r="G235" s="26"/>
      <c r="H235" s="26"/>
      <c r="I235" s="274"/>
      <c r="J235" s="274"/>
      <c r="K235" s="26"/>
      <c r="L235" s="26"/>
      <c r="M235" s="26"/>
      <c r="N235" s="26"/>
      <c r="O235" s="274"/>
      <c r="P235" s="274"/>
      <c r="Q235" s="274"/>
      <c r="R235" s="274"/>
      <c r="S235" s="271"/>
      <c r="T235" s="597"/>
      <c r="U235" s="17"/>
      <c r="V235" s="271"/>
      <c r="W235" s="271"/>
      <c r="X235" s="271"/>
      <c r="Y235" s="271"/>
      <c r="Z235" s="271"/>
      <c r="AA235" s="271"/>
      <c r="AB235" s="271"/>
      <c r="AC235" s="271"/>
      <c r="AD235" s="271"/>
      <c r="AE235" s="271"/>
      <c r="AF235" s="271"/>
      <c r="AG235" s="271"/>
      <c r="AH235" s="271"/>
      <c r="AI235" s="26"/>
      <c r="AJ235" s="26"/>
      <c r="AK235" s="26"/>
      <c r="AL235" s="26"/>
      <c r="AM235" s="26"/>
      <c r="AN235" s="26"/>
      <c r="AO235" s="274"/>
      <c r="AP235" s="274"/>
      <c r="AQ235" s="26"/>
      <c r="AR235" s="26"/>
      <c r="AS235" s="26"/>
      <c r="AT235" s="26"/>
      <c r="AU235" s="26"/>
      <c r="AV235" s="274"/>
      <c r="AW235" s="274"/>
      <c r="AX235" s="10"/>
      <c r="AY235" s="10"/>
      <c r="BR235" s="22"/>
      <c r="BV235" s="10"/>
      <c r="BZ235" s="22"/>
    </row>
    <row r="236" spans="1:78" x14ac:dyDescent="0.25">
      <c r="A236" s="4"/>
      <c r="B236" s="26"/>
      <c r="C236" s="26"/>
      <c r="D236" s="26"/>
      <c r="E236" s="26"/>
      <c r="F236" s="26"/>
      <c r="G236" s="26"/>
      <c r="H236" s="26"/>
      <c r="I236" s="274"/>
      <c r="J236" s="274"/>
      <c r="K236" s="26"/>
      <c r="L236" s="26"/>
      <c r="M236" s="26"/>
      <c r="N236" s="26"/>
      <c r="O236" s="274"/>
      <c r="P236" s="274"/>
      <c r="Q236" s="274"/>
      <c r="R236" s="274"/>
      <c r="S236" s="271"/>
      <c r="T236" s="597"/>
      <c r="U236" s="17"/>
      <c r="V236" s="271"/>
      <c r="W236" s="271"/>
      <c r="X236" s="271"/>
      <c r="Y236" s="271"/>
      <c r="Z236" s="271"/>
      <c r="AA236" s="271"/>
      <c r="AB236" s="271"/>
      <c r="AC236" s="271"/>
      <c r="AD236" s="271"/>
      <c r="AE236" s="271"/>
      <c r="AF236" s="271"/>
      <c r="AG236" s="271"/>
      <c r="AH236" s="271"/>
      <c r="AI236" s="26"/>
      <c r="AJ236" s="26"/>
      <c r="AK236" s="26"/>
      <c r="AL236" s="26"/>
      <c r="AM236" s="26"/>
      <c r="AN236" s="26"/>
      <c r="AO236" s="274"/>
      <c r="AP236" s="274"/>
      <c r="AQ236" s="26"/>
      <c r="AR236" s="26"/>
      <c r="AS236" s="26"/>
      <c r="AT236" s="26"/>
      <c r="AU236" s="26"/>
      <c r="AV236" s="274"/>
      <c r="AW236" s="274"/>
      <c r="AX236" s="10"/>
      <c r="AY236" s="10"/>
      <c r="BR236" s="22"/>
      <c r="BV236" s="10"/>
      <c r="BZ236" s="22"/>
    </row>
    <row r="237" spans="1:78" x14ac:dyDescent="0.25">
      <c r="A237" s="4"/>
      <c r="B237" s="26"/>
      <c r="C237" s="26"/>
      <c r="D237" s="26"/>
      <c r="E237" s="26"/>
      <c r="F237" s="26"/>
      <c r="G237" s="26"/>
      <c r="H237" s="26"/>
      <c r="I237" s="274"/>
      <c r="J237" s="274"/>
      <c r="K237" s="26"/>
      <c r="L237" s="26"/>
      <c r="M237" s="26"/>
      <c r="N237" s="26"/>
      <c r="O237" s="274"/>
      <c r="P237" s="274"/>
      <c r="Q237" s="274"/>
      <c r="R237" s="274"/>
      <c r="S237" s="271"/>
      <c r="T237" s="597"/>
      <c r="U237" s="17"/>
      <c r="V237" s="271"/>
      <c r="W237" s="271"/>
      <c r="X237" s="271"/>
      <c r="Y237" s="271"/>
      <c r="Z237" s="271"/>
      <c r="AA237" s="271"/>
      <c r="AB237" s="271"/>
      <c r="AC237" s="271"/>
      <c r="AD237" s="271"/>
      <c r="AE237" s="271"/>
      <c r="AF237" s="271"/>
      <c r="AG237" s="271"/>
      <c r="AH237" s="271"/>
      <c r="AI237" s="26"/>
      <c r="AJ237" s="26"/>
      <c r="AK237" s="26"/>
      <c r="AL237" s="26"/>
      <c r="AM237" s="26"/>
      <c r="AN237" s="26"/>
      <c r="AO237" s="274"/>
      <c r="AP237" s="274"/>
      <c r="AQ237" s="26"/>
      <c r="AR237" s="26"/>
      <c r="AS237" s="26"/>
      <c r="AT237" s="26"/>
      <c r="AU237" s="26"/>
      <c r="AV237" s="274"/>
      <c r="AW237" s="274"/>
      <c r="AX237" s="10"/>
      <c r="AY237" s="10"/>
      <c r="BR237" s="22"/>
      <c r="BV237" s="10"/>
      <c r="BZ237" s="22"/>
    </row>
    <row r="238" spans="1:78" x14ac:dyDescent="0.25">
      <c r="A238" s="4"/>
      <c r="B238" s="26"/>
      <c r="C238" s="26"/>
      <c r="D238" s="26"/>
      <c r="E238" s="26"/>
      <c r="F238" s="26"/>
      <c r="G238" s="26"/>
      <c r="H238" s="26"/>
      <c r="I238" s="274"/>
      <c r="J238" s="274"/>
      <c r="K238" s="26"/>
      <c r="L238" s="26"/>
      <c r="M238" s="26"/>
      <c r="N238" s="26"/>
      <c r="O238" s="274"/>
      <c r="P238" s="274"/>
      <c r="Q238" s="274"/>
      <c r="R238" s="274"/>
      <c r="S238" s="271"/>
      <c r="T238" s="597"/>
      <c r="U238" s="17"/>
      <c r="V238" s="271"/>
      <c r="W238" s="271"/>
      <c r="X238" s="271"/>
      <c r="Y238" s="271"/>
      <c r="Z238" s="271"/>
      <c r="AA238" s="271"/>
      <c r="AB238" s="271"/>
      <c r="AC238" s="271"/>
      <c r="AD238" s="271"/>
      <c r="AE238" s="271"/>
      <c r="AF238" s="271"/>
      <c r="AG238" s="271"/>
      <c r="AH238" s="271"/>
      <c r="AI238" s="26"/>
      <c r="AJ238" s="26"/>
      <c r="AK238" s="26"/>
      <c r="AL238" s="26"/>
      <c r="AM238" s="26"/>
      <c r="AN238" s="26"/>
      <c r="AO238" s="274"/>
      <c r="AP238" s="274"/>
      <c r="AQ238" s="26"/>
      <c r="AR238" s="26"/>
      <c r="AS238" s="26"/>
      <c r="AT238" s="26"/>
      <c r="AU238" s="26"/>
      <c r="AV238" s="274"/>
      <c r="AW238" s="274"/>
      <c r="AX238" s="10"/>
      <c r="AY238" s="10"/>
      <c r="BR238" s="22"/>
      <c r="BV238" s="10"/>
      <c r="BZ238" s="22"/>
    </row>
    <row r="239" spans="1:78" x14ac:dyDescent="0.25">
      <c r="A239" s="4"/>
      <c r="B239" s="26"/>
      <c r="C239" s="26"/>
      <c r="D239" s="26"/>
      <c r="E239" s="26"/>
      <c r="F239" s="26"/>
      <c r="G239" s="26"/>
      <c r="H239" s="26"/>
      <c r="I239" s="274"/>
      <c r="J239" s="274"/>
      <c r="K239" s="26"/>
      <c r="L239" s="26"/>
      <c r="M239" s="26"/>
      <c r="N239" s="26"/>
      <c r="O239" s="274"/>
      <c r="P239" s="274"/>
      <c r="Q239" s="274"/>
      <c r="R239" s="274"/>
      <c r="S239" s="271"/>
      <c r="T239" s="597"/>
      <c r="U239" s="17"/>
      <c r="V239" s="271"/>
      <c r="W239" s="271"/>
      <c r="X239" s="271"/>
      <c r="Y239" s="271"/>
      <c r="Z239" s="271"/>
      <c r="AA239" s="271"/>
      <c r="AB239" s="271"/>
      <c r="AC239" s="271"/>
      <c r="AD239" s="271"/>
      <c r="AE239" s="271"/>
      <c r="AF239" s="271"/>
      <c r="AG239" s="271"/>
      <c r="AH239" s="271"/>
      <c r="AI239" s="26"/>
      <c r="AJ239" s="26"/>
      <c r="AK239" s="26"/>
      <c r="AL239" s="26"/>
      <c r="AM239" s="26"/>
      <c r="AN239" s="26"/>
      <c r="AO239" s="274"/>
      <c r="AP239" s="274"/>
      <c r="AQ239" s="26"/>
      <c r="AR239" s="26"/>
      <c r="AS239" s="26"/>
      <c r="AT239" s="26"/>
      <c r="AU239" s="26"/>
      <c r="AV239" s="274"/>
      <c r="AW239" s="274"/>
      <c r="AX239" s="10"/>
      <c r="AY239" s="10"/>
      <c r="BR239" s="22"/>
      <c r="BV239" s="10"/>
      <c r="BZ239" s="22"/>
    </row>
    <row r="240" spans="1:78" x14ac:dyDescent="0.25">
      <c r="A240" s="4"/>
      <c r="B240" s="26"/>
      <c r="C240" s="26"/>
      <c r="D240" s="26"/>
      <c r="E240" s="26"/>
      <c r="F240" s="26"/>
      <c r="G240" s="26"/>
      <c r="H240" s="26"/>
      <c r="I240" s="274"/>
      <c r="J240" s="274"/>
      <c r="K240" s="26"/>
      <c r="L240" s="26"/>
      <c r="M240" s="26"/>
      <c r="N240" s="26"/>
      <c r="O240" s="274"/>
      <c r="P240" s="274"/>
      <c r="Q240" s="274"/>
      <c r="R240" s="274"/>
      <c r="S240" s="271"/>
      <c r="T240" s="597"/>
      <c r="U240" s="17"/>
      <c r="V240" s="271"/>
      <c r="W240" s="271"/>
      <c r="X240" s="271"/>
      <c r="Y240" s="271"/>
      <c r="Z240" s="271"/>
      <c r="AA240" s="271"/>
      <c r="AB240" s="271"/>
      <c r="AC240" s="271"/>
      <c r="AD240" s="271"/>
      <c r="AE240" s="271"/>
      <c r="AF240" s="271"/>
      <c r="AG240" s="271"/>
      <c r="AH240" s="271"/>
      <c r="AI240" s="26"/>
      <c r="AJ240" s="26"/>
      <c r="AK240" s="26"/>
      <c r="AL240" s="26"/>
      <c r="AM240" s="26"/>
      <c r="AN240" s="26"/>
      <c r="AO240" s="274"/>
      <c r="AP240" s="274"/>
      <c r="AQ240" s="26"/>
      <c r="AR240" s="26"/>
      <c r="AS240" s="26"/>
      <c r="AT240" s="26"/>
      <c r="AU240" s="26"/>
      <c r="AV240" s="274"/>
      <c r="AW240" s="274"/>
      <c r="AX240" s="10"/>
      <c r="AY240" s="10"/>
      <c r="BR240" s="22"/>
      <c r="BV240" s="10"/>
      <c r="BZ240" s="22"/>
    </row>
    <row r="241" spans="1:78" x14ac:dyDescent="0.25">
      <c r="A241" s="4"/>
      <c r="B241" s="26"/>
      <c r="C241" s="26"/>
      <c r="D241" s="26"/>
      <c r="E241" s="26"/>
      <c r="F241" s="26"/>
      <c r="G241" s="26"/>
      <c r="H241" s="26"/>
      <c r="I241" s="274"/>
      <c r="J241" s="274"/>
      <c r="K241" s="26"/>
      <c r="L241" s="26"/>
      <c r="M241" s="26"/>
      <c r="N241" s="26"/>
      <c r="O241" s="274"/>
      <c r="P241" s="274"/>
      <c r="Q241" s="274"/>
      <c r="R241" s="274"/>
      <c r="S241" s="271"/>
      <c r="T241" s="597"/>
      <c r="U241" s="17"/>
      <c r="V241" s="271"/>
      <c r="W241" s="271"/>
      <c r="X241" s="271"/>
      <c r="Y241" s="271"/>
      <c r="Z241" s="271"/>
      <c r="AA241" s="271"/>
      <c r="AB241" s="271"/>
      <c r="AC241" s="271"/>
      <c r="AD241" s="271"/>
      <c r="AE241" s="271"/>
      <c r="AF241" s="271"/>
      <c r="AG241" s="271"/>
      <c r="AH241" s="271"/>
      <c r="AI241" s="26"/>
      <c r="AJ241" s="26"/>
      <c r="AK241" s="26"/>
      <c r="AL241" s="26"/>
      <c r="AM241" s="26"/>
      <c r="AN241" s="26"/>
      <c r="AO241" s="274"/>
      <c r="AP241" s="274"/>
      <c r="AQ241" s="26"/>
      <c r="AR241" s="26"/>
      <c r="AS241" s="26"/>
      <c r="AT241" s="26"/>
      <c r="AU241" s="26"/>
      <c r="AV241" s="274"/>
      <c r="AW241" s="274"/>
      <c r="AX241" s="10"/>
      <c r="AY241" s="10"/>
      <c r="BR241" s="22"/>
      <c r="BV241" s="10"/>
      <c r="BZ241" s="22"/>
    </row>
    <row r="242" spans="1:78" x14ac:dyDescent="0.25">
      <c r="A242" s="4"/>
      <c r="B242" s="26"/>
      <c r="C242" s="26"/>
      <c r="D242" s="26"/>
      <c r="E242" s="26"/>
      <c r="F242" s="26"/>
      <c r="G242" s="26"/>
      <c r="H242" s="26"/>
      <c r="I242" s="274"/>
      <c r="J242" s="274"/>
      <c r="K242" s="26"/>
      <c r="L242" s="26"/>
      <c r="M242" s="26"/>
      <c r="N242" s="26"/>
      <c r="O242" s="274"/>
      <c r="P242" s="274"/>
      <c r="Q242" s="274"/>
      <c r="R242" s="274"/>
      <c r="S242" s="271"/>
      <c r="T242" s="597"/>
      <c r="U242" s="17"/>
      <c r="V242" s="271"/>
      <c r="W242" s="271"/>
      <c r="X242" s="271"/>
      <c r="Y242" s="271"/>
      <c r="Z242" s="271"/>
      <c r="AA242" s="271"/>
      <c r="AB242" s="271"/>
      <c r="AC242" s="271"/>
      <c r="AD242" s="271"/>
      <c r="AE242" s="271"/>
      <c r="AF242" s="271"/>
      <c r="AG242" s="271"/>
      <c r="AH242" s="271"/>
      <c r="AI242" s="26"/>
      <c r="AJ242" s="26"/>
      <c r="AK242" s="26"/>
      <c r="AL242" s="26"/>
      <c r="AM242" s="26"/>
      <c r="AN242" s="26"/>
      <c r="AO242" s="274"/>
      <c r="AP242" s="274"/>
      <c r="AQ242" s="26"/>
      <c r="AR242" s="26"/>
      <c r="AS242" s="26"/>
      <c r="AT242" s="26"/>
      <c r="AU242" s="26"/>
      <c r="AV242" s="274"/>
      <c r="AW242" s="274"/>
      <c r="AX242" s="10"/>
      <c r="AY242" s="10"/>
      <c r="BR242" s="22"/>
      <c r="BV242" s="10"/>
      <c r="BZ242" s="22"/>
    </row>
    <row r="243" spans="1:78" x14ac:dyDescent="0.25">
      <c r="A243" s="4"/>
      <c r="B243" s="26"/>
      <c r="C243" s="26"/>
      <c r="D243" s="26"/>
      <c r="E243" s="26"/>
      <c r="F243" s="26"/>
      <c r="G243" s="26"/>
      <c r="H243" s="26"/>
      <c r="I243" s="274"/>
      <c r="J243" s="274"/>
      <c r="K243" s="26"/>
      <c r="L243" s="26"/>
      <c r="M243" s="26"/>
      <c r="N243" s="26"/>
      <c r="O243" s="274"/>
      <c r="P243" s="274"/>
      <c r="Q243" s="274"/>
      <c r="R243" s="274"/>
      <c r="S243" s="271"/>
      <c r="T243" s="597"/>
      <c r="U243" s="17"/>
      <c r="V243" s="271"/>
      <c r="W243" s="271"/>
      <c r="X243" s="271"/>
      <c r="Y243" s="271"/>
      <c r="Z243" s="271"/>
      <c r="AA243" s="271"/>
      <c r="AB243" s="271"/>
      <c r="AC243" s="271"/>
      <c r="AD243" s="271"/>
      <c r="AE243" s="271"/>
      <c r="AF243" s="271"/>
      <c r="AG243" s="271"/>
      <c r="AH243" s="271"/>
      <c r="AI243" s="26"/>
      <c r="AJ243" s="26"/>
      <c r="AK243" s="26"/>
      <c r="AL243" s="26"/>
      <c r="AM243" s="26"/>
      <c r="AN243" s="26"/>
      <c r="AO243" s="274"/>
      <c r="AP243" s="274"/>
      <c r="AQ243" s="26"/>
      <c r="AR243" s="26"/>
      <c r="AS243" s="26"/>
      <c r="AT243" s="26"/>
      <c r="AU243" s="26"/>
      <c r="AV243" s="274"/>
      <c r="AW243" s="274"/>
      <c r="AX243" s="10"/>
      <c r="AY243" s="10"/>
      <c r="BR243" s="22"/>
      <c r="BV243" s="10"/>
      <c r="BZ243" s="22"/>
    </row>
    <row r="244" spans="1:78" x14ac:dyDescent="0.25">
      <c r="A244" s="4"/>
      <c r="B244" s="26"/>
      <c r="C244" s="26"/>
      <c r="D244" s="26"/>
      <c r="E244" s="26"/>
      <c r="F244" s="26"/>
      <c r="G244" s="26"/>
      <c r="H244" s="26"/>
      <c r="I244" s="274"/>
      <c r="J244" s="274"/>
      <c r="K244" s="26"/>
      <c r="L244" s="26"/>
      <c r="M244" s="26"/>
      <c r="N244" s="26"/>
      <c r="O244" s="274"/>
      <c r="P244" s="274"/>
      <c r="Q244" s="274"/>
      <c r="R244" s="274"/>
      <c r="S244" s="271"/>
      <c r="T244" s="597"/>
      <c r="U244" s="17"/>
      <c r="V244" s="271"/>
      <c r="W244" s="271"/>
      <c r="X244" s="271"/>
      <c r="Y244" s="271"/>
      <c r="Z244" s="271"/>
      <c r="AA244" s="271"/>
      <c r="AB244" s="271"/>
      <c r="AC244" s="271"/>
      <c r="AD244" s="271"/>
      <c r="AE244" s="271"/>
      <c r="AF244" s="271"/>
      <c r="AG244" s="271"/>
      <c r="AH244" s="271"/>
      <c r="AI244" s="26"/>
      <c r="AJ244" s="26"/>
      <c r="AK244" s="26"/>
      <c r="AL244" s="26"/>
      <c r="AM244" s="26"/>
      <c r="AN244" s="26"/>
      <c r="AO244" s="274"/>
      <c r="AP244" s="274"/>
      <c r="AQ244" s="26"/>
      <c r="AR244" s="26"/>
      <c r="AS244" s="26"/>
      <c r="AT244" s="26"/>
      <c r="AU244" s="26"/>
      <c r="AV244" s="274"/>
      <c r="AW244" s="274"/>
      <c r="AX244" s="10"/>
      <c r="AY244" s="10"/>
      <c r="BR244" s="22"/>
      <c r="BV244" s="10"/>
      <c r="BZ244" s="22"/>
    </row>
    <row r="245" spans="1:78" x14ac:dyDescent="0.25">
      <c r="A245" s="4"/>
      <c r="B245" s="26"/>
      <c r="C245" s="26"/>
      <c r="D245" s="26"/>
      <c r="E245" s="26"/>
      <c r="F245" s="26"/>
      <c r="G245" s="26"/>
      <c r="H245" s="26"/>
      <c r="I245" s="274"/>
      <c r="J245" s="274"/>
      <c r="K245" s="26"/>
      <c r="L245" s="26"/>
      <c r="M245" s="26"/>
      <c r="N245" s="26"/>
      <c r="O245" s="274"/>
      <c r="P245" s="274"/>
      <c r="Q245" s="274"/>
      <c r="R245" s="274"/>
      <c r="S245" s="271"/>
      <c r="T245" s="597"/>
      <c r="U245" s="17"/>
      <c r="V245" s="271"/>
      <c r="W245" s="271"/>
      <c r="X245" s="271"/>
      <c r="Y245" s="271"/>
      <c r="Z245" s="271"/>
      <c r="AA245" s="271"/>
      <c r="AB245" s="271"/>
      <c r="AC245" s="271"/>
      <c r="AD245" s="271"/>
      <c r="AE245" s="271"/>
      <c r="AF245" s="271"/>
      <c r="AG245" s="271"/>
      <c r="AH245" s="271"/>
      <c r="AI245" s="26"/>
      <c r="AJ245" s="26"/>
      <c r="AK245" s="26"/>
      <c r="AL245" s="26"/>
      <c r="AM245" s="26"/>
      <c r="AN245" s="26"/>
      <c r="AO245" s="274"/>
      <c r="AP245" s="274"/>
      <c r="AQ245" s="26"/>
      <c r="AR245" s="26"/>
      <c r="AS245" s="26"/>
      <c r="AT245" s="26"/>
      <c r="AU245" s="26"/>
      <c r="AV245" s="274"/>
      <c r="AW245" s="274"/>
      <c r="AX245" s="10"/>
      <c r="AY245" s="10"/>
      <c r="BR245" s="22"/>
      <c r="BV245" s="10"/>
      <c r="BZ245" s="22"/>
    </row>
    <row r="246" spans="1:78" x14ac:dyDescent="0.25">
      <c r="A246" s="4"/>
      <c r="B246" s="26"/>
      <c r="C246" s="26"/>
      <c r="D246" s="26"/>
      <c r="E246" s="26"/>
      <c r="F246" s="26"/>
      <c r="G246" s="26"/>
      <c r="H246" s="26"/>
      <c r="I246" s="274"/>
      <c r="J246" s="274"/>
      <c r="K246" s="26"/>
      <c r="L246" s="26"/>
      <c r="M246" s="26"/>
      <c r="N246" s="26"/>
      <c r="O246" s="274"/>
      <c r="P246" s="274"/>
      <c r="Q246" s="274"/>
      <c r="R246" s="274"/>
      <c r="S246" s="271"/>
      <c r="T246" s="597"/>
      <c r="U246" s="17"/>
      <c r="V246" s="271"/>
      <c r="W246" s="271"/>
      <c r="X246" s="271"/>
      <c r="Y246" s="271"/>
      <c r="Z246" s="271"/>
      <c r="AA246" s="271"/>
      <c r="AB246" s="271"/>
      <c r="AC246" s="271"/>
      <c r="AD246" s="271"/>
      <c r="AE246" s="271"/>
      <c r="AF246" s="271"/>
      <c r="AG246" s="271"/>
      <c r="AH246" s="271"/>
      <c r="AI246" s="26"/>
      <c r="AJ246" s="26"/>
      <c r="AK246" s="26"/>
      <c r="AL246" s="26"/>
      <c r="AM246" s="26"/>
      <c r="AN246" s="26"/>
      <c r="AO246" s="274"/>
      <c r="AP246" s="274"/>
      <c r="AQ246" s="26"/>
      <c r="AR246" s="26"/>
      <c r="AS246" s="26"/>
      <c r="AT246" s="26"/>
      <c r="AU246" s="26"/>
      <c r="AV246" s="274"/>
      <c r="AW246" s="274"/>
      <c r="AX246" s="10"/>
      <c r="AY246" s="10"/>
      <c r="BR246" s="22"/>
      <c r="BV246" s="10"/>
      <c r="BZ246" s="22"/>
    </row>
    <row r="247" spans="1:78" x14ac:dyDescent="0.25">
      <c r="A247" s="4"/>
      <c r="B247" s="26"/>
      <c r="C247" s="26"/>
      <c r="D247" s="26"/>
      <c r="E247" s="26"/>
      <c r="F247" s="26"/>
      <c r="G247" s="26"/>
      <c r="H247" s="26"/>
      <c r="I247" s="274"/>
      <c r="J247" s="274"/>
      <c r="K247" s="26"/>
      <c r="L247" s="26"/>
      <c r="M247" s="26"/>
      <c r="N247" s="26"/>
      <c r="O247" s="274"/>
      <c r="P247" s="274"/>
      <c r="Q247" s="274"/>
      <c r="R247" s="274"/>
      <c r="S247" s="271"/>
      <c r="T247" s="597"/>
      <c r="U247" s="17"/>
      <c r="V247" s="271"/>
      <c r="W247" s="271"/>
      <c r="X247" s="271"/>
      <c r="Y247" s="271"/>
      <c r="Z247" s="271"/>
      <c r="AA247" s="271"/>
      <c r="AB247" s="271"/>
      <c r="AC247" s="271"/>
      <c r="AD247" s="271"/>
      <c r="AE247" s="271"/>
      <c r="AF247" s="271"/>
      <c r="AG247" s="271"/>
      <c r="AH247" s="271"/>
      <c r="AI247" s="26"/>
      <c r="AJ247" s="26"/>
      <c r="AK247" s="26"/>
      <c r="AL247" s="26"/>
      <c r="AM247" s="26"/>
      <c r="AN247" s="26"/>
      <c r="AO247" s="274"/>
      <c r="AP247" s="274"/>
      <c r="AQ247" s="26"/>
      <c r="AR247" s="26"/>
      <c r="AS247" s="26"/>
      <c r="AT247" s="26"/>
      <c r="AU247" s="26"/>
      <c r="AV247" s="274"/>
      <c r="AW247" s="274"/>
      <c r="AX247" s="10"/>
      <c r="AY247" s="10"/>
      <c r="BR247" s="22"/>
      <c r="BV247" s="10"/>
      <c r="BZ247" s="22"/>
    </row>
    <row r="248" spans="1:78" x14ac:dyDescent="0.25">
      <c r="A248" s="4"/>
      <c r="B248" s="26"/>
      <c r="C248" s="26"/>
      <c r="D248" s="26"/>
      <c r="E248" s="26"/>
      <c r="F248" s="26"/>
      <c r="G248" s="26"/>
      <c r="H248" s="26"/>
      <c r="I248" s="274"/>
      <c r="J248" s="274"/>
      <c r="K248" s="26"/>
      <c r="L248" s="26"/>
      <c r="M248" s="26"/>
      <c r="N248" s="26"/>
      <c r="O248" s="274"/>
      <c r="P248" s="274"/>
      <c r="Q248" s="274"/>
      <c r="R248" s="274"/>
      <c r="S248" s="271"/>
      <c r="T248" s="597"/>
      <c r="U248" s="17"/>
      <c r="V248" s="271"/>
      <c r="W248" s="271"/>
      <c r="X248" s="271"/>
      <c r="Y248" s="271"/>
      <c r="Z248" s="271"/>
      <c r="AA248" s="271"/>
      <c r="AB248" s="271"/>
      <c r="AC248" s="271"/>
      <c r="AD248" s="271"/>
      <c r="AE248" s="271"/>
      <c r="AF248" s="271"/>
      <c r="AG248" s="271"/>
      <c r="AH248" s="271"/>
      <c r="AI248" s="26"/>
      <c r="AJ248" s="26"/>
      <c r="AK248" s="26"/>
      <c r="AL248" s="26"/>
      <c r="AM248" s="26"/>
      <c r="AN248" s="26"/>
      <c r="AO248" s="274"/>
      <c r="AP248" s="274"/>
      <c r="AQ248" s="26"/>
      <c r="AR248" s="26"/>
      <c r="AS248" s="26"/>
      <c r="AT248" s="26"/>
      <c r="AU248" s="26"/>
      <c r="AV248" s="274"/>
      <c r="AW248" s="274"/>
      <c r="AX248" s="10"/>
      <c r="AY248" s="10"/>
      <c r="BR248" s="22"/>
      <c r="BV248" s="10"/>
      <c r="BZ248" s="22"/>
    </row>
    <row r="249" spans="1:78" x14ac:dyDescent="0.25">
      <c r="A249" s="4"/>
      <c r="B249" s="26"/>
      <c r="C249" s="26"/>
      <c r="D249" s="26"/>
      <c r="E249" s="26"/>
      <c r="F249" s="26"/>
      <c r="G249" s="26"/>
      <c r="H249" s="26"/>
      <c r="I249" s="274"/>
      <c r="J249" s="274"/>
      <c r="K249" s="26"/>
      <c r="L249" s="26"/>
      <c r="M249" s="26"/>
      <c r="N249" s="26"/>
      <c r="O249" s="274"/>
      <c r="P249" s="274"/>
      <c r="Q249" s="274"/>
      <c r="R249" s="274"/>
      <c r="S249" s="271"/>
      <c r="T249" s="597"/>
      <c r="U249" s="17"/>
      <c r="V249" s="271"/>
      <c r="W249" s="271"/>
      <c r="X249" s="271"/>
      <c r="Y249" s="271"/>
      <c r="Z249" s="271"/>
      <c r="AA249" s="271"/>
      <c r="AB249" s="271"/>
      <c r="AC249" s="271"/>
      <c r="AD249" s="271"/>
      <c r="AE249" s="271"/>
      <c r="AF249" s="271"/>
      <c r="AG249" s="271"/>
      <c r="AH249" s="271"/>
      <c r="AI249" s="26"/>
      <c r="AJ249" s="26"/>
      <c r="AK249" s="26"/>
      <c r="AL249" s="26"/>
      <c r="AM249" s="26"/>
      <c r="AN249" s="26"/>
      <c r="AO249" s="274"/>
      <c r="AP249" s="274"/>
      <c r="AQ249" s="26"/>
      <c r="AR249" s="26"/>
      <c r="AS249" s="26"/>
      <c r="AT249" s="26"/>
      <c r="AU249" s="26"/>
      <c r="AV249" s="274"/>
      <c r="AW249" s="274"/>
      <c r="AX249" s="10"/>
      <c r="AY249" s="10"/>
      <c r="BR249" s="22"/>
      <c r="BV249" s="10"/>
      <c r="BZ249" s="22"/>
    </row>
    <row r="250" spans="1:78" x14ac:dyDescent="0.25">
      <c r="A250" s="4"/>
      <c r="B250" s="26"/>
      <c r="C250" s="26"/>
      <c r="D250" s="26"/>
      <c r="E250" s="26"/>
      <c r="F250" s="26"/>
      <c r="G250" s="26"/>
      <c r="H250" s="26"/>
      <c r="I250" s="274"/>
      <c r="J250" s="274"/>
      <c r="K250" s="26"/>
      <c r="L250" s="26"/>
      <c r="M250" s="26"/>
      <c r="N250" s="26"/>
      <c r="O250" s="274"/>
      <c r="P250" s="274"/>
      <c r="Q250" s="274"/>
      <c r="R250" s="274"/>
      <c r="S250" s="271"/>
      <c r="T250" s="597"/>
      <c r="U250" s="17"/>
      <c r="V250" s="271"/>
      <c r="W250" s="271"/>
      <c r="X250" s="271"/>
      <c r="Y250" s="271"/>
      <c r="Z250" s="271"/>
      <c r="AA250" s="271"/>
      <c r="AB250" s="271"/>
      <c r="AC250" s="271"/>
      <c r="AD250" s="271"/>
      <c r="AE250" s="271"/>
      <c r="AF250" s="271"/>
      <c r="AG250" s="271"/>
      <c r="AH250" s="271"/>
      <c r="AI250" s="26"/>
      <c r="AJ250" s="26"/>
      <c r="AK250" s="26"/>
      <c r="AL250" s="26"/>
      <c r="AM250" s="26"/>
      <c r="AN250" s="26"/>
      <c r="AO250" s="274"/>
      <c r="AP250" s="274"/>
      <c r="AQ250" s="26"/>
      <c r="AR250" s="26"/>
      <c r="AS250" s="26"/>
      <c r="AT250" s="26"/>
      <c r="AU250" s="26"/>
      <c r="AV250" s="274"/>
      <c r="AW250" s="274"/>
      <c r="AX250" s="10"/>
      <c r="AY250" s="10"/>
      <c r="BR250" s="22"/>
      <c r="BV250" s="10"/>
      <c r="BZ250" s="22"/>
    </row>
    <row r="251" spans="1:78" x14ac:dyDescent="0.25">
      <c r="A251" s="4"/>
      <c r="B251" s="26"/>
      <c r="C251" s="26"/>
      <c r="D251" s="26"/>
      <c r="E251" s="26"/>
      <c r="F251" s="26"/>
      <c r="G251" s="26"/>
      <c r="H251" s="26"/>
      <c r="I251" s="274"/>
      <c r="J251" s="274"/>
      <c r="K251" s="26"/>
      <c r="L251" s="26"/>
      <c r="M251" s="26"/>
      <c r="N251" s="26"/>
      <c r="O251" s="274"/>
      <c r="P251" s="274"/>
      <c r="Q251" s="274"/>
      <c r="R251" s="274"/>
      <c r="S251" s="271"/>
      <c r="T251" s="597"/>
      <c r="U251" s="17"/>
      <c r="V251" s="271"/>
      <c r="W251" s="271"/>
      <c r="X251" s="271"/>
      <c r="Y251" s="271"/>
      <c r="Z251" s="271"/>
      <c r="AA251" s="271"/>
      <c r="AB251" s="271"/>
      <c r="AC251" s="271"/>
      <c r="AD251" s="271"/>
      <c r="AE251" s="271"/>
      <c r="AF251" s="271"/>
      <c r="AG251" s="271"/>
      <c r="AH251" s="271"/>
      <c r="AI251" s="26"/>
      <c r="AJ251" s="26"/>
      <c r="AK251" s="26"/>
      <c r="AL251" s="26"/>
      <c r="AM251" s="26"/>
      <c r="AN251" s="26"/>
      <c r="AO251" s="274"/>
      <c r="AP251" s="274"/>
      <c r="AQ251" s="26"/>
      <c r="AR251" s="26"/>
      <c r="AS251" s="26"/>
      <c r="AT251" s="26"/>
      <c r="AU251" s="26"/>
      <c r="AV251" s="274"/>
      <c r="AW251" s="274"/>
      <c r="AX251" s="10"/>
      <c r="AY251" s="10"/>
      <c r="BR251" s="22"/>
      <c r="BV251" s="10"/>
      <c r="BZ251" s="22"/>
    </row>
    <row r="252" spans="1:78" x14ac:dyDescent="0.25">
      <c r="A252" s="4"/>
      <c r="B252" s="26"/>
      <c r="C252" s="26"/>
      <c r="D252" s="26"/>
      <c r="E252" s="26"/>
      <c r="F252" s="26"/>
      <c r="G252" s="26"/>
      <c r="H252" s="26"/>
      <c r="I252" s="274"/>
      <c r="J252" s="274"/>
      <c r="K252" s="26"/>
      <c r="L252" s="26"/>
      <c r="M252" s="26"/>
      <c r="N252" s="26"/>
      <c r="O252" s="274"/>
      <c r="P252" s="274"/>
      <c r="Q252" s="274"/>
      <c r="R252" s="274"/>
      <c r="S252" s="271"/>
      <c r="T252" s="597"/>
      <c r="U252" s="17"/>
      <c r="V252" s="271"/>
      <c r="W252" s="271"/>
      <c r="X252" s="271"/>
      <c r="Y252" s="271"/>
      <c r="Z252" s="271"/>
      <c r="AA252" s="271"/>
      <c r="AB252" s="271"/>
      <c r="AC252" s="271"/>
      <c r="AD252" s="271"/>
      <c r="AE252" s="271"/>
      <c r="AF252" s="271"/>
      <c r="AG252" s="271"/>
      <c r="AH252" s="271"/>
      <c r="AI252" s="26"/>
      <c r="AJ252" s="26"/>
      <c r="AK252" s="26"/>
      <c r="AL252" s="26"/>
      <c r="AM252" s="26"/>
      <c r="AN252" s="26"/>
      <c r="AO252" s="274"/>
      <c r="AP252" s="274"/>
      <c r="AQ252" s="26"/>
      <c r="AR252" s="26"/>
      <c r="AS252" s="26"/>
      <c r="AT252" s="26"/>
      <c r="AU252" s="26"/>
      <c r="AV252" s="274"/>
      <c r="AW252" s="274"/>
      <c r="AX252" s="10"/>
      <c r="AY252" s="10"/>
      <c r="BR252" s="22"/>
      <c r="BV252" s="10"/>
      <c r="BZ252" s="22"/>
    </row>
    <row r="253" spans="1:78" x14ac:dyDescent="0.25">
      <c r="A253" s="4"/>
      <c r="B253" s="26"/>
      <c r="C253" s="26"/>
      <c r="D253" s="26"/>
      <c r="E253" s="26"/>
      <c r="F253" s="26"/>
      <c r="G253" s="26"/>
      <c r="H253" s="26"/>
      <c r="I253" s="274"/>
      <c r="J253" s="274"/>
      <c r="K253" s="26"/>
      <c r="L253" s="26"/>
      <c r="M253" s="26"/>
      <c r="N253" s="26"/>
      <c r="O253" s="274"/>
      <c r="P253" s="274"/>
      <c r="Q253" s="274"/>
      <c r="R253" s="274"/>
      <c r="S253" s="271"/>
      <c r="T253" s="597"/>
      <c r="U253" s="17"/>
      <c r="V253" s="271"/>
      <c r="W253" s="271"/>
      <c r="X253" s="271"/>
      <c r="Y253" s="271"/>
      <c r="Z253" s="271"/>
      <c r="AA253" s="271"/>
      <c r="AB253" s="271"/>
      <c r="AC253" s="271"/>
      <c r="AD253" s="271"/>
      <c r="AE253" s="271"/>
      <c r="AF253" s="271"/>
      <c r="AG253" s="271"/>
      <c r="AH253" s="271"/>
      <c r="AI253" s="26"/>
      <c r="AJ253" s="26"/>
      <c r="AK253" s="26"/>
      <c r="AL253" s="26"/>
      <c r="AM253" s="26"/>
      <c r="AN253" s="26"/>
      <c r="AO253" s="274"/>
      <c r="AP253" s="274"/>
      <c r="AQ253" s="26"/>
      <c r="AR253" s="26"/>
      <c r="AS253" s="26"/>
      <c r="AT253" s="26"/>
      <c r="AU253" s="26"/>
      <c r="AV253" s="274"/>
      <c r="AW253" s="274"/>
      <c r="AX253" s="10"/>
      <c r="AY253" s="10"/>
      <c r="BR253" s="22"/>
      <c r="BV253" s="10"/>
      <c r="BZ253" s="22"/>
    </row>
    <row r="254" spans="1:78" x14ac:dyDescent="0.25">
      <c r="A254" s="4"/>
      <c r="B254" s="26"/>
      <c r="C254" s="26"/>
      <c r="D254" s="26"/>
      <c r="E254" s="26"/>
      <c r="F254" s="26"/>
      <c r="G254" s="26"/>
      <c r="H254" s="26"/>
      <c r="I254" s="274"/>
      <c r="J254" s="274"/>
      <c r="K254" s="26"/>
      <c r="L254" s="26"/>
      <c r="M254" s="26"/>
      <c r="N254" s="26"/>
      <c r="O254" s="274"/>
      <c r="P254" s="274"/>
      <c r="Q254" s="274"/>
      <c r="R254" s="274"/>
      <c r="S254" s="271"/>
      <c r="T254" s="597"/>
      <c r="U254" s="17"/>
      <c r="V254" s="271"/>
      <c r="W254" s="271"/>
      <c r="X254" s="271"/>
      <c r="Y254" s="271"/>
      <c r="Z254" s="271"/>
      <c r="AA254" s="271"/>
      <c r="AB254" s="271"/>
      <c r="AC254" s="271"/>
      <c r="AD254" s="271"/>
      <c r="AE254" s="271"/>
      <c r="AF254" s="271"/>
      <c r="AG254" s="271"/>
      <c r="AH254" s="271"/>
      <c r="AI254" s="26"/>
      <c r="AJ254" s="26"/>
      <c r="AK254" s="26"/>
      <c r="AL254" s="26"/>
      <c r="AM254" s="26"/>
      <c r="AN254" s="26"/>
      <c r="AO254" s="274"/>
      <c r="AP254" s="274"/>
      <c r="AQ254" s="26"/>
      <c r="AR254" s="26"/>
      <c r="AS254" s="26"/>
      <c r="AT254" s="26"/>
      <c r="AU254" s="26"/>
      <c r="AV254" s="274"/>
      <c r="AW254" s="274"/>
      <c r="AX254" s="10"/>
      <c r="AY254" s="10"/>
      <c r="BR254" s="22"/>
      <c r="BV254" s="10"/>
      <c r="BZ254" s="22"/>
    </row>
    <row r="255" spans="1:78" x14ac:dyDescent="0.25">
      <c r="A255" s="4"/>
      <c r="B255" s="26"/>
      <c r="C255" s="26"/>
      <c r="D255" s="26"/>
      <c r="E255" s="26"/>
      <c r="F255" s="26"/>
      <c r="G255" s="26"/>
      <c r="H255" s="26"/>
      <c r="I255" s="274"/>
      <c r="J255" s="274"/>
      <c r="K255" s="26"/>
      <c r="L255" s="26"/>
      <c r="M255" s="26"/>
      <c r="N255" s="26"/>
      <c r="O255" s="274"/>
      <c r="P255" s="274"/>
      <c r="Q255" s="274"/>
      <c r="R255" s="274"/>
      <c r="S255" s="271"/>
      <c r="T255" s="597"/>
      <c r="U255" s="17"/>
      <c r="V255" s="271"/>
      <c r="W255" s="271"/>
      <c r="X255" s="271"/>
      <c r="Y255" s="271"/>
      <c r="Z255" s="271"/>
      <c r="AA255" s="271"/>
      <c r="AB255" s="271"/>
      <c r="AC255" s="271"/>
      <c r="AD255" s="271"/>
      <c r="AE255" s="271"/>
      <c r="AF255" s="271"/>
      <c r="AG255" s="271"/>
      <c r="AH255" s="271"/>
      <c r="AI255" s="26"/>
      <c r="AJ255" s="26"/>
      <c r="AK255" s="26"/>
      <c r="AL255" s="26"/>
      <c r="AM255" s="26"/>
      <c r="AN255" s="26"/>
      <c r="AO255" s="274"/>
      <c r="AP255" s="274"/>
      <c r="AQ255" s="26"/>
      <c r="AR255" s="26"/>
      <c r="AS255" s="26"/>
      <c r="AT255" s="26"/>
      <c r="AU255" s="26"/>
      <c r="AV255" s="274"/>
      <c r="AW255" s="274"/>
      <c r="AX255" s="10"/>
      <c r="AY255" s="10"/>
      <c r="BR255" s="22"/>
      <c r="BV255" s="10"/>
      <c r="BZ255" s="22"/>
    </row>
    <row r="256" spans="1:78" x14ac:dyDescent="0.25">
      <c r="A256" s="4"/>
      <c r="B256" s="26"/>
      <c r="C256" s="26"/>
      <c r="D256" s="26"/>
      <c r="E256" s="26"/>
      <c r="F256" s="26"/>
      <c r="G256" s="26"/>
      <c r="H256" s="26"/>
      <c r="I256" s="274"/>
      <c r="J256" s="274"/>
      <c r="K256" s="26"/>
      <c r="L256" s="26"/>
      <c r="M256" s="26"/>
      <c r="N256" s="26"/>
      <c r="O256" s="274"/>
      <c r="P256" s="274"/>
      <c r="Q256" s="274"/>
      <c r="R256" s="274"/>
      <c r="S256" s="271"/>
      <c r="T256" s="597"/>
      <c r="U256" s="17"/>
      <c r="V256" s="271"/>
      <c r="W256" s="271"/>
      <c r="X256" s="271"/>
      <c r="Y256" s="271"/>
      <c r="Z256" s="271"/>
      <c r="AA256" s="271"/>
      <c r="AB256" s="271"/>
      <c r="AC256" s="271"/>
      <c r="AD256" s="271"/>
      <c r="AE256" s="271"/>
      <c r="AF256" s="271"/>
      <c r="AG256" s="271"/>
      <c r="AH256" s="271"/>
      <c r="AI256" s="26"/>
      <c r="AJ256" s="26"/>
      <c r="AK256" s="26"/>
      <c r="AL256" s="26"/>
      <c r="AM256" s="26"/>
      <c r="AN256" s="26"/>
      <c r="AO256" s="274"/>
      <c r="AP256" s="274"/>
      <c r="AQ256" s="26"/>
      <c r="AR256" s="26"/>
      <c r="AS256" s="26"/>
      <c r="AT256" s="26"/>
      <c r="AU256" s="26"/>
      <c r="AV256" s="274"/>
      <c r="AW256" s="274"/>
      <c r="AX256" s="10"/>
      <c r="AY256" s="10"/>
      <c r="BR256" s="22"/>
      <c r="BV256" s="10"/>
      <c r="BZ256" s="22"/>
    </row>
    <row r="257" spans="1:78" x14ac:dyDescent="0.25">
      <c r="A257" s="4"/>
      <c r="B257" s="26"/>
      <c r="C257" s="26"/>
      <c r="D257" s="26"/>
      <c r="E257" s="26"/>
      <c r="F257" s="26"/>
      <c r="G257" s="26"/>
      <c r="H257" s="26"/>
      <c r="I257" s="274"/>
      <c r="J257" s="274"/>
      <c r="K257" s="26"/>
      <c r="L257" s="26"/>
      <c r="M257" s="26"/>
      <c r="N257" s="26"/>
      <c r="O257" s="274"/>
      <c r="P257" s="274"/>
      <c r="Q257" s="274"/>
      <c r="R257" s="274"/>
      <c r="S257" s="271"/>
      <c r="T257" s="597"/>
      <c r="U257" s="17"/>
      <c r="V257" s="271"/>
      <c r="W257" s="271"/>
      <c r="X257" s="271"/>
      <c r="Y257" s="271"/>
      <c r="Z257" s="271"/>
      <c r="AA257" s="271"/>
      <c r="AB257" s="271"/>
      <c r="AC257" s="271"/>
      <c r="AD257" s="271"/>
      <c r="AE257" s="271"/>
      <c r="AF257" s="271"/>
      <c r="AG257" s="271"/>
      <c r="AH257" s="271"/>
      <c r="AI257" s="26"/>
      <c r="AJ257" s="26"/>
      <c r="AK257" s="26"/>
      <c r="AL257" s="26"/>
      <c r="AM257" s="26"/>
      <c r="AN257" s="26"/>
      <c r="AO257" s="274"/>
      <c r="AP257" s="274"/>
      <c r="AQ257" s="26"/>
      <c r="AR257" s="26"/>
      <c r="AS257" s="26"/>
      <c r="AT257" s="26"/>
      <c r="AU257" s="26"/>
      <c r="AV257" s="274"/>
      <c r="AW257" s="274"/>
      <c r="AX257" s="10"/>
      <c r="AY257" s="10"/>
      <c r="BR257" s="22"/>
      <c r="BV257" s="10"/>
      <c r="BZ257" s="22"/>
    </row>
    <row r="258" spans="1:78" x14ac:dyDescent="0.25">
      <c r="A258" s="4"/>
      <c r="B258" s="26"/>
      <c r="C258" s="26"/>
      <c r="D258" s="26"/>
      <c r="E258" s="26"/>
      <c r="F258" s="26"/>
      <c r="G258" s="26"/>
      <c r="H258" s="26"/>
      <c r="I258" s="274"/>
      <c r="J258" s="274"/>
      <c r="K258" s="26"/>
      <c r="L258" s="26"/>
      <c r="M258" s="26"/>
      <c r="N258" s="26"/>
      <c r="O258" s="274"/>
      <c r="P258" s="274"/>
      <c r="Q258" s="274"/>
      <c r="R258" s="274"/>
      <c r="S258" s="271"/>
      <c r="T258" s="597"/>
      <c r="U258" s="17"/>
      <c r="V258" s="271"/>
      <c r="W258" s="271"/>
      <c r="X258" s="271"/>
      <c r="Y258" s="271"/>
      <c r="Z258" s="271"/>
      <c r="AA258" s="271"/>
      <c r="AB258" s="271"/>
      <c r="AC258" s="271"/>
      <c r="AD258" s="271"/>
      <c r="AE258" s="271"/>
      <c r="AF258" s="271"/>
      <c r="AG258" s="271"/>
      <c r="AH258" s="271"/>
      <c r="AI258" s="26"/>
      <c r="AJ258" s="26"/>
      <c r="AK258" s="26"/>
      <c r="AL258" s="26"/>
      <c r="AM258" s="26"/>
      <c r="AN258" s="26"/>
      <c r="AO258" s="274"/>
      <c r="AP258" s="274"/>
      <c r="AQ258" s="26"/>
      <c r="AR258" s="26"/>
      <c r="AS258" s="26"/>
      <c r="AT258" s="26"/>
      <c r="AU258" s="26"/>
      <c r="AV258" s="274"/>
      <c r="AW258" s="274"/>
      <c r="AX258" s="10"/>
      <c r="AY258" s="10"/>
      <c r="BR258" s="22"/>
      <c r="BV258" s="10"/>
      <c r="BZ258" s="22"/>
    </row>
    <row r="259" spans="1:78" x14ac:dyDescent="0.25">
      <c r="A259" s="4"/>
      <c r="B259" s="26"/>
      <c r="C259" s="26"/>
      <c r="D259" s="26"/>
      <c r="E259" s="26"/>
      <c r="F259" s="26"/>
      <c r="G259" s="26"/>
      <c r="H259" s="26"/>
      <c r="I259" s="274"/>
      <c r="J259" s="274"/>
      <c r="K259" s="26"/>
      <c r="L259" s="26"/>
      <c r="M259" s="26"/>
      <c r="N259" s="26"/>
      <c r="O259" s="274"/>
      <c r="P259" s="274"/>
      <c r="Q259" s="274"/>
      <c r="R259" s="274"/>
      <c r="S259" s="271"/>
      <c r="T259" s="597"/>
      <c r="U259" s="17"/>
      <c r="V259" s="271"/>
      <c r="W259" s="271"/>
      <c r="X259" s="271"/>
      <c r="Y259" s="271"/>
      <c r="Z259" s="271"/>
      <c r="AA259" s="271"/>
      <c r="AB259" s="271"/>
      <c r="AC259" s="271"/>
      <c r="AD259" s="271"/>
      <c r="AE259" s="271"/>
      <c r="AF259" s="271"/>
      <c r="AG259" s="271"/>
      <c r="AH259" s="271"/>
      <c r="AI259" s="26"/>
      <c r="AJ259" s="26"/>
      <c r="AK259" s="26"/>
      <c r="AL259" s="26"/>
      <c r="AM259" s="26"/>
      <c r="AN259" s="26"/>
      <c r="AO259" s="274"/>
      <c r="AP259" s="274"/>
      <c r="AQ259" s="26"/>
      <c r="AR259" s="26"/>
      <c r="AS259" s="26"/>
      <c r="AT259" s="26"/>
      <c r="AU259" s="26"/>
      <c r="AV259" s="274"/>
      <c r="AW259" s="274"/>
      <c r="AX259" s="10"/>
      <c r="AY259" s="10"/>
      <c r="BR259" s="22"/>
      <c r="BV259" s="10"/>
      <c r="BZ259" s="22"/>
    </row>
    <row r="260" spans="1:78" x14ac:dyDescent="0.25">
      <c r="A260" s="4"/>
      <c r="B260" s="26"/>
      <c r="C260" s="26"/>
      <c r="D260" s="26"/>
      <c r="E260" s="26"/>
      <c r="F260" s="26"/>
      <c r="G260" s="26"/>
      <c r="H260" s="26"/>
      <c r="I260" s="274"/>
      <c r="J260" s="274"/>
      <c r="K260" s="26"/>
      <c r="L260" s="26"/>
      <c r="M260" s="26"/>
      <c r="N260" s="26"/>
      <c r="O260" s="274"/>
      <c r="P260" s="274"/>
      <c r="Q260" s="274"/>
      <c r="R260" s="274"/>
      <c r="S260" s="271"/>
      <c r="T260" s="597"/>
      <c r="U260" s="17"/>
      <c r="V260" s="271"/>
      <c r="W260" s="271"/>
      <c r="X260" s="271"/>
      <c r="Y260" s="271"/>
      <c r="Z260" s="271"/>
      <c r="AA260" s="271"/>
      <c r="AB260" s="271"/>
      <c r="AC260" s="271"/>
      <c r="AD260" s="271"/>
      <c r="AE260" s="271"/>
      <c r="AF260" s="271"/>
      <c r="AG260" s="271"/>
      <c r="AH260" s="271"/>
      <c r="AI260" s="26"/>
      <c r="AJ260" s="26"/>
      <c r="AK260" s="26"/>
      <c r="AL260" s="26"/>
      <c r="AM260" s="26"/>
      <c r="AN260" s="26"/>
      <c r="AO260" s="274"/>
      <c r="AP260" s="274"/>
      <c r="AQ260" s="26"/>
      <c r="AR260" s="26"/>
      <c r="AS260" s="26"/>
      <c r="AT260" s="26"/>
      <c r="AU260" s="26"/>
      <c r="AV260" s="274"/>
      <c r="AW260" s="274"/>
      <c r="AX260" s="10"/>
      <c r="AY260" s="10"/>
      <c r="BR260" s="22"/>
      <c r="BV260" s="10"/>
      <c r="BZ260" s="22"/>
    </row>
    <row r="261" spans="1:78" x14ac:dyDescent="0.25">
      <c r="A261" s="4"/>
      <c r="B261" s="26"/>
      <c r="C261" s="26"/>
      <c r="D261" s="26"/>
      <c r="E261" s="26"/>
      <c r="F261" s="26"/>
      <c r="G261" s="26"/>
      <c r="H261" s="26"/>
      <c r="I261" s="274"/>
      <c r="J261" s="274"/>
      <c r="K261" s="26"/>
      <c r="L261" s="26"/>
      <c r="M261" s="26"/>
      <c r="N261" s="26"/>
      <c r="O261" s="274"/>
      <c r="P261" s="274"/>
      <c r="Q261" s="274"/>
      <c r="R261" s="274"/>
      <c r="S261" s="271"/>
      <c r="T261" s="597"/>
      <c r="U261" s="17"/>
      <c r="V261" s="271"/>
      <c r="W261" s="271"/>
      <c r="X261" s="271"/>
      <c r="Y261" s="271"/>
      <c r="Z261" s="271"/>
      <c r="AA261" s="271"/>
      <c r="AB261" s="271"/>
      <c r="AC261" s="271"/>
      <c r="AD261" s="271"/>
      <c r="AE261" s="271"/>
      <c r="AF261" s="271"/>
      <c r="AG261" s="271"/>
      <c r="AH261" s="271"/>
      <c r="AI261" s="26"/>
      <c r="AJ261" s="26"/>
      <c r="AK261" s="26"/>
      <c r="AL261" s="26"/>
      <c r="AM261" s="26"/>
      <c r="AN261" s="26"/>
      <c r="AO261" s="274"/>
      <c r="AP261" s="274"/>
      <c r="AQ261" s="26"/>
      <c r="AR261" s="26"/>
      <c r="AS261" s="26"/>
      <c r="AT261" s="26"/>
      <c r="AU261" s="26"/>
      <c r="AV261" s="274"/>
      <c r="AW261" s="274"/>
      <c r="AX261" s="10"/>
      <c r="AY261" s="10"/>
      <c r="BR261" s="22"/>
      <c r="BV261" s="10"/>
      <c r="BZ261" s="22"/>
    </row>
    <row r="262" spans="1:78" x14ac:dyDescent="0.25">
      <c r="A262" s="4"/>
      <c r="B262" s="26"/>
      <c r="C262" s="26"/>
      <c r="D262" s="26"/>
      <c r="E262" s="26"/>
      <c r="F262" s="26"/>
      <c r="G262" s="26"/>
      <c r="H262" s="26"/>
      <c r="I262" s="274"/>
      <c r="J262" s="274"/>
      <c r="K262" s="26"/>
      <c r="L262" s="26"/>
      <c r="M262" s="26"/>
      <c r="N262" s="26"/>
      <c r="O262" s="274"/>
      <c r="P262" s="274"/>
      <c r="Q262" s="274"/>
      <c r="R262" s="274"/>
      <c r="S262" s="271"/>
      <c r="T262" s="597"/>
      <c r="U262" s="17"/>
      <c r="V262" s="271"/>
      <c r="W262" s="271"/>
      <c r="X262" s="271"/>
      <c r="Y262" s="271"/>
      <c r="Z262" s="271"/>
      <c r="AA262" s="271"/>
      <c r="AB262" s="271"/>
      <c r="AC262" s="271"/>
      <c r="AD262" s="271"/>
      <c r="AE262" s="271"/>
      <c r="AF262" s="271"/>
      <c r="AG262" s="271"/>
      <c r="AH262" s="271"/>
      <c r="AI262" s="26"/>
      <c r="AJ262" s="26"/>
      <c r="AK262" s="26"/>
      <c r="AL262" s="26"/>
      <c r="AM262" s="26"/>
      <c r="AN262" s="26"/>
      <c r="AO262" s="274"/>
      <c r="AP262" s="274"/>
      <c r="AQ262" s="26"/>
      <c r="AR262" s="26"/>
      <c r="AS262" s="26"/>
      <c r="AT262" s="26"/>
      <c r="AU262" s="26"/>
      <c r="AV262" s="274"/>
      <c r="AW262" s="274"/>
      <c r="AX262" s="10"/>
      <c r="AY262" s="10"/>
      <c r="BR262" s="22"/>
      <c r="BV262" s="10"/>
      <c r="BZ262" s="22"/>
    </row>
    <row r="263" spans="1:78" x14ac:dyDescent="0.25">
      <c r="A263" s="4"/>
      <c r="B263" s="26"/>
      <c r="C263" s="26"/>
      <c r="D263" s="26"/>
      <c r="E263" s="26"/>
      <c r="F263" s="26"/>
      <c r="G263" s="26"/>
      <c r="H263" s="26"/>
      <c r="I263" s="274"/>
      <c r="J263" s="274"/>
      <c r="K263" s="26"/>
      <c r="L263" s="26"/>
      <c r="M263" s="26"/>
      <c r="N263" s="26"/>
      <c r="O263" s="274"/>
      <c r="P263" s="274"/>
      <c r="Q263" s="274"/>
      <c r="R263" s="274"/>
      <c r="S263" s="271"/>
      <c r="T263" s="597"/>
      <c r="U263" s="17"/>
      <c r="V263" s="271"/>
      <c r="W263" s="271"/>
      <c r="X263" s="271"/>
      <c r="Y263" s="271"/>
      <c r="Z263" s="271"/>
      <c r="AA263" s="271"/>
      <c r="AB263" s="271"/>
      <c r="AC263" s="271"/>
      <c r="AD263" s="271"/>
      <c r="AE263" s="271"/>
      <c r="AF263" s="271"/>
      <c r="AG263" s="271"/>
      <c r="AH263" s="271"/>
      <c r="AI263" s="26"/>
      <c r="AJ263" s="26"/>
      <c r="AK263" s="26"/>
      <c r="AL263" s="26"/>
      <c r="AM263" s="26"/>
      <c r="AN263" s="26"/>
      <c r="AO263" s="274"/>
      <c r="AP263" s="274"/>
      <c r="AQ263" s="26"/>
      <c r="AR263" s="26"/>
      <c r="AS263" s="26"/>
      <c r="AT263" s="26"/>
      <c r="AU263" s="26"/>
      <c r="AV263" s="274"/>
      <c r="AW263" s="274"/>
      <c r="AX263" s="10"/>
      <c r="AY263" s="10"/>
      <c r="BR263" s="22"/>
      <c r="BV263" s="10"/>
      <c r="BZ263" s="22"/>
    </row>
    <row r="264" spans="1:78" x14ac:dyDescent="0.25">
      <c r="A264" s="4"/>
      <c r="B264" s="26"/>
      <c r="C264" s="26"/>
      <c r="D264" s="26"/>
      <c r="E264" s="26"/>
      <c r="F264" s="26"/>
      <c r="G264" s="26"/>
      <c r="H264" s="26"/>
      <c r="I264" s="274"/>
      <c r="J264" s="274"/>
      <c r="K264" s="26"/>
      <c r="L264" s="26"/>
      <c r="M264" s="26"/>
      <c r="N264" s="26"/>
      <c r="O264" s="274"/>
      <c r="P264" s="274"/>
      <c r="Q264" s="274"/>
      <c r="R264" s="274"/>
      <c r="S264" s="271"/>
      <c r="T264" s="597"/>
      <c r="U264" s="17"/>
      <c r="V264" s="271"/>
      <c r="W264" s="271"/>
      <c r="X264" s="271"/>
      <c r="Y264" s="271"/>
      <c r="Z264" s="271"/>
      <c r="AA264" s="271"/>
      <c r="AB264" s="271"/>
      <c r="AC264" s="271"/>
      <c r="AD264" s="271"/>
      <c r="AE264" s="271"/>
      <c r="AF264" s="271"/>
      <c r="AG264" s="271"/>
      <c r="AH264" s="271"/>
      <c r="AI264" s="26"/>
      <c r="AJ264" s="26"/>
      <c r="AK264" s="26"/>
      <c r="AL264" s="26"/>
      <c r="AM264" s="26"/>
      <c r="AN264" s="26"/>
      <c r="AO264" s="274"/>
      <c r="AP264" s="274"/>
      <c r="AQ264" s="26"/>
      <c r="AR264" s="26"/>
      <c r="AS264" s="26"/>
      <c r="AT264" s="26"/>
      <c r="AU264" s="26"/>
      <c r="AV264" s="274"/>
      <c r="AW264" s="274"/>
      <c r="AX264" s="10"/>
      <c r="AY264" s="10"/>
      <c r="BR264" s="22"/>
      <c r="BV264" s="10"/>
      <c r="BZ264" s="22"/>
    </row>
    <row r="265" spans="1:78" x14ac:dyDescent="0.25">
      <c r="A265" s="4"/>
      <c r="B265" s="26"/>
      <c r="C265" s="26"/>
      <c r="D265" s="26"/>
      <c r="E265" s="26"/>
      <c r="F265" s="26"/>
      <c r="G265" s="26"/>
      <c r="H265" s="26"/>
      <c r="I265" s="274"/>
      <c r="J265" s="274"/>
      <c r="K265" s="26"/>
      <c r="L265" s="26"/>
      <c r="M265" s="26"/>
      <c r="N265" s="26"/>
      <c r="O265" s="274"/>
      <c r="P265" s="274"/>
      <c r="Q265" s="274"/>
      <c r="R265" s="274"/>
      <c r="S265" s="271"/>
      <c r="T265" s="597"/>
      <c r="U265" s="17"/>
      <c r="V265" s="271"/>
      <c r="W265" s="271"/>
      <c r="X265" s="271"/>
      <c r="Y265" s="271"/>
      <c r="Z265" s="271"/>
      <c r="AA265" s="271"/>
      <c r="AB265" s="271"/>
      <c r="AC265" s="271"/>
      <c r="AD265" s="271"/>
      <c r="AE265" s="271"/>
      <c r="AF265" s="271"/>
      <c r="AG265" s="271"/>
      <c r="AH265" s="271"/>
      <c r="AI265" s="26"/>
      <c r="AJ265" s="26"/>
      <c r="AK265" s="26"/>
      <c r="AL265" s="26"/>
      <c r="AM265" s="26"/>
      <c r="AN265" s="26"/>
      <c r="AO265" s="274"/>
      <c r="AP265" s="274"/>
      <c r="AQ265" s="26"/>
      <c r="AR265" s="26"/>
      <c r="AS265" s="26"/>
      <c r="AT265" s="26"/>
      <c r="AU265" s="26"/>
      <c r="AV265" s="274"/>
      <c r="AW265" s="274"/>
      <c r="AX265" s="10"/>
      <c r="AY265" s="10"/>
      <c r="BR265" s="22"/>
      <c r="BV265" s="10"/>
      <c r="BZ265" s="22"/>
    </row>
    <row r="266" spans="1:78" x14ac:dyDescent="0.25">
      <c r="A266" s="4"/>
      <c r="E266" s="17"/>
      <c r="K266" s="17"/>
      <c r="N266" s="17"/>
      <c r="O266" s="271"/>
      <c r="P266" s="271"/>
      <c r="Q266" s="271"/>
      <c r="R266" s="271"/>
      <c r="S266" s="271"/>
      <c r="U266" s="17"/>
      <c r="V266" s="271"/>
      <c r="W266" s="271"/>
      <c r="X266" s="271"/>
      <c r="Y266" s="271"/>
      <c r="Z266" s="271"/>
      <c r="AA266" s="271"/>
      <c r="AB266" s="271"/>
      <c r="AC266" s="271"/>
      <c r="AD266" s="271"/>
      <c r="AE266" s="271"/>
      <c r="AF266" s="271"/>
      <c r="AG266" s="271"/>
      <c r="AH266" s="271"/>
      <c r="AQ266" s="10"/>
      <c r="AT266" s="10"/>
      <c r="AU266" s="10"/>
      <c r="AV266" s="270"/>
      <c r="AW266" s="270"/>
      <c r="AX266" s="10"/>
    </row>
    <row r="267" spans="1:78" x14ac:dyDescent="0.25">
      <c r="A267" s="4"/>
      <c r="E267" s="17"/>
      <c r="K267" s="17"/>
      <c r="N267" s="17"/>
      <c r="O267" s="271"/>
      <c r="P267" s="271"/>
      <c r="Q267" s="271"/>
      <c r="R267" s="271"/>
      <c r="S267" s="271"/>
      <c r="U267" s="17"/>
      <c r="V267" s="271"/>
      <c r="W267" s="271"/>
      <c r="X267" s="271"/>
      <c r="Y267" s="271"/>
      <c r="Z267" s="271"/>
      <c r="AA267" s="271"/>
      <c r="AB267" s="271"/>
      <c r="AC267" s="271"/>
      <c r="AD267" s="271"/>
      <c r="AE267" s="271"/>
      <c r="AF267" s="271"/>
      <c r="AG267" s="271"/>
      <c r="AH267" s="271"/>
      <c r="AQ267" s="10"/>
      <c r="AT267" s="10"/>
      <c r="AU267" s="10"/>
      <c r="AV267" s="270"/>
      <c r="AW267" s="270"/>
      <c r="AX267" s="10"/>
    </row>
    <row r="268" spans="1:78" x14ac:dyDescent="0.25">
      <c r="A268" s="4"/>
      <c r="E268" s="17"/>
      <c r="K268" s="17"/>
      <c r="N268" s="17"/>
      <c r="O268" s="271"/>
      <c r="P268" s="271"/>
      <c r="Q268" s="271"/>
      <c r="R268" s="271"/>
      <c r="AQ268" s="10"/>
      <c r="AT268" s="10"/>
      <c r="AU268" s="10"/>
      <c r="AV268" s="270"/>
      <c r="AW268" s="270"/>
      <c r="AX268" s="10"/>
    </row>
    <row r="269" spans="1:78" x14ac:dyDescent="0.25">
      <c r="A269" s="4"/>
      <c r="E269" s="17"/>
      <c r="K269" s="17"/>
      <c r="N269" s="17"/>
      <c r="O269" s="271"/>
      <c r="P269" s="271"/>
      <c r="Q269" s="271"/>
      <c r="R269" s="271"/>
      <c r="AQ269" s="10"/>
      <c r="AT269" s="10"/>
      <c r="AU269" s="10"/>
      <c r="AV269" s="270"/>
      <c r="AW269" s="270"/>
      <c r="AX269" s="10"/>
    </row>
    <row r="270" spans="1:78" x14ac:dyDescent="0.25">
      <c r="A270" s="4"/>
      <c r="E270" s="17"/>
      <c r="K270" s="17"/>
      <c r="N270" s="17"/>
      <c r="O270" s="271"/>
      <c r="P270" s="271"/>
      <c r="Q270" s="271"/>
      <c r="R270" s="271"/>
      <c r="AQ270" s="10"/>
      <c r="AT270" s="10"/>
      <c r="AU270" s="10"/>
      <c r="AV270" s="270"/>
      <c r="AW270" s="270"/>
      <c r="AX270" s="10"/>
    </row>
    <row r="271" spans="1:78" x14ac:dyDescent="0.25">
      <c r="A271" s="4"/>
      <c r="E271" s="17"/>
      <c r="K271" s="17"/>
      <c r="N271" s="17"/>
      <c r="O271" s="271"/>
      <c r="P271" s="271"/>
      <c r="Q271" s="271"/>
      <c r="R271" s="271"/>
      <c r="AQ271" s="10"/>
      <c r="AT271" s="10"/>
      <c r="AU271" s="10"/>
      <c r="AV271" s="270"/>
      <c r="AW271" s="270"/>
      <c r="AX271" s="10"/>
    </row>
    <row r="272" spans="1:78" x14ac:dyDescent="0.25">
      <c r="A272" s="4"/>
      <c r="E272" s="17"/>
      <c r="K272" s="17"/>
      <c r="N272" s="17"/>
      <c r="O272" s="271"/>
      <c r="P272" s="271"/>
      <c r="Q272" s="271"/>
      <c r="R272" s="271"/>
      <c r="AQ272" s="10"/>
      <c r="AT272" s="10"/>
      <c r="AU272" s="10"/>
      <c r="AV272" s="270"/>
      <c r="AW272" s="270"/>
      <c r="AX272" s="10"/>
    </row>
    <row r="273" spans="1:50" x14ac:dyDescent="0.25">
      <c r="A273" s="4"/>
      <c r="E273" s="17"/>
      <c r="K273" s="17"/>
      <c r="N273" s="17"/>
      <c r="O273" s="271"/>
      <c r="P273" s="271"/>
      <c r="Q273" s="271"/>
      <c r="R273" s="271"/>
      <c r="AQ273" s="10"/>
      <c r="AT273" s="10"/>
      <c r="AU273" s="10"/>
      <c r="AV273" s="270"/>
      <c r="AW273" s="270"/>
      <c r="AX273" s="10"/>
    </row>
    <row r="274" spans="1:50" x14ac:dyDescent="0.25">
      <c r="A274" s="4"/>
      <c r="E274" s="17"/>
      <c r="K274" s="17"/>
      <c r="N274" s="17"/>
      <c r="O274" s="271"/>
      <c r="P274" s="271"/>
      <c r="Q274" s="271"/>
      <c r="R274" s="271"/>
      <c r="AQ274" s="10"/>
      <c r="AT274" s="10"/>
      <c r="AU274" s="10"/>
      <c r="AV274" s="270"/>
      <c r="AW274" s="270"/>
      <c r="AX274" s="10"/>
    </row>
    <row r="275" spans="1:50" x14ac:dyDescent="0.25">
      <c r="A275" s="4"/>
      <c r="E275" s="17"/>
      <c r="K275" s="17"/>
      <c r="N275" s="17"/>
      <c r="O275" s="271"/>
      <c r="P275" s="271"/>
      <c r="Q275" s="271"/>
      <c r="R275" s="271"/>
      <c r="AQ275" s="10"/>
      <c r="AT275" s="10"/>
      <c r="AU275" s="10"/>
      <c r="AV275" s="270"/>
      <c r="AW275" s="270"/>
      <c r="AX275" s="10"/>
    </row>
    <row r="276" spans="1:50" x14ac:dyDescent="0.25">
      <c r="A276" s="4"/>
      <c r="E276" s="17"/>
      <c r="K276" s="17"/>
      <c r="N276" s="17"/>
      <c r="O276" s="271"/>
      <c r="P276" s="271"/>
      <c r="Q276" s="271"/>
      <c r="R276" s="271"/>
      <c r="AQ276" s="10"/>
      <c r="AT276" s="10"/>
      <c r="AU276" s="10"/>
      <c r="AV276" s="270"/>
      <c r="AW276" s="270"/>
      <c r="AX276" s="10"/>
    </row>
    <row r="277" spans="1:50" x14ac:dyDescent="0.25">
      <c r="A277" s="4"/>
      <c r="E277" s="17"/>
      <c r="K277" s="17"/>
      <c r="N277" s="17"/>
      <c r="O277" s="271"/>
      <c r="P277" s="271"/>
      <c r="Q277" s="271"/>
      <c r="R277" s="271"/>
      <c r="AQ277" s="10"/>
      <c r="AT277" s="10"/>
      <c r="AU277" s="10"/>
      <c r="AV277" s="270"/>
      <c r="AW277" s="270"/>
      <c r="AX277" s="10"/>
    </row>
    <row r="278" spans="1:50" x14ac:dyDescent="0.25">
      <c r="A278" s="4"/>
      <c r="E278" s="17"/>
      <c r="K278" s="17"/>
      <c r="N278" s="17"/>
      <c r="O278" s="271"/>
      <c r="P278" s="271"/>
      <c r="Q278" s="271"/>
      <c r="R278" s="271"/>
      <c r="AQ278" s="10"/>
      <c r="AT278" s="10"/>
      <c r="AU278" s="10"/>
      <c r="AV278" s="270"/>
      <c r="AW278" s="270"/>
      <c r="AX278" s="10"/>
    </row>
    <row r="279" spans="1:50" x14ac:dyDescent="0.25">
      <c r="A279" s="4"/>
      <c r="E279" s="17"/>
      <c r="K279" s="17"/>
      <c r="N279" s="17"/>
      <c r="O279" s="271"/>
      <c r="P279" s="271"/>
      <c r="Q279" s="271"/>
      <c r="R279" s="271"/>
      <c r="AQ279" s="10"/>
      <c r="AT279" s="10"/>
      <c r="AU279" s="10"/>
      <c r="AV279" s="270"/>
      <c r="AW279" s="270"/>
      <c r="AX279" s="10"/>
    </row>
    <row r="280" spans="1:50" x14ac:dyDescent="0.25">
      <c r="A280" s="4"/>
      <c r="E280" s="17"/>
      <c r="K280" s="17"/>
      <c r="N280" s="17"/>
      <c r="O280" s="271"/>
      <c r="P280" s="271"/>
      <c r="Q280" s="271"/>
      <c r="R280" s="271"/>
      <c r="AQ280" s="10"/>
      <c r="AT280" s="10"/>
      <c r="AU280" s="10"/>
      <c r="AV280" s="270"/>
      <c r="AW280" s="270"/>
      <c r="AX280" s="10"/>
    </row>
    <row r="281" spans="1:50" x14ac:dyDescent="0.25">
      <c r="A281" s="4"/>
      <c r="E281" s="17"/>
      <c r="K281" s="17"/>
      <c r="N281" s="17"/>
      <c r="O281" s="271"/>
      <c r="P281" s="271"/>
      <c r="Q281" s="271"/>
      <c r="R281" s="271"/>
      <c r="AQ281" s="10"/>
      <c r="AU281" s="10"/>
      <c r="AV281" s="270"/>
      <c r="AW281" s="270"/>
      <c r="AX281" s="10"/>
    </row>
    <row r="282" spans="1:50" x14ac:dyDescent="0.25">
      <c r="A282" s="4"/>
      <c r="E282" s="17"/>
      <c r="K282" s="17"/>
      <c r="N282" s="17"/>
      <c r="O282" s="271"/>
      <c r="P282" s="271"/>
      <c r="Q282" s="271"/>
      <c r="R282" s="271"/>
      <c r="AQ282" s="10"/>
      <c r="AU282" s="10"/>
      <c r="AV282" s="270"/>
      <c r="AW282" s="270"/>
      <c r="AX282" s="10"/>
    </row>
    <row r="283" spans="1:50" x14ac:dyDescent="0.25">
      <c r="A283" s="4"/>
      <c r="E283" s="17"/>
      <c r="K283" s="17"/>
      <c r="N283" s="17"/>
      <c r="O283" s="271"/>
      <c r="P283" s="271"/>
      <c r="Q283" s="271"/>
      <c r="R283" s="271"/>
      <c r="AQ283" s="10"/>
      <c r="AU283" s="10"/>
      <c r="AV283" s="270"/>
      <c r="AW283" s="270"/>
      <c r="AX283" s="10"/>
    </row>
    <row r="284" spans="1:50" x14ac:dyDescent="0.25">
      <c r="A284" s="4"/>
      <c r="E284" s="17"/>
      <c r="K284" s="17"/>
      <c r="N284" s="17"/>
      <c r="O284" s="271"/>
      <c r="P284" s="271"/>
      <c r="Q284" s="271"/>
      <c r="R284" s="271"/>
      <c r="AQ284" s="10"/>
      <c r="AU284" s="10"/>
      <c r="AV284" s="270"/>
      <c r="AW284" s="270"/>
      <c r="AX284" s="10"/>
    </row>
    <row r="285" spans="1:50" x14ac:dyDescent="0.25">
      <c r="A285" s="4"/>
      <c r="E285" s="17"/>
      <c r="K285" s="17"/>
      <c r="N285" s="17"/>
      <c r="O285" s="271"/>
      <c r="P285" s="271"/>
      <c r="Q285" s="271"/>
      <c r="R285" s="271"/>
      <c r="AQ285" s="10"/>
      <c r="AU285" s="10"/>
      <c r="AV285" s="270"/>
      <c r="AW285" s="270"/>
      <c r="AX285" s="10"/>
    </row>
    <row r="286" spans="1:50" x14ac:dyDescent="0.25">
      <c r="A286" s="4"/>
      <c r="E286" s="17"/>
      <c r="K286" s="17"/>
      <c r="N286" s="17"/>
      <c r="O286" s="271"/>
      <c r="P286" s="271"/>
      <c r="Q286" s="271"/>
      <c r="R286" s="271"/>
      <c r="AQ286" s="10"/>
      <c r="AU286" s="10"/>
      <c r="AV286" s="270"/>
      <c r="AW286" s="270"/>
      <c r="AX286" s="10"/>
    </row>
    <row r="287" spans="1:50" x14ac:dyDescent="0.25">
      <c r="A287" s="4"/>
      <c r="E287" s="17"/>
      <c r="K287" s="17"/>
      <c r="N287" s="17"/>
      <c r="O287" s="271"/>
      <c r="P287" s="271"/>
      <c r="Q287" s="271"/>
      <c r="R287" s="271"/>
      <c r="AQ287" s="10"/>
      <c r="AU287" s="10"/>
      <c r="AV287" s="270"/>
      <c r="AW287" s="270"/>
      <c r="AX287" s="10"/>
    </row>
    <row r="288" spans="1:50" x14ac:dyDescent="0.25">
      <c r="A288" s="4"/>
      <c r="E288" s="17"/>
      <c r="K288" s="17"/>
      <c r="N288" s="17"/>
      <c r="O288" s="271"/>
      <c r="P288" s="271"/>
      <c r="Q288" s="271"/>
      <c r="R288" s="271"/>
      <c r="AQ288" s="10"/>
      <c r="AU288" s="10"/>
      <c r="AV288" s="270"/>
      <c r="AW288" s="270"/>
      <c r="AX288" s="10"/>
    </row>
    <row r="289" spans="1:50" x14ac:dyDescent="0.25">
      <c r="A289" s="4"/>
      <c r="E289" s="17"/>
      <c r="K289" s="17"/>
      <c r="N289" s="17"/>
      <c r="O289" s="271"/>
      <c r="P289" s="271"/>
      <c r="Q289" s="271"/>
      <c r="R289" s="271"/>
      <c r="AQ289" s="10"/>
      <c r="AU289" s="10"/>
      <c r="AV289" s="270"/>
      <c r="AW289" s="270"/>
      <c r="AX289" s="10"/>
    </row>
    <row r="290" spans="1:50" x14ac:dyDescent="0.25">
      <c r="A290" s="4"/>
      <c r="E290" s="17"/>
      <c r="K290" s="17"/>
      <c r="N290" s="17"/>
      <c r="O290" s="271"/>
      <c r="P290" s="271"/>
      <c r="Q290" s="271"/>
      <c r="R290" s="271"/>
      <c r="AQ290" s="10"/>
      <c r="AU290" s="10"/>
      <c r="AV290" s="270"/>
      <c r="AW290" s="270"/>
      <c r="AX290" s="10"/>
    </row>
    <row r="291" spans="1:50" x14ac:dyDescent="0.25">
      <c r="A291" s="4"/>
      <c r="E291" s="17"/>
      <c r="K291" s="17"/>
      <c r="N291" s="17"/>
      <c r="O291" s="271"/>
      <c r="P291" s="271"/>
      <c r="Q291" s="271"/>
      <c r="R291" s="271"/>
      <c r="AQ291" s="10"/>
      <c r="AU291" s="10"/>
      <c r="AV291" s="270"/>
      <c r="AW291" s="270"/>
      <c r="AX291" s="10"/>
    </row>
    <row r="292" spans="1:50" x14ac:dyDescent="0.25">
      <c r="A292" s="4"/>
      <c r="E292" s="17"/>
      <c r="K292" s="17"/>
      <c r="N292" s="17"/>
      <c r="O292" s="271"/>
      <c r="P292" s="271"/>
      <c r="Q292" s="271"/>
      <c r="R292" s="271"/>
      <c r="AQ292" s="10"/>
      <c r="AU292" s="10"/>
      <c r="AV292" s="270"/>
      <c r="AW292" s="270"/>
      <c r="AX292" s="10"/>
    </row>
    <row r="293" spans="1:50" x14ac:dyDescent="0.25">
      <c r="A293" s="4"/>
      <c r="E293" s="17"/>
      <c r="K293" s="17"/>
      <c r="N293" s="17"/>
      <c r="O293" s="271"/>
      <c r="P293" s="271"/>
      <c r="Q293" s="271"/>
      <c r="R293" s="271"/>
      <c r="AQ293" s="10"/>
      <c r="AU293" s="10"/>
      <c r="AV293" s="270"/>
      <c r="AW293" s="270"/>
      <c r="AX293" s="10"/>
    </row>
    <row r="294" spans="1:50" x14ac:dyDescent="0.25">
      <c r="A294" s="4"/>
      <c r="E294" s="17"/>
      <c r="K294" s="17"/>
      <c r="N294" s="17"/>
      <c r="O294" s="271"/>
      <c r="P294" s="271"/>
      <c r="Q294" s="271"/>
      <c r="R294" s="271"/>
      <c r="AQ294" s="10"/>
      <c r="AU294" s="10"/>
      <c r="AV294" s="270"/>
      <c r="AW294" s="270"/>
      <c r="AX294" s="10"/>
    </row>
    <row r="295" spans="1:50" x14ac:dyDescent="0.25">
      <c r="A295" s="4"/>
      <c r="E295" s="17"/>
      <c r="K295" s="17"/>
      <c r="N295" s="17"/>
      <c r="O295" s="271"/>
      <c r="P295" s="271"/>
      <c r="Q295" s="271"/>
      <c r="R295" s="271"/>
      <c r="AQ295" s="10"/>
      <c r="AU295" s="10"/>
      <c r="AV295" s="270"/>
      <c r="AW295" s="270"/>
      <c r="AX295" s="10"/>
    </row>
    <row r="296" spans="1:50" x14ac:dyDescent="0.25">
      <c r="A296" s="4"/>
      <c r="E296" s="17"/>
      <c r="K296" s="17"/>
      <c r="N296" s="17"/>
      <c r="O296" s="271"/>
      <c r="P296" s="271"/>
      <c r="Q296" s="271"/>
      <c r="R296" s="271"/>
      <c r="AQ296" s="10"/>
      <c r="AU296" s="10"/>
      <c r="AV296" s="270"/>
      <c r="AW296" s="270"/>
      <c r="AX296" s="10"/>
    </row>
    <row r="297" spans="1:50" x14ac:dyDescent="0.25">
      <c r="A297" s="4"/>
      <c r="E297" s="17"/>
      <c r="K297" s="17"/>
      <c r="N297" s="17"/>
      <c r="O297" s="271"/>
      <c r="P297" s="271"/>
      <c r="Q297" s="271"/>
      <c r="R297" s="271"/>
      <c r="AQ297" s="10"/>
      <c r="AU297" s="10"/>
      <c r="AV297" s="270"/>
      <c r="AW297" s="270"/>
      <c r="AX297" s="10"/>
    </row>
    <row r="298" spans="1:50" x14ac:dyDescent="0.25">
      <c r="A298" s="4"/>
      <c r="E298" s="17"/>
      <c r="K298" s="17"/>
      <c r="N298" s="17"/>
      <c r="O298" s="271"/>
      <c r="P298" s="271"/>
      <c r="Q298" s="271"/>
      <c r="R298" s="271"/>
      <c r="AQ298" s="10"/>
      <c r="AU298" s="10"/>
      <c r="AV298" s="270"/>
      <c r="AW298" s="270"/>
      <c r="AX298" s="10"/>
    </row>
    <row r="299" spans="1:50" x14ac:dyDescent="0.25">
      <c r="A299" s="4"/>
      <c r="E299" s="17"/>
      <c r="K299" s="17"/>
      <c r="N299" s="17"/>
      <c r="O299" s="271"/>
      <c r="P299" s="271"/>
      <c r="Q299" s="271"/>
      <c r="R299" s="271"/>
      <c r="AQ299" s="10"/>
      <c r="AU299" s="10"/>
      <c r="AV299" s="270"/>
      <c r="AW299" s="270"/>
      <c r="AX299" s="10"/>
    </row>
    <row r="300" spans="1:50" x14ac:dyDescent="0.25">
      <c r="A300" s="4"/>
      <c r="E300" s="17"/>
      <c r="K300" s="17"/>
      <c r="N300" s="17"/>
      <c r="O300" s="271"/>
      <c r="P300" s="271"/>
      <c r="Q300" s="271"/>
      <c r="R300" s="271"/>
      <c r="AQ300" s="10"/>
      <c r="AU300" s="10"/>
      <c r="AV300" s="270"/>
      <c r="AW300" s="270"/>
      <c r="AX300" s="10"/>
    </row>
    <row r="301" spans="1:50" x14ac:dyDescent="0.25">
      <c r="A301" s="4"/>
      <c r="E301" s="17"/>
      <c r="K301" s="17"/>
      <c r="N301" s="17"/>
      <c r="O301" s="271"/>
      <c r="P301" s="271"/>
      <c r="Q301" s="271"/>
      <c r="R301" s="271"/>
      <c r="AQ301" s="10"/>
      <c r="AU301" s="10"/>
      <c r="AV301" s="270"/>
      <c r="AW301" s="270"/>
      <c r="AX301" s="10"/>
    </row>
    <row r="302" spans="1:50" x14ac:dyDescent="0.25">
      <c r="A302" s="4"/>
      <c r="E302" s="17"/>
      <c r="K302" s="17"/>
      <c r="N302" s="17"/>
      <c r="O302" s="271"/>
      <c r="P302" s="271"/>
      <c r="Q302" s="271"/>
      <c r="R302" s="271"/>
      <c r="AQ302" s="10"/>
      <c r="AU302" s="10"/>
      <c r="AV302" s="270"/>
      <c r="AW302" s="270"/>
      <c r="AX302" s="10"/>
    </row>
    <row r="303" spans="1:50" x14ac:dyDescent="0.25">
      <c r="A303" s="4"/>
      <c r="E303" s="17"/>
      <c r="K303" s="17"/>
      <c r="N303" s="17"/>
      <c r="O303" s="271"/>
      <c r="P303" s="271"/>
      <c r="Q303" s="271"/>
      <c r="R303" s="271"/>
      <c r="AQ303" s="10"/>
      <c r="AU303" s="10"/>
      <c r="AV303" s="270"/>
      <c r="AW303" s="270"/>
      <c r="AX303" s="10"/>
    </row>
    <row r="304" spans="1:50" x14ac:dyDescent="0.25">
      <c r="A304" s="4"/>
      <c r="E304" s="17"/>
      <c r="K304" s="17"/>
      <c r="N304" s="17"/>
      <c r="O304" s="271"/>
      <c r="P304" s="271"/>
      <c r="Q304" s="271"/>
      <c r="R304" s="271"/>
      <c r="AQ304" s="10"/>
      <c r="AU304" s="10"/>
      <c r="AV304" s="270"/>
      <c r="AW304" s="270"/>
      <c r="AX304" s="10"/>
    </row>
    <row r="305" spans="1:50" x14ac:dyDescent="0.25">
      <c r="A305" s="4"/>
      <c r="E305" s="17"/>
      <c r="K305" s="17"/>
      <c r="N305" s="17"/>
      <c r="O305" s="271"/>
      <c r="P305" s="271"/>
      <c r="Q305" s="271"/>
      <c r="R305" s="271"/>
      <c r="AQ305" s="10"/>
      <c r="AU305" s="10"/>
      <c r="AV305" s="270"/>
      <c r="AW305" s="270"/>
      <c r="AX305" s="10"/>
    </row>
    <row r="306" spans="1:50" x14ac:dyDescent="0.25">
      <c r="A306" s="4"/>
      <c r="E306" s="17"/>
      <c r="K306" s="17"/>
      <c r="N306" s="17"/>
      <c r="O306" s="271"/>
      <c r="P306" s="271"/>
      <c r="Q306" s="271"/>
      <c r="R306" s="271"/>
      <c r="AQ306" s="10"/>
      <c r="AU306" s="10"/>
      <c r="AV306" s="270"/>
      <c r="AW306" s="270"/>
      <c r="AX306" s="10"/>
    </row>
    <row r="307" spans="1:50" x14ac:dyDescent="0.25">
      <c r="A307" s="4"/>
      <c r="E307" s="17"/>
      <c r="K307" s="17"/>
      <c r="N307" s="17"/>
      <c r="O307" s="271"/>
      <c r="P307" s="271"/>
      <c r="Q307" s="271"/>
      <c r="R307" s="271"/>
      <c r="AQ307" s="10"/>
      <c r="AU307" s="10"/>
      <c r="AV307" s="270"/>
      <c r="AW307" s="270"/>
      <c r="AX307" s="10"/>
    </row>
    <row r="308" spans="1:50" x14ac:dyDescent="0.25">
      <c r="A308" s="4"/>
      <c r="E308" s="17"/>
      <c r="K308" s="17"/>
      <c r="N308" s="17"/>
      <c r="O308" s="271"/>
      <c r="P308" s="271"/>
      <c r="Q308" s="271"/>
      <c r="R308" s="271"/>
      <c r="AQ308" s="10"/>
      <c r="AU308" s="10"/>
      <c r="AV308" s="270"/>
      <c r="AW308" s="270"/>
      <c r="AX308" s="10"/>
    </row>
    <row r="309" spans="1:50" x14ac:dyDescent="0.25">
      <c r="A309" s="4"/>
      <c r="E309" s="17"/>
      <c r="K309" s="17"/>
      <c r="N309" s="17"/>
      <c r="O309" s="271"/>
      <c r="P309" s="271"/>
      <c r="Q309" s="271"/>
      <c r="R309" s="271"/>
      <c r="AU309" s="10"/>
      <c r="AV309" s="270"/>
      <c r="AW309" s="270"/>
      <c r="AX309" s="10"/>
    </row>
    <row r="310" spans="1:50" x14ac:dyDescent="0.25">
      <c r="A310" s="4"/>
      <c r="E310" s="17"/>
      <c r="K310" s="17"/>
      <c r="N310" s="17"/>
      <c r="O310" s="271"/>
      <c r="P310" s="271"/>
      <c r="Q310" s="271"/>
      <c r="R310" s="271"/>
      <c r="AU310" s="10"/>
      <c r="AV310" s="270"/>
      <c r="AW310" s="270"/>
      <c r="AX310" s="10"/>
    </row>
    <row r="311" spans="1:50" x14ac:dyDescent="0.25">
      <c r="A311" s="4"/>
      <c r="E311" s="17"/>
      <c r="K311" s="17"/>
      <c r="N311" s="17"/>
      <c r="O311" s="271"/>
      <c r="P311" s="271"/>
      <c r="Q311" s="271"/>
      <c r="R311" s="271"/>
      <c r="AU311" s="10"/>
      <c r="AV311" s="270"/>
      <c r="AW311" s="270"/>
      <c r="AX311" s="10"/>
    </row>
    <row r="312" spans="1:50" x14ac:dyDescent="0.25">
      <c r="A312" s="4"/>
      <c r="E312" s="17"/>
      <c r="K312" s="17"/>
      <c r="N312" s="17"/>
      <c r="O312" s="271"/>
      <c r="P312" s="271"/>
      <c r="Q312" s="271"/>
      <c r="R312" s="271"/>
      <c r="AU312" s="10"/>
      <c r="AV312" s="270"/>
      <c r="AW312" s="270"/>
      <c r="AX312" s="10"/>
    </row>
    <row r="313" spans="1:50" x14ac:dyDescent="0.25">
      <c r="A313" s="4"/>
      <c r="E313" s="17"/>
      <c r="K313" s="17"/>
      <c r="N313" s="17"/>
      <c r="O313" s="271"/>
      <c r="P313" s="271"/>
      <c r="Q313" s="271"/>
      <c r="R313" s="271"/>
      <c r="AU313" s="10"/>
      <c r="AV313" s="270"/>
      <c r="AW313" s="270"/>
      <c r="AX313" s="10"/>
    </row>
    <row r="314" spans="1:50" x14ac:dyDescent="0.25">
      <c r="A314" s="4"/>
      <c r="E314" s="17"/>
      <c r="K314" s="17"/>
      <c r="N314" s="17"/>
      <c r="O314" s="271"/>
      <c r="P314" s="271"/>
      <c r="Q314" s="271"/>
      <c r="R314" s="271"/>
      <c r="AU314" s="10"/>
      <c r="AV314" s="270"/>
      <c r="AW314" s="270"/>
      <c r="AX314" s="10"/>
    </row>
    <row r="315" spans="1:50" x14ac:dyDescent="0.25">
      <c r="A315" s="4"/>
      <c r="E315" s="17"/>
      <c r="K315" s="17"/>
      <c r="N315" s="17"/>
      <c r="O315" s="271"/>
      <c r="P315" s="271"/>
      <c r="Q315" s="271"/>
      <c r="R315" s="271"/>
      <c r="AU315" s="10"/>
      <c r="AV315" s="270"/>
      <c r="AW315" s="270"/>
      <c r="AX315" s="10"/>
    </row>
    <row r="316" spans="1:50" x14ac:dyDescent="0.25">
      <c r="A316" s="4"/>
      <c r="E316" s="17"/>
      <c r="K316" s="17"/>
      <c r="N316" s="17"/>
      <c r="O316" s="271"/>
      <c r="P316" s="271"/>
      <c r="Q316" s="271"/>
      <c r="R316" s="271"/>
      <c r="AU316" s="10"/>
      <c r="AV316" s="270"/>
      <c r="AW316" s="270"/>
      <c r="AX316" s="10"/>
    </row>
    <row r="317" spans="1:50" x14ac:dyDescent="0.25">
      <c r="A317" s="4"/>
      <c r="E317" s="17"/>
      <c r="K317" s="17"/>
      <c r="N317" s="17"/>
      <c r="O317" s="271"/>
      <c r="P317" s="271"/>
      <c r="Q317" s="271"/>
      <c r="R317" s="271"/>
      <c r="AU317" s="10"/>
      <c r="AV317" s="270"/>
      <c r="AW317" s="270"/>
      <c r="AX317" s="10"/>
    </row>
    <row r="318" spans="1:50" x14ac:dyDescent="0.25">
      <c r="A318" s="4"/>
      <c r="E318" s="17"/>
      <c r="K318" s="17"/>
      <c r="N318" s="17"/>
      <c r="O318" s="271"/>
      <c r="P318" s="271"/>
      <c r="Q318" s="271"/>
      <c r="R318" s="271"/>
      <c r="AU318" s="10"/>
      <c r="AV318" s="270"/>
      <c r="AW318" s="270"/>
      <c r="AX318" s="10"/>
    </row>
    <row r="319" spans="1:50" x14ac:dyDescent="0.25">
      <c r="A319" s="4"/>
      <c r="E319" s="17"/>
      <c r="K319" s="17"/>
      <c r="N319" s="17"/>
      <c r="O319" s="271"/>
      <c r="P319" s="271"/>
      <c r="Q319" s="271"/>
      <c r="R319" s="271"/>
      <c r="AU319" s="10"/>
      <c r="AV319" s="270"/>
      <c r="AW319" s="270"/>
      <c r="AX319" s="10"/>
    </row>
    <row r="320" spans="1:50" x14ac:dyDescent="0.25">
      <c r="A320" s="4"/>
      <c r="E320" s="17"/>
      <c r="K320" s="17"/>
      <c r="N320" s="17"/>
      <c r="O320" s="271"/>
      <c r="P320" s="271"/>
      <c r="Q320" s="271"/>
      <c r="R320" s="271"/>
      <c r="AU320" s="10"/>
      <c r="AV320" s="270"/>
      <c r="AW320" s="270"/>
      <c r="AX320" s="10"/>
    </row>
    <row r="321" spans="1:50" x14ac:dyDescent="0.25">
      <c r="A321" s="4"/>
      <c r="E321" s="17"/>
      <c r="K321" s="17"/>
      <c r="N321" s="17"/>
      <c r="O321" s="271"/>
      <c r="P321" s="271"/>
      <c r="Q321" s="271"/>
      <c r="R321" s="271"/>
      <c r="AU321" s="10"/>
      <c r="AV321" s="270"/>
      <c r="AW321" s="270"/>
      <c r="AX321" s="10"/>
    </row>
    <row r="322" spans="1:50" x14ac:dyDescent="0.25">
      <c r="A322" s="4"/>
      <c r="E322" s="17"/>
      <c r="K322" s="17"/>
      <c r="N322" s="17"/>
      <c r="O322" s="271"/>
      <c r="P322" s="271"/>
      <c r="Q322" s="271"/>
      <c r="R322" s="271"/>
      <c r="AU322" s="10"/>
      <c r="AV322" s="270"/>
      <c r="AW322" s="270"/>
      <c r="AX322" s="10"/>
    </row>
    <row r="323" spans="1:50" x14ac:dyDescent="0.25">
      <c r="A323" s="4"/>
      <c r="E323" s="17"/>
      <c r="K323" s="17"/>
      <c r="N323" s="17"/>
      <c r="O323" s="271"/>
      <c r="P323" s="271"/>
      <c r="Q323" s="271"/>
      <c r="R323" s="271"/>
      <c r="AU323" s="10"/>
      <c r="AV323" s="270"/>
      <c r="AW323" s="270"/>
      <c r="AX323" s="10"/>
    </row>
    <row r="324" spans="1:50" x14ac:dyDescent="0.25">
      <c r="A324" s="4"/>
      <c r="E324" s="17"/>
      <c r="K324" s="17"/>
      <c r="N324" s="17"/>
      <c r="O324" s="271"/>
      <c r="P324" s="271"/>
      <c r="Q324" s="271"/>
      <c r="R324" s="271"/>
      <c r="AU324" s="10"/>
      <c r="AV324" s="270"/>
      <c r="AW324" s="270"/>
      <c r="AX324" s="10"/>
    </row>
    <row r="325" spans="1:50" x14ac:dyDescent="0.25">
      <c r="A325" s="4"/>
      <c r="E325" s="17"/>
      <c r="K325" s="17"/>
      <c r="N325" s="17"/>
      <c r="O325" s="271"/>
      <c r="P325" s="271"/>
      <c r="Q325" s="271"/>
      <c r="R325" s="271"/>
      <c r="AU325" s="10"/>
      <c r="AV325" s="270"/>
      <c r="AW325" s="270"/>
      <c r="AX325" s="10"/>
    </row>
    <row r="326" spans="1:50" x14ac:dyDescent="0.25">
      <c r="A326" s="4"/>
      <c r="E326" s="17"/>
      <c r="K326" s="17"/>
      <c r="N326" s="17"/>
      <c r="O326" s="271"/>
      <c r="P326" s="271"/>
      <c r="Q326" s="271"/>
      <c r="R326" s="271"/>
      <c r="AU326" s="10"/>
      <c r="AV326" s="270"/>
      <c r="AW326" s="270"/>
      <c r="AX326" s="10"/>
    </row>
    <row r="327" spans="1:50" x14ac:dyDescent="0.25">
      <c r="A327" s="4"/>
      <c r="E327" s="17"/>
      <c r="K327" s="17"/>
      <c r="N327" s="17"/>
      <c r="O327" s="271"/>
      <c r="P327" s="271"/>
      <c r="Q327" s="271"/>
      <c r="R327" s="271"/>
      <c r="AU327" s="10"/>
      <c r="AV327" s="270"/>
      <c r="AW327" s="270"/>
      <c r="AX327" s="10"/>
    </row>
    <row r="328" spans="1:50" x14ac:dyDescent="0.25">
      <c r="A328" s="4"/>
      <c r="E328" s="17"/>
      <c r="K328" s="17"/>
      <c r="N328" s="17"/>
      <c r="O328" s="271"/>
      <c r="P328" s="271"/>
      <c r="Q328" s="271"/>
      <c r="R328" s="271"/>
      <c r="AU328" s="10"/>
      <c r="AV328" s="270"/>
      <c r="AW328" s="270"/>
      <c r="AX328" s="10"/>
    </row>
    <row r="329" spans="1:50" x14ac:dyDescent="0.25">
      <c r="A329" s="4"/>
      <c r="E329" s="17"/>
      <c r="K329" s="17"/>
      <c r="N329" s="17"/>
      <c r="O329" s="271"/>
      <c r="P329" s="271"/>
      <c r="Q329" s="271"/>
      <c r="R329" s="271"/>
      <c r="AU329" s="10"/>
      <c r="AV329" s="270"/>
      <c r="AW329" s="270"/>
      <c r="AX329" s="10"/>
    </row>
    <row r="330" spans="1:50" x14ac:dyDescent="0.25">
      <c r="A330" s="4"/>
      <c r="E330" s="17"/>
      <c r="K330" s="17"/>
      <c r="N330" s="17"/>
      <c r="O330" s="271"/>
      <c r="P330" s="271"/>
      <c r="Q330" s="271"/>
      <c r="R330" s="271"/>
      <c r="AU330" s="10"/>
      <c r="AV330" s="270"/>
      <c r="AW330" s="270"/>
      <c r="AX330" s="10"/>
    </row>
    <row r="331" spans="1:50" x14ac:dyDescent="0.25">
      <c r="A331" s="4"/>
      <c r="E331" s="17"/>
      <c r="K331" s="17"/>
      <c r="N331" s="17"/>
      <c r="O331" s="271"/>
      <c r="P331" s="271"/>
      <c r="Q331" s="271"/>
      <c r="R331" s="271"/>
      <c r="AU331" s="10"/>
      <c r="AV331" s="270"/>
      <c r="AW331" s="270"/>
      <c r="AX331" s="10"/>
    </row>
    <row r="332" spans="1:50" x14ac:dyDescent="0.25">
      <c r="A332" s="4"/>
      <c r="E332" s="17"/>
      <c r="K332" s="17"/>
      <c r="N332" s="17"/>
      <c r="O332" s="271"/>
      <c r="P332" s="271"/>
      <c r="Q332" s="271"/>
      <c r="R332" s="271"/>
      <c r="AU332" s="10"/>
      <c r="AV332" s="270"/>
      <c r="AW332" s="270"/>
      <c r="AX332" s="10"/>
    </row>
    <row r="333" spans="1:50" x14ac:dyDescent="0.25">
      <c r="A333" s="4"/>
      <c r="E333" s="17"/>
      <c r="K333" s="17"/>
      <c r="N333" s="17"/>
      <c r="O333" s="271"/>
      <c r="P333" s="271"/>
      <c r="Q333" s="271"/>
      <c r="R333" s="271"/>
      <c r="AU333" s="10"/>
      <c r="AV333" s="270"/>
      <c r="AW333" s="270"/>
      <c r="AX333" s="10"/>
    </row>
    <row r="334" spans="1:50" x14ac:dyDescent="0.25">
      <c r="A334" s="4"/>
      <c r="E334" s="17"/>
      <c r="K334" s="17"/>
      <c r="N334" s="17"/>
      <c r="O334" s="271"/>
      <c r="P334" s="271"/>
      <c r="Q334" s="271"/>
      <c r="R334" s="271"/>
      <c r="AU334" s="10"/>
      <c r="AV334" s="270"/>
      <c r="AW334" s="270"/>
      <c r="AX334" s="10"/>
    </row>
    <row r="335" spans="1:50" x14ac:dyDescent="0.25">
      <c r="A335" s="4"/>
      <c r="E335" s="17"/>
      <c r="K335" s="17"/>
      <c r="N335" s="17"/>
      <c r="O335" s="271"/>
      <c r="P335" s="271"/>
      <c r="Q335" s="271"/>
      <c r="R335" s="271"/>
      <c r="AU335" s="10"/>
      <c r="AV335" s="270"/>
      <c r="AW335" s="270"/>
      <c r="AX335" s="10"/>
    </row>
    <row r="336" spans="1:50" x14ac:dyDescent="0.25">
      <c r="A336" s="4"/>
      <c r="E336" s="17"/>
      <c r="K336" s="17"/>
      <c r="N336" s="17"/>
      <c r="O336" s="271"/>
      <c r="P336" s="271"/>
      <c r="Q336" s="271"/>
      <c r="R336" s="271"/>
      <c r="AU336" s="10"/>
      <c r="AV336" s="270"/>
      <c r="AW336" s="270"/>
      <c r="AX336" s="10"/>
    </row>
    <row r="337" spans="1:50" x14ac:dyDescent="0.25">
      <c r="A337" s="4"/>
      <c r="E337" s="17"/>
      <c r="K337" s="17"/>
      <c r="N337" s="17"/>
      <c r="O337" s="271"/>
      <c r="P337" s="271"/>
      <c r="Q337" s="271"/>
      <c r="R337" s="271"/>
      <c r="AU337" s="10"/>
      <c r="AV337" s="270"/>
      <c r="AW337" s="270"/>
      <c r="AX337" s="10"/>
    </row>
    <row r="338" spans="1:50" x14ac:dyDescent="0.25">
      <c r="A338" s="4"/>
      <c r="E338" s="17"/>
      <c r="K338" s="17"/>
      <c r="N338" s="17"/>
      <c r="O338" s="271"/>
      <c r="P338" s="271"/>
      <c r="Q338" s="271"/>
      <c r="R338" s="271"/>
      <c r="AU338" s="10"/>
      <c r="AV338" s="270"/>
      <c r="AW338" s="270"/>
      <c r="AX338" s="10"/>
    </row>
    <row r="339" spans="1:50" x14ac:dyDescent="0.25">
      <c r="A339" s="4"/>
      <c r="E339" s="17"/>
      <c r="K339" s="17"/>
      <c r="N339" s="17"/>
      <c r="O339" s="271"/>
      <c r="P339" s="271"/>
      <c r="Q339" s="271"/>
      <c r="R339" s="271"/>
      <c r="AU339" s="10"/>
      <c r="AV339" s="270"/>
      <c r="AW339" s="270"/>
      <c r="AX339" s="10"/>
    </row>
    <row r="340" spans="1:50" x14ac:dyDescent="0.25">
      <c r="A340" s="4"/>
      <c r="E340" s="17"/>
      <c r="K340" s="17"/>
      <c r="N340" s="17"/>
      <c r="O340" s="271"/>
      <c r="P340" s="271"/>
      <c r="Q340" s="271"/>
      <c r="R340" s="271"/>
      <c r="AU340" s="10"/>
      <c r="AV340" s="270"/>
      <c r="AW340" s="270"/>
      <c r="AX340" s="10"/>
    </row>
    <row r="341" spans="1:50" x14ac:dyDescent="0.25">
      <c r="A341" s="4"/>
      <c r="E341" s="17"/>
      <c r="K341" s="17"/>
      <c r="N341" s="17"/>
      <c r="O341" s="271"/>
      <c r="P341" s="271"/>
      <c r="Q341" s="271"/>
      <c r="R341" s="271"/>
      <c r="AU341" s="10"/>
      <c r="AV341" s="270"/>
      <c r="AW341" s="270"/>
      <c r="AX341" s="10"/>
    </row>
    <row r="342" spans="1:50" x14ac:dyDescent="0.25">
      <c r="A342" s="4"/>
      <c r="E342" s="17"/>
      <c r="K342" s="17"/>
      <c r="N342" s="17"/>
      <c r="O342" s="271"/>
      <c r="P342" s="271"/>
      <c r="Q342" s="271"/>
      <c r="R342" s="271"/>
      <c r="AU342" s="10"/>
      <c r="AV342" s="270"/>
      <c r="AW342" s="270"/>
      <c r="AX342" s="10"/>
    </row>
    <row r="343" spans="1:50" x14ac:dyDescent="0.25">
      <c r="A343" s="4"/>
      <c r="E343" s="17"/>
      <c r="K343" s="17"/>
      <c r="N343" s="17"/>
      <c r="O343" s="271"/>
      <c r="P343" s="271"/>
      <c r="Q343" s="271"/>
      <c r="R343" s="271"/>
      <c r="AU343" s="10"/>
      <c r="AV343" s="270"/>
      <c r="AW343" s="270"/>
      <c r="AX343" s="10"/>
    </row>
    <row r="344" spans="1:50" x14ac:dyDescent="0.25">
      <c r="E344" s="17"/>
      <c r="K344" s="17"/>
      <c r="N344" s="17"/>
      <c r="O344" s="271"/>
      <c r="P344" s="271"/>
      <c r="Q344" s="271"/>
      <c r="R344" s="271"/>
      <c r="AU344" s="10"/>
      <c r="AV344" s="270"/>
      <c r="AW344" s="270"/>
      <c r="AX344" s="10"/>
    </row>
    <row r="345" spans="1:50" x14ac:dyDescent="0.25">
      <c r="E345" s="17"/>
      <c r="K345" s="17"/>
      <c r="N345" s="17"/>
      <c r="O345" s="271"/>
      <c r="P345" s="271"/>
      <c r="Q345" s="271"/>
      <c r="R345" s="271"/>
      <c r="AU345" s="10"/>
      <c r="AV345" s="270"/>
      <c r="AW345" s="270"/>
      <c r="AX345" s="10"/>
    </row>
    <row r="346" spans="1:50" x14ac:dyDescent="0.25">
      <c r="E346" s="17"/>
      <c r="K346" s="17"/>
      <c r="N346" s="17"/>
      <c r="O346" s="271"/>
      <c r="P346" s="271"/>
      <c r="Q346" s="271"/>
      <c r="R346" s="271"/>
      <c r="AU346" s="10"/>
      <c r="AV346" s="270"/>
      <c r="AW346" s="270"/>
      <c r="AX346" s="10"/>
    </row>
    <row r="347" spans="1:50" x14ac:dyDescent="0.25">
      <c r="E347" s="17"/>
      <c r="K347" s="17"/>
      <c r="N347" s="17"/>
      <c r="O347" s="271"/>
      <c r="P347" s="271"/>
      <c r="Q347" s="271"/>
      <c r="R347" s="271"/>
      <c r="AU347" s="10"/>
      <c r="AV347" s="270"/>
      <c r="AW347" s="270"/>
      <c r="AX347" s="10"/>
    </row>
    <row r="348" spans="1:50" x14ac:dyDescent="0.25">
      <c r="E348" s="17"/>
      <c r="K348" s="17"/>
      <c r="N348" s="17"/>
      <c r="O348" s="271"/>
      <c r="P348" s="271"/>
      <c r="Q348" s="271"/>
      <c r="R348" s="271"/>
      <c r="AU348" s="10"/>
      <c r="AV348" s="270"/>
      <c r="AW348" s="270"/>
      <c r="AX348" s="10"/>
    </row>
    <row r="349" spans="1:50" x14ac:dyDescent="0.25">
      <c r="E349" s="17"/>
      <c r="K349" s="17"/>
      <c r="N349" s="17"/>
      <c r="O349" s="271"/>
      <c r="P349" s="271"/>
      <c r="Q349" s="271"/>
      <c r="R349" s="271"/>
      <c r="AU349" s="10"/>
      <c r="AV349" s="270"/>
      <c r="AW349" s="270"/>
      <c r="AX349" s="10"/>
    </row>
    <row r="350" spans="1:50" x14ac:dyDescent="0.25">
      <c r="E350" s="17"/>
      <c r="K350" s="17"/>
      <c r="N350" s="17"/>
      <c r="O350" s="271"/>
      <c r="P350" s="271"/>
      <c r="Q350" s="271"/>
      <c r="R350" s="271"/>
      <c r="AU350" s="10"/>
      <c r="AV350" s="270"/>
      <c r="AW350" s="270"/>
      <c r="AX350" s="10"/>
    </row>
    <row r="351" spans="1:50" x14ac:dyDescent="0.25">
      <c r="E351" s="17"/>
      <c r="K351" s="17"/>
      <c r="N351" s="17"/>
      <c r="O351" s="271"/>
      <c r="P351" s="271"/>
      <c r="Q351" s="271"/>
      <c r="R351" s="271"/>
      <c r="AU351" s="10"/>
      <c r="AV351" s="270"/>
      <c r="AW351" s="270"/>
      <c r="AX351" s="10"/>
    </row>
    <row r="352" spans="1:50" x14ac:dyDescent="0.25">
      <c r="E352" s="17"/>
      <c r="K352" s="17"/>
      <c r="N352" s="17"/>
      <c r="O352" s="271"/>
      <c r="P352" s="271"/>
      <c r="Q352" s="271"/>
      <c r="R352" s="271"/>
      <c r="AU352" s="10"/>
      <c r="AV352" s="270"/>
      <c r="AW352" s="270"/>
      <c r="AX352" s="10"/>
    </row>
    <row r="353" spans="5:50" x14ac:dyDescent="0.25">
      <c r="E353" s="17"/>
      <c r="K353" s="17"/>
      <c r="N353" s="17"/>
      <c r="O353" s="271"/>
      <c r="P353" s="271"/>
      <c r="Q353" s="271"/>
      <c r="R353" s="271"/>
      <c r="AU353" s="10"/>
      <c r="AV353" s="270"/>
      <c r="AW353" s="270"/>
      <c r="AX353" s="10"/>
    </row>
    <row r="354" spans="5:50" x14ac:dyDescent="0.25">
      <c r="E354" s="17"/>
      <c r="K354" s="17"/>
      <c r="N354" s="17"/>
      <c r="O354" s="271"/>
      <c r="P354" s="271"/>
      <c r="Q354" s="271"/>
      <c r="R354" s="271"/>
      <c r="AU354" s="10"/>
      <c r="AV354" s="270"/>
      <c r="AW354" s="270"/>
      <c r="AX354" s="10"/>
    </row>
    <row r="355" spans="5:50" x14ac:dyDescent="0.25">
      <c r="AU355" s="10"/>
      <c r="AV355" s="270"/>
      <c r="AW355" s="270"/>
      <c r="AX355" s="10"/>
    </row>
    <row r="356" spans="5:50" x14ac:dyDescent="0.25">
      <c r="AU356" s="10"/>
      <c r="AV356" s="270"/>
      <c r="AW356" s="270"/>
      <c r="AX356" s="10"/>
    </row>
    <row r="357" spans="5:50" x14ac:dyDescent="0.25">
      <c r="AU357" s="10"/>
      <c r="AV357" s="270"/>
      <c r="AW357" s="270"/>
      <c r="AX357" s="10"/>
    </row>
    <row r="358" spans="5:50" x14ac:dyDescent="0.25">
      <c r="AU358" s="10"/>
      <c r="AV358" s="270"/>
      <c r="AW358" s="270"/>
      <c r="AX358" s="10"/>
    </row>
    <row r="359" spans="5:50" x14ac:dyDescent="0.25">
      <c r="AU359" s="10"/>
      <c r="AV359" s="270"/>
      <c r="AW359" s="270"/>
      <c r="AX359" s="10"/>
    </row>
    <row r="360" spans="5:50" x14ac:dyDescent="0.25">
      <c r="AU360" s="10"/>
      <c r="AV360" s="270"/>
      <c r="AW360" s="270"/>
      <c r="AX360" s="10"/>
    </row>
    <row r="361" spans="5:50" x14ac:dyDescent="0.25">
      <c r="AU361" s="10"/>
      <c r="AV361" s="270"/>
      <c r="AW361" s="270"/>
      <c r="AX361" s="10"/>
    </row>
    <row r="362" spans="5:50" x14ac:dyDescent="0.25">
      <c r="AU362" s="10"/>
      <c r="AV362" s="270"/>
      <c r="AW362" s="270"/>
      <c r="AX362" s="10"/>
    </row>
    <row r="363" spans="5:50" x14ac:dyDescent="0.25">
      <c r="AU363" s="10"/>
      <c r="AV363" s="270"/>
      <c r="AW363" s="270"/>
      <c r="AX363" s="10"/>
    </row>
    <row r="364" spans="5:50" x14ac:dyDescent="0.25">
      <c r="AU364" s="10"/>
      <c r="AV364" s="270"/>
      <c r="AW364" s="270"/>
      <c r="AX364" s="10"/>
    </row>
    <row r="365" spans="5:50" x14ac:dyDescent="0.25">
      <c r="AU365" s="10"/>
      <c r="AV365" s="270"/>
      <c r="AW365" s="270"/>
      <c r="AX365" s="10"/>
    </row>
    <row r="366" spans="5:50" x14ac:dyDescent="0.25">
      <c r="AU366" s="10"/>
      <c r="AV366" s="270"/>
      <c r="AW366" s="270"/>
      <c r="AX366" s="10"/>
    </row>
    <row r="367" spans="5:50" x14ac:dyDescent="0.25">
      <c r="AU367" s="10"/>
      <c r="AV367" s="270"/>
      <c r="AW367" s="270"/>
      <c r="AX367" s="10"/>
    </row>
    <row r="368" spans="5:50" x14ac:dyDescent="0.25">
      <c r="AU368" s="10"/>
      <c r="AV368" s="270"/>
      <c r="AW368" s="270"/>
      <c r="AX368" s="10"/>
    </row>
    <row r="369" spans="47:50" x14ac:dyDescent="0.25">
      <c r="AU369" s="10"/>
      <c r="AV369" s="270"/>
      <c r="AW369" s="270"/>
      <c r="AX369" s="10"/>
    </row>
    <row r="370" spans="47:50" x14ac:dyDescent="0.25">
      <c r="AU370" s="10"/>
      <c r="AV370" s="270"/>
      <c r="AW370" s="270"/>
      <c r="AX370" s="10"/>
    </row>
    <row r="371" spans="47:50" x14ac:dyDescent="0.25">
      <c r="AU371" s="10"/>
      <c r="AV371" s="270"/>
      <c r="AW371" s="270"/>
      <c r="AX371" s="10"/>
    </row>
    <row r="372" spans="47:50" x14ac:dyDescent="0.25">
      <c r="AU372" s="10"/>
      <c r="AV372" s="270"/>
      <c r="AW372" s="270"/>
      <c r="AX372" s="10"/>
    </row>
    <row r="373" spans="47:50" x14ac:dyDescent="0.25">
      <c r="AU373" s="10"/>
      <c r="AV373" s="270"/>
      <c r="AW373" s="270"/>
      <c r="AX373" s="10"/>
    </row>
    <row r="374" spans="47:50" x14ac:dyDescent="0.25">
      <c r="AU374" s="10"/>
      <c r="AV374" s="270"/>
      <c r="AW374" s="270"/>
      <c r="AX374" s="10"/>
    </row>
    <row r="375" spans="47:50" x14ac:dyDescent="0.25">
      <c r="AU375" s="10"/>
      <c r="AV375" s="270"/>
      <c r="AW375" s="270"/>
      <c r="AX375" s="10"/>
    </row>
    <row r="376" spans="47:50" x14ac:dyDescent="0.25">
      <c r="AU376" s="10"/>
      <c r="AV376" s="270"/>
      <c r="AW376" s="270"/>
      <c r="AX376" s="10"/>
    </row>
    <row r="377" spans="47:50" x14ac:dyDescent="0.25">
      <c r="AU377" s="10"/>
      <c r="AV377" s="270"/>
      <c r="AW377" s="270"/>
      <c r="AX377" s="10"/>
    </row>
    <row r="378" spans="47:50" x14ac:dyDescent="0.25">
      <c r="AU378" s="10"/>
      <c r="AV378" s="270"/>
      <c r="AW378" s="270"/>
      <c r="AX378" s="10"/>
    </row>
    <row r="379" spans="47:50" x14ac:dyDescent="0.25">
      <c r="AU379" s="10"/>
      <c r="AV379" s="270"/>
      <c r="AW379" s="270"/>
      <c r="AX379" s="10"/>
    </row>
    <row r="380" spans="47:50" x14ac:dyDescent="0.25">
      <c r="AU380" s="10"/>
      <c r="AV380" s="270"/>
      <c r="AW380" s="270"/>
      <c r="AX380" s="10"/>
    </row>
    <row r="381" spans="47:50" x14ac:dyDescent="0.25">
      <c r="AU381" s="10"/>
      <c r="AV381" s="270"/>
      <c r="AW381" s="270"/>
      <c r="AX381" s="10"/>
    </row>
    <row r="382" spans="47:50" x14ac:dyDescent="0.25">
      <c r="AU382" s="10"/>
      <c r="AV382" s="270"/>
      <c r="AW382" s="270"/>
      <c r="AX382" s="10"/>
    </row>
    <row r="383" spans="47:50" x14ac:dyDescent="0.25">
      <c r="AU383" s="10"/>
      <c r="AV383" s="270"/>
      <c r="AW383" s="270"/>
      <c r="AX383" s="10"/>
    </row>
    <row r="384" spans="47:50" x14ac:dyDescent="0.25">
      <c r="AU384" s="10"/>
      <c r="AV384" s="270"/>
      <c r="AW384" s="270"/>
      <c r="AX384" s="10"/>
    </row>
    <row r="385" spans="47:50" x14ac:dyDescent="0.25">
      <c r="AU385" s="10"/>
      <c r="AV385" s="270"/>
      <c r="AW385" s="270"/>
      <c r="AX385" s="10"/>
    </row>
    <row r="386" spans="47:50" x14ac:dyDescent="0.25">
      <c r="AU386" s="10"/>
      <c r="AV386" s="270"/>
      <c r="AW386" s="270"/>
      <c r="AX386" s="10"/>
    </row>
    <row r="387" spans="47:50" x14ac:dyDescent="0.25">
      <c r="AU387" s="10"/>
      <c r="AV387" s="270"/>
      <c r="AW387" s="270"/>
      <c r="AX387" s="10"/>
    </row>
    <row r="388" spans="47:50" x14ac:dyDescent="0.25">
      <c r="AU388" s="10"/>
      <c r="AV388" s="270"/>
      <c r="AW388" s="270"/>
      <c r="AX388" s="10"/>
    </row>
    <row r="389" spans="47:50" x14ac:dyDescent="0.25">
      <c r="AU389" s="10"/>
      <c r="AV389" s="270"/>
      <c r="AW389" s="270"/>
      <c r="AX389" s="10"/>
    </row>
    <row r="390" spans="47:50" x14ac:dyDescent="0.25">
      <c r="AU390" s="10"/>
      <c r="AV390" s="270"/>
      <c r="AW390" s="270"/>
      <c r="AX390" s="10"/>
    </row>
    <row r="391" spans="47:50" x14ac:dyDescent="0.25">
      <c r="AU391" s="10"/>
      <c r="AV391" s="270"/>
      <c r="AW391" s="270"/>
      <c r="AX391" s="10"/>
    </row>
    <row r="392" spans="47:50" x14ac:dyDescent="0.25">
      <c r="AU392" s="10"/>
      <c r="AV392" s="270"/>
      <c r="AW392" s="270"/>
      <c r="AX392" s="10"/>
    </row>
    <row r="393" spans="47:50" x14ac:dyDescent="0.25">
      <c r="AU393" s="10"/>
      <c r="AV393" s="270"/>
      <c r="AW393" s="270"/>
      <c r="AX393" s="10"/>
    </row>
    <row r="394" spans="47:50" x14ac:dyDescent="0.25">
      <c r="AU394" s="10"/>
      <c r="AV394" s="270"/>
      <c r="AW394" s="270"/>
      <c r="AX394" s="10"/>
    </row>
    <row r="395" spans="47:50" x14ac:dyDescent="0.25">
      <c r="AU395" s="10"/>
      <c r="AV395" s="270"/>
      <c r="AW395" s="270"/>
      <c r="AX395" s="10"/>
    </row>
    <row r="396" spans="47:50" x14ac:dyDescent="0.25">
      <c r="AU396" s="10"/>
      <c r="AV396" s="270"/>
      <c r="AW396" s="270"/>
      <c r="AX396" s="10"/>
    </row>
    <row r="397" spans="47:50" x14ac:dyDescent="0.25">
      <c r="AU397" s="10"/>
      <c r="AV397" s="270"/>
      <c r="AW397" s="270"/>
      <c r="AX397" s="10"/>
    </row>
    <row r="398" spans="47:50" x14ac:dyDescent="0.25">
      <c r="AU398" s="10"/>
      <c r="AV398" s="270"/>
      <c r="AW398" s="270"/>
      <c r="AX398" s="10"/>
    </row>
    <row r="399" spans="47:50" x14ac:dyDescent="0.25">
      <c r="AU399" s="10"/>
      <c r="AV399" s="270"/>
      <c r="AW399" s="270"/>
      <c r="AX399" s="10"/>
    </row>
    <row r="400" spans="47:50" x14ac:dyDescent="0.25">
      <c r="AU400" s="10"/>
      <c r="AV400" s="270"/>
      <c r="AW400" s="270"/>
      <c r="AX400" s="10"/>
    </row>
    <row r="401" spans="45:50" x14ac:dyDescent="0.25">
      <c r="AU401" s="10"/>
      <c r="AV401" s="270"/>
      <c r="AW401" s="270"/>
      <c r="AX401" s="10"/>
    </row>
    <row r="402" spans="45:50" x14ac:dyDescent="0.25">
      <c r="AU402" s="10"/>
      <c r="AV402" s="270"/>
      <c r="AW402" s="270"/>
      <c r="AX402" s="10"/>
    </row>
    <row r="403" spans="45:50" x14ac:dyDescent="0.25">
      <c r="AU403" s="10"/>
      <c r="AV403" s="270"/>
      <c r="AW403" s="270"/>
      <c r="AX403" s="10"/>
    </row>
    <row r="404" spans="45:50" x14ac:dyDescent="0.25">
      <c r="AS404" s="10"/>
      <c r="AT404" s="10"/>
      <c r="AU404" s="10"/>
      <c r="AV404" s="270"/>
      <c r="AW404" s="270"/>
      <c r="AX404" s="10"/>
    </row>
    <row r="405" spans="45:50" x14ac:dyDescent="0.25">
      <c r="AS405" s="10"/>
      <c r="AT405" s="10"/>
      <c r="AU405" s="10"/>
      <c r="AV405" s="270"/>
      <c r="AW405" s="270"/>
      <c r="AX405" s="10"/>
    </row>
    <row r="406" spans="45:50" x14ac:dyDescent="0.25">
      <c r="AS406" s="10"/>
      <c r="AT406" s="10"/>
      <c r="AU406" s="10"/>
      <c r="AV406" s="270"/>
      <c r="AW406" s="270"/>
      <c r="AX406" s="10"/>
    </row>
    <row r="407" spans="45:50" x14ac:dyDescent="0.25">
      <c r="AS407" s="10"/>
      <c r="AT407" s="10"/>
      <c r="AU407" s="10"/>
      <c r="AV407" s="270"/>
      <c r="AW407" s="270"/>
      <c r="AX407" s="10"/>
    </row>
    <row r="408" spans="45:50" x14ac:dyDescent="0.25">
      <c r="AS408" s="10"/>
      <c r="AT408" s="10"/>
      <c r="AU408" s="10"/>
      <c r="AV408" s="270"/>
      <c r="AW408" s="270"/>
      <c r="AX408" s="10"/>
    </row>
    <row r="409" spans="45:50" x14ac:dyDescent="0.25">
      <c r="AS409" s="10"/>
      <c r="AT409" s="10"/>
      <c r="AU409" s="10"/>
      <c r="AV409" s="270"/>
      <c r="AW409" s="270"/>
      <c r="AX409" s="10"/>
    </row>
    <row r="410" spans="45:50" x14ac:dyDescent="0.25">
      <c r="AS410" s="10"/>
      <c r="AT410" s="10"/>
      <c r="AU410" s="10"/>
      <c r="AV410" s="270"/>
      <c r="AW410" s="270"/>
      <c r="AX410" s="10"/>
    </row>
    <row r="411" spans="45:50" x14ac:dyDescent="0.25">
      <c r="AS411" s="10"/>
      <c r="AT411" s="10"/>
      <c r="AU411" s="10"/>
      <c r="AV411" s="270"/>
      <c r="AW411" s="270"/>
      <c r="AX411" s="10"/>
    </row>
    <row r="412" spans="45:50" x14ac:dyDescent="0.25">
      <c r="AS412" s="10"/>
      <c r="AT412" s="10"/>
      <c r="AU412" s="10"/>
      <c r="AV412" s="270"/>
      <c r="AW412" s="270"/>
      <c r="AX412" s="10"/>
    </row>
    <row r="413" spans="45:50" x14ac:dyDescent="0.25">
      <c r="AS413" s="10"/>
      <c r="AT413" s="10"/>
      <c r="AU413" s="10"/>
      <c r="AV413" s="270"/>
      <c r="AW413" s="270"/>
      <c r="AX413" s="10"/>
    </row>
    <row r="414" spans="45:50" x14ac:dyDescent="0.25">
      <c r="AS414" s="10"/>
      <c r="AT414" s="10"/>
      <c r="AU414" s="10"/>
      <c r="AV414" s="270"/>
      <c r="AW414" s="270"/>
      <c r="AX414" s="10"/>
    </row>
    <row r="415" spans="45:50" x14ac:dyDescent="0.25">
      <c r="AS415" s="10"/>
      <c r="AT415" s="10"/>
      <c r="AU415" s="10"/>
      <c r="AV415" s="270"/>
      <c r="AW415" s="270"/>
      <c r="AX415" s="10"/>
    </row>
    <row r="416" spans="45:50" x14ac:dyDescent="0.25">
      <c r="AS416" s="10"/>
      <c r="AT416" s="10"/>
      <c r="AU416" s="10"/>
      <c r="AV416" s="270"/>
      <c r="AW416" s="270"/>
      <c r="AX416" s="10"/>
    </row>
    <row r="417" spans="5:50" x14ac:dyDescent="0.25">
      <c r="AS417" s="10"/>
      <c r="AT417" s="10"/>
      <c r="AU417" s="10"/>
      <c r="AV417" s="270"/>
      <c r="AW417" s="270"/>
      <c r="AX417" s="10"/>
    </row>
    <row r="418" spans="5:50" x14ac:dyDescent="0.25">
      <c r="AS418" s="10"/>
      <c r="AT418" s="10"/>
      <c r="AU418" s="10"/>
      <c r="AV418" s="270"/>
      <c r="AW418" s="270"/>
      <c r="AX418" s="10"/>
    </row>
    <row r="419" spans="5:50" x14ac:dyDescent="0.25">
      <c r="AS419" s="10"/>
      <c r="AT419" s="10"/>
      <c r="AU419" s="10"/>
      <c r="AV419" s="270"/>
      <c r="AW419" s="270"/>
      <c r="AX419" s="10"/>
    </row>
    <row r="420" spans="5:50" x14ac:dyDescent="0.25">
      <c r="AS420" s="10"/>
      <c r="AT420" s="10"/>
      <c r="AU420" s="10"/>
      <c r="AV420" s="270"/>
      <c r="AW420" s="270"/>
      <c r="AX420" s="10"/>
    </row>
    <row r="421" spans="5:50" x14ac:dyDescent="0.25">
      <c r="AS421" s="10"/>
      <c r="AT421" s="10"/>
      <c r="AU421" s="10"/>
      <c r="AV421" s="270"/>
      <c r="AW421" s="270"/>
      <c r="AX421" s="10"/>
    </row>
    <row r="422" spans="5:50" x14ac:dyDescent="0.25">
      <c r="AS422" s="10"/>
      <c r="AT422" s="10"/>
      <c r="AU422" s="10"/>
      <c r="AV422" s="270"/>
      <c r="AW422" s="270"/>
      <c r="AX422" s="10"/>
    </row>
    <row r="423" spans="5:50" x14ac:dyDescent="0.25">
      <c r="E423" s="17"/>
      <c r="K423" s="17"/>
      <c r="N423" s="17"/>
      <c r="O423" s="271"/>
      <c r="P423" s="271"/>
      <c r="Q423" s="271"/>
      <c r="R423" s="271"/>
      <c r="S423" s="271"/>
      <c r="U423" s="17"/>
      <c r="V423" s="271"/>
      <c r="W423" s="271"/>
      <c r="X423" s="271"/>
      <c r="Y423" s="271"/>
      <c r="Z423" s="271"/>
      <c r="AA423" s="271"/>
      <c r="AB423" s="271"/>
      <c r="AC423" s="271"/>
      <c r="AD423" s="271"/>
      <c r="AE423" s="271"/>
      <c r="AF423" s="271"/>
      <c r="AG423" s="271"/>
      <c r="AH423" s="271"/>
      <c r="AS423" s="10"/>
      <c r="AT423" s="10"/>
      <c r="AU423" s="10"/>
      <c r="AV423" s="270"/>
      <c r="AW423" s="270"/>
      <c r="AX423" s="10"/>
    </row>
    <row r="424" spans="5:50" x14ac:dyDescent="0.25">
      <c r="E424" s="17"/>
      <c r="K424" s="17"/>
      <c r="N424" s="17"/>
      <c r="O424" s="271"/>
      <c r="P424" s="271"/>
      <c r="Q424" s="271"/>
      <c r="R424" s="271"/>
      <c r="S424" s="271"/>
      <c r="U424" s="17"/>
      <c r="V424" s="271"/>
      <c r="W424" s="271"/>
      <c r="X424" s="271"/>
      <c r="Y424" s="271"/>
      <c r="Z424" s="271"/>
      <c r="AA424" s="271"/>
      <c r="AB424" s="271"/>
      <c r="AC424" s="271"/>
      <c r="AD424" s="271"/>
      <c r="AE424" s="271"/>
      <c r="AF424" s="271"/>
      <c r="AG424" s="271"/>
      <c r="AH424" s="271"/>
      <c r="AS424" s="10"/>
      <c r="AT424" s="10"/>
      <c r="AU424" s="10"/>
      <c r="AV424" s="270"/>
      <c r="AW424" s="270"/>
      <c r="AX424" s="10"/>
    </row>
    <row r="425" spans="5:50" x14ac:dyDescent="0.25">
      <c r="E425" s="17"/>
      <c r="K425" s="17"/>
      <c r="N425" s="17"/>
      <c r="O425" s="271"/>
      <c r="P425" s="271"/>
      <c r="Q425" s="271"/>
      <c r="R425" s="271"/>
      <c r="S425" s="271"/>
      <c r="U425" s="17"/>
      <c r="V425" s="271"/>
      <c r="W425" s="271"/>
      <c r="X425" s="271"/>
      <c r="Y425" s="271"/>
      <c r="Z425" s="271"/>
      <c r="AA425" s="271"/>
      <c r="AB425" s="271"/>
      <c r="AC425" s="271"/>
      <c r="AD425" s="271"/>
      <c r="AE425" s="271"/>
      <c r="AF425" s="271"/>
      <c r="AG425" s="271"/>
      <c r="AH425" s="271"/>
      <c r="AS425" s="10"/>
      <c r="AT425" s="10"/>
      <c r="AU425" s="10"/>
      <c r="AV425" s="270"/>
      <c r="AW425" s="270"/>
      <c r="AX425" s="10"/>
    </row>
    <row r="426" spans="5:50" x14ac:dyDescent="0.25">
      <c r="E426" s="17"/>
      <c r="K426" s="17"/>
      <c r="N426" s="17"/>
      <c r="O426" s="271"/>
      <c r="P426" s="271"/>
      <c r="Q426" s="271"/>
      <c r="R426" s="271"/>
      <c r="S426" s="271"/>
      <c r="U426" s="17"/>
      <c r="V426" s="271"/>
      <c r="W426" s="271"/>
      <c r="X426" s="271"/>
      <c r="Y426" s="271"/>
      <c r="Z426" s="271"/>
      <c r="AA426" s="271"/>
      <c r="AB426" s="271"/>
      <c r="AC426" s="271"/>
      <c r="AD426" s="271"/>
      <c r="AE426" s="271"/>
      <c r="AF426" s="271"/>
      <c r="AG426" s="271"/>
      <c r="AH426" s="271"/>
      <c r="AS426" s="10"/>
      <c r="AT426" s="10"/>
      <c r="AU426" s="10"/>
      <c r="AV426" s="270"/>
      <c r="AW426" s="270"/>
      <c r="AX426" s="10"/>
    </row>
    <row r="427" spans="5:50" x14ac:dyDescent="0.25">
      <c r="E427" s="17"/>
      <c r="K427" s="17"/>
      <c r="N427" s="17"/>
      <c r="O427" s="271"/>
      <c r="P427" s="271"/>
      <c r="Q427" s="271"/>
      <c r="R427" s="271"/>
      <c r="S427" s="271"/>
      <c r="U427" s="17"/>
      <c r="V427" s="271"/>
      <c r="W427" s="271"/>
      <c r="X427" s="271"/>
      <c r="Y427" s="271"/>
      <c r="Z427" s="271"/>
      <c r="AA427" s="271"/>
      <c r="AB427" s="271"/>
      <c r="AC427" s="271"/>
      <c r="AD427" s="271"/>
      <c r="AE427" s="271"/>
      <c r="AF427" s="271"/>
      <c r="AG427" s="271"/>
      <c r="AH427" s="271"/>
      <c r="AS427" s="10"/>
      <c r="AT427" s="10"/>
      <c r="AU427" s="10"/>
      <c r="AV427" s="270"/>
      <c r="AW427" s="270"/>
      <c r="AX427" s="10"/>
    </row>
    <row r="428" spans="5:50" x14ac:dyDescent="0.25">
      <c r="E428" s="17"/>
      <c r="K428" s="17"/>
      <c r="N428" s="17"/>
      <c r="O428" s="271"/>
      <c r="P428" s="271"/>
      <c r="Q428" s="271"/>
      <c r="R428" s="271"/>
      <c r="S428" s="271"/>
      <c r="U428" s="17"/>
      <c r="V428" s="271"/>
      <c r="W428" s="271"/>
      <c r="X428" s="271"/>
      <c r="Y428" s="271"/>
      <c r="Z428" s="271"/>
      <c r="AA428" s="271"/>
      <c r="AB428" s="271"/>
      <c r="AC428" s="271"/>
      <c r="AD428" s="271"/>
      <c r="AE428" s="271"/>
      <c r="AF428" s="271"/>
      <c r="AG428" s="271"/>
      <c r="AH428" s="271"/>
      <c r="AS428" s="10"/>
      <c r="AT428" s="10"/>
      <c r="AU428" s="10"/>
      <c r="AV428" s="270"/>
      <c r="AW428" s="270"/>
      <c r="AX428" s="10"/>
    </row>
    <row r="429" spans="5:50" x14ac:dyDescent="0.25">
      <c r="E429" s="17"/>
      <c r="K429" s="17"/>
      <c r="N429" s="17"/>
      <c r="O429" s="271"/>
      <c r="P429" s="271"/>
      <c r="Q429" s="271"/>
      <c r="R429" s="271"/>
      <c r="S429" s="271"/>
      <c r="U429" s="17"/>
      <c r="V429" s="271"/>
      <c r="W429" s="271"/>
      <c r="X429" s="271"/>
      <c r="Y429" s="271"/>
      <c r="Z429" s="271"/>
      <c r="AA429" s="271"/>
      <c r="AB429" s="271"/>
      <c r="AC429" s="271"/>
      <c r="AD429" s="271"/>
      <c r="AE429" s="271"/>
      <c r="AF429" s="271"/>
      <c r="AG429" s="271"/>
      <c r="AH429" s="271"/>
      <c r="AS429" s="10"/>
      <c r="AT429" s="10"/>
      <c r="AU429" s="10"/>
      <c r="AV429" s="270"/>
      <c r="AW429" s="270"/>
      <c r="AX429" s="10"/>
    </row>
    <row r="430" spans="5:50" x14ac:dyDescent="0.25">
      <c r="AS430" s="10"/>
      <c r="AT430" s="10"/>
      <c r="AU430" s="10"/>
      <c r="AV430" s="270"/>
      <c r="AW430" s="270"/>
      <c r="AX430" s="10"/>
    </row>
    <row r="431" spans="5:50" x14ac:dyDescent="0.25">
      <c r="AS431" s="10"/>
      <c r="AT431" s="10"/>
      <c r="AU431" s="10"/>
      <c r="AV431" s="270"/>
      <c r="AW431" s="270"/>
      <c r="AX431" s="10"/>
    </row>
    <row r="432" spans="5:50" x14ac:dyDescent="0.25">
      <c r="AS432" s="10"/>
      <c r="AT432" s="10"/>
      <c r="AU432" s="10"/>
      <c r="AV432" s="270"/>
      <c r="AW432" s="270"/>
      <c r="AX432" s="10"/>
    </row>
    <row r="433" spans="45:50" x14ac:dyDescent="0.25">
      <c r="AS433" s="10"/>
      <c r="AT433" s="10"/>
      <c r="AU433" s="10"/>
      <c r="AV433" s="270"/>
      <c r="AW433" s="270"/>
      <c r="AX433" s="10"/>
    </row>
    <row r="434" spans="45:50" x14ac:dyDescent="0.25">
      <c r="AS434" s="10"/>
      <c r="AT434" s="10"/>
      <c r="AU434" s="10"/>
      <c r="AV434" s="270"/>
      <c r="AW434" s="270"/>
      <c r="AX434" s="10"/>
    </row>
    <row r="435" spans="45:50" x14ac:dyDescent="0.25">
      <c r="AS435" s="10"/>
      <c r="AT435" s="10"/>
      <c r="AU435" s="10"/>
      <c r="AV435" s="270"/>
      <c r="AW435" s="270"/>
      <c r="AX435" s="10"/>
    </row>
    <row r="436" spans="45:50" x14ac:dyDescent="0.25">
      <c r="AS436" s="10"/>
      <c r="AT436" s="10"/>
      <c r="AU436" s="10"/>
      <c r="AV436" s="270"/>
      <c r="AW436" s="270"/>
      <c r="AX436" s="10"/>
    </row>
    <row r="437" spans="45:50" x14ac:dyDescent="0.25">
      <c r="AS437" s="10"/>
      <c r="AT437" s="10"/>
      <c r="AU437" s="10"/>
      <c r="AV437" s="270"/>
      <c r="AW437" s="270"/>
      <c r="AX437" s="10"/>
    </row>
    <row r="438" spans="45:50" x14ac:dyDescent="0.25">
      <c r="AS438" s="10"/>
      <c r="AT438" s="10"/>
      <c r="AU438" s="10"/>
      <c r="AV438" s="270"/>
      <c r="AW438" s="270"/>
      <c r="AX438" s="10"/>
    </row>
    <row r="439" spans="45:50" x14ac:dyDescent="0.25">
      <c r="AS439" s="10"/>
      <c r="AT439" s="10"/>
      <c r="AU439" s="10"/>
      <c r="AV439" s="270"/>
      <c r="AW439" s="270"/>
      <c r="AX439" s="10"/>
    </row>
    <row r="440" spans="45:50" x14ac:dyDescent="0.25">
      <c r="AS440" s="10"/>
      <c r="AT440" s="10"/>
      <c r="AU440" s="10"/>
      <c r="AV440" s="270"/>
      <c r="AW440" s="270"/>
      <c r="AX440" s="10"/>
    </row>
    <row r="441" spans="45:50" x14ac:dyDescent="0.25">
      <c r="AS441" s="10"/>
      <c r="AT441" s="10"/>
      <c r="AU441" s="10"/>
      <c r="AV441" s="270"/>
      <c r="AW441" s="270"/>
      <c r="AX441" s="10"/>
    </row>
    <row r="442" spans="45:50" x14ac:dyDescent="0.25">
      <c r="AS442" s="10"/>
      <c r="AT442" s="10"/>
      <c r="AU442" s="10"/>
      <c r="AV442" s="270"/>
      <c r="AW442" s="270"/>
      <c r="AX442" s="10"/>
    </row>
    <row r="443" spans="45:50" x14ac:dyDescent="0.25">
      <c r="AS443" s="10"/>
      <c r="AT443" s="10"/>
      <c r="AU443" s="10"/>
      <c r="AV443" s="270"/>
      <c r="AW443" s="270"/>
      <c r="AX443" s="10"/>
    </row>
    <row r="444" spans="45:50" x14ac:dyDescent="0.25">
      <c r="AS444" s="10"/>
      <c r="AT444" s="10"/>
      <c r="AU444" s="10"/>
      <c r="AV444" s="270"/>
      <c r="AW444" s="270"/>
      <c r="AX444" s="10"/>
    </row>
    <row r="445" spans="45:50" x14ac:dyDescent="0.25">
      <c r="AS445" s="10"/>
      <c r="AT445" s="10"/>
      <c r="AU445" s="10"/>
      <c r="AV445" s="270"/>
      <c r="AW445" s="270"/>
      <c r="AX445" s="10"/>
    </row>
    <row r="446" spans="45:50" x14ac:dyDescent="0.25">
      <c r="AS446" s="10"/>
      <c r="AT446" s="10"/>
      <c r="AU446" s="10"/>
      <c r="AV446" s="270"/>
      <c r="AW446" s="270"/>
      <c r="AX446" s="10"/>
    </row>
    <row r="447" spans="45:50" x14ac:dyDescent="0.25">
      <c r="AS447" s="10"/>
      <c r="AT447" s="10"/>
      <c r="AU447" s="10"/>
      <c r="AV447" s="270"/>
      <c r="AW447" s="270"/>
      <c r="AX447" s="10"/>
    </row>
    <row r="448" spans="45:50" x14ac:dyDescent="0.25">
      <c r="AS448" s="10"/>
      <c r="AT448" s="10"/>
      <c r="AU448" s="10"/>
      <c r="AV448" s="270"/>
      <c r="AW448" s="270"/>
      <c r="AX448" s="10"/>
    </row>
    <row r="449" spans="45:50" x14ac:dyDescent="0.25">
      <c r="AS449" s="10"/>
      <c r="AT449" s="10"/>
      <c r="AU449" s="10"/>
      <c r="AV449" s="270"/>
      <c r="AW449" s="270"/>
      <c r="AX449" s="10"/>
    </row>
    <row r="450" spans="45:50" x14ac:dyDescent="0.25">
      <c r="AS450" s="10"/>
      <c r="AT450" s="10"/>
      <c r="AU450" s="10"/>
      <c r="AV450" s="270"/>
      <c r="AW450" s="270"/>
      <c r="AX450" s="10"/>
    </row>
    <row r="451" spans="45:50" x14ac:dyDescent="0.25">
      <c r="AS451" s="10"/>
      <c r="AT451" s="10"/>
      <c r="AU451" s="10"/>
      <c r="AV451" s="270"/>
      <c r="AW451" s="270"/>
      <c r="AX451" s="10"/>
    </row>
    <row r="452" spans="45:50" x14ac:dyDescent="0.25">
      <c r="AS452" s="10"/>
      <c r="AT452" s="10"/>
      <c r="AU452" s="10"/>
      <c r="AV452" s="270"/>
      <c r="AW452" s="270"/>
      <c r="AX452" s="10"/>
    </row>
    <row r="453" spans="45:50" x14ac:dyDescent="0.25">
      <c r="AS453" s="10"/>
      <c r="AT453" s="10"/>
      <c r="AU453" s="10"/>
      <c r="AV453" s="270"/>
      <c r="AW453" s="270"/>
      <c r="AX453" s="10"/>
    </row>
    <row r="454" spans="45:50" x14ac:dyDescent="0.25">
      <c r="AS454" s="10"/>
      <c r="AT454" s="10"/>
      <c r="AU454" s="10"/>
      <c r="AV454" s="270"/>
      <c r="AW454" s="270"/>
      <c r="AX454" s="10"/>
    </row>
    <row r="455" spans="45:50" x14ac:dyDescent="0.25">
      <c r="AS455" s="10"/>
      <c r="AT455" s="10"/>
      <c r="AU455" s="10"/>
      <c r="AV455" s="270"/>
      <c r="AW455" s="270"/>
      <c r="AX455" s="10"/>
    </row>
    <row r="456" spans="45:50" x14ac:dyDescent="0.25">
      <c r="AS456" s="10"/>
      <c r="AT456" s="10"/>
      <c r="AU456" s="10"/>
      <c r="AV456" s="270"/>
      <c r="AW456" s="270"/>
      <c r="AX456" s="10"/>
    </row>
    <row r="457" spans="45:50" x14ac:dyDescent="0.25">
      <c r="AS457" s="10"/>
      <c r="AT457" s="10"/>
      <c r="AU457" s="10"/>
      <c r="AV457" s="270"/>
      <c r="AW457" s="270"/>
      <c r="AX457" s="10"/>
    </row>
    <row r="458" spans="45:50" x14ac:dyDescent="0.25">
      <c r="AS458" s="10"/>
      <c r="AT458" s="10"/>
      <c r="AU458" s="10"/>
      <c r="AV458" s="270"/>
      <c r="AW458" s="270"/>
      <c r="AX458" s="10"/>
    </row>
    <row r="459" spans="45:50" x14ac:dyDescent="0.25">
      <c r="AS459" s="10"/>
      <c r="AT459" s="10"/>
      <c r="AU459" s="10"/>
      <c r="AV459" s="270"/>
      <c r="AW459" s="270"/>
      <c r="AX459" s="10"/>
    </row>
    <row r="460" spans="45:50" x14ac:dyDescent="0.25">
      <c r="AS460" s="10"/>
      <c r="AT460" s="10"/>
      <c r="AU460" s="10"/>
      <c r="AV460" s="270"/>
      <c r="AW460" s="270"/>
      <c r="AX460" s="10"/>
    </row>
    <row r="461" spans="45:50" x14ac:dyDescent="0.25">
      <c r="AS461" s="10"/>
      <c r="AT461" s="10"/>
      <c r="AU461" s="10"/>
      <c r="AV461" s="270"/>
      <c r="AW461" s="270"/>
      <c r="AX461" s="10"/>
    </row>
    <row r="462" spans="45:50" x14ac:dyDescent="0.25">
      <c r="AS462" s="10"/>
      <c r="AT462" s="10"/>
      <c r="AU462" s="10"/>
      <c r="AV462" s="270"/>
      <c r="AW462" s="270"/>
      <c r="AX462" s="10"/>
    </row>
    <row r="463" spans="45:50" x14ac:dyDescent="0.25">
      <c r="AS463" s="10"/>
      <c r="AT463" s="10"/>
      <c r="AU463" s="10"/>
      <c r="AV463" s="270"/>
      <c r="AW463" s="270"/>
      <c r="AX463" s="10"/>
    </row>
    <row r="464" spans="45:50" x14ac:dyDescent="0.25">
      <c r="AS464" s="10"/>
      <c r="AT464" s="10"/>
      <c r="AU464" s="10"/>
      <c r="AV464" s="270"/>
      <c r="AW464" s="270"/>
      <c r="AX464" s="10"/>
    </row>
    <row r="465" spans="45:50" x14ac:dyDescent="0.25">
      <c r="AS465" s="10"/>
      <c r="AT465" s="10"/>
      <c r="AU465" s="10"/>
      <c r="AV465" s="270"/>
      <c r="AW465" s="270"/>
      <c r="AX465" s="10"/>
    </row>
    <row r="466" spans="45:50" x14ac:dyDescent="0.25">
      <c r="AS466" s="10"/>
      <c r="AT466" s="10"/>
      <c r="AU466" s="10"/>
      <c r="AV466" s="270"/>
      <c r="AW466" s="270"/>
      <c r="AX466" s="10"/>
    </row>
    <row r="467" spans="45:50" x14ac:dyDescent="0.25">
      <c r="AS467" s="10"/>
      <c r="AT467" s="10"/>
      <c r="AU467" s="10"/>
      <c r="AV467" s="270"/>
      <c r="AW467" s="270"/>
      <c r="AX467" s="10"/>
    </row>
    <row r="468" spans="45:50" x14ac:dyDescent="0.25">
      <c r="AS468" s="10"/>
      <c r="AT468" s="10"/>
      <c r="AU468" s="10"/>
      <c r="AV468" s="270"/>
      <c r="AW468" s="270"/>
      <c r="AX468" s="10"/>
    </row>
    <row r="469" spans="45:50" x14ac:dyDescent="0.25">
      <c r="AS469" s="10"/>
      <c r="AT469" s="10"/>
      <c r="AU469" s="10"/>
      <c r="AV469" s="270"/>
      <c r="AW469" s="270"/>
      <c r="AX469" s="10"/>
    </row>
    <row r="470" spans="45:50" x14ac:dyDescent="0.25">
      <c r="AS470" s="10"/>
      <c r="AT470" s="10"/>
      <c r="AU470" s="10"/>
      <c r="AV470" s="270"/>
      <c r="AW470" s="270"/>
      <c r="AX470" s="10"/>
    </row>
    <row r="471" spans="45:50" x14ac:dyDescent="0.25">
      <c r="AS471" s="10"/>
      <c r="AT471" s="10"/>
      <c r="AU471" s="10"/>
      <c r="AV471" s="270"/>
      <c r="AW471" s="270"/>
      <c r="AX471" s="10"/>
    </row>
    <row r="472" spans="45:50" x14ac:dyDescent="0.25">
      <c r="AS472" s="10"/>
      <c r="AT472" s="10"/>
      <c r="AU472" s="10"/>
      <c r="AV472" s="270"/>
      <c r="AW472" s="270"/>
      <c r="AX472" s="10"/>
    </row>
    <row r="473" spans="45:50" x14ac:dyDescent="0.25">
      <c r="AS473" s="10"/>
      <c r="AT473" s="10"/>
      <c r="AU473" s="10"/>
      <c r="AV473" s="270"/>
      <c r="AW473" s="270"/>
      <c r="AX473" s="10"/>
    </row>
    <row r="474" spans="45:50" x14ac:dyDescent="0.25">
      <c r="AS474" s="10"/>
      <c r="AT474" s="10"/>
      <c r="AU474" s="10"/>
      <c r="AV474" s="270"/>
      <c r="AW474" s="270"/>
      <c r="AX474" s="10"/>
    </row>
    <row r="475" spans="45:50" x14ac:dyDescent="0.25">
      <c r="AS475" s="10"/>
      <c r="AT475" s="10"/>
      <c r="AU475" s="10"/>
      <c r="AV475" s="270"/>
      <c r="AW475" s="270"/>
      <c r="AX475" s="10"/>
    </row>
    <row r="476" spans="45:50" x14ac:dyDescent="0.25">
      <c r="AS476" s="10"/>
      <c r="AT476" s="10"/>
      <c r="AU476" s="10"/>
      <c r="AV476" s="270"/>
      <c r="AW476" s="270"/>
      <c r="AX476" s="10"/>
    </row>
    <row r="477" spans="45:50" x14ac:dyDescent="0.25">
      <c r="AS477" s="10"/>
      <c r="AT477" s="10"/>
      <c r="AU477" s="10"/>
      <c r="AV477" s="270"/>
      <c r="AW477" s="270"/>
      <c r="AX477" s="10"/>
    </row>
    <row r="478" spans="45:50" x14ac:dyDescent="0.25">
      <c r="AS478" s="10"/>
      <c r="AT478" s="10"/>
      <c r="AU478" s="10"/>
      <c r="AV478" s="270"/>
      <c r="AW478" s="270"/>
      <c r="AX478" s="10"/>
    </row>
    <row r="479" spans="45:50" x14ac:dyDescent="0.25">
      <c r="AS479" s="10"/>
      <c r="AT479" s="10"/>
      <c r="AU479" s="10"/>
      <c r="AV479" s="270"/>
      <c r="AW479" s="270"/>
      <c r="AX479" s="10"/>
    </row>
    <row r="480" spans="45:50" x14ac:dyDescent="0.25">
      <c r="AS480" s="10"/>
      <c r="AT480" s="10"/>
      <c r="AU480" s="10"/>
      <c r="AV480" s="270"/>
      <c r="AW480" s="270"/>
      <c r="AX480" s="10"/>
    </row>
    <row r="481" spans="45:50" x14ac:dyDescent="0.25">
      <c r="AS481" s="10"/>
      <c r="AT481" s="10"/>
      <c r="AU481" s="10"/>
      <c r="AV481" s="270"/>
      <c r="AW481" s="270"/>
      <c r="AX481" s="10"/>
    </row>
    <row r="482" spans="45:50" x14ac:dyDescent="0.25">
      <c r="AS482" s="10"/>
      <c r="AT482" s="10"/>
      <c r="AU482" s="10"/>
      <c r="AV482" s="270"/>
      <c r="AW482" s="270"/>
      <c r="AX482" s="10"/>
    </row>
    <row r="483" spans="45:50" x14ac:dyDescent="0.25">
      <c r="AS483" s="10"/>
      <c r="AT483" s="10"/>
      <c r="AU483" s="10"/>
      <c r="AV483" s="270"/>
      <c r="AW483" s="270"/>
      <c r="AX483" s="10"/>
    </row>
    <row r="484" spans="45:50" x14ac:dyDescent="0.25">
      <c r="AS484" s="10"/>
      <c r="AT484" s="10"/>
      <c r="AU484" s="10"/>
      <c r="AV484" s="270"/>
      <c r="AW484" s="270"/>
      <c r="AX484" s="10"/>
    </row>
    <row r="485" spans="45:50" x14ac:dyDescent="0.25">
      <c r="AS485" s="10"/>
      <c r="AT485" s="10"/>
      <c r="AU485" s="10"/>
      <c r="AV485" s="270"/>
      <c r="AW485" s="270"/>
      <c r="AX485" s="10"/>
    </row>
    <row r="486" spans="45:50" x14ac:dyDescent="0.25">
      <c r="AS486" s="10"/>
      <c r="AT486" s="10"/>
      <c r="AU486" s="10"/>
      <c r="AV486" s="270"/>
      <c r="AW486" s="270"/>
      <c r="AX486" s="10"/>
    </row>
    <row r="487" spans="45:50" x14ac:dyDescent="0.25">
      <c r="AS487" s="10"/>
      <c r="AT487" s="10"/>
      <c r="AU487" s="10"/>
      <c r="AV487" s="270"/>
      <c r="AW487" s="270"/>
      <c r="AX487" s="10"/>
    </row>
    <row r="488" spans="45:50" x14ac:dyDescent="0.25">
      <c r="AS488" s="10"/>
      <c r="AT488" s="10"/>
      <c r="AU488" s="10"/>
      <c r="AV488" s="270"/>
      <c r="AW488" s="270"/>
      <c r="AX488" s="10"/>
    </row>
    <row r="489" spans="45:50" x14ac:dyDescent="0.25">
      <c r="AS489" s="10"/>
      <c r="AT489" s="10"/>
      <c r="AU489" s="10"/>
      <c r="AV489" s="270"/>
      <c r="AW489" s="270"/>
      <c r="AX489" s="10"/>
    </row>
    <row r="490" spans="45:50" x14ac:dyDescent="0.25">
      <c r="AS490" s="10"/>
      <c r="AT490" s="10"/>
      <c r="AU490" s="10"/>
      <c r="AV490" s="270"/>
      <c r="AW490" s="270"/>
      <c r="AX490" s="10"/>
    </row>
    <row r="491" spans="45:50" x14ac:dyDescent="0.25">
      <c r="AS491" s="10"/>
      <c r="AT491" s="10"/>
      <c r="AU491" s="10"/>
      <c r="AV491" s="270"/>
      <c r="AW491" s="270"/>
      <c r="AX491" s="10"/>
    </row>
    <row r="492" spans="45:50" x14ac:dyDescent="0.25">
      <c r="AS492" s="10"/>
      <c r="AT492" s="10"/>
      <c r="AU492" s="10"/>
      <c r="AV492" s="270"/>
      <c r="AW492" s="270"/>
      <c r="AX492" s="10"/>
    </row>
    <row r="493" spans="45:50" x14ac:dyDescent="0.25">
      <c r="AS493" s="10"/>
      <c r="AT493" s="10"/>
      <c r="AU493" s="10"/>
      <c r="AV493" s="270"/>
      <c r="AW493" s="270"/>
      <c r="AX493" s="1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T644"/>
  <sheetViews>
    <sheetView showGridLines="0" zoomScale="55" zoomScaleNormal="55" workbookViewId="0">
      <selection activeCell="A4" sqref="A4"/>
    </sheetView>
  </sheetViews>
  <sheetFormatPr defaultRowHeight="15" x14ac:dyDescent="0.25"/>
  <cols>
    <col min="1" max="1" width="12.140625" style="4" bestFit="1" customWidth="1"/>
    <col min="2" max="2" width="23.7109375" style="22" bestFit="1" customWidth="1"/>
    <col min="3" max="4" width="23.28515625" style="22" bestFit="1" customWidth="1"/>
    <col min="5" max="5" width="23.5703125" style="22" bestFit="1" customWidth="1"/>
    <col min="6" max="6" width="23.7109375" style="22" bestFit="1" customWidth="1"/>
    <col min="7" max="7" width="23.5703125" style="22" bestFit="1" customWidth="1"/>
    <col min="8" max="8" width="23.7109375" style="22" bestFit="1" customWidth="1"/>
    <col min="9" max="10" width="23.7109375" style="272" bestFit="1" customWidth="1"/>
    <col min="11" max="11" width="23.5703125" style="22" bestFit="1" customWidth="1"/>
    <col min="12" max="12" width="23.28515625" style="22" bestFit="1" customWidth="1"/>
    <col min="13" max="13" width="23.5703125" style="22" bestFit="1" customWidth="1"/>
    <col min="14" max="14" width="23.5703125" style="27" bestFit="1" customWidth="1"/>
    <col min="15" max="15" width="23" style="27" bestFit="1" customWidth="1"/>
    <col min="16" max="16" width="23" style="373" bestFit="1" customWidth="1"/>
    <col min="17" max="17" width="23.28515625" style="27" bestFit="1" customWidth="1"/>
    <col min="18" max="18" width="23.5703125" style="27" bestFit="1" customWidth="1"/>
    <col min="19" max="19" width="22.42578125" style="697" bestFit="1" customWidth="1"/>
    <col min="20" max="20" width="22" style="697" bestFit="1" customWidth="1"/>
    <col min="21" max="21" width="20.85546875" style="27" bestFit="1" customWidth="1"/>
    <col min="22" max="28" width="20.85546875" style="902" customWidth="1"/>
    <col min="29" max="34" width="20.85546875" style="973" customWidth="1"/>
    <col min="35" max="35" width="20.85546875" style="902" customWidth="1"/>
    <col min="36" max="36" width="6.140625" bestFit="1" customWidth="1"/>
    <col min="37" max="37" width="14.42578125" bestFit="1" customWidth="1"/>
    <col min="38" max="38" width="4.28515625" bestFit="1" customWidth="1"/>
    <col min="40" max="40" width="6.140625" bestFit="1" customWidth="1"/>
    <col min="41" max="41" width="8.42578125" bestFit="1" customWidth="1"/>
    <col min="42" max="42" width="3" bestFit="1" customWidth="1"/>
    <col min="43" max="43" width="13.42578125" bestFit="1" customWidth="1"/>
    <col min="44" max="44" width="10.5703125" style="699" bestFit="1" customWidth="1"/>
  </cols>
  <sheetData>
    <row r="1" spans="1:46" x14ac:dyDescent="0.25">
      <c r="B1" s="28" t="s">
        <v>99</v>
      </c>
      <c r="C1" s="28" t="s">
        <v>100</v>
      </c>
      <c r="D1" s="28" t="s">
        <v>101</v>
      </c>
      <c r="E1" s="28" t="s">
        <v>102</v>
      </c>
      <c r="F1" s="28" t="s">
        <v>97</v>
      </c>
      <c r="G1" s="28" t="s">
        <v>104</v>
      </c>
      <c r="H1" s="28" t="s">
        <v>103</v>
      </c>
      <c r="I1" s="275" t="s">
        <v>178</v>
      </c>
      <c r="J1" s="275" t="s">
        <v>199</v>
      </c>
      <c r="K1" s="275" t="s">
        <v>206</v>
      </c>
      <c r="L1" s="28" t="s">
        <v>105</v>
      </c>
      <c r="M1" s="28" t="s">
        <v>107</v>
      </c>
      <c r="N1" s="28" t="s">
        <v>98</v>
      </c>
      <c r="O1" s="28" t="s">
        <v>106</v>
      </c>
      <c r="P1" s="275" t="s">
        <v>179</v>
      </c>
      <c r="Q1" s="275" t="s">
        <v>198</v>
      </c>
      <c r="R1" s="275" t="s">
        <v>207</v>
      </c>
      <c r="S1" s="275" t="s">
        <v>307</v>
      </c>
      <c r="T1" s="275" t="s">
        <v>184</v>
      </c>
      <c r="U1" s="275" t="s">
        <v>221</v>
      </c>
      <c r="V1" s="275" t="s">
        <v>222</v>
      </c>
      <c r="W1" s="275" t="s">
        <v>255</v>
      </c>
      <c r="X1" s="275" t="s">
        <v>256</v>
      </c>
      <c r="Y1" s="275" t="s">
        <v>266</v>
      </c>
      <c r="Z1" s="275" t="s">
        <v>267</v>
      </c>
      <c r="AA1" s="275" t="s">
        <v>268</v>
      </c>
      <c r="AB1" s="275" t="s">
        <v>269</v>
      </c>
      <c r="AC1" s="275" t="s">
        <v>295</v>
      </c>
      <c r="AD1" s="275" t="s">
        <v>290</v>
      </c>
      <c r="AE1" s="275" t="s">
        <v>291</v>
      </c>
      <c r="AF1" s="275" t="s">
        <v>292</v>
      </c>
      <c r="AG1" s="275" t="s">
        <v>293</v>
      </c>
      <c r="AH1" s="275" t="s">
        <v>294</v>
      </c>
      <c r="AI1" s="275"/>
      <c r="AJ1" s="27"/>
    </row>
    <row r="2" spans="1:46" s="15" customFormat="1" x14ac:dyDescent="0.25">
      <c r="A2" s="18"/>
      <c r="B2" s="127" t="s">
        <v>166</v>
      </c>
      <c r="C2" s="127" t="s">
        <v>167</v>
      </c>
      <c r="D2" s="127" t="s">
        <v>168</v>
      </c>
      <c r="E2" s="127" t="s">
        <v>169</v>
      </c>
      <c r="F2" s="127" t="s">
        <v>170</v>
      </c>
      <c r="G2" s="127" t="s">
        <v>171</v>
      </c>
      <c r="H2" s="127" t="s">
        <v>172</v>
      </c>
      <c r="I2" s="269" t="s">
        <v>214</v>
      </c>
      <c r="J2" s="373" t="s">
        <v>201</v>
      </c>
      <c r="K2" s="384" t="s">
        <v>208</v>
      </c>
      <c r="L2" s="127" t="s">
        <v>173</v>
      </c>
      <c r="M2" s="127" t="s">
        <v>174</v>
      </c>
      <c r="N2" s="127" t="s">
        <v>189</v>
      </c>
      <c r="O2" s="127" t="s">
        <v>175</v>
      </c>
      <c r="P2" s="127" t="s">
        <v>215</v>
      </c>
      <c r="Q2" s="373" t="s">
        <v>200</v>
      </c>
      <c r="R2" s="384" t="s">
        <v>209</v>
      </c>
      <c r="S2" s="697" t="s">
        <v>308</v>
      </c>
      <c r="T2" s="697" t="s">
        <v>185</v>
      </c>
      <c r="U2" s="697" t="s">
        <v>224</v>
      </c>
      <c r="V2" s="697" t="s">
        <v>223</v>
      </c>
      <c r="W2" s="900" t="s">
        <v>277</v>
      </c>
      <c r="X2" s="900" t="s">
        <v>279</v>
      </c>
      <c r="Y2" s="900" t="s">
        <v>278</v>
      </c>
      <c r="Z2" s="900" t="s">
        <v>280</v>
      </c>
      <c r="AA2" s="900" t="s">
        <v>281</v>
      </c>
      <c r="AB2" s="900" t="s">
        <v>288</v>
      </c>
      <c r="AC2" s="973" t="s">
        <v>296</v>
      </c>
      <c r="AD2" s="973" t="s">
        <v>297</v>
      </c>
      <c r="AE2" s="973" t="s">
        <v>298</v>
      </c>
      <c r="AF2" s="973" t="s">
        <v>299</v>
      </c>
      <c r="AG2" s="973" t="s">
        <v>300</v>
      </c>
      <c r="AH2" s="973" t="s">
        <v>301</v>
      </c>
      <c r="AI2" s="902"/>
      <c r="AJ2" s="27" t="s">
        <v>96</v>
      </c>
      <c r="AK2" s="27" t="s">
        <v>77</v>
      </c>
      <c r="AL2" s="27">
        <f>MATCH(AK2,Table!$B:$B,0)</f>
        <v>11</v>
      </c>
      <c r="AM2" s="27"/>
      <c r="AN2" s="27" t="s">
        <v>96</v>
      </c>
      <c r="AO2" s="27" t="s">
        <v>0</v>
      </c>
      <c r="AP2" s="27">
        <f>MATCH(AO2,Table!$A:$A,0)</f>
        <v>3</v>
      </c>
      <c r="AQ2" s="27" t="s">
        <v>113</v>
      </c>
      <c r="AR2" s="700" t="s">
        <v>225</v>
      </c>
      <c r="AS2" s="15" t="s">
        <v>230</v>
      </c>
      <c r="AT2" s="15" t="s">
        <v>304</v>
      </c>
    </row>
    <row r="3" spans="1:46" s="743" customFormat="1" x14ac:dyDescent="0.25">
      <c r="A3" s="592">
        <v>41977</v>
      </c>
      <c r="B3" s="595">
        <f ca="1">IF(ISERROR(MATCH(B$1,INDIRECT("Table!A"&amp;$AN3):INDIRECT("Table!" &amp; $AQ$108 &amp; $AN3),0)),"",INDIRECT(CONCATENATE("Table!",ADDRESS($AJ3,MATCH(B$1,INDIRECT("Table!A" &amp; $AN3):INDIRECT("Table!" &amp; $AQ$108 &amp; $AN3),0))))/1024)</f>
        <v>65.524248046875002</v>
      </c>
      <c r="C3" s="595">
        <f ca="1">IF(ISERROR(MATCH(C$1,INDIRECT("Table!A"&amp;$AN3):INDIRECT("Table!" &amp; $AQ$108 &amp; $AN3),0)),"",INDIRECT(CONCATENATE("Table!",ADDRESS($AJ3,MATCH(C$1,INDIRECT("Table!A" &amp; $AN3):INDIRECT("Table!" &amp; $AQ$108 &amp; $AN3),0))))/1024)</f>
        <v>54.296223632812499</v>
      </c>
      <c r="D3" s="595">
        <f ca="1">IF(ISERROR(MATCH(D$1,INDIRECT("Table!A"&amp;$AN3):INDIRECT("Table!" &amp; $AQ$108 &amp; $AN3),0)),"",INDIRECT(CONCATENATE("Table!",ADDRESS($AJ3,MATCH(D$1,INDIRECT("Table!A" &amp; $AN3):INDIRECT("Table!" &amp; $AQ$108 &amp; $AN3),0))))/1024)</f>
        <v>41.553568359374999</v>
      </c>
      <c r="E3" s="595">
        <f ca="1">IF(ISERROR(MATCH(E$1,INDIRECT("Table!A"&amp;$AN3):INDIRECT("Table!" &amp; $AQ$108 &amp; $AN3),0)),"",INDIRECT(CONCATENATE("Table!",ADDRESS($AJ3,MATCH(E$1,INDIRECT("Table!A" &amp; $AN3):INDIRECT("Table!" &amp; $AQ$108 &amp; $AN3),0))))/1024)</f>
        <v>151.03503808593749</v>
      </c>
      <c r="F3" s="595">
        <f ca="1">IF(ISERROR(MATCH(F$1,INDIRECT("Table!A"&amp;$AN3):INDIRECT("Table!" &amp; $AQ$108 &amp; $AN3),0)),"",INDIRECT(CONCATENATE("Table!",ADDRESS($AJ3,MATCH(F$1,INDIRECT("Table!A" &amp; $AN3):INDIRECT("Table!" &amp; $AQ$108 &amp; $AN3),0))))/1024)</f>
        <v>109.8765908203125</v>
      </c>
      <c r="G3" s="595">
        <f ca="1">IF(ISERROR(MATCH(G$1,INDIRECT("Table!A"&amp;$AN3):INDIRECT("Table!" &amp; $AQ$108 &amp; $AN3),0)),"",INDIRECT(CONCATENATE("Table!",ADDRESS($AJ3,MATCH(G$1,INDIRECT("Table!A" &amp; $AN3):INDIRECT("Table!" &amp; $AQ$108 &amp; $AN3),0))))/1024)</f>
        <v>408.68691796874998</v>
      </c>
      <c r="H3" s="595">
        <f ca="1">IF(ISERROR(MATCH(H$1,INDIRECT("Table!A"&amp;$AN3):INDIRECT("Table!" &amp; $AQ$108 &amp; $AN3),0)),"",INDIRECT(CONCATENATE("Table!",ADDRESS($AJ3,MATCH(H$1,INDIRECT("Table!A" &amp; $AN3):INDIRECT("Table!" &amp; $AQ$108 &amp; $AN3),0))))/1024)</f>
        <v>182.64472558593749</v>
      </c>
      <c r="I3" s="595">
        <f ca="1">IF(ISERROR(MATCH(I$1,INDIRECT("Table!A"&amp;$AN3):INDIRECT("Table!" &amp; $AQ$85 &amp; $AN3),0)),"",INDIRECT(CONCATENATE("Table!",ADDRESS($AJ3,MATCH(I$1,INDIRECT("Table!A" &amp; $AN3):INDIRECT("Table!" &amp; $AQ$85 &amp; $AN3),0))))/1024)</f>
        <v>49.587697265624996</v>
      </c>
      <c r="J3" s="595">
        <f ca="1">IF(ISERROR(MATCH(J$1,INDIRECT("Table!A"&amp;$AN3):INDIRECT("Table!" &amp; $AQ$85 &amp; $AN3),0)),"",INDIRECT(CONCATENATE("Table!",ADDRESS($AJ3,MATCH(J$1,INDIRECT("Table!A" &amp; $AN3):INDIRECT("Table!" &amp; $AQ$85 &amp; $AN3),0))))/1024)</f>
        <v>197.2971328125</v>
      </c>
      <c r="K3" s="595">
        <f ca="1">IF(ISERROR(MATCH(K$1,INDIRECT("Table!A"&amp;$AN3):INDIRECT("Table!" &amp; $AQ$85 &amp; $AN3),0)),"",INDIRECT(CONCATENATE("Table!",ADDRESS($AJ3,MATCH(K$1,INDIRECT("Table!A" &amp; $AN3):INDIRECT("Table!" &amp; $AQ$85 &amp; $AN3),0))))/1024)</f>
        <v>213.69465820312499</v>
      </c>
      <c r="L3" s="595">
        <f ca="1">IF(ISERROR(MATCH(L$1,INDIRECT("Table!A"&amp;$AN3):INDIRECT("Table!" &amp; $AQ$85 &amp; $AN3),0)),"",INDIRECT(CONCATENATE("Table!",ADDRESS($AJ3,MATCH(L$1,INDIRECT("Table!A" &amp; $AN3):INDIRECT("Table!" &amp; $AQ$85 &amp; $AN3),0))))/1024)</f>
        <v>123.475341796875</v>
      </c>
      <c r="M3" s="595">
        <f ca="1">IF(ISERROR(MATCH(M$1,INDIRECT("Table!A"&amp;$AN3):INDIRECT("Table!" &amp; $AQ$85 &amp; $AN3),0)),"",INDIRECT(CONCATENATE("Table!",ADDRESS($AJ3,MATCH(M$1,INDIRECT("Table!A" &amp; $AN3):INDIRECT("Table!" &amp; $AQ$85 &amp; $AN3),0))))/1024)</f>
        <v>431.20882031249999</v>
      </c>
      <c r="N3" s="595">
        <f ca="1">IF(ISERROR(MATCH(N$1,INDIRECT("Table!A"&amp;$AN3):INDIRECT("Table!" &amp; $AQ$85 &amp; $AN3),0)),"",INDIRECT(CONCATENATE("Table!",ADDRESS($AJ3,MATCH(N$1,INDIRECT("Table!A" &amp; $AN3):INDIRECT("Table!" &amp; $AQ$85 &amp; $AN3),0))))/1024)</f>
        <v>114.5521904296875</v>
      </c>
      <c r="O3" s="595">
        <f ca="1">IF(ISERROR(MATCH(O$1,INDIRECT("Table!A"&amp;$AN3):INDIRECT("Table!" &amp; $AQ$85 &amp; $AN3),0)),"",INDIRECT(CONCATENATE("Table!",ADDRESS($AJ3,MATCH(O$1,INDIRECT("Table!A" &amp; $AN3):INDIRECT("Table!" &amp; $AQ$85 &amp; $AN3),0))))/1024)</f>
        <v>117.71315917968751</v>
      </c>
      <c r="P3" s="595">
        <f ca="1">IF(ISERROR(MATCH(P$1,INDIRECT("Table!A"&amp;$AN3):INDIRECT("Table!" &amp; $AQ$85 &amp; $AN3),0)),"",INDIRECT(CONCATENATE("Table!",ADDRESS($AJ3,MATCH(P$1,INDIRECT("Table!A" &amp; $AN3):INDIRECT("Table!" &amp; $AQ$85 &amp; $AN3),0))))/1024)</f>
        <v>64.338884765624996</v>
      </c>
      <c r="Q3" s="595">
        <f ca="1">IF(ISERROR(MATCH(Q$1,INDIRECT("Table!A"&amp;$AN3):INDIRECT("Table!" &amp; $AQ$85 &amp; $AN3),0)),"",INDIRECT(CONCATENATE("Table!",ADDRESS($AJ3,MATCH(Q$1,INDIRECT("Table!A" &amp; $AN3):INDIRECT("Table!" &amp; $AQ$85 &amp; $AN3),0))))/1024)</f>
        <v>152.64844921874999</v>
      </c>
      <c r="R3" s="595">
        <f ca="1">IF(ISERROR(MATCH(R$1,INDIRECT("Table!A"&amp;$AN3):INDIRECT("Table!" &amp; $AQ$85 &amp; $AN3),0)),"",INDIRECT(CONCATENATE("Table!",ADDRESS($AJ3,MATCH(R$1,INDIRECT("Table!A" &amp; $AN3):INDIRECT("Table!" &amp; $AQ$85 &amp; $AN3),0))))/1024)</f>
        <v>281.95182714843747</v>
      </c>
      <c r="S3" s="595">
        <f ca="1">IF(ISERROR(MATCH(S$1,INDIRECT("Table!A"&amp;$AN3):INDIRECT("Table!" &amp; $AQ$85 &amp; $AN3),0)),"",INDIRECT(CONCATENATE("Table!",ADDRESS($AJ3,MATCH(S$1,INDIRECT("Table!A" &amp; $AN3):INDIRECT("Table!" &amp; $AQ$85 &amp; $AN3),0))))/1024)</f>
        <v>59.827918945312497</v>
      </c>
      <c r="T3" s="595">
        <f ca="1">IF(ISERROR(MATCH(T$1,INDIRECT("Table!A"&amp;$AN3):INDIRECT("Table!" &amp; $AQ$85 &amp; $AN3),0)),"",INDIRECT(CONCATENATE("Table!",ADDRESS($AJ3,MATCH(T$1,INDIRECT("Table!A" &amp; $AN3):INDIRECT("Table!" &amp; $AQ$85 &amp; $AN3),0))))/1024)</f>
        <v>41.849909179687501</v>
      </c>
      <c r="U3" s="595">
        <f ca="1">IF(ISERROR(MATCH(U$1,INDIRECT("Table!A"&amp;$AN3):INDIRECT("Table!" &amp; $AQ$85 &amp; $AN3),0)),"",INDIRECT(CONCATENATE("Table!",ADDRESS($AJ3,MATCH(U$1,INDIRECT("Table!A" &amp; $AN3):INDIRECT("Table!" &amp; $AQ$85 &amp; $AN3),0))))/1024)</f>
        <v>62.791327148437496</v>
      </c>
      <c r="V3" s="595">
        <f ca="1">IF(ISERROR(MATCH(V$1,INDIRECT("Table!A"&amp;$AN3):INDIRECT("Table!" &amp; $AQ$85 &amp; $AN3),0)),"",INDIRECT(CONCATENATE("Table!",ADDRESS($AJ3,MATCH(V$1,INDIRECT("Table!A" &amp; $AN3):INDIRECT("Table!" &amp; $AQ$85 &amp; $AN3),0))))/1024)</f>
        <v>81.987626953125002</v>
      </c>
      <c r="W3" s="595">
        <f ca="1">IF(ISERROR(MATCH(W$1,INDIRECT("Table!A"&amp;$AN3):INDIRECT("Table!" &amp; $AQ$85 &amp; $AN3),0)),"",INDIRECT(CONCATENATE("Table!",ADDRESS($AJ3,MATCH(W$1,INDIRECT("Table!A" &amp; $AN3):INDIRECT("Table!" &amp; $AQ$85 &amp; $AN3),0))))/1024)</f>
        <v>68.421802734374992</v>
      </c>
      <c r="X3" s="595">
        <f ca="1">IF(ISERROR(MATCH(X$1,INDIRECT("Table!A"&amp;$AN3):INDIRECT("Table!" &amp; $AQ$85 &amp; $AN3),0)),"",INDIRECT(CONCATENATE("Table!",ADDRESS($AJ3,MATCH(X$1,INDIRECT("Table!A" &amp; $AN3):INDIRECT("Table!" &amp; $AQ$85 &amp; $AN3),0))))/1024)</f>
        <v>88.935172851562498</v>
      </c>
      <c r="Y3" s="595">
        <f ca="1">IF(ISERROR(MATCH(Y$1,INDIRECT("Table!A"&amp;$AN3):INDIRECT("Table!" &amp; $AQ$85 &amp; $AN3),0)),"",INDIRECT(CONCATENATE("Table!",ADDRESS($AJ3,MATCH(Y$1,INDIRECT("Table!A" &amp; $AN3):INDIRECT("Table!" &amp; $AQ$85 &amp; $AN3),0))))/1024)</f>
        <v>84.0290859375</v>
      </c>
      <c r="Z3" s="595">
        <f ca="1">IF(ISERROR(MATCH(Z$1,INDIRECT("Table!A"&amp;$AN3):INDIRECT("Table!" &amp; $AQ$85 &amp; $AN3),0)),"",INDIRECT(CONCATENATE("Table!",ADDRESS($AJ3,MATCH(Z$1,INDIRECT("Table!A" &amp; $AN3):INDIRECT("Table!" &amp; $AQ$85 &amp; $AN3),0))))/1024)</f>
        <v>128.77654980468751</v>
      </c>
      <c r="AA3" s="595">
        <f ca="1">IF(ISERROR(MATCH(AA$1,INDIRECT("Table!A"&amp;$AN3):INDIRECT("Table!" &amp; $AQ$85 &amp; $AN3),0)),"",INDIRECT(CONCATENATE("Table!",ADDRESS($AJ3,MATCH(AA$1,INDIRECT("Table!A" &amp; $AN3):INDIRECT("Table!" &amp; $AQ$85 &amp; $AN3),0))))/1024)</f>
        <v>231.04705957031248</v>
      </c>
      <c r="AB3" s="595">
        <f ca="1">IF(ISERROR(MATCH(AB$1,INDIRECT("Table!A"&amp;$AN3):INDIRECT("Table!" &amp; $AQ$85 &amp; $AN3),0)),"",INDIRECT(CONCATENATE("Table!",ADDRESS($AJ3,MATCH(AB$1,INDIRECT("Table!A" &amp; $AN3):INDIRECT("Table!" &amp; $AQ$85 &amp; $AN3),0))))/1024)</f>
        <v>0</v>
      </c>
      <c r="AC3" s="595">
        <f ca="1">IF(ISERROR(MATCH(AC$1,INDIRECT("Table!A"&amp;$AN3):INDIRECT("Table!" &amp; $AQ$85 &amp; $AN3),0)),"",INDIRECT(CONCATENATE("Table!",ADDRESS($AJ3,MATCH(AC$1,INDIRECT("Table!A" &amp; $AN3):INDIRECT("Table!" &amp; $AQ$85 &amp; $AN3),0))))/1024)</f>
        <v>134.73629296875001</v>
      </c>
      <c r="AD3" s="595">
        <f ca="1">IF(ISERROR(MATCH(AD$1,INDIRECT("Table!A"&amp;$AN3):INDIRECT("Table!" &amp; $AQ$85 &amp; $AN3),0)),"",INDIRECT(CONCATENATE("Table!",ADDRESS($AJ3,MATCH(AD$1,INDIRECT("Table!A" &amp; $AN3):INDIRECT("Table!" &amp; $AQ$85 &amp; $AN3),0))))/1024)</f>
        <v>130.78508203125</v>
      </c>
      <c r="AE3" s="595">
        <f ca="1">IF(ISERROR(MATCH(AE$1,INDIRECT("Table!A"&amp;$AN3):INDIRECT("Table!" &amp; $AQ$85 &amp; $AN3),0)),"",INDIRECT(CONCATENATE("Table!",ADDRESS($AJ3,MATCH(AE$1,INDIRECT("Table!A" &amp; $AN3):INDIRECT("Table!" &amp; $AQ$85 &amp; $AN3),0))))/1024)</f>
        <v>51.431595703124998</v>
      </c>
      <c r="AF3" s="595">
        <f ca="1">IF(ISERROR(MATCH(AF$1,INDIRECT("Table!A"&amp;$AN3):INDIRECT("Table!" &amp; $AQ$85 &amp; $AN3),0)),"",INDIRECT(CONCATENATE("Table!",ADDRESS($AJ3,MATCH(AF$1,INDIRECT("Table!A" &amp; $AN3):INDIRECT("Table!" &amp; $AQ$85 &amp; $AN3),0))))/1024)</f>
        <v>51.431595703124998</v>
      </c>
      <c r="AG3" s="595">
        <f ca="1">IF(ISERROR(MATCH(AG$1,INDIRECT("Table!A"&amp;$AN3):INDIRECT("Table!" &amp; $AQ$85 &amp; $AN3),0)),"",INDIRECT(CONCATENATE("Table!",ADDRESS($AJ3,MATCH(AG$1,INDIRECT("Table!A" &amp; $AN3):INDIRECT("Table!" &amp; $AQ$85 &amp; $AN3),0))))/1024)</f>
        <v>136.41555761718749</v>
      </c>
      <c r="AH3" s="595">
        <f ca="1">IF(ISERROR(MATCH(AH$1,INDIRECT("Table!A"&amp;$AN3):INDIRECT("Table!" &amp; $AQ$85 &amp; $AN3),0)),"",INDIRECT(CONCATENATE("Table!",ADDRESS($AJ3,MATCH(AH$1,INDIRECT("Table!A" &amp; $AN3):INDIRECT("Table!" &amp; $AQ$85 &amp; $AN3),0))))/1024)</f>
        <v>0</v>
      </c>
      <c r="AI3" s="595"/>
      <c r="AJ3" s="595">
        <f>MATCH($A3,Table!$A:$A,0)+$AL$2-1</f>
        <v>11</v>
      </c>
      <c r="AK3" s="814"/>
      <c r="AL3" s="814"/>
      <c r="AM3" s="814"/>
      <c r="AN3" s="595">
        <f>MATCH($A3,Table!$A:$A,0)+$AP$2-1</f>
        <v>3</v>
      </c>
      <c r="AO3" s="814"/>
      <c r="AP3" s="814"/>
      <c r="AQ3" s="814" t="s">
        <v>302</v>
      </c>
      <c r="AR3" s="699">
        <f t="shared" ref="AR3:AR20" ca="1" si="0">SUM(B3:AH3)</f>
        <v>4112.5520507812507</v>
      </c>
      <c r="AS3" s="699">
        <f ca="1">AR3-AR42</f>
        <v>942.10039453125091</v>
      </c>
      <c r="AT3" s="699">
        <f ca="1">SUM(AS3:AS30)/10</f>
        <v>2095.0406973632807</v>
      </c>
    </row>
    <row r="4" spans="1:46" s="947" customFormat="1" x14ac:dyDescent="0.25">
      <c r="A4" s="592">
        <v>41970</v>
      </c>
      <c r="B4" s="595">
        <f ca="1">IF(ISERROR(MATCH(B$1,INDIRECT("Table!A"&amp;$AN4):INDIRECT("Table!" &amp; $AQ$108 &amp; $AN4),0)),"",INDIRECT(CONCATENATE("Table!",ADDRESS($AJ4,MATCH(B$1,INDIRECT("Table!A" &amp; $AN4):INDIRECT("Table!" &amp; $AQ$108 &amp; $AN4),0))))/1024)</f>
        <v>65.524248046875002</v>
      </c>
      <c r="C4" s="595">
        <f ca="1">IF(ISERROR(MATCH(C$1,INDIRECT("Table!A"&amp;$AN4):INDIRECT("Table!" &amp; $AQ$108 &amp; $AN4),0)),"",INDIRECT(CONCATENATE("Table!",ADDRESS($AJ4,MATCH(C$1,INDIRECT("Table!A" &amp; $AN4):INDIRECT("Table!" &amp; $AQ$108 &amp; $AN4),0))))/1024)</f>
        <v>54.296223632812499</v>
      </c>
      <c r="D4" s="595">
        <f ca="1">IF(ISERROR(MATCH(D$1,INDIRECT("Table!A"&amp;$AN4):INDIRECT("Table!" &amp; $AQ$108 &amp; $AN4),0)),"",INDIRECT(CONCATENATE("Table!",ADDRESS($AJ4,MATCH(D$1,INDIRECT("Table!A" &amp; $AN4):INDIRECT("Table!" &amp; $AQ$108 &amp; $AN4),0))))/1024)</f>
        <v>41.553568359374999</v>
      </c>
      <c r="E4" s="595">
        <f ca="1">IF(ISERROR(MATCH(E$1,INDIRECT("Table!A"&amp;$AN4):INDIRECT("Table!" &amp; $AQ$108 &amp; $AN4),0)),"",INDIRECT(CONCATENATE("Table!",ADDRESS($AJ4,MATCH(E$1,INDIRECT("Table!A" &amp; $AN4):INDIRECT("Table!" &amp; $AQ$108 &amp; $AN4),0))))/1024)</f>
        <v>151.03503808593749</v>
      </c>
      <c r="F4" s="595">
        <f ca="1">IF(ISERROR(MATCH(F$1,INDIRECT("Table!A"&amp;$AN4):INDIRECT("Table!" &amp; $AQ$108 &amp; $AN4),0)),"",INDIRECT(CONCATENATE("Table!",ADDRESS($AJ4,MATCH(F$1,INDIRECT("Table!A" &amp; $AN4):INDIRECT("Table!" &amp; $AQ$108 &amp; $AN4),0))))/1024)</f>
        <v>109.8765908203125</v>
      </c>
      <c r="G4" s="595">
        <f ca="1">IF(ISERROR(MATCH(G$1,INDIRECT("Table!A"&amp;$AN4):INDIRECT("Table!" &amp; $AQ$108 &amp; $AN4),0)),"",INDIRECT(CONCATENATE("Table!",ADDRESS($AJ4,MATCH(G$1,INDIRECT("Table!A" &amp; $AN4):INDIRECT("Table!" &amp; $AQ$108 &amp; $AN4),0))))/1024)</f>
        <v>408.68691796874998</v>
      </c>
      <c r="H4" s="595">
        <f ca="1">IF(ISERROR(MATCH(H$1,INDIRECT("Table!A"&amp;$AN4):INDIRECT("Table!" &amp; $AQ$108 &amp; $AN4),0)),"",INDIRECT(CONCATENATE("Table!",ADDRESS($AJ4,MATCH(H$1,INDIRECT("Table!A" &amp; $AN4):INDIRECT("Table!" &amp; $AQ$108 &amp; $AN4),0))))/1024)</f>
        <v>182.64472558593749</v>
      </c>
      <c r="I4" s="595">
        <f ca="1">IF(ISERROR(MATCH(I$1,INDIRECT("Table!A"&amp;$AN4):INDIRECT("Table!" &amp; $AQ$85 &amp; $AN4),0)),"",INDIRECT(CONCATENATE("Table!",ADDRESS($AJ4,MATCH(I$1,INDIRECT("Table!A" &amp; $AN4):INDIRECT("Table!" &amp; $AQ$85 &amp; $AN4),0))))/1024)</f>
        <v>48.369407226562501</v>
      </c>
      <c r="J4" s="595">
        <f ca="1">IF(ISERROR(MATCH(J$1,INDIRECT("Table!A"&amp;$AN4):INDIRECT("Table!" &amp; $AQ$85 &amp; $AN4),0)),"",INDIRECT(CONCATENATE("Table!",ADDRESS($AJ4,MATCH(J$1,INDIRECT("Table!A" &amp; $AN4):INDIRECT("Table!" &amp; $AQ$85 &amp; $AN4),0))))/1024)</f>
        <v>197.099572265625</v>
      </c>
      <c r="K4" s="595">
        <f ca="1">IF(ISERROR(MATCH(K$1,INDIRECT("Table!A"&amp;$AN4):INDIRECT("Table!" &amp; $AQ$85 &amp; $AN4),0)),"",INDIRECT(CONCATENATE("Table!",ADDRESS($AJ4,MATCH(K$1,INDIRECT("Table!A" &amp; $AN4):INDIRECT("Table!" &amp; $AQ$85 &amp; $AN4),0))))/1024)</f>
        <v>213.66173144531248</v>
      </c>
      <c r="L4" s="595">
        <f ca="1">IF(ISERROR(MATCH(L$1,INDIRECT("Table!A"&amp;$AN4):INDIRECT("Table!" &amp; $AQ$85 &amp; $AN4),0)),"",INDIRECT(CONCATENATE("Table!",ADDRESS($AJ4,MATCH(L$1,INDIRECT("Table!A" &amp; $AN4):INDIRECT("Table!" &amp; $AQ$85 &amp; $AN4),0))))/1024)</f>
        <v>124.0350966796875</v>
      </c>
      <c r="M4" s="595">
        <f ca="1">IF(ISERROR(MATCH(M$1,INDIRECT("Table!A"&amp;$AN4):INDIRECT("Table!" &amp; $AQ$85 &amp; $AN4),0)),"",INDIRECT(CONCATENATE("Table!",ADDRESS($AJ4,MATCH(M$1,INDIRECT("Table!A" &amp; $AN4):INDIRECT("Table!" &amp; $AQ$85 &amp; $AN4),0))))/1024)</f>
        <v>431.20882031249999</v>
      </c>
      <c r="N4" s="595">
        <f ca="1">IF(ISERROR(MATCH(N$1,INDIRECT("Table!A"&amp;$AN4):INDIRECT("Table!" &amp; $AQ$85 &amp; $AN4),0)),"",INDIRECT(CONCATENATE("Table!",ADDRESS($AJ4,MATCH(N$1,INDIRECT("Table!A" &amp; $AN4):INDIRECT("Table!" &amp; $AQ$85 &amp; $AN4),0))))/1024)</f>
        <v>114.5521904296875</v>
      </c>
      <c r="O4" s="595">
        <f ca="1">IF(ISERROR(MATCH(O$1,INDIRECT("Table!A"&amp;$AN4):INDIRECT("Table!" &amp; $AQ$85 &amp; $AN4),0)),"",INDIRECT(CONCATENATE("Table!",ADDRESS($AJ4,MATCH(O$1,INDIRECT("Table!A" &amp; $AN4):INDIRECT("Table!" &amp; $AQ$85 &amp; $AN4),0))))/1024)</f>
        <v>117.71315917968751</v>
      </c>
      <c r="P4" s="595">
        <f ca="1">IF(ISERROR(MATCH(P$1,INDIRECT("Table!A"&amp;$AN4):INDIRECT("Table!" &amp; $AQ$85 &amp; $AN4),0)),"",INDIRECT(CONCATENATE("Table!",ADDRESS($AJ4,MATCH(P$1,INDIRECT("Table!A" &amp; $AN4):INDIRECT("Table!" &amp; $AQ$85 &amp; $AN4),0))))/1024)</f>
        <v>63.120594726562494</v>
      </c>
      <c r="Q4" s="595">
        <f ca="1">IF(ISERROR(MATCH(Q$1,INDIRECT("Table!A"&amp;$AN4):INDIRECT("Table!" &amp; $AQ$85 &amp; $AN4),0)),"",INDIRECT(CONCATENATE("Table!",ADDRESS($AJ4,MATCH(Q$1,INDIRECT("Table!A" &amp; $AN4):INDIRECT("Table!" &amp; $AQ$85 &amp; $AN4),0))))/1024)</f>
        <v>152.45088867187499</v>
      </c>
      <c r="R4" s="595">
        <f ca="1">IF(ISERROR(MATCH(R$1,INDIRECT("Table!A"&amp;$AN4):INDIRECT("Table!" &amp; $AQ$85 &amp; $AN4),0)),"",INDIRECT(CONCATENATE("Table!",ADDRESS($AJ4,MATCH(R$1,INDIRECT("Table!A" &amp; $AN4):INDIRECT("Table!" &amp; $AQ$85 &amp; $AN4),0))))/1024)</f>
        <v>281.91890039062497</v>
      </c>
      <c r="S4" s="595" t="str">
        <f ca="1">IF(ISERROR(MATCH(S$1,INDIRECT("Table!A"&amp;$AN4):INDIRECT("Table!" &amp; $AQ$85 &amp; $AN4),0)),"",INDIRECT(CONCATENATE("Table!",ADDRESS($AJ4,MATCH(S$1,INDIRECT("Table!A" &amp; $AN4):INDIRECT("Table!" &amp; $AQ$85 &amp; $AN4),0))))/1024)</f>
        <v/>
      </c>
      <c r="T4" s="595">
        <f ca="1">IF(ISERROR(MATCH(T$1,INDIRECT("Table!A"&amp;$AN4):INDIRECT("Table!" &amp; $AQ$85 &amp; $AN4),0)),"",INDIRECT(CONCATENATE("Table!",ADDRESS($AJ4,MATCH(T$1,INDIRECT("Table!A" &amp; $AN4):INDIRECT("Table!" &amp; $AQ$85 &amp; $AN4),0))))/1024)</f>
        <v>41.849909179687501</v>
      </c>
      <c r="U4" s="595">
        <f ca="1">IF(ISERROR(MATCH(U$1,INDIRECT("Table!A"&amp;$AN4):INDIRECT("Table!" &amp; $AQ$85 &amp; $AN4),0)),"",INDIRECT(CONCATENATE("Table!",ADDRESS($AJ4,MATCH(U$1,INDIRECT("Table!A" &amp; $AN4):INDIRECT("Table!" &amp; $AQ$85 &amp; $AN4),0))))/1024)</f>
        <v>62.791327148437496</v>
      </c>
      <c r="V4" s="595">
        <f ca="1">IF(ISERROR(MATCH(V$1,INDIRECT("Table!A"&amp;$AN4):INDIRECT("Table!" &amp; $AQ$85 &amp; $AN4),0)),"",INDIRECT(CONCATENATE("Table!",ADDRESS($AJ4,MATCH(V$1,INDIRECT("Table!A" &amp; $AN4):INDIRECT("Table!" &amp; $AQ$85 &amp; $AN4),0))))/1024)</f>
        <v>81.987626953125002</v>
      </c>
      <c r="W4" s="595">
        <f ca="1">IF(ISERROR(MATCH(W$1,INDIRECT("Table!A"&amp;$AN4):INDIRECT("Table!" &amp; $AQ$85 &amp; $AN4),0)),"",INDIRECT(CONCATENATE("Table!",ADDRESS($AJ4,MATCH(W$1,INDIRECT("Table!A" &amp; $AN4):INDIRECT("Table!" &amp; $AQ$85 &amp; $AN4),0))))/1024)</f>
        <v>68.421802734374992</v>
      </c>
      <c r="X4" s="595">
        <f ca="1">IF(ISERROR(MATCH(X$1,INDIRECT("Table!A"&amp;$AN4):INDIRECT("Table!" &amp; $AQ$85 &amp; $AN4),0)),"",INDIRECT(CONCATENATE("Table!",ADDRESS($AJ4,MATCH(X$1,INDIRECT("Table!A" &amp; $AN4):INDIRECT("Table!" &amp; $AQ$85 &amp; $AN4),0))))/1024)</f>
        <v>88.935172851562498</v>
      </c>
      <c r="Y4" s="595">
        <f ca="1">IF(ISERROR(MATCH(Y$1,INDIRECT("Table!A"&amp;$AN4):INDIRECT("Table!" &amp; $AQ$85 &amp; $AN4),0)),"",INDIRECT(CONCATENATE("Table!",ADDRESS($AJ4,MATCH(Y$1,INDIRECT("Table!A" &amp; $AN4):INDIRECT("Table!" &amp; $AQ$85 &amp; $AN4),0))))/1024)</f>
        <v>84.0290859375</v>
      </c>
      <c r="Z4" s="595">
        <f ca="1">IF(ISERROR(MATCH(Z$1,INDIRECT("Table!A"&amp;$AN4):INDIRECT("Table!" &amp; $AQ$85 &amp; $AN4),0)),"",INDIRECT(CONCATENATE("Table!",ADDRESS($AJ4,MATCH(Z$1,INDIRECT("Table!A" &amp; $AN4):INDIRECT("Table!" &amp; $AQ$85 &amp; $AN4),0))))/1024)</f>
        <v>128.77654980468751</v>
      </c>
      <c r="AA4" s="595">
        <f ca="1">IF(ISERROR(MATCH(AA$1,INDIRECT("Table!A"&amp;$AN4):INDIRECT("Table!" &amp; $AQ$85 &amp; $AN4),0)),"",INDIRECT(CONCATENATE("Table!",ADDRESS($AJ4,MATCH(AA$1,INDIRECT("Table!A" &amp; $AN4):INDIRECT("Table!" &amp; $AQ$85 &amp; $AN4),0))))/1024)</f>
        <v>229.56535546875</v>
      </c>
      <c r="AB4" s="595">
        <f ca="1">IF(ISERROR(MATCH(AB$1,INDIRECT("Table!A"&amp;$AN4):INDIRECT("Table!" &amp; $AQ$85 &amp; $AN4),0)),"",INDIRECT(CONCATENATE("Table!",ADDRESS($AJ4,MATCH(AB$1,INDIRECT("Table!A" &amp; $AN4):INDIRECT("Table!" &amp; $AQ$85 &amp; $AN4),0))))/1024)</f>
        <v>0</v>
      </c>
      <c r="AC4" s="595">
        <f ca="1">IF(ISERROR(MATCH(AC$1,INDIRECT("Table!A"&amp;$AN4):INDIRECT("Table!" &amp; $AQ$85 &amp; $AN4),0)),"",INDIRECT(CONCATENATE("Table!",ADDRESS($AJ4,MATCH(AC$1,INDIRECT("Table!A" &amp; $AN4):INDIRECT("Table!" &amp; $AQ$85 &amp; $AN4),0))))/1024)</f>
        <v>132.23385937500001</v>
      </c>
      <c r="AD4" s="595">
        <f ca="1">IF(ISERROR(MATCH(AD$1,INDIRECT("Table!A"&amp;$AN4):INDIRECT("Table!" &amp; $AQ$85 &amp; $AN4),0)),"",INDIRECT(CONCATENATE("Table!",ADDRESS($AJ4,MATCH(AD$1,INDIRECT("Table!A" &amp; $AN4):INDIRECT("Table!" &amp; $AQ$85 &amp; $AN4),0))))/1024)</f>
        <v>128.77654980468751</v>
      </c>
      <c r="AE4" s="595">
        <f ca="1">IF(ISERROR(MATCH(AE$1,INDIRECT("Table!A"&amp;$AN4):INDIRECT("Table!" &amp; $AQ$85 &amp; $AN4),0)),"",INDIRECT(CONCATENATE("Table!",ADDRESS($AJ4,MATCH(AE$1,INDIRECT("Table!A" &amp; $AN4):INDIRECT("Table!" &amp; $AQ$85 &amp; $AN4),0))))/1024)</f>
        <v>47.513311523437501</v>
      </c>
      <c r="AF4" s="595">
        <f ca="1">IF(ISERROR(MATCH(AF$1,INDIRECT("Table!A"&amp;$AN4):INDIRECT("Table!" &amp; $AQ$85 &amp; $AN4),0)),"",INDIRECT(CONCATENATE("Table!",ADDRESS($AJ4,MATCH(AF$1,INDIRECT("Table!A" &amp; $AN4):INDIRECT("Table!" &amp; $AQ$85 &amp; $AN4),0))))/1024)</f>
        <v>47.513311523437501</v>
      </c>
      <c r="AG4" s="595">
        <f ca="1">IF(ISERROR(MATCH(AG$1,INDIRECT("Table!A"&amp;$AN4):INDIRECT("Table!" &amp; $AQ$85 &amp; $AN4),0)),"",INDIRECT(CONCATENATE("Table!",ADDRESS($AJ4,MATCH(AG$1,INDIRECT("Table!A" &amp; $AN4):INDIRECT("Table!" &amp; $AQ$85 &amp; $AN4),0))))/1024)</f>
        <v>136.41555761718749</v>
      </c>
      <c r="AH4" s="595">
        <f ca="1">IF(ISERROR(MATCH(AH$1,INDIRECT("Table!A"&amp;$AN4):INDIRECT("Table!" &amp; $AQ$85 &amp; $AN4),0)),"",INDIRECT(CONCATENATE("Table!",ADDRESS($AJ4,MATCH(AH$1,INDIRECT("Table!A" &amp; $AN4):INDIRECT("Table!" &amp; $AQ$85 &amp; $AN4),0))))/1024)</f>
        <v>0</v>
      </c>
      <c r="AI4" s="595"/>
      <c r="AJ4" s="595">
        <f>MATCH($A4,Table!$A:$A,0)+$AL$2-1</f>
        <v>25</v>
      </c>
      <c r="AK4" s="1039"/>
      <c r="AL4" s="1039"/>
      <c r="AM4" s="1039"/>
      <c r="AN4" s="595">
        <f>MATCH($A4,Table!$A:$A,0)+$AP$2-1</f>
        <v>17</v>
      </c>
      <c r="AO4" s="1039"/>
      <c r="AP4" s="1039"/>
      <c r="AQ4" s="1039" t="s">
        <v>302</v>
      </c>
      <c r="AR4" s="699">
        <f t="shared" ref="AR4" ca="1" si="1">SUM(B4:AH4)</f>
        <v>4036.5570937500001</v>
      </c>
      <c r="AS4" s="699">
        <f ca="1">AR4-AR43</f>
        <v>910.06265917968767</v>
      </c>
      <c r="AT4" s="699">
        <f ca="1">SUM(AS4:AS31)/10</f>
        <v>2042.1010561523431</v>
      </c>
    </row>
    <row r="5" spans="1:46" s="947" customFormat="1" x14ac:dyDescent="0.25">
      <c r="A5" s="592">
        <v>41963</v>
      </c>
      <c r="B5" s="595">
        <f ca="1">IF(ISERROR(MATCH(B$1,INDIRECT("Table!A"&amp;$AN5):INDIRECT("Table!" &amp; $AQ$108 &amp; $AN5),0)),"",INDIRECT(CONCATENATE("Table!",ADDRESS($AJ5,MATCH(B$1,INDIRECT("Table!A" &amp; $AN5):INDIRECT("Table!" &amp; $AQ$108 &amp; $AN5),0))))/1024)</f>
        <v>65.524248046875002</v>
      </c>
      <c r="C5" s="595">
        <f ca="1">IF(ISERROR(MATCH(C$1,INDIRECT("Table!A"&amp;$AN5):INDIRECT("Table!" &amp; $AQ$108 &amp; $AN5),0)),"",INDIRECT(CONCATENATE("Table!",ADDRESS($AJ5,MATCH(C$1,INDIRECT("Table!A" &amp; $AN5):INDIRECT("Table!" &amp; $AQ$108 &amp; $AN5),0))))/1024)</f>
        <v>56.370609375000001</v>
      </c>
      <c r="D5" s="595">
        <f ca="1">IF(ISERROR(MATCH(D$1,INDIRECT("Table!A"&amp;$AN5):INDIRECT("Table!" &amp; $AQ$108 &amp; $AN5),0)),"",INDIRECT(CONCATENATE("Table!",ADDRESS($AJ5,MATCH(D$1,INDIRECT("Table!A" &amp; $AN5):INDIRECT("Table!" &amp; $AQ$108 &amp; $AN5),0))))/1024)</f>
        <v>41.882835937499998</v>
      </c>
      <c r="E5" s="595">
        <f ca="1">IF(ISERROR(MATCH(E$1,INDIRECT("Table!A"&amp;$AN5):INDIRECT("Table!" &amp; $AQ$108 &amp; $AN5),0)),"",INDIRECT(CONCATENATE("Table!",ADDRESS($AJ5,MATCH(E$1,INDIRECT("Table!A" &amp; $AN5):INDIRECT("Table!" &amp; $AQ$108 &amp; $AN5),0))))/1024)</f>
        <v>151.06796484374999</v>
      </c>
      <c r="F5" s="595">
        <f ca="1">IF(ISERROR(MATCH(F$1,INDIRECT("Table!A"&amp;$AN5):INDIRECT("Table!" &amp; $AQ$108 &amp; $AN5),0)),"",INDIRECT(CONCATENATE("Table!",ADDRESS($AJ5,MATCH(F$1,INDIRECT("Table!A" &amp; $AN5):INDIRECT("Table!" &amp; $AQ$108 &amp; $AN5),0))))/1024)</f>
        <v>109.8765908203125</v>
      </c>
      <c r="G5" s="595">
        <f ca="1">IF(ISERROR(MATCH(G$1,INDIRECT("Table!A"&amp;$AN5):INDIRECT("Table!" &amp; $AQ$108 &amp; $AN5),0)),"",INDIRECT(CONCATENATE("Table!",ADDRESS($AJ5,MATCH(G$1,INDIRECT("Table!A" &amp; $AN5):INDIRECT("Table!" &amp; $AQ$108 &amp; $AN5),0))))/1024)</f>
        <v>408.68691796874998</v>
      </c>
      <c r="H5" s="595">
        <f ca="1">IF(ISERROR(MATCH(H$1,INDIRECT("Table!A"&amp;$AN5):INDIRECT("Table!" &amp; $AQ$108 &amp; $AN5),0)),"",INDIRECT(CONCATENATE("Table!",ADDRESS($AJ5,MATCH(H$1,INDIRECT("Table!A" &amp; $AN5):INDIRECT("Table!" &amp; $AQ$108 &amp; $AN5),0))))/1024)</f>
        <v>182.64472558593749</v>
      </c>
      <c r="I5" s="595">
        <f ca="1">IF(ISERROR(MATCH(I$1,INDIRECT("Table!A"&amp;$AN5):INDIRECT("Table!" &amp; $AQ$85 &amp; $AN5),0)),"",INDIRECT(CONCATENATE("Table!",ADDRESS($AJ5,MATCH(I$1,INDIRECT("Table!A" &amp; $AN5):INDIRECT("Table!" &amp; $AQ$85 &amp; $AN5),0))))/1024)</f>
        <v>45.801120117187502</v>
      </c>
      <c r="J5" s="595">
        <f ca="1">IF(ISERROR(MATCH(J$1,INDIRECT("Table!A"&amp;$AN5):INDIRECT("Table!" &amp; $AQ$85 &amp; $AN5),0)),"",INDIRECT(CONCATENATE("Table!",ADDRESS($AJ5,MATCH(J$1,INDIRECT("Table!A" &amp; $AN5):INDIRECT("Table!" &amp; $AQ$85 &amp; $AN5),0))))/1024)</f>
        <v>200.62273535156248</v>
      </c>
      <c r="K5" s="595">
        <f ca="1">IF(ISERROR(MATCH(K$1,INDIRECT("Table!A"&amp;$AN5):INDIRECT("Table!" &amp; $AQ$85 &amp; $AN5),0)),"",INDIRECT(CONCATENATE("Table!",ADDRESS($AJ5,MATCH(K$1,INDIRECT("Table!A" &amp; $AN5):INDIRECT("Table!" &amp; $AQ$85 &amp; $AN5),0))))/1024)</f>
        <v>213.66173144531248</v>
      </c>
      <c r="L5" s="595">
        <f ca="1">IF(ISERROR(MATCH(L$1,INDIRECT("Table!A"&amp;$AN5):INDIRECT("Table!" &amp; $AQ$85 &amp; $AN5),0)),"",INDIRECT(CONCATENATE("Table!",ADDRESS($AJ5,MATCH(L$1,INDIRECT("Table!A" &amp; $AN5):INDIRECT("Table!" &amp; $AQ$85 &amp; $AN5),0))))/1024)</f>
        <v>124.0350966796875</v>
      </c>
      <c r="M5" s="595">
        <f ca="1">IF(ISERROR(MATCH(M$1,INDIRECT("Table!A"&amp;$AN5):INDIRECT("Table!" &amp; $AQ$85 &amp; $AN5),0)),"",INDIRECT(CONCATENATE("Table!",ADDRESS($AJ5,MATCH(M$1,INDIRECT("Table!A" &amp; $AN5):INDIRECT("Table!" &amp; $AQ$85 &amp; $AN5),0))))/1024)</f>
        <v>431.20882031249999</v>
      </c>
      <c r="N5" s="595">
        <f ca="1">IF(ISERROR(MATCH(N$1,INDIRECT("Table!A"&amp;$AN5):INDIRECT("Table!" &amp; $AQ$85 &amp; $AN5),0)),"",INDIRECT(CONCATENATE("Table!",ADDRESS($AJ5,MATCH(N$1,INDIRECT("Table!A" &amp; $AN5):INDIRECT("Table!" &amp; $AQ$85 &amp; $AN5),0))))/1024)</f>
        <v>114.5521904296875</v>
      </c>
      <c r="O5" s="595">
        <f ca="1">IF(ISERROR(MATCH(O$1,INDIRECT("Table!A"&amp;$AN5):INDIRECT("Table!" &amp; $AQ$85 &amp; $AN5),0)),"",INDIRECT(CONCATENATE("Table!",ADDRESS($AJ5,MATCH(O$1,INDIRECT("Table!A" &amp; $AN5):INDIRECT("Table!" &amp; $AQ$85 &amp; $AN5),0))))/1024)</f>
        <v>118.23998730468749</v>
      </c>
      <c r="P5" s="595">
        <f ca="1">IF(ISERROR(MATCH(P$1,INDIRECT("Table!A"&amp;$AN5):INDIRECT("Table!" &amp; $AQ$85 &amp; $AN5),0)),"",INDIRECT(CONCATENATE("Table!",ADDRESS($AJ5,MATCH(P$1,INDIRECT("Table!A" &amp; $AN5):INDIRECT("Table!" &amp; $AQ$85 &amp; $AN5),0))))/1024)</f>
        <v>60.552307617187495</v>
      </c>
      <c r="Q5" s="595">
        <f ca="1">IF(ISERROR(MATCH(Q$1,INDIRECT("Table!A"&amp;$AN5):INDIRECT("Table!" &amp; $AQ$85 &amp; $AN5),0)),"",INDIRECT(CONCATENATE("Table!",ADDRESS($AJ5,MATCH(Q$1,INDIRECT("Table!A" &amp; $AN5):INDIRECT("Table!" &amp; $AQ$85 &amp; $AN5),0))))/1024)</f>
        <v>152.12162109375001</v>
      </c>
      <c r="R5" s="595">
        <f ca="1">IF(ISERROR(MATCH(R$1,INDIRECT("Table!A"&amp;$AN5):INDIRECT("Table!" &amp; $AQ$85 &amp; $AN5),0)),"",INDIRECT(CONCATENATE("Table!",ADDRESS($AJ5,MATCH(R$1,INDIRECT("Table!A" &amp; $AN5):INDIRECT("Table!" &amp; $AQ$85 &amp; $AN5),0))))/1024)</f>
        <v>285.96889160156246</v>
      </c>
      <c r="S5" s="595">
        <f ca="1">IF(ISERROR(MATCH(S$1,INDIRECT("Table!A"&amp;$AN5):INDIRECT("Table!" &amp; $AQ$85 &amp; $AN5),0)),"",INDIRECT(CONCATENATE("Table!",ADDRESS($AJ5,MATCH(S$1,INDIRECT("Table!A" &amp; $AN5):INDIRECT("Table!" &amp; $AQ$85 &amp; $AN5),0))))/1024)</f>
        <v>59.827918945312497</v>
      </c>
      <c r="T5" s="595">
        <f ca="1">IF(ISERROR(MATCH(T$1,INDIRECT("Table!A"&amp;$AN5):INDIRECT("Table!" &amp; $AQ$85 &amp; $AN5),0)),"",INDIRECT(CONCATENATE("Table!",ADDRESS($AJ5,MATCH(T$1,INDIRECT("Table!A" &amp; $AN5):INDIRECT("Table!" &amp; $AQ$85 &amp; $AN5),0))))/1024)</f>
        <v>41.849909179687501</v>
      </c>
      <c r="U5" s="595">
        <f ca="1">IF(ISERROR(MATCH(U$1,INDIRECT("Table!A"&amp;$AN5):INDIRECT("Table!" &amp; $AQ$85 &amp; $AN5),0)),"",INDIRECT(CONCATENATE("Table!",ADDRESS($AJ5,MATCH(U$1,INDIRECT("Table!A" &amp; $AN5):INDIRECT("Table!" &amp; $AQ$85 &amp; $AN5),0))))/1024)</f>
        <v>62.791327148437496</v>
      </c>
      <c r="V5" s="595">
        <f ca="1">IF(ISERROR(MATCH(V$1,INDIRECT("Table!A"&amp;$AN5):INDIRECT("Table!" &amp; $AQ$85 &amp; $AN5),0)),"",INDIRECT(CONCATENATE("Table!",ADDRESS($AJ5,MATCH(V$1,INDIRECT("Table!A" &amp; $AN5):INDIRECT("Table!" &amp; $AQ$85 &amp; $AN5),0))))/1024)</f>
        <v>81.987626953125002</v>
      </c>
      <c r="W5" s="595">
        <f ca="1">IF(ISERROR(MATCH(W$1,INDIRECT("Table!A"&amp;$AN5):INDIRECT("Table!" &amp; $AQ$85 &amp; $AN5),0)),"",INDIRECT(CONCATENATE("Table!",ADDRESS($AJ5,MATCH(W$1,INDIRECT("Table!A" &amp; $AN5):INDIRECT("Table!" &amp; $AQ$85 &amp; $AN5),0))))/1024)</f>
        <v>84.226646484374996</v>
      </c>
      <c r="X5" s="595">
        <f ca="1">IF(ISERROR(MATCH(X$1,INDIRECT("Table!A"&amp;$AN5):INDIRECT("Table!" &amp; $AQ$85 &amp; $AN5),0)),"",INDIRECT(CONCATENATE("Table!",ADDRESS($AJ5,MATCH(X$1,INDIRECT("Table!A" &amp; $AN5):INDIRECT("Table!" &amp; $AQ$85 &amp; $AN5),0))))/1024)</f>
        <v>120.9399814453125</v>
      </c>
      <c r="Y5" s="595">
        <f ca="1">IF(ISERROR(MATCH(Y$1,INDIRECT("Table!A"&amp;$AN5):INDIRECT("Table!" &amp; $AQ$85 &amp; $AN5),0)),"",INDIRECT(CONCATENATE("Table!",ADDRESS($AJ5,MATCH(Y$1,INDIRECT("Table!A" &amp; $AN5):INDIRECT("Table!" &amp; $AQ$85 &amp; $AN5),0))))/1024)</f>
        <v>85.872984375000001</v>
      </c>
      <c r="Z5" s="595">
        <f ca="1">IF(ISERROR(MATCH(Z$1,INDIRECT("Table!A"&amp;$AN5):INDIRECT("Table!" &amp; $AQ$85 &amp; $AN5),0)),"",INDIRECT(CONCATENATE("Table!",ADDRESS($AJ5,MATCH(Z$1,INDIRECT("Table!A" &amp; $AN5):INDIRECT("Table!" &amp; $AQ$85 &amp; $AN5),0))))/1024)</f>
        <v>132.46434667968751</v>
      </c>
      <c r="AA5" s="595">
        <f ca="1">IF(ISERROR(MATCH(AA$1,INDIRECT("Table!A"&amp;$AN5):INDIRECT("Table!" &amp; $AQ$85 &amp; $AN5),0)),"",INDIRECT(CONCATENATE("Table!",ADDRESS($AJ5,MATCH(AA$1,INDIRECT("Table!A" &amp; $AN5):INDIRECT("Table!" &amp; $AQ$85 &amp; $AN5),0))))/1024)</f>
        <v>239.27874902343748</v>
      </c>
      <c r="AB5" s="595">
        <f ca="1">IF(ISERROR(MATCH(AB$1,INDIRECT("Table!A"&amp;$AN5):INDIRECT("Table!" &amp; $AQ$85 &amp; $AN5),0)),"",INDIRECT(CONCATENATE("Table!",ADDRESS($AJ5,MATCH(AB$1,INDIRECT("Table!A" &amp; $AN5):INDIRECT("Table!" &amp; $AQ$85 &amp; $AN5),0))))/1024)</f>
        <v>0</v>
      </c>
      <c r="AC5" s="595">
        <f ca="1">IF(ISERROR(MATCH(AC$1,INDIRECT("Table!A"&amp;$AN5):INDIRECT("Table!" &amp; $AQ$85 &amp; $AN5),0)),"",INDIRECT(CONCATENATE("Table!",ADDRESS($AJ5,MATCH(AC$1,INDIRECT("Table!A" &amp; $AN5):INDIRECT("Table!" &amp; $AQ$85 &amp; $AN5),0))))/1024)</f>
        <v>122.84973339843749</v>
      </c>
      <c r="AD5" s="595">
        <f ca="1">IF(ISERROR(MATCH(AD$1,INDIRECT("Table!A"&amp;$AN5):INDIRECT("Table!" &amp; $AQ$85 &amp; $AN5),0)),"",INDIRECT(CONCATENATE("Table!",ADDRESS($AJ5,MATCH(AD$1,INDIRECT("Table!A" &amp; $AN5):INDIRECT("Table!" &amp; $AQ$85 &amp; $AN5),0))))/1024)</f>
        <v>126.50460351562499</v>
      </c>
      <c r="AE5" s="595">
        <f ca="1">IF(ISERROR(MATCH(AE$1,INDIRECT("Table!A"&amp;$AN5):INDIRECT("Table!" &amp; $AQ$85 &amp; $AN5),0)),"",INDIRECT(CONCATENATE("Table!",ADDRESS($AJ5,MATCH(AE$1,INDIRECT("Table!A" &amp; $AN5):INDIRECT("Table!" &amp; $AQ$85 &amp; $AN5),0))))/1024)</f>
        <v>44.220635742187497</v>
      </c>
      <c r="AF5" s="595">
        <f ca="1">IF(ISERROR(MATCH(AF$1,INDIRECT("Table!A"&amp;$AN5):INDIRECT("Table!" &amp; $AQ$85 &amp; $AN5),0)),"",INDIRECT(CONCATENATE("Table!",ADDRESS($AJ5,MATCH(AF$1,INDIRECT("Table!A" &amp; $AN5):INDIRECT("Table!" &amp; $AQ$85 &amp; $AN5),0))))/1024)</f>
        <v>44.220635742187497</v>
      </c>
      <c r="AG5" s="595">
        <f ca="1">IF(ISERROR(MATCH(AG$1,INDIRECT("Table!A"&amp;$AN5):INDIRECT("Table!" &amp; $AQ$85 &amp; $AN5),0)),"",INDIRECT(CONCATENATE("Table!",ADDRESS($AJ5,MATCH(AG$1,INDIRECT("Table!A" &amp; $AN5):INDIRECT("Table!" &amp; $AQ$85 &amp; $AN5),0))))/1024)</f>
        <v>136.41555761718749</v>
      </c>
      <c r="AH5" s="595">
        <f ca="1">IF(ISERROR(MATCH(AH$1,INDIRECT("Table!A"&amp;$AN5):INDIRECT("Table!" &amp; $AQ$85 &amp; $AN5),0)),"",INDIRECT(CONCATENATE("Table!",ADDRESS($AJ5,MATCH(AH$1,INDIRECT("Table!A" &amp; $AN5):INDIRECT("Table!" &amp; $AQ$85 &amp; $AN5),0))))/1024)</f>
        <v>0</v>
      </c>
      <c r="AI5" s="595"/>
      <c r="AJ5" s="595">
        <f>MATCH($A5,Table!$A:$A,0)+$AL$2-1</f>
        <v>39</v>
      </c>
      <c r="AK5" s="1039"/>
      <c r="AL5" s="1039"/>
      <c r="AM5" s="1039"/>
      <c r="AN5" s="595">
        <f>MATCH($A5,Table!$A:$A,0)+$AP$2-1</f>
        <v>31</v>
      </c>
      <c r="AO5" s="1039"/>
      <c r="AP5" s="1039"/>
      <c r="AQ5" s="1039" t="s">
        <v>302</v>
      </c>
      <c r="AR5" s="699">
        <f t="shared" ref="AR5" ca="1" si="2">SUM(B5:AH5)</f>
        <v>4146.2690507812504</v>
      </c>
      <c r="AS5" s="699">
        <f ca="1">AR5-AR43</f>
        <v>1019.7746162109379</v>
      </c>
      <c r="AT5" s="699">
        <f ca="1">SUM(AS5:AS31)/10</f>
        <v>1951.0947902343746</v>
      </c>
    </row>
    <row r="6" spans="1:46" s="947" customFormat="1" x14ac:dyDescent="0.25">
      <c r="A6" s="592">
        <v>41956</v>
      </c>
      <c r="B6" s="595">
        <f ca="1">IF(ISERROR(MATCH(B$1,INDIRECT("Table!A"&amp;$AN6):INDIRECT("Table!" &amp; $AQ$108 &amp; $AN6),0)),"",INDIRECT(CONCATENATE("Table!",ADDRESS($AJ6,MATCH(B$1,INDIRECT("Table!A" &amp; $AN6):INDIRECT("Table!" &amp; $AQ$108 &amp; $AN6),0))))/1024)</f>
        <v>65.853515625</v>
      </c>
      <c r="C6" s="595">
        <f ca="1">IF(ISERROR(MATCH(C$1,INDIRECT("Table!A"&amp;$AN6):INDIRECT("Table!" &amp; $AQ$108 &amp; $AN6),0)),"",INDIRECT(CONCATENATE("Table!",ADDRESS($AJ6,MATCH(C$1,INDIRECT("Table!A" &amp; $AN6):INDIRECT("Table!" &amp; $AQ$108 &amp; $AN6),0))))/1024)</f>
        <v>57.325485351562499</v>
      </c>
      <c r="D6" s="595">
        <f ca="1">IF(ISERROR(MATCH(D$1,INDIRECT("Table!A"&amp;$AN6):INDIRECT("Table!" &amp; $AQ$108 &amp; $AN6),0)),"",INDIRECT(CONCATENATE("Table!",ADDRESS($AJ6,MATCH(D$1,INDIRECT("Table!A" &amp; $AN6):INDIRECT("Table!" &amp; $AQ$108 &amp; $AN6),0))))/1024)</f>
        <v>46.723069335937495</v>
      </c>
      <c r="E6" s="595">
        <f ca="1">IF(ISERROR(MATCH(E$1,INDIRECT("Table!A"&amp;$AN6):INDIRECT("Table!" &amp; $AQ$108 &amp; $AN6),0)),"",INDIRECT(CONCATENATE("Table!",ADDRESS($AJ6,MATCH(E$1,INDIRECT("Table!A" &amp; $AN6):INDIRECT("Table!" &amp; $AQ$108 &amp; $AN6),0))))/1024)</f>
        <v>151.06796484374999</v>
      </c>
      <c r="F6" s="595">
        <f ca="1">IF(ISERROR(MATCH(F$1,INDIRECT("Table!A"&amp;$AN6):INDIRECT("Table!" &amp; $AQ$108 &amp; $AN6),0)),"",INDIRECT(CONCATENATE("Table!",ADDRESS($AJ6,MATCH(F$1,INDIRECT("Table!A" &amp; $AN6):INDIRECT("Table!" &amp; $AQ$108 &amp; $AN6),0))))/1024)</f>
        <v>109.8765908203125</v>
      </c>
      <c r="G6" s="595">
        <f ca="1">IF(ISERROR(MATCH(G$1,INDIRECT("Table!A"&amp;$AN6):INDIRECT("Table!" &amp; $AQ$108 &amp; $AN6),0)),"",INDIRECT(CONCATENATE("Table!",ADDRESS($AJ6,MATCH(G$1,INDIRECT("Table!A" &amp; $AN6):INDIRECT("Table!" &amp; $AQ$108 &amp; $AN6),0))))/1024)</f>
        <v>408.68691796874998</v>
      </c>
      <c r="H6" s="595">
        <f ca="1">IF(ISERROR(MATCH(H$1,INDIRECT("Table!A"&amp;$AN6):INDIRECT("Table!" &amp; $AQ$108 &amp; $AN6),0)),"",INDIRECT(CONCATENATE("Table!",ADDRESS($AJ6,MATCH(H$1,INDIRECT("Table!A" &amp; $AN6):INDIRECT("Table!" &amp; $AQ$108 &amp; $AN6),0))))/1024)</f>
        <v>183.863015625</v>
      </c>
      <c r="I6" s="595">
        <f ca="1">IF(ISERROR(MATCH(I$1,INDIRECT("Table!A"&amp;$AN6):INDIRECT("Table!" &amp; $AQ$85 &amp; $AN6),0)),"",INDIRECT(CONCATENATE("Table!",ADDRESS($AJ6,MATCH(I$1,INDIRECT("Table!A" &amp; $AN6):INDIRECT("Table!" &amp; $AQ$85 &amp; $AN6),0))))/1024)</f>
        <v>45.801120117187502</v>
      </c>
      <c r="J6" s="595">
        <f ca="1">IF(ISERROR(MATCH(J$1,INDIRECT("Table!A"&amp;$AN6):INDIRECT("Table!" &amp; $AQ$85 &amp; $AN6),0)),"",INDIRECT(CONCATENATE("Table!",ADDRESS($AJ6,MATCH(J$1,INDIRECT("Table!A" &amp; $AN6):INDIRECT("Table!" &amp; $AQ$85 &amp; $AN6),0))))/1024)</f>
        <v>200.62273535156248</v>
      </c>
      <c r="K6" s="595">
        <f ca="1">IF(ISERROR(MATCH(K$1,INDIRECT("Table!A"&amp;$AN6):INDIRECT("Table!" &amp; $AQ$85 &amp; $AN6),0)),"",INDIRECT(CONCATENATE("Table!",ADDRESS($AJ6,MATCH(K$1,INDIRECT("Table!A" &amp; $AN6):INDIRECT("Table!" &amp; $AQ$85 &amp; $AN6),0))))/1024)</f>
        <v>213.66173144531248</v>
      </c>
      <c r="L6" s="595">
        <f ca="1">IF(ISERROR(MATCH(L$1,INDIRECT("Table!A"&amp;$AN6):INDIRECT("Table!" &amp; $AQ$85 &amp; $AN6),0)),"",INDIRECT(CONCATENATE("Table!",ADDRESS($AJ6,MATCH(L$1,INDIRECT("Table!A" &amp; $AN6):INDIRECT("Table!" &amp; $AQ$85 &amp; $AN6),0))))/1024)</f>
        <v>124.0350966796875</v>
      </c>
      <c r="M6" s="595">
        <f ca="1">IF(ISERROR(MATCH(M$1,INDIRECT("Table!A"&amp;$AN6):INDIRECT("Table!" &amp; $AQ$85 &amp; $AN6),0)),"",INDIRECT(CONCATENATE("Table!",ADDRESS($AJ6,MATCH(M$1,INDIRECT("Table!A" &amp; $AN6):INDIRECT("Table!" &amp; $AQ$85 &amp; $AN6),0))))/1024)</f>
        <v>431.20882031249999</v>
      </c>
      <c r="N6" s="595">
        <f ca="1">IF(ISERROR(MATCH(N$1,INDIRECT("Table!A"&amp;$AN6):INDIRECT("Table!" &amp; $AQ$85 &amp; $AN6),0)),"",INDIRECT(CONCATENATE("Table!",ADDRESS($AJ6,MATCH(N$1,INDIRECT("Table!A" &amp; $AN6):INDIRECT("Table!" &amp; $AQ$85 &amp; $AN6),0))))/1024)</f>
        <v>114.5521904296875</v>
      </c>
      <c r="O6" s="595">
        <f ca="1">IF(ISERROR(MATCH(O$1,INDIRECT("Table!A"&amp;$AN6):INDIRECT("Table!" &amp; $AQ$85 &amp; $AN6),0)),"",INDIRECT(CONCATENATE("Table!",ADDRESS($AJ6,MATCH(O$1,INDIRECT("Table!A" &amp; $AN6):INDIRECT("Table!" &amp; $AQ$85 &amp; $AN6),0))))/1024)</f>
        <v>119.45827734375</v>
      </c>
      <c r="P6" s="595">
        <f ca="1">IF(ISERROR(MATCH(P$1,INDIRECT("Table!A"&amp;$AN6):INDIRECT("Table!" &amp; $AQ$85 &amp; $AN6),0)),"",INDIRECT(CONCATENATE("Table!",ADDRESS($AJ6,MATCH(P$1,INDIRECT("Table!A" &amp; $AN6):INDIRECT("Table!" &amp; $AQ$85 &amp; $AN6),0))))/1024)</f>
        <v>60.552307617187495</v>
      </c>
      <c r="Q6" s="595">
        <f ca="1">IF(ISERROR(MATCH(Q$1,INDIRECT("Table!A"&amp;$AN6):INDIRECT("Table!" &amp; $AQ$85 &amp; $AN6),0)),"",INDIRECT(CONCATENATE("Table!",ADDRESS($AJ6,MATCH(Q$1,INDIRECT("Table!A" &amp; $AN6):INDIRECT("Table!" &amp; $AQ$85 &amp; $AN6),0))))/1024)</f>
        <v>152.12162109375001</v>
      </c>
      <c r="R6" s="595">
        <f ca="1">IF(ISERROR(MATCH(R$1,INDIRECT("Table!A"&amp;$AN6):INDIRECT("Table!" &amp; $AQ$85 &amp; $AN6),0)),"",INDIRECT(CONCATENATE("Table!",ADDRESS($AJ6,MATCH(R$1,INDIRECT("Table!A" &amp; $AN6):INDIRECT("Table!" &amp; $AQ$85 &amp; $AN6),0))))/1024)</f>
        <v>285.96889160156246</v>
      </c>
      <c r="S6" s="595">
        <f ca="1">IF(ISERROR(MATCH(S$1,INDIRECT("Table!A"&amp;$AN6):INDIRECT("Table!" &amp; $AQ$85 &amp; $AN6),0)),"",INDIRECT(CONCATENATE("Table!",ADDRESS($AJ6,MATCH(S$1,INDIRECT("Table!A" &amp; $AN6):INDIRECT("Table!" &amp; $AQ$85 &amp; $AN6),0))))/1024)</f>
        <v>59.827918945312497</v>
      </c>
      <c r="T6" s="595">
        <f ca="1">IF(ISERROR(MATCH(T$1,INDIRECT("Table!A"&amp;$AN6):INDIRECT("Table!" &amp; $AQ$85 &amp; $AN6),0)),"",INDIRECT(CONCATENATE("Table!",ADDRESS($AJ6,MATCH(T$1,INDIRECT("Table!A" &amp; $AN6):INDIRECT("Table!" &amp; $AQ$85 &amp; $AN6),0))))/1024)</f>
        <v>41.849909179687501</v>
      </c>
      <c r="U6" s="595">
        <f ca="1">IF(ISERROR(MATCH(U$1,INDIRECT("Table!A"&amp;$AN6):INDIRECT("Table!" &amp; $AQ$85 &amp; $AN6),0)),"",INDIRECT(CONCATENATE("Table!",ADDRESS($AJ6,MATCH(U$1,INDIRECT("Table!A" &amp; $AN6):INDIRECT("Table!" &amp; $AQ$85 &amp; $AN6),0))))/1024)</f>
        <v>62.791327148437496</v>
      </c>
      <c r="V6" s="595">
        <f ca="1">IF(ISERROR(MATCH(V$1,INDIRECT("Table!A"&amp;$AN6):INDIRECT("Table!" &amp; $AQ$85 &amp; $AN6),0)),"",INDIRECT(CONCATENATE("Table!",ADDRESS($AJ6,MATCH(V$1,INDIRECT("Table!A" &amp; $AN6):INDIRECT("Table!" &amp; $AQ$85 &amp; $AN6),0))))/1024)</f>
        <v>81.987626953125002</v>
      </c>
      <c r="W6" s="595">
        <f ca="1">IF(ISERROR(MATCH(W$1,INDIRECT("Table!A"&amp;$AN6):INDIRECT("Table!" &amp; $AQ$85 &amp; $AN6),0)),"",INDIRECT(CONCATENATE("Table!",ADDRESS($AJ6,MATCH(W$1,INDIRECT("Table!A" &amp; $AN6):INDIRECT("Table!" &amp; $AQ$85 &amp; $AN6),0))))/1024)</f>
        <v>82.942502929687492</v>
      </c>
      <c r="X6" s="595">
        <f ca="1">IF(ISERROR(MATCH(X$1,INDIRECT("Table!A"&amp;$AN6):INDIRECT("Table!" &amp; $AQ$85 &amp; $AN6),0)),"",INDIRECT(CONCATENATE("Table!",ADDRESS($AJ6,MATCH(X$1,INDIRECT("Table!A" &amp; $AN6):INDIRECT("Table!" &amp; $AQ$85 &amp; $AN6),0))))/1024)</f>
        <v>118.37169433593749</v>
      </c>
      <c r="Y6" s="595">
        <f ca="1">IF(ISERROR(MATCH(Y$1,INDIRECT("Table!A"&amp;$AN6):INDIRECT("Table!" &amp; $AQ$85 &amp; $AN6),0)),"",INDIRECT(CONCATENATE("Table!",ADDRESS($AJ6,MATCH(Y$1,INDIRECT("Table!A" &amp; $AN6):INDIRECT("Table!" &amp; $AQ$85 &amp; $AN6),0))))/1024)</f>
        <v>85.872984375000001</v>
      </c>
      <c r="Z6" s="595">
        <f ca="1">IF(ISERROR(MATCH(Z$1,INDIRECT("Table!A"&amp;$AN6):INDIRECT("Table!" &amp; $AQ$85 &amp; $AN6),0)),"",INDIRECT(CONCATENATE("Table!",ADDRESS($AJ6,MATCH(Z$1,INDIRECT("Table!A" &amp; $AN6):INDIRECT("Table!" &amp; $AQ$85 &amp; $AN6),0))))/1024)</f>
        <v>132.46434667968751</v>
      </c>
      <c r="AA6" s="595">
        <f ca="1">IF(ISERROR(MATCH(AA$1,INDIRECT("Table!A"&amp;$AN6):INDIRECT("Table!" &amp; $AQ$85 &amp; $AN6),0)),"",INDIRECT(CONCATENATE("Table!",ADDRESS($AJ6,MATCH(AA$1,INDIRECT("Table!A" &amp; $AN6):INDIRECT("Table!" &amp; $AQ$85 &amp; $AN6),0))))/1024)</f>
        <v>239.2128955078125</v>
      </c>
      <c r="AB6" s="595">
        <f ca="1">IF(ISERROR(MATCH(AB$1,INDIRECT("Table!A"&amp;$AN6):INDIRECT("Table!" &amp; $AQ$85 &amp; $AN6),0)),"",INDIRECT(CONCATENATE("Table!",ADDRESS($AJ6,MATCH(AB$1,INDIRECT("Table!A" &amp; $AN6):INDIRECT("Table!" &amp; $AQ$85 &amp; $AN6),0))))/1024)</f>
        <v>0</v>
      </c>
      <c r="AC6" s="595">
        <f ca="1">IF(ISERROR(MATCH(AC$1,INDIRECT("Table!A"&amp;$AN6):INDIRECT("Table!" &amp; $AQ$85 &amp; $AN6),0)),"",INDIRECT(CONCATENATE("Table!",ADDRESS($AJ6,MATCH(AC$1,INDIRECT("Table!A" &amp; $AN6):INDIRECT("Table!" &amp; $AQ$85 &amp; $AN6),0))))/1024)</f>
        <v>122.81680664062499</v>
      </c>
      <c r="AD6" s="595">
        <f ca="1">IF(ISERROR(MATCH(AD$1,INDIRECT("Table!A"&amp;$AN6):INDIRECT("Table!" &amp; $AQ$85 &amp; $AN6),0)),"",INDIRECT(CONCATENATE("Table!",ADDRESS($AJ6,MATCH(AD$1,INDIRECT("Table!A" &amp; $AN6):INDIRECT("Table!" &amp; $AQ$85 &amp; $AN6),0))))/1024)</f>
        <v>125.12167968749999</v>
      </c>
      <c r="AE6" s="595">
        <f ca="1">IF(ISERROR(MATCH(AE$1,INDIRECT("Table!A"&amp;$AN6):INDIRECT("Table!" &amp; $AQ$85 &amp; $AN6),0)),"",INDIRECT(CONCATENATE("Table!",ADDRESS($AJ6,MATCH(AE$1,INDIRECT("Table!A" &amp; $AN6):INDIRECT("Table!" &amp; $AQ$85 &amp; $AN6),0))))/1024)</f>
        <v>36.087726562500002</v>
      </c>
      <c r="AF6" s="595">
        <f ca="1">IF(ISERROR(MATCH(AF$1,INDIRECT("Table!A"&amp;$AN6):INDIRECT("Table!" &amp; $AQ$85 &amp; $AN6),0)),"",INDIRECT(CONCATENATE("Table!",ADDRESS($AJ6,MATCH(AF$1,INDIRECT("Table!A" &amp; $AN6):INDIRECT("Table!" &amp; $AQ$85 &amp; $AN6),0))))/1024)</f>
        <v>36.087726562500002</v>
      </c>
      <c r="AG6" s="595">
        <f ca="1">IF(ISERROR(MATCH(AG$1,INDIRECT("Table!A"&amp;$AN6):INDIRECT("Table!" &amp; $AQ$85 &amp; $AN6),0)),"",INDIRECT(CONCATENATE("Table!",ADDRESS($AJ6,MATCH(AG$1,INDIRECT("Table!A" &amp; $AN6):INDIRECT("Table!" &amp; $AQ$85 &amp; $AN6),0))))/1024)</f>
        <v>104.8058701171875</v>
      </c>
      <c r="AH6" s="595">
        <f ca="1">IF(ISERROR(MATCH(AH$1,INDIRECT("Table!A"&amp;$AN6):INDIRECT("Table!" &amp; $AQ$85 &amp; $AN6),0)),"",INDIRECT(CONCATENATE("Table!",ADDRESS($AJ6,MATCH(AH$1,INDIRECT("Table!A" &amp; $AN6):INDIRECT("Table!" &amp; $AQ$85 &amp; $AN6),0))))/1024)</f>
        <v>0</v>
      </c>
      <c r="AI6" s="595"/>
      <c r="AJ6" s="595">
        <f>MATCH($A6,Table!$A:$A,0)+$AL$2-1</f>
        <v>53</v>
      </c>
      <c r="AK6" s="1036"/>
      <c r="AL6" s="1036"/>
      <c r="AM6" s="1036"/>
      <c r="AN6" s="595">
        <f>MATCH($A6,Table!$A:$A,0)+$AP$2-1</f>
        <v>45</v>
      </c>
      <c r="AO6" s="1036"/>
      <c r="AP6" s="1036"/>
      <c r="AQ6" s="1036" t="s">
        <v>302</v>
      </c>
      <c r="AR6" s="699">
        <f t="shared" ref="AR6" ca="1" si="3">SUM(B6:AH6)</f>
        <v>4101.6203671875001</v>
      </c>
      <c r="AS6" s="699">
        <f ca="1">AR6-AR43</f>
        <v>975.12593261718757</v>
      </c>
      <c r="AT6" s="699">
        <f ca="1">SUM(AS6:AS31)/10</f>
        <v>1849.1173286132805</v>
      </c>
    </row>
    <row r="7" spans="1:46" s="947" customFormat="1" x14ac:dyDescent="0.25">
      <c r="A7" s="592">
        <v>41949</v>
      </c>
      <c r="B7" s="595">
        <f ca="1">IF(ISERROR(MATCH(B$1,INDIRECT("Table!A"&amp;$AN7):INDIRECT("Table!" &amp; $AQ$108 &amp; $AN7),0)),"",INDIRECT(CONCATENATE("Table!",ADDRESS($AJ7,MATCH(B$1,INDIRECT("Table!A" &amp; $AN7):INDIRECT("Table!" &amp; $AQ$108 &amp; $AN7),0))))/1024)</f>
        <v>65.853515625</v>
      </c>
      <c r="C7" s="595">
        <f ca="1">IF(ISERROR(MATCH(C$1,INDIRECT("Table!A"&amp;$AN7):INDIRECT("Table!" &amp; $AQ$108 &amp; $AN7),0)),"",INDIRECT(CONCATENATE("Table!",ADDRESS($AJ7,MATCH(C$1,INDIRECT("Table!A" &amp; $AN7):INDIRECT("Table!" &amp; $AQ$108 &amp; $AN7),0))))/1024)</f>
        <v>58.2474345703125</v>
      </c>
      <c r="D7" s="595">
        <f ca="1">IF(ISERROR(MATCH(D$1,INDIRECT("Table!A"&amp;$AN7):INDIRECT("Table!" &amp; $AQ$108 &amp; $AN7),0)),"",INDIRECT(CONCATENATE("Table!",ADDRESS($AJ7,MATCH(D$1,INDIRECT("Table!A" &amp; $AN7):INDIRECT("Table!" &amp; $AQ$108 &amp; $AN7),0))))/1024)</f>
        <v>47.941359374999998</v>
      </c>
      <c r="E7" s="595">
        <f ca="1">IF(ISERROR(MATCH(E$1,INDIRECT("Table!A"&amp;$AN7):INDIRECT("Table!" &amp; $AQ$108 &amp; $AN7),0)),"",INDIRECT(CONCATENATE("Table!",ADDRESS($AJ7,MATCH(E$1,INDIRECT("Table!A" &amp; $AN7):INDIRECT("Table!" &amp; $AQ$108 &amp; $AN7),0))))/1024)</f>
        <v>153.96551953124998</v>
      </c>
      <c r="F7" s="595">
        <f ca="1">IF(ISERROR(MATCH(F$1,INDIRECT("Table!A"&amp;$AN7):INDIRECT("Table!" &amp; $AQ$108 &amp; $AN7),0)),"",INDIRECT(CONCATENATE("Table!",ADDRESS($AJ7,MATCH(F$1,INDIRECT("Table!A" &amp; $AN7):INDIRECT("Table!" &amp; $AQ$108 &amp; $AN7),0))))/1024)</f>
        <v>109.8765908203125</v>
      </c>
      <c r="G7" s="595">
        <f ca="1">IF(ISERROR(MATCH(G$1,INDIRECT("Table!A"&amp;$AN7):INDIRECT("Table!" &amp; $AQ$108 &amp; $AN7),0)),"",INDIRECT(CONCATENATE("Table!",ADDRESS($AJ7,MATCH(G$1,INDIRECT("Table!A" &amp; $AN7):INDIRECT("Table!" &amp; $AQ$108 &amp; $AN7),0))))/1024)</f>
        <v>410.13569531249999</v>
      </c>
      <c r="H7" s="595">
        <f ca="1">IF(ISERROR(MATCH(H$1,INDIRECT("Table!A"&amp;$AN7):INDIRECT("Table!" &amp; $AQ$108 &amp; $AN7),0)),"",INDIRECT(CONCATENATE("Table!",ADDRESS($AJ7,MATCH(H$1,INDIRECT("Table!A" &amp; $AN7):INDIRECT("Table!" &amp; $AQ$108 &amp; $AN7),0))))/1024)</f>
        <v>184.02764941406249</v>
      </c>
      <c r="I7" s="595">
        <f ca="1">IF(ISERROR(MATCH(I$1,INDIRECT("Table!A"&amp;$AN7):INDIRECT("Table!" &amp; $AQ$85 &amp; $AN7),0)),"",INDIRECT(CONCATENATE("Table!",ADDRESS($AJ7,MATCH(I$1,INDIRECT("Table!A" &amp; $AN7):INDIRECT("Table!" &amp; $AQ$85 &amp; $AN7),0))))/1024)</f>
        <v>45.603559570312498</v>
      </c>
      <c r="J7" s="595">
        <f ca="1">IF(ISERROR(MATCH(J$1,INDIRECT("Table!A"&amp;$AN7):INDIRECT("Table!" &amp; $AQ$85 &amp; $AN7),0)),"",INDIRECT(CONCATENATE("Table!",ADDRESS($AJ7,MATCH(J$1,INDIRECT("Table!A" &amp; $AN7):INDIRECT("Table!" &amp; $AQ$85 &amp; $AN7),0))))/1024)</f>
        <v>200.32639453125</v>
      </c>
      <c r="K7" s="595">
        <f ca="1">IF(ISERROR(MATCH(K$1,INDIRECT("Table!A"&amp;$AN7):INDIRECT("Table!" &amp; $AQ$85 &amp; $AN7),0)),"",INDIRECT(CONCATENATE("Table!",ADDRESS($AJ7,MATCH(K$1,INDIRECT("Table!A" &amp; $AN7):INDIRECT("Table!" &amp; $AQ$85 &amp; $AN7),0))))/1024)</f>
        <v>213.66173144531248</v>
      </c>
      <c r="L7" s="595">
        <f ca="1">IF(ISERROR(MATCH(L$1,INDIRECT("Table!A"&amp;$AN7):INDIRECT("Table!" &amp; $AQ$85 &amp; $AN7),0)),"",INDIRECT(CONCATENATE("Table!",ADDRESS($AJ7,MATCH(L$1,INDIRECT("Table!A" &amp; $AN7):INDIRECT("Table!" &amp; $AQ$85 &amp; $AN7),0))))/1024)</f>
        <v>124.29851074218749</v>
      </c>
      <c r="M7" s="595">
        <f ca="1">IF(ISERROR(MATCH(M$1,INDIRECT("Table!A"&amp;$AN7):INDIRECT("Table!" &amp; $AQ$85 &amp; $AN7),0)),"",INDIRECT(CONCATENATE("Table!",ADDRESS($AJ7,MATCH(M$1,INDIRECT("Table!A" &amp; $AN7):INDIRECT("Table!" &amp; $AQ$85 &amp; $AN7),0))))/1024)</f>
        <v>431.20882031249999</v>
      </c>
      <c r="N7" s="595">
        <f ca="1">IF(ISERROR(MATCH(N$1,INDIRECT("Table!A"&amp;$AN7):INDIRECT("Table!" &amp; $AQ$85 &amp; $AN7),0)),"",INDIRECT(CONCATENATE("Table!",ADDRESS($AJ7,MATCH(N$1,INDIRECT("Table!A" &amp; $AN7):INDIRECT("Table!" &amp; $AQ$85 &amp; $AN7),0))))/1024)</f>
        <v>114.5521904296875</v>
      </c>
      <c r="O7" s="595">
        <f ca="1">IF(ISERROR(MATCH(O$1,INDIRECT("Table!A"&amp;$AN7):INDIRECT("Table!" &amp; $AQ$85 &amp; $AN7),0)),"",INDIRECT(CONCATENATE("Table!",ADDRESS($AJ7,MATCH(O$1,INDIRECT("Table!A" &amp; $AN7):INDIRECT("Table!" &amp; $AQ$85 &amp; $AN7),0))))/1024)</f>
        <v>119.62291113281249</v>
      </c>
      <c r="P7" s="595">
        <f ca="1">IF(ISERROR(MATCH(P$1,INDIRECT("Table!A"&amp;$AN7):INDIRECT("Table!" &amp; $AQ$85 &amp; $AN7),0)),"",INDIRECT(CONCATENATE("Table!",ADDRESS($AJ7,MATCH(P$1,INDIRECT("Table!A" &amp; $AN7):INDIRECT("Table!" &amp; $AQ$85 &amp; $AN7),0))))/1024)</f>
        <v>60.354747070312499</v>
      </c>
      <c r="Q7" s="595">
        <f ca="1">IF(ISERROR(MATCH(Q$1,INDIRECT("Table!A"&amp;$AN7):INDIRECT("Table!" &amp; $AQ$85 &amp; $AN7),0)),"",INDIRECT(CONCATENATE("Table!",ADDRESS($AJ7,MATCH(Q$1,INDIRECT("Table!A" &amp; $AN7):INDIRECT("Table!" &amp; $AQ$85 &amp; $AN7),0))))/1024)</f>
        <v>155.08502929687501</v>
      </c>
      <c r="R7" s="595">
        <f ca="1">IF(ISERROR(MATCH(R$1,INDIRECT("Table!A"&amp;$AN7):INDIRECT("Table!" &amp; $AQ$85 &amp; $AN7),0)),"",INDIRECT(CONCATENATE("Table!",ADDRESS($AJ7,MATCH(R$1,INDIRECT("Table!A" &amp; $AN7):INDIRECT("Table!" &amp; $AQ$85 &amp; $AN7),0))))/1024)</f>
        <v>315.96516796874999</v>
      </c>
      <c r="S7" s="595">
        <f ca="1">IF(ISERROR(MATCH(S$1,INDIRECT("Table!A"&amp;$AN7):INDIRECT("Table!" &amp; $AQ$85 &amp; $AN7),0)),"",INDIRECT(CONCATENATE("Table!",ADDRESS($AJ7,MATCH(S$1,INDIRECT("Table!A" &amp; $AN7):INDIRECT("Table!" &amp; $AQ$85 &amp; $AN7),0))))/1024)</f>
        <v>59.827918945312497</v>
      </c>
      <c r="T7" s="595">
        <f ca="1">IF(ISERROR(MATCH(T$1,INDIRECT("Table!A"&amp;$AN7):INDIRECT("Table!" &amp; $AQ$85 &amp; $AN7),0)),"",INDIRECT(CONCATENATE("Table!",ADDRESS($AJ7,MATCH(T$1,INDIRECT("Table!A" &amp; $AN7):INDIRECT("Table!" &amp; $AQ$85 &amp; $AN7),0))))/1024)</f>
        <v>41.849909179687501</v>
      </c>
      <c r="U7" s="595">
        <f ca="1">IF(ISERROR(MATCH(U$1,INDIRECT("Table!A"&amp;$AN7):INDIRECT("Table!" &amp; $AQ$85 &amp; $AN7),0)),"",INDIRECT(CONCATENATE("Table!",ADDRESS($AJ7,MATCH(U$1,INDIRECT("Table!A" &amp; $AN7):INDIRECT("Table!" &amp; $AQ$85 &amp; $AN7),0))))/1024)</f>
        <v>62.297425781249999</v>
      </c>
      <c r="V7" s="595">
        <f ca="1">IF(ISERROR(MATCH(V$1,INDIRECT("Table!A"&amp;$AN7):INDIRECT("Table!" &amp; $AQ$85 &amp; $AN7),0)),"",INDIRECT(CONCATENATE("Table!",ADDRESS($AJ7,MATCH(V$1,INDIRECT("Table!A" &amp; $AN7):INDIRECT("Table!" &amp; $AQ$85 &amp; $AN7),0))))/1024)</f>
        <v>81.493725585937497</v>
      </c>
      <c r="W7" s="595">
        <f ca="1">IF(ISERROR(MATCH(W$1,INDIRECT("Table!A"&amp;$AN7):INDIRECT("Table!" &amp; $AQ$85 &amp; $AN7),0)),"",INDIRECT(CONCATENATE("Table!",ADDRESS($AJ7,MATCH(W$1,INDIRECT("Table!A" &amp; $AN7):INDIRECT("Table!" &amp; $AQ$85 &amp; $AN7),0))))/1024)</f>
        <v>76.75227246093749</v>
      </c>
      <c r="X7" s="595">
        <f ca="1">IF(ISERROR(MATCH(X$1,INDIRECT("Table!A"&amp;$AN7):INDIRECT("Table!" &amp; $AQ$85 &amp; $AN7),0)),"",INDIRECT(CONCATENATE("Table!",ADDRESS($AJ7,MATCH(X$1,INDIRECT("Table!A" &amp; $AN7):INDIRECT("Table!" &amp; $AQ$85 &amp; $AN7),0))))/1024)</f>
        <v>105.9912333984375</v>
      </c>
      <c r="Y7" s="595">
        <f ca="1">IF(ISERROR(MATCH(Y$1,INDIRECT("Table!A"&amp;$AN7):INDIRECT("Table!" &amp; $AQ$85 &amp; $AN7),0)),"",INDIRECT(CONCATENATE("Table!",ADDRESS($AJ7,MATCH(Y$1,INDIRECT("Table!A" &amp; $AN7):INDIRECT("Table!" &amp; $AQ$85 &amp; $AN7),0))))/1024)</f>
        <v>82.34982128906249</v>
      </c>
      <c r="Z7" s="595">
        <f ca="1">IF(ISERROR(MATCH(Z$1,INDIRECT("Table!A"&amp;$AN7):INDIRECT("Table!" &amp; $AQ$85 &amp; $AN7),0)),"",INDIRECT(CONCATENATE("Table!",ADDRESS($AJ7,MATCH(Z$1,INDIRECT("Table!A" &amp; $AN7):INDIRECT("Table!" &amp; $AQ$85 &amp; $AN7),0))))/1024)</f>
        <v>128.94118359375</v>
      </c>
      <c r="AA7" s="595">
        <f ca="1">IF(ISERROR(MATCH(AA$1,INDIRECT("Table!A"&amp;$AN7):INDIRECT("Table!" &amp; $AQ$85 &amp; $AN7),0)),"",INDIRECT(CONCATENATE("Table!",ADDRESS($AJ7,MATCH(AA$1,INDIRECT("Table!A" &amp; $AN7):INDIRECT("Table!" &amp; $AQ$85 &amp; $AN7),0))))/1024)</f>
        <v>239.04826171874998</v>
      </c>
      <c r="AB7" s="595">
        <f ca="1">IF(ISERROR(MATCH(AB$1,INDIRECT("Table!A"&amp;$AN7):INDIRECT("Table!" &amp; $AQ$85 &amp; $AN7),0)),"",INDIRECT(CONCATENATE("Table!",ADDRESS($AJ7,MATCH(AB$1,INDIRECT("Table!A" &amp; $AN7):INDIRECT("Table!" &amp; $AQ$85 &amp; $AN7),0))))/1024)</f>
        <v>0</v>
      </c>
      <c r="AC7" s="595">
        <f ca="1">IF(ISERROR(MATCH(AC$1,INDIRECT("Table!A"&amp;$AN7):INDIRECT("Table!" &amp; $AQ$85 &amp; $AN7),0)),"",INDIRECT(CONCATENATE("Table!",ADDRESS($AJ7,MATCH(AC$1,INDIRECT("Table!A" &amp; $AN7):INDIRECT("Table!" &amp; $AQ$85 &amp; $AN7),0))))/1024)</f>
        <v>119.98510546874999</v>
      </c>
      <c r="AD7" s="595">
        <f ca="1">IF(ISERROR(MATCH(AD$1,INDIRECT("Table!A"&amp;$AN7):INDIRECT("Table!" &amp; $AQ$85 &amp; $AN7),0)),"",INDIRECT(CONCATENATE("Table!",ADDRESS($AJ7,MATCH(AD$1,INDIRECT("Table!A" &amp; $AN7):INDIRECT("Table!" &amp; $AQ$85 &amp; $AN7),0))))/1024)</f>
        <v>125.12167968749999</v>
      </c>
      <c r="AE7" s="595">
        <f ca="1">IF(ISERROR(MATCH(AE$1,INDIRECT("Table!A"&amp;$AN7):INDIRECT("Table!" &amp; $AQ$85 &amp; $AN7),0)),"",INDIRECT(CONCATENATE("Table!",ADDRESS($AJ7,MATCH(AE$1,INDIRECT("Table!A" &amp; $AN7):INDIRECT("Table!" &amp; $AQ$85 &amp; $AN7),0))))/1024)</f>
        <v>33.947487304687499</v>
      </c>
      <c r="AF7" s="595">
        <f ca="1">IF(ISERROR(MATCH(AF$1,INDIRECT("Table!A"&amp;$AN7):INDIRECT("Table!" &amp; $AQ$85 &amp; $AN7),0)),"",INDIRECT(CONCATENATE("Table!",ADDRESS($AJ7,MATCH(AF$1,INDIRECT("Table!A" &amp; $AN7):INDIRECT("Table!" &amp; $AQ$85 &amp; $AN7),0))))/1024)</f>
        <v>33.947487304687499</v>
      </c>
      <c r="AG7" s="595">
        <f ca="1">IF(ISERROR(MATCH(AG$1,INDIRECT("Table!A"&amp;$AN7):INDIRECT("Table!" &amp; $AQ$85 &amp; $AN7),0)),"",INDIRECT(CONCATENATE("Table!",ADDRESS($AJ7,MATCH(AG$1,INDIRECT("Table!A" &amp; $AN7):INDIRECT("Table!" &amp; $AQ$85 &amp; $AN7),0))))/1024)</f>
        <v>104.8058701171875</v>
      </c>
      <c r="AH7" s="595">
        <f ca="1">IF(ISERROR(MATCH(AH$1,INDIRECT("Table!A"&amp;$AN7):INDIRECT("Table!" &amp; $AQ$85 &amp; $AN7),0)),"",INDIRECT(CONCATENATE("Table!",ADDRESS($AJ7,MATCH(AH$1,INDIRECT("Table!A" &amp; $AN7):INDIRECT("Table!" &amp; $AQ$85 &amp; $AN7),0))))/1024)</f>
        <v>0</v>
      </c>
      <c r="AI7" s="595"/>
      <c r="AJ7" s="595">
        <f>MATCH($A7,Table!$A:$A,0)+$AL$2-1</f>
        <v>67</v>
      </c>
      <c r="AK7" s="1033"/>
      <c r="AL7" s="1033"/>
      <c r="AM7" s="1033"/>
      <c r="AN7" s="595">
        <f>MATCH($A7,Table!$A:$A,0)+$AP$2-1</f>
        <v>59</v>
      </c>
      <c r="AO7" s="1033"/>
      <c r="AP7" s="1033"/>
      <c r="AQ7" s="1033" t="s">
        <v>302</v>
      </c>
      <c r="AR7" s="699">
        <f t="shared" ref="AR7" ca="1" si="4">SUM(B7:AH7)</f>
        <v>4107.0862089843749</v>
      </c>
      <c r="AS7" s="699">
        <f ca="1">AR7-AR43</f>
        <v>980.59177441406246</v>
      </c>
      <c r="AT7" s="699">
        <f ca="1">SUM(AS7:AS31)/10</f>
        <v>1751.6047353515619</v>
      </c>
    </row>
    <row r="8" spans="1:46" s="947" customFormat="1" x14ac:dyDescent="0.25">
      <c r="A8" s="592">
        <v>41942</v>
      </c>
      <c r="B8" s="595">
        <f ca="1">IF(ISERROR(MATCH(B$1,INDIRECT("Table!A"&amp;$AN8):INDIRECT("Table!" &amp; $AQ$108 &amp; $AN8),0)),"",INDIRECT(CONCATENATE("Table!",ADDRESS($AJ8,MATCH(B$1,INDIRECT("Table!A" &amp; $AN8):INDIRECT("Table!" &amp; $AQ$108 &amp; $AN8),0))))/1024)</f>
        <v>69.607166015624998</v>
      </c>
      <c r="C8" s="595">
        <f ca="1">IF(ISERROR(MATCH(C$1,INDIRECT("Table!A"&amp;$AN8):INDIRECT("Table!" &amp; $AQ$108 &amp; $AN8),0)),"",INDIRECT(CONCATENATE("Table!",ADDRESS($AJ8,MATCH(C$1,INDIRECT("Table!A" &amp; $AN8):INDIRECT("Table!" &amp; $AQ$108 &amp; $AN8),0))))/1024)</f>
        <v>63.416935546874996</v>
      </c>
      <c r="D8" s="595">
        <f ca="1">IF(ISERROR(MATCH(D$1,INDIRECT("Table!A"&amp;$AN8):INDIRECT("Table!" &amp; $AQ$108 &amp; $AN8),0)),"",INDIRECT(CONCATENATE("Table!",ADDRESS($AJ8,MATCH(D$1,INDIRECT("Table!A" &amp; $AN8):INDIRECT("Table!" &amp; $AQ$108 &amp; $AN8),0))))/1024)</f>
        <v>52.913299804687497</v>
      </c>
      <c r="E8" s="595">
        <f ca="1">IF(ISERROR(MATCH(E$1,INDIRECT("Table!A"&amp;$AN8):INDIRECT("Table!" &amp; $AQ$108 &amp; $AN8),0)),"",INDIRECT(CONCATENATE("Table!",ADDRESS($AJ8,MATCH(E$1,INDIRECT("Table!A" &amp; $AN8):INDIRECT("Table!" &amp; $AQ$108 &amp; $AN8),0))))/1024)</f>
        <v>157.521609375</v>
      </c>
      <c r="F8" s="595">
        <f ca="1">IF(ISERROR(MATCH(F$1,INDIRECT("Table!A"&amp;$AN8):INDIRECT("Table!" &amp; $AQ$108 &amp; $AN8),0)),"",INDIRECT(CONCATENATE("Table!",ADDRESS($AJ8,MATCH(F$1,INDIRECT("Table!A" &amp; $AN8):INDIRECT("Table!" &amp; $AQ$108 &amp; $AN8),0))))/1024)</f>
        <v>108.460740234375</v>
      </c>
      <c r="G8" s="595">
        <f ca="1">IF(ISERROR(MATCH(G$1,INDIRECT("Table!A"&amp;$AN8):INDIRECT("Table!" &amp; $AQ$108 &amp; $AN8),0)),"",INDIRECT(CONCATENATE("Table!",ADDRESS($AJ8,MATCH(G$1,INDIRECT("Table!A" &amp; $AN8):INDIRECT("Table!" &amp; $AQ$108 &amp; $AN8),0))))/1024)</f>
        <v>410.13569531249999</v>
      </c>
      <c r="H8" s="595">
        <f ca="1">IF(ISERROR(MATCH(H$1,INDIRECT("Table!A"&amp;$AN8):INDIRECT("Table!" &amp; $AQ$108 &amp; $AN8),0)),"",INDIRECT(CONCATENATE("Table!",ADDRESS($AJ8,MATCH(H$1,INDIRECT("Table!A" &amp; $AN8):INDIRECT("Table!" &amp; $AQ$108 &amp; $AN8),0))))/1024)</f>
        <v>184.02764941406249</v>
      </c>
      <c r="I8" s="595">
        <f ca="1">IF(ISERROR(MATCH(I$1,INDIRECT("Table!A"&amp;$AN8):INDIRECT("Table!" &amp; $AQ$85 &amp; $AN8),0)),"",INDIRECT(CONCATENATE("Table!",ADDRESS($AJ8,MATCH(I$1,INDIRECT("Table!A" &amp; $AN8):INDIRECT("Table!" &amp; $AQ$85 &amp; $AN8),0))))/1024)</f>
        <v>45.603559570312498</v>
      </c>
      <c r="J8" s="595">
        <f ca="1">IF(ISERROR(MATCH(J$1,INDIRECT("Table!A"&amp;$AN8):INDIRECT("Table!" &amp; $AQ$85 &amp; $AN8),0)),"",INDIRECT(CONCATENATE("Table!",ADDRESS($AJ8,MATCH(J$1,INDIRECT("Table!A" &amp; $AN8):INDIRECT("Table!" &amp; $AQ$85 &amp; $AN8),0))))/1024)</f>
        <v>200.19468749999999</v>
      </c>
      <c r="K8" s="595">
        <f ca="1">IF(ISERROR(MATCH(K$1,INDIRECT("Table!A"&amp;$AN8):INDIRECT("Table!" &amp; $AQ$85 &amp; $AN8),0)),"",INDIRECT(CONCATENATE("Table!",ADDRESS($AJ8,MATCH(K$1,INDIRECT("Table!A" &amp; $AN8):INDIRECT("Table!" &amp; $AQ$85 &amp; $AN8),0))))/1024)</f>
        <v>218.66659863281248</v>
      </c>
      <c r="L8" s="595">
        <f ca="1">IF(ISERROR(MATCH(L$1,INDIRECT("Table!A"&amp;$AN8):INDIRECT("Table!" &amp; $AQ$85 &amp; $AN8),0)),"",INDIRECT(CONCATENATE("Table!",ADDRESS($AJ8,MATCH(L$1,INDIRECT("Table!A" &amp; $AN8):INDIRECT("Table!" &amp; $AQ$85 &amp; $AN8),0))))/1024)</f>
        <v>124.29851074218749</v>
      </c>
      <c r="M8" s="595">
        <f ca="1">IF(ISERROR(MATCH(M$1,INDIRECT("Table!A"&amp;$AN8):INDIRECT("Table!" &amp; $AQ$85 &amp; $AN8),0)),"",INDIRECT(CONCATENATE("Table!",ADDRESS($AJ8,MATCH(M$1,INDIRECT("Table!A" &amp; $AN8):INDIRECT("Table!" &amp; $AQ$85 &amp; $AN8),0))))/1024)</f>
        <v>431.20882031249999</v>
      </c>
      <c r="N8" s="595">
        <f ca="1">IF(ISERROR(MATCH(N$1,INDIRECT("Table!A"&amp;$AN8):INDIRECT("Table!" &amp; $AQ$85 &amp; $AN8),0)),"",INDIRECT(CONCATENATE("Table!",ADDRESS($AJ8,MATCH(N$1,INDIRECT("Table!A" &amp; $AN8):INDIRECT("Table!" &amp; $AQ$85 &amp; $AN8),0))))/1024)</f>
        <v>113.13633984374999</v>
      </c>
      <c r="O8" s="595">
        <f ca="1">IF(ISERROR(MATCH(O$1,INDIRECT("Table!A"&amp;$AN8):INDIRECT("Table!" &amp; $AQ$85 &amp; $AN8),0)),"",INDIRECT(CONCATENATE("Table!",ADDRESS($AJ8,MATCH(O$1,INDIRECT("Table!A" &amp; $AN8):INDIRECT("Table!" &amp; $AQ$85 &amp; $AN8),0))))/1024)</f>
        <v>119.62291113281249</v>
      </c>
      <c r="P8" s="595">
        <f ca="1">IF(ISERROR(MATCH(P$1,INDIRECT("Table!A"&amp;$AN8):INDIRECT("Table!" &amp; $AQ$85 &amp; $AN8),0)),"",INDIRECT(CONCATENATE("Table!",ADDRESS($AJ8,MATCH(P$1,INDIRECT("Table!A" &amp; $AN8):INDIRECT("Table!" &amp; $AQ$85 &amp; $AN8),0))))/1024)</f>
        <v>60.354747070312499</v>
      </c>
      <c r="Q8" s="595">
        <f ca="1">IF(ISERROR(MATCH(Q$1,INDIRECT("Table!A"&amp;$AN8):INDIRECT("Table!" &amp; $AQ$85 &amp; $AN8),0)),"",INDIRECT(CONCATENATE("Table!",ADDRESS($AJ8,MATCH(Q$1,INDIRECT("Table!A" &amp; $AN8):INDIRECT("Table!" &amp; $AQ$85 &amp; $AN8),0))))/1024)</f>
        <v>155.0521025390625</v>
      </c>
      <c r="R8" s="595">
        <f ca="1">IF(ISERROR(MATCH(R$1,INDIRECT("Table!A"&amp;$AN8):INDIRECT("Table!" &amp; $AQ$85 &amp; $AN8),0)),"",INDIRECT(CONCATENATE("Table!",ADDRESS($AJ8,MATCH(R$1,INDIRECT("Table!A" &amp; $AN8):INDIRECT("Table!" &amp; $AQ$85 &amp; $AN8),0))))/1024)</f>
        <v>315.96516796874999</v>
      </c>
      <c r="S8" s="595">
        <f ca="1">IF(ISERROR(MATCH(S$1,INDIRECT("Table!A"&amp;$AN8):INDIRECT("Table!" &amp; $AQ$85 &amp; $AN8),0)),"",INDIRECT(CONCATENATE("Table!",ADDRESS($AJ8,MATCH(S$1,INDIRECT("Table!A" &amp; $AN8):INDIRECT("Table!" &amp; $AQ$85 &amp; $AN8),0))))/1024)</f>
        <v>59.827918945312497</v>
      </c>
      <c r="T8" s="595">
        <f ca="1">IF(ISERROR(MATCH(T$1,INDIRECT("Table!A"&amp;$AN8):INDIRECT("Table!" &amp; $AQ$85 &amp; $AN8),0)),"",INDIRECT(CONCATENATE("Table!",ADDRESS($AJ8,MATCH(T$1,INDIRECT("Table!A" &amp; $AN8):INDIRECT("Table!" &amp; $AQ$85 &amp; $AN8),0))))/1024)</f>
        <v>41.849909179687501</v>
      </c>
      <c r="U8" s="595">
        <f ca="1">IF(ISERROR(MATCH(U$1,INDIRECT("Table!A"&amp;$AN8):INDIRECT("Table!" &amp; $AQ$85 &amp; $AN8),0)),"",INDIRECT(CONCATENATE("Table!",ADDRESS($AJ8,MATCH(U$1,INDIRECT("Table!A" &amp; $AN8):INDIRECT("Table!" &amp; $AQ$85 &amp; $AN8),0))))/1024)</f>
        <v>62.297425781249999</v>
      </c>
      <c r="V8" s="595">
        <f ca="1">IF(ISERROR(MATCH(V$1,INDIRECT("Table!A"&amp;$AN8):INDIRECT("Table!" &amp; $AQ$85 &amp; $AN8),0)),"",INDIRECT(CONCATENATE("Table!",ADDRESS($AJ8,MATCH(V$1,INDIRECT("Table!A" &amp; $AN8):INDIRECT("Table!" &amp; $AQ$85 &amp; $AN8),0))))/1024)</f>
        <v>81.493725585937497</v>
      </c>
      <c r="W8" s="595">
        <f ca="1">IF(ISERROR(MATCH(W$1,INDIRECT("Table!A"&amp;$AN8):INDIRECT("Table!" &amp; $AQ$85 &amp; $AN8),0)),"",INDIRECT(CONCATENATE("Table!",ADDRESS($AJ8,MATCH(W$1,INDIRECT("Table!A" &amp; $AN8):INDIRECT("Table!" &amp; $AQ$85 &amp; $AN8),0))))/1024)</f>
        <v>73.591303710937495</v>
      </c>
      <c r="X8" s="595">
        <f ca="1">IF(ISERROR(MATCH(X$1,INDIRECT("Table!A"&amp;$AN8):INDIRECT("Table!" &amp; $AQ$85 &amp; $AN8),0)),"",INDIRECT(CONCATENATE("Table!",ADDRESS($AJ8,MATCH(X$1,INDIRECT("Table!A" &amp; $AN8):INDIRECT("Table!" &amp; $AQ$85 &amp; $AN8),0))))/1024)</f>
        <v>100.32783105468749</v>
      </c>
      <c r="Y8" s="595">
        <f ca="1">IF(ISERROR(MATCH(Y$1,INDIRECT("Table!A"&amp;$AN8):INDIRECT("Table!" &amp; $AQ$85 &amp; $AN8),0)),"",INDIRECT(CONCATENATE("Table!",ADDRESS($AJ8,MATCH(Y$1,INDIRECT("Table!A" &amp; $AN8):INDIRECT("Table!" &amp; $AQ$85 &amp; $AN8),0))))/1024)</f>
        <v>81.691286132812493</v>
      </c>
      <c r="Z8" s="595">
        <f ca="1">IF(ISERROR(MATCH(Z$1,INDIRECT("Table!A"&amp;$AN8):INDIRECT("Table!" &amp; $AQ$85 &amp; $AN8),0)),"",INDIRECT(CONCATENATE("Table!",ADDRESS($AJ8,MATCH(Z$1,INDIRECT("Table!A" &amp; $AN8):INDIRECT("Table!" &amp; $AQ$85 &amp; $AN8),0))))/1024)</f>
        <v>128.2826484375</v>
      </c>
      <c r="AA8" s="595">
        <f ca="1">IF(ISERROR(MATCH(AA$1,INDIRECT("Table!A"&amp;$AN8):INDIRECT("Table!" &amp; $AQ$85 &amp; $AN8),0)),"",INDIRECT(CONCATENATE("Table!",ADDRESS($AJ8,MATCH(AA$1,INDIRECT("Table!A" &amp; $AN8):INDIRECT("Table!" &amp; $AQ$85 &amp; $AN8),0))))/1024)</f>
        <v>232.00193554687499</v>
      </c>
      <c r="AB8" s="595">
        <f ca="1">IF(ISERROR(MATCH(AB$1,INDIRECT("Table!A"&amp;$AN8):INDIRECT("Table!" &amp; $AQ$85 &amp; $AN8),0)),"",INDIRECT(CONCATENATE("Table!",ADDRESS($AJ8,MATCH(AB$1,INDIRECT("Table!A" &amp; $AN8):INDIRECT("Table!" &amp; $AQ$85 &amp; $AN8),0))))/1024)</f>
        <v>0</v>
      </c>
      <c r="AC8" s="595">
        <f ca="1">IF(ISERROR(MATCH(AC$1,INDIRECT("Table!A"&amp;$AN8):INDIRECT("Table!" &amp; $AQ$85 &amp; $AN8),0)),"",INDIRECT(CONCATENATE("Table!",ADDRESS($AJ8,MATCH(AC$1,INDIRECT("Table!A" &amp; $AN8):INDIRECT("Table!" &amp; $AQ$85 &amp; $AN8),0))))/1024)</f>
        <v>116.7253564453125</v>
      </c>
      <c r="AD8" s="595">
        <f ca="1">IF(ISERROR(MATCH(AD$1,INDIRECT("Table!A"&amp;$AN8):INDIRECT("Table!" &amp; $AQ$85 &amp; $AN8),0)),"",INDIRECT(CONCATENATE("Table!",ADDRESS($AJ8,MATCH(AD$1,INDIRECT("Table!A" &amp; $AN8):INDIRECT("Table!" &amp; $AQ$85 &amp; $AN8),0))))/1024)</f>
        <v>125.12167968749999</v>
      </c>
      <c r="AE8" s="595">
        <f ca="1">IF(ISERROR(MATCH(AE$1,INDIRECT("Table!A"&amp;$AN8):INDIRECT("Table!" &amp; $AQ$85 &amp; $AN8),0)),"",INDIRECT(CONCATENATE("Table!",ADDRESS($AJ8,MATCH(AE$1,INDIRECT("Table!A" &amp; $AN8):INDIRECT("Table!" &amp; $AQ$85 &amp; $AN8),0))))/1024)</f>
        <v>32.367002929687501</v>
      </c>
      <c r="AF8" s="595">
        <f ca="1">IF(ISERROR(MATCH(AF$1,INDIRECT("Table!A"&amp;$AN8):INDIRECT("Table!" &amp; $AQ$85 &amp; $AN8),0)),"",INDIRECT(CONCATENATE("Table!",ADDRESS($AJ8,MATCH(AF$1,INDIRECT("Table!A" &amp; $AN8):INDIRECT("Table!" &amp; $AQ$85 &amp; $AN8),0))))/1024)</f>
        <v>32.893831054687496</v>
      </c>
      <c r="AG8" s="595">
        <f ca="1">IF(ISERROR(MATCH(AG$1,INDIRECT("Table!A"&amp;$AN8):INDIRECT("Table!" &amp; $AQ$85 &amp; $AN8),0)),"",INDIRECT(CONCATENATE("Table!",ADDRESS($AJ8,MATCH(AG$1,INDIRECT("Table!A" &amp; $AN8):INDIRECT("Table!" &amp; $AQ$85 &amp; $AN8),0))))/1024)</f>
        <v>104.8058701171875</v>
      </c>
      <c r="AH8" s="595">
        <f ca="1">IF(ISERROR(MATCH(AH$1,INDIRECT("Table!A"&amp;$AN8):INDIRECT("Table!" &amp; $AQ$85 &amp; $AN8),0)),"",INDIRECT(CONCATENATE("Table!",ADDRESS($AJ8,MATCH(AH$1,INDIRECT("Table!A" &amp; $AN8):INDIRECT("Table!" &amp; $AQ$85 &amp; $AN8),0))))/1024)</f>
        <v>0</v>
      </c>
      <c r="AI8" s="595"/>
      <c r="AJ8" s="595">
        <f>MATCH($A8,Table!$A:$A,0)+$AL$2-1</f>
        <v>81</v>
      </c>
      <c r="AK8" s="1029"/>
      <c r="AL8" s="1029"/>
      <c r="AM8" s="1029"/>
      <c r="AN8" s="595">
        <f>MATCH($A8,Table!$A:$A,0)+$AP$2-1</f>
        <v>73</v>
      </c>
      <c r="AO8" s="1029"/>
      <c r="AP8" s="1029"/>
      <c r="AQ8" s="1029" t="s">
        <v>302</v>
      </c>
      <c r="AR8" s="699">
        <f t="shared" ref="AR8" ca="1" si="5">SUM(B8:AH8)</f>
        <v>4103.4642656250007</v>
      </c>
      <c r="AS8" s="699">
        <f ca="1">AR8-AR43</f>
        <v>976.96983105468826</v>
      </c>
      <c r="AT8" s="699">
        <f ca="1">SUM(AS8:AS31)/10</f>
        <v>1653.5455579101556</v>
      </c>
    </row>
    <row r="9" spans="1:46" s="947" customFormat="1" x14ac:dyDescent="0.25">
      <c r="A9" s="592">
        <v>41935</v>
      </c>
      <c r="B9" s="595">
        <f ca="1">IF(ISERROR(MATCH(B$1,INDIRECT("Table!A"&amp;$AN9):INDIRECT("Table!" &amp; $AQ$108 &amp; $AN9),0)),"",INDIRECT(CONCATENATE("Table!",ADDRESS($AJ9,MATCH(B$1,INDIRECT("Table!A" &amp; $AN9):INDIRECT("Table!" &amp; $AQ$108 &amp; $AN9),0))))/1024)</f>
        <v>69.607166015624998</v>
      </c>
      <c r="C9" s="595">
        <f ca="1">IF(ISERROR(MATCH(C$1,INDIRECT("Table!A"&amp;$AN9):INDIRECT("Table!" &amp; $AQ$108 &amp; $AN9),0)),"",INDIRECT(CONCATENATE("Table!",ADDRESS($AJ9,MATCH(C$1,INDIRECT("Table!A" &amp; $AN9):INDIRECT("Table!" &amp; $AQ$108 &amp; $AN9),0))))/1024)</f>
        <v>65.359614257812495</v>
      </c>
      <c r="D9" s="595">
        <f ca="1">IF(ISERROR(MATCH(D$1,INDIRECT("Table!A"&amp;$AN9):INDIRECT("Table!" &amp; $AQ$108 &amp; $AN9),0)),"",INDIRECT(CONCATENATE("Table!",ADDRESS($AJ9,MATCH(D$1,INDIRECT("Table!A" &amp; $AN9):INDIRECT("Table!" &amp; $AQ$108 &amp; $AN9),0))))/1024)</f>
        <v>53.407201171874995</v>
      </c>
      <c r="E9" s="595">
        <f ca="1">IF(ISERROR(MATCH(E$1,INDIRECT("Table!A"&amp;$AN9):INDIRECT("Table!" &amp; $AQ$108 &amp; $AN9),0)),"",INDIRECT(CONCATENATE("Table!",ADDRESS($AJ9,MATCH(E$1,INDIRECT("Table!A" &amp; $AN9):INDIRECT("Table!" &amp; $AQ$108 &amp; $AN9),0))))/1024)</f>
        <v>157.521609375</v>
      </c>
      <c r="F9" s="595">
        <f ca="1">IF(ISERROR(MATCH(F$1,INDIRECT("Table!A"&amp;$AN9):INDIRECT("Table!" &amp; $AQ$108 &amp; $AN9),0)),"",INDIRECT(CONCATENATE("Table!",ADDRESS($AJ9,MATCH(F$1,INDIRECT("Table!A" &amp; $AN9):INDIRECT("Table!" &amp; $AQ$108 &amp; $AN9),0))))/1024)</f>
        <v>108.592447265625</v>
      </c>
      <c r="G9" s="595">
        <f ca="1">IF(ISERROR(MATCH(G$1,INDIRECT("Table!A"&amp;$AN9):INDIRECT("Table!" &amp; $AQ$108 &amp; $AN9),0)),"",INDIRECT(CONCATENATE("Table!",ADDRESS($AJ9,MATCH(G$1,INDIRECT("Table!A" &amp; $AN9):INDIRECT("Table!" &amp; $AQ$108 &amp; $AN9),0))))/1024)</f>
        <v>410.33325585937496</v>
      </c>
      <c r="H9" s="595">
        <f ca="1">IF(ISERROR(MATCH(H$1,INDIRECT("Table!A"&amp;$AN9):INDIRECT("Table!" &amp; $AQ$108 &amp; $AN9),0)),"",INDIRECT(CONCATENATE("Table!",ADDRESS($AJ9,MATCH(H$1,INDIRECT("Table!A" &amp; $AN9):INDIRECT("Table!" &amp; $AQ$108 &amp; $AN9),0))))/1024)</f>
        <v>186.06910839843749</v>
      </c>
      <c r="I9" s="595">
        <f ca="1">IF(ISERROR(MATCH(I$1,INDIRECT("Table!A"&amp;$AN9):INDIRECT("Table!" &amp; $AQ$85 &amp; $AN9),0)),"",INDIRECT(CONCATENATE("Table!",ADDRESS($AJ9,MATCH(I$1,INDIRECT("Table!A" &amp; $AN9):INDIRECT("Table!" &amp; $AQ$85 &amp; $AN9),0))))/1024)</f>
        <v>45.603559570312498</v>
      </c>
      <c r="J9" s="595">
        <f ca="1">IF(ISERROR(MATCH(J$1,INDIRECT("Table!A"&amp;$AN9):INDIRECT("Table!" &amp; $AQ$85 &amp; $AN9),0)),"",INDIRECT(CONCATENATE("Table!",ADDRESS($AJ9,MATCH(J$1,INDIRECT("Table!A" &amp; $AN9):INDIRECT("Table!" &amp; $AQ$85 &amp; $AN9),0))))/1024)</f>
        <v>199.70078613281248</v>
      </c>
      <c r="K9" s="595">
        <f ca="1">IF(ISERROR(MATCH(K$1,INDIRECT("Table!A"&amp;$AN9):INDIRECT("Table!" &amp; $AQ$85 &amp; $AN9),0)),"",INDIRECT(CONCATENATE("Table!",ADDRESS($AJ9,MATCH(K$1,INDIRECT("Table!A" &amp; $AN9):INDIRECT("Table!" &amp; $AQ$85 &amp; $AN9),0))))/1024)</f>
        <v>218.3373310546875</v>
      </c>
      <c r="L9" s="595">
        <f ca="1">IF(ISERROR(MATCH(L$1,INDIRECT("Table!A"&amp;$AN9):INDIRECT("Table!" &amp; $AQ$85 &amp; $AN9),0)),"",INDIRECT(CONCATENATE("Table!",ADDRESS($AJ9,MATCH(L$1,INDIRECT("Table!A" &amp; $AN9):INDIRECT("Table!" &amp; $AQ$85 &amp; $AN9),0))))/1024)</f>
        <v>125.0887529296875</v>
      </c>
      <c r="M9" s="595">
        <f ca="1">IF(ISERROR(MATCH(M$1,INDIRECT("Table!A"&amp;$AN9):INDIRECT("Table!" &amp; $AQ$85 &amp; $AN9),0)),"",INDIRECT(CONCATENATE("Table!",ADDRESS($AJ9,MATCH(M$1,INDIRECT("Table!A" &amp; $AN9):INDIRECT("Table!" &amp; $AQ$85 &amp; $AN9),0))))/1024)</f>
        <v>431.20882031249999</v>
      </c>
      <c r="N9" s="595">
        <f ca="1">IF(ISERROR(MATCH(N$1,INDIRECT("Table!A"&amp;$AN9):INDIRECT("Table!" &amp; $AQ$85 &amp; $AN9),0)),"",INDIRECT(CONCATENATE("Table!",ADDRESS($AJ9,MATCH(N$1,INDIRECT("Table!A" &amp; $AN9):INDIRECT("Table!" &amp; $AQ$85 &amp; $AN9),0))))/1024)</f>
        <v>113.13633984374999</v>
      </c>
      <c r="O9" s="595">
        <f ca="1">IF(ISERROR(MATCH(O$1,INDIRECT("Table!A"&amp;$AN9):INDIRECT("Table!" &amp; $AQ$85 &amp; $AN9),0)),"",INDIRECT(CONCATENATE("Table!",ADDRESS($AJ9,MATCH(O$1,INDIRECT("Table!A" &amp; $AN9):INDIRECT("Table!" &amp; $AQ$85 &amp; $AN9),0))))/1024)</f>
        <v>130.02776660156252</v>
      </c>
      <c r="P9" s="595">
        <f ca="1">IF(ISERROR(MATCH(P$1,INDIRECT("Table!A"&amp;$AN9):INDIRECT("Table!" &amp; $AQ$85 &amp; $AN9),0)),"",INDIRECT(CONCATENATE("Table!",ADDRESS($AJ9,MATCH(P$1,INDIRECT("Table!A" &amp; $AN9):INDIRECT("Table!" &amp; $AQ$85 &amp; $AN9),0))))/1024)</f>
        <v>60.354747070312499</v>
      </c>
      <c r="Q9" s="595">
        <f ca="1">IF(ISERROR(MATCH(Q$1,INDIRECT("Table!A"&amp;$AN9):INDIRECT("Table!" &amp; $AQ$85 &amp; $AN9),0)),"",INDIRECT(CONCATENATE("Table!",ADDRESS($AJ9,MATCH(Q$1,INDIRECT("Table!A" &amp; $AN9):INDIRECT("Table!" &amp; $AQ$85 &amp; $AN9),0))))/1024)</f>
        <v>154.558201171875</v>
      </c>
      <c r="R9" s="595">
        <f ca="1">IF(ISERROR(MATCH(R$1,INDIRECT("Table!A"&amp;$AN9):INDIRECT("Table!" &amp; $AQ$85 &amp; $AN9),0)),"",INDIRECT(CONCATENATE("Table!",ADDRESS($AJ9,MATCH(R$1,INDIRECT("Table!A" &amp; $AN9):INDIRECT("Table!" &amp; $AQ$85 &amp; $AN9),0))))/1024)</f>
        <v>315.96516796874999</v>
      </c>
      <c r="S9" s="595">
        <v>0</v>
      </c>
      <c r="T9" s="595">
        <f ca="1">IF(ISERROR(MATCH(T$1,INDIRECT("Table!A"&amp;$AN9):INDIRECT("Table!" &amp; $AQ$85 &amp; $AN9),0)),"",INDIRECT(CONCATENATE("Table!",ADDRESS($AJ9,MATCH(T$1,INDIRECT("Table!A" &amp; $AN9):INDIRECT("Table!" &amp; $AQ$85 &amp; $AN9),0))))/1024)</f>
        <v>39.413329101562496</v>
      </c>
      <c r="U9" s="595">
        <f ca="1">IF(ISERROR(MATCH(U$1,INDIRECT("Table!A"&amp;$AN9):INDIRECT("Table!" &amp; $AQ$85 &amp; $AN9),0)),"",INDIRECT(CONCATENATE("Table!",ADDRESS($AJ9,MATCH(U$1,INDIRECT("Table!A" &amp; $AN9):INDIRECT("Table!" &amp; $AQ$85 &amp; $AN9),0))))/1024)</f>
        <v>62.297425781249999</v>
      </c>
      <c r="V9" s="595">
        <f ca="1">IF(ISERROR(MATCH(V$1,INDIRECT("Table!A"&amp;$AN9):INDIRECT("Table!" &amp; $AQ$85 &amp; $AN9),0)),"",INDIRECT(CONCATENATE("Table!",ADDRESS($AJ9,MATCH(V$1,INDIRECT("Table!A" &amp; $AN9):INDIRECT("Table!" &amp; $AQ$85 &amp; $AN9),0))))/1024)</f>
        <v>81.757139648437501</v>
      </c>
      <c r="W9" s="595">
        <f ca="1">IF(ISERROR(MATCH(W$1,INDIRECT("Table!A"&amp;$AN9):INDIRECT("Table!" &amp; $AQ$85 &amp; $AN9),0)),"",INDIRECT(CONCATENATE("Table!",ADDRESS($AJ9,MATCH(W$1,INDIRECT("Table!A" &amp; $AN9):INDIRECT("Table!" &amp; $AQ$85 &amp; $AN9),0))))/1024)</f>
        <v>71.088870117187497</v>
      </c>
      <c r="X9" s="595">
        <f ca="1">IF(ISERROR(MATCH(X$1,INDIRECT("Table!A"&amp;$AN9):INDIRECT("Table!" &amp; $AQ$85 &amp; $AN9),0)),"",INDIRECT(CONCATENATE("Table!",ADDRESS($AJ9,MATCH(X$1,INDIRECT("Table!A" &amp; $AN9):INDIRECT("Table!" &amp; $AQ$85 &amp; $AN9),0))))/1024)</f>
        <v>97.825397460937495</v>
      </c>
      <c r="Y9" s="595">
        <f ca="1">IF(ISERROR(MATCH(Y$1,INDIRECT("Table!A"&amp;$AN9):INDIRECT("Table!" &amp; $AQ$85 &amp; $AN9),0)),"",INDIRECT(CONCATENATE("Table!",ADDRESS($AJ9,MATCH(Y$1,INDIRECT("Table!A" &amp; $AN9):INDIRECT("Table!" &amp; $AQ$85 &amp; $AN9),0))))/1024)</f>
        <v>73.294962890625001</v>
      </c>
      <c r="Z9" s="595">
        <f ca="1">IF(ISERROR(MATCH(Z$1,INDIRECT("Table!A"&amp;$AN9):INDIRECT("Table!" &amp; $AQ$85 &amp; $AN9),0)),"",INDIRECT(CONCATENATE("Table!",ADDRESS($AJ9,MATCH(Z$1,INDIRECT("Table!A" &amp; $AN9):INDIRECT("Table!" &amp; $AQ$85 &amp; $AN9),0))))/1024)</f>
        <v>123.475341796875</v>
      </c>
      <c r="AA9" s="595">
        <f ca="1">IF(ISERROR(MATCH(AA$1,INDIRECT("Table!A"&amp;$AN9):INDIRECT("Table!" &amp; $AQ$85 &amp; $AN9),0)),"",INDIRECT(CONCATENATE("Table!",ADDRESS($AJ9,MATCH(AA$1,INDIRECT("Table!A" &amp; $AN9):INDIRECT("Table!" &amp; $AQ$85 &amp; $AN9),0))))/1024)</f>
        <v>224.3300009765625</v>
      </c>
      <c r="AB9" s="595">
        <f ca="1">IF(ISERROR(MATCH(AB$1,INDIRECT("Table!A"&amp;$AN9):INDIRECT("Table!" &amp; $AQ$85 &amp; $AN9),0)),"",INDIRECT(CONCATENATE("Table!",ADDRESS($AJ9,MATCH(AB$1,INDIRECT("Table!A" &amp; $AN9):INDIRECT("Table!" &amp; $AQ$85 &amp; $AN9),0))))/1024)</f>
        <v>0</v>
      </c>
      <c r="AC9" s="595">
        <f ca="1">IF(ISERROR(MATCH(AC$1,INDIRECT("Table!A"&amp;$AN9):INDIRECT("Table!" &amp; $AQ$85 &amp; $AN9),0)),"",INDIRECT(CONCATENATE("Table!",ADDRESS($AJ9,MATCH(AC$1,INDIRECT("Table!A" &amp; $AN9):INDIRECT("Table!" &amp; $AQ$85 &amp; $AN9),0))))/1024)</f>
        <v>115.704626953125</v>
      </c>
      <c r="AD9" s="595">
        <f ca="1">IF(ISERROR(MATCH(AD$1,INDIRECT("Table!A"&amp;$AN9):INDIRECT("Table!" &amp; $AQ$85 &amp; $AN9),0)),"",INDIRECT(CONCATENATE("Table!",ADDRESS($AJ9,MATCH(AD$1,INDIRECT("Table!A" &amp; $AN9):INDIRECT("Table!" &amp; $AQ$85 &amp; $AN9),0))))/1024)</f>
        <v>118.96437597656249</v>
      </c>
      <c r="AE9" s="595">
        <f ca="1">IF(ISERROR(MATCH(AE$1,INDIRECT("Table!A"&amp;$AN9):INDIRECT("Table!" &amp; $AQ$85 &amp; $AN9),0)),"",INDIRECT(CONCATENATE("Table!",ADDRESS($AJ9,MATCH(AE$1,INDIRECT("Table!A" &amp; $AN9):INDIRECT("Table!" &amp; $AQ$85 &amp; $AN9),0))))/1024)</f>
        <v>27.856037109374999</v>
      </c>
      <c r="AF9" s="595">
        <f ca="1">IF(ISERROR(MATCH(AF$1,INDIRECT("Table!A"&amp;$AN9):INDIRECT("Table!" &amp; $AQ$85 &amp; $AN9),0)),"",INDIRECT(CONCATENATE("Table!",ADDRESS($AJ9,MATCH(AF$1,INDIRECT("Table!A" &amp; $AN9):INDIRECT("Table!" &amp; $AQ$85 &amp; $AN9),0))))/1024)</f>
        <v>27.856037109374999</v>
      </c>
      <c r="AG9" s="595">
        <f ca="1">IF(ISERROR(MATCH(AG$1,INDIRECT("Table!A"&amp;$AN9):INDIRECT("Table!" &amp; $AQ$85 &amp; $AN9),0)),"",INDIRECT(CONCATENATE("Table!",ADDRESS($AJ9,MATCH(AG$1,INDIRECT("Table!A" &amp; $AN9):INDIRECT("Table!" &amp; $AQ$85 &amp; $AN9),0))))/1024)</f>
        <v>104.8058701171875</v>
      </c>
      <c r="AH9" s="595">
        <f ca="1">IF(ISERROR(MATCH(AH$1,INDIRECT("Table!A"&amp;$AN9):INDIRECT("Table!" &amp; $AQ$85 &amp; $AN9),0)),"",INDIRECT(CONCATENATE("Table!",ADDRESS($AJ9,MATCH(AH$1,INDIRECT("Table!A" &amp; $AN9):INDIRECT("Table!" &amp; $AQ$85 &amp; $AN9),0))))/1024)</f>
        <v>0</v>
      </c>
      <c r="AI9" s="595"/>
      <c r="AJ9" s="595">
        <f>MATCH($A9,Table!$A:$A,0)+$AL$2-1</f>
        <v>95</v>
      </c>
      <c r="AK9" s="1026"/>
      <c r="AL9" s="1026"/>
      <c r="AM9" s="1026"/>
      <c r="AN9" s="595">
        <f>MATCH($A9,Table!$A:$A,0)+$AP$2-1</f>
        <v>87</v>
      </c>
      <c r="AO9" s="1026"/>
      <c r="AP9" s="1026"/>
      <c r="AQ9" s="1026" t="s">
        <v>302</v>
      </c>
      <c r="AR9" s="699">
        <f t="shared" ref="AR9" ca="1" si="6">SUM(B9:AH9)</f>
        <v>4013.5412900390629</v>
      </c>
      <c r="AS9" s="699">
        <f ca="1">AR9-AR43</f>
        <v>887.04685546875044</v>
      </c>
      <c r="AT9" s="699">
        <f ca="1">SUM(AS9:AS31)/10</f>
        <v>1555.8485748046867</v>
      </c>
    </row>
    <row r="10" spans="1:46" s="947" customFormat="1" x14ac:dyDescent="0.25">
      <c r="A10" s="592">
        <v>41928</v>
      </c>
      <c r="B10" s="595">
        <f ca="1">IF(ISERROR(MATCH(B$1,INDIRECT("Table!A"&amp;$AN10):INDIRECT("Table!" &amp; $AQ$108 &amp; $AN10),0)),"",INDIRECT(CONCATENATE("Table!",ADDRESS($AJ10,MATCH(B$1,INDIRECT("Table!A" &amp; $AN10):INDIRECT("Table!" &amp; $AQ$108 &amp; $AN10),0))))/1024)</f>
        <v>69.607166015624998</v>
      </c>
      <c r="C10" s="595">
        <f ca="1">IF(ISERROR(MATCH(C$1,INDIRECT("Table!A"&amp;$AN10):INDIRECT("Table!" &amp; $AQ$108 &amp; $AN10),0)),"",INDIRECT(CONCATENATE("Table!",ADDRESS($AJ10,MATCH(C$1,INDIRECT("Table!A" &amp; $AN10):INDIRECT("Table!" &amp; $AQ$108 &amp; $AN10),0))))/1024)</f>
        <v>65.787662109374992</v>
      </c>
      <c r="D10" s="595">
        <f ca="1">IF(ISERROR(MATCH(D$1,INDIRECT("Table!A"&amp;$AN10):INDIRECT("Table!" &amp; $AQ$108 &amp; $AN10),0)),"",INDIRECT(CONCATENATE("Table!",ADDRESS($AJ10,MATCH(D$1,INDIRECT("Table!A" &amp; $AN10):INDIRECT("Table!" &amp; $AQ$108 &amp; $AN10),0))))/1024)</f>
        <v>53.802322265625001</v>
      </c>
      <c r="E10" s="595">
        <f ca="1">IF(ISERROR(MATCH(E$1,INDIRECT("Table!A"&amp;$AN10):INDIRECT("Table!" &amp; $AQ$108 &amp; $AN10),0)),"",INDIRECT(CONCATENATE("Table!",ADDRESS($AJ10,MATCH(E$1,INDIRECT("Table!A" &amp; $AN10):INDIRECT("Table!" &amp; $AQ$108 &amp; $AN10),0))))/1024)</f>
        <v>157.88380371093749</v>
      </c>
      <c r="F10" s="595">
        <f ca="1">IF(ISERROR(MATCH(F$1,INDIRECT("Table!A"&amp;$AN10):INDIRECT("Table!" &amp; $AQ$108 &amp; $AN10),0)),"",INDIRECT(CONCATENATE("Table!",ADDRESS($AJ10,MATCH(F$1,INDIRECT("Table!A" &amp; $AN10):INDIRECT("Table!" &amp; $AQ$108 &amp; $AN10),0))))/1024)</f>
        <v>110.83146679687499</v>
      </c>
      <c r="G10" s="595">
        <f ca="1">IF(ISERROR(MATCH(G$1,INDIRECT("Table!A"&amp;$AN10):INDIRECT("Table!" &amp; $AQ$108 &amp; $AN10),0)),"",INDIRECT(CONCATENATE("Table!",ADDRESS($AJ10,MATCH(G$1,INDIRECT("Table!A" &amp; $AN10):INDIRECT("Table!" &amp; $AQ$108 &amp; $AN10),0))))/1024)</f>
        <v>410.33325585937496</v>
      </c>
      <c r="H10" s="595">
        <f ca="1">IF(ISERROR(MATCH(H$1,INDIRECT("Table!A"&amp;$AN10):INDIRECT("Table!" &amp; $AQ$108 &amp; $AN10),0)),"",INDIRECT(CONCATENATE("Table!",ADDRESS($AJ10,MATCH(H$1,INDIRECT("Table!A" &amp; $AN10):INDIRECT("Table!" &amp; $AQ$108 &amp; $AN10),0))))/1024)</f>
        <v>186.06910839843749</v>
      </c>
      <c r="I10" s="595">
        <f ca="1">IF(ISERROR(MATCH(I$1,INDIRECT("Table!A"&amp;$AN10):INDIRECT("Table!" &amp; $AQ$85 &amp; $AN10),0)),"",INDIRECT(CONCATENATE("Table!",ADDRESS($AJ10,MATCH(I$1,INDIRECT("Table!A" &amp; $AN10):INDIRECT("Table!" &amp; $AQ$85 &amp; $AN10),0))))/1024)</f>
        <v>45.603559570312498</v>
      </c>
      <c r="J10" s="595">
        <f ca="1">IF(ISERROR(MATCH(J$1,INDIRECT("Table!A"&amp;$AN10):INDIRECT("Table!" &amp; $AQ$85 &amp; $AN10),0)),"",INDIRECT(CONCATENATE("Table!",ADDRESS($AJ10,MATCH(J$1,INDIRECT("Table!A" &amp; $AN10):INDIRECT("Table!" &amp; $AQ$85 &amp; $AN10),0))))/1024)</f>
        <v>199.89834667968751</v>
      </c>
      <c r="K10" s="595">
        <f ca="1">IF(ISERROR(MATCH(K$1,INDIRECT("Table!A"&amp;$AN10):INDIRECT("Table!" &amp; $AQ$85 &amp; $AN10),0)),"",INDIRECT(CONCATENATE("Table!",ADDRESS($AJ10,MATCH(K$1,INDIRECT("Table!A" &amp; $AN10):INDIRECT("Table!" &amp; $AQ$85 &amp; $AN10),0))))/1024)</f>
        <v>218.3373310546875</v>
      </c>
      <c r="L10" s="595">
        <f ca="1">IF(ISERROR(MATCH(L$1,INDIRECT("Table!A"&amp;$AN10):INDIRECT("Table!" &amp; $AQ$85 &amp; $AN10),0)),"",INDIRECT(CONCATENATE("Table!",ADDRESS($AJ10,MATCH(L$1,INDIRECT("Table!A" &amp; $AN10):INDIRECT("Table!" &amp; $AQ$85 &amp; $AN10),0))))/1024)</f>
        <v>131.87166503906249</v>
      </c>
      <c r="M10" s="595">
        <f ca="1">IF(ISERROR(MATCH(M$1,INDIRECT("Table!A"&amp;$AN10):INDIRECT("Table!" &amp; $AQ$85 &amp; $AN10),0)),"",INDIRECT(CONCATENATE("Table!",ADDRESS($AJ10,MATCH(M$1,INDIRECT("Table!A" &amp; $AN10):INDIRECT("Table!" &amp; $AQ$85 &amp; $AN10),0))))/1024)</f>
        <v>436.90514941406246</v>
      </c>
      <c r="N10" s="595">
        <f ca="1">IF(ISERROR(MATCH(N$1,INDIRECT("Table!A"&amp;$AN10):INDIRECT("Table!" &amp; $AQ$85 &amp; $AN10),0)),"",INDIRECT(CONCATENATE("Table!",ADDRESS($AJ10,MATCH(N$1,INDIRECT("Table!A" &amp; $AN10):INDIRECT("Table!" &amp; $AQ$85 &amp; $AN10),0))))/1024)</f>
        <v>113.13633984374999</v>
      </c>
      <c r="O10" s="595">
        <f ca="1">IF(ISERROR(MATCH(O$1,INDIRECT("Table!A"&amp;$AN10):INDIRECT("Table!" &amp; $AQ$85 &amp; $AN10),0)),"",INDIRECT(CONCATENATE("Table!",ADDRESS($AJ10,MATCH(O$1,INDIRECT("Table!A" &amp; $AN10):INDIRECT("Table!" &amp; $AQ$85 &amp; $AN10),0))))/1024)</f>
        <v>133.61678320312501</v>
      </c>
      <c r="P10" s="595">
        <f ca="1">IF(ISERROR(MATCH(P$1,INDIRECT("Table!A"&amp;$AN10):INDIRECT("Table!" &amp; $AQ$85 &amp; $AN10),0)),"",INDIRECT(CONCATENATE("Table!",ADDRESS($AJ10,MATCH(P$1,INDIRECT("Table!A" &amp; $AN10):INDIRECT("Table!" &amp; $AQ$85 &amp; $AN10),0))))/1024)</f>
        <v>60.354747070312499</v>
      </c>
      <c r="Q10" s="595">
        <f ca="1">IF(ISERROR(MATCH(Q$1,INDIRECT("Table!A"&amp;$AN10):INDIRECT("Table!" &amp; $AQ$85 &amp; $AN10),0)),"",INDIRECT(CONCATENATE("Table!",ADDRESS($AJ10,MATCH(Q$1,INDIRECT("Table!A" &amp; $AN10):INDIRECT("Table!" &amp; $AQ$85 &amp; $AN10),0))))/1024)</f>
        <v>154.558201171875</v>
      </c>
      <c r="R10" s="595">
        <f ca="1">IF(ISERROR(MATCH(R$1,INDIRECT("Table!A"&amp;$AN10):INDIRECT("Table!" &amp; $AQ$85 &amp; $AN10),0)),"",INDIRECT(CONCATENATE("Table!",ADDRESS($AJ10,MATCH(R$1,INDIRECT("Table!A" &amp; $AN10):INDIRECT("Table!" &amp; $AQ$85 &amp; $AN10),0))))/1024)</f>
        <v>315.96516796874999</v>
      </c>
      <c r="S10" s="595">
        <v>0</v>
      </c>
      <c r="T10" s="595">
        <f ca="1">IF(ISERROR(MATCH(T$1,INDIRECT("Table!A"&amp;$AN10):INDIRECT("Table!" &amp; $AQ$85 &amp; $AN10),0)),"",INDIRECT(CONCATENATE("Table!",ADDRESS($AJ10,MATCH(T$1,INDIRECT("Table!A" &amp; $AN10):INDIRECT("Table!" &amp; $AQ$85 &amp; $AN10),0))))/1024)</f>
        <v>39.413329101562496</v>
      </c>
      <c r="U10" s="595">
        <f ca="1">IF(ISERROR(MATCH(U$1,INDIRECT("Table!A"&amp;$AN10):INDIRECT("Table!" &amp; $AQ$85 &amp; $AN10),0)),"",INDIRECT(CONCATENATE("Table!",ADDRESS($AJ10,MATCH(U$1,INDIRECT("Table!A" &amp; $AN10):INDIRECT("Table!" &amp; $AQ$85 &amp; $AN10),0))))/1024)</f>
        <v>62.297425781249999</v>
      </c>
      <c r="V10" s="595">
        <f ca="1">IF(ISERROR(MATCH(V$1,INDIRECT("Table!A"&amp;$AN10):INDIRECT("Table!" &amp; $AQ$85 &amp; $AN10),0)),"",INDIRECT(CONCATENATE("Table!",ADDRESS($AJ10,MATCH(V$1,INDIRECT("Table!A" &amp; $AN10):INDIRECT("Table!" &amp; $AQ$85 &amp; $AN10),0))))/1024)</f>
        <v>83.107136718749999</v>
      </c>
      <c r="W10" s="595">
        <f ca="1">IF(ISERROR(MATCH(W$1,INDIRECT("Table!A"&amp;$AN10):INDIRECT("Table!" &amp; $AQ$85 &amp; $AN10),0)),"",INDIRECT(CONCATENATE("Table!",ADDRESS($AJ10,MATCH(W$1,INDIRECT("Table!A" &amp; $AN10):INDIRECT("Table!" &amp; $AQ$85 &amp; $AN10),0))))/1024)</f>
        <v>71.088870117187497</v>
      </c>
      <c r="X10" s="595">
        <f ca="1">IF(ISERROR(MATCH(X$1,INDIRECT("Table!A"&amp;$AN10):INDIRECT("Table!" &amp; $AQ$85 &amp; $AN10),0)),"",INDIRECT(CONCATENATE("Table!",ADDRESS($AJ10,MATCH(X$1,INDIRECT("Table!A" &amp; $AN10):INDIRECT("Table!" &amp; $AQ$85 &amp; $AN10),0))))/1024)</f>
        <v>97.825397460937495</v>
      </c>
      <c r="Y10" s="595">
        <f ca="1">IF(ISERROR(MATCH(Y$1,INDIRECT("Table!A"&amp;$AN10):INDIRECT("Table!" &amp; $AQ$85 &amp; $AN10),0)),"",INDIRECT(CONCATENATE("Table!",ADDRESS($AJ10,MATCH(Y$1,INDIRECT("Table!A" &amp; $AN10):INDIRECT("Table!" &amp; $AQ$85 &amp; $AN10),0))))/1024)</f>
        <v>61.2766962890625</v>
      </c>
      <c r="Z10" s="595">
        <f ca="1">IF(ISERROR(MATCH(Z$1,INDIRECT("Table!A"&amp;$AN10):INDIRECT("Table!" &amp; $AQ$85 &amp; $AN10),0)),"",INDIRECT(CONCATENATE("Table!",ADDRESS($AJ10,MATCH(Z$1,INDIRECT("Table!A" &amp; $AN10):INDIRECT("Table!" &amp; $AQ$85 &amp; $AN10),0))))/1024)</f>
        <v>103.0278251953125</v>
      </c>
      <c r="AA10" s="595">
        <f ca="1">IF(ISERROR(MATCH(AA$1,INDIRECT("Table!A"&amp;$AN10):INDIRECT("Table!" &amp; $AQ$85 &amp; $AN10),0)),"",INDIRECT(CONCATENATE("Table!",ADDRESS($AJ10,MATCH(AA$1,INDIRECT("Table!A" &amp; $AN10):INDIRECT("Table!" &amp; $AQ$85 &amp; $AN10),0))))/1024)</f>
        <v>219.65440136718749</v>
      </c>
      <c r="AB10" s="595">
        <f ca="1">IF(ISERROR(MATCH(AB$1,INDIRECT("Table!A"&amp;$AN10):INDIRECT("Table!" &amp; $AQ$85 &amp; $AN10),0)),"",INDIRECT(CONCATENATE("Table!",ADDRESS($AJ10,MATCH(AB$1,INDIRECT("Table!A" &amp; $AN10):INDIRECT("Table!" &amp; $AQ$85 &amp; $AN10),0))))/1024)</f>
        <v>0</v>
      </c>
      <c r="AC10" s="595">
        <f ca="1">IF(ISERROR(MATCH(AC$1,INDIRECT("Table!A"&amp;$AN10):INDIRECT("Table!" &amp; $AQ$85 &amp; $AN10),0)),"",INDIRECT(CONCATENATE("Table!",ADDRESS($AJ10,MATCH(AC$1,INDIRECT("Table!A" &amp; $AN10):INDIRECT("Table!" &amp; $AQ$85 &amp; $AN10),0))))/1024)</f>
        <v>109.3168359375</v>
      </c>
      <c r="AD10" s="595">
        <f ca="1">IF(ISERROR(MATCH(AD$1,INDIRECT("Table!A"&amp;$AN10):INDIRECT("Table!" &amp; $AQ$85 &amp; $AN10),0)),"",INDIRECT(CONCATENATE("Table!",ADDRESS($AJ10,MATCH(AD$1,INDIRECT("Table!A" &amp; $AN10):INDIRECT("Table!" &amp; $AQ$85 &amp; $AN10),0))))/1024)</f>
        <v>113.4326806640625</v>
      </c>
      <c r="AE10" s="595">
        <f ca="1">IF(ISERROR(MATCH(AE$1,INDIRECT("Table!A"&amp;$AN10):INDIRECT("Table!" &amp; $AQ$85 &amp; $AN10),0)),"",INDIRECT(CONCATENATE("Table!",ADDRESS($AJ10,MATCH(AE$1,INDIRECT("Table!A" &amp; $AN10):INDIRECT("Table!" &amp; $AQ$85 &amp; $AN10),0))))/1024)</f>
        <v>26.736527343749998</v>
      </c>
      <c r="AF10" s="595">
        <f ca="1">IF(ISERROR(MATCH(AF$1,INDIRECT("Table!A"&amp;$AN10):INDIRECT("Table!" &amp; $AQ$85 &amp; $AN10),0)),"",INDIRECT(CONCATENATE("Table!",ADDRESS($AJ10,MATCH(AF$1,INDIRECT("Table!A" &amp; $AN10):INDIRECT("Table!" &amp; $AQ$85 &amp; $AN10),0))))/1024)</f>
        <v>26.736527343749998</v>
      </c>
      <c r="AG10" s="595">
        <f ca="1">IF(ISERROR(MATCH(AG$1,INDIRECT("Table!A"&amp;$AN10):INDIRECT("Table!" &amp; $AQ$85 &amp; $AN10),0)),"",INDIRECT(CONCATENATE("Table!",ADDRESS($AJ10,MATCH(AG$1,INDIRECT("Table!A" &amp; $AN10):INDIRECT("Table!" &amp; $AQ$85 &amp; $AN10),0))))/1024)</f>
        <v>104.8058701171875</v>
      </c>
      <c r="AH10" s="595">
        <f ca="1">IF(ISERROR(MATCH(AH$1,INDIRECT("Table!A"&amp;$AN10):INDIRECT("Table!" &amp; $AQ$85 &amp; $AN10),0)),"",INDIRECT(CONCATENATE("Table!",ADDRESS($AJ10,MATCH(AH$1,INDIRECT("Table!A" &amp; $AN10):INDIRECT("Table!" &amp; $AQ$85 &amp; $AN10),0))))/1024)</f>
        <v>0</v>
      </c>
      <c r="AI10" s="595"/>
      <c r="AJ10" s="595">
        <f>MATCH($A10,Table!$A:$A,0)+$AL$2-1</f>
        <v>109</v>
      </c>
      <c r="AK10" s="1023"/>
      <c r="AL10" s="1023"/>
      <c r="AM10" s="1023"/>
      <c r="AN10" s="595">
        <f>MATCH($A10,Table!$A:$A,0)+$AP$2-1</f>
        <v>101</v>
      </c>
      <c r="AO10" s="1023"/>
      <c r="AP10" s="1023"/>
      <c r="AQ10" s="1023" t="s">
        <v>302</v>
      </c>
      <c r="AR10" s="699">
        <f t="shared" ref="AR10" ca="1" si="7">SUM(B10:AH10)</f>
        <v>3983.2815996093741</v>
      </c>
      <c r="AS10" s="699">
        <f ca="1">AR10-AR43</f>
        <v>856.78716503906162</v>
      </c>
      <c r="AT10" s="699">
        <f ca="1">SUM(AS10:AS31)/10</f>
        <v>1467.1438892578117</v>
      </c>
    </row>
    <row r="11" spans="1:46" s="947" customFormat="1" x14ac:dyDescent="0.25">
      <c r="A11" s="592">
        <v>41921</v>
      </c>
      <c r="B11" s="595">
        <f ca="1">IF(ISERROR(MATCH(B$1,INDIRECT("Table!A"&amp;$AN11):INDIRECT("Table!" &amp; $AQ$108 &amp; $AN11),0)),"",INDIRECT(CONCATENATE("Table!",ADDRESS($AJ11,MATCH(B$1,INDIRECT("Table!A" &amp; $AN11):INDIRECT("Table!" &amp; $AQ$108 &amp; $AN11),0))))/1024)</f>
        <v>71.451064453124999</v>
      </c>
      <c r="C11" s="595">
        <f ca="1">IF(ISERROR(MATCH(C$1,INDIRECT("Table!A"&amp;$AN11):INDIRECT("Table!" &amp; $AQ$108 &amp; $AN11),0)),"",INDIRECT(CONCATENATE("Table!",ADDRESS($AJ11,MATCH(C$1,INDIRECT("Table!A" &amp; $AN11):INDIRECT("Table!" &amp; $AQ$108 &amp; $AN11),0))))/1024)</f>
        <v>81.263238281249997</v>
      </c>
      <c r="D11" s="595">
        <f ca="1">IF(ISERROR(MATCH(D$1,INDIRECT("Table!A"&amp;$AN11):INDIRECT("Table!" &amp; $AQ$108 &amp; $AN11),0)),"",INDIRECT(CONCATENATE("Table!",ADDRESS($AJ11,MATCH(D$1,INDIRECT("Table!A" &amp; $AN11):INDIRECT("Table!" &amp; $AQ$108 &amp; $AN11),0))))/1024)</f>
        <v>86.729080078124994</v>
      </c>
      <c r="E11" s="595">
        <f ca="1">IF(ISERROR(MATCH(E$1,INDIRECT("Table!A"&amp;$AN11):INDIRECT("Table!" &amp; $AQ$108 &amp; $AN11),0)),"",INDIRECT(CONCATENATE("Table!",ADDRESS($AJ11,MATCH(E$1,INDIRECT("Table!A" &amp; $AN11):INDIRECT("Table!" &amp; $AQ$108 &amp; $AN11),0))))/1024)</f>
        <v>159.8594091796875</v>
      </c>
      <c r="F11" s="595">
        <f ca="1">IF(ISERROR(MATCH(F$1,INDIRECT("Table!A"&amp;$AN11):INDIRECT("Table!" &amp; $AQ$108 &amp; $AN11),0)),"",INDIRECT(CONCATENATE("Table!",ADDRESS($AJ11,MATCH(F$1,INDIRECT("Table!A" &amp; $AN11):INDIRECT("Table!" &amp; $AQ$108 &amp; $AN11),0))))/1024)</f>
        <v>110.83146679687499</v>
      </c>
      <c r="G11" s="595">
        <f ca="1">IF(ISERROR(MATCH(G$1,INDIRECT("Table!A"&amp;$AN11):INDIRECT("Table!" &amp; $AQ$108 &amp; $AN11),0)),"",INDIRECT(CONCATENATE("Table!",ADDRESS($AJ11,MATCH(G$1,INDIRECT("Table!A" &amp; $AN11):INDIRECT("Table!" &amp; $AQ$108 &amp; $AN11),0))))/1024)</f>
        <v>414.05397949218747</v>
      </c>
      <c r="H11" s="595">
        <f ca="1">IF(ISERROR(MATCH(H$1,INDIRECT("Table!A"&amp;$AN11):INDIRECT("Table!" &amp; $AQ$108 &amp; $AN11),0)),"",INDIRECT(CONCATENATE("Table!",ADDRESS($AJ11,MATCH(H$1,INDIRECT("Table!A" &amp; $AN11):INDIRECT("Table!" &amp; $AQ$108 &amp; $AN11),0))))/1024)</f>
        <v>191.33738964843749</v>
      </c>
      <c r="I11" s="595">
        <f ca="1">IF(ISERROR(MATCH(I$1,INDIRECT("Table!A"&amp;$AN11):INDIRECT("Table!" &amp; $AQ$85 &amp; $AN11),0)),"",INDIRECT(CONCATENATE("Table!",ADDRESS($AJ11,MATCH(I$1,INDIRECT("Table!A" &amp; $AN11):INDIRECT("Table!" &amp; $AQ$85 &amp; $AN11),0))))/1024)</f>
        <v>45.438925781249999</v>
      </c>
      <c r="J11" s="595">
        <f ca="1">IF(ISERROR(MATCH(J$1,INDIRECT("Table!A"&amp;$AN11):INDIRECT("Table!" &amp; $AQ$85 &amp; $AN11),0)),"",INDIRECT(CONCATENATE("Table!",ADDRESS($AJ11,MATCH(J$1,INDIRECT("Table!A" &amp; $AN11):INDIRECT("Table!" &amp; $AQ$85 &amp; $AN11),0))))/1024)</f>
        <v>199.89834667968751</v>
      </c>
      <c r="K11" s="595">
        <f ca="1">IF(ISERROR(MATCH(K$1,INDIRECT("Table!A"&amp;$AN11):INDIRECT("Table!" &amp; $AQ$85 &amp; $AN11),0)),"",INDIRECT(CONCATENATE("Table!",ADDRESS($AJ11,MATCH(K$1,INDIRECT("Table!A" &amp; $AN11):INDIRECT("Table!" &amp; $AQ$85 &amp; $AN11),0))))/1024)</f>
        <v>218.831232421875</v>
      </c>
      <c r="L11" s="595">
        <f ca="1">IF(ISERROR(MATCH(L$1,INDIRECT("Table!A"&amp;$AN11):INDIRECT("Table!" &amp; $AQ$85 &amp; $AN11),0)),"",INDIRECT(CONCATENATE("Table!",ADDRESS($AJ11,MATCH(L$1,INDIRECT("Table!A" &amp; $AN11):INDIRECT("Table!" &amp; $AQ$85 &amp; $AN11),0))))/1024)</f>
        <v>137.69970117187501</v>
      </c>
      <c r="M11" s="595">
        <f ca="1">IF(ISERROR(MATCH(M$1,INDIRECT("Table!A"&amp;$AN11):INDIRECT("Table!" &amp; $AQ$85 &amp; $AN11),0)),"",INDIRECT(CONCATENATE("Table!",ADDRESS($AJ11,MATCH(M$1,INDIRECT("Table!A" &amp; $AN11):INDIRECT("Table!" &amp; $AQ$85 &amp; $AN11),0))))/1024)</f>
        <v>432.88808496093748</v>
      </c>
      <c r="N11" s="595">
        <f ca="1">IF(ISERROR(MATCH(N$1,INDIRECT("Table!A"&amp;$AN11):INDIRECT("Table!" &amp; $AQ$85 &amp; $AN11),0)),"",INDIRECT(CONCATENATE("Table!",ADDRESS($AJ11,MATCH(N$1,INDIRECT("Table!A" &amp; $AN11):INDIRECT("Table!" &amp; $AQ$85 &amp; $AN11),0))))/1024)</f>
        <v>113.13633984374999</v>
      </c>
      <c r="O11" s="595">
        <f ca="1">IF(ISERROR(MATCH(O$1,INDIRECT("Table!A"&amp;$AN11):INDIRECT("Table!" &amp; $AQ$85 &amp; $AN11),0)),"",INDIRECT(CONCATENATE("Table!",ADDRESS($AJ11,MATCH(O$1,INDIRECT("Table!A" &amp; $AN11):INDIRECT("Table!" &amp; $AQ$85 &amp; $AN11),0))))/1024)</f>
        <v>139.28018554687497</v>
      </c>
      <c r="P11" s="595">
        <f ca="1">IF(ISERROR(MATCH(P$1,INDIRECT("Table!A"&amp;$AN11):INDIRECT("Table!" &amp; $AQ$85 &amp; $AN11),0)),"",INDIRECT(CONCATENATE("Table!",ADDRESS($AJ11,MATCH(P$1,INDIRECT("Table!A" &amp; $AN11):INDIRECT("Table!" &amp; $AQ$85 &amp; $AN11),0))))/1024)</f>
        <v>60.190113281249999</v>
      </c>
      <c r="Q11" s="595">
        <f ca="1">IF(ISERROR(MATCH(Q$1,INDIRECT("Table!A"&amp;$AN11):INDIRECT("Table!" &amp; $AQ$85 &amp; $AN11),0)),"",INDIRECT(CONCATENATE("Table!",ADDRESS($AJ11,MATCH(Q$1,INDIRECT("Table!A" &amp; $AN11):INDIRECT("Table!" &amp; $AQ$85 &amp; $AN11),0))))/1024)</f>
        <v>154.558201171875</v>
      </c>
      <c r="R11" s="595">
        <f ca="1">IF(ISERROR(MATCH(R$1,INDIRECT("Table!A"&amp;$AN11):INDIRECT("Table!" &amp; $AQ$85 &amp; $AN11),0)),"",INDIRECT(CONCATENATE("Table!",ADDRESS($AJ11,MATCH(R$1,INDIRECT("Table!A" &amp; $AN11):INDIRECT("Table!" &amp; $AQ$85 &amp; $AN11),0))))/1024)</f>
        <v>316.49199609375</v>
      </c>
      <c r="S11" s="595">
        <v>0</v>
      </c>
      <c r="T11" s="595">
        <f ca="1">IF(ISERROR(MATCH(T$1,INDIRECT("Table!A"&amp;$AN11):INDIRECT("Table!" &amp; $AQ$85 &amp; $AN11),0)),"",INDIRECT(CONCATENATE("Table!",ADDRESS($AJ11,MATCH(T$1,INDIRECT("Table!A" &amp; $AN11):INDIRECT("Table!" &amp; $AQ$85 &amp; $AN11),0))))/1024)</f>
        <v>39.413329101562496</v>
      </c>
      <c r="U11" s="595">
        <f ca="1">IF(ISERROR(MATCH(U$1,INDIRECT("Table!A"&amp;$AN11):INDIRECT("Table!" &amp; $AQ$85 &amp; $AN11),0)),"",INDIRECT(CONCATENATE("Table!",ADDRESS($AJ11,MATCH(U$1,INDIRECT("Table!A" &amp; $AN11):INDIRECT("Table!" &amp; $AQ$85 &amp; $AN11),0))))/1024)</f>
        <v>62.297425781249999</v>
      </c>
      <c r="V11" s="595">
        <f ca="1">IF(ISERROR(MATCH(V$1,INDIRECT("Table!A"&amp;$AN11):INDIRECT("Table!" &amp; $AQ$85 &amp; $AN11),0)),"",INDIRECT(CONCATENATE("Table!",ADDRESS($AJ11,MATCH(V$1,INDIRECT("Table!A" &amp; $AN11):INDIRECT("Table!" &amp; $AQ$85 &amp; $AN11),0))))/1024)</f>
        <v>83.107136718749999</v>
      </c>
      <c r="W11" s="595">
        <f ca="1">IF(ISERROR(MATCH(W$1,INDIRECT("Table!A"&amp;$AN11):INDIRECT("Table!" &amp; $AQ$85 &amp; $AN11),0)),"",INDIRECT(CONCATENATE("Table!",ADDRESS($AJ11,MATCH(W$1,INDIRECT("Table!A" &amp; $AN11):INDIRECT("Table!" &amp; $AQ$85 &amp; $AN11),0))))/1024)</f>
        <v>49.39013671875</v>
      </c>
      <c r="X11" s="595">
        <f ca="1">IF(ISERROR(MATCH(X$1,INDIRECT("Table!A"&amp;$AN11):INDIRECT("Table!" &amp; $AQ$85 &amp; $AN11),0)),"",INDIRECT(CONCATENATE("Table!",ADDRESS($AJ11,MATCH(X$1,INDIRECT("Table!A" &amp; $AN11):INDIRECT("Table!" &amp; $AQ$85 &amp; $AN11),0))))/1024)</f>
        <v>59.531578124999996</v>
      </c>
      <c r="Y11" s="595">
        <f ca="1">IF(ISERROR(MATCH(Y$1,INDIRECT("Table!A"&amp;$AN11):INDIRECT("Table!" &amp; $AQ$85 &amp; $AN11),0)),"",INDIRECT(CONCATENATE("Table!",ADDRESS($AJ11,MATCH(Y$1,INDIRECT("Table!A" &amp; $AN11):INDIRECT("Table!" &amp; $AQ$85 &amp; $AN11),0))))/1024)</f>
        <v>60.716941406250001</v>
      </c>
      <c r="Z11" s="595">
        <f ca="1">IF(ISERROR(MATCH(Z$1,INDIRECT("Table!A"&amp;$AN11):INDIRECT("Table!" &amp; $AQ$85 &amp; $AN11),0)),"",INDIRECT(CONCATENATE("Table!",ADDRESS($AJ11,MATCH(Z$1,INDIRECT("Table!A" &amp; $AN11):INDIRECT("Table!" &amp; $AQ$85 &amp; $AN11),0))))/1024)</f>
        <v>102.46807031249999</v>
      </c>
      <c r="AA11" s="595">
        <f ca="1">IF(ISERROR(MATCH(AA$1,INDIRECT("Table!A"&amp;$AN11):INDIRECT("Table!" &amp; $AQ$85 &amp; $AN11),0)),"",INDIRECT(CONCATENATE("Table!",ADDRESS($AJ11,MATCH(AA$1,INDIRECT("Table!A" &amp; $AN11):INDIRECT("Table!" &amp; $AQ$85 &amp; $AN11),0))))/1024)</f>
        <v>221.72878710937499</v>
      </c>
      <c r="AB11" s="595">
        <f ca="1">IF(ISERROR(MATCH(AB$1,INDIRECT("Table!A"&amp;$AN11):INDIRECT("Table!" &amp; $AQ$85 &amp; $AN11),0)),"",INDIRECT(CONCATENATE("Table!",ADDRESS($AJ11,MATCH(AB$1,INDIRECT("Table!A" &amp; $AN11):INDIRECT("Table!" &amp; $AQ$85 &amp; $AN11),0))))/1024)</f>
        <v>0</v>
      </c>
      <c r="AC11" s="595">
        <f ca="1">IF(ISERROR(MATCH(AC$1,INDIRECT("Table!A"&amp;$AN11):INDIRECT("Table!" &amp; $AQ$85 &amp; $AN11),0)),"",INDIRECT(CONCATENATE("Table!",ADDRESS($AJ11,MATCH(AC$1,INDIRECT("Table!A" &amp; $AN11):INDIRECT("Table!" &amp; $AQ$85 &amp; $AN11),0))))/1024)</f>
        <v>80.472996093749998</v>
      </c>
      <c r="AD11" s="595">
        <f ca="1">IF(ISERROR(MATCH(AD$1,INDIRECT("Table!A"&amp;$AN11):INDIRECT("Table!" &amp; $AQ$85 &amp; $AN11),0)),"",INDIRECT(CONCATENATE("Table!",ADDRESS($AJ11,MATCH(AD$1,INDIRECT("Table!A" &amp; $AN11):INDIRECT("Table!" &amp; $AQ$85 &amp; $AN11),0))))/1024)</f>
        <v>113.10341308593749</v>
      </c>
      <c r="AE11" s="595">
        <f ca="1">IF(ISERROR(MATCH(AE$1,INDIRECT("Table!A"&amp;$AN11):INDIRECT("Table!" &amp; $AQ$85 &amp; $AN11),0)),"",INDIRECT(CONCATENATE("Table!",ADDRESS($AJ11,MATCH(AE$1,INDIRECT("Table!A" &amp; $AN11):INDIRECT("Table!" &amp; $AQ$85 &amp; $AN11),0))))/1024)</f>
        <v>24.0694599609375</v>
      </c>
      <c r="AF11" s="595">
        <f ca="1">IF(ISERROR(MATCH(AF$1,INDIRECT("Table!A"&amp;$AN11):INDIRECT("Table!" &amp; $AQ$85 &amp; $AN11),0)),"",INDIRECT(CONCATENATE("Table!",ADDRESS($AJ11,MATCH(AF$1,INDIRECT("Table!A" &amp; $AN11):INDIRECT("Table!" &amp; $AQ$85 &amp; $AN11),0))))/1024)</f>
        <v>24.0694599609375</v>
      </c>
      <c r="AG11" s="595">
        <f ca="1">IF(ISERROR(MATCH(AG$1,INDIRECT("Table!A"&amp;$AN11):INDIRECT("Table!" &amp; $AQ$85 &amp; $AN11),0)),"",INDIRECT(CONCATENATE("Table!",ADDRESS($AJ11,MATCH(AG$1,INDIRECT("Table!A" &amp; $AN11):INDIRECT("Table!" &amp; $AQ$85 &amp; $AN11),0))))/1024)</f>
        <v>58.444995117187496</v>
      </c>
      <c r="AH11" s="595">
        <f ca="1">IF(ISERROR(MATCH(AH$1,INDIRECT("Table!A"&amp;$AN11):INDIRECT("Table!" &amp; $AQ$85 &amp; $AN11),0)),"",INDIRECT(CONCATENATE("Table!",ADDRESS($AJ11,MATCH(AH$1,INDIRECT("Table!A" &amp; $AN11):INDIRECT("Table!" &amp; $AQ$85 &amp; $AN11),0))))/1024)</f>
        <v>0</v>
      </c>
      <c r="AI11" s="595"/>
      <c r="AJ11" s="595">
        <f>MATCH($A11,Table!$A:$A,0)+$AL$2-1</f>
        <v>123</v>
      </c>
      <c r="AK11" s="1020"/>
      <c r="AL11" s="1020"/>
      <c r="AM11" s="1020"/>
      <c r="AN11" s="595">
        <f>MATCH($A11,Table!$A:$A,0)+$AP$2-1</f>
        <v>115</v>
      </c>
      <c r="AO11" s="1020"/>
      <c r="AP11" s="1020"/>
      <c r="AQ11" s="1020" t="s">
        <v>302</v>
      </c>
      <c r="AR11" s="699">
        <f t="shared" ref="AR11" ca="1" si="8">SUM(B11:AH11)</f>
        <v>3912.7524843749993</v>
      </c>
      <c r="AS11" s="699">
        <f ca="1">AR11-AR43</f>
        <v>786.25804980468683</v>
      </c>
      <c r="AT11" s="699">
        <f ca="1">SUM(AS11:AS31)/10</f>
        <v>1381.4651727539053</v>
      </c>
    </row>
    <row r="12" spans="1:46" s="947" customFormat="1" x14ac:dyDescent="0.25">
      <c r="A12" s="592">
        <v>41914</v>
      </c>
      <c r="B12" s="595">
        <f ca="1">IF(ISERROR(MATCH(B$1,INDIRECT("Table!A"&amp;$AN12):INDIRECT("Table!" &amp; $AQ$108 &amp; $AN12),0)),"",INDIRECT(CONCATENATE("Table!",ADDRESS($AJ12,MATCH(B$1,INDIRECT("Table!A" &amp; $AN12):INDIRECT("Table!" &amp; $AQ$108 &amp; $AN12),0))))/1024)</f>
        <v>109.2839091796875</v>
      </c>
      <c r="C12" s="595">
        <f ca="1">IF(ISERROR(MATCH(C$1,INDIRECT("Table!A"&amp;$AN12):INDIRECT("Table!" &amp; $AQ$108 &amp; $AN12),0)),"",INDIRECT(CONCATENATE("Table!",ADDRESS($AJ12,MATCH(C$1,INDIRECT("Table!A" &amp; $AN12):INDIRECT("Table!" &amp; $AQ$108 &amp; $AN12),0))))/1024)</f>
        <v>81.822993164062495</v>
      </c>
      <c r="D12" s="595">
        <f ca="1">IF(ISERROR(MATCH(D$1,INDIRECT("Table!A"&amp;$AN12):INDIRECT("Table!" &amp; $AQ$108 &amp; $AN12),0)),"",INDIRECT(CONCATENATE("Table!",ADDRESS($AJ12,MATCH(D$1,INDIRECT("Table!A" &amp; $AN12):INDIRECT("Table!" &amp; $AQ$108 &amp; $AN12),0))))/1024)</f>
        <v>86.794933593750002</v>
      </c>
      <c r="E12" s="595">
        <f ca="1">IF(ISERROR(MATCH(E$1,INDIRECT("Table!A"&amp;$AN12):INDIRECT("Table!" &amp; $AQ$108 &amp; $AN12),0)),"",INDIRECT(CONCATENATE("Table!",ADDRESS($AJ12,MATCH(E$1,INDIRECT("Table!A" &amp; $AN12):INDIRECT("Table!" &amp; $AQ$108 &amp; $AN12),0))))/1024)</f>
        <v>164.436228515625</v>
      </c>
      <c r="F12" s="595">
        <f ca="1">IF(ISERROR(MATCH(F$1,INDIRECT("Table!A"&amp;$AN12):INDIRECT("Table!" &amp; $AQ$108 &amp; $AN12),0)),"",INDIRECT(CONCATENATE("Table!",ADDRESS($AJ12,MATCH(F$1,INDIRECT("Table!A" &amp; $AN12):INDIRECT("Table!" &amp; $AQ$108 &amp; $AN12),0))))/1024)</f>
        <v>110.83146679687499</v>
      </c>
      <c r="G12" s="595">
        <f ca="1">IF(ISERROR(MATCH(G$1,INDIRECT("Table!A"&amp;$AN12):INDIRECT("Table!" &amp; $AQ$108 &amp; $AN12),0)),"",INDIRECT(CONCATENATE("Table!",ADDRESS($AJ12,MATCH(G$1,INDIRECT("Table!A" &amp; $AN12):INDIRECT("Table!" &amp; $AQ$108 &amp; $AN12),0))))/1024)</f>
        <v>414.05397949218747</v>
      </c>
      <c r="H12" s="595">
        <f ca="1">IF(ISERROR(MATCH(H$1,INDIRECT("Table!A"&amp;$AN12):INDIRECT("Table!" &amp; $AQ$108 &amp; $AN12),0)),"",INDIRECT(CONCATENATE("Table!",ADDRESS($AJ12,MATCH(H$1,INDIRECT("Table!A" &amp; $AN12):INDIRECT("Table!" &amp; $AQ$108 &amp; $AN12),0))))/1024)</f>
        <v>193.77396972656248</v>
      </c>
      <c r="I12" s="595">
        <f ca="1">IF(ISERROR(MATCH(I$1,INDIRECT("Table!A"&amp;$AN12):INDIRECT("Table!" &amp; $AQ$85 &amp; $AN12),0)),"",INDIRECT(CONCATENATE("Table!",ADDRESS($AJ12,MATCH(I$1,INDIRECT("Table!A" &amp; $AN12):INDIRECT("Table!" &amp; $AQ$85 &amp; $AN12),0))))/1024)</f>
        <v>45.438925781249999</v>
      </c>
      <c r="J12" s="595">
        <f ca="1">IF(ISERROR(MATCH(J$1,INDIRECT("Table!A"&amp;$AN12):INDIRECT("Table!" &amp; $AQ$85 &amp; $AN12),0)),"",INDIRECT(CONCATENATE("Table!",ADDRESS($AJ12,MATCH(J$1,INDIRECT("Table!A" &amp; $AN12):INDIRECT("Table!" &amp; $AQ$85 &amp; $AN12),0))))/1024)</f>
        <v>200.45810156249999</v>
      </c>
      <c r="K12" s="595">
        <f ca="1">IF(ISERROR(MATCH(K$1,INDIRECT("Table!A"&amp;$AN12):INDIRECT("Table!" &amp; $AQ$85 &amp; $AN12),0)),"",INDIRECT(CONCATENATE("Table!",ADDRESS($AJ12,MATCH(K$1,INDIRECT("Table!A" &amp; $AN12):INDIRECT("Table!" &amp; $AQ$85 &amp; $AN12),0))))/1024)</f>
        <v>218.76537890624999</v>
      </c>
      <c r="L12" s="595">
        <f ca="1">IF(ISERROR(MATCH(L$1,INDIRECT("Table!A"&amp;$AN12):INDIRECT("Table!" &amp; $AQ$85 &amp; $AN12),0)),"",INDIRECT(CONCATENATE("Table!",ADDRESS($AJ12,MATCH(L$1,INDIRECT("Table!A" &amp; $AN12):INDIRECT("Table!" &amp; $AQ$85 &amp; $AN12),0))))/1024)</f>
        <v>133.0570283203125</v>
      </c>
      <c r="M12" s="595">
        <f ca="1">IF(ISERROR(MATCH(M$1,INDIRECT("Table!A"&amp;$AN12):INDIRECT("Table!" &amp; $AQ$85 &amp; $AN12),0)),"",INDIRECT(CONCATENATE("Table!",ADDRESS($AJ12,MATCH(M$1,INDIRECT("Table!A" &amp; $AN12):INDIRECT("Table!" &amp; $AQ$85 &amp; $AN12),0))))/1024)</f>
        <v>446.65146972656248</v>
      </c>
      <c r="N12" s="595">
        <f ca="1">IF(ISERROR(MATCH(N$1,INDIRECT("Table!A"&amp;$AN12):INDIRECT("Table!" &amp; $AQ$85 &amp; $AN12),0)),"",INDIRECT(CONCATENATE("Table!",ADDRESS($AJ12,MATCH(N$1,INDIRECT("Table!A" &amp; $AN12):INDIRECT("Table!" &amp; $AQ$85 &amp; $AN12),0))))/1024)</f>
        <v>113.13633984374999</v>
      </c>
      <c r="O12" s="595">
        <f ca="1">IF(ISERROR(MATCH(O$1,INDIRECT("Table!A"&amp;$AN12):INDIRECT("Table!" &amp; $AQ$85 &amp; $AN12),0)),"",INDIRECT(CONCATENATE("Table!",ADDRESS($AJ12,MATCH(O$1,INDIRECT("Table!A" &amp; $AN12):INDIRECT("Table!" &amp; $AQ$85 &amp; $AN12),0))))/1024)</f>
        <v>137.89726171874997</v>
      </c>
      <c r="P12" s="595">
        <f ca="1">IF(ISERROR(MATCH(P$1,INDIRECT("Table!A"&amp;$AN12):INDIRECT("Table!" &amp; $AQ$85 &amp; $AN12),0)),"",INDIRECT(CONCATENATE("Table!",ADDRESS($AJ12,MATCH(P$1,INDIRECT("Table!A" &amp; $AN12):INDIRECT("Table!" &amp; $AQ$85 &amp; $AN12),0))))/1024)</f>
        <v>60.190113281249999</v>
      </c>
      <c r="Q12" s="595">
        <f ca="1">IF(ISERROR(MATCH(Q$1,INDIRECT("Table!A"&amp;$AN12):INDIRECT("Table!" &amp; $AQ$85 &amp; $AN12),0)),"",INDIRECT(CONCATENATE("Table!",ADDRESS($AJ12,MATCH(Q$1,INDIRECT("Table!A" &amp; $AN12):INDIRECT("Table!" &amp; $AQ$85 &amp; $AN12),0))))/1024)</f>
        <v>154.06429980468749</v>
      </c>
      <c r="R12" s="595">
        <f ca="1">IF(ISERROR(MATCH(R$1,INDIRECT("Table!A"&amp;$AN12):INDIRECT("Table!" &amp; $AQ$85 &amp; $AN12),0)),"",INDIRECT(CONCATENATE("Table!",ADDRESS($AJ12,MATCH(R$1,INDIRECT("Table!A" &amp; $AN12):INDIRECT("Table!" &amp; $AQ$85 &amp; $AN12),0))))/1024)</f>
        <v>322.15539843749997</v>
      </c>
      <c r="S12" s="595">
        <v>0</v>
      </c>
      <c r="T12" s="595">
        <f ca="1">IF(ISERROR(MATCH(T$1,INDIRECT("Table!A"&amp;$AN12):INDIRECT("Table!" &amp; $AQ$85 &amp; $AN12),0)),"",INDIRECT(CONCATENATE("Table!",ADDRESS($AJ12,MATCH(T$1,INDIRECT("Table!A" &amp; $AN12):INDIRECT("Table!" &amp; $AQ$85 &amp; $AN12),0))))/1024)</f>
        <v>39.413329101562496</v>
      </c>
      <c r="U12" s="595">
        <f ca="1">IF(ISERROR(MATCH(U$1,INDIRECT("Table!A"&amp;$AN12):INDIRECT("Table!" &amp; $AQ$85 &amp; $AN12),0)),"",INDIRECT(CONCATENATE("Table!",ADDRESS($AJ12,MATCH(U$1,INDIRECT("Table!A" &amp; $AN12):INDIRECT("Table!" &amp; $AQ$85 &amp; $AN12),0))))/1024)</f>
        <v>62.297425781249999</v>
      </c>
      <c r="V12" s="595">
        <f ca="1">IF(ISERROR(MATCH(V$1,INDIRECT("Table!A"&amp;$AN12):INDIRECT("Table!" &amp; $AQ$85 &amp; $AN12),0)),"",INDIRECT(CONCATENATE("Table!",ADDRESS($AJ12,MATCH(V$1,INDIRECT("Table!A" &amp; $AN12):INDIRECT("Table!" &amp; $AQ$85 &amp; $AN12),0))))/1024)</f>
        <v>83.107136718749999</v>
      </c>
      <c r="W12" s="595">
        <f ca="1">IF(ISERROR(MATCH(W$1,INDIRECT("Table!A"&amp;$AN12):INDIRECT("Table!" &amp; $AQ$85 &amp; $AN12),0)),"",INDIRECT(CONCATENATE("Table!",ADDRESS($AJ12,MATCH(W$1,INDIRECT("Table!A" &amp; $AN12):INDIRECT("Table!" &amp; $AQ$85 &amp; $AN12),0))))/1024)</f>
        <v>45.866973632812496</v>
      </c>
      <c r="X12" s="595">
        <f ca="1">IF(ISERROR(MATCH(X$1,INDIRECT("Table!A"&amp;$AN12):INDIRECT("Table!" &amp; $AQ$85 &amp; $AN12),0)),"",INDIRECT(CONCATENATE("Table!",ADDRESS($AJ12,MATCH(X$1,INDIRECT("Table!A" &amp; $AN12):INDIRECT("Table!" &amp; $AQ$85 &amp; $AN12),0))))/1024)</f>
        <v>56.008415039062498</v>
      </c>
      <c r="Y12" s="595">
        <f ca="1">IF(ISERROR(MATCH(Y$1,INDIRECT("Table!A"&amp;$AN12):INDIRECT("Table!" &amp; $AQ$85 &amp; $AN12),0)),"",INDIRECT(CONCATENATE("Table!",ADDRESS($AJ12,MATCH(Y$1,INDIRECT("Table!A" &amp; $AN12):INDIRECT("Table!" &amp; $AQ$85 &amp; $AN12),0))))/1024)</f>
        <v>53.242567382812496</v>
      </c>
      <c r="Z12" s="595">
        <f ca="1">IF(ISERROR(MATCH(Z$1,INDIRECT("Table!A"&amp;$AN12):INDIRECT("Table!" &amp; $AQ$85 &amp; $AN12),0)),"",INDIRECT(CONCATENATE("Table!",ADDRESS($AJ12,MATCH(Z$1,INDIRECT("Table!A" &amp; $AN12):INDIRECT("Table!" &amp; $AQ$85 &amp; $AN12),0))))/1024)</f>
        <v>87.815663085937501</v>
      </c>
      <c r="AA12" s="595">
        <f ca="1">IF(ISERROR(MATCH(AA$1,INDIRECT("Table!A"&amp;$AN12):INDIRECT("Table!" &amp; $AQ$85 &amp; $AN12),0)),"",INDIRECT(CONCATENATE("Table!",ADDRESS($AJ12,MATCH(AA$1,INDIRECT("Table!A" &amp; $AN12):INDIRECT("Table!" &amp; $AQ$85 &amp; $AN12),0))))/1024)</f>
        <v>216.065384765625</v>
      </c>
      <c r="AB12" s="595">
        <f ca="1">IF(ISERROR(MATCH(AB$1,INDIRECT("Table!A"&amp;$AN12):INDIRECT("Table!" &amp; $AQ$85 &amp; $AN12),0)),"",INDIRECT(CONCATENATE("Table!",ADDRESS($AJ12,MATCH(AB$1,INDIRECT("Table!A" &amp; $AN12):INDIRECT("Table!" &amp; $AQ$85 &amp; $AN12),0))))/1024)</f>
        <v>0</v>
      </c>
      <c r="AC12" s="595">
        <f ca="1">IF(ISERROR(MATCH(AC$1,INDIRECT("Table!A"&amp;$AN12):INDIRECT("Table!" &amp; $AQ$85 &amp; $AN12),0)),"",INDIRECT(CONCATENATE("Table!",ADDRESS($AJ12,MATCH(AC$1,INDIRECT("Table!A" &amp; $AN12):INDIRECT("Table!" &amp; $AQ$85 &amp; $AN12),0))))/1024)</f>
        <v>68.652290039062493</v>
      </c>
      <c r="AD12" s="595">
        <f ca="1">IF(ISERROR(MATCH(AD$1,INDIRECT("Table!A"&amp;$AN12):INDIRECT("Table!" &amp; $AQ$85 &amp; $AN12),0)),"",INDIRECT(CONCATENATE("Table!",ADDRESS($AJ12,MATCH(AD$1,INDIRECT("Table!A" &amp; $AN12):INDIRECT("Table!" &amp; $AQ$85 &amp; $AN12),0))))/1024)</f>
        <v>91.668093749999997</v>
      </c>
      <c r="AE12" s="595">
        <f ca="1">IF(ISERROR(MATCH(AE$1,INDIRECT("Table!A"&amp;$AN12):INDIRECT("Table!" &amp; $AQ$85 &amp; $AN12),0)),"",INDIRECT(CONCATENATE("Table!",ADDRESS($AJ12,MATCH(AE$1,INDIRECT("Table!A" &amp; $AN12):INDIRECT("Table!" &amp; $AQ$85 &amp; $AN12),0))))/1024)</f>
        <v>23.114583984374999</v>
      </c>
      <c r="AF12" s="595">
        <f ca="1">IF(ISERROR(MATCH(AF$1,INDIRECT("Table!A"&amp;$AN12):INDIRECT("Table!" &amp; $AQ$85 &amp; $AN12),0)),"",INDIRECT(CONCATENATE("Table!",ADDRESS($AJ12,MATCH(AF$1,INDIRECT("Table!A" &amp; $AN12):INDIRECT("Table!" &amp; $AQ$85 &amp; $AN12),0))))/1024)</f>
        <v>23.114583984374999</v>
      </c>
      <c r="AG12" s="595">
        <f ca="1">IF(ISERROR(MATCH(AG$1,INDIRECT("Table!A"&amp;$AN12):INDIRECT("Table!" &amp; $AQ$85 &amp; $AN12),0)),"",INDIRECT(CONCATENATE("Table!",ADDRESS($AJ12,MATCH(AG$1,INDIRECT("Table!A" &amp; $AN12):INDIRECT("Table!" &amp; $AQ$85 &amp; $AN12),0))))/1024)</f>
        <v>58.444995117187496</v>
      </c>
      <c r="AH12" s="595">
        <f ca="1">IF(ISERROR(MATCH(AH$1,INDIRECT("Table!A"&amp;$AN12):INDIRECT("Table!" &amp; $AQ$85 &amp; $AN12),0)),"",INDIRECT(CONCATENATE("Table!",ADDRESS($AJ12,MATCH(AH$1,INDIRECT("Table!A" &amp; $AN12):INDIRECT("Table!" &amp; $AQ$85 &amp; $AN12),0))))/1024)</f>
        <v>0</v>
      </c>
      <c r="AI12" s="595"/>
      <c r="AJ12" s="595">
        <f>MATCH($A12,Table!$A:$A,0)+$AL$2-1</f>
        <v>137</v>
      </c>
      <c r="AK12" s="1017"/>
      <c r="AL12" s="1017"/>
      <c r="AM12" s="1017"/>
      <c r="AN12" s="595">
        <f>MATCH($A12,Table!$A:$A,0)+$AP$2-1</f>
        <v>129</v>
      </c>
      <c r="AO12" s="1017"/>
      <c r="AP12" s="1017"/>
      <c r="AQ12" s="1017" t="s">
        <v>302</v>
      </c>
      <c r="AR12" s="699">
        <f t="shared" ref="AR12" ca="1" si="9">SUM(B12:AH12)</f>
        <v>3901.623240234374</v>
      </c>
      <c r="AS12" s="699">
        <f ca="1">AR12-AR43</f>
        <v>775.12880566406147</v>
      </c>
      <c r="AT12" s="699">
        <f ca="1">SUM(AS12:AS31)/10</f>
        <v>1302.8393677734371</v>
      </c>
    </row>
    <row r="13" spans="1:46" s="947" customFormat="1" x14ac:dyDescent="0.25">
      <c r="A13" s="592">
        <v>41907</v>
      </c>
      <c r="B13" s="595">
        <f ca="1">IF(ISERROR(MATCH(B$1,INDIRECT("Table!A"&amp;$AN13):INDIRECT("Table!" &amp; $AQ$108 &amp; $AN13),0)),"",INDIRECT(CONCATENATE("Table!",ADDRESS($AJ13,MATCH(B$1,INDIRECT("Table!A" &amp; $AN13):INDIRECT("Table!" &amp; $AQ$108 &amp; $AN13),0))))/1024)</f>
        <v>109.2839091796875</v>
      </c>
      <c r="C13" s="595">
        <f ca="1">IF(ISERROR(MATCH(C$1,INDIRECT("Table!A"&amp;$AN13):INDIRECT("Table!" &amp; $AQ$108 &amp; $AN13),0)),"",INDIRECT(CONCATENATE("Table!",ADDRESS($AJ13,MATCH(C$1,INDIRECT("Table!A" &amp; $AN13):INDIRECT("Table!" &amp; $AQ$108 &amp; $AN13),0))))/1024)</f>
        <v>81.822993164062495</v>
      </c>
      <c r="D13" s="595">
        <f ca="1">IF(ISERROR(MATCH(D$1,INDIRECT("Table!A"&amp;$AN13):INDIRECT("Table!" &amp; $AQ$108 &amp; $AN13),0)),"",INDIRECT(CONCATENATE("Table!",ADDRESS($AJ13,MATCH(D$1,INDIRECT("Table!A" &amp; $AN13):INDIRECT("Table!" &amp; $AQ$108 &amp; $AN13),0))))/1024)</f>
        <v>86.794933593750002</v>
      </c>
      <c r="E13" s="595">
        <f ca="1">IF(ISERROR(MATCH(E$1,INDIRECT("Table!A"&amp;$AN13):INDIRECT("Table!" &amp; $AQ$108 &amp; $AN13),0)),"",INDIRECT(CONCATENATE("Table!",ADDRESS($AJ13,MATCH(E$1,INDIRECT("Table!A" &amp; $AN13):INDIRECT("Table!" &amp; $AQ$108 &amp; $AN13),0))))/1024)</f>
        <v>164.436228515625</v>
      </c>
      <c r="F13" s="595">
        <f ca="1">IF(ISERROR(MATCH(F$1,INDIRECT("Table!A"&amp;$AN13):INDIRECT("Table!" &amp; $AQ$108 &amp; $AN13),0)),"",INDIRECT(CONCATENATE("Table!",ADDRESS($AJ13,MATCH(F$1,INDIRECT("Table!A" &amp; $AN13):INDIRECT("Table!" &amp; $AQ$108 &amp; $AN13),0))))/1024)</f>
        <v>110.83146679687499</v>
      </c>
      <c r="G13" s="595">
        <f ca="1">IF(ISERROR(MATCH(G$1,INDIRECT("Table!A"&amp;$AN13):INDIRECT("Table!" &amp; $AQ$108 &amp; $AN13),0)),"",INDIRECT(CONCATENATE("Table!",ADDRESS($AJ13,MATCH(G$1,INDIRECT("Table!A" &amp; $AN13):INDIRECT("Table!" &amp; $AQ$108 &amp; $AN13),0))))/1024)</f>
        <v>414.05397949218747</v>
      </c>
      <c r="H13" s="595">
        <f ca="1">IF(ISERROR(MATCH(H$1,INDIRECT("Table!A"&amp;$AN13):INDIRECT("Table!" &amp; $AQ$108 &amp; $AN13),0)),"",INDIRECT(CONCATENATE("Table!",ADDRESS($AJ13,MATCH(H$1,INDIRECT("Table!A" &amp; $AN13):INDIRECT("Table!" &amp; $AQ$108 &amp; $AN13),0))))/1024)</f>
        <v>193.77396972656248</v>
      </c>
      <c r="I13" s="595">
        <f ca="1">IF(ISERROR(MATCH(I$1,INDIRECT("Table!A"&amp;$AN13):INDIRECT("Table!" &amp; $AQ$85 &amp; $AN13),0)),"",INDIRECT(CONCATENATE("Table!",ADDRESS($AJ13,MATCH(I$1,INDIRECT("Table!A" &amp; $AN13):INDIRECT("Table!" &amp; $AQ$85 &amp; $AN13),0))))/1024)</f>
        <v>45.438925781249999</v>
      </c>
      <c r="J13" s="595">
        <f ca="1">IF(ISERROR(MATCH(J$1,INDIRECT("Table!A"&amp;$AN13):INDIRECT("Table!" &amp; $AQ$85 &amp; $AN13),0)),"",INDIRECT(CONCATENATE("Table!",ADDRESS($AJ13,MATCH(J$1,INDIRECT("Table!A" &amp; $AN13):INDIRECT("Table!" &amp; $AQ$85 &amp; $AN13),0))))/1024)</f>
        <v>200.45810156249999</v>
      </c>
      <c r="K13" s="595">
        <f ca="1">IF(ISERROR(MATCH(K$1,INDIRECT("Table!A"&amp;$AN13):INDIRECT("Table!" &amp; $AQ$85 &amp; $AN13),0)),"",INDIRECT(CONCATENATE("Table!",ADDRESS($AJ13,MATCH(K$1,INDIRECT("Table!A" &amp; $AN13):INDIRECT("Table!" &amp; $AQ$85 &amp; $AN13),0))))/1024)</f>
        <v>218.172697265625</v>
      </c>
      <c r="L13" s="595">
        <f ca="1">IF(ISERROR(MATCH(L$1,INDIRECT("Table!A"&amp;$AN13):INDIRECT("Table!" &amp; $AQ$85 &amp; $AN13),0)),"",INDIRECT(CONCATENATE("Table!",ADDRESS($AJ13,MATCH(L$1,INDIRECT("Table!A" &amp; $AN13):INDIRECT("Table!" &amp; $AQ$85 &amp; $AN13),0))))/1024)</f>
        <v>133.0570283203125</v>
      </c>
      <c r="M13" s="595">
        <f ca="1">IF(ISERROR(MATCH(M$1,INDIRECT("Table!A"&amp;$AN13):INDIRECT("Table!" &amp; $AQ$85 &amp; $AN13),0)),"",INDIRECT(CONCATENATE("Table!",ADDRESS($AJ13,MATCH(M$1,INDIRECT("Table!A" &amp; $AN13):INDIRECT("Table!" &amp; $AQ$85 &amp; $AN13),0))))/1024)</f>
        <v>446.65146972656248</v>
      </c>
      <c r="N13" s="595">
        <f ca="1">IF(ISERROR(MATCH(N$1,INDIRECT("Table!A"&amp;$AN13):INDIRECT("Table!" &amp; $AQ$85 &amp; $AN13),0)),"",INDIRECT(CONCATENATE("Table!",ADDRESS($AJ13,MATCH(N$1,INDIRECT("Table!A" &amp; $AN13):INDIRECT("Table!" &amp; $AQ$85 &amp; $AN13),0))))/1024)</f>
        <v>113.13633984374999</v>
      </c>
      <c r="O13" s="595">
        <f ca="1">IF(ISERROR(MATCH(O$1,INDIRECT("Table!A"&amp;$AN13):INDIRECT("Table!" &amp; $AQ$85 &amp; $AN13),0)),"",INDIRECT(CONCATENATE("Table!",ADDRESS($AJ13,MATCH(O$1,INDIRECT("Table!A" &amp; $AN13):INDIRECT("Table!" &amp; $AQ$85 &amp; $AN13),0))))/1024)</f>
        <v>137.89726171874997</v>
      </c>
      <c r="P13" s="595">
        <f ca="1">IF(ISERROR(MATCH(P$1,INDIRECT("Table!A"&amp;$AN13):INDIRECT("Table!" &amp; $AQ$85 &amp; $AN13),0)),"",INDIRECT(CONCATENATE("Table!",ADDRESS($AJ13,MATCH(P$1,INDIRECT("Table!A" &amp; $AN13):INDIRECT("Table!" &amp; $AQ$85 &amp; $AN13),0))))/1024)</f>
        <v>60.190113281249999</v>
      </c>
      <c r="Q13" s="595">
        <f ca="1">IF(ISERROR(MATCH(Q$1,INDIRECT("Table!A"&amp;$AN13):INDIRECT("Table!" &amp; $AQ$85 &amp; $AN13),0)),"",INDIRECT(CONCATENATE("Table!",ADDRESS($AJ13,MATCH(Q$1,INDIRECT("Table!A" &amp; $AN13):INDIRECT("Table!" &amp; $AQ$85 &amp; $AN13),0))))/1024)</f>
        <v>154.06429980468749</v>
      </c>
      <c r="R13" s="595">
        <f ca="1">IF(ISERROR(MATCH(R$1,INDIRECT("Table!A"&amp;$AN13):INDIRECT("Table!" &amp; $AQ$85 &amp; $AN13),0)),"",INDIRECT(CONCATENATE("Table!",ADDRESS($AJ13,MATCH(R$1,INDIRECT("Table!A" &amp; $AN13):INDIRECT("Table!" &amp; $AQ$85 &amp; $AN13),0))))/1024)</f>
        <v>322.15539843749997</v>
      </c>
      <c r="S13" s="595">
        <v>0</v>
      </c>
      <c r="T13" s="595">
        <f ca="1">IF(ISERROR(MATCH(T$1,INDIRECT("Table!A"&amp;$AN13):INDIRECT("Table!" &amp; $AQ$85 &amp; $AN13),0)),"",INDIRECT(CONCATENATE("Table!",ADDRESS($AJ13,MATCH(T$1,INDIRECT("Table!A" &amp; $AN13):INDIRECT("Table!" &amp; $AQ$85 &amp; $AN13),0))))/1024)</f>
        <v>39.413329101562496</v>
      </c>
      <c r="U13" s="595">
        <f ca="1">IF(ISERROR(MATCH(U$1,INDIRECT("Table!A"&amp;$AN13):INDIRECT("Table!" &amp; $AQ$85 &amp; $AN13),0)),"",INDIRECT(CONCATENATE("Table!",ADDRESS($AJ13,MATCH(U$1,INDIRECT("Table!A" &amp; $AN13):INDIRECT("Table!" &amp; $AQ$85 &amp; $AN13),0))))/1024)</f>
        <v>62.297425781249999</v>
      </c>
      <c r="V13" s="595">
        <f ca="1">IF(ISERROR(MATCH(V$1,INDIRECT("Table!A"&amp;$AN13):INDIRECT("Table!" &amp; $AQ$85 &amp; $AN13),0)),"",INDIRECT(CONCATENATE("Table!",ADDRESS($AJ13,MATCH(V$1,INDIRECT("Table!A" &amp; $AN13):INDIRECT("Table!" &amp; $AQ$85 &amp; $AN13),0))))/1024)</f>
        <v>83.107136718749999</v>
      </c>
      <c r="W13" s="595">
        <f ca="1">IF(ISERROR(MATCH(W$1,INDIRECT("Table!A"&amp;$AN13):INDIRECT("Table!" &amp; $AQ$85 &amp; $AN13),0)),"",INDIRECT(CONCATENATE("Table!",ADDRESS($AJ13,MATCH(W$1,INDIRECT("Table!A" &amp; $AN13):INDIRECT("Table!" &amp; $AQ$85 &amp; $AN13),0))))/1024)</f>
        <v>45.866973632812496</v>
      </c>
      <c r="X13" s="595">
        <f ca="1">IF(ISERROR(MATCH(X$1,INDIRECT("Table!A"&amp;$AN13):INDIRECT("Table!" &amp; $AQ$85 &amp; $AN13),0)),"",INDIRECT(CONCATENATE("Table!",ADDRESS($AJ13,MATCH(X$1,INDIRECT("Table!A" &amp; $AN13):INDIRECT("Table!" &amp; $AQ$85 &amp; $AN13),0))))/1024)</f>
        <v>56.008415039062498</v>
      </c>
      <c r="Y13" s="595">
        <f ca="1">IF(ISERROR(MATCH(Y$1,INDIRECT("Table!A"&amp;$AN13):INDIRECT("Table!" &amp; $AQ$85 &amp; $AN13),0)),"",INDIRECT(CONCATENATE("Table!",ADDRESS($AJ13,MATCH(Y$1,INDIRECT("Table!A" &amp; $AN13):INDIRECT("Table!" &amp; $AQ$85 &amp; $AN13),0))))/1024)</f>
        <v>53.242567382812496</v>
      </c>
      <c r="Z13" s="595">
        <f ca="1">IF(ISERROR(MATCH(Z$1,INDIRECT("Table!A"&amp;$AN13):INDIRECT("Table!" &amp; $AQ$85 &amp; $AN13),0)),"",INDIRECT(CONCATENATE("Table!",ADDRESS($AJ13,MATCH(Z$1,INDIRECT("Table!A" &amp; $AN13):INDIRECT("Table!" &amp; $AQ$85 &amp; $AN13),0))))/1024)</f>
        <v>87.815663085937501</v>
      </c>
      <c r="AA13" s="595">
        <f ca="1">IF(ISERROR(MATCH(AA$1,INDIRECT("Table!A"&amp;$AN13):INDIRECT("Table!" &amp; $AQ$85 &amp; $AN13),0)),"",INDIRECT(CONCATENATE("Table!",ADDRESS($AJ13,MATCH(AA$1,INDIRECT("Table!A" &amp; $AN13):INDIRECT("Table!" &amp; $AQ$85 &amp; $AN13),0))))/1024)</f>
        <v>210.53368945312499</v>
      </c>
      <c r="AB13" s="595">
        <f ca="1">IF(ISERROR(MATCH(AB$1,INDIRECT("Table!A"&amp;$AN13):INDIRECT("Table!" &amp; $AQ$85 &amp; $AN13),0)),"",INDIRECT(CONCATENATE("Table!",ADDRESS($AJ13,MATCH(AB$1,INDIRECT("Table!A" &amp; $AN13):INDIRECT("Table!" &amp; $AQ$85 &amp; $AN13),0))))/1024)</f>
        <v>0</v>
      </c>
      <c r="AC13" s="595">
        <f ca="1">IF(ISERROR(MATCH(AC$1,INDIRECT("Table!A"&amp;$AN13):INDIRECT("Table!" &amp; $AQ$85 &amp; $AN13),0)),"",INDIRECT(CONCATENATE("Table!",ADDRESS($AJ13,MATCH(AC$1,INDIRECT("Table!A" &amp; $AN13):INDIRECT("Table!" &amp; $AQ$85 &amp; $AN13),0))))/1024)</f>
        <v>68.454729492187496</v>
      </c>
      <c r="AD13" s="595">
        <f ca="1">IF(ISERROR(MATCH(AD$1,INDIRECT("Table!A"&amp;$AN13):INDIRECT("Table!" &amp; $AQ$85 &amp; $AN13),0)),"",INDIRECT(CONCATENATE("Table!",ADDRESS($AJ13,MATCH(AD$1,INDIRECT("Table!A" &amp; $AN13):INDIRECT("Table!" &amp; $AQ$85 &amp; $AN13),0))))/1024)</f>
        <v>91.668093749999997</v>
      </c>
      <c r="AE13" s="595">
        <f ca="1">IF(ISERROR(MATCH(AE$1,INDIRECT("Table!A"&amp;$AN13):INDIRECT("Table!" &amp; $AQ$85 &amp; $AN13),0)),"",INDIRECT(CONCATENATE("Table!",ADDRESS($AJ13,MATCH(AE$1,INDIRECT("Table!A" &amp; $AN13):INDIRECT("Table!" &amp; $AQ$85 &amp; $AN13),0))))/1024)</f>
        <v>23.114583984374999</v>
      </c>
      <c r="AF13" s="595">
        <f ca="1">IF(ISERROR(MATCH(AF$1,INDIRECT("Table!A"&amp;$AN13):INDIRECT("Table!" &amp; $AQ$85 &amp; $AN13),0)),"",INDIRECT(CONCATENATE("Table!",ADDRESS($AJ13,MATCH(AF$1,INDIRECT("Table!A" &amp; $AN13):INDIRECT("Table!" &amp; $AQ$85 &amp; $AN13),0))))/1024)</f>
        <v>23.114583984374999</v>
      </c>
      <c r="AG13" s="595">
        <f ca="1">IF(ISERROR(MATCH(AG$1,INDIRECT("Table!A"&amp;$AN13):INDIRECT("Table!" &amp; $AQ$85 &amp; $AN13),0)),"",INDIRECT(CONCATENATE("Table!",ADDRESS($AJ13,MATCH(AG$1,INDIRECT("Table!A" &amp; $AN13):INDIRECT("Table!" &amp; $AQ$85 &amp; $AN13),0))))/1024)</f>
        <v>58.444995117187496</v>
      </c>
      <c r="AH13" s="595">
        <f ca="1">IF(ISERROR(MATCH(AH$1,INDIRECT("Table!A"&amp;$AN13):INDIRECT("Table!" &amp; $AQ$85 &amp; $AN13),0)),"",INDIRECT(CONCATENATE("Table!",ADDRESS($AJ13,MATCH(AH$1,INDIRECT("Table!A" &amp; $AN13):INDIRECT("Table!" &amp; $AQ$85 &amp; $AN13),0))))/1024)</f>
        <v>0</v>
      </c>
      <c r="AI13" s="595"/>
      <c r="AJ13" s="595">
        <f>MATCH($A13,Table!$A:$A,0)+$AL$2-1</f>
        <v>151</v>
      </c>
      <c r="AK13" s="1014"/>
      <c r="AL13" s="1014"/>
      <c r="AM13" s="1014"/>
      <c r="AN13" s="595">
        <f>MATCH($A13,Table!$A:$A,0)+$AP$2-1</f>
        <v>143</v>
      </c>
      <c r="AO13" s="1014"/>
      <c r="AP13" s="1014"/>
      <c r="AQ13" s="1014" t="s">
        <v>302</v>
      </c>
      <c r="AR13" s="699">
        <f t="shared" ref="AR13" ca="1" si="10">SUM(B13:AH13)</f>
        <v>3895.3013027343745</v>
      </c>
      <c r="AS13" s="699">
        <f ca="1">AR13-AR43</f>
        <v>768.80686816406205</v>
      </c>
      <c r="AT13" s="699">
        <f ca="1">SUM(AS13:AS31)/10</f>
        <v>1225.3264872070308</v>
      </c>
    </row>
    <row r="14" spans="1:46" s="947" customFormat="1" x14ac:dyDescent="0.25">
      <c r="A14" s="592">
        <v>41900</v>
      </c>
      <c r="B14" s="595">
        <f ca="1">IF(ISERROR(MATCH(B$1,INDIRECT("Table!A"&amp;$AN14):INDIRECT("Table!" &amp; $AQ$108 &amp; $AN14),0)),"",INDIRECT(CONCATENATE("Table!",ADDRESS($AJ14,MATCH(B$1,INDIRECT("Table!A" &amp; $AN14):INDIRECT("Table!" &amp; $AQ$108 &amp; $AN14),0))))/1024)</f>
        <v>109.2839091796875</v>
      </c>
      <c r="C14" s="595">
        <f ca="1">IF(ISERROR(MATCH(C$1,INDIRECT("Table!A"&amp;$AN14):INDIRECT("Table!" &amp; $AQ$108 &amp; $AN14),0)),"",INDIRECT(CONCATENATE("Table!",ADDRESS($AJ14,MATCH(C$1,INDIRECT("Table!A" &amp; $AN14):INDIRECT("Table!" &amp; $AQ$108 &amp; $AN14),0))))/1024)</f>
        <v>88.046150390625002</v>
      </c>
      <c r="D14" s="595">
        <f ca="1">IF(ISERROR(MATCH(D$1,INDIRECT("Table!A"&amp;$AN14):INDIRECT("Table!" &amp; $AQ$108 &amp; $AN14),0)),"",INDIRECT(CONCATENATE("Table!",ADDRESS($AJ14,MATCH(D$1,INDIRECT("Table!A" &amp; $AN14):INDIRECT("Table!" &amp; $AQ$108 &amp; $AN14),0))))/1024)</f>
        <v>86.794933593750002</v>
      </c>
      <c r="E14" s="595">
        <f ca="1">IF(ISERROR(MATCH(E$1,INDIRECT("Table!A"&amp;$AN14):INDIRECT("Table!" &amp; $AQ$108 &amp; $AN14),0)),"",INDIRECT(CONCATENATE("Table!",ADDRESS($AJ14,MATCH(E$1,INDIRECT("Table!A" &amp; $AN14):INDIRECT("Table!" &amp; $AQ$108 &amp; $AN14),0))))/1024)</f>
        <v>164.436228515625</v>
      </c>
      <c r="F14" s="595">
        <f ca="1">IF(ISERROR(MATCH(F$1,INDIRECT("Table!A"&amp;$AN14):INDIRECT("Table!" &amp; $AQ$108 &amp; $AN14),0)),"",INDIRECT(CONCATENATE("Table!",ADDRESS($AJ14,MATCH(F$1,INDIRECT("Table!A" &amp; $AN14):INDIRECT("Table!" &amp; $AQ$108 &amp; $AN14),0))))/1024)</f>
        <v>110.83146679687499</v>
      </c>
      <c r="G14" s="595">
        <f ca="1">IF(ISERROR(MATCH(G$1,INDIRECT("Table!A"&amp;$AN14):INDIRECT("Table!" &amp; $AQ$108 &amp; $AN14),0)),"",INDIRECT(CONCATENATE("Table!",ADDRESS($AJ14,MATCH(G$1,INDIRECT("Table!A" &amp; $AN14):INDIRECT("Table!" &amp; $AQ$108 &amp; $AN14),0))))/1024)</f>
        <v>414.05397949218747</v>
      </c>
      <c r="H14" s="595">
        <f ca="1">IF(ISERROR(MATCH(H$1,INDIRECT("Table!A"&amp;$AN14):INDIRECT("Table!" &amp; $AQ$108 &amp; $AN14),0)),"",INDIRECT(CONCATENATE("Table!",ADDRESS($AJ14,MATCH(H$1,INDIRECT("Table!A" &amp; $AN14):INDIRECT("Table!" &amp; $AQ$108 &amp; $AN14),0))))/1024)</f>
        <v>193.77396972656248</v>
      </c>
      <c r="I14" s="595">
        <f ca="1">IF(ISERROR(MATCH(I$1,INDIRECT("Table!A"&amp;$AN14):INDIRECT("Table!" &amp; $AQ$85 &amp; $AN14),0)),"",INDIRECT(CONCATENATE("Table!",ADDRESS($AJ14,MATCH(I$1,INDIRECT("Table!A" &amp; $AN14):INDIRECT("Table!" &amp; $AQ$85 &amp; $AN14),0))))/1024)</f>
        <v>45.438925781249999</v>
      </c>
      <c r="J14" s="595">
        <f ca="1">IF(ISERROR(MATCH(J$1,INDIRECT("Table!A"&amp;$AN14):INDIRECT("Table!" &amp; $AQ$85 &amp; $AN14),0)),"",INDIRECT(CONCATENATE("Table!",ADDRESS($AJ14,MATCH(J$1,INDIRECT("Table!A" &amp; $AN14):INDIRECT("Table!" &amp; $AQ$85 &amp; $AN14),0))))/1024)</f>
        <v>200.45810156249999</v>
      </c>
      <c r="K14" s="595">
        <f ca="1">IF(ISERROR(MATCH(K$1,INDIRECT("Table!A"&amp;$AN14):INDIRECT("Table!" &amp; $AQ$85 &amp; $AN14),0)),"",INDIRECT(CONCATENATE("Table!",ADDRESS($AJ14,MATCH(K$1,INDIRECT("Table!A" &amp; $AN14):INDIRECT("Table!" &amp; $AQ$85 &amp; $AN14),0))))/1024)</f>
        <v>218.76537890624999</v>
      </c>
      <c r="L14" s="595">
        <f ca="1">IF(ISERROR(MATCH(L$1,INDIRECT("Table!A"&amp;$AN14):INDIRECT("Table!" &amp; $AQ$85 &amp; $AN14),0)),"",INDIRECT(CONCATENATE("Table!",ADDRESS($AJ14,MATCH(L$1,INDIRECT("Table!A" &amp; $AN14):INDIRECT("Table!" &amp; $AQ$85 &amp; $AN14),0))))/1024)</f>
        <v>133.15580859374998</v>
      </c>
      <c r="M14" s="595">
        <f ca="1">IF(ISERROR(MATCH(M$1,INDIRECT("Table!A"&amp;$AN14):INDIRECT("Table!" &amp; $AQ$85 &amp; $AN14),0)),"",INDIRECT(CONCATENATE("Table!",ADDRESS($AJ14,MATCH(M$1,INDIRECT("Table!A" &amp; $AN14):INDIRECT("Table!" &amp; $AQ$85 &amp; $AN14),0))))/1024)</f>
        <v>446.68439648437499</v>
      </c>
      <c r="N14" s="595">
        <f ca="1">IF(ISERROR(MATCH(N$1,INDIRECT("Table!A"&amp;$AN14):INDIRECT("Table!" &amp; $AQ$85 &amp; $AN14),0)),"",INDIRECT(CONCATENATE("Table!",ADDRESS($AJ14,MATCH(N$1,INDIRECT("Table!A" &amp; $AN14):INDIRECT("Table!" &amp; $AQ$85 &amp; $AN14),0))))/1024)</f>
        <v>113.13633984374999</v>
      </c>
      <c r="O14" s="595">
        <f ca="1">IF(ISERROR(MATCH(O$1,INDIRECT("Table!A"&amp;$AN14):INDIRECT("Table!" &amp; $AQ$85 &amp; $AN14),0)),"",INDIRECT(CONCATENATE("Table!",ADDRESS($AJ14,MATCH(O$1,INDIRECT("Table!A" &amp; $AN14):INDIRECT("Table!" &amp; $AQ$85 &amp; $AN14),0))))/1024)</f>
        <v>139.74116015624998</v>
      </c>
      <c r="P14" s="595">
        <f ca="1">IF(ISERROR(MATCH(P$1,INDIRECT("Table!A"&amp;$AN14):INDIRECT("Table!" &amp; $AQ$85 &amp; $AN14),0)),"",INDIRECT(CONCATENATE("Table!",ADDRESS($AJ14,MATCH(P$1,INDIRECT("Table!A" &amp; $AN14):INDIRECT("Table!" &amp; $AQ$85 &amp; $AN14),0))))/1024)</f>
        <v>60.190113281249999</v>
      </c>
      <c r="Q14" s="595">
        <f ca="1">IF(ISERROR(MATCH(Q$1,INDIRECT("Table!A"&amp;$AN14):INDIRECT("Table!" &amp; $AQ$85 &amp; $AN14),0)),"",INDIRECT(CONCATENATE("Table!",ADDRESS($AJ14,MATCH(Q$1,INDIRECT("Table!A" &amp; $AN14):INDIRECT("Table!" &amp; $AQ$85 &amp; $AN14),0))))/1024)</f>
        <v>153.07649707031248</v>
      </c>
      <c r="R14" s="595">
        <f ca="1">IF(ISERROR(MATCH(R$1,INDIRECT("Table!A"&amp;$AN14):INDIRECT("Table!" &amp; $AQ$85 &amp; $AN14),0)),"",INDIRECT(CONCATENATE("Table!",ADDRESS($AJ14,MATCH(R$1,INDIRECT("Table!A" &amp; $AN14):INDIRECT("Table!" &amp; $AQ$85 &amp; $AN14),0))))/1024)</f>
        <v>322.78100683593749</v>
      </c>
      <c r="S14" s="595">
        <v>0</v>
      </c>
      <c r="T14" s="595">
        <f ca="1">IF(ISERROR(MATCH(T$1,INDIRECT("Table!A"&amp;$AN14):INDIRECT("Table!" &amp; $AQ$85 &amp; $AN14),0)),"",INDIRECT(CONCATENATE("Table!",ADDRESS($AJ14,MATCH(T$1,INDIRECT("Table!A" &amp; $AN14):INDIRECT("Table!" &amp; $AQ$85 &amp; $AN14),0))))/1024)</f>
        <v>39.413329101562496</v>
      </c>
      <c r="U14" s="595">
        <f ca="1">IF(ISERROR(MATCH(U$1,INDIRECT("Table!A"&amp;$AN14):INDIRECT("Table!" &amp; $AQ$85 &amp; $AN14),0)),"",INDIRECT(CONCATENATE("Table!",ADDRESS($AJ14,MATCH(U$1,INDIRECT("Table!A" &amp; $AN14):INDIRECT("Table!" &amp; $AQ$85 &amp; $AN14),0))))/1024)</f>
        <v>62.297425781249999</v>
      </c>
      <c r="V14" s="595">
        <f ca="1">IF(ISERROR(MATCH(V$1,INDIRECT("Table!A"&amp;$AN14):INDIRECT("Table!" &amp; $AQ$85 &amp; $AN14),0)),"",INDIRECT(CONCATENATE("Table!",ADDRESS($AJ14,MATCH(V$1,INDIRECT("Table!A" &amp; $AN14):INDIRECT("Table!" &amp; $AQ$85 &amp; $AN14),0))))/1024)</f>
        <v>83.107136718749999</v>
      </c>
      <c r="W14" s="595">
        <f ca="1">IF(ISERROR(MATCH(W$1,INDIRECT("Table!A"&amp;$AN14):INDIRECT("Table!" &amp; $AQ$85 &amp; $AN14),0)),"",INDIRECT(CONCATENATE("Table!",ADDRESS($AJ14,MATCH(W$1,INDIRECT("Table!A" &amp; $AN14):INDIRECT("Table!" &amp; $AQ$85 &amp; $AN14),0))))/1024)</f>
        <v>45.866973632812496</v>
      </c>
      <c r="X14" s="595">
        <f ca="1">IF(ISERROR(MATCH(X$1,INDIRECT("Table!A"&amp;$AN14):INDIRECT("Table!" &amp; $AQ$85 &amp; $AN14),0)),"",INDIRECT(CONCATENATE("Table!",ADDRESS($AJ14,MATCH(X$1,INDIRECT("Table!A" &amp; $AN14):INDIRECT("Table!" &amp; $AQ$85 &amp; $AN14),0))))/1024)</f>
        <v>56.008415039062498</v>
      </c>
      <c r="Y14" s="595">
        <f ca="1">IF(ISERROR(MATCH(Y$1,INDIRECT("Table!A"&amp;$AN14):INDIRECT("Table!" &amp; $AQ$85 &amp; $AN14),0)),"",INDIRECT(CONCATENATE("Table!",ADDRESS($AJ14,MATCH(Y$1,INDIRECT("Table!A" &amp; $AN14):INDIRECT("Table!" &amp; $AQ$85 &amp; $AN14),0))))/1024)</f>
        <v>50.048671874999997</v>
      </c>
      <c r="Z14" s="595">
        <f ca="1">IF(ISERROR(MATCH(Z$1,INDIRECT("Table!A"&amp;$AN14):INDIRECT("Table!" &amp; $AQ$85 &amp; $AN14),0)),"",INDIRECT(CONCATENATE("Table!",ADDRESS($AJ14,MATCH(Z$1,INDIRECT("Table!A" &amp; $AN14):INDIRECT("Table!" &amp; $AQ$85 &amp; $AN14),0))))/1024)</f>
        <v>84.621767578125002</v>
      </c>
      <c r="AA14" s="595">
        <f ca="1">IF(ISERROR(MATCH(AA$1,INDIRECT("Table!A"&amp;$AN14):INDIRECT("Table!" &amp; $AQ$85 &amp; $AN14),0)),"",INDIRECT(CONCATENATE("Table!",ADDRESS($AJ14,MATCH(AA$1,INDIRECT("Table!A" &amp; $AN14):INDIRECT("Table!" &amp; $AQ$85 &amp; $AN14),0))))/1024)</f>
        <v>203.91541113281249</v>
      </c>
      <c r="AB14" s="595">
        <f ca="1">IF(ISERROR(MATCH(AB$1,INDIRECT("Table!A"&amp;$AN14):INDIRECT("Table!" &amp; $AQ$85 &amp; $AN14),0)),"",INDIRECT(CONCATENATE("Table!",ADDRESS($AJ14,MATCH(AB$1,INDIRECT("Table!A" &amp; $AN14):INDIRECT("Table!" &amp; $AQ$85 &amp; $AN14),0))))/1024)</f>
        <v>0</v>
      </c>
      <c r="AC14" s="595">
        <f ca="1">IF(ISERROR(MATCH(AC$1,INDIRECT("Table!A"&amp;$AN14):INDIRECT("Table!" &amp; $AQ$85 &amp; $AN14),0)),"",INDIRECT(CONCATENATE("Table!",ADDRESS($AJ14,MATCH(AC$1,INDIRECT("Table!A" &amp; $AN14):INDIRECT("Table!" &amp; $AQ$85 &amp; $AN14),0))))/1024)</f>
        <v>61.803524414062501</v>
      </c>
      <c r="AD14" s="595">
        <f ca="1">IF(ISERROR(MATCH(AD$1,INDIRECT("Table!A"&amp;$AN14):INDIRECT("Table!" &amp; $AQ$85 &amp; $AN14),0)),"",INDIRECT(CONCATENATE("Table!",ADDRESS($AJ14,MATCH(AD$1,INDIRECT("Table!A" &amp; $AN14):INDIRECT("Table!" &amp; $AQ$85 &amp; $AN14),0))))/1024)</f>
        <v>84.325426757812494</v>
      </c>
      <c r="AE14" s="595">
        <f ca="1">IF(ISERROR(MATCH(AE$1,INDIRECT("Table!A"&amp;$AN14):INDIRECT("Table!" &amp; $AQ$85 &amp; $AN14),0)),"",INDIRECT(CONCATENATE("Table!",ADDRESS($AJ14,MATCH(AE$1,INDIRECT("Table!A" &amp; $AN14):INDIRECT("Table!" &amp; $AQ$85 &amp; $AN14),0))))/1024)</f>
        <v>16.8914267578125</v>
      </c>
      <c r="AF14" s="595">
        <f ca="1">IF(ISERROR(MATCH(AF$1,INDIRECT("Table!A"&amp;$AN14):INDIRECT("Table!" &amp; $AQ$85 &amp; $AN14),0)),"",INDIRECT(CONCATENATE("Table!",ADDRESS($AJ14,MATCH(AF$1,INDIRECT("Table!A" &amp; $AN14):INDIRECT("Table!" &amp; $AQ$85 &amp; $AN14),0))))/1024)</f>
        <v>16.8914267578125</v>
      </c>
      <c r="AG14" s="595">
        <f ca="1">IF(ISERROR(MATCH(AG$1,INDIRECT("Table!A"&amp;$AN14):INDIRECT("Table!" &amp; $AQ$85 &amp; $AN14),0)),"",INDIRECT(CONCATENATE("Table!",ADDRESS($AJ14,MATCH(AG$1,INDIRECT("Table!A" &amp; $AN14):INDIRECT("Table!" &amp; $AQ$85 &amp; $AN14),0))))/1024)</f>
        <v>58.444995117187496</v>
      </c>
      <c r="AH14" s="595">
        <f ca="1">IF(ISERROR(MATCH(AH$1,INDIRECT("Table!A"&amp;$AN14):INDIRECT("Table!" &amp; $AQ$85 &amp; $AN14),0)),"",INDIRECT(CONCATENATE("Table!",ADDRESS($AJ14,MATCH(AH$1,INDIRECT("Table!A" &amp; $AN14):INDIRECT("Table!" &amp; $AQ$85 &amp; $AN14),0))))/1024)</f>
        <v>0</v>
      </c>
      <c r="AI14" s="595"/>
      <c r="AJ14" s="595">
        <f>MATCH($A14,Table!$A:$A,0)+$AL$2-1</f>
        <v>165</v>
      </c>
      <c r="AK14" s="1011"/>
      <c r="AL14" s="1011"/>
      <c r="AM14" s="1011"/>
      <c r="AN14" s="595">
        <f>MATCH($A14,Table!$A:$A,0)+$AP$2-1</f>
        <v>157</v>
      </c>
      <c r="AO14" s="1011"/>
      <c r="AP14" s="1011"/>
      <c r="AQ14" s="1011" t="s">
        <v>302</v>
      </c>
      <c r="AR14" s="699">
        <f t="shared" ref="AR14" ca="1" si="11">SUM(B14:AH14)</f>
        <v>3864.2842968749997</v>
      </c>
      <c r="AS14" s="699">
        <f ca="1">AR14-AR43</f>
        <v>737.78986230468718</v>
      </c>
      <c r="AT14" s="699">
        <f ca="1">SUM(AS14:AS31)/10</f>
        <v>1148.4458003906245</v>
      </c>
    </row>
    <row r="15" spans="1:46" s="947" customFormat="1" x14ac:dyDescent="0.25">
      <c r="A15" s="592">
        <v>41893</v>
      </c>
      <c r="B15" s="595">
        <f ca="1">IF(ISERROR(MATCH(B$1,INDIRECT("Table!A"&amp;$AN15):INDIRECT("Table!" &amp; $AQ$108 &amp; $AN15),0)),"",INDIRECT(CONCATENATE("Table!",ADDRESS($AJ15,MATCH(B$1,INDIRECT("Table!A" &amp; $AN15):INDIRECT("Table!" &amp; $AQ$108 &amp; $AN15),0))))/1024)</f>
        <v>109.2839091796875</v>
      </c>
      <c r="C15" s="595">
        <f ca="1">IF(ISERROR(MATCH(C$1,INDIRECT("Table!A"&amp;$AN15):INDIRECT("Table!" &amp; $AQ$108 &amp; $AN15),0)),"",INDIRECT(CONCATENATE("Table!",ADDRESS($AJ15,MATCH(C$1,INDIRECT("Table!A" &amp; $AN15):INDIRECT("Table!" &amp; $AQ$108 &amp; $AN15),0))))/1024)</f>
        <v>88.671758789062494</v>
      </c>
      <c r="D15" s="595">
        <f ca="1">IF(ISERROR(MATCH(D$1,INDIRECT("Table!A"&amp;$AN15):INDIRECT("Table!" &amp; $AQ$108 &amp; $AN15),0)),"",INDIRECT(CONCATENATE("Table!",ADDRESS($AJ15,MATCH(D$1,INDIRECT("Table!A" &amp; $AN15):INDIRECT("Table!" &amp; $AQ$108 &amp; $AN15),0))))/1024)</f>
        <v>86.794933593750002</v>
      </c>
      <c r="E15" s="595">
        <f ca="1">IF(ISERROR(MATCH(E$1,INDIRECT("Table!A"&amp;$AN15):INDIRECT("Table!" &amp; $AQ$108 &amp; $AN15),0)),"",INDIRECT(CONCATENATE("Table!",ADDRESS($AJ15,MATCH(E$1,INDIRECT("Table!A" &amp; $AN15):INDIRECT("Table!" &amp; $AQ$108 &amp; $AN15),0))))/1024)</f>
        <v>164.436228515625</v>
      </c>
      <c r="F15" s="595">
        <f ca="1">IF(ISERROR(MATCH(F$1,INDIRECT("Table!A"&amp;$AN15):INDIRECT("Table!" &amp; $AQ$108 &amp; $AN15),0)),"",INDIRECT(CONCATENATE("Table!",ADDRESS($AJ15,MATCH(F$1,INDIRECT("Table!A" &amp; $AN15):INDIRECT("Table!" &amp; $AQ$108 &amp; $AN15),0))))/1024)</f>
        <v>110.83146679687499</v>
      </c>
      <c r="G15" s="595">
        <f ca="1">IF(ISERROR(MATCH(G$1,INDIRECT("Table!A"&amp;$AN15):INDIRECT("Table!" &amp; $AQ$108 &amp; $AN15),0)),"",INDIRECT(CONCATENATE("Table!",ADDRESS($AJ15,MATCH(G$1,INDIRECT("Table!A" &amp; $AN15):INDIRECT("Table!" &amp; $AQ$108 &amp; $AN15),0))))/1024)</f>
        <v>414.05397949218747</v>
      </c>
      <c r="H15" s="595">
        <f ca="1">IF(ISERROR(MATCH(H$1,INDIRECT("Table!A"&amp;$AN15):INDIRECT("Table!" &amp; $AQ$108 &amp; $AN15),0)),"",INDIRECT(CONCATENATE("Table!",ADDRESS($AJ15,MATCH(H$1,INDIRECT("Table!A" &amp; $AN15):INDIRECT("Table!" &amp; $AQ$108 &amp; $AN15),0))))/1024)</f>
        <v>193.77396972656248</v>
      </c>
      <c r="I15" s="595">
        <f ca="1">IF(ISERROR(MATCH(I$1,INDIRECT("Table!A"&amp;$AN15):INDIRECT("Table!" &amp; $AQ$85 &amp; $AN15),0)),"",INDIRECT(CONCATENATE("Table!",ADDRESS($AJ15,MATCH(I$1,INDIRECT("Table!A" &amp; $AN15):INDIRECT("Table!" &amp; $AQ$85 &amp; $AN15),0))))/1024)</f>
        <v>45.438925781249999</v>
      </c>
      <c r="J15" s="595">
        <f ca="1">IF(ISERROR(MATCH(J$1,INDIRECT("Table!A"&amp;$AN15):INDIRECT("Table!" &amp; $AQ$85 &amp; $AN15),0)),"",INDIRECT(CONCATENATE("Table!",ADDRESS($AJ15,MATCH(J$1,INDIRECT("Table!A" &amp; $AN15):INDIRECT("Table!" &amp; $AQ$85 &amp; $AN15),0))))/1024)</f>
        <v>200.45810156249999</v>
      </c>
      <c r="K15" s="595">
        <f ca="1">IF(ISERROR(MATCH(K$1,INDIRECT("Table!A"&amp;$AN15):INDIRECT("Table!" &amp; $AQ$85 &amp; $AN15),0)),"",INDIRECT(CONCATENATE("Table!",ADDRESS($AJ15,MATCH(K$1,INDIRECT("Table!A" &amp; $AN15):INDIRECT("Table!" &amp; $AQ$85 &amp; $AN15),0))))/1024)</f>
        <v>218.00806347656248</v>
      </c>
      <c r="L15" s="595">
        <f ca="1">IF(ISERROR(MATCH(L$1,INDIRECT("Table!A"&amp;$AN15):INDIRECT("Table!" &amp; $AQ$85 &amp; $AN15),0)),"",INDIRECT(CONCATENATE("Table!",ADDRESS($AJ15,MATCH(L$1,INDIRECT("Table!A" &amp; $AN15):INDIRECT("Table!" &amp; $AQ$85 &amp; $AN15),0))))/1024)</f>
        <v>133.15580859374998</v>
      </c>
      <c r="M15" s="595">
        <f ca="1">IF(ISERROR(MATCH(M$1,INDIRECT("Table!A"&amp;$AN15):INDIRECT("Table!" &amp; $AQ$85 &amp; $AN15),0)),"",INDIRECT(CONCATENATE("Table!",ADDRESS($AJ15,MATCH(M$1,INDIRECT("Table!A" &amp; $AN15):INDIRECT("Table!" &amp; $AQ$85 &amp; $AN15),0))))/1024)</f>
        <v>404.57107324218748</v>
      </c>
      <c r="N15" s="595">
        <f ca="1">IF(ISERROR(MATCH(N$1,INDIRECT("Table!A"&amp;$AN15):INDIRECT("Table!" &amp; $AQ$85 &amp; $AN15),0)),"",INDIRECT(CONCATENATE("Table!",ADDRESS($AJ15,MATCH(N$1,INDIRECT("Table!A" &amp; $AN15):INDIRECT("Table!" &amp; $AQ$85 &amp; $AN15),0))))/1024)</f>
        <v>113.13633984374999</v>
      </c>
      <c r="O15" s="595">
        <f ca="1">IF(ISERROR(MATCH(O$1,INDIRECT("Table!A"&amp;$AN15):INDIRECT("Table!" &amp; $AQ$85 &amp; $AN15),0)),"",INDIRECT(CONCATENATE("Table!",ADDRESS($AJ15,MATCH(O$1,INDIRECT("Table!A" &amp; $AN15):INDIRECT("Table!" &amp; $AQ$85 &amp; $AN15),0))))/1024)</f>
        <v>141.32164453125</v>
      </c>
      <c r="P15" s="595">
        <f ca="1">IF(ISERROR(MATCH(P$1,INDIRECT("Table!A"&amp;$AN15):INDIRECT("Table!" &amp; $AQ$85 &amp; $AN15),0)),"",INDIRECT(CONCATENATE("Table!",ADDRESS($AJ15,MATCH(P$1,INDIRECT("Table!A" &amp; $AN15):INDIRECT("Table!" &amp; $AQ$85 &amp; $AN15),0))))/1024)</f>
        <v>60.190113281249999</v>
      </c>
      <c r="Q15" s="595">
        <f ca="1">IF(ISERROR(MATCH(Q$1,INDIRECT("Table!A"&amp;$AN15):INDIRECT("Table!" &amp; $AQ$85 &amp; $AN15),0)),"",INDIRECT(CONCATENATE("Table!",ADDRESS($AJ15,MATCH(Q$1,INDIRECT("Table!A" &amp; $AN15):INDIRECT("Table!" &amp; $AQ$85 &amp; $AN15),0))))/1024)</f>
        <v>153.07649707031248</v>
      </c>
      <c r="R15" s="595">
        <f ca="1">IF(ISERROR(MATCH(R$1,INDIRECT("Table!A"&amp;$AN15):INDIRECT("Table!" &amp; $AQ$85 &amp; $AN15),0)),"",INDIRECT(CONCATENATE("Table!",ADDRESS($AJ15,MATCH(R$1,INDIRECT("Table!A" &amp; $AN15):INDIRECT("Table!" &amp; $AQ$85 &amp; $AN15),0))))/1024)</f>
        <v>322.78100683593749</v>
      </c>
      <c r="S15" s="595">
        <v>0</v>
      </c>
      <c r="T15" s="595">
        <f ca="1">IF(ISERROR(MATCH(T$1,INDIRECT("Table!A"&amp;$AN15):INDIRECT("Table!" &amp; $AQ$85 &amp; $AN15),0)),"",INDIRECT(CONCATENATE("Table!",ADDRESS($AJ15,MATCH(T$1,INDIRECT("Table!A" &amp; $AN15):INDIRECT("Table!" &amp; $AQ$85 &amp; $AN15),0))))/1024)</f>
        <v>39.413329101562496</v>
      </c>
      <c r="U15" s="595">
        <f ca="1">IF(ISERROR(MATCH(U$1,INDIRECT("Table!A"&amp;$AN15):INDIRECT("Table!" &amp; $AQ$85 &amp; $AN15),0)),"",INDIRECT(CONCATENATE("Table!",ADDRESS($AJ15,MATCH(U$1,INDIRECT("Table!A" &amp; $AN15):INDIRECT("Table!" &amp; $AQ$85 &amp; $AN15),0))))/1024)</f>
        <v>62.297425781249999</v>
      </c>
      <c r="V15" s="595">
        <f ca="1">IF(ISERROR(MATCH(V$1,INDIRECT("Table!A"&amp;$AN15):INDIRECT("Table!" &amp; $AQ$85 &amp; $AN15),0)),"",INDIRECT(CONCATENATE("Table!",ADDRESS($AJ15,MATCH(V$1,INDIRECT("Table!A" &amp; $AN15):INDIRECT("Table!" &amp; $AQ$85 &amp; $AN15),0))))/1024)</f>
        <v>83.107136718749999</v>
      </c>
      <c r="W15" s="595">
        <f ca="1">IF(ISERROR(MATCH(W$1,INDIRECT("Table!A"&amp;$AN15):INDIRECT("Table!" &amp; $AQ$85 &amp; $AN15),0)),"",INDIRECT(CONCATENATE("Table!",ADDRESS($AJ15,MATCH(W$1,INDIRECT("Table!A" &amp; $AN15):INDIRECT("Table!" &amp; $AQ$85 &amp; $AN15),0))))/1024)</f>
        <v>45.866973632812496</v>
      </c>
      <c r="X15" s="595">
        <f ca="1">IF(ISERROR(MATCH(X$1,INDIRECT("Table!A"&amp;$AN15):INDIRECT("Table!" &amp; $AQ$85 &amp; $AN15),0)),"",INDIRECT(CONCATENATE("Table!",ADDRESS($AJ15,MATCH(X$1,INDIRECT("Table!A" &amp; $AN15):INDIRECT("Table!" &amp; $AQ$85 &amp; $AN15),0))))/1024)</f>
        <v>56.008415039062498</v>
      </c>
      <c r="Y15" s="595">
        <f ca="1">IF(ISERROR(MATCH(Y$1,INDIRECT("Table!A"&amp;$AN15):INDIRECT("Table!" &amp; $AQ$85 &amp; $AN15),0)),"",INDIRECT(CONCATENATE("Table!",ADDRESS($AJ15,MATCH(Y$1,INDIRECT("Table!A" &amp; $AN15):INDIRECT("Table!" &amp; $AQ$85 &amp; $AN15),0))))/1024)</f>
        <v>48.270626953124996</v>
      </c>
      <c r="Z15" s="595">
        <f ca="1">IF(ISERROR(MATCH(Z$1,INDIRECT("Table!A"&amp;$AN15):INDIRECT("Table!" &amp; $AQ$85 &amp; $AN15),0)),"",INDIRECT(CONCATENATE("Table!",ADDRESS($AJ15,MATCH(Z$1,INDIRECT("Table!A" &amp; $AN15):INDIRECT("Table!" &amp; $AQ$85 &amp; $AN15),0))))/1024)</f>
        <v>82.843722656249994</v>
      </c>
      <c r="AA15" s="595">
        <f ca="1">IF(ISERROR(MATCH(AA$1,INDIRECT("Table!A"&amp;$AN15):INDIRECT("Table!" &amp; $AQ$85 &amp; $AN15),0)),"",INDIRECT(CONCATENATE("Table!",ADDRESS($AJ15,MATCH(AA$1,INDIRECT("Table!A" &amp; $AN15):INDIRECT("Table!" &amp; $AQ$85 &amp; $AN15),0))))/1024)</f>
        <v>193.47762890625</v>
      </c>
      <c r="AB15" s="595">
        <f ca="1">IF(ISERROR(MATCH(AB$1,INDIRECT("Table!A"&amp;$AN15):INDIRECT("Table!" &amp; $AQ$85 &amp; $AN15),0)),"",INDIRECT(CONCATENATE("Table!",ADDRESS($AJ15,MATCH(AB$1,INDIRECT("Table!A" &amp; $AN15):INDIRECT("Table!" &amp; $AQ$85 &amp; $AN15),0))))/1024)</f>
        <v>0</v>
      </c>
      <c r="AC15" s="595">
        <f ca="1">IF(ISERROR(MATCH(AC$1,INDIRECT("Table!A"&amp;$AN15):INDIRECT("Table!" &amp; $AQ$85 &amp; $AN15),0)),"",INDIRECT(CONCATENATE("Table!",ADDRESS($AJ15,MATCH(AC$1,INDIRECT("Table!A" &amp; $AN15):INDIRECT("Table!" &amp; $AQ$85 &amp; $AN15),0))))/1024)</f>
        <v>56.238902343749999</v>
      </c>
      <c r="AD15" s="595">
        <f ca="1">IF(ISERROR(MATCH(AD$1,INDIRECT("Table!A"&amp;$AN15):INDIRECT("Table!" &amp; $AQ$85 &amp; $AN15),0)),"",INDIRECT(CONCATENATE("Table!",ADDRESS($AJ15,MATCH(AD$1,INDIRECT("Table!A" &amp; $AN15):INDIRECT("Table!" &amp; $AQ$85 &amp; $AN15),0))))/1024)</f>
        <v>76.916906249999997</v>
      </c>
      <c r="AE15" s="595">
        <f ca="1">IF(ISERROR(MATCH(AE$1,INDIRECT("Table!A"&amp;$AN15):INDIRECT("Table!" &amp; $AQ$85 &amp; $AN15),0)),"",INDIRECT(CONCATENATE("Table!",ADDRESS($AJ15,MATCH(AE$1,INDIRECT("Table!A" &amp; $AN15):INDIRECT("Table!" &amp; $AQ$85 &amp; $AN15),0))))/1024)</f>
        <v>16.0353310546875</v>
      </c>
      <c r="AF15" s="595">
        <f ca="1">IF(ISERROR(MATCH(AF$1,INDIRECT("Table!A"&amp;$AN15):INDIRECT("Table!" &amp; $AQ$85 &amp; $AN15),0)),"",INDIRECT(CONCATENATE("Table!",ADDRESS($AJ15,MATCH(AF$1,INDIRECT("Table!A" &amp; $AN15):INDIRECT("Table!" &amp; $AQ$85 &amp; $AN15),0))))/1024)</f>
        <v>16.0353310546875</v>
      </c>
      <c r="AG15" s="595">
        <f ca="1">IF(ISERROR(MATCH(AG$1,INDIRECT("Table!A"&amp;$AN15):INDIRECT("Table!" &amp; $AQ$85 &amp; $AN15),0)),"",INDIRECT(CONCATENATE("Table!",ADDRESS($AJ15,MATCH(AG$1,INDIRECT("Table!A" &amp; $AN15):INDIRECT("Table!" &amp; $AQ$85 &amp; $AN15),0))))/1024)</f>
        <v>210.73124999999999</v>
      </c>
      <c r="AH15" s="595">
        <f ca="1">IF(ISERROR(MATCH(AH$1,INDIRECT("Table!A"&amp;$AN15):INDIRECT("Table!" &amp; $AQ$85 &amp; $AN15),0)),"",INDIRECT(CONCATENATE("Table!",ADDRESS($AJ15,MATCH(AH$1,INDIRECT("Table!A" &amp; $AN15):INDIRECT("Table!" &amp; $AQ$85 &amp; $AN15),0))))/1024)</f>
        <v>0</v>
      </c>
      <c r="AI15" s="595"/>
      <c r="AJ15" s="595">
        <f>MATCH($A15,Table!$A:$A,0)+$AL$2-1</f>
        <v>179</v>
      </c>
      <c r="AK15" s="1008"/>
      <c r="AL15" s="1008"/>
      <c r="AM15" s="1008"/>
      <c r="AN15" s="595">
        <f>MATCH($A15,Table!$A:$A,0)+$AP$2-1</f>
        <v>171</v>
      </c>
      <c r="AO15" s="1008"/>
      <c r="AP15" s="1008"/>
      <c r="AQ15" s="1008" t="s">
        <v>302</v>
      </c>
      <c r="AR15" s="699">
        <f t="shared" ref="AR15" ca="1" si="12">SUM(B15:AH15)</f>
        <v>3947.2267998046873</v>
      </c>
      <c r="AS15" s="699">
        <f ca="1">AR15-AR43</f>
        <v>820.73236523437481</v>
      </c>
      <c r="AT15" s="699">
        <f ca="1">SUM(AS15:AS31)/10</f>
        <v>1074.666814160156</v>
      </c>
    </row>
    <row r="16" spans="1:46" s="947" customFormat="1" x14ac:dyDescent="0.25">
      <c r="A16" s="592">
        <v>41886</v>
      </c>
      <c r="B16" s="595">
        <f ca="1">IF(ISERROR(MATCH(B$1,INDIRECT("Table!A"&amp;$AN16):INDIRECT("Table!" &amp; $AQ$108 &amp; $AN16),0)),"",INDIRECT(CONCATENATE("Table!",ADDRESS($AJ16,MATCH(B$1,INDIRECT("Table!A" &amp; $AN16):INDIRECT("Table!" &amp; $AQ$108 &amp; $AN16),0))))/1024)</f>
        <v>111.3253681640625</v>
      </c>
      <c r="C16" s="595">
        <f ca="1">IF(ISERROR(MATCH(C$1,INDIRECT("Table!A"&amp;$AN16):INDIRECT("Table!" &amp; $AQ$108 &amp; $AN16),0)),"",INDIRECT(CONCATENATE("Table!",ADDRESS($AJ16,MATCH(C$1,INDIRECT("Table!A" &amp; $AN16):INDIRECT("Table!" &amp; $AQ$108 &amp; $AN16),0))))/1024)</f>
        <v>90.58151074218749</v>
      </c>
      <c r="D16" s="595">
        <f ca="1">IF(ISERROR(MATCH(D$1,INDIRECT("Table!A"&amp;$AN16):INDIRECT("Table!" &amp; $AQ$108 &amp; $AN16),0)),"",INDIRECT(CONCATENATE("Table!",ADDRESS($AJ16,MATCH(D$1,INDIRECT("Table!A" &amp; $AN16):INDIRECT("Table!" &amp; $AQ$108 &amp; $AN16),0))))/1024)</f>
        <v>88.704685546874998</v>
      </c>
      <c r="E16" s="595">
        <f ca="1">IF(ISERROR(MATCH(E$1,INDIRECT("Table!A"&amp;$AN16):INDIRECT("Table!" &amp; $AQ$108 &amp; $AN16),0)),"",INDIRECT(CONCATENATE("Table!",ADDRESS($AJ16,MATCH(E$1,INDIRECT("Table!A" &amp; $AN16):INDIRECT("Table!" &amp; $AQ$108 &amp; $AN16),0))))/1024)</f>
        <v>169.27646191406248</v>
      </c>
      <c r="F16" s="595">
        <f ca="1">IF(ISERROR(MATCH(F$1,INDIRECT("Table!A"&amp;$AN16):INDIRECT("Table!" &amp; $AQ$108 &amp; $AN16),0)),"",INDIRECT(CONCATENATE("Table!",ADDRESS($AJ16,MATCH(F$1,INDIRECT("Table!A" &amp; $AN16):INDIRECT("Table!" &amp; $AQ$108 &amp; $AN16),0))))/1024)</f>
        <v>110.83146679687499</v>
      </c>
      <c r="G16" s="595">
        <f ca="1">IF(ISERROR(MATCH(G$1,INDIRECT("Table!A"&amp;$AN16):INDIRECT("Table!" &amp; $AQ$108 &amp; $AN16),0)),"",INDIRECT(CONCATENATE("Table!",ADDRESS($AJ16,MATCH(G$1,INDIRECT("Table!A" &amp; $AN16):INDIRECT("Table!" &amp; $AQ$108 &amp; $AN16),0))))/1024)</f>
        <v>414.05397949218747</v>
      </c>
      <c r="H16" s="595">
        <f ca="1">IF(ISERROR(MATCH(H$1,INDIRECT("Table!A"&amp;$AN16):INDIRECT("Table!" &amp; $AQ$108 &amp; $AN16),0)),"",INDIRECT(CONCATENATE("Table!",ADDRESS($AJ16,MATCH(H$1,INDIRECT("Table!A" &amp; $AN16):INDIRECT("Table!" &amp; $AQ$108 &amp; $AN16),0))))/1024)</f>
        <v>199.56907910156249</v>
      </c>
      <c r="I16" s="595">
        <f ca="1">IF(ISERROR(MATCH(I$1,INDIRECT("Table!A"&amp;$AN16):INDIRECT("Table!" &amp; $AQ$85 &amp; $AN16),0)),"",INDIRECT(CONCATENATE("Table!",ADDRESS($AJ16,MATCH(I$1,INDIRECT("Table!A" &amp; $AN16):INDIRECT("Table!" &amp; $AQ$85 &amp; $AN16),0))))/1024)</f>
        <v>45.438925781249999</v>
      </c>
      <c r="J16" s="595">
        <f ca="1">IF(ISERROR(MATCH(J$1,INDIRECT("Table!A"&amp;$AN16):INDIRECT("Table!" &amp; $AQ$85 &amp; $AN16),0)),"",INDIRECT(CONCATENATE("Table!",ADDRESS($AJ16,MATCH(J$1,INDIRECT("Table!A" &amp; $AN16):INDIRECT("Table!" &amp; $AQ$85 &amp; $AN16),0))))/1024)</f>
        <v>200.42517480468749</v>
      </c>
      <c r="K16" s="595">
        <f ca="1">IF(ISERROR(MATCH(K$1,INDIRECT("Table!A"&amp;$AN16):INDIRECT("Table!" &amp; $AQ$85 &amp; $AN16),0)),"",INDIRECT(CONCATENATE("Table!",ADDRESS($AJ16,MATCH(K$1,INDIRECT("Table!A" &amp; $AN16):INDIRECT("Table!" &amp; $AQ$85 &amp; $AN16),0))))/1024)</f>
        <v>216.46050585937499</v>
      </c>
      <c r="L16" s="595">
        <f ca="1">IF(ISERROR(MATCH(L$1,INDIRECT("Table!A"&amp;$AN16):INDIRECT("Table!" &amp; $AQ$85 &amp; $AN16),0)),"",INDIRECT(CONCATENATE("Table!",ADDRESS($AJ16,MATCH(L$1,INDIRECT("Table!A" &amp; $AN16):INDIRECT("Table!" &amp; $AQ$85 &amp; $AN16),0))))/1024)</f>
        <v>134.57165917968749</v>
      </c>
      <c r="M16" s="595">
        <f ca="1">IF(ISERROR(MATCH(M$1,INDIRECT("Table!A"&amp;$AN16):INDIRECT("Table!" &amp; $AQ$85 &amp; $AN16),0)),"",INDIRECT(CONCATENATE("Table!",ADDRESS($AJ16,MATCH(M$1,INDIRECT("Table!A" &amp; $AN16):INDIRECT("Table!" &amp; $AQ$85 &amp; $AN16),0))))/1024)</f>
        <v>405.6247294921875</v>
      </c>
      <c r="N16" s="595">
        <f ca="1">IF(ISERROR(MATCH(N$1,INDIRECT("Table!A"&amp;$AN16):INDIRECT("Table!" &amp; $AQ$85 &amp; $AN16),0)),"",INDIRECT(CONCATENATE("Table!",ADDRESS($AJ16,MATCH(N$1,INDIRECT("Table!A" &amp; $AN16):INDIRECT("Table!" &amp; $AQ$85 &amp; $AN16),0))))/1024)</f>
        <v>113.13633984374999</v>
      </c>
      <c r="O16" s="595">
        <f ca="1">IF(ISERROR(MATCH(O$1,INDIRECT("Table!A"&amp;$AN16):INDIRECT("Table!" &amp; $AQ$85 &amp; $AN16),0)),"",INDIRECT(CONCATENATE("Table!",ADDRESS($AJ16,MATCH(O$1,INDIRECT("Table!A" &amp; $AN16):INDIRECT("Table!" &amp; $AQ$85 &amp; $AN16),0))))/1024)</f>
        <v>144.61432031250001</v>
      </c>
      <c r="P16" s="595">
        <f ca="1">IF(ISERROR(MATCH(P$1,INDIRECT("Table!A"&amp;$AN16):INDIRECT("Table!" &amp; $AQ$85 &amp; $AN16),0)),"",INDIRECT(CONCATENATE("Table!",ADDRESS($AJ16,MATCH(P$1,INDIRECT("Table!A" &amp; $AN16):INDIRECT("Table!" &amp; $AQ$85 &amp; $AN16),0))))/1024)</f>
        <v>60.190113281249999</v>
      </c>
      <c r="Q16" s="595">
        <f ca="1">IF(ISERROR(MATCH(Q$1,INDIRECT("Table!A"&amp;$AN16):INDIRECT("Table!" &amp; $AQ$85 &amp; $AN16),0)),"",INDIRECT(CONCATENATE("Table!",ADDRESS($AJ16,MATCH(Q$1,INDIRECT("Table!A" &amp; $AN16):INDIRECT("Table!" &amp; $AQ$85 &amp; $AN16),0))))/1024)</f>
        <v>153.04357031249998</v>
      </c>
      <c r="R16" s="595">
        <f ca="1">IF(ISERROR(MATCH(R$1,INDIRECT("Table!A"&amp;$AN16):INDIRECT("Table!" &amp; $AQ$85 &amp; $AN16),0)),"",INDIRECT(CONCATENATE("Table!",ADDRESS($AJ16,MATCH(R$1,INDIRECT("Table!A" &amp; $AN16):INDIRECT("Table!" &amp; $AQ$85 &amp; $AN16),0))))/1024)</f>
        <v>324.36149121093752</v>
      </c>
      <c r="S16" s="595">
        <v>0</v>
      </c>
      <c r="T16" s="595">
        <f ca="1">IF(ISERROR(MATCH(T$1,INDIRECT("Table!A"&amp;$AN16):INDIRECT("Table!" &amp; $AQ$85 &amp; $AN16),0)),"",INDIRECT(CONCATENATE("Table!",ADDRESS($AJ16,MATCH(T$1,INDIRECT("Table!A" &amp; $AN16):INDIRECT("Table!" &amp; $AQ$85 &amp; $AN16),0))))/1024)</f>
        <v>39.413329101562496</v>
      </c>
      <c r="U16" s="595">
        <f ca="1">IF(ISERROR(MATCH(U$1,INDIRECT("Table!A"&amp;$AN16):INDIRECT("Table!" &amp; $AQ$85 &amp; $AN16),0)),"",INDIRECT(CONCATENATE("Table!",ADDRESS($AJ16,MATCH(U$1,INDIRECT("Table!A" &amp; $AN16):INDIRECT("Table!" &amp; $AQ$85 &amp; $AN16),0))))/1024)</f>
        <v>62.297425781249999</v>
      </c>
      <c r="V16" s="595">
        <f ca="1">IF(ISERROR(MATCH(V$1,INDIRECT("Table!A"&amp;$AN16):INDIRECT("Table!" &amp; $AQ$85 &amp; $AN16),0)),"",INDIRECT(CONCATENATE("Table!",ADDRESS($AJ16,MATCH(V$1,INDIRECT("Table!A" &amp; $AN16):INDIRECT("Table!" &amp; $AQ$85 &amp; $AN16),0))))/1024)</f>
        <v>83.107136718749999</v>
      </c>
      <c r="W16" s="595">
        <f ca="1">IF(ISERROR(MATCH(W$1,INDIRECT("Table!A"&amp;$AN16):INDIRECT("Table!" &amp; $AQ$85 &amp; $AN16),0)),"",INDIRECT(CONCATENATE("Table!",ADDRESS($AJ16,MATCH(W$1,INDIRECT("Table!A" &amp; $AN16):INDIRECT("Table!" &amp; $AQ$85 &amp; $AN16),0))))/1024)</f>
        <v>45.866973632812496</v>
      </c>
      <c r="X16" s="595">
        <f ca="1">IF(ISERROR(MATCH(X$1,INDIRECT("Table!A"&amp;$AN16):INDIRECT("Table!" &amp; $AQ$85 &amp; $AN16),0)),"",INDIRECT(CONCATENATE("Table!",ADDRESS($AJ16,MATCH(X$1,INDIRECT("Table!A" &amp; $AN16):INDIRECT("Table!" &amp; $AQ$85 &amp; $AN16),0))))/1024)</f>
        <v>56.008415039062498</v>
      </c>
      <c r="Y16" s="595">
        <f ca="1">IF(ISERROR(MATCH(Y$1,INDIRECT("Table!A"&amp;$AN16):INDIRECT("Table!" &amp; $AQ$85 &amp; $AN16),0)),"",INDIRECT(CONCATENATE("Table!",ADDRESS($AJ16,MATCH(Y$1,INDIRECT("Table!A" &amp; $AN16):INDIRECT("Table!" &amp; $AQ$85 &amp; $AN16),0))))/1024)</f>
        <v>45.702339843749996</v>
      </c>
      <c r="Z16" s="595">
        <f ca="1">IF(ISERROR(MATCH(Z$1,INDIRECT("Table!A"&amp;$AN16):INDIRECT("Table!" &amp; $AQ$85 &amp; $AN16),0)),"",INDIRECT(CONCATENATE("Table!",ADDRESS($AJ16,MATCH(Z$1,INDIRECT("Table!A" &amp; $AN16):INDIRECT("Table!" &amp; $AQ$85 &amp; $AN16),0))))/1024)</f>
        <v>80.077874999999992</v>
      </c>
      <c r="AA16" s="595">
        <f ca="1">IF(ISERROR(MATCH(AA$1,INDIRECT("Table!A"&amp;$AN16):INDIRECT("Table!" &amp; $AQ$85 &amp; $AN16),0)),"",INDIRECT(CONCATENATE("Table!",ADDRESS($AJ16,MATCH(AA$1,INDIRECT("Table!A" &amp; $AN16):INDIRECT("Table!" &amp; $AQ$85 &amp; $AN16),0))))/1024)</f>
        <v>190.51422070312501</v>
      </c>
      <c r="AB16" s="595">
        <f ca="1">IF(ISERROR(MATCH(AB$1,INDIRECT("Table!A"&amp;$AN16):INDIRECT("Table!" &amp; $AQ$85 &amp; $AN16),0)),"",INDIRECT(CONCATENATE("Table!",ADDRESS($AJ16,MATCH(AB$1,INDIRECT("Table!A" &amp; $AN16):INDIRECT("Table!" &amp; $AQ$85 &amp; $AN16),0))))/1024)</f>
        <v>0</v>
      </c>
      <c r="AC16" s="595">
        <f ca="1">IF(ISERROR(MATCH(AC$1,INDIRECT("Table!A"&amp;$AN16):INDIRECT("Table!" &amp; $AQ$85 &amp; $AN16),0)),"",INDIRECT(CONCATENATE("Table!",ADDRESS($AJ16,MATCH(AC$1,INDIRECT("Table!A" &amp; $AN16):INDIRECT("Table!" &amp; $AQ$85 &amp; $AN16),0))))/1024)</f>
        <v>45.2742919921875</v>
      </c>
      <c r="AD16" s="595">
        <f ca="1">IF(ISERROR(MATCH(AD$1,INDIRECT("Table!A"&amp;$AN16):INDIRECT("Table!" &amp; $AQ$85 &amp; $AN16),0)),"",INDIRECT(CONCATENATE("Table!",ADDRESS($AJ16,MATCH(AD$1,INDIRECT("Table!A" &amp; $AN16):INDIRECT("Table!" &amp; $AQ$85 &amp; $AN16),0))))/1024)</f>
        <v>73.723010742187498</v>
      </c>
      <c r="AE16" s="595">
        <f ca="1">IF(ISERROR(MATCH(AE$1,INDIRECT("Table!A"&amp;$AN16):INDIRECT("Table!" &amp; $AQ$85 &amp; $AN16),0)),"",INDIRECT(CONCATENATE("Table!",ADDRESS($AJ16,MATCH(AE$1,INDIRECT("Table!A" &amp; $AN16):INDIRECT("Table!" &amp; $AQ$85 &amp; $AN16),0))))/1024)</f>
        <v>9.3841259765624994</v>
      </c>
      <c r="AF16" s="595">
        <f ca="1">IF(ISERROR(MATCH(AF$1,INDIRECT("Table!A"&amp;$AN16):INDIRECT("Table!" &amp; $AQ$85 &amp; $AN16),0)),"",INDIRECT(CONCATENATE("Table!",ADDRESS($AJ16,MATCH(AF$1,INDIRECT("Table!A" &amp; $AN16):INDIRECT("Table!" &amp; $AQ$85 &amp; $AN16),0))))/1024)</f>
        <v>9.3841259765624994</v>
      </c>
      <c r="AG16" s="595">
        <f ca="1">IF(ISERROR(MATCH(AG$1,INDIRECT("Table!A"&amp;$AN16):INDIRECT("Table!" &amp; $AQ$85 &amp; $AN16),0)),"",INDIRECT(CONCATENATE("Table!",ADDRESS($AJ16,MATCH(AG$1,INDIRECT("Table!A" &amp; $AN16):INDIRECT("Table!" &amp; $AQ$85 &amp; $AN16),0))))/1024)</f>
        <v>210.73124999999999</v>
      </c>
      <c r="AH16" s="595">
        <f ca="1">IF(ISERROR(MATCH(AH$1,INDIRECT("Table!A"&amp;$AN16):INDIRECT("Table!" &amp; $AQ$85 &amp; $AN16),0)),"",INDIRECT(CONCATENATE("Table!",ADDRESS($AJ16,MATCH(AH$1,INDIRECT("Table!A" &amp; $AN16):INDIRECT("Table!" &amp; $AQ$85 &amp; $AN16),0))))/1024)</f>
        <v>0</v>
      </c>
      <c r="AI16" s="595"/>
      <c r="AJ16" s="595">
        <f>MATCH($A16,Table!$A:$A,0)+$AL$2-1</f>
        <v>193</v>
      </c>
      <c r="AK16" s="1005"/>
      <c r="AL16" s="1005"/>
      <c r="AM16" s="1005"/>
      <c r="AN16" s="595">
        <f>MATCH($A16,Table!$A:$A,0)+$AP$2-1</f>
        <v>185</v>
      </c>
      <c r="AO16" s="1005"/>
      <c r="AP16" s="1005"/>
      <c r="AQ16" s="1005" t="s">
        <v>302</v>
      </c>
      <c r="AR16" s="699">
        <f t="shared" ca="1" si="0"/>
        <v>3933.6939023437494</v>
      </c>
      <c r="AS16" s="699">
        <f ca="1">AR16-AR43</f>
        <v>807.19946777343694</v>
      </c>
      <c r="AT16" s="699">
        <f ca="1">SUM(AS16:AS31)/10</f>
        <v>992.59357763671835</v>
      </c>
    </row>
    <row r="17" spans="1:46" s="947" customFormat="1" x14ac:dyDescent="0.25">
      <c r="A17" s="592">
        <v>41878</v>
      </c>
      <c r="B17" s="595">
        <f ca="1">IF(ISERROR(MATCH(B$1,INDIRECT("Table!A"&amp;$AN17):INDIRECT("Table!" &amp; $AQ$108 &amp; $AN17),0)),"",INDIRECT(CONCATENATE("Table!",ADDRESS($AJ17,MATCH(B$1,INDIRECT("Table!A" &amp; $AN17):INDIRECT("Table!" &amp; $AQ$108 &amp; $AN17),0))))/1024)</f>
        <v>111.3253681640625</v>
      </c>
      <c r="C17" s="595">
        <f ca="1">IF(ISERROR(MATCH(C$1,INDIRECT("Table!A"&amp;$AN17):INDIRECT("Table!" &amp; $AQ$108 &amp; $AN17),0)),"",INDIRECT(CONCATENATE("Table!",ADDRESS($AJ17,MATCH(C$1,INDIRECT("Table!A" &amp; $AN17):INDIRECT("Table!" &amp; $AQ$108 &amp; $AN17),0))))/1024)</f>
        <v>90.58151074218749</v>
      </c>
      <c r="D17" s="595">
        <f ca="1">IF(ISERROR(MATCH(D$1,INDIRECT("Table!A"&amp;$AN17):INDIRECT("Table!" &amp; $AQ$108 &amp; $AN17),0)),"",INDIRECT(CONCATENATE("Table!",ADDRESS($AJ17,MATCH(D$1,INDIRECT("Table!A" &amp; $AN17):INDIRECT("Table!" &amp; $AQ$108 &amp; $AN17),0))))/1024)</f>
        <v>88.704685546874998</v>
      </c>
      <c r="E17" s="595">
        <f ca="1">IF(ISERROR(MATCH(E$1,INDIRECT("Table!A"&amp;$AN17):INDIRECT("Table!" &amp; $AQ$108 &amp; $AN17),0)),"",INDIRECT(CONCATENATE("Table!",ADDRESS($AJ17,MATCH(E$1,INDIRECT("Table!A" &amp; $AN17):INDIRECT("Table!" &amp; $AQ$108 &amp; $AN17),0))))/1024)</f>
        <v>169.27646191406248</v>
      </c>
      <c r="F17" s="595">
        <f ca="1">IF(ISERROR(MATCH(F$1,INDIRECT("Table!A"&amp;$AN17):INDIRECT("Table!" &amp; $AQ$108 &amp; $AN17),0)),"",INDIRECT(CONCATENATE("Table!",ADDRESS($AJ17,MATCH(F$1,INDIRECT("Table!A" &amp; $AN17):INDIRECT("Table!" &amp; $AQ$108 &amp; $AN17),0))))/1024)</f>
        <v>110.83146679687499</v>
      </c>
      <c r="G17" s="595">
        <f ca="1">IF(ISERROR(MATCH(G$1,INDIRECT("Table!A"&amp;$AN17):INDIRECT("Table!" &amp; $AQ$108 &amp; $AN17),0)),"",INDIRECT(CONCATENATE("Table!",ADDRESS($AJ17,MATCH(G$1,INDIRECT("Table!A" &amp; $AN17):INDIRECT("Table!" &amp; $AQ$108 &amp; $AN17),0))))/1024)</f>
        <v>414.05397949218747</v>
      </c>
      <c r="H17" s="595">
        <f ca="1">IF(ISERROR(MATCH(H$1,INDIRECT("Table!A"&amp;$AN17):INDIRECT("Table!" &amp; $AQ$108 &amp; $AN17),0)),"",INDIRECT(CONCATENATE("Table!",ADDRESS($AJ17,MATCH(H$1,INDIRECT("Table!A" &amp; $AN17):INDIRECT("Table!" &amp; $AQ$108 &amp; $AN17),0))))/1024)</f>
        <v>198.2520087890625</v>
      </c>
      <c r="I17" s="595">
        <f ca="1">IF(ISERROR(MATCH(I$1,INDIRECT("Table!A"&amp;$AN17):INDIRECT("Table!" &amp; $AQ$85 &amp; $AN17),0)),"",INDIRECT(CONCATENATE("Table!",ADDRESS($AJ17,MATCH(I$1,INDIRECT("Table!A" &amp; $AN17):INDIRECT("Table!" &amp; $AQ$85 &amp; $AN17),0))))/1024)</f>
        <v>45.438925781249999</v>
      </c>
      <c r="J17" s="595">
        <f ca="1">IF(ISERROR(MATCH(J$1,INDIRECT("Table!A"&amp;$AN17):INDIRECT("Table!" &amp; $AQ$85 &amp; $AN17),0)),"",INDIRECT(CONCATENATE("Table!",ADDRESS($AJ17,MATCH(J$1,INDIRECT("Table!A" &amp; $AN17):INDIRECT("Table!" &amp; $AQ$85 &amp; $AN17),0))))/1024)</f>
        <v>199.79956640624999</v>
      </c>
      <c r="K17" s="595">
        <f ca="1">IF(ISERROR(MATCH(K$1,INDIRECT("Table!A"&amp;$AN17):INDIRECT("Table!" &amp; $AQ$85 &amp; $AN17),0)),"",INDIRECT(CONCATENATE("Table!",ADDRESS($AJ17,MATCH(K$1,INDIRECT("Table!A" &amp; $AN17):INDIRECT("Table!" &amp; $AQ$85 &amp; $AN17),0))))/1024)</f>
        <v>216.065384765625</v>
      </c>
      <c r="L17" s="595">
        <f ca="1">IF(ISERROR(MATCH(L$1,INDIRECT("Table!A"&amp;$AN17):INDIRECT("Table!" &amp; $AQ$85 &amp; $AN17),0)),"",INDIRECT(CONCATENATE("Table!",ADDRESS($AJ17,MATCH(L$1,INDIRECT("Table!A" &amp; $AN17):INDIRECT("Table!" &amp; $AQ$85 &amp; $AN17),0))))/1024)</f>
        <v>134.57165917968749</v>
      </c>
      <c r="M17" s="595">
        <f ca="1">IF(ISERROR(MATCH(M$1,INDIRECT("Table!A"&amp;$AN17):INDIRECT("Table!" &amp; $AQ$85 &amp; $AN17),0)),"",INDIRECT(CONCATENATE("Table!",ADDRESS($AJ17,MATCH(M$1,INDIRECT("Table!A" &amp; $AN17):INDIRECT("Table!" &amp; $AQ$85 &amp; $AN17),0))))/1024)</f>
        <v>345.56632324218748</v>
      </c>
      <c r="N17" s="595">
        <f ca="1">IF(ISERROR(MATCH(N$1,INDIRECT("Table!A"&amp;$AN17):INDIRECT("Table!" &amp; $AQ$85 &amp; $AN17),0)),"",INDIRECT(CONCATENATE("Table!",ADDRESS($AJ17,MATCH(N$1,INDIRECT("Table!A" &amp; $AN17):INDIRECT("Table!" &amp; $AQ$85 &amp; $AN17),0))))/1024)</f>
        <v>113.13633984374999</v>
      </c>
      <c r="O17" s="595">
        <f ca="1">IF(ISERROR(MATCH(O$1,INDIRECT("Table!A"&amp;$AN17):INDIRECT("Table!" &amp; $AQ$85 &amp; $AN17),0)),"",INDIRECT(CONCATENATE("Table!",ADDRESS($AJ17,MATCH(O$1,INDIRECT("Table!A" &amp; $AN17):INDIRECT("Table!" &amp; $AQ$85 &amp; $AN17),0))))/1024)</f>
        <v>143.29725000000002</v>
      </c>
      <c r="P17" s="595">
        <f ca="1">IF(ISERROR(MATCH(P$1,INDIRECT("Table!A"&amp;$AN17):INDIRECT("Table!" &amp; $AQ$85 &amp; $AN17),0)),"",INDIRECT(CONCATENATE("Table!",ADDRESS($AJ17,MATCH(P$1,INDIRECT("Table!A" &amp; $AN17):INDIRECT("Table!" &amp; $AQ$85 &amp; $AN17),0))))/1024)</f>
        <v>60.190113281249999</v>
      </c>
      <c r="Q17" s="595">
        <f ca="1">IF(ISERROR(MATCH(Q$1,INDIRECT("Table!A"&amp;$AN17):INDIRECT("Table!" &amp; $AQ$85 &amp; $AN17),0)),"",INDIRECT(CONCATENATE("Table!",ADDRESS($AJ17,MATCH(Q$1,INDIRECT("Table!A" &amp; $AN17):INDIRECT("Table!" &amp; $AQ$85 &amp; $AN17),0))))/1024)</f>
        <v>152.41796191406249</v>
      </c>
      <c r="R17" s="595">
        <f ca="1">IF(ISERROR(MATCH(R$1,INDIRECT("Table!A"&amp;$AN17):INDIRECT("Table!" &amp; $AQ$85 &amp; $AN17),0)),"",INDIRECT(CONCATENATE("Table!",ADDRESS($AJ17,MATCH(R$1,INDIRECT("Table!A" &amp; $AN17):INDIRECT("Table!" &amp; $AQ$85 &amp; $AN17),0))))/1024)</f>
        <v>324.36149121093752</v>
      </c>
      <c r="S17" s="595">
        <v>0</v>
      </c>
      <c r="T17" s="595">
        <f ca="1">IF(ISERROR(MATCH(T$1,INDIRECT("Table!A"&amp;$AN17):INDIRECT("Table!" &amp; $AQ$85 &amp; $AN17),0)),"",INDIRECT(CONCATENATE("Table!",ADDRESS($AJ17,MATCH(T$1,INDIRECT("Table!A" &amp; $AN17):INDIRECT("Table!" &amp; $AQ$85 &amp; $AN17),0))))/1024)</f>
        <v>39.413329101562496</v>
      </c>
      <c r="U17" s="595">
        <f ca="1">IF(ISERROR(MATCH(U$1,INDIRECT("Table!A"&amp;$AN17):INDIRECT("Table!" &amp; $AQ$85 &amp; $AN17),0)),"",INDIRECT(CONCATENATE("Table!",ADDRESS($AJ17,MATCH(U$1,INDIRECT("Table!A" &amp; $AN17):INDIRECT("Table!" &amp; $AQ$85 &amp; $AN17),0))))/1024)</f>
        <v>61.638890624999995</v>
      </c>
      <c r="V17" s="595">
        <f ca="1">IF(ISERROR(MATCH(V$1,INDIRECT("Table!A"&amp;$AN17):INDIRECT("Table!" &amp; $AQ$85 &amp; $AN17),0)),"",INDIRECT(CONCATENATE("Table!",ADDRESS($AJ17,MATCH(V$1,INDIRECT("Table!A" &amp; $AN17):INDIRECT("Table!" &amp; $AQ$85 &amp; $AN17),0))))/1024)</f>
        <v>82.448601562500002</v>
      </c>
      <c r="W17" s="595">
        <f ca="1">IF(ISERROR(MATCH(W$1,INDIRECT("Table!A"&amp;$AN17):INDIRECT("Table!" &amp; $AQ$85 &amp; $AN17),0)),"",INDIRECT(CONCATENATE("Table!",ADDRESS($AJ17,MATCH(W$1,INDIRECT("Table!A" &amp; $AN17):INDIRECT("Table!" &amp; $AQ$85 &amp; $AN17),0))))/1024)</f>
        <v>45.866973632812496</v>
      </c>
      <c r="X17" s="595">
        <f ca="1">IF(ISERROR(MATCH(X$1,INDIRECT("Table!A"&amp;$AN17):INDIRECT("Table!" &amp; $AQ$85 &amp; $AN17),0)),"",INDIRECT(CONCATENATE("Table!",ADDRESS($AJ17,MATCH(X$1,INDIRECT("Table!A" &amp; $AN17):INDIRECT("Table!" &amp; $AQ$85 &amp; $AN17),0))))/1024)</f>
        <v>56.008415039062498</v>
      </c>
      <c r="Y17" s="595">
        <f ca="1">IF(ISERROR(MATCH(Y$1,INDIRECT("Table!A"&amp;$AN17):INDIRECT("Table!" &amp; $AQ$85 &amp; $AN17),0)),"",INDIRECT(CONCATENATE("Table!",ADDRESS($AJ17,MATCH(Y$1,INDIRECT("Table!A" &amp; $AN17):INDIRECT("Table!" &amp; $AQ$85 &amp; $AN17),0))))/1024)</f>
        <v>45.702339843749996</v>
      </c>
      <c r="Z17" s="595">
        <f ca="1">IF(ISERROR(MATCH(Z$1,INDIRECT("Table!A"&amp;$AN17):INDIRECT("Table!" &amp; $AQ$85 &amp; $AN17),0)),"",INDIRECT(CONCATENATE("Table!",ADDRESS($AJ17,MATCH(Z$1,INDIRECT("Table!A" &amp; $AN17):INDIRECT("Table!" &amp; $AQ$85 &amp; $AN17),0))))/1024)</f>
        <v>80.077874999999992</v>
      </c>
      <c r="AA17" s="595">
        <f ca="1">IF(ISERROR(MATCH(AA$1,INDIRECT("Table!A"&amp;$AN17):INDIRECT("Table!" &amp; $AQ$85 &amp; $AN17),0)),"",INDIRECT(CONCATENATE("Table!",ADDRESS($AJ17,MATCH(AA$1,INDIRECT("Table!A" &amp; $AN17):INDIRECT("Table!" &amp; $AQ$85 &amp; $AN17),0))))/1024)</f>
        <v>186.00325488281248</v>
      </c>
      <c r="AB17" s="595">
        <f ca="1">IF(ISERROR(MATCH(AB$1,INDIRECT("Table!A"&amp;$AN17):INDIRECT("Table!" &amp; $AQ$85 &amp; $AN17),0)),"",INDIRECT(CONCATENATE("Table!",ADDRESS($AJ17,MATCH(AB$1,INDIRECT("Table!A" &amp; $AN17):INDIRECT("Table!" &amp; $AQ$85 &amp; $AN17),0))))/1024)</f>
        <v>0</v>
      </c>
      <c r="AC17" s="595">
        <f ca="1">IF(ISERROR(MATCH(AC$1,INDIRECT("Table!A"&amp;$AN17):INDIRECT("Table!" &amp; $AQ$85 &amp; $AN17),0)),"",INDIRECT(CONCATENATE("Table!",ADDRESS($AJ17,MATCH(AC$1,INDIRECT("Table!A" &amp; $AN17):INDIRECT("Table!" &amp; $AQ$85 &amp; $AN17),0))))/1024)</f>
        <v>44.187708984375</v>
      </c>
      <c r="AD17" s="595">
        <f ca="1">IF(ISERROR(MATCH(AD$1,INDIRECT("Table!A"&amp;$AN17):INDIRECT("Table!" &amp; $AQ$85 &amp; $AN17),0)),"",INDIRECT(CONCATENATE("Table!",ADDRESS($AJ17,MATCH(AD$1,INDIRECT("Table!A" &amp; $AN17):INDIRECT("Table!" &amp; $AQ$85 &amp; $AN17),0))))/1024)</f>
        <v>73.459596679687493</v>
      </c>
      <c r="AE17" s="595">
        <f ca="1">IF(ISERROR(MATCH(AE$1,INDIRECT("Table!A"&amp;$AN17):INDIRECT("Table!" &amp; $AQ$85 &amp; $AN17),0)),"",INDIRECT(CONCATENATE("Table!",ADDRESS($AJ17,MATCH(AE$1,INDIRECT("Table!A" &amp; $AN17):INDIRECT("Table!" &amp; $AQ$85 &amp; $AN17),0))))/1024)</f>
        <v>9.3841259765624994</v>
      </c>
      <c r="AF17" s="595">
        <f ca="1">IF(ISERROR(MATCH(AF$1,INDIRECT("Table!A"&amp;$AN17):INDIRECT("Table!" &amp; $AQ$85 &amp; $AN17),0)),"",INDIRECT(CONCATENATE("Table!",ADDRESS($AJ17,MATCH(AF$1,INDIRECT("Table!A" &amp; $AN17):INDIRECT("Table!" &amp; $AQ$85 &amp; $AN17),0))))/1024)</f>
        <v>9.3841259765624994</v>
      </c>
      <c r="AG17" s="595">
        <f ca="1">IF(ISERROR(MATCH(AG$1,INDIRECT("Table!A"&amp;$AN17):INDIRECT("Table!" &amp; $AQ$85 &amp; $AN17),0)),"",INDIRECT(CONCATENATE("Table!",ADDRESS($AJ17,MATCH(AG$1,INDIRECT("Table!A" &amp; $AN17):INDIRECT("Table!" &amp; $AQ$85 &amp; $AN17),0))))/1024)</f>
        <v>210.73124999999999</v>
      </c>
      <c r="AH17" s="595">
        <f ca="1">IF(ISERROR(MATCH(AH$1,INDIRECT("Table!A"&amp;$AN17):INDIRECT("Table!" &amp; $AQ$85 &amp; $AN17),0)),"",INDIRECT(CONCATENATE("Table!",ADDRESS($AJ17,MATCH(AH$1,INDIRECT("Table!A" &amp; $AN17):INDIRECT("Table!" &amp; $AQ$85 &amp; $AN17),0))))/1024)</f>
        <v>0</v>
      </c>
      <c r="AI17" s="595"/>
      <c r="AJ17" s="595">
        <f>MATCH($A17,Table!$A:$A,0)+$AL$2-1</f>
        <v>207</v>
      </c>
      <c r="AK17" s="1002"/>
      <c r="AL17" s="1002"/>
      <c r="AM17" s="1002"/>
      <c r="AN17" s="595">
        <f>MATCH($A17,Table!$A:$A,0)+$AP$2-1</f>
        <v>199</v>
      </c>
      <c r="AO17" s="1002"/>
      <c r="AP17" s="1002"/>
      <c r="AQ17" s="1002" t="s">
        <v>302</v>
      </c>
      <c r="AR17" s="699">
        <f t="shared" ca="1" si="0"/>
        <v>3862.1769843749994</v>
      </c>
      <c r="AS17" s="699">
        <f ca="1">AR17-AR43</f>
        <v>735.68254980468691</v>
      </c>
      <c r="AT17" s="699">
        <f ca="1">SUM(AS17:AS31)/10</f>
        <v>911.87363085937466</v>
      </c>
    </row>
    <row r="18" spans="1:46" s="947" customFormat="1" x14ac:dyDescent="0.25">
      <c r="A18" s="592">
        <v>41871</v>
      </c>
      <c r="B18" s="595">
        <f ca="1">IF(ISERROR(MATCH(B$1,INDIRECT("Table!A"&amp;$AN18):INDIRECT("Table!" &amp; $AQ$108 &amp; $AN18),0)),"",INDIRECT(CONCATENATE("Table!",ADDRESS($AJ18,MATCH(B$1,INDIRECT("Table!A" &amp; $AN18):INDIRECT("Table!" &amp; $AQ$108 &amp; $AN18),0))))/1024)</f>
        <v>112.3790244140625</v>
      </c>
      <c r="C18" s="595">
        <f ca="1">IF(ISERROR(MATCH(C$1,INDIRECT("Table!A"&amp;$AN18):INDIRECT("Table!" &amp; $AQ$108 &amp; $AN18),0)),"",INDIRECT(CONCATENATE("Table!",ADDRESS($AJ18,MATCH(C$1,INDIRECT("Table!A" &amp; $AN18):INDIRECT("Table!" &amp; $AQ$108 &amp; $AN18),0))))/1024)</f>
        <v>92.425409179687492</v>
      </c>
      <c r="D18" s="595">
        <f ca="1">IF(ISERROR(MATCH(D$1,INDIRECT("Table!A"&amp;$AN18):INDIRECT("Table!" &amp; $AQ$108 &amp; $AN18),0)),"",INDIRECT(CONCATENATE("Table!",ADDRESS($AJ18,MATCH(D$1,INDIRECT("Table!A" &amp; $AN18):INDIRECT("Table!" &amp; $AQ$108 &amp; $AN18),0))))/1024)</f>
        <v>88.935172851562498</v>
      </c>
      <c r="E18" s="595">
        <f ca="1">IF(ISERROR(MATCH(E$1,INDIRECT("Table!A"&amp;$AN18):INDIRECT("Table!" &amp; $AQ$108 &amp; $AN18),0)),"",INDIRECT(CONCATENATE("Table!",ADDRESS($AJ18,MATCH(E$1,INDIRECT("Table!A" &amp; $AN18):INDIRECT("Table!" &amp; $AQ$108 &amp; $AN18),0))))/1024)</f>
        <v>186.43130273437498</v>
      </c>
      <c r="F18" s="595">
        <f ca="1">IF(ISERROR(MATCH(F$1,INDIRECT("Table!A"&amp;$AN18):INDIRECT("Table!" &amp; $AQ$108 &amp; $AN18),0)),"",INDIRECT(CONCATENATE("Table!",ADDRESS($AJ18,MATCH(F$1,INDIRECT("Table!A" &amp; $AN18):INDIRECT("Table!" &amp; $AQ$108 &amp; $AN18),0))))/1024)</f>
        <v>110.83146679687499</v>
      </c>
      <c r="G18" s="595">
        <f ca="1">IF(ISERROR(MATCH(G$1,INDIRECT("Table!A"&amp;$AN18):INDIRECT("Table!" &amp; $AQ$108 &amp; $AN18),0)),"",INDIRECT(CONCATENATE("Table!",ADDRESS($AJ18,MATCH(G$1,INDIRECT("Table!A" &amp; $AN18):INDIRECT("Table!" &amp; $AQ$108 &amp; $AN18),0))))/1024)</f>
        <v>432.1636962890625</v>
      </c>
      <c r="H18" s="595">
        <f ca="1">IF(ISERROR(MATCH(H$1,INDIRECT("Table!A"&amp;$AN18):INDIRECT("Table!" &amp; $AQ$108 &amp; $AN18),0)),"",INDIRECT(CONCATENATE("Table!",ADDRESS($AJ18,MATCH(H$1,INDIRECT("Table!A" &amp; $AN18):INDIRECT("Table!" &amp; $AQ$108 &amp; $AN18),0))))/1024)</f>
        <v>198.2520087890625</v>
      </c>
      <c r="I18" s="595">
        <f ca="1">IF(ISERROR(MATCH(I$1,INDIRECT("Table!A"&amp;$AN18):INDIRECT("Table!" &amp; $AQ$85 &amp; $AN18),0)),"",INDIRECT(CONCATENATE("Table!",ADDRESS($AJ18,MATCH(I$1,INDIRECT("Table!A" &amp; $AN18):INDIRECT("Table!" &amp; $AQ$85 &amp; $AN18),0))))/1024)</f>
        <v>45.438925781249999</v>
      </c>
      <c r="J18" s="595">
        <f ca="1">IF(ISERROR(MATCH(J$1,INDIRECT("Table!A"&amp;$AN18):INDIRECT("Table!" &amp; $AQ$85 &amp; $AN18),0)),"",INDIRECT(CONCATENATE("Table!",ADDRESS($AJ18,MATCH(J$1,INDIRECT("Table!A" &amp; $AN18):INDIRECT("Table!" &amp; $AQ$85 &amp; $AN18),0))))/1024)</f>
        <v>199.79956640624999</v>
      </c>
      <c r="K18" s="595">
        <f ca="1">IF(ISERROR(MATCH(K$1,INDIRECT("Table!A"&amp;$AN18):INDIRECT("Table!" &amp; $AQ$85 &amp; $AN18),0)),"",INDIRECT(CONCATENATE("Table!",ADDRESS($AJ18,MATCH(K$1,INDIRECT("Table!A" &amp; $AN18):INDIRECT("Table!" &amp; $AQ$85 &amp; $AN18),0))))/1024)</f>
        <v>218.10684375</v>
      </c>
      <c r="L18" s="595">
        <f ca="1">IF(ISERROR(MATCH(L$1,INDIRECT("Table!A"&amp;$AN18):INDIRECT("Table!" &amp; $AQ$85 &amp; $AN18),0)),"",INDIRECT(CONCATENATE("Table!",ADDRESS($AJ18,MATCH(L$1,INDIRECT("Table!A" &amp; $AN18):INDIRECT("Table!" &amp; $AQ$85 &amp; $AN18),0))))/1024)</f>
        <v>139.60945312499999</v>
      </c>
      <c r="M18" s="595">
        <f ca="1">IF(ISERROR(MATCH(M$1,INDIRECT("Table!A"&amp;$AN18):INDIRECT("Table!" &amp; $AQ$85 &amp; $AN18),0)),"",INDIRECT(CONCATENATE("Table!",ADDRESS($AJ18,MATCH(M$1,INDIRECT("Table!A" &amp; $AN18):INDIRECT("Table!" &amp; $AQ$85 &amp; $AN18),0))))/1024)</f>
        <v>345.63217675781249</v>
      </c>
      <c r="N18" s="595">
        <f ca="1">IF(ISERROR(MATCH(N$1,INDIRECT("Table!A"&amp;$AN18):INDIRECT("Table!" &amp; $AQ$85 &amp; $AN18),0)),"",INDIRECT(CONCATENATE("Table!",ADDRESS($AJ18,MATCH(N$1,INDIRECT("Table!A" &amp; $AN18):INDIRECT("Table!" &amp; $AQ$85 &amp; $AN18),0))))/1024)</f>
        <v>113.13633984374999</v>
      </c>
      <c r="O18" s="595">
        <f ca="1">IF(ISERROR(MATCH(O$1,INDIRECT("Table!A"&amp;$AN18):INDIRECT("Table!" &amp; $AQ$85 &amp; $AN18),0)),"",INDIRECT(CONCATENATE("Table!",ADDRESS($AJ18,MATCH(O$1,INDIRECT("Table!A" &amp; $AN18):INDIRECT("Table!" &amp; $AQ$85 &amp; $AN18),0))))/1024)</f>
        <v>143.88993164062498</v>
      </c>
      <c r="P18" s="595">
        <f ca="1">IF(ISERROR(MATCH(P$1,INDIRECT("Table!A"&amp;$AN18):INDIRECT("Table!" &amp; $AQ$85 &amp; $AN18),0)),"",INDIRECT(CONCATENATE("Table!",ADDRESS($AJ18,MATCH(P$1,INDIRECT("Table!A" &amp; $AN18):INDIRECT("Table!" &amp; $AQ$85 &amp; $AN18),0))))/1024)</f>
        <v>60.190113281249999</v>
      </c>
      <c r="Q18" s="595">
        <f ca="1">IF(ISERROR(MATCH(Q$1,INDIRECT("Table!A"&amp;$AN18):INDIRECT("Table!" &amp; $AQ$85 &amp; $AN18),0)),"",INDIRECT(CONCATENATE("Table!",ADDRESS($AJ18,MATCH(Q$1,INDIRECT("Table!A" &amp; $AN18):INDIRECT("Table!" &amp; $AQ$85 &amp; $AN18),0))))/1024)</f>
        <v>152.41796191406249</v>
      </c>
      <c r="R18" s="595">
        <f ca="1">IF(ISERROR(MATCH(R$1,INDIRECT("Table!A"&amp;$AN18):INDIRECT("Table!" &amp; $AQ$85 &amp; $AN18),0)),"",INDIRECT(CONCATENATE("Table!",ADDRESS($AJ18,MATCH(R$1,INDIRECT("Table!A" &amp; $AN18):INDIRECT("Table!" &amp; $AQ$85 &amp; $AN18),0))))/1024)</f>
        <v>323.86758984375001</v>
      </c>
      <c r="S18" s="595">
        <v>0</v>
      </c>
      <c r="T18" s="595">
        <f ca="1">IF(ISERROR(MATCH(T$1,INDIRECT("Table!A"&amp;$AN18):INDIRECT("Table!" &amp; $AQ$85 &amp; $AN18),0)),"",INDIRECT(CONCATENATE("Table!",ADDRESS($AJ18,MATCH(T$1,INDIRECT("Table!A" &amp; $AN18):INDIRECT("Table!" &amp; $AQ$85 &amp; $AN18),0))))/1024)</f>
        <v>39.413329101562496</v>
      </c>
      <c r="U18" s="595">
        <f ca="1">IF(ISERROR(MATCH(U$1,INDIRECT("Table!A"&amp;$AN18):INDIRECT("Table!" &amp; $AQ$85 &amp; $AN18),0)),"",INDIRECT(CONCATENATE("Table!",ADDRESS($AJ18,MATCH(U$1,INDIRECT("Table!A" &amp; $AN18):INDIRECT("Table!" &amp; $AQ$85 &amp; $AN18),0))))/1024)</f>
        <v>61.638890624999995</v>
      </c>
      <c r="V18" s="595">
        <f ca="1">IF(ISERROR(MATCH(V$1,INDIRECT("Table!A"&amp;$AN18):INDIRECT("Table!" &amp; $AQ$85 &amp; $AN18),0)),"",INDIRECT(CONCATENATE("Table!",ADDRESS($AJ18,MATCH(V$1,INDIRECT("Table!A" &amp; $AN18):INDIRECT("Table!" &amp; $AQ$85 &amp; $AN18),0))))/1024)</f>
        <v>82.448601562500002</v>
      </c>
      <c r="W18" s="595">
        <f ca="1">IF(ISERROR(MATCH(W$1,INDIRECT("Table!A"&amp;$AN18):INDIRECT("Table!" &amp; $AQ$85 &amp; $AN18),0)),"",INDIRECT(CONCATENATE("Table!",ADDRESS($AJ18,MATCH(W$1,INDIRECT("Table!A" &amp; $AN18):INDIRECT("Table!" &amp; $AQ$85 &amp; $AN18),0))))/1024)</f>
        <v>45.866973632812496</v>
      </c>
      <c r="X18" s="595">
        <f ca="1">IF(ISERROR(MATCH(X$1,INDIRECT("Table!A"&amp;$AN18):INDIRECT("Table!" &amp; $AQ$85 &amp; $AN18),0)),"",INDIRECT(CONCATENATE("Table!",ADDRESS($AJ18,MATCH(X$1,INDIRECT("Table!A" &amp; $AN18):INDIRECT("Table!" &amp; $AQ$85 &amp; $AN18),0))))/1024)</f>
        <v>56.008415039062498</v>
      </c>
      <c r="Y18" s="595">
        <f ca="1">IF(ISERROR(MATCH(Y$1,INDIRECT("Table!A"&amp;$AN18):INDIRECT("Table!" &amp; $AQ$85 &amp; $AN18),0)),"",INDIRECT(CONCATENATE("Table!",ADDRESS($AJ18,MATCH(Y$1,INDIRECT("Table!A" &amp; $AN18):INDIRECT("Table!" &amp; $AQ$85 &amp; $AN18),0))))/1024)</f>
        <v>45.109658203125001</v>
      </c>
      <c r="Z18" s="595">
        <f ca="1">IF(ISERROR(MATCH(Z$1,INDIRECT("Table!A"&amp;$AN18):INDIRECT("Table!" &amp; $AQ$85 &amp; $AN18),0)),"",INDIRECT(CONCATENATE("Table!",ADDRESS($AJ18,MATCH(Z$1,INDIRECT("Table!A" &amp; $AN18):INDIRECT("Table!" &amp; $AQ$85 &amp; $AN18),0))))/1024)</f>
        <v>79.485193359375003</v>
      </c>
      <c r="AA18" s="595">
        <f ca="1">IF(ISERROR(MATCH(AA$1,INDIRECT("Table!A"&amp;$AN18):INDIRECT("Table!" &amp; $AQ$85 &amp; $AN18),0)),"",INDIRECT(CONCATENATE("Table!",ADDRESS($AJ18,MATCH(AA$1,INDIRECT("Table!A" &amp; $AN18):INDIRECT("Table!" &amp; $AQ$85 &amp; $AN18),0))))/1024)</f>
        <v>184.02764941406249</v>
      </c>
      <c r="AB18" s="595">
        <f ca="1">IF(ISERROR(MATCH(AB$1,INDIRECT("Table!A"&amp;$AN18):INDIRECT("Table!" &amp; $AQ$85 &amp; $AN18),0)),"",INDIRECT(CONCATENATE("Table!",ADDRESS($AJ18,MATCH(AB$1,INDIRECT("Table!A" &amp; $AN18):INDIRECT("Table!" &amp; $AQ$85 &amp; $AN18),0))))/1024)</f>
        <v>0</v>
      </c>
      <c r="AC18" s="595">
        <f ca="1">IF(ISERROR(MATCH(AC$1,INDIRECT("Table!A"&amp;$AN18):INDIRECT("Table!" &amp; $AQ$85 &amp; $AN18),0)),"",INDIRECT(CONCATENATE("Table!",ADDRESS($AJ18,MATCH(AC$1,INDIRECT("Table!A" &amp; $AN18):INDIRECT("Table!" &amp; $AQ$85 &amp; $AN18),0))))/1024)</f>
        <v>41.125520507812496</v>
      </c>
      <c r="AD18" s="595">
        <f ca="1">IF(ISERROR(MATCH(AD$1,INDIRECT("Table!A"&amp;$AN18):INDIRECT("Table!" &amp; $AQ$85 &amp; $AN18),0)),"",INDIRECT(CONCATENATE("Table!",ADDRESS($AJ18,MATCH(AD$1,INDIRECT("Table!A" &amp; $AN18):INDIRECT("Table!" &amp; $AQ$85 &amp; $AN18),0))))/1024)</f>
        <v>71.154723632812491</v>
      </c>
      <c r="AE18" s="595">
        <f ca="1">IF(ISERROR(MATCH(AE$1,INDIRECT("Table!A"&amp;$AN18):INDIRECT("Table!" &amp; $AQ$85 &amp; $AN18),0)),"",INDIRECT(CONCATENATE("Table!",ADDRESS($AJ18,MATCH(AE$1,INDIRECT("Table!A" &amp; $AN18):INDIRECT("Table!" &amp; $AQ$85 &amp; $AN18),0))))/1024)</f>
        <v>7.309740234375</v>
      </c>
      <c r="AF18" s="595">
        <f ca="1">IF(ISERROR(MATCH(AF$1,INDIRECT("Table!A"&amp;$AN18):INDIRECT("Table!" &amp; $AQ$85 &amp; $AN18),0)),"",INDIRECT(CONCATENATE("Table!",ADDRESS($AJ18,MATCH(AF$1,INDIRECT("Table!A" &amp; $AN18):INDIRECT("Table!" &amp; $AQ$85 &amp; $AN18),0))))/1024)</f>
        <v>7.2768134765624994</v>
      </c>
      <c r="AG18" s="595">
        <f ca="1">IF(ISERROR(MATCH(AG$1,INDIRECT("Table!A"&amp;$AN18):INDIRECT("Table!" &amp; $AQ$85 &amp; $AN18),0)),"",INDIRECT(CONCATENATE("Table!",ADDRESS($AJ18,MATCH(AG$1,INDIRECT("Table!A" &amp; $AN18):INDIRECT("Table!" &amp; $AQ$85 &amp; $AN18),0))))/1024)</f>
        <v>210.73124999999999</v>
      </c>
      <c r="AH18" s="595">
        <f ca="1">IF(ISERROR(MATCH(AH$1,INDIRECT("Table!A"&amp;$AN18):INDIRECT("Table!" &amp; $AQ$85 &amp; $AN18),0)),"",INDIRECT(CONCATENATE("Table!",ADDRESS($AJ18,MATCH(AH$1,INDIRECT("Table!A" &amp; $AN18):INDIRECT("Table!" &amp; $AQ$85 &amp; $AN18),0))))/1024)</f>
        <v>0</v>
      </c>
      <c r="AI18" s="595"/>
      <c r="AJ18" s="595">
        <f>MATCH($A18,Table!$A:$A,0)+$AL$2-1</f>
        <v>221</v>
      </c>
      <c r="AK18" s="999"/>
      <c r="AL18" s="999"/>
      <c r="AM18" s="999"/>
      <c r="AN18" s="595">
        <f>MATCH($A18,Table!$A:$A,0)+$AP$2-1</f>
        <v>213</v>
      </c>
      <c r="AO18" s="999"/>
      <c r="AP18" s="999"/>
      <c r="AQ18" s="999" t="s">
        <v>302</v>
      </c>
      <c r="AR18" s="699">
        <f t="shared" ca="1" si="0"/>
        <v>3895.1037421874994</v>
      </c>
      <c r="AS18" s="699">
        <f ca="1">AR18-AR43</f>
        <v>768.60930761718691</v>
      </c>
      <c r="AT18" s="699">
        <f ca="1">SUM(AS18:AS31)/10</f>
        <v>838.30537587890615</v>
      </c>
    </row>
    <row r="19" spans="1:46" s="947" customFormat="1" x14ac:dyDescent="0.25">
      <c r="A19" s="592">
        <v>41864</v>
      </c>
      <c r="B19" s="595">
        <f ca="1">IF(ISERROR(MATCH(B$1,INDIRECT("Table!A"&amp;$AN19):INDIRECT("Table!" &amp; $AQ$108 &amp; $AN19),0)),"",INDIRECT(CONCATENATE("Table!",ADDRESS($AJ19,MATCH(B$1,INDIRECT("Table!A" &amp; $AN19):INDIRECT("Table!" &amp; $AQ$108 &amp; $AN19),0))))/1024)</f>
        <v>112.60951171875</v>
      </c>
      <c r="C19" s="595">
        <f ca="1">IF(ISERROR(MATCH(C$1,INDIRECT("Table!A"&amp;$AN19):INDIRECT("Table!" &amp; $AQ$108 &amp; $AN19),0)),"",INDIRECT(CONCATENATE("Table!",ADDRESS($AJ19,MATCH(C$1,INDIRECT("Table!A" &amp; $AN19):INDIRECT("Table!" &amp; $AQ$108 &amp; $AN19),0))))/1024)</f>
        <v>93.182724609375001</v>
      </c>
      <c r="D19" s="595">
        <f ca="1">IF(ISERROR(MATCH(D$1,INDIRECT("Table!A"&amp;$AN19):INDIRECT("Table!" &amp; $AQ$108 &amp; $AN19),0)),"",INDIRECT(CONCATENATE("Table!",ADDRESS($AJ19,MATCH(D$1,INDIRECT("Table!A" &amp; $AN19):INDIRECT("Table!" &amp; $AQ$108 &amp; $AN19),0))))/1024)</f>
        <v>89.198586914062503</v>
      </c>
      <c r="E19" s="595">
        <f ca="1">IF(ISERROR(MATCH(E$1,INDIRECT("Table!A"&amp;$AN19):INDIRECT("Table!" &amp; $AQ$108 &amp; $AN19),0)),"",INDIRECT(CONCATENATE("Table!",ADDRESS($AJ19,MATCH(E$1,INDIRECT("Table!A" &amp; $AN19):INDIRECT("Table!" &amp; $AQ$108 &amp; $AN19),0))))/1024)</f>
        <v>186.99105761718749</v>
      </c>
      <c r="F19" s="595">
        <f ca="1">IF(ISERROR(MATCH(F$1,INDIRECT("Table!A"&amp;$AN19):INDIRECT("Table!" &amp; $AQ$108 &amp; $AN19),0)),"",INDIRECT(CONCATENATE("Table!",ADDRESS($AJ19,MATCH(F$1,INDIRECT("Table!A" &amp; $AN19):INDIRECT("Table!" &amp; $AQ$108 &amp; $AN19),0))))/1024)</f>
        <v>110.83146679687499</v>
      </c>
      <c r="G19" s="595">
        <f ca="1">IF(ISERROR(MATCH(G$1,INDIRECT("Table!A"&amp;$AN19):INDIRECT("Table!" &amp; $AQ$108 &amp; $AN19),0)),"",INDIRECT(CONCATENATE("Table!",ADDRESS($AJ19,MATCH(G$1,INDIRECT("Table!A" &amp; $AN19):INDIRECT("Table!" &amp; $AQ$108 &amp; $AN19),0))))/1024)</f>
        <v>432.1636962890625</v>
      </c>
      <c r="H19" s="595">
        <f ca="1">IF(ISERROR(MATCH(H$1,INDIRECT("Table!A"&amp;$AN19):INDIRECT("Table!" &amp; $AQ$108 &amp; $AN19),0)),"",INDIRECT(CONCATENATE("Table!",ADDRESS($AJ19,MATCH(H$1,INDIRECT("Table!A" &amp; $AN19):INDIRECT("Table!" &amp; $AQ$108 &amp; $AN19),0))))/1024)</f>
        <v>210.50076269531249</v>
      </c>
      <c r="I19" s="595">
        <f ca="1">IF(ISERROR(MATCH(I$1,INDIRECT("Table!A"&amp;$AN19):INDIRECT("Table!" &amp; $AQ$85 &amp; $AN19),0)),"",INDIRECT(CONCATENATE("Table!",ADDRESS($AJ19,MATCH(I$1,INDIRECT("Table!A" &amp; $AN19):INDIRECT("Table!" &amp; $AQ$85 &amp; $AN19),0))))/1024)</f>
        <v>45.438925781249999</v>
      </c>
      <c r="J19" s="595">
        <f ca="1">IF(ISERROR(MATCH(J$1,INDIRECT("Table!A"&amp;$AN19):INDIRECT("Table!" &amp; $AQ$85 &amp; $AN19),0)),"",INDIRECT(CONCATENATE("Table!",ADDRESS($AJ19,MATCH(J$1,INDIRECT("Table!A" &amp; $AN19):INDIRECT("Table!" &amp; $AQ$85 &amp; $AN19),0))))/1024)</f>
        <v>199.53615234374999</v>
      </c>
      <c r="K19" s="595">
        <f ca="1">IF(ISERROR(MATCH(K$1,INDIRECT("Table!A"&amp;$AN19):INDIRECT("Table!" &amp; $AQ$85 &amp; $AN19),0)),"",INDIRECT(CONCATENATE("Table!",ADDRESS($AJ19,MATCH(K$1,INDIRECT("Table!A" &amp; $AN19):INDIRECT("Table!" &amp; $AQ$85 &amp; $AN19),0))))/1024)</f>
        <v>215.73611718749999</v>
      </c>
      <c r="L19" s="595">
        <f ca="1">IF(ISERROR(MATCH(L$1,INDIRECT("Table!A"&amp;$AN19):INDIRECT("Table!" &amp; $AQ$85 &amp; $AN19),0)),"",INDIRECT(CONCATENATE("Table!",ADDRESS($AJ19,MATCH(L$1,INDIRECT("Table!A" &amp; $AN19):INDIRECT("Table!" &amp; $AQ$85 &amp; $AN19),0))))/1024)</f>
        <v>153.30698437499998</v>
      </c>
      <c r="M19" s="595">
        <f ca="1">IF(ISERROR(MATCH(M$1,INDIRECT("Table!A"&amp;$AN19):INDIRECT("Table!" &amp; $AQ$85 &amp; $AN19),0)),"",INDIRECT(CONCATENATE("Table!",ADDRESS($AJ19,MATCH(M$1,INDIRECT("Table!A" &amp; $AN19):INDIRECT("Table!" &amp; $AQ$85 &amp; $AN19),0))))/1024)</f>
        <v>346.45534570312498</v>
      </c>
      <c r="N19" s="595">
        <f ca="1">IF(ISERROR(MATCH(N$1,INDIRECT("Table!A"&amp;$AN19):INDIRECT("Table!" &amp; $AQ$85 &amp; $AN19),0)),"",INDIRECT(CONCATENATE("Table!",ADDRESS($AJ19,MATCH(N$1,INDIRECT("Table!A" &amp; $AN19):INDIRECT("Table!" &amp; $AQ$85 &amp; $AN19),0))))/1024)</f>
        <v>113.13633984374999</v>
      </c>
      <c r="O19" s="595">
        <f ca="1">IF(ISERROR(MATCH(O$1,INDIRECT("Table!A"&amp;$AN19):INDIRECT("Table!" &amp; $AQ$85 &amp; $AN19),0)),"",INDIRECT(CONCATENATE("Table!",ADDRESS($AJ19,MATCH(O$1,INDIRECT("Table!A" &amp; $AN19):INDIRECT("Table!" &amp; $AQ$85 &amp; $AN19),0))))/1024)</f>
        <v>146.39236523437501</v>
      </c>
      <c r="P19" s="595">
        <f ca="1">IF(ISERROR(MATCH(P$1,INDIRECT("Table!A"&amp;$AN19):INDIRECT("Table!" &amp; $AQ$85 &amp; $AN19),0)),"",INDIRECT(CONCATENATE("Table!",ADDRESS($AJ19,MATCH(P$1,INDIRECT("Table!A" &amp; $AN19):INDIRECT("Table!" &amp; $AQ$85 &amp; $AN19),0))))/1024)</f>
        <v>60.190113281249999</v>
      </c>
      <c r="Q19" s="595">
        <f ca="1">IF(ISERROR(MATCH(Q$1,INDIRECT("Table!A"&amp;$AN19):INDIRECT("Table!" &amp; $AQ$85 &amp; $AN19),0)),"",INDIRECT(CONCATENATE("Table!",ADDRESS($AJ19,MATCH(Q$1,INDIRECT("Table!A" &amp; $AN19):INDIRECT("Table!" &amp; $AQ$85 &amp; $AN19),0))))/1024)</f>
        <v>152.15454785156248</v>
      </c>
      <c r="R19" s="595">
        <f ca="1">IF(ISERROR(MATCH(R$1,INDIRECT("Table!A"&amp;$AN19):INDIRECT("Table!" &amp; $AQ$85 &amp; $AN19),0)),"",INDIRECT(CONCATENATE("Table!",ADDRESS($AJ19,MATCH(R$1,INDIRECT("Table!A" &amp; $AN19):INDIRECT("Table!" &amp; $AQ$85 &amp; $AN19),0))))/1024)</f>
        <v>332.82366796874999</v>
      </c>
      <c r="S19" s="595">
        <v>0</v>
      </c>
      <c r="T19" s="595">
        <f ca="1">IF(ISERROR(MATCH(T$1,INDIRECT("Table!A"&amp;$AN19):INDIRECT("Table!" &amp; $AQ$85 &amp; $AN19),0)),"",INDIRECT(CONCATENATE("Table!",ADDRESS($AJ19,MATCH(T$1,INDIRECT("Table!A" &amp; $AN19):INDIRECT("Table!" &amp; $AQ$85 &amp; $AN19),0))))/1024)</f>
        <v>39.413329101562496</v>
      </c>
      <c r="U19" s="595">
        <f ca="1">IF(ISERROR(MATCH(U$1,INDIRECT("Table!A"&amp;$AN19):INDIRECT("Table!" &amp; $AQ$85 &amp; $AN19),0)),"",INDIRECT(CONCATENATE("Table!",ADDRESS($AJ19,MATCH(U$1,INDIRECT("Table!A" &amp; $AN19):INDIRECT("Table!" &amp; $AQ$85 &amp; $AN19),0))))/1024)</f>
        <v>61.638890624999995</v>
      </c>
      <c r="V19" s="595">
        <f ca="1">IF(ISERROR(MATCH(V$1,INDIRECT("Table!A"&amp;$AN19):INDIRECT("Table!" &amp; $AQ$85 &amp; $AN19),0)),"",INDIRECT(CONCATENATE("Table!",ADDRESS($AJ19,MATCH(V$1,INDIRECT("Table!A" &amp; $AN19):INDIRECT("Table!" &amp; $AQ$85 &amp; $AN19),0))))/1024)</f>
        <v>82.448601562500002</v>
      </c>
      <c r="W19" s="595">
        <f ca="1">IF(ISERROR(MATCH(W$1,INDIRECT("Table!A"&amp;$AN19):INDIRECT("Table!" &amp; $AQ$85 &amp; $AN19),0)),"",INDIRECT(CONCATENATE("Table!",ADDRESS($AJ19,MATCH(W$1,INDIRECT("Table!A" &amp; $AN19):INDIRECT("Table!" &amp; $AQ$85 &amp; $AN19),0))))/1024)</f>
        <v>45.109658203125001</v>
      </c>
      <c r="X19" s="595">
        <f ca="1">IF(ISERROR(MATCH(X$1,INDIRECT("Table!A"&amp;$AN19):INDIRECT("Table!" &amp; $AQ$85 &amp; $AN19),0)),"",INDIRECT(CONCATENATE("Table!",ADDRESS($AJ19,MATCH(X$1,INDIRECT("Table!A" &amp; $AN19):INDIRECT("Table!" &amp; $AQ$85 &amp; $AN19),0))))/1024)</f>
        <v>55.251099609374997</v>
      </c>
      <c r="Y19" s="595">
        <f ca="1">IF(ISERROR(MATCH(Y$1,INDIRECT("Table!A"&amp;$AN19):INDIRECT("Table!" &amp; $AQ$85 &amp; $AN19),0)),"",INDIRECT(CONCATENATE("Table!",ADDRESS($AJ19,MATCH(Y$1,INDIRECT("Table!A" &amp; $AN19):INDIRECT("Table!" &amp; $AQ$85 &amp; $AN19),0))))/1024)</f>
        <v>31.017005859374997</v>
      </c>
      <c r="Z19" s="595">
        <f ca="1">IF(ISERROR(MATCH(Z$1,INDIRECT("Table!A"&amp;$AN19):INDIRECT("Table!" &amp; $AQ$85 &amp; $AN19),0)),"",INDIRECT(CONCATENATE("Table!",ADDRESS($AJ19,MATCH(Z$1,INDIRECT("Table!A" &amp; $AN19):INDIRECT("Table!" &amp; $AQ$85 &amp; $AN19),0))))/1024)</f>
        <v>53.802322265625001</v>
      </c>
      <c r="AA19" s="595">
        <f ca="1">IF(ISERROR(MATCH(AA$1,INDIRECT("Table!A"&amp;$AN19):INDIRECT("Table!" &amp; $AQ$85 &amp; $AN19),0)),"",INDIRECT(CONCATENATE("Table!",ADDRESS($AJ19,MATCH(AA$1,INDIRECT("Table!A" &amp; $AN19):INDIRECT("Table!" &amp; $AQ$85 &amp; $AN19),0))))/1024)</f>
        <v>176.12522753906251</v>
      </c>
      <c r="AB19" s="595">
        <f ca="1">IF(ISERROR(MATCH(AB$1,INDIRECT("Table!A"&amp;$AN19):INDIRECT("Table!" &amp; $AQ$85 &amp; $AN19),0)),"",INDIRECT(CONCATENATE("Table!",ADDRESS($AJ19,MATCH(AB$1,INDIRECT("Table!A" &amp; $AN19):INDIRECT("Table!" &amp; $AQ$85 &amp; $AN19),0))))/1024)</f>
        <v>0</v>
      </c>
      <c r="AC19" s="595">
        <f ca="1">IF(ISERROR(MATCH(AC$1,INDIRECT("Table!A"&amp;$AN19):INDIRECT("Table!" &amp; $AQ$85 &amp; $AN19),0)),"",INDIRECT(CONCATENATE("Table!",ADDRESS($AJ19,MATCH(AC$1,INDIRECT("Table!A" &amp; $AN19):INDIRECT("Table!" &amp; $AQ$85 &amp; $AN19),0))))/1024)</f>
        <v>38.030405273437502</v>
      </c>
      <c r="AD19" s="595">
        <f ca="1">IF(ISERROR(MATCH(AD$1,INDIRECT("Table!A"&amp;$AN19):INDIRECT("Table!" &amp; $AQ$85 &amp; $AN19),0)),"",INDIRECT(CONCATENATE("Table!",ADDRESS($AJ19,MATCH(AD$1,INDIRECT("Table!A" &amp; $AN19):INDIRECT("Table!" &amp; $AQ$85 &amp; $AN19),0))))/1024)</f>
        <v>70.726675781249995</v>
      </c>
      <c r="AE19" s="595">
        <f ca="1">IF(ISERROR(MATCH(AE$1,INDIRECT("Table!A"&amp;$AN19):INDIRECT("Table!" &amp; $AQ$85 &amp; $AN19),0)),"",INDIRECT(CONCATENATE("Table!",ADDRESS($AJ19,MATCH(AE$1,INDIRECT("Table!A" &amp; $AN19):INDIRECT("Table!" &amp; $AQ$85 &amp; $AN19),0))))/1024)</f>
        <v>6.4536445312500001</v>
      </c>
      <c r="AF19" s="595">
        <f ca="1">IF(ISERROR(MATCH(AF$1,INDIRECT("Table!A"&amp;$AN19):INDIRECT("Table!" &amp; $AQ$85 &amp; $AN19),0)),"",INDIRECT(CONCATENATE("Table!",ADDRESS($AJ19,MATCH(AF$1,INDIRECT("Table!A" &amp; $AN19):INDIRECT("Table!" &amp; $AQ$85 &amp; $AN19),0))))/1024)</f>
        <v>6.4536445312500001</v>
      </c>
      <c r="AG19" s="595">
        <f ca="1">IF(ISERROR(MATCH(AG$1,INDIRECT("Table!A"&amp;$AN19):INDIRECT("Table!" &amp; $AQ$85 &amp; $AN19),0)),"",INDIRECT(CONCATENATE("Table!",ADDRESS($AJ19,MATCH(AG$1,INDIRECT("Table!A" &amp; $AN19):INDIRECT("Table!" &amp; $AQ$85 &amp; $AN19),0))))/1024)</f>
        <v>210.73124999999999</v>
      </c>
      <c r="AH19" s="595">
        <f ca="1">IF(ISERROR(MATCH(AH$1,INDIRECT("Table!A"&amp;$AN19):INDIRECT("Table!" &amp; $AQ$85 &amp; $AN19),0)),"",INDIRECT(CONCATENATE("Table!",ADDRESS($AJ19,MATCH(AH$1,INDIRECT("Table!A" &amp; $AN19):INDIRECT("Table!" &amp; $AQ$85 &amp; $AN19),0))))/1024)</f>
        <v>0</v>
      </c>
      <c r="AI19" s="595"/>
      <c r="AJ19" s="595">
        <f>MATCH($A19,Table!$A:$A,0)+$AL$2-1</f>
        <v>235</v>
      </c>
      <c r="AK19" s="996"/>
      <c r="AL19" s="996"/>
      <c r="AM19" s="996"/>
      <c r="AN19" s="595">
        <f>MATCH($A19,Table!$A:$A,0)+$AP$2-1</f>
        <v>227</v>
      </c>
      <c r="AO19" s="996"/>
      <c r="AP19" s="996"/>
      <c r="AQ19" s="996" t="s">
        <v>302</v>
      </c>
      <c r="AR19" s="699">
        <f t="shared" ca="1" si="0"/>
        <v>3877.8501210937497</v>
      </c>
      <c r="AS19" s="699">
        <f ca="1">AR19-AR43</f>
        <v>751.35568652343727</v>
      </c>
      <c r="AT19" s="699">
        <f ca="1">SUM(AS19:AS31)/10</f>
        <v>761.44444511718746</v>
      </c>
    </row>
    <row r="20" spans="1:46" s="947" customFormat="1" x14ac:dyDescent="0.25">
      <c r="A20" s="592">
        <v>41857</v>
      </c>
      <c r="B20" s="595">
        <f ca="1">IF(ISERROR(MATCH(B$1,INDIRECT("Table!A"&amp;$AN20):INDIRECT("Table!" &amp; $AQ$108 &amp; $AN20),0)),"",INDIRECT(CONCATENATE("Table!",ADDRESS($AJ20,MATCH(B$1,INDIRECT("Table!A" &amp; $AN20):INDIRECT("Table!" &amp; $AQ$108 &amp; $AN20),0))))/1024)</f>
        <v>126.6692373046875</v>
      </c>
      <c r="C20" s="595">
        <f ca="1">IF(ISERROR(MATCH(C$1,INDIRECT("Table!A"&amp;$AN20):INDIRECT("Table!" &amp; $AQ$108 &amp; $AN20),0)),"",INDIRECT(CONCATENATE("Table!",ADDRESS($AJ20,MATCH(C$1,INDIRECT("Table!A" &amp; $AN20):INDIRECT("Table!" &amp; $AQ$108 &amp; $AN20),0))))/1024)</f>
        <v>94.796135742187502</v>
      </c>
      <c r="D20" s="595">
        <f ca="1">IF(ISERROR(MATCH(D$1,INDIRECT("Table!A"&amp;$AN20):INDIRECT("Table!" &amp; $AQ$108 &amp; $AN20),0)),"",INDIRECT(CONCATENATE("Table!",ADDRESS($AJ20,MATCH(D$1,INDIRECT("Table!A" &amp; $AN20):INDIRECT("Table!" &amp; $AQ$108 &amp; $AN20),0))))/1024)</f>
        <v>93.149797851562496</v>
      </c>
      <c r="E20" s="595">
        <f ca="1">IF(ISERROR(MATCH(E$1,INDIRECT("Table!A"&amp;$AN20):INDIRECT("Table!" &amp; $AQ$108 &amp; $AN20),0)),"",INDIRECT(CONCATENATE("Table!",ADDRESS($AJ20,MATCH(E$1,INDIRECT("Table!A" &amp; $AN20):INDIRECT("Table!" &amp; $AQ$108 &amp; $AN20),0))))/1024)</f>
        <v>186.99105761718749</v>
      </c>
      <c r="F20" s="595">
        <f ca="1">IF(ISERROR(MATCH(F$1,INDIRECT("Table!A"&amp;$AN20):INDIRECT("Table!" &amp; $AQ$108 &amp; $AN20),0)),"",INDIRECT(CONCATENATE("Table!",ADDRESS($AJ20,MATCH(F$1,INDIRECT("Table!A" &amp; $AN20):INDIRECT("Table!" &amp; $AQ$108 &amp; $AN20),0))))/1024)</f>
        <v>110.83146679687499</v>
      </c>
      <c r="G20" s="595">
        <f ca="1">IF(ISERROR(MATCH(G$1,INDIRECT("Table!A"&amp;$AN20):INDIRECT("Table!" &amp; $AQ$108 &amp; $AN20),0)),"",INDIRECT(CONCATENATE("Table!",ADDRESS($AJ20,MATCH(G$1,INDIRECT("Table!A" &amp; $AN20):INDIRECT("Table!" &amp; $AQ$108 &amp; $AN20),0))))/1024)</f>
        <v>441.38318847656251</v>
      </c>
      <c r="H20" s="595">
        <f ca="1">IF(ISERROR(MATCH(H$1,INDIRECT("Table!A"&amp;$AN20):INDIRECT("Table!" &amp; $AQ$108 &amp; $AN20),0)),"",INDIRECT(CONCATENATE("Table!",ADDRESS($AJ20,MATCH(H$1,INDIRECT("Table!A" &amp; $AN20):INDIRECT("Table!" &amp; $AQ$108 &amp; $AN20),0))))/1024)</f>
        <v>216.92148046874999</v>
      </c>
      <c r="I20" s="595">
        <f ca="1">IF(ISERROR(MATCH(I$1,INDIRECT("Table!A"&amp;$AN20):INDIRECT("Table!" &amp; $AQ$85 &amp; $AN20),0)),"",INDIRECT(CONCATENATE("Table!",ADDRESS($AJ20,MATCH(I$1,INDIRECT("Table!A" &amp; $AN20):INDIRECT("Table!" &amp; $AQ$85 &amp; $AN20),0))))/1024)</f>
        <v>45.438925781249999</v>
      </c>
      <c r="J20" s="595">
        <f ca="1">IF(ISERROR(MATCH(J$1,INDIRECT("Table!A"&amp;$AN20):INDIRECT("Table!" &amp; $AQ$85 &amp; $AN20),0)),"",INDIRECT(CONCATENATE("Table!",ADDRESS($AJ20,MATCH(J$1,INDIRECT("Table!A" &amp; $AN20):INDIRECT("Table!" &amp; $AQ$85 &amp; $AN20),0))))/1024)</f>
        <v>199.53615234374999</v>
      </c>
      <c r="K20" s="595">
        <f ca="1">IF(ISERROR(MATCH(K$1,INDIRECT("Table!A"&amp;$AN20):INDIRECT("Table!" &amp; $AQ$85 &amp; $AN20),0)),"",INDIRECT(CONCATENATE("Table!",ADDRESS($AJ20,MATCH(K$1,INDIRECT("Table!A" &amp; $AN20):INDIRECT("Table!" &amp; $AQ$85 &amp; $AN20),0))))/1024)</f>
        <v>221.7617138671875</v>
      </c>
      <c r="L20" s="595">
        <f ca="1">IF(ISERROR(MATCH(L$1,INDIRECT("Table!A"&amp;$AN20):INDIRECT("Table!" &amp; $AQ$85 &amp; $AN20),0)),"",INDIRECT(CONCATENATE("Table!",ADDRESS($AJ20,MATCH(L$1,INDIRECT("Table!A" &amp; $AN20):INDIRECT("Table!" &amp; $AQ$85 &amp; $AN20),0))))/1024)</f>
        <v>203.7178505859375</v>
      </c>
      <c r="M20" s="595">
        <f ca="1">IF(ISERROR(MATCH(M$1,INDIRECT("Table!A"&amp;$AN20):INDIRECT("Table!" &amp; $AQ$85 &amp; $AN20),0)),"",INDIRECT(CONCATENATE("Table!",ADDRESS($AJ20,MATCH(M$1,INDIRECT("Table!A" &amp; $AN20):INDIRECT("Table!" &amp; $AQ$85 &amp; $AN20),0))))/1024)</f>
        <v>357.97971093749999</v>
      </c>
      <c r="N20" s="595">
        <f ca="1">IF(ISERROR(MATCH(N$1,INDIRECT("Table!A"&amp;$AN20):INDIRECT("Table!" &amp; $AQ$85 &amp; $AN20),0)),"",INDIRECT(CONCATENATE("Table!",ADDRESS($AJ20,MATCH(N$1,INDIRECT("Table!A" &amp; $AN20):INDIRECT("Table!" &amp; $AQ$85 &amp; $AN20),0))))/1024)</f>
        <v>113.13633984374999</v>
      </c>
      <c r="O20" s="595">
        <f ca="1">IF(ISERROR(MATCH(O$1,INDIRECT("Table!A"&amp;$AN20):INDIRECT("Table!" &amp; $AQ$85 &amp; $AN20),0)),"",INDIRECT(CONCATENATE("Table!",ADDRESS($AJ20,MATCH(O$1,INDIRECT("Table!A" &amp; $AN20):INDIRECT("Table!" &amp; $AQ$85 &amp; $AN20),0))))/1024)</f>
        <v>161.67038085937497</v>
      </c>
      <c r="P20" s="595">
        <f ca="1">IF(ISERROR(MATCH(P$1,INDIRECT("Table!A"&amp;$AN20):INDIRECT("Table!" &amp; $AQ$85 &amp; $AN20),0)),"",INDIRECT(CONCATENATE("Table!",ADDRESS($AJ20,MATCH(P$1,INDIRECT("Table!A" &amp; $AN20):INDIRECT("Table!" &amp; $AQ$85 &amp; $AN20),0))))/1024)</f>
        <v>60.190113281249999</v>
      </c>
      <c r="Q20" s="595">
        <f ca="1">IF(ISERROR(MATCH(Q$1,INDIRECT("Table!A"&amp;$AN20):INDIRECT("Table!" &amp; $AQ$85 &amp; $AN20),0)),"",INDIRECT(CONCATENATE("Table!",ADDRESS($AJ20,MATCH(Q$1,INDIRECT("Table!A" &amp; $AN20):INDIRECT("Table!" &amp; $AQ$85 &amp; $AN20),0))))/1024)</f>
        <v>152.15454785156248</v>
      </c>
      <c r="R20" s="595">
        <f ca="1">IF(ISERROR(MATCH(R$1,INDIRECT("Table!A"&amp;$AN20):INDIRECT("Table!" &amp; $AQ$85 &amp; $AN20),0)),"",INDIRECT(CONCATENATE("Table!",ADDRESS($AJ20,MATCH(R$1,INDIRECT("Table!A" &amp; $AN20):INDIRECT("Table!" &amp; $AQ$85 &amp; $AN20),0))))/1024)</f>
        <v>332.82366796874999</v>
      </c>
      <c r="S20" s="595">
        <v>0</v>
      </c>
      <c r="T20" s="595">
        <f ca="1">IF(ISERROR(MATCH(T$1,INDIRECT("Table!A"&amp;$AN20):INDIRECT("Table!" &amp; $AQ$85 &amp; $AN20),0)),"",INDIRECT(CONCATENATE("Table!",ADDRESS($AJ20,MATCH(T$1,INDIRECT("Table!A" &amp; $AN20):INDIRECT("Table!" &amp; $AQ$85 &amp; $AN20),0))))/1024)</f>
        <v>39.413329101562496</v>
      </c>
      <c r="U20" s="595">
        <f ca="1">IF(ISERROR(MATCH(U$1,INDIRECT("Table!A"&amp;$AN20):INDIRECT("Table!" &amp; $AQ$85 &amp; $AN20),0)),"",INDIRECT(CONCATENATE("Table!",ADDRESS($AJ20,MATCH(U$1,INDIRECT("Table!A" &amp; $AN20):INDIRECT("Table!" &amp; $AQ$85 &amp; $AN20),0))))/1024)</f>
        <v>61.50718359375</v>
      </c>
      <c r="V20" s="595">
        <f ca="1">IF(ISERROR(MATCH(V$1,INDIRECT("Table!A"&amp;$AN20):INDIRECT("Table!" &amp; $AQ$85 &amp; $AN20),0)),"",INDIRECT(CONCATENATE("Table!",ADDRESS($AJ20,MATCH(V$1,INDIRECT("Table!A" &amp; $AN20):INDIRECT("Table!" &amp; $AQ$85 &amp; $AN20),0))))/1024)</f>
        <v>82.31689453125</v>
      </c>
      <c r="W20" s="595">
        <f ca="1">IF(ISERROR(MATCH(W$1,INDIRECT("Table!A"&amp;$AN20):INDIRECT("Table!" &amp; $AQ$85 &amp; $AN20),0)),"",INDIRECT(CONCATENATE("Table!",ADDRESS($AJ20,MATCH(W$1,INDIRECT("Table!A" &amp; $AN20):INDIRECT("Table!" &amp; $AQ$85 &amp; $AN20),0))))/1024)</f>
        <v>38.820647460937501</v>
      </c>
      <c r="X20" s="595">
        <f ca="1">IF(ISERROR(MATCH(X$1,INDIRECT("Table!A"&amp;$AN20):INDIRECT("Table!" &amp; $AQ$85 &amp; $AN20),0)),"",INDIRECT(CONCATENATE("Table!",ADDRESS($AJ20,MATCH(X$1,INDIRECT("Table!A" &amp; $AN20):INDIRECT("Table!" &amp; $AQ$85 &amp; $AN20),0))))/1024)</f>
        <v>48.962088867187497</v>
      </c>
      <c r="Y20" s="595">
        <f ca="1">IF(ISERROR(MATCH(Y$1,INDIRECT("Table!A"&amp;$AN20):INDIRECT("Table!" &amp; $AQ$85 &amp; $AN20),0)),"",INDIRECT(CONCATENATE("Table!",ADDRESS($AJ20,MATCH(Y$1,INDIRECT("Table!A" &amp; $AN20):INDIRECT("Table!" &amp; $AQ$85 &amp; $AN20),0))))/1024)</f>
        <v>25.057262695312499</v>
      </c>
      <c r="Z20" s="595">
        <f ca="1">IF(ISERROR(MATCH(Z$1,INDIRECT("Table!A"&amp;$AN20):INDIRECT("Table!" &amp; $AQ$85 &amp; $AN20),0)),"",INDIRECT(CONCATENATE("Table!",ADDRESS($AJ20,MATCH(Z$1,INDIRECT("Table!A" &amp; $AN20):INDIRECT("Table!" &amp; $AQ$85 &amp; $AN20),0))))/1024)</f>
        <v>47.842579101562499</v>
      </c>
      <c r="AA20" s="595">
        <f ca="1">IF(ISERROR(MATCH(AA$1,INDIRECT("Table!A"&amp;$AN20):INDIRECT("Table!" &amp; $AQ$85 &amp; $AN20),0)),"",INDIRECT(CONCATENATE("Table!",ADDRESS($AJ20,MATCH(AA$1,INDIRECT("Table!A" &amp; $AN20):INDIRECT("Table!" &amp; $AQ$85 &amp; $AN20),0))))/1024)</f>
        <v>174.51181640625001</v>
      </c>
      <c r="AB20" s="595">
        <f ca="1">IF(ISERROR(MATCH(AB$1,INDIRECT("Table!A"&amp;$AN20):INDIRECT("Table!" &amp; $AQ$85 &amp; $AN20),0)),"",INDIRECT(CONCATENATE("Table!",ADDRESS($AJ20,MATCH(AB$1,INDIRECT("Table!A" &amp; $AN20):INDIRECT("Table!" &amp; $AQ$85 &amp; $AN20),0))))/1024)</f>
        <v>0</v>
      </c>
      <c r="AC20" s="595">
        <f ca="1">IF(ISERROR(MATCH(AC$1,INDIRECT("Table!A"&amp;$AN20):INDIRECT("Table!" &amp; $AQ$85 &amp; $AN20),0)),"",INDIRECT(CONCATENATE("Table!",ADDRESS($AJ20,MATCH(AC$1,INDIRECT("Table!A" &amp; $AN20):INDIRECT("Table!" &amp; $AQ$85 &amp; $AN20),0))))/1024)</f>
        <v>29.370667968749999</v>
      </c>
      <c r="AD20" s="595">
        <f ca="1">IF(ISERROR(MATCH(AD$1,INDIRECT("Table!A"&amp;$AN20):INDIRECT("Table!" &amp; $AQ$85 &amp; $AN20),0)),"",INDIRECT(CONCATENATE("Table!",ADDRESS($AJ20,MATCH(AD$1,INDIRECT("Table!A" &amp; $AN20):INDIRECT("Table!" &amp; $AQ$85 &amp; $AN20),0))))/1024)</f>
        <v>52.123057617187499</v>
      </c>
      <c r="AE20" s="595">
        <f ca="1">IF(ISERROR(MATCH(AE$1,INDIRECT("Table!A"&amp;$AN20):INDIRECT("Table!" &amp; $AQ$85 &amp; $AN20),0)),"",INDIRECT(CONCATENATE("Table!",ADDRESS($AJ20,MATCH(AE$1,INDIRECT("Table!A" &amp; $AN20):INDIRECT("Table!" &amp; $AQ$85 &amp; $AN20),0))))/1024)</f>
        <v>5.1695009765624995</v>
      </c>
      <c r="AF20" s="595">
        <f ca="1">IF(ISERROR(MATCH(AF$1,INDIRECT("Table!A"&amp;$AN20):INDIRECT("Table!" &amp; $AQ$85 &amp; $AN20),0)),"",INDIRECT(CONCATENATE("Table!",ADDRESS($AJ20,MATCH(AF$1,INDIRECT("Table!A" &amp; $AN20):INDIRECT("Table!" &amp; $AQ$85 &amp; $AN20),0))))/1024)</f>
        <v>5.1695009765624995</v>
      </c>
      <c r="AG20" s="595">
        <f ca="1">IF(ISERROR(MATCH(AG$1,INDIRECT("Table!A"&amp;$AN20):INDIRECT("Table!" &amp; $AQ$85 &amp; $AN20),0)),"",INDIRECT(CONCATENATE("Table!",ADDRESS($AJ20,MATCH(AG$1,INDIRECT("Table!A" &amp; $AN20):INDIRECT("Table!" &amp; $AQ$85 &amp; $AN20),0))))/1024)</f>
        <v>210.73124999999999</v>
      </c>
      <c r="AH20" s="595">
        <f ca="1">IF(ISERROR(MATCH(AH$1,INDIRECT("Table!A"&amp;$AN20):INDIRECT("Table!" &amp; $AQ$85 &amp; $AN20),0)),"",INDIRECT(CONCATENATE("Table!",ADDRESS($AJ20,MATCH(AH$1,INDIRECT("Table!A" &amp; $AN20):INDIRECT("Table!" &amp; $AQ$85 &amp; $AN20),0))))/1024)</f>
        <v>0</v>
      </c>
      <c r="AI20" s="595"/>
      <c r="AJ20" s="595">
        <f>MATCH($A20,Table!$A:$A,0)+$AL$2-1</f>
        <v>249</v>
      </c>
      <c r="AK20" s="982"/>
      <c r="AL20" s="982"/>
      <c r="AM20" s="982"/>
      <c r="AN20" s="595">
        <f>MATCH($A20,Table!$A:$A,0)+$AP$2-1</f>
        <v>241</v>
      </c>
      <c r="AO20" s="982"/>
      <c r="AP20" s="982"/>
      <c r="AQ20" s="982" t="s">
        <v>302</v>
      </c>
      <c r="AR20" s="699">
        <f t="shared" ca="1" si="0"/>
        <v>3940.147546875</v>
      </c>
      <c r="AS20" s="699">
        <f ca="1">AR20-AR43</f>
        <v>813.65311230468751</v>
      </c>
      <c r="AT20" s="699">
        <f ca="1">SUM(AS20:AS31)/10</f>
        <v>686.30887646484359</v>
      </c>
    </row>
    <row r="21" spans="1:46" s="947" customFormat="1" x14ac:dyDescent="0.25">
      <c r="A21" s="592">
        <v>41850</v>
      </c>
      <c r="B21" s="595">
        <f ca="1">IF(ISERROR(MATCH(B$1,INDIRECT("Table!A"&amp;$AN21):INDIRECT("Table!" &amp; $AQ$108 &amp; $AN21),0)),"",INDIRECT(CONCATENATE("Table!",ADDRESS($AJ21,MATCH(B$1,INDIRECT("Table!A" &amp; $AN21):INDIRECT("Table!" &amp; $AQ$108 &amp; $AN21),0))))/1024)</f>
        <v>174.34718261718749</v>
      </c>
      <c r="C21" s="595">
        <f ca="1">IF(ISERROR(MATCH(C$1,INDIRECT("Table!A"&amp;$AN21):INDIRECT("Table!" &amp; $AQ$108 &amp; $AN21),0)),"",INDIRECT(CONCATENATE("Table!",ADDRESS($AJ21,MATCH(C$1,INDIRECT("Table!A" &amp; $AN21):INDIRECT("Table!" &amp; $AQ$108 &amp; $AN21),0))))/1024)</f>
        <v>94.2034541015625</v>
      </c>
      <c r="D21" s="595">
        <f ca="1">IF(ISERROR(MATCH(D$1,INDIRECT("Table!A"&amp;$AN21):INDIRECT("Table!" &amp; $AQ$108 &amp; $AN21),0)),"",INDIRECT(CONCATENATE("Table!",ADDRESS($AJ21,MATCH(D$1,INDIRECT("Table!A" &amp; $AN21):INDIRECT("Table!" &amp; $AQ$108 &amp; $AN21),0))))/1024)</f>
        <v>92.557116210937494</v>
      </c>
      <c r="E21" s="595">
        <f ca="1">IF(ISERROR(MATCH(E$1,INDIRECT("Table!A"&amp;$AN21):INDIRECT("Table!" &amp; $AQ$108 &amp; $AN21),0)),"",INDIRECT(CONCATENATE("Table!",ADDRESS($AJ21,MATCH(E$1,INDIRECT("Table!A" &amp; $AN21):INDIRECT("Table!" &amp; $AQ$108 &amp; $AN21),0))))/1024)</f>
        <v>187.15569140624999</v>
      </c>
      <c r="F21" s="595">
        <f ca="1">IF(ISERROR(MATCH(F$1,INDIRECT("Table!A"&amp;$AN21):INDIRECT("Table!" &amp; $AQ$108 &amp; $AN21),0)),"",INDIRECT(CONCATENATE("Table!",ADDRESS($AJ21,MATCH(F$1,INDIRECT("Table!A" &amp; $AN21):INDIRECT("Table!" &amp; $AQ$108 &amp; $AN21),0))))/1024)</f>
        <v>110.83146679687499</v>
      </c>
      <c r="G21" s="595">
        <f ca="1">IF(ISERROR(MATCH(G$1,INDIRECT("Table!A"&amp;$AN21):INDIRECT("Table!" &amp; $AQ$108 &amp; $AN21),0)),"",INDIRECT(CONCATENATE("Table!",ADDRESS($AJ21,MATCH(G$1,INDIRECT("Table!A" &amp; $AN21):INDIRECT("Table!" &amp; $AQ$108 &amp; $AN21),0))))/1024)</f>
        <v>448.33073437499996</v>
      </c>
      <c r="H21" s="595">
        <f ca="1">IF(ISERROR(MATCH(H$1,INDIRECT("Table!A"&amp;$AN21):INDIRECT("Table!" &amp; $AQ$108 &amp; $AN21),0)),"",INDIRECT(CONCATENATE("Table!",ADDRESS($AJ21,MATCH(H$1,INDIRECT("Table!A" &amp; $AN21):INDIRECT("Table!" &amp; $AQ$108 &amp; $AN21),0))))/1024)</f>
        <v>218.4031845703125</v>
      </c>
      <c r="I21" s="595">
        <f ca="1">IF(ISERROR(MATCH(I$1,INDIRECT("Table!A"&amp;$AN21):INDIRECT("Table!" &amp; $AQ$85 &amp; $AN21),0)),"",INDIRECT(CONCATENATE("Table!",ADDRESS($AJ21,MATCH(I$1,INDIRECT("Table!A" &amp; $AN21):INDIRECT("Table!" &amp; $AQ$85 &amp; $AN21),0))))/1024)</f>
        <v>45.438925781249999</v>
      </c>
      <c r="J21" s="595">
        <f ca="1">IF(ISERROR(MATCH(J$1,INDIRECT("Table!A"&amp;$AN21):INDIRECT("Table!" &amp; $AQ$85 &amp; $AN21),0)),"",INDIRECT(CONCATENATE("Table!",ADDRESS($AJ21,MATCH(J$1,INDIRECT("Table!A" &amp; $AN21):INDIRECT("Table!" &amp; $AQ$85 &amp; $AN21),0))))/1024)</f>
        <v>199.33859179687499</v>
      </c>
      <c r="K21" s="595">
        <f ca="1">IF(ISERROR(MATCH(K$1,INDIRECT("Table!A"&amp;$AN21):INDIRECT("Table!" &amp; $AQ$85 &amp; $AN21),0)),"",INDIRECT(CONCATENATE("Table!",ADDRESS($AJ21,MATCH(K$1,INDIRECT("Table!A" &amp; $AN21):INDIRECT("Table!" &amp; $AQ$85 &amp; $AN21),0))))/1024)</f>
        <v>224.69219531249999</v>
      </c>
      <c r="L21" s="595">
        <f ca="1">IF(ISERROR(MATCH(L$1,INDIRECT("Table!A"&amp;$AN21):INDIRECT("Table!" &amp; $AQ$85 &amp; $AN21),0)),"",INDIRECT(CONCATENATE("Table!",ADDRESS($AJ21,MATCH(L$1,INDIRECT("Table!A" &amp; $AN21):INDIRECT("Table!" &amp; $AQ$85 &amp; $AN21),0))))/1024)</f>
        <v>203.7178505859375</v>
      </c>
      <c r="M21" s="595">
        <f ca="1">IF(ISERROR(MATCH(M$1,INDIRECT("Table!A"&amp;$AN21):INDIRECT("Table!" &amp; $AQ$85 &amp; $AN21),0)),"",INDIRECT(CONCATENATE("Table!",ADDRESS($AJ21,MATCH(M$1,INDIRECT("Table!A" &amp; $AN21):INDIRECT("Table!" &amp; $AQ$85 &amp; $AN21),0))))/1024)</f>
        <v>357.97971093749999</v>
      </c>
      <c r="N21" s="595">
        <f ca="1">IF(ISERROR(MATCH(N$1,INDIRECT("Table!A"&amp;$AN21):INDIRECT("Table!" &amp; $AQ$85 &amp; $AN21),0)),"",INDIRECT(CONCATENATE("Table!",ADDRESS($AJ21,MATCH(N$1,INDIRECT("Table!A" &amp; $AN21):INDIRECT("Table!" &amp; $AQ$85 &amp; $AN21),0))))/1024)</f>
        <v>113.13633984374999</v>
      </c>
      <c r="O21" s="595">
        <f ca="1">IF(ISERROR(MATCH(O$1,INDIRECT("Table!A"&amp;$AN21):INDIRECT("Table!" &amp; $AQ$85 &amp; $AN21),0)),"",INDIRECT(CONCATENATE("Table!",ADDRESS($AJ21,MATCH(O$1,INDIRECT("Table!A" &amp; $AN21):INDIRECT("Table!" &amp; $AQ$85 &amp; $AN21),0))))/1024)</f>
        <v>163.64598632812499</v>
      </c>
      <c r="P21" s="595">
        <f ca="1">IF(ISERROR(MATCH(P$1,INDIRECT("Table!A"&amp;$AN21):INDIRECT("Table!" &amp; $AQ$85 &amp; $AN21),0)),"",INDIRECT(CONCATENATE("Table!",ADDRESS($AJ21,MATCH(P$1,INDIRECT("Table!A" &amp; $AN21):INDIRECT("Table!" &amp; $AQ$85 &amp; $AN21),0))))/1024)</f>
        <v>60.190113281249999</v>
      </c>
      <c r="Q21" s="595">
        <f ca="1">IF(ISERROR(MATCH(Q$1,INDIRECT("Table!A"&amp;$AN21):INDIRECT("Table!" &amp; $AQ$85 &amp; $AN21),0)),"",INDIRECT(CONCATENATE("Table!",ADDRESS($AJ21,MATCH(Q$1,INDIRECT("Table!A" &amp; $AN21):INDIRECT("Table!" &amp; $AQ$85 &amp; $AN21),0))))/1024)</f>
        <v>153.8667392578125</v>
      </c>
      <c r="R21" s="595">
        <f ca="1">IF(ISERROR(MATCH(R$1,INDIRECT("Table!A"&amp;$AN21):INDIRECT("Table!" &amp; $AQ$85 &amp; $AN21),0)),"",INDIRECT(CONCATENATE("Table!",ADDRESS($AJ21,MATCH(R$1,INDIRECT("Table!A" &amp; $AN21):INDIRECT("Table!" &amp; $AQ$85 &amp; $AN21),0))))/1024)</f>
        <v>332.32976660156248</v>
      </c>
      <c r="S21" s="595">
        <v>0</v>
      </c>
      <c r="T21" s="595">
        <f ca="1">IF(ISERROR(MATCH(T$1,INDIRECT("Table!A"&amp;$AN21):INDIRECT("Table!" &amp; $AQ$85 &amp; $AN21),0)),"",INDIRECT(CONCATENATE("Table!",ADDRESS($AJ21,MATCH(T$1,INDIRECT("Table!A" &amp; $AN21):INDIRECT("Table!" &amp; $AQ$85 &amp; $AN21),0))))/1024)</f>
        <v>39.413329101562496</v>
      </c>
      <c r="U21" s="595">
        <f ca="1">IF(ISERROR(MATCH(U$1,INDIRECT("Table!A"&amp;$AN21):INDIRECT("Table!" &amp; $AQ$85 &amp; $AN21),0)),"",INDIRECT(CONCATENATE("Table!",ADDRESS($AJ21,MATCH(U$1,INDIRECT("Table!A" &amp; $AN21):INDIRECT("Table!" &amp; $AQ$85 &amp; $AN21),0))))/1024)</f>
        <v>61.50718359375</v>
      </c>
      <c r="V21" s="595">
        <f ca="1">IF(ISERROR(MATCH(V$1,INDIRECT("Table!A"&amp;$AN21):INDIRECT("Table!" &amp; $AQ$85 &amp; $AN21),0)),"",INDIRECT(CONCATENATE("Table!",ADDRESS($AJ21,MATCH(V$1,INDIRECT("Table!A" &amp; $AN21):INDIRECT("Table!" &amp; $AQ$85 &amp; $AN21),0))))/1024)</f>
        <v>82.31689453125</v>
      </c>
      <c r="W21" s="595">
        <f ca="1">IF(ISERROR(MATCH(W$1,INDIRECT("Table!A"&amp;$AN21):INDIRECT("Table!" &amp; $AQ$85 &amp; $AN21),0)),"",INDIRECT(CONCATENATE("Table!",ADDRESS($AJ21,MATCH(W$1,INDIRECT("Table!A" &amp; $AN21):INDIRECT("Table!" &amp; $AQ$85 &amp; $AN21),0))))/1024)</f>
        <v>38.820647460937501</v>
      </c>
      <c r="X21" s="595">
        <f ca="1">IF(ISERROR(MATCH(X$1,INDIRECT("Table!A"&amp;$AN21):INDIRECT("Table!" &amp; $AQ$85 &amp; $AN21),0)),"",INDIRECT(CONCATENATE("Table!",ADDRESS($AJ21,MATCH(X$1,INDIRECT("Table!A" &amp; $AN21):INDIRECT("Table!" &amp; $AQ$85 &amp; $AN21),0))))/1024)</f>
        <v>48.962088867187497</v>
      </c>
      <c r="Y21" s="595">
        <f ca="1">IF(ISERROR(MATCH(Y$1,INDIRECT("Table!A"&amp;$AN21):INDIRECT("Table!" &amp; $AQ$85 &amp; $AN21),0)),"",INDIRECT(CONCATENATE("Table!",ADDRESS($AJ21,MATCH(Y$1,INDIRECT("Table!A" &amp; $AN21):INDIRECT("Table!" &amp; $AQ$85 &amp; $AN21),0))))/1024)</f>
        <v>19.5255673828125</v>
      </c>
      <c r="Z21" s="595">
        <f ca="1">IF(ISERROR(MATCH(Z$1,INDIRECT("Table!A"&amp;$AN21):INDIRECT("Table!" &amp; $AQ$85 &amp; $AN21),0)),"",INDIRECT(CONCATENATE("Table!",ADDRESS($AJ21,MATCH(Z$1,INDIRECT("Table!A" &amp; $AN21):INDIRECT("Table!" &amp; $AQ$85 &amp; $AN21),0))))/1024)</f>
        <v>38.7547939453125</v>
      </c>
      <c r="AA21" s="595">
        <f ca="1">IF(ISERROR(MATCH(AA$1,INDIRECT("Table!A"&amp;$AN21):INDIRECT("Table!" &amp; $AQ$85 &amp; $AN21),0)),"",INDIRECT(CONCATENATE("Table!",ADDRESS($AJ21,MATCH(AA$1,INDIRECT("Table!A" &amp; $AN21):INDIRECT("Table!" &amp; $AQ$85 &amp; $AN21),0))))/1024)</f>
        <v>172.4374306640625</v>
      </c>
      <c r="AB21" s="595">
        <f ca="1">IF(ISERROR(MATCH(AB$1,INDIRECT("Table!A"&amp;$AN21):INDIRECT("Table!" &amp; $AQ$85 &amp; $AN21),0)),"",INDIRECT(CONCATENATE("Table!",ADDRESS($AJ21,MATCH(AB$1,INDIRECT("Table!A" &amp; $AN21):INDIRECT("Table!" &amp; $AQ$85 &amp; $AN21),0))))/1024)</f>
        <v>0</v>
      </c>
      <c r="AC21" s="595">
        <f ca="1">IF(ISERROR(MATCH(AC$1,INDIRECT("Table!A"&amp;$AN21):INDIRECT("Table!" &amp; $AQ$85 &amp; $AN21),0)),"",INDIRECT(CONCATENATE("Table!",ADDRESS($AJ21,MATCH(AC$1,INDIRECT("Table!A" &amp; $AN21):INDIRECT("Table!" &amp; $AQ$85 &amp; $AN21),0))))/1024)</f>
        <v>26.308479492187498</v>
      </c>
      <c r="AD21" s="595">
        <f ca="1">IF(ISERROR(MATCH(AD$1,INDIRECT("Table!A"&amp;$AN21):INDIRECT("Table!" &amp; $AQ$85 &amp; $AN21),0)),"",INDIRECT(CONCATENATE("Table!",ADDRESS($AJ21,MATCH(AD$1,INDIRECT("Table!A" &amp; $AN21):INDIRECT("Table!" &amp; $AQ$85 &amp; $AN21),0))))/1024)</f>
        <v>51.036474609374999</v>
      </c>
      <c r="AE21" s="595">
        <f ca="1">IF(ISERROR(MATCH(AE$1,INDIRECT("Table!A"&amp;$AN21):INDIRECT("Table!" &amp; $AQ$85 &amp; $AN21),0)),"",INDIRECT(CONCATENATE("Table!",ADDRESS($AJ21,MATCH(AE$1,INDIRECT("Table!A" &amp; $AN21):INDIRECT("Table!" &amp; $AQ$85 &amp; $AN21),0))))/1024)</f>
        <v>4.7743798828125001</v>
      </c>
      <c r="AF21" s="595">
        <f ca="1">IF(ISERROR(MATCH(AF$1,INDIRECT("Table!A"&amp;$AN21):INDIRECT("Table!" &amp; $AQ$85 &amp; $AN21),0)),"",INDIRECT(CONCATENATE("Table!",ADDRESS($AJ21,MATCH(AF$1,INDIRECT("Table!A" &amp; $AN21):INDIRECT("Table!" &amp; $AQ$85 &amp; $AN21),0))))/1024)</f>
        <v>4.7743798828125001</v>
      </c>
      <c r="AG21" s="595">
        <f ca="1">IF(ISERROR(MATCH(AG$1,INDIRECT("Table!A"&amp;$AN21):INDIRECT("Table!" &amp; $AQ$85 &amp; $AN21),0)),"",INDIRECT(CONCATENATE("Table!",ADDRESS($AJ21,MATCH(AG$1,INDIRECT("Table!A" &amp; $AN21):INDIRECT("Table!" &amp; $AQ$85 &amp; $AN21),0))))/1024)</f>
        <v>210.73124999999999</v>
      </c>
      <c r="AH21" s="595">
        <f ca="1">IF(ISERROR(MATCH(AH$1,INDIRECT("Table!A"&amp;$AN21):INDIRECT("Table!" &amp; $AQ$85 &amp; $AN21),0)),"",INDIRECT(CONCATENATE("Table!",ADDRESS($AJ21,MATCH(AH$1,INDIRECT("Table!A" &amp; $AN21):INDIRECT("Table!" &amp; $AQ$85 &amp; $AN21),0))))/1024)</f>
        <v>0</v>
      </c>
      <c r="AI21" s="595"/>
      <c r="AJ21" s="595">
        <f>MATCH($A21,Table!$A:$A,0)+$AL$2-1</f>
        <v>263</v>
      </c>
      <c r="AK21" s="972"/>
      <c r="AL21" s="972"/>
      <c r="AM21" s="972"/>
      <c r="AN21" s="595">
        <f>MATCH($A21,Table!$A:$A,0)+$AP$2-1</f>
        <v>255</v>
      </c>
      <c r="AO21" s="972"/>
      <c r="AP21" s="972"/>
      <c r="AQ21" s="973" t="s">
        <v>302</v>
      </c>
      <c r="AR21" s="699">
        <f t="shared" ref="AR21:AR84" ca="1" si="13">SUM(B21:AH21)</f>
        <v>3979.5279492187492</v>
      </c>
      <c r="AS21" s="699">
        <f ca="1">AR21-AR43</f>
        <v>853.03351464843672</v>
      </c>
      <c r="AT21" s="699">
        <f t="shared" ref="AT21:AT38" ca="1" si="14">SUM(AS21:AS31)/10</f>
        <v>604.943565234375</v>
      </c>
    </row>
    <row r="22" spans="1:46" s="947" customFormat="1" x14ac:dyDescent="0.25">
      <c r="A22" s="592">
        <v>41843</v>
      </c>
      <c r="B22" s="595">
        <f ca="1">IF(ISERROR(MATCH(B$1,INDIRECT("Table!A"&amp;$AN22):INDIRECT("Table!" &amp; $AQ$108 &amp; $AN22),0)),"",INDIRECT(CONCATENATE("Table!",ADDRESS($AJ22,MATCH(B$1,INDIRECT("Table!A" &amp; $AN22):INDIRECT("Table!" &amp; $AQ$108 &amp; $AN22),0))))/1024)</f>
        <v>174.34718261718749</v>
      </c>
      <c r="C22" s="595">
        <f ca="1">IF(ISERROR(MATCH(C$1,INDIRECT("Table!A"&amp;$AN22):INDIRECT("Table!" &amp; $AQ$108 &amp; $AN22),0)),"",INDIRECT(CONCATENATE("Table!",ADDRESS($AJ22,MATCH(C$1,INDIRECT("Table!A" &amp; $AN22):INDIRECT("Table!" &amp; $AQ$108 &amp; $AN22),0))))/1024)</f>
        <v>94.2034541015625</v>
      </c>
      <c r="D22" s="595">
        <f ca="1">IF(ISERROR(MATCH(D$1,INDIRECT("Table!A"&amp;$AN22):INDIRECT("Table!" &amp; $AQ$108 &amp; $AN22),0)),"",INDIRECT(CONCATENATE("Table!",ADDRESS($AJ22,MATCH(D$1,INDIRECT("Table!A" &amp; $AN22):INDIRECT("Table!" &amp; $AQ$108 &amp; $AN22),0))))/1024)</f>
        <v>92.557116210937494</v>
      </c>
      <c r="E22" s="595">
        <f ca="1">IF(ISERROR(MATCH(E$1,INDIRECT("Table!A"&amp;$AN22):INDIRECT("Table!" &amp; $AQ$108 &amp; $AN22),0)),"",INDIRECT(CONCATENATE("Table!",ADDRESS($AJ22,MATCH(E$1,INDIRECT("Table!A" &amp; $AN22):INDIRECT("Table!" &amp; $AQ$108 &amp; $AN22),0))))/1024)</f>
        <v>187.15569140624999</v>
      </c>
      <c r="F22" s="595">
        <f ca="1">IF(ISERROR(MATCH(F$1,INDIRECT("Table!A"&amp;$AN22):INDIRECT("Table!" &amp; $AQ$108 &amp; $AN22),0)),"",INDIRECT(CONCATENATE("Table!",ADDRESS($AJ22,MATCH(F$1,INDIRECT("Table!A" &amp; $AN22):INDIRECT("Table!" &amp; $AQ$108 &amp; $AN22),0))))/1024)</f>
        <v>110.83146679687499</v>
      </c>
      <c r="G22" s="595">
        <f ca="1">IF(ISERROR(MATCH(G$1,INDIRECT("Table!A"&amp;$AN22):INDIRECT("Table!" &amp; $AQ$108 &amp; $AN22),0)),"",INDIRECT(CONCATENATE("Table!",ADDRESS($AJ22,MATCH(G$1,INDIRECT("Table!A" &amp; $AN22):INDIRECT("Table!" &amp; $AQ$108 &amp; $AN22),0))))/1024)</f>
        <v>448.33073437499996</v>
      </c>
      <c r="H22" s="595">
        <f ca="1">IF(ISERROR(MATCH(H$1,INDIRECT("Table!A"&amp;$AN22):INDIRECT("Table!" &amp; $AQ$108 &amp; $AN22),0)),"",INDIRECT(CONCATENATE("Table!",ADDRESS($AJ22,MATCH(H$1,INDIRECT("Table!A" &amp; $AN22):INDIRECT("Table!" &amp; $AQ$108 &amp; $AN22),0))))/1024)</f>
        <v>218.4031845703125</v>
      </c>
      <c r="I22" s="595">
        <f ca="1">IF(ISERROR(MATCH(I$1,INDIRECT("Table!A"&amp;$AN22):INDIRECT("Table!" &amp; $AQ$85 &amp; $AN22),0)),"",INDIRECT(CONCATENATE("Table!",ADDRESS($AJ22,MATCH(I$1,INDIRECT("Table!A" &amp; $AN22):INDIRECT("Table!" &amp; $AQ$85 &amp; $AN22),0))))/1024)</f>
        <v>45.438925781249999</v>
      </c>
      <c r="J22" s="595">
        <f ca="1">IF(ISERROR(MATCH(J$1,INDIRECT("Table!A"&amp;$AN22):INDIRECT("Table!" &amp; $AQ$85 &amp; $AN22),0)),"",INDIRECT(CONCATENATE("Table!",ADDRESS($AJ22,MATCH(J$1,INDIRECT("Table!A" &amp; $AN22):INDIRECT("Table!" &amp; $AQ$85 &amp; $AN22),0))))/1024)</f>
        <v>199.33859179687499</v>
      </c>
      <c r="K22" s="595">
        <f ca="1">IF(ISERROR(MATCH(K$1,INDIRECT("Table!A"&amp;$AN22):INDIRECT("Table!" &amp; $AQ$85 &amp; $AN22),0)),"",INDIRECT(CONCATENATE("Table!",ADDRESS($AJ22,MATCH(K$1,INDIRECT("Table!A" &amp; $AN22):INDIRECT("Table!" &amp; $AQ$85 &amp; $AN22),0))))/1024)</f>
        <v>224.69219531249999</v>
      </c>
      <c r="L22" s="595">
        <f ca="1">IF(ISERROR(MATCH(L$1,INDIRECT("Table!A"&amp;$AN22):INDIRECT("Table!" &amp; $AQ$85 &amp; $AN22),0)),"",INDIRECT(CONCATENATE("Table!",ADDRESS($AJ22,MATCH(L$1,INDIRECT("Table!A" &amp; $AN22):INDIRECT("Table!" &amp; $AQ$85 &amp; $AN22),0))))/1024)</f>
        <v>203.7178505859375</v>
      </c>
      <c r="M22" s="595">
        <f ca="1">IF(ISERROR(MATCH(M$1,INDIRECT("Table!A"&amp;$AN22):INDIRECT("Table!" &amp; $AQ$85 &amp; $AN22),0)),"",INDIRECT(CONCATENATE("Table!",ADDRESS($AJ22,MATCH(M$1,INDIRECT("Table!A" &amp; $AN22):INDIRECT("Table!" &amp; $AQ$85 &amp; $AN22),0))))/1024)</f>
        <v>357.97971093749999</v>
      </c>
      <c r="N22" s="595">
        <f ca="1">IF(ISERROR(MATCH(N$1,INDIRECT("Table!A"&amp;$AN22):INDIRECT("Table!" &amp; $AQ$85 &amp; $AN22),0)),"",INDIRECT(CONCATENATE("Table!",ADDRESS($AJ22,MATCH(N$1,INDIRECT("Table!A" &amp; $AN22):INDIRECT("Table!" &amp; $AQ$85 &amp; $AN22),0))))/1024)</f>
        <v>113.13633984374999</v>
      </c>
      <c r="O22" s="595">
        <f ca="1">IF(ISERROR(MATCH(O$1,INDIRECT("Table!A"&amp;$AN22):INDIRECT("Table!" &amp; $AQ$85 &amp; $AN22),0)),"",INDIRECT(CONCATENATE("Table!",ADDRESS($AJ22,MATCH(O$1,INDIRECT("Table!A" &amp; $AN22):INDIRECT("Table!" &amp; $AQ$85 &amp; $AN22),0))))/1024)</f>
        <v>163.64598632812499</v>
      </c>
      <c r="P22" s="595">
        <f ca="1">IF(ISERROR(MATCH(P$1,INDIRECT("Table!A"&amp;$AN22):INDIRECT("Table!" &amp; $AQ$85 &amp; $AN22),0)),"",INDIRECT(CONCATENATE("Table!",ADDRESS($AJ22,MATCH(P$1,INDIRECT("Table!A" &amp; $AN22):INDIRECT("Table!" &amp; $AQ$85 &amp; $AN22),0))))/1024)</f>
        <v>60.190113281249999</v>
      </c>
      <c r="Q22" s="595">
        <f ca="1">IF(ISERROR(MATCH(Q$1,INDIRECT("Table!A"&amp;$AN22):INDIRECT("Table!" &amp; $AQ$85 &amp; $AN22),0)),"",INDIRECT(CONCATENATE("Table!",ADDRESS($AJ22,MATCH(Q$1,INDIRECT("Table!A" &amp; $AN22):INDIRECT("Table!" &amp; $AQ$85 &amp; $AN22),0))))/1024)</f>
        <v>153.8667392578125</v>
      </c>
      <c r="R22" s="595">
        <f ca="1">IF(ISERROR(MATCH(R$1,INDIRECT("Table!A"&amp;$AN22):INDIRECT("Table!" &amp; $AQ$85 &amp; $AN22),0)),"",INDIRECT(CONCATENATE("Table!",ADDRESS($AJ22,MATCH(R$1,INDIRECT("Table!A" &amp; $AN22):INDIRECT("Table!" &amp; $AQ$85 &amp; $AN22),0))))/1024)</f>
        <v>332.32976660156248</v>
      </c>
      <c r="S22" s="595">
        <v>0</v>
      </c>
      <c r="T22" s="595">
        <f ca="1">IF(ISERROR(MATCH(T$1,INDIRECT("Table!A"&amp;$AN22):INDIRECT("Table!" &amp; $AQ$85 &amp; $AN22),0)),"",INDIRECT(CONCATENATE("Table!",ADDRESS($AJ22,MATCH(T$1,INDIRECT("Table!A" &amp; $AN22):INDIRECT("Table!" &amp; $AQ$85 &amp; $AN22),0))))/1024)</f>
        <v>39.413329101562496</v>
      </c>
      <c r="U22" s="595">
        <f ca="1">IF(ISERROR(MATCH(U$1,INDIRECT("Table!A"&amp;$AN22):INDIRECT("Table!" &amp; $AQ$85 &amp; $AN22),0)),"",INDIRECT(CONCATENATE("Table!",ADDRESS($AJ22,MATCH(U$1,INDIRECT("Table!A" &amp; $AN22):INDIRECT("Table!" &amp; $AQ$85 &amp; $AN22),0))))/1024)</f>
        <v>61.50718359375</v>
      </c>
      <c r="V22" s="595">
        <f ca="1">IF(ISERROR(MATCH(V$1,INDIRECT("Table!A"&amp;$AN22):INDIRECT("Table!" &amp; $AQ$85 &amp; $AN22),0)),"",INDIRECT(CONCATENATE("Table!",ADDRESS($AJ22,MATCH(V$1,INDIRECT("Table!A" &amp; $AN22):INDIRECT("Table!" &amp; $AQ$85 &amp; $AN22),0))))/1024)</f>
        <v>82.31689453125</v>
      </c>
      <c r="W22" s="595">
        <f ca="1">IF(ISERROR(MATCH(W$1,INDIRECT("Table!A"&amp;$AN22):INDIRECT("Table!" &amp; $AQ$85 &amp; $AN22),0)),"",INDIRECT(CONCATENATE("Table!",ADDRESS($AJ22,MATCH(W$1,INDIRECT("Table!A" &amp; $AN22):INDIRECT("Table!" &amp; $AQ$85 &amp; $AN22),0))))/1024)</f>
        <v>38.820647460937501</v>
      </c>
      <c r="X22" s="595">
        <f ca="1">IF(ISERROR(MATCH(X$1,INDIRECT("Table!A"&amp;$AN22):INDIRECT("Table!" &amp; $AQ$85 &amp; $AN22),0)),"",INDIRECT(CONCATENATE("Table!",ADDRESS($AJ22,MATCH(X$1,INDIRECT("Table!A" &amp; $AN22):INDIRECT("Table!" &amp; $AQ$85 &amp; $AN22),0))))/1024)</f>
        <v>48.962088867187497</v>
      </c>
      <c r="Y22" s="595">
        <f ca="1">IF(ISERROR(MATCH(Y$1,INDIRECT("Table!A"&amp;$AN22):INDIRECT("Table!" &amp; $AQ$85 &amp; $AN22),0)),"",INDIRECT(CONCATENATE("Table!",ADDRESS($AJ22,MATCH(Y$1,INDIRECT("Table!A" &amp; $AN22):INDIRECT("Table!" &amp; $AQ$85 &amp; $AN22),0))))/1024)</f>
        <v>19.5255673828125</v>
      </c>
      <c r="Z22" s="595">
        <f ca="1">IF(ISERROR(MATCH(Z$1,INDIRECT("Table!A"&amp;$AN22):INDIRECT("Table!" &amp; $AQ$85 &amp; $AN22),0)),"",INDIRECT(CONCATENATE("Table!",ADDRESS($AJ22,MATCH(Z$1,INDIRECT("Table!A" &amp; $AN22):INDIRECT("Table!" &amp; $AQ$85 &amp; $AN22),0))))/1024)</f>
        <v>38.7547939453125</v>
      </c>
      <c r="AA22" s="595">
        <f ca="1">IF(ISERROR(MATCH(AA$1,INDIRECT("Table!A"&amp;$AN22):INDIRECT("Table!" &amp; $AQ$85 &amp; $AN22),0)),"",INDIRECT(CONCATENATE("Table!",ADDRESS($AJ22,MATCH(AA$1,INDIRECT("Table!A" &amp; $AN22):INDIRECT("Table!" &amp; $AQ$85 &amp; $AN22),0))))/1024)</f>
        <v>172.4374306640625</v>
      </c>
      <c r="AB22" s="595">
        <f ca="1">IF(ISERROR(MATCH(AB$1,INDIRECT("Table!A"&amp;$AN22):INDIRECT("Table!" &amp; $AQ$85 &amp; $AN22),0)),"",INDIRECT(CONCATENATE("Table!",ADDRESS($AJ22,MATCH(AB$1,INDIRECT("Table!A" &amp; $AN22):INDIRECT("Table!" &amp; $AQ$85 &amp; $AN22),0))))/1024)</f>
        <v>0</v>
      </c>
      <c r="AC22" s="595">
        <f ca="1">IF(ISERROR(MATCH(AC$1,INDIRECT("Table!A"&amp;$AN22):INDIRECT("Table!" &amp; $AQ$85 &amp; $AN22),0)),"",INDIRECT(CONCATENATE("Table!",ADDRESS($AJ22,MATCH(AC$1,INDIRECT("Table!A" &amp; $AN22):INDIRECT("Table!" &amp; $AQ$85 &amp; $AN22),0))))/1024)</f>
        <v>26.308479492187498</v>
      </c>
      <c r="AD22" s="595">
        <f ca="1">IF(ISERROR(MATCH(AD$1,INDIRECT("Table!A"&amp;$AN22):INDIRECT("Table!" &amp; $AQ$85 &amp; $AN22),0)),"",INDIRECT(CONCATENATE("Table!",ADDRESS($AJ22,MATCH(AD$1,INDIRECT("Table!A" &amp; $AN22):INDIRECT("Table!" &amp; $AQ$85 &amp; $AN22),0))))/1024)</f>
        <v>51.036474609374999</v>
      </c>
      <c r="AE22" s="595">
        <f ca="1">IF(ISERROR(MATCH(AE$1,INDIRECT("Table!A"&amp;$AN22):INDIRECT("Table!" &amp; $AQ$85 &amp; $AN22),0)),"",INDIRECT(CONCATENATE("Table!",ADDRESS($AJ22,MATCH(AE$1,INDIRECT("Table!A" &amp; $AN22):INDIRECT("Table!" &amp; $AQ$85 &amp; $AN22),0))))/1024)</f>
        <v>4.7743798828125001</v>
      </c>
      <c r="AF22" s="595">
        <f ca="1">IF(ISERROR(MATCH(AF$1,INDIRECT("Table!A"&amp;$AN22):INDIRECT("Table!" &amp; $AQ$85 &amp; $AN22),0)),"",INDIRECT(CONCATENATE("Table!",ADDRESS($AJ22,MATCH(AF$1,INDIRECT("Table!A" &amp; $AN22):INDIRECT("Table!" &amp; $AQ$85 &amp; $AN22),0))))/1024)</f>
        <v>4.7743798828125001</v>
      </c>
      <c r="AG22" s="595">
        <f ca="1">IF(ISERROR(MATCH(AG$1,INDIRECT("Table!A"&amp;$AN22):INDIRECT("Table!" &amp; $AQ$85 &amp; $AN22),0)),"",INDIRECT(CONCATENATE("Table!",ADDRESS($AJ22,MATCH(AG$1,INDIRECT("Table!A" &amp; $AN22):INDIRECT("Table!" &amp; $AQ$85 &amp; $AN22),0))))/1024)</f>
        <v>210.73124999999999</v>
      </c>
      <c r="AH22" s="595">
        <f ca="1">IF(ISERROR(MATCH(AH$1,INDIRECT("Table!A"&amp;$AN22):INDIRECT("Table!" &amp; $AQ$85 &amp; $AN22),0)),"",INDIRECT(CONCATENATE("Table!",ADDRESS($AJ22,MATCH(AH$1,INDIRECT("Table!A" &amp; $AN22):INDIRECT("Table!" &amp; $AQ$85 &amp; $AN22),0))))/1024)</f>
        <v>0</v>
      </c>
      <c r="AI22" s="595"/>
      <c r="AJ22" s="595">
        <f>MATCH($A22,Table!$A:$A,0)+$AL$2-1</f>
        <v>291</v>
      </c>
      <c r="AK22" s="969"/>
      <c r="AL22" s="969"/>
      <c r="AM22" s="969"/>
      <c r="AN22" s="595">
        <f>MATCH($A22,Table!$A:$A,0)+$AP$2-1</f>
        <v>283</v>
      </c>
      <c r="AO22" s="969"/>
      <c r="AP22" s="969"/>
      <c r="AQ22" s="973" t="s">
        <v>302</v>
      </c>
      <c r="AR22" s="699">
        <f t="shared" ca="1" si="13"/>
        <v>3979.5279492187492</v>
      </c>
      <c r="AS22" s="699">
        <f ca="1">AR22-AR43</f>
        <v>853.03351464843672</v>
      </c>
      <c r="AT22" s="699">
        <f t="shared" ca="1" si="14"/>
        <v>559.32354228515635</v>
      </c>
    </row>
    <row r="23" spans="1:46" s="947" customFormat="1" x14ac:dyDescent="0.25">
      <c r="A23" s="592">
        <v>41836</v>
      </c>
      <c r="B23" s="595">
        <f ca="1">IF(ISERROR(MATCH(B$1,INDIRECT("Table!A"&amp;$AN23):INDIRECT("Table!" &amp; $AQ$108 &amp; $AN23),0)),"",INDIRECT(CONCATENATE("Table!",ADDRESS($AJ23,MATCH(B$1,INDIRECT("Table!A" &amp; $AN23):INDIRECT("Table!" &amp; $AQ$108 &amp; $AN23),0))))/1024)</f>
        <v>174.34718261718749</v>
      </c>
      <c r="C23" s="595">
        <f ca="1">IF(ISERROR(MATCH(C$1,INDIRECT("Table!A"&amp;$AN23):INDIRECT("Table!" &amp; $AQ$108 &amp; $AN23),0)),"",INDIRECT(CONCATENATE("Table!",ADDRESS($AJ23,MATCH(C$1,INDIRECT("Table!A" &amp; $AN23):INDIRECT("Table!" &amp; $AQ$108 &amp; $AN23),0))))/1024)</f>
        <v>97.002228515624992</v>
      </c>
      <c r="D23" s="595">
        <f ca="1">IF(ISERROR(MATCH(D$1,INDIRECT("Table!A"&amp;$AN23):INDIRECT("Table!" &amp; $AQ$108 &amp; $AN23),0)),"",INDIRECT(CONCATENATE("Table!",ADDRESS($AJ23,MATCH(D$1,INDIRECT("Table!A" &amp; $AN23):INDIRECT("Table!" &amp; $AQ$108 &amp; $AN23),0))))/1024)</f>
        <v>92.557116210937494</v>
      </c>
      <c r="E23" s="595">
        <f ca="1">IF(ISERROR(MATCH(E$1,INDIRECT("Table!A"&amp;$AN23):INDIRECT("Table!" &amp; $AQ$108 &amp; $AN23),0)),"",INDIRECT(CONCATENATE("Table!",ADDRESS($AJ23,MATCH(E$1,INDIRECT("Table!A" &amp; $AN23):INDIRECT("Table!" &amp; $AQ$108 &amp; $AN23),0))))/1024)</f>
        <v>212.57514843749999</v>
      </c>
      <c r="F23" s="595">
        <f ca="1">IF(ISERROR(MATCH(F$1,INDIRECT("Table!A"&amp;$AN23):INDIRECT("Table!" &amp; $AQ$108 &amp; $AN23),0)),"",INDIRECT(CONCATENATE("Table!",ADDRESS($AJ23,MATCH(F$1,INDIRECT("Table!A" &amp; $AN23):INDIRECT("Table!" &amp; $AQ$108 &amp; $AN23),0))))/1024)</f>
        <v>110.83146679687499</v>
      </c>
      <c r="G23" s="595">
        <f ca="1">IF(ISERROR(MATCH(G$1,INDIRECT("Table!A"&amp;$AN23):INDIRECT("Table!" &amp; $AQ$108 &amp; $AN23),0)),"",INDIRECT(CONCATENATE("Table!",ADDRESS($AJ23,MATCH(G$1,INDIRECT("Table!A" &amp; $AN23):INDIRECT("Table!" &amp; $AQ$108 &amp; $AN23),0))))/1024)</f>
        <v>448.46244140624998</v>
      </c>
      <c r="H23" s="595">
        <f ca="1">IF(ISERROR(MATCH(H$1,INDIRECT("Table!A"&amp;$AN23):INDIRECT("Table!" &amp; $AQ$108 &amp; $AN23),0)),"",INDIRECT(CONCATENATE("Table!",ADDRESS($AJ23,MATCH(H$1,INDIRECT("Table!A" &amp; $AN23):INDIRECT("Table!" &amp; $AQ$108 &amp; $AN23),0))))/1024)</f>
        <v>219.16049999999998</v>
      </c>
      <c r="I23" s="595">
        <f ca="1">IF(ISERROR(MATCH(I$1,INDIRECT("Table!A"&amp;$AN23):INDIRECT("Table!" &amp; $AQ$85 &amp; $AN23),0)),"",INDIRECT(CONCATENATE("Table!",ADDRESS($AJ23,MATCH(I$1,INDIRECT("Table!A" &amp; $AN23):INDIRECT("Table!" &amp; $AQ$85 &amp; $AN23),0))))/1024)</f>
        <v>45.438925781249999</v>
      </c>
      <c r="J23" s="595">
        <f ca="1">IF(ISERROR(MATCH(J$1,INDIRECT("Table!A"&amp;$AN23):INDIRECT("Table!" &amp; $AQ$85 &amp; $AN23),0)),"",INDIRECT(CONCATENATE("Table!",ADDRESS($AJ23,MATCH(J$1,INDIRECT("Table!A" &amp; $AN23):INDIRECT("Table!" &amp; $AQ$85 &amp; $AN23),0))))/1024)</f>
        <v>199.33859179687499</v>
      </c>
      <c r="K23" s="595">
        <f ca="1">IF(ISERROR(MATCH(K$1,INDIRECT("Table!A"&amp;$AN23):INDIRECT("Table!" &amp; $AQ$85 &amp; $AN23),0)),"",INDIRECT(CONCATENATE("Table!",ADDRESS($AJ23,MATCH(K$1,INDIRECT("Table!A" &amp; $AN23):INDIRECT("Table!" &amp; $AQ$85 &amp; $AN23),0))))/1024)</f>
        <v>224.46170800781249</v>
      </c>
      <c r="L23" s="595">
        <f ca="1">IF(ISERROR(MATCH(L$1,INDIRECT("Table!A"&amp;$AN23):INDIRECT("Table!" &amp; $AQ$85 &amp; $AN23),0)),"",INDIRECT(CONCATENATE("Table!",ADDRESS($AJ23,MATCH(L$1,INDIRECT("Table!A" &amp; $AN23):INDIRECT("Table!" &amp; $AQ$85 &amp; $AN23),0))))/1024)</f>
        <v>204.27760546874998</v>
      </c>
      <c r="M23" s="595">
        <f ca="1">IF(ISERROR(MATCH(M$1,INDIRECT("Table!A"&amp;$AN23):INDIRECT("Table!" &amp; $AQ$85 &amp; $AN23),0)),"",INDIRECT(CONCATENATE("Table!",ADDRESS($AJ23,MATCH(M$1,INDIRECT("Table!A" &amp; $AN23):INDIRECT("Table!" &amp; $AQ$85 &amp; $AN23),0))))/1024)</f>
        <v>357.97971093749999</v>
      </c>
      <c r="N23" s="595">
        <f ca="1">IF(ISERROR(MATCH(N$1,INDIRECT("Table!A"&amp;$AN23):INDIRECT("Table!" &amp; $AQ$85 &amp; $AN23),0)),"",INDIRECT(CONCATENATE("Table!",ADDRESS($AJ23,MATCH(N$1,INDIRECT("Table!A" &amp; $AN23):INDIRECT("Table!" &amp; $AQ$85 &amp; $AN23),0))))/1024)</f>
        <v>113.13633984374999</v>
      </c>
      <c r="O23" s="595">
        <f ca="1">IF(ISERROR(MATCH(O$1,INDIRECT("Table!A"&amp;$AN23):INDIRECT("Table!" &amp; $AQ$85 &amp; $AN23),0)),"",INDIRECT(CONCATENATE("Table!",ADDRESS($AJ23,MATCH(O$1,INDIRECT("Table!A" &amp; $AN23):INDIRECT("Table!" &amp; $AQ$85 &amp; $AN23),0))))/1024)</f>
        <v>164.86427636718747</v>
      </c>
      <c r="P23" s="595">
        <f ca="1">IF(ISERROR(MATCH(P$1,INDIRECT("Table!A"&amp;$AN23):INDIRECT("Table!" &amp; $AQ$85 &amp; $AN23),0)),"",INDIRECT(CONCATENATE("Table!",ADDRESS($AJ23,MATCH(P$1,INDIRECT("Table!A" &amp; $AN23):INDIRECT("Table!" &amp; $AQ$85 &amp; $AN23),0))))/1024)</f>
        <v>60.190113281249999</v>
      </c>
      <c r="Q23" s="595">
        <f ca="1">IF(ISERROR(MATCH(Q$1,INDIRECT("Table!A"&amp;$AN23):INDIRECT("Table!" &amp; $AQ$85 &amp; $AN23),0)),"",INDIRECT(CONCATENATE("Table!",ADDRESS($AJ23,MATCH(Q$1,INDIRECT("Table!A" &amp; $AN23):INDIRECT("Table!" &amp; $AQ$85 &amp; $AN23),0))))/1024)</f>
        <v>153.8667392578125</v>
      </c>
      <c r="R23" s="595">
        <f ca="1">IF(ISERROR(MATCH(R$1,INDIRECT("Table!A"&amp;$AN23):INDIRECT("Table!" &amp; $AQ$85 &amp; $AN23),0)),"",INDIRECT(CONCATENATE("Table!",ADDRESS($AJ23,MATCH(R$1,INDIRECT("Table!A" &amp; $AN23):INDIRECT("Table!" &amp; $AQ$85 &amp; $AN23),0))))/1024)</f>
        <v>332.85659472656249</v>
      </c>
      <c r="S23" s="595">
        <v>0</v>
      </c>
      <c r="T23" s="595">
        <f ca="1">IF(ISERROR(MATCH(T$1,INDIRECT("Table!A"&amp;$AN23):INDIRECT("Table!" &amp; $AQ$85 &amp; $AN23),0)),"",INDIRECT(CONCATENATE("Table!",ADDRESS($AJ23,MATCH(T$1,INDIRECT("Table!A" &amp; $AN23):INDIRECT("Table!" &amp; $AQ$85 &amp; $AN23),0))))/1024)</f>
        <v>39.413329101562496</v>
      </c>
      <c r="U23" s="595">
        <f ca="1">IF(ISERROR(MATCH(U$1,INDIRECT("Table!A"&amp;$AN23):INDIRECT("Table!" &amp; $AQ$85 &amp; $AN23),0)),"",INDIRECT(CONCATENATE("Table!",ADDRESS($AJ23,MATCH(U$1,INDIRECT("Table!A" &amp; $AN23):INDIRECT("Table!" &amp; $AQ$85 &amp; $AN23),0))))/1024)</f>
        <v>61.177916015624994</v>
      </c>
      <c r="V23" s="595">
        <f ca="1">IF(ISERROR(MATCH(V$1,INDIRECT("Table!A"&amp;$AN23):INDIRECT("Table!" &amp; $AQ$85 &amp; $AN23),0)),"",INDIRECT(CONCATENATE("Table!",ADDRESS($AJ23,MATCH(V$1,INDIRECT("Table!A" &amp; $AN23):INDIRECT("Table!" &amp; $AQ$85 &amp; $AN23),0))))/1024)</f>
        <v>81.987626953125002</v>
      </c>
      <c r="W23" s="595">
        <f ca="1">IF(ISERROR(MATCH(W$1,INDIRECT("Table!A"&amp;$AN23):INDIRECT("Table!" &amp; $AQ$85 &amp; $AN23),0)),"",INDIRECT(CONCATENATE("Table!",ADDRESS($AJ23,MATCH(W$1,INDIRECT("Table!A" &amp; $AN23):INDIRECT("Table!" &amp; $AQ$85 &amp; $AN23),0))))/1024)</f>
        <v>39.380402343749999</v>
      </c>
      <c r="X23" s="595">
        <f ca="1">IF(ISERROR(MATCH(X$1,INDIRECT("Table!A"&amp;$AN23):INDIRECT("Table!" &amp; $AQ$85 &amp; $AN23),0)),"",INDIRECT(CONCATENATE("Table!",ADDRESS($AJ23,MATCH(X$1,INDIRECT("Table!A" &amp; $AN23):INDIRECT("Table!" &amp; $AQ$85 &amp; $AN23),0))))/1024)</f>
        <v>49.521843749999995</v>
      </c>
      <c r="Y23" s="595">
        <f ca="1">IF(ISERROR(MATCH(Y$1,INDIRECT("Table!A"&amp;$AN23):INDIRECT("Table!" &amp; $AQ$85 &amp; $AN23),0)),"",INDIRECT(CONCATENATE("Table!",ADDRESS($AJ23,MATCH(Y$1,INDIRECT("Table!A" &amp; $AN23):INDIRECT("Table!" &amp; $AQ$85 &amp; $AN23),0))))/1024)</f>
        <v>18.471911132812501</v>
      </c>
      <c r="Z23" s="595">
        <f ca="1">IF(ISERROR(MATCH(Z$1,INDIRECT("Table!A"&amp;$AN23):INDIRECT("Table!" &amp; $AQ$85 &amp; $AN23),0)),"",INDIRECT(CONCATENATE("Table!",ADDRESS($AJ23,MATCH(Z$1,INDIRECT("Table!A" &amp; $AN23):INDIRECT("Table!" &amp; $AQ$85 &amp; $AN23),0))))/1024)</f>
        <v>36.647481445312501</v>
      </c>
      <c r="AA23" s="595">
        <f ca="1">IF(ISERROR(MATCH(AA$1,INDIRECT("Table!A"&amp;$AN23):INDIRECT("Table!" &amp; $AQ$85 &amp; $AN23),0)),"",INDIRECT(CONCATENATE("Table!",ADDRESS($AJ23,MATCH(AA$1,INDIRECT("Table!A" &amp; $AN23):INDIRECT("Table!" &amp; $AQ$85 &amp; $AN23),0))))/1024)</f>
        <v>102.36929003906249</v>
      </c>
      <c r="AB23" s="595">
        <f ca="1">IF(ISERROR(MATCH(AB$1,INDIRECT("Table!A"&amp;$AN23):INDIRECT("Table!" &amp; $AQ$85 &amp; $AN23),0)),"",INDIRECT(CONCATENATE("Table!",ADDRESS($AJ23,MATCH(AB$1,INDIRECT("Table!A" &amp; $AN23):INDIRECT("Table!" &amp; $AQ$85 &amp; $AN23),0))))/1024)</f>
        <v>0</v>
      </c>
      <c r="AC23" s="595">
        <f ca="1">IF(ISERROR(MATCH(AC$1,INDIRECT("Table!A"&amp;$AN23):INDIRECT("Table!" &amp; $AQ$85 &amp; $AN23),0)),"",INDIRECT(CONCATENATE("Table!",ADDRESS($AJ23,MATCH(AC$1,INDIRECT("Table!A" &amp; $AN23):INDIRECT("Table!" &amp; $AQ$85 &amp; $AN23),0))))/1024)</f>
        <v>22.719462890625</v>
      </c>
      <c r="AD23" s="595">
        <f ca="1">IF(ISERROR(MATCH(AD$1,INDIRECT("Table!A"&amp;$AN23):INDIRECT("Table!" &amp; $AQ$85 &amp; $AN23),0)),"",INDIRECT(CONCATENATE("Table!",ADDRESS($AJ23,MATCH(AD$1,INDIRECT("Table!A" &amp; $AN23):INDIRECT("Table!" &amp; $AQ$85 &amp; $AN23),0))))/1024)</f>
        <v>4.9719404296874998</v>
      </c>
      <c r="AE23" s="595">
        <f ca="1">IF(ISERROR(MATCH(AE$1,INDIRECT("Table!A"&amp;$AN23):INDIRECT("Table!" &amp; $AQ$85 &amp; $AN23),0)),"",INDIRECT(CONCATENATE("Table!",ADDRESS($AJ23,MATCH(AE$1,INDIRECT("Table!A" &amp; $AN23):INDIRECT("Table!" &amp; $AQ$85 &amp; $AN23),0))))/1024)</f>
        <v>2.2060927734374998</v>
      </c>
      <c r="AF23" s="595">
        <f ca="1">IF(ISERROR(MATCH(AF$1,INDIRECT("Table!A"&amp;$AN23):INDIRECT("Table!" &amp; $AQ$85 &amp; $AN23),0)),"",INDIRECT(CONCATENATE("Table!",ADDRESS($AJ23,MATCH(AF$1,INDIRECT("Table!A" &amp; $AN23):INDIRECT("Table!" &amp; $AQ$85 &amp; $AN23),0))))/1024)</f>
        <v>2.2060927734374998</v>
      </c>
      <c r="AG23" s="595">
        <f ca="1">IF(ISERROR(MATCH(AG$1,INDIRECT("Table!A"&amp;$AN23):INDIRECT("Table!" &amp; $AQ$85 &amp; $AN23),0)),"",INDIRECT(CONCATENATE("Table!",ADDRESS($AJ23,MATCH(AG$1,INDIRECT("Table!A" &amp; $AN23):INDIRECT("Table!" &amp; $AQ$85 &amp; $AN23),0))))/1024)</f>
        <v>0</v>
      </c>
      <c r="AH23" s="595">
        <f ca="1">IF(ISERROR(MATCH(AH$1,INDIRECT("Table!A"&amp;$AN23):INDIRECT("Table!" &amp; $AQ$85 &amp; $AN23),0)),"",INDIRECT(CONCATENATE("Table!",ADDRESS($AJ23,MATCH(AH$1,INDIRECT("Table!A" &amp; $AN23):INDIRECT("Table!" &amp; $AQ$85 &amp; $AN23),0))))/1024)</f>
        <v>0</v>
      </c>
      <c r="AI23" s="595"/>
      <c r="AJ23" s="595">
        <f>MATCH($A23,Table!$A:$A,0)+$AL$2-1</f>
        <v>305</v>
      </c>
      <c r="AK23" s="964"/>
      <c r="AL23" s="964"/>
      <c r="AM23" s="964"/>
      <c r="AN23" s="595">
        <f>MATCH($A23,Table!$A:$A,0)+$AP$2-1</f>
        <v>297</v>
      </c>
      <c r="AO23" s="964"/>
      <c r="AP23" s="964"/>
      <c r="AQ23" s="973" t="s">
        <v>302</v>
      </c>
      <c r="AR23" s="699">
        <f t="shared" ca="1" si="13"/>
        <v>3672.4200791015628</v>
      </c>
      <c r="AS23" s="699">
        <f ca="1">AR23-AR43</f>
        <v>545.92564453125033</v>
      </c>
      <c r="AT23" s="699">
        <f t="shared" ca="1" si="14"/>
        <v>501.8828567382813</v>
      </c>
    </row>
    <row r="24" spans="1:46" s="947" customFormat="1" x14ac:dyDescent="0.25">
      <c r="A24" s="592">
        <v>41829</v>
      </c>
      <c r="B24" s="595">
        <f ca="1">IF(ISERROR(MATCH(B$1,INDIRECT("Table!A"&amp;$AN24):INDIRECT("Table!" &amp; $AQ$108 &amp; $AN24),0)),"",INDIRECT(CONCATENATE("Table!",ADDRESS($AJ24,MATCH(B$1,INDIRECT("Table!A" &amp; $AN24):INDIRECT("Table!" &amp; $AQ$108 &amp; $AN24),0))))/1024)</f>
        <v>174.34718261718749</v>
      </c>
      <c r="C24" s="595">
        <f ca="1">IF(ISERROR(MATCH(C$1,INDIRECT("Table!A"&amp;$AN24):INDIRECT("Table!" &amp; $AQ$108 &amp; $AN24),0)),"",INDIRECT(CONCATENATE("Table!",ADDRESS($AJ24,MATCH(C$1,INDIRECT("Table!A" &amp; $AN24):INDIRECT("Table!" &amp; $AQ$108 &amp; $AN24),0))))/1024)</f>
        <v>98.286372070312495</v>
      </c>
      <c r="D24" s="595">
        <f ca="1">IF(ISERROR(MATCH(D$1,INDIRECT("Table!A"&amp;$AN24):INDIRECT("Table!" &amp; $AQ$108 &amp; $AN24),0)),"",INDIRECT(CONCATENATE("Table!",ADDRESS($AJ24,MATCH(D$1,INDIRECT("Table!A" &amp; $AN24):INDIRECT("Table!" &amp; $AQ$108 &amp; $AN24),0))))/1024)</f>
        <v>99.076614257812494</v>
      </c>
      <c r="E24" s="595">
        <f ca="1">IF(ISERROR(MATCH(E$1,INDIRECT("Table!A"&amp;$AN24):INDIRECT("Table!" &amp; $AQ$108 &amp; $AN24),0)),"",INDIRECT(CONCATENATE("Table!",ADDRESS($AJ24,MATCH(E$1,INDIRECT("Table!A" &amp; $AN24):INDIRECT("Table!" &amp; $AQ$108 &amp; $AN24),0))))/1024)</f>
        <v>224.5275615234375</v>
      </c>
      <c r="F24" s="595">
        <f ca="1">IF(ISERROR(MATCH(F$1,INDIRECT("Table!A"&amp;$AN24):INDIRECT("Table!" &amp; $AQ$108 &amp; $AN24),0)),"",INDIRECT(CONCATENATE("Table!",ADDRESS($AJ24,MATCH(F$1,INDIRECT("Table!A" &amp; $AN24):INDIRECT("Table!" &amp; $AQ$108 &amp; $AN24),0))))/1024)</f>
        <v>110.83146679687499</v>
      </c>
      <c r="G24" s="595">
        <f ca="1">IF(ISERROR(MATCH(G$1,INDIRECT("Table!A"&amp;$AN24):INDIRECT("Table!" &amp; $AQ$108 &amp; $AN24),0)),"",INDIRECT(CONCATENATE("Table!",ADDRESS($AJ24,MATCH(G$1,INDIRECT("Table!A" &amp; $AN24):INDIRECT("Table!" &amp; $AQ$108 &amp; $AN24),0))))/1024)</f>
        <v>448.46244140624998</v>
      </c>
      <c r="H24" s="595">
        <f ca="1">IF(ISERROR(MATCH(H$1,INDIRECT("Table!A"&amp;$AN24):INDIRECT("Table!" &amp; $AQ$108 &amp; $AN24),0)),"",INDIRECT(CONCATENATE("Table!",ADDRESS($AJ24,MATCH(H$1,INDIRECT("Table!A" &amp; $AN24):INDIRECT("Table!" &amp; $AQ$108 &amp; $AN24),0))))/1024)</f>
        <v>228.80804003906249</v>
      </c>
      <c r="I24" s="595">
        <f ca="1">IF(ISERROR(MATCH(I$1,INDIRECT("Table!A"&amp;$AN24):INDIRECT("Table!" &amp; $AQ$85 &amp; $AN24),0)),"",INDIRECT(CONCATENATE("Table!",ADDRESS($AJ24,MATCH(I$1,INDIRECT("Table!A" &amp; $AN24):INDIRECT("Table!" &amp; $AQ$85 &amp; $AN24),0))))/1024)</f>
        <v>45.405999023437495</v>
      </c>
      <c r="J24" s="595">
        <f ca="1">IF(ISERROR(MATCH(J$1,INDIRECT("Table!A"&amp;$AN24):INDIRECT("Table!" &amp; $AQ$85 &amp; $AN24),0)),"",INDIRECT(CONCATENATE("Table!",ADDRESS($AJ24,MATCH(J$1,INDIRECT("Table!A" &amp; $AN24):INDIRECT("Table!" &amp; $AQ$85 &amp; $AN24),0))))/1024)</f>
        <v>199.20688476562501</v>
      </c>
      <c r="K24" s="595">
        <f ca="1">IF(ISERROR(MATCH(K$1,INDIRECT("Table!A"&amp;$AN24):INDIRECT("Table!" &amp; $AQ$85 &amp; $AN24),0)),"",INDIRECT(CONCATENATE("Table!",ADDRESS($AJ24,MATCH(K$1,INDIRECT("Table!A" &amp; $AN24):INDIRECT("Table!" &amp; $AQ$85 &amp; $AN24),0))))/1024)</f>
        <v>224.46170800781249</v>
      </c>
      <c r="L24" s="595">
        <f ca="1">IF(ISERROR(MATCH(L$1,INDIRECT("Table!A"&amp;$AN24):INDIRECT("Table!" &amp; $AQ$85 &amp; $AN24),0)),"",INDIRECT(CONCATENATE("Table!",ADDRESS($AJ24,MATCH(L$1,INDIRECT("Table!A" &amp; $AN24):INDIRECT("Table!" &amp; $AQ$85 &amp; $AN24),0))))/1024)</f>
        <v>209.08491210937498</v>
      </c>
      <c r="M24" s="595">
        <f ca="1">IF(ISERROR(MATCH(M$1,INDIRECT("Table!A"&amp;$AN24):INDIRECT("Table!" &amp; $AQ$85 &amp; $AN24),0)),"",INDIRECT(CONCATENATE("Table!",ADDRESS($AJ24,MATCH(M$1,INDIRECT("Table!A" &amp; $AN24):INDIRECT("Table!" &amp; $AQ$85 &amp; $AN24),0))))/1024)</f>
        <v>357.97971093749999</v>
      </c>
      <c r="N24" s="595">
        <f ca="1">IF(ISERROR(MATCH(N$1,INDIRECT("Table!A"&amp;$AN24):INDIRECT("Table!" &amp; $AQ$85 &amp; $AN24),0)),"",INDIRECT(CONCATENATE("Table!",ADDRESS($AJ24,MATCH(N$1,INDIRECT("Table!A" &amp; $AN24):INDIRECT("Table!" &amp; $AQ$85 &amp; $AN24),0))))/1024)</f>
        <v>113.13633984374999</v>
      </c>
      <c r="O24" s="595">
        <f ca="1">IF(ISERROR(MATCH(O$1,INDIRECT("Table!A"&amp;$AN24):INDIRECT("Table!" &amp; $AQ$85 &amp; $AN24),0)),"",INDIRECT(CONCATENATE("Table!",ADDRESS($AJ24,MATCH(O$1,INDIRECT("Table!A" &amp; $AN24):INDIRECT("Table!" &amp; $AQ$85 &amp; $AN24),0))))/1024)</f>
        <v>169.2106083984375</v>
      </c>
      <c r="P24" s="595">
        <f ca="1">IF(ISERROR(MATCH(P$1,INDIRECT("Table!A"&amp;$AN24):INDIRECT("Table!" &amp; $AQ$85 &amp; $AN24),0)),"",INDIRECT(CONCATENATE("Table!",ADDRESS($AJ24,MATCH(P$1,INDIRECT("Table!A" &amp; $AN24):INDIRECT("Table!" &amp; $AQ$85 &amp; $AN24),0))))/1024)</f>
        <v>60.157186523437495</v>
      </c>
      <c r="Q24" s="595">
        <f ca="1">IF(ISERROR(MATCH(Q$1,INDIRECT("Table!A"&amp;$AN24):INDIRECT("Table!" &amp; $AQ$85 &amp; $AN24),0)),"",INDIRECT(CONCATENATE("Table!",ADDRESS($AJ24,MATCH(Q$1,INDIRECT("Table!A" &amp; $AN24):INDIRECT("Table!" &amp; $AQ$85 &amp; $AN24),0))))/1024)</f>
        <v>153.73503222656248</v>
      </c>
      <c r="R24" s="595">
        <f ca="1">IF(ISERROR(MATCH(R$1,INDIRECT("Table!A"&amp;$AN24):INDIRECT("Table!" &amp; $AQ$85 &amp; $AN24),0)),"",INDIRECT(CONCATENATE("Table!",ADDRESS($AJ24,MATCH(R$1,INDIRECT("Table!A" &amp; $AN24):INDIRECT("Table!" &amp; $AQ$85 &amp; $AN24),0))))/1024)</f>
        <v>332.75781445312498</v>
      </c>
      <c r="S24" s="595">
        <v>0</v>
      </c>
      <c r="T24" s="595">
        <f ca="1">IF(ISERROR(MATCH(T$1,INDIRECT("Table!A"&amp;$AN24):INDIRECT("Table!" &amp; $AQ$85 &amp; $AN24),0)),"",INDIRECT(CONCATENATE("Table!",ADDRESS($AJ24,MATCH(T$1,INDIRECT("Table!A" &amp; $AN24):INDIRECT("Table!" &amp; $AQ$85 &amp; $AN24),0))))/1024)</f>
        <v>36.318213867187495</v>
      </c>
      <c r="U24" s="595">
        <f ca="1">IF(ISERROR(MATCH(U$1,INDIRECT("Table!A"&amp;$AN24):INDIRECT("Table!" &amp; $AQ$85 &amp; $AN24),0)),"",INDIRECT(CONCATENATE("Table!",ADDRESS($AJ24,MATCH(U$1,INDIRECT("Table!A" &amp; $AN24):INDIRECT("Table!" &amp; $AQ$85 &amp; $AN24),0))))/1024)</f>
        <v>61.177916015624994</v>
      </c>
      <c r="V24" s="595">
        <f ca="1">IF(ISERROR(MATCH(V$1,INDIRECT("Table!A"&amp;$AN24):INDIRECT("Table!" &amp; $AQ$85 &amp; $AN24),0)),"",INDIRECT(CONCATENATE("Table!",ADDRESS($AJ24,MATCH(V$1,INDIRECT("Table!A" &amp; $AN24):INDIRECT("Table!" &amp; $AQ$85 &amp; $AN24),0))))/1024)</f>
        <v>81.987626953125002</v>
      </c>
      <c r="W24" s="595">
        <f ca="1">IF(ISERROR(MATCH(W$1,INDIRECT("Table!A"&amp;$AN24):INDIRECT("Table!" &amp; $AQ$85 &amp; $AN24),0)),"",INDIRECT(CONCATENATE("Table!",ADDRESS($AJ24,MATCH(W$1,INDIRECT("Table!A" &amp; $AN24):INDIRECT("Table!" &amp; $AQ$85 &amp; $AN24),0))))/1024)</f>
        <v>37.832844726562499</v>
      </c>
      <c r="X24" s="595">
        <f ca="1">IF(ISERROR(MATCH(X$1,INDIRECT("Table!A"&amp;$AN24):INDIRECT("Table!" &amp; $AQ$85 &amp; $AN24),0)),"",INDIRECT(CONCATENATE("Table!",ADDRESS($AJ24,MATCH(X$1,INDIRECT("Table!A" &amp; $AN24):INDIRECT("Table!" &amp; $AQ$85 &amp; $AN24),0))))/1024)</f>
        <v>46.9864833984375</v>
      </c>
      <c r="Y24" s="595">
        <f ca="1">IF(ISERROR(MATCH(Y$1,INDIRECT("Table!A"&amp;$AN24):INDIRECT("Table!" &amp; $AQ$85 &amp; $AN24),0)),"",INDIRECT(CONCATENATE("Table!",ADDRESS($AJ24,MATCH(Y$1,INDIRECT("Table!A" &amp; $AN24):INDIRECT("Table!" &amp; $AQ$85 &amp; $AN24),0))))/1024)</f>
        <v>18.471911132812501</v>
      </c>
      <c r="Z24" s="595">
        <f ca="1">IF(ISERROR(MATCH(Z$1,INDIRECT("Table!A"&amp;$AN24):INDIRECT("Table!" &amp; $AQ$85 &amp; $AN24),0)),"",INDIRECT(CONCATENATE("Table!",ADDRESS($AJ24,MATCH(Z$1,INDIRECT("Table!A" &amp; $AN24):INDIRECT("Table!" &amp; $AQ$85 &amp; $AN24),0))))/1024)</f>
        <v>36.647481445312501</v>
      </c>
      <c r="AA24" s="595">
        <f ca="1">IF(ISERROR(MATCH(AA$1,INDIRECT("Table!A"&amp;$AN24):INDIRECT("Table!" &amp; $AQ$85 &amp; $AN24),0)),"",INDIRECT(CONCATENATE("Table!",ADDRESS($AJ24,MATCH(AA$1,INDIRECT("Table!A" &amp; $AN24):INDIRECT("Table!" &amp; $AQ$85 &amp; $AN24),0))))/1024)</f>
        <v>75.171788085937493</v>
      </c>
      <c r="AB24" s="595">
        <f ca="1">IF(ISERROR(MATCH(AB$1,INDIRECT("Table!A"&amp;$AN24):INDIRECT("Table!" &amp; $AQ$85 &amp; $AN24),0)),"",INDIRECT(CONCATENATE("Table!",ADDRESS($AJ24,MATCH(AB$1,INDIRECT("Table!A" &amp; $AN24):INDIRECT("Table!" &amp; $AQ$85 &amp; $AN24),0))))/1024)</f>
        <v>0</v>
      </c>
      <c r="AC24" s="595">
        <f ca="1">IF(ISERROR(MATCH(AC$1,INDIRECT("Table!A"&amp;$AN24):INDIRECT("Table!" &amp; $AQ$85 &amp; $AN24),0)),"",INDIRECT(CONCATENATE("Table!",ADDRESS($AJ24,MATCH(AC$1,INDIRECT("Table!A" &amp; $AN24):INDIRECT("Table!" &amp; $AQ$85 &amp; $AN24),0))))/1024)</f>
        <v>15.771916992187499</v>
      </c>
      <c r="AD24" s="595">
        <f ca="1">IF(ISERROR(MATCH(AD$1,INDIRECT("Table!A"&amp;$AN24):INDIRECT("Table!" &amp; $AQ$85 &amp; $AN24),0)),"",INDIRECT(CONCATENATE("Table!",ADDRESS($AJ24,MATCH(AD$1,INDIRECT("Table!A" &amp; $AN24):INDIRECT("Table!" &amp; $AQ$85 &amp; $AN24),0))))/1024)</f>
        <v>0.26341406249999999</v>
      </c>
      <c r="AE24" s="595">
        <f ca="1">IF(ISERROR(MATCH(AE$1,INDIRECT("Table!A"&amp;$AN24):INDIRECT("Table!" &amp; $AQ$85 &amp; $AN24),0)),"",INDIRECT(CONCATENATE("Table!",ADDRESS($AJ24,MATCH(AE$1,INDIRECT("Table!A" &amp; $AN24):INDIRECT("Table!" &amp; $AQ$85 &amp; $AN24),0))))/1024)</f>
        <v>0.79024218749999997</v>
      </c>
      <c r="AF24" s="595">
        <f ca="1">IF(ISERROR(MATCH(AF$1,INDIRECT("Table!A"&amp;$AN24):INDIRECT("Table!" &amp; $AQ$85 &amp; $AN24),0)),"",INDIRECT(CONCATENATE("Table!",ADDRESS($AJ24,MATCH(AF$1,INDIRECT("Table!A" &amp; $AN24):INDIRECT("Table!" &amp; $AQ$85 &amp; $AN24),0))))/1024)</f>
        <v>0.79024218749999997</v>
      </c>
      <c r="AG24" s="595">
        <f ca="1">IF(ISERROR(MATCH(AG$1,INDIRECT("Table!A"&amp;$AN24):INDIRECT("Table!" &amp; $AQ$85 &amp; $AN24),0)),"",INDIRECT(CONCATENATE("Table!",ADDRESS($AJ24,MATCH(AG$1,INDIRECT("Table!A" &amp; $AN24):INDIRECT("Table!" &amp; $AQ$85 &amp; $AN24),0))))/1024)</f>
        <v>0</v>
      </c>
      <c r="AH24" s="595">
        <f ca="1">IF(ISERROR(MATCH(AH$1,INDIRECT("Table!A"&amp;$AN24):INDIRECT("Table!" &amp; $AQ$85 &amp; $AN24),0)),"",INDIRECT(CONCATENATE("Table!",ADDRESS($AJ24,MATCH(AH$1,INDIRECT("Table!A" &amp; $AN24):INDIRECT("Table!" &amp; $AQ$85 &amp; $AN24),0))))/1024)</f>
        <v>0</v>
      </c>
      <c r="AI24" s="595"/>
      <c r="AJ24" s="595">
        <f>MATCH($A24,Table!$A:$A,0)+$AL$2-1</f>
        <v>319</v>
      </c>
      <c r="AK24" s="961"/>
      <c r="AL24" s="961"/>
      <c r="AM24" s="961"/>
      <c r="AN24" s="595">
        <f>MATCH($A24,Table!$A:$A,0)+$AP$2-1</f>
        <v>311</v>
      </c>
      <c r="AO24" s="961"/>
      <c r="AP24" s="961"/>
      <c r="AQ24" s="973" t="s">
        <v>302</v>
      </c>
      <c r="AR24" s="699">
        <f t="shared" ca="1" si="13"/>
        <v>3661.6859560546882</v>
      </c>
      <c r="AS24" s="699">
        <f ca="1">AR24-AR43</f>
        <v>535.1915214843757</v>
      </c>
      <c r="AT24" s="699">
        <f t="shared" ca="1" si="14"/>
        <v>466.82903037109389</v>
      </c>
    </row>
    <row r="25" spans="1:46" s="947" customFormat="1" x14ac:dyDescent="0.25">
      <c r="A25" s="592">
        <v>41822</v>
      </c>
      <c r="B25" s="595">
        <f ca="1">IF(ISERROR(MATCH(B$1,INDIRECT("Table!A"&amp;$AN25):INDIRECT("Table!" &amp; $AQ$108 &amp; $AN25),0)),"",INDIRECT(CONCATENATE("Table!",ADDRESS($AJ25,MATCH(B$1,INDIRECT("Table!A" &amp; $AN25):INDIRECT("Table!" &amp; $AQ$108 &amp; $AN25),0))))/1024)</f>
        <v>174.34718261718749</v>
      </c>
      <c r="C25" s="595">
        <f ca="1">IF(ISERROR(MATCH(C$1,INDIRECT("Table!A"&amp;$AN25):INDIRECT("Table!" &amp; $AQ$108 &amp; $AN25),0)),"",INDIRECT(CONCATENATE("Table!",ADDRESS($AJ25,MATCH(C$1,INDIRECT("Table!A" &amp; $AN25):INDIRECT("Table!" &amp; $AQ$108 &amp; $AN25),0))))/1024)</f>
        <v>98.286372070312495</v>
      </c>
      <c r="D25" s="595">
        <f ca="1">IF(ISERROR(MATCH(D$1,INDIRECT("Table!A"&amp;$AN25):INDIRECT("Table!" &amp; $AQ$108 &amp; $AN25),0)),"",INDIRECT(CONCATENATE("Table!",ADDRESS($AJ25,MATCH(D$1,INDIRECT("Table!A" &amp; $AN25):INDIRECT("Table!" &amp; $AQ$108 &amp; $AN25),0))))/1024)</f>
        <v>99.076614257812494</v>
      </c>
      <c r="E25" s="595">
        <f ca="1">IF(ISERROR(MATCH(E$1,INDIRECT("Table!A"&amp;$AN25):INDIRECT("Table!" &amp; $AQ$108 &amp; $AN25),0)),"",INDIRECT(CONCATENATE("Table!",ADDRESS($AJ25,MATCH(E$1,INDIRECT("Table!A" &amp; $AN25):INDIRECT("Table!" &amp; $AQ$108 &amp; $AN25),0))))/1024)</f>
        <v>224.5275615234375</v>
      </c>
      <c r="F25" s="595">
        <f ca="1">IF(ISERROR(MATCH(F$1,INDIRECT("Table!A"&amp;$AN25):INDIRECT("Table!" &amp; $AQ$108 &amp; $AN25),0)),"",INDIRECT(CONCATENATE("Table!",ADDRESS($AJ25,MATCH(F$1,INDIRECT("Table!A" &amp; $AN25):INDIRECT("Table!" &amp; $AQ$108 &amp; $AN25),0))))/1024)</f>
        <v>110.83146679687499</v>
      </c>
      <c r="G25" s="595">
        <f ca="1">IF(ISERROR(MATCH(G$1,INDIRECT("Table!A"&amp;$AN25):INDIRECT("Table!" &amp; $AQ$108 &amp; $AN25),0)),"",INDIRECT(CONCATENATE("Table!",ADDRESS($AJ25,MATCH(G$1,INDIRECT("Table!A" &amp; $AN25):INDIRECT("Table!" &amp; $AQ$108 &amp; $AN25),0))))/1024)</f>
        <v>448.46244140624998</v>
      </c>
      <c r="H25" s="595">
        <f ca="1">IF(ISERROR(MATCH(H$1,INDIRECT("Table!A"&amp;$AN25):INDIRECT("Table!" &amp; $AQ$108 &amp; $AN25),0)),"",INDIRECT(CONCATENATE("Table!",ADDRESS($AJ25,MATCH(H$1,INDIRECT("Table!A" &amp; $AN25):INDIRECT("Table!" &amp; $AQ$108 &amp; $AN25),0))))/1024)</f>
        <v>228.80804003906249</v>
      </c>
      <c r="I25" s="595">
        <f ca="1">IF(ISERROR(MATCH(I$1,INDIRECT("Table!A"&amp;$AN25):INDIRECT("Table!" &amp; $AQ$85 &amp; $AN25),0)),"",INDIRECT(CONCATENATE("Table!",ADDRESS($AJ25,MATCH(I$1,INDIRECT("Table!A" &amp; $AN25):INDIRECT("Table!" &amp; $AQ$85 &amp; $AN25),0))))/1024)</f>
        <v>45.405999023437495</v>
      </c>
      <c r="J25" s="595">
        <f ca="1">IF(ISERROR(MATCH(J$1,INDIRECT("Table!A"&amp;$AN25):INDIRECT("Table!" &amp; $AQ$85 &amp; $AN25),0)),"",INDIRECT(CONCATENATE("Table!",ADDRESS($AJ25,MATCH(J$1,INDIRECT("Table!A" &amp; $AN25):INDIRECT("Table!" &amp; $AQ$85 &amp; $AN25),0))))/1024)</f>
        <v>199.20688476562501</v>
      </c>
      <c r="K25" s="595">
        <f ca="1">IF(ISERROR(MATCH(K$1,INDIRECT("Table!A"&amp;$AN25):INDIRECT("Table!" &amp; $AQ$85 &amp; $AN25),0)),"",INDIRECT(CONCATENATE("Table!",ADDRESS($AJ25,MATCH(K$1,INDIRECT("Table!A" &amp; $AN25):INDIRECT("Table!" &amp; $AQ$85 &amp; $AN25),0))))/1024)</f>
        <v>224.46170800781249</v>
      </c>
      <c r="L25" s="595">
        <f ca="1">IF(ISERROR(MATCH(L$1,INDIRECT("Table!A"&amp;$AN25):INDIRECT("Table!" &amp; $AQ$85 &amp; $AN25),0)),"",INDIRECT(CONCATENATE("Table!",ADDRESS($AJ25,MATCH(L$1,INDIRECT("Table!A" &amp; $AN25):INDIRECT("Table!" &amp; $AQ$85 &amp; $AN25),0))))/1024)</f>
        <v>209.08491210937498</v>
      </c>
      <c r="M25" s="595">
        <f ca="1">IF(ISERROR(MATCH(M$1,INDIRECT("Table!A"&amp;$AN25):INDIRECT("Table!" &amp; $AQ$85 &amp; $AN25),0)),"",INDIRECT(CONCATENATE("Table!",ADDRESS($AJ25,MATCH(M$1,INDIRECT("Table!A" &amp; $AN25):INDIRECT("Table!" &amp; $AQ$85 &amp; $AN25),0))))/1024)</f>
        <v>357.97971093749999</v>
      </c>
      <c r="N25" s="595">
        <f ca="1">IF(ISERROR(MATCH(N$1,INDIRECT("Table!A"&amp;$AN25):INDIRECT("Table!" &amp; $AQ$85 &amp; $AN25),0)),"",INDIRECT(CONCATENATE("Table!",ADDRESS($AJ25,MATCH(N$1,INDIRECT("Table!A" &amp; $AN25):INDIRECT("Table!" &amp; $AQ$85 &amp; $AN25),0))))/1024)</f>
        <v>113.13633984374999</v>
      </c>
      <c r="O25" s="595">
        <f ca="1">IF(ISERROR(MATCH(O$1,INDIRECT("Table!A"&amp;$AN25):INDIRECT("Table!" &amp; $AQ$85 &amp; $AN25),0)),"",INDIRECT(CONCATENATE("Table!",ADDRESS($AJ25,MATCH(O$1,INDIRECT("Table!A" &amp; $AN25):INDIRECT("Table!" &amp; $AQ$85 &amp; $AN25),0))))/1024)</f>
        <v>169.2106083984375</v>
      </c>
      <c r="P25" s="595">
        <f ca="1">IF(ISERROR(MATCH(P$1,INDIRECT("Table!A"&amp;$AN25):INDIRECT("Table!" &amp; $AQ$85 &amp; $AN25),0)),"",INDIRECT(CONCATENATE("Table!",ADDRESS($AJ25,MATCH(P$1,INDIRECT("Table!A" &amp; $AN25):INDIRECT("Table!" &amp; $AQ$85 &amp; $AN25),0))))/1024)</f>
        <v>60.157186523437495</v>
      </c>
      <c r="Q25" s="595">
        <f ca="1">IF(ISERROR(MATCH(Q$1,INDIRECT("Table!A"&amp;$AN25):INDIRECT("Table!" &amp; $AQ$85 &amp; $AN25),0)),"",INDIRECT(CONCATENATE("Table!",ADDRESS($AJ25,MATCH(Q$1,INDIRECT("Table!A" &amp; $AN25):INDIRECT("Table!" &amp; $AQ$85 &amp; $AN25),0))))/1024)</f>
        <v>153.73503222656248</v>
      </c>
      <c r="R25" s="595">
        <f ca="1">IF(ISERROR(MATCH(R$1,INDIRECT("Table!A"&amp;$AN25):INDIRECT("Table!" &amp; $AQ$85 &amp; $AN25),0)),"",INDIRECT(CONCATENATE("Table!",ADDRESS($AJ25,MATCH(R$1,INDIRECT("Table!A" &amp; $AN25):INDIRECT("Table!" &amp; $AQ$85 &amp; $AN25),0))))/1024)</f>
        <v>332.75781445312498</v>
      </c>
      <c r="S25" s="595">
        <v>0</v>
      </c>
      <c r="T25" s="595">
        <f ca="1">IF(ISERROR(MATCH(T$1,INDIRECT("Table!A"&amp;$AN25):INDIRECT("Table!" &amp; $AQ$85 &amp; $AN25),0)),"",INDIRECT(CONCATENATE("Table!",ADDRESS($AJ25,MATCH(T$1,INDIRECT("Table!A" &amp; $AN25):INDIRECT("Table!" &amp; $AQ$85 &amp; $AN25),0))))/1024)</f>
        <v>36.318213867187495</v>
      </c>
      <c r="U25" s="595">
        <f ca="1">IF(ISERROR(MATCH(U$1,INDIRECT("Table!A"&amp;$AN25):INDIRECT("Table!" &amp; $AQ$85 &amp; $AN25),0)),"",INDIRECT(CONCATENATE("Table!",ADDRESS($AJ25,MATCH(U$1,INDIRECT("Table!A" &amp; $AN25):INDIRECT("Table!" &amp; $AQ$85 &amp; $AN25),0))))/1024)</f>
        <v>61.177916015624994</v>
      </c>
      <c r="V25" s="595">
        <f ca="1">IF(ISERROR(MATCH(V$1,INDIRECT("Table!A"&amp;$AN25):INDIRECT("Table!" &amp; $AQ$85 &amp; $AN25),0)),"",INDIRECT(CONCATENATE("Table!",ADDRESS($AJ25,MATCH(V$1,INDIRECT("Table!A" &amp; $AN25):INDIRECT("Table!" &amp; $AQ$85 &amp; $AN25),0))))/1024)</f>
        <v>81.987626953125002</v>
      </c>
      <c r="W25" s="595">
        <f ca="1">IF(ISERROR(MATCH(W$1,INDIRECT("Table!A"&amp;$AN25):INDIRECT("Table!" &amp; $AQ$85 &amp; $AN25),0)),"",INDIRECT(CONCATENATE("Table!",ADDRESS($AJ25,MATCH(W$1,INDIRECT("Table!A" &amp; $AN25):INDIRECT("Table!" &amp; $AQ$85 &amp; $AN25),0))))/1024)</f>
        <v>37.832844726562499</v>
      </c>
      <c r="X25" s="595">
        <f ca="1">IF(ISERROR(MATCH(X$1,INDIRECT("Table!A"&amp;$AN25):INDIRECT("Table!" &amp; $AQ$85 &amp; $AN25),0)),"",INDIRECT(CONCATENATE("Table!",ADDRESS($AJ25,MATCH(X$1,INDIRECT("Table!A" &amp; $AN25):INDIRECT("Table!" &amp; $AQ$85 &amp; $AN25),0))))/1024)</f>
        <v>46.9864833984375</v>
      </c>
      <c r="Y25" s="595">
        <f ca="1">IF(ISERROR(MATCH(Y$1,INDIRECT("Table!A"&amp;$AN25):INDIRECT("Table!" &amp; $AQ$85 &amp; $AN25),0)),"",INDIRECT(CONCATENATE("Table!",ADDRESS($AJ25,MATCH(Y$1,INDIRECT("Table!A" &amp; $AN25):INDIRECT("Table!" &amp; $AQ$85 &amp; $AN25),0))))/1024)</f>
        <v>18.471911132812501</v>
      </c>
      <c r="Z25" s="595">
        <f ca="1">IF(ISERROR(MATCH(Z$1,INDIRECT("Table!A"&amp;$AN25):INDIRECT("Table!" &amp; $AQ$85 &amp; $AN25),0)),"",INDIRECT(CONCATENATE("Table!",ADDRESS($AJ25,MATCH(Z$1,INDIRECT("Table!A" &amp; $AN25):INDIRECT("Table!" &amp; $AQ$85 &amp; $AN25),0))))/1024)</f>
        <v>36.647481445312501</v>
      </c>
      <c r="AA25" s="595">
        <f ca="1">IF(ISERROR(MATCH(AA$1,INDIRECT("Table!A"&amp;$AN25):INDIRECT("Table!" &amp; $AQ$85 &amp; $AN25),0)),"",INDIRECT(CONCATENATE("Table!",ADDRESS($AJ25,MATCH(AA$1,INDIRECT("Table!A" &amp; $AN25):INDIRECT("Table!" &amp; $AQ$85 &amp; $AN25),0))))/1024)</f>
        <v>75.171788085937493</v>
      </c>
      <c r="AB25" s="595">
        <f ca="1">IF(ISERROR(MATCH(AB$1,INDIRECT("Table!A"&amp;$AN25):INDIRECT("Table!" &amp; $AQ$85 &amp; $AN25),0)),"",INDIRECT(CONCATENATE("Table!",ADDRESS($AJ25,MATCH(AB$1,INDIRECT("Table!A" &amp; $AN25):INDIRECT("Table!" &amp; $AQ$85 &amp; $AN25),0))))/1024)</f>
        <v>0</v>
      </c>
      <c r="AC25" s="595">
        <f ca="1">IF(ISERROR(MATCH(AC$1,INDIRECT("Table!A"&amp;$AN25):INDIRECT("Table!" &amp; $AQ$85 &amp; $AN25),0)),"",INDIRECT(CONCATENATE("Table!",ADDRESS($AJ25,MATCH(AC$1,INDIRECT("Table!A" &amp; $AN25):INDIRECT("Table!" &amp; $AQ$85 &amp; $AN25),0))))/1024)</f>
        <v>15.771916992187499</v>
      </c>
      <c r="AD25" s="595">
        <f ca="1">IF(ISERROR(MATCH(AD$1,INDIRECT("Table!A"&amp;$AN25):INDIRECT("Table!" &amp; $AQ$85 &amp; $AN25),0)),"",INDIRECT(CONCATENATE("Table!",ADDRESS($AJ25,MATCH(AD$1,INDIRECT("Table!A" &amp; $AN25):INDIRECT("Table!" &amp; $AQ$85 &amp; $AN25),0))))/1024)</f>
        <v>0.26341406249999999</v>
      </c>
      <c r="AE25" s="595">
        <f ca="1">IF(ISERROR(MATCH(AE$1,INDIRECT("Table!A"&amp;$AN25):INDIRECT("Table!" &amp; $AQ$85 &amp; $AN25),0)),"",INDIRECT(CONCATENATE("Table!",ADDRESS($AJ25,MATCH(AE$1,INDIRECT("Table!A" &amp; $AN25):INDIRECT("Table!" &amp; $AQ$85 &amp; $AN25),0))))/1024)</f>
        <v>0.79024218749999997</v>
      </c>
      <c r="AF25" s="595">
        <f ca="1">IF(ISERROR(MATCH(AF$1,INDIRECT("Table!A"&amp;$AN25):INDIRECT("Table!" &amp; $AQ$85 &amp; $AN25),0)),"",INDIRECT(CONCATENATE("Table!",ADDRESS($AJ25,MATCH(AF$1,INDIRECT("Table!A" &amp; $AN25):INDIRECT("Table!" &amp; $AQ$85 &amp; $AN25),0))))/1024)</f>
        <v>0.79024218749999997</v>
      </c>
      <c r="AG25" s="595">
        <f ca="1">IF(ISERROR(MATCH(AG$1,INDIRECT("Table!A"&amp;$AN25):INDIRECT("Table!" &amp; $AQ$85 &amp; $AN25),0)),"",INDIRECT(CONCATENATE("Table!",ADDRESS($AJ25,MATCH(AG$1,INDIRECT("Table!A" &amp; $AN25):INDIRECT("Table!" &amp; $AQ$85 &amp; $AN25),0))))/1024)</f>
        <v>0</v>
      </c>
      <c r="AH25" s="595">
        <f ca="1">IF(ISERROR(MATCH(AH$1,INDIRECT("Table!A"&amp;$AN25):INDIRECT("Table!" &amp; $AQ$85 &amp; $AN25),0)),"",INDIRECT(CONCATENATE("Table!",ADDRESS($AJ25,MATCH(AH$1,INDIRECT("Table!A" &amp; $AN25):INDIRECT("Table!" &amp; $AQ$85 &amp; $AN25),0))))/1024)</f>
        <v>0</v>
      </c>
      <c r="AI25" s="595"/>
      <c r="AJ25" s="595">
        <f>MATCH($A25,Table!$A:$A,0)+$AL$2-1</f>
        <v>333</v>
      </c>
      <c r="AK25" s="958"/>
      <c r="AL25" s="958"/>
      <c r="AM25" s="958"/>
      <c r="AN25" s="595">
        <f>MATCH($A25,Table!$A:$A,0)+$AP$2-1</f>
        <v>325</v>
      </c>
      <c r="AO25" s="958"/>
      <c r="AP25" s="958"/>
      <c r="AQ25" s="973" t="s">
        <v>302</v>
      </c>
      <c r="AR25" s="699">
        <f t="shared" ca="1" si="13"/>
        <v>3661.6859560546882</v>
      </c>
      <c r="AS25" s="699">
        <f ca="1">AR25-AR43</f>
        <v>535.1915214843757</v>
      </c>
      <c r="AT25" s="699">
        <f t="shared" ca="1" si="14"/>
        <v>427.20826269531256</v>
      </c>
    </row>
    <row r="26" spans="1:46" s="743" customFormat="1" x14ac:dyDescent="0.25">
      <c r="A26" s="592">
        <v>41815</v>
      </c>
      <c r="B26" s="595">
        <f ca="1">IF(ISERROR(MATCH(B$1,INDIRECT("Table!A"&amp;$AN26):INDIRECT("Table!" &amp; $AQ$108 &amp; $AN26),0)),"",INDIRECT(CONCATENATE("Table!",ADDRESS($AJ26,MATCH(B$1,INDIRECT("Table!A" &amp; $AN26):INDIRECT("Table!" &amp; $AQ$108 &amp; $AN26),0))))/1024)</f>
        <v>174.34718261718749</v>
      </c>
      <c r="C26" s="595">
        <f ca="1">IF(ISERROR(MATCH(C$1,INDIRECT("Table!A"&amp;$AN26):INDIRECT("Table!" &amp; $AQ$108 &amp; $AN26),0)),"",INDIRECT(CONCATENATE("Table!",ADDRESS($AJ26,MATCH(C$1,INDIRECT("Table!A" &amp; $AN26):INDIRECT("Table!" &amp; $AQ$108 &amp; $AN26),0))))/1024)</f>
        <v>99.076614257812494</v>
      </c>
      <c r="D26" s="595">
        <f ca="1">IF(ISERROR(MATCH(D$1,INDIRECT("Table!A"&amp;$AN26):INDIRECT("Table!" &amp; $AQ$108 &amp; $AN26),0)),"",INDIRECT(CONCATENATE("Table!",ADDRESS($AJ26,MATCH(D$1,INDIRECT("Table!A" &amp; $AN26):INDIRECT("Table!" &amp; $AQ$108 &amp; $AN26),0))))/1024)</f>
        <v>99.076614257812494</v>
      </c>
      <c r="E26" s="595">
        <f ca="1">IF(ISERROR(MATCH(E$1,INDIRECT("Table!A"&amp;$AN26):INDIRECT("Table!" &amp; $AQ$108 &amp; $AN26),0)),"",INDIRECT(CONCATENATE("Table!",ADDRESS($AJ26,MATCH(E$1,INDIRECT("Table!A" &amp; $AN26):INDIRECT("Table!" &amp; $AQ$108 &amp; $AN26),0))))/1024)</f>
        <v>224.5275615234375</v>
      </c>
      <c r="F26" s="595">
        <f ca="1">IF(ISERROR(MATCH(F$1,INDIRECT("Table!A"&amp;$AN26):INDIRECT("Table!" &amp; $AQ$108 &amp; $AN26),0)),"",INDIRECT(CONCATENATE("Table!",ADDRESS($AJ26,MATCH(F$1,INDIRECT("Table!A" &amp; $AN26):INDIRECT("Table!" &amp; $AQ$108 &amp; $AN26),0))))/1024)</f>
        <v>110.83146679687499</v>
      </c>
      <c r="G26" s="595">
        <f ca="1">IF(ISERROR(MATCH(G$1,INDIRECT("Table!A"&amp;$AN26):INDIRECT("Table!" &amp; $AQ$108 &amp; $AN26),0)),"",INDIRECT(CONCATENATE("Table!",ADDRESS($AJ26,MATCH(G$1,INDIRECT("Table!A" &amp; $AN26):INDIRECT("Table!" &amp; $AQ$108 &amp; $AN26),0))))/1024)</f>
        <v>448.49536816406248</v>
      </c>
      <c r="H26" s="595">
        <f ca="1">IF(ISERROR(MATCH(H$1,INDIRECT("Table!A"&amp;$AN26):INDIRECT("Table!" &amp; $AQ$108 &amp; $AN26),0)),"",INDIRECT(CONCATENATE("Table!",ADDRESS($AJ26,MATCH(H$1,INDIRECT("Table!A" &amp; $AN26):INDIRECT("Table!" &amp; $AQ$108 &amp; $AN26),0))))/1024)</f>
        <v>228.80804003906249</v>
      </c>
      <c r="I26" s="595">
        <f ca="1">IF(ISERROR(MATCH(I$1,INDIRECT("Table!A"&amp;$AN26):INDIRECT("Table!" &amp; $AQ$85 &amp; $AN26),0)),"",INDIRECT(CONCATENATE("Table!",ADDRESS($AJ26,MATCH(I$1,INDIRECT("Table!A" &amp; $AN26):INDIRECT("Table!" &amp; $AQ$85 &amp; $AN26),0))))/1024)</f>
        <v>45.405999023437495</v>
      </c>
      <c r="J26" s="595">
        <f ca="1">IF(ISERROR(MATCH(J$1,INDIRECT("Table!A"&amp;$AN26):INDIRECT("Table!" &amp; $AQ$85 &amp; $AN26),0)),"",INDIRECT(CONCATENATE("Table!",ADDRESS($AJ26,MATCH(J$1,INDIRECT("Table!A" &amp; $AN26):INDIRECT("Table!" &amp; $AQ$85 &amp; $AN26),0))))/1024)</f>
        <v>196.8690849609375</v>
      </c>
      <c r="K26" s="595">
        <f ca="1">IF(ISERROR(MATCH(K$1,INDIRECT("Table!A"&amp;$AN26):INDIRECT("Table!" &amp; $AQ$85 &amp; $AN26),0)),"",INDIRECT(CONCATENATE("Table!",ADDRESS($AJ26,MATCH(K$1,INDIRECT("Table!A" &amp; $AN26):INDIRECT("Table!" &amp; $AQ$85 &amp; $AN26),0))))/1024)</f>
        <v>220.21415625</v>
      </c>
      <c r="L26" s="595">
        <f ca="1">IF(ISERROR(MATCH(L$1,INDIRECT("Table!A"&amp;$AN26):INDIRECT("Table!" &amp; $AQ$85 &amp; $AN26),0)),"",INDIRECT(CONCATENATE("Table!",ADDRESS($AJ26,MATCH(L$1,INDIRECT("Table!A" &amp; $AN26):INDIRECT("Table!" &amp; $AQ$85 &amp; $AN26),0))))/1024)</f>
        <v>211.19222460937499</v>
      </c>
      <c r="M26" s="595">
        <f ca="1">IF(ISERROR(MATCH(M$1,INDIRECT("Table!A"&amp;$AN26):INDIRECT("Table!" &amp; $AQ$85 &amp; $AN26),0)),"",INDIRECT(CONCATENATE("Table!",ADDRESS($AJ26,MATCH(M$1,INDIRECT("Table!A" &amp; $AN26):INDIRECT("Table!" &amp; $AQ$85 &amp; $AN26),0))))/1024)</f>
        <v>357.97971093749999</v>
      </c>
      <c r="N26" s="595">
        <f ca="1">IF(ISERROR(MATCH(N$1,INDIRECT("Table!A"&amp;$AN26):INDIRECT("Table!" &amp; $AQ$85 &amp; $AN26),0)),"",INDIRECT(CONCATENATE("Table!",ADDRESS($AJ26,MATCH(N$1,INDIRECT("Table!A" &amp; $AN26):INDIRECT("Table!" &amp; $AQ$85 &amp; $AN26),0))))/1024)</f>
        <v>113.13633984374999</v>
      </c>
      <c r="O26" s="595">
        <f ca="1">IF(ISERROR(MATCH(O$1,INDIRECT("Table!A"&amp;$AN26):INDIRECT("Table!" &amp; $AQ$85 &amp; $AN26),0)),"",INDIRECT(CONCATENATE("Table!",ADDRESS($AJ26,MATCH(O$1,INDIRECT("Table!A" &amp; $AN26):INDIRECT("Table!" &amp; $AQ$85 &amp; $AN26),0))))/1024)</f>
        <v>169.83621679687496</v>
      </c>
      <c r="P26" s="595">
        <f ca="1">IF(ISERROR(MATCH(P$1,INDIRECT("Table!A"&amp;$AN26):INDIRECT("Table!" &amp; $AQ$85 &amp; $AN26),0)),"",INDIRECT(CONCATENATE("Table!",ADDRESS($AJ26,MATCH(P$1,INDIRECT("Table!A" &amp; $AN26):INDIRECT("Table!" &amp; $AQ$85 &amp; $AN26),0))))/1024)</f>
        <v>60.157186523437495</v>
      </c>
      <c r="Q26" s="595">
        <f ca="1">IF(ISERROR(MATCH(Q$1,INDIRECT("Table!A"&amp;$AN26):INDIRECT("Table!" &amp; $AQ$85 &amp; $AN26),0)),"",INDIRECT(CONCATENATE("Table!",ADDRESS($AJ26,MATCH(Q$1,INDIRECT("Table!A" &amp; $AN26):INDIRECT("Table!" &amp; $AQ$85 &amp; $AN26),0))))/1024)</f>
        <v>151.397232421875</v>
      </c>
      <c r="R26" s="595">
        <f ca="1">IF(ISERROR(MATCH(R$1,INDIRECT("Table!A"&amp;$AN26):INDIRECT("Table!" &amp; $AQ$85 &amp; $AN26),0)),"",INDIRECT(CONCATENATE("Table!",ADDRESS($AJ26,MATCH(R$1,INDIRECT("Table!A" &amp; $AN26):INDIRECT("Table!" &amp; $AQ$85 &amp; $AN26),0))))/1024)</f>
        <v>332.39562011718749</v>
      </c>
      <c r="S26" s="595">
        <v>0</v>
      </c>
      <c r="T26" s="595">
        <f ca="1">IF(ISERROR(MATCH(T$1,INDIRECT("Table!A"&amp;$AN26):INDIRECT("Table!" &amp; $AQ$85 &amp; $AN26),0)),"",INDIRECT(CONCATENATE("Table!",ADDRESS($AJ26,MATCH(T$1,INDIRECT("Table!A" &amp; $AN26):INDIRECT("Table!" &amp; $AQ$85 &amp; $AN26),0))))/1024)</f>
        <v>36.318213867187495</v>
      </c>
      <c r="U26" s="595">
        <f ca="1">IF(ISERROR(MATCH(U$1,INDIRECT("Table!A"&amp;$AN26):INDIRECT("Table!" &amp; $AQ$85 &amp; $AN26),0)),"",INDIRECT(CONCATENATE("Table!",ADDRESS($AJ26,MATCH(U$1,INDIRECT("Table!A" &amp; $AN26):INDIRECT("Table!" &amp; $AQ$85 &amp; $AN26),0))))/1024)</f>
        <v>61.177916015624994</v>
      </c>
      <c r="V26" s="595">
        <f ca="1">IF(ISERROR(MATCH(V$1,INDIRECT("Table!A"&amp;$AN26):INDIRECT("Table!" &amp; $AQ$85 &amp; $AN26),0)),"",INDIRECT(CONCATENATE("Table!",ADDRESS($AJ26,MATCH(V$1,INDIRECT("Table!A" &amp; $AN26):INDIRECT("Table!" &amp; $AQ$85 &amp; $AN26),0))))/1024)</f>
        <v>81.987626953125002</v>
      </c>
      <c r="W26" s="595">
        <f ca="1">IF(ISERROR(MATCH(W$1,INDIRECT("Table!A"&amp;$AN26):INDIRECT("Table!" &amp; $AQ$85 &amp; $AN26),0)),"",INDIRECT(CONCATENATE("Table!",ADDRESS($AJ26,MATCH(W$1,INDIRECT("Table!A" &amp; $AN26):INDIRECT("Table!" &amp; $AQ$85 &amp; $AN26),0))))/1024)</f>
        <v>36.713334960937502</v>
      </c>
      <c r="X26" s="595">
        <f ca="1">IF(ISERROR(MATCH(X$1,INDIRECT("Table!A"&amp;$AN26):INDIRECT("Table!" &amp; $AQ$85 &amp; $AN26),0)),"",INDIRECT(CONCATENATE("Table!",ADDRESS($AJ26,MATCH(X$1,INDIRECT("Table!A" &amp; $AN26):INDIRECT("Table!" &amp; $AQ$85 &amp; $AN26),0))))/1024)</f>
        <v>45.866973632812496</v>
      </c>
      <c r="Y26" s="595">
        <f ca="1">IF(ISERROR(MATCH(Y$1,INDIRECT("Table!A"&amp;$AN26):INDIRECT("Table!" &amp; $AQ$85 &amp; $AN26),0)),"",INDIRECT(CONCATENATE("Table!",ADDRESS($AJ26,MATCH(Y$1,INDIRECT("Table!A" &amp; $AN26):INDIRECT("Table!" &amp; $AQ$85 &amp; $AN26),0))))/1024)</f>
        <v>18.471911132812501</v>
      </c>
      <c r="Z26" s="595">
        <f ca="1">IF(ISERROR(MATCH(Z$1,INDIRECT("Table!A"&amp;$AN26):INDIRECT("Table!" &amp; $AQ$85 &amp; $AN26),0)),"",INDIRECT(CONCATENATE("Table!",ADDRESS($AJ26,MATCH(Z$1,INDIRECT("Table!A" &amp; $AN26):INDIRECT("Table!" &amp; $AQ$85 &amp; $AN26),0))))/1024)</f>
        <v>36.647481445312501</v>
      </c>
      <c r="AA26" s="595">
        <f ca="1">IF(ISERROR(MATCH(AA$1,INDIRECT("Table!A"&amp;$AN26):INDIRECT("Table!" &amp; $AQ$85 &amp; $AN26),0)),"",INDIRECT(CONCATENATE("Table!",ADDRESS($AJ26,MATCH(AA$1,INDIRECT("Table!A" &amp; $AN26):INDIRECT("Table!" &amp; $AQ$85 &amp; $AN26),0))))/1024)</f>
        <v>65.129126953124995</v>
      </c>
      <c r="AB26" s="595">
        <f ca="1">IF(ISERROR(MATCH(AB$1,INDIRECT("Table!A"&amp;$AN26):INDIRECT("Table!" &amp; $AQ$85 &amp; $AN26),0)),"",INDIRECT(CONCATENATE("Table!",ADDRESS($AJ26,MATCH(AB$1,INDIRECT("Table!A" &amp; $AN26):INDIRECT("Table!" &amp; $AQ$85 &amp; $AN26),0))))/1024)</f>
        <v>0</v>
      </c>
      <c r="AC26" s="595" t="str">
        <f ca="1">IF(ISERROR(MATCH(AC$1,INDIRECT("Table!A"&amp;$AN26):INDIRECT("Table!" &amp; $AQ$85 &amp; $AN26),0)),"",INDIRECT(CONCATENATE("Table!",ADDRESS($AJ26,MATCH(AC$1,INDIRECT("Table!A" &amp; $AN26):INDIRECT("Table!" &amp; $AQ$85 &amp; $AN26),0))))/1024)</f>
        <v/>
      </c>
      <c r="AD26" s="595" t="str">
        <f ca="1">IF(ISERROR(MATCH(AD$1,INDIRECT("Table!A"&amp;$AN26):INDIRECT("Table!" &amp; $AQ$85 &amp; $AN26),0)),"",INDIRECT(CONCATENATE("Table!",ADDRESS($AJ26,MATCH(AD$1,INDIRECT("Table!A" &amp; $AN26):INDIRECT("Table!" &amp; $AQ$85 &amp; $AN26),0))))/1024)</f>
        <v/>
      </c>
      <c r="AE26" s="595" t="str">
        <f ca="1">IF(ISERROR(MATCH(AE$1,INDIRECT("Table!A"&amp;$AN26):INDIRECT("Table!" &amp; $AQ$85 &amp; $AN26),0)),"",INDIRECT(CONCATENATE("Table!",ADDRESS($AJ26,MATCH(AE$1,INDIRECT("Table!A" &amp; $AN26):INDIRECT("Table!" &amp; $AQ$85 &amp; $AN26),0))))/1024)</f>
        <v/>
      </c>
      <c r="AF26" s="595" t="str">
        <f ca="1">IF(ISERROR(MATCH(AF$1,INDIRECT("Table!A"&amp;$AN26):INDIRECT("Table!" &amp; $AQ$85 &amp; $AN26),0)),"",INDIRECT(CONCATENATE("Table!",ADDRESS($AJ26,MATCH(AF$1,INDIRECT("Table!A" &amp; $AN26):INDIRECT("Table!" &amp; $AQ$85 &amp; $AN26),0))))/1024)</f>
        <v/>
      </c>
      <c r="AG26" s="595" t="str">
        <f ca="1">IF(ISERROR(MATCH(AG$1,INDIRECT("Table!A"&amp;$AN26):INDIRECT("Table!" &amp; $AQ$85 &amp; $AN26),0)),"",INDIRECT(CONCATENATE("Table!",ADDRESS($AJ26,MATCH(AG$1,INDIRECT("Table!A" &amp; $AN26):INDIRECT("Table!" &amp; $AQ$85 &amp; $AN26),0))))/1024)</f>
        <v/>
      </c>
      <c r="AH26" s="595" t="str">
        <f ca="1">IF(ISERROR(MATCH(AH$1,INDIRECT("Table!A"&amp;$AN26):INDIRECT("Table!" &amp; $AQ$85 &amp; $AN26),0)),"",INDIRECT(CONCATENATE("Table!",ADDRESS($AJ26,MATCH(AH$1,INDIRECT("Table!A" &amp; $AN26):INDIRECT("Table!" &amp; $AQ$85 &amp; $AN26),0))))/1024)</f>
        <v/>
      </c>
      <c r="AI26" s="595"/>
      <c r="AJ26" s="595">
        <f>MATCH($A26,Table!$A:$A,0)+$AL$2-1</f>
        <v>347</v>
      </c>
      <c r="AK26" s="911"/>
      <c r="AL26" s="911"/>
      <c r="AM26" s="911"/>
      <c r="AN26" s="595">
        <f>MATCH($A26,Table!$A:$A,0)+$AP$2-1</f>
        <v>339</v>
      </c>
      <c r="AO26" s="911"/>
      <c r="AP26" s="911"/>
      <c r="AQ26" s="973" t="s">
        <v>302</v>
      </c>
      <c r="AR26" s="699">
        <f t="shared" ca="1" si="13"/>
        <v>3626.0592041015625</v>
      </c>
      <c r="AS26" s="699">
        <f ca="1">AR26-AR43</f>
        <v>499.56476953125002</v>
      </c>
      <c r="AT26" s="699">
        <f t="shared" ca="1" si="14"/>
        <v>386.44164384765622</v>
      </c>
    </row>
    <row r="27" spans="1:46" s="743" customFormat="1" x14ac:dyDescent="0.25">
      <c r="A27" s="592">
        <v>41808</v>
      </c>
      <c r="B27" s="595">
        <f ca="1">IF(ISERROR(MATCH(B$1,INDIRECT("Table!A"&amp;$AN27):INDIRECT("Table!" &amp; $AQ$108 &amp; $AN27),0)),"",INDIRECT(CONCATENATE("Table!",ADDRESS($AJ27,MATCH(B$1,INDIRECT("Table!A" &amp; $AN27):INDIRECT("Table!" &amp; $AQ$108 &amp; $AN27),0))))/1024)</f>
        <v>175.20327832031251</v>
      </c>
      <c r="C27" s="595">
        <f ca="1">IF(ISERROR(MATCH(C$1,INDIRECT("Table!A"&amp;$AN27):INDIRECT("Table!" &amp; $AQ$108 &amp; $AN27),0)),"",INDIRECT(CONCATENATE("Table!",ADDRESS($AJ27,MATCH(C$1,INDIRECT("Table!A" &amp; $AN27):INDIRECT("Table!" &amp; $AQ$108 &amp; $AN27),0))))/1024)</f>
        <v>97.06808203125</v>
      </c>
      <c r="D27" s="595">
        <f ca="1">IF(ISERROR(MATCH(D$1,INDIRECT("Table!A"&amp;$AN27):INDIRECT("Table!" &amp; $AQ$108 &amp; $AN27),0)),"",INDIRECT(CONCATENATE("Table!",ADDRESS($AJ27,MATCH(D$1,INDIRECT("Table!A" &amp; $AN27):INDIRECT("Table!" &amp; $AQ$108 &amp; $AN27),0))))/1024)</f>
        <v>97.06808203125</v>
      </c>
      <c r="E27" s="595">
        <f ca="1">IF(ISERROR(MATCH(E$1,INDIRECT("Table!A"&amp;$AN27):INDIRECT("Table!" &amp; $AQ$108 &amp; $AN27),0)),"",INDIRECT(CONCATENATE("Table!",ADDRESS($AJ27,MATCH(E$1,INDIRECT("Table!A" &amp; $AN27):INDIRECT("Table!" &amp; $AQ$108 &amp; $AN27),0))))/1024)</f>
        <v>235.19583105468749</v>
      </c>
      <c r="F27" s="595">
        <f ca="1">IF(ISERROR(MATCH(F$1,INDIRECT("Table!A"&amp;$AN27):INDIRECT("Table!" &amp; $AQ$108 &amp; $AN27),0)),"",INDIRECT(CONCATENATE("Table!",ADDRESS($AJ27,MATCH(F$1,INDIRECT("Table!A" &amp; $AN27):INDIRECT("Table!" &amp; $AQ$108 &amp; $AN27),0))))/1024)</f>
        <v>110.63390625</v>
      </c>
      <c r="G27" s="595">
        <f ca="1">IF(ISERROR(MATCH(G$1,INDIRECT("Table!A"&amp;$AN27):INDIRECT("Table!" &amp; $AQ$108 &amp; $AN27),0)),"",INDIRECT(CONCATENATE("Table!",ADDRESS($AJ27,MATCH(G$1,INDIRECT("Table!A" &amp; $AN27):INDIRECT("Table!" &amp; $AQ$108 &amp; $AN27),0))))/1024)</f>
        <v>448.33073437499996</v>
      </c>
      <c r="H27" s="595">
        <f ca="1">IF(ISERROR(MATCH(H$1,INDIRECT("Table!A"&amp;$AN27):INDIRECT("Table!" &amp; $AQ$108 &amp; $AN27),0)),"",INDIRECT(CONCATENATE("Table!",ADDRESS($AJ27,MATCH(H$1,INDIRECT("Table!A" &amp; $AN27):INDIRECT("Table!" &amp; $AQ$108 &amp; $AN27),0))))/1024)</f>
        <v>228.80804003906249</v>
      </c>
      <c r="I27" s="595">
        <f ca="1">IF(ISERROR(MATCH(I$1,INDIRECT("Table!A"&amp;$AN27):INDIRECT("Table!" &amp; $AQ$85 &amp; $AN27),0)),"",INDIRECT(CONCATENATE("Table!",ADDRESS($AJ27,MATCH(I$1,INDIRECT("Table!A" &amp; $AN27):INDIRECT("Table!" &amp; $AQ$85 &amp; $AN27),0))))/1024)</f>
        <v>45.405999023437495</v>
      </c>
      <c r="J27" s="595">
        <f ca="1">IF(ISERROR(MATCH(J$1,INDIRECT("Table!A"&amp;$AN27):INDIRECT("Table!" &amp; $AQ$85 &amp; $AN27),0)),"",INDIRECT(CONCATENATE("Table!",ADDRESS($AJ27,MATCH(J$1,INDIRECT("Table!A" &amp; $AN27):INDIRECT("Table!" &amp; $AQ$85 &amp; $AN27),0))))/1024)</f>
        <v>196.8690849609375</v>
      </c>
      <c r="K27" s="595">
        <f ca="1">IF(ISERROR(MATCH(K$1,INDIRECT("Table!A"&amp;$AN27):INDIRECT("Table!" &amp; $AQ$85 &amp; $AN27),0)),"",INDIRECT(CONCATENATE("Table!",ADDRESS($AJ27,MATCH(K$1,INDIRECT("Table!A" &amp; $AN27):INDIRECT("Table!" &amp; $AQ$85 &amp; $AN27),0))))/1024)</f>
        <v>217.909283203125</v>
      </c>
      <c r="L27" s="595">
        <f ca="1">IF(ISERROR(MATCH(L$1,INDIRECT("Table!A"&amp;$AN27):INDIRECT("Table!" &amp; $AQ$85 &amp; $AN27),0)),"",INDIRECT(CONCATENATE("Table!",ADDRESS($AJ27,MATCH(L$1,INDIRECT("Table!A" &amp; $AN27):INDIRECT("Table!" &amp; $AQ$85 &amp; $AN27),0))))/1024)</f>
        <v>219.58854785156248</v>
      </c>
      <c r="M27" s="595">
        <f ca="1">IF(ISERROR(MATCH(M$1,INDIRECT("Table!A"&amp;$AN27):INDIRECT("Table!" &amp; $AQ$85 &amp; $AN27),0)),"",INDIRECT(CONCATENATE("Table!",ADDRESS($AJ27,MATCH(M$1,INDIRECT("Table!A" &amp; $AN27):INDIRECT("Table!" &amp; $AQ$85 &amp; $AN27),0))))/1024)</f>
        <v>357.97971093749999</v>
      </c>
      <c r="N27" s="595">
        <f ca="1">IF(ISERROR(MATCH(N$1,INDIRECT("Table!A"&amp;$AN27):INDIRECT("Table!" &amp; $AQ$85 &amp; $AN27),0)),"",INDIRECT(CONCATENATE("Table!",ADDRESS($AJ27,MATCH(N$1,INDIRECT("Table!A" &amp; $AN27):INDIRECT("Table!" &amp; $AQ$85 &amp; $AN27),0))))/1024)</f>
        <v>112.938779296875</v>
      </c>
      <c r="O27" s="595">
        <f ca="1">IF(ISERROR(MATCH(O$1,INDIRECT("Table!A"&amp;$AN27):INDIRECT("Table!" &amp; $AQ$85 &amp; $AN27),0)),"",INDIRECT(CONCATENATE("Table!",ADDRESS($AJ27,MATCH(O$1,INDIRECT("Table!A" &amp; $AN27):INDIRECT("Table!" &amp; $AQ$85 &amp; $AN27),0))))/1024)</f>
        <v>170.98865332031249</v>
      </c>
      <c r="P27" s="595">
        <f ca="1">IF(ISERROR(MATCH(P$1,INDIRECT("Table!A"&amp;$AN27):INDIRECT("Table!" &amp; $AQ$85 &amp; $AN27),0)),"",INDIRECT(CONCATENATE("Table!",ADDRESS($AJ27,MATCH(P$1,INDIRECT("Table!A" &amp; $AN27):INDIRECT("Table!" &amp; $AQ$85 &amp; $AN27),0))))/1024)</f>
        <v>60.157186523437495</v>
      </c>
      <c r="Q27" s="595">
        <f ca="1">IF(ISERROR(MATCH(Q$1,INDIRECT("Table!A"&amp;$AN27):INDIRECT("Table!" &amp; $AQ$85 &amp; $AN27),0)),"",INDIRECT(CONCATENATE("Table!",ADDRESS($AJ27,MATCH(Q$1,INDIRECT("Table!A" &amp; $AN27):INDIRECT("Table!" &amp; $AQ$85 &amp; $AN27),0))))/1024)</f>
        <v>151.397232421875</v>
      </c>
      <c r="R27" s="595">
        <f ca="1">IF(ISERROR(MATCH(R$1,INDIRECT("Table!A"&amp;$AN27):INDIRECT("Table!" &amp; $AQ$85 &amp; $AN27),0)),"",INDIRECT(CONCATENATE("Table!",ADDRESS($AJ27,MATCH(R$1,INDIRECT("Table!A" &amp; $AN27):INDIRECT("Table!" &amp; $AQ$85 &amp; $AN27),0))))/1024)</f>
        <v>329.89318652343746</v>
      </c>
      <c r="S27" s="595">
        <v>0</v>
      </c>
      <c r="T27" s="595">
        <f ca="1">IF(ISERROR(MATCH(T$1,INDIRECT("Table!A"&amp;$AN27):INDIRECT("Table!" &amp; $AQ$85 &amp; $AN27),0)),"",INDIRECT(CONCATENATE("Table!",ADDRESS($AJ27,MATCH(T$1,INDIRECT("Table!A" &amp; $AN27):INDIRECT("Table!" &amp; $AQ$85 &amp; $AN27),0))))/1024)</f>
        <v>36.318213867187495</v>
      </c>
      <c r="U27" s="595">
        <f ca="1">IF(ISERROR(MATCH(U$1,INDIRECT("Table!A"&amp;$AN27):INDIRECT("Table!" &amp; $AQ$85 &amp; $AN27),0)),"",INDIRECT(CONCATENATE("Table!",ADDRESS($AJ27,MATCH(U$1,INDIRECT("Table!A" &amp; $AN27):INDIRECT("Table!" &amp; $AQ$85 &amp; $AN27),0))))/1024)</f>
        <v>61.177916015624994</v>
      </c>
      <c r="V27" s="595">
        <f ca="1">IF(ISERROR(MATCH(V$1,INDIRECT("Table!A"&amp;$AN27):INDIRECT("Table!" &amp; $AQ$85 &amp; $AN27),0)),"",INDIRECT(CONCATENATE("Table!",ADDRESS($AJ27,MATCH(V$1,INDIRECT("Table!A" &amp; $AN27):INDIRECT("Table!" &amp; $AQ$85 &amp; $AN27),0))))/1024)</f>
        <v>81.987626953125002</v>
      </c>
      <c r="W27" s="595">
        <f ca="1">IF(ISERROR(MATCH(W$1,INDIRECT("Table!A"&amp;$AN27):INDIRECT("Table!" &amp; $AQ$85 &amp; $AN27),0)),"",INDIRECT(CONCATENATE("Table!",ADDRESS($AJ27,MATCH(W$1,INDIRECT("Table!A" &amp; $AN27):INDIRECT("Table!" &amp; $AQ$85 &amp; $AN27),0))))/1024)</f>
        <v>31.148712890624999</v>
      </c>
      <c r="X27" s="595">
        <f ca="1">IF(ISERROR(MATCH(X$1,INDIRECT("Table!A"&amp;$AN27):INDIRECT("Table!" &amp; $AQ$85 &amp; $AN27),0)),"",INDIRECT(CONCATENATE("Table!",ADDRESS($AJ27,MATCH(X$1,INDIRECT("Table!A" &amp; $AN27):INDIRECT("Table!" &amp; $AQ$85 &amp; $AN27),0))))/1024)</f>
        <v>40.3023515625</v>
      </c>
      <c r="Y27" s="595">
        <f ca="1">IF(ISERROR(MATCH(Y$1,INDIRECT("Table!A"&amp;$AN27):INDIRECT("Table!" &amp; $AQ$85 &amp; $AN27),0)),"",INDIRECT(CONCATENATE("Table!",ADDRESS($AJ27,MATCH(Y$1,INDIRECT("Table!A" &amp; $AN27):INDIRECT("Table!" &amp; $AQ$85 &amp; $AN27),0))))/1024)</f>
        <v>18.471911132812501</v>
      </c>
      <c r="Z27" s="595">
        <f ca="1">IF(ISERROR(MATCH(Z$1,INDIRECT("Table!A"&amp;$AN27):INDIRECT("Table!" &amp; $AQ$85 &amp; $AN27),0)),"",INDIRECT(CONCATENATE("Table!",ADDRESS($AJ27,MATCH(Z$1,INDIRECT("Table!A" &amp; $AN27):INDIRECT("Table!" &amp; $AQ$85 &amp; $AN27),0))))/1024)</f>
        <v>36.647481445312501</v>
      </c>
      <c r="AA27" s="595">
        <f ca="1">IF(ISERROR(MATCH(AA$1,INDIRECT("Table!A"&amp;$AN27):INDIRECT("Table!" &amp; $AQ$85 &amp; $AN27),0)),"",INDIRECT(CONCATENATE("Table!",ADDRESS($AJ27,MATCH(AA$1,INDIRECT("Table!A" &amp; $AN27):INDIRECT("Table!" &amp; $AQ$85 &amp; $AN27),0))))/1024)</f>
        <v>26.176772460937499</v>
      </c>
      <c r="AB27" s="595">
        <f ca="1">IF(ISERROR(MATCH(AB$1,INDIRECT("Table!A"&amp;$AN27):INDIRECT("Table!" &amp; $AQ$85 &amp; $AN27),0)),"",INDIRECT(CONCATENATE("Table!",ADDRESS($AJ27,MATCH(AB$1,INDIRECT("Table!A" &amp; $AN27):INDIRECT("Table!" &amp; $AQ$85 &amp; $AN27),0))))/1024)</f>
        <v>0</v>
      </c>
      <c r="AC27" s="595" t="str">
        <f ca="1">IF(ISERROR(MATCH(AC$1,INDIRECT("Table!A"&amp;$AN27):INDIRECT("Table!" &amp; $AQ$85 &amp; $AN27),0)),"",INDIRECT(CONCATENATE("Table!",ADDRESS($AJ27,MATCH(AC$1,INDIRECT("Table!A" &amp; $AN27):INDIRECT("Table!" &amp; $AQ$85 &amp; $AN27),0))))/1024)</f>
        <v/>
      </c>
      <c r="AD27" s="595" t="str">
        <f ca="1">IF(ISERROR(MATCH(AD$1,INDIRECT("Table!A"&amp;$AN27):INDIRECT("Table!" &amp; $AQ$85 &amp; $AN27),0)),"",INDIRECT(CONCATENATE("Table!",ADDRESS($AJ27,MATCH(AD$1,INDIRECT("Table!A" &amp; $AN27):INDIRECT("Table!" &amp; $AQ$85 &amp; $AN27),0))))/1024)</f>
        <v/>
      </c>
      <c r="AE27" s="595" t="str">
        <f ca="1">IF(ISERROR(MATCH(AE$1,INDIRECT("Table!A"&amp;$AN27):INDIRECT("Table!" &amp; $AQ$85 &amp; $AN27),0)),"",INDIRECT(CONCATENATE("Table!",ADDRESS($AJ27,MATCH(AE$1,INDIRECT("Table!A" &amp; $AN27):INDIRECT("Table!" &amp; $AQ$85 &amp; $AN27),0))))/1024)</f>
        <v/>
      </c>
      <c r="AF27" s="595" t="str">
        <f ca="1">IF(ISERROR(MATCH(AF$1,INDIRECT("Table!A"&amp;$AN27):INDIRECT("Table!" &amp; $AQ$85 &amp; $AN27),0)),"",INDIRECT(CONCATENATE("Table!",ADDRESS($AJ27,MATCH(AF$1,INDIRECT("Table!A" &amp; $AN27):INDIRECT("Table!" &amp; $AQ$85 &amp; $AN27),0))))/1024)</f>
        <v/>
      </c>
      <c r="AG27" s="595" t="str">
        <f ca="1">IF(ISERROR(MATCH(AG$1,INDIRECT("Table!A"&amp;$AN27):INDIRECT("Table!" &amp; $AQ$85 &amp; $AN27),0)),"",INDIRECT(CONCATENATE("Table!",ADDRESS($AJ27,MATCH(AG$1,INDIRECT("Table!A" &amp; $AN27):INDIRECT("Table!" &amp; $AQ$85 &amp; $AN27),0))))/1024)</f>
        <v/>
      </c>
      <c r="AH27" s="595" t="str">
        <f ca="1">IF(ISERROR(MATCH(AH$1,INDIRECT("Table!A"&amp;$AN27):INDIRECT("Table!" &amp; $AQ$85 &amp; $AN27),0)),"",INDIRECT(CONCATENATE("Table!",ADDRESS($AJ27,MATCH(AH$1,INDIRECT("Table!A" &amp; $AN27):INDIRECT("Table!" &amp; $AQ$85 &amp; $AN27),0))))/1024)</f>
        <v/>
      </c>
      <c r="AI27" s="595"/>
      <c r="AJ27" s="595">
        <f>MATCH($A27,Table!$A:$A,0)+$AL$2-1</f>
        <v>361</v>
      </c>
      <c r="AK27" s="908"/>
      <c r="AL27" s="908"/>
      <c r="AM27" s="908"/>
      <c r="AN27" s="595">
        <f>MATCH($A27,Table!$A:$A,0)+$AP$2-1</f>
        <v>353</v>
      </c>
      <c r="AO27" s="908"/>
      <c r="AP27" s="908"/>
      <c r="AQ27" s="973" t="s">
        <v>302</v>
      </c>
      <c r="AR27" s="699">
        <f t="shared" ca="1" si="13"/>
        <v>3587.6666044921881</v>
      </c>
      <c r="AS27" s="699">
        <f ca="1">AR27-AR43</f>
        <v>461.17216992187559</v>
      </c>
      <c r="AT27" s="699">
        <f t="shared" ca="1" si="14"/>
        <v>346.9064857421875</v>
      </c>
    </row>
    <row r="28" spans="1:46" s="743" customFormat="1" x14ac:dyDescent="0.25">
      <c r="A28" s="592">
        <v>41801</v>
      </c>
      <c r="B28" s="595">
        <f ca="1">IF(ISERROR(MATCH(B$1,INDIRECT("Table!A"&amp;$AN28):INDIRECT("Table!" &amp; $AQ$108 &amp; $AN28),0)),"",INDIRECT(CONCATENATE("Table!",ADDRESS($AJ28,MATCH(B$1,INDIRECT("Table!A" &amp; $AN28):INDIRECT("Table!" &amp; $AQ$108 &amp; $AN28),0))))/1024)</f>
        <v>175.20327832031251</v>
      </c>
      <c r="C28" s="595">
        <f ca="1">IF(ISERROR(MATCH(C$1,INDIRECT("Table!A"&amp;$AN28):INDIRECT("Table!" &amp; $AQ$108 &amp; $AN28),0)),"",INDIRECT(CONCATENATE("Table!",ADDRESS($AJ28,MATCH(C$1,INDIRECT("Table!A" &amp; $AN28):INDIRECT("Table!" &amp; $AQ$108 &amp; $AN28),0))))/1024)</f>
        <v>97.06808203125</v>
      </c>
      <c r="D28" s="595">
        <f ca="1">IF(ISERROR(MATCH(D$1,INDIRECT("Table!A"&amp;$AN28):INDIRECT("Table!" &amp; $AQ$108 &amp; $AN28),0)),"",INDIRECT(CONCATENATE("Table!",ADDRESS($AJ28,MATCH(D$1,INDIRECT("Table!A" &amp; $AN28):INDIRECT("Table!" &amp; $AQ$108 &amp; $AN28),0))))/1024)</f>
        <v>97.06808203125</v>
      </c>
      <c r="E28" s="595">
        <f ca="1">IF(ISERROR(MATCH(E$1,INDIRECT("Table!A"&amp;$AN28):INDIRECT("Table!" &amp; $AQ$108 &amp; $AN28),0)),"",INDIRECT(CONCATENATE("Table!",ADDRESS($AJ28,MATCH(E$1,INDIRECT("Table!A" &amp; $AN28):INDIRECT("Table!" &amp; $AQ$108 &amp; $AN28),0))))/1024)</f>
        <v>247.74092578124998</v>
      </c>
      <c r="F28" s="595">
        <f ca="1">IF(ISERROR(MATCH(F$1,INDIRECT("Table!A"&amp;$AN28):INDIRECT("Table!" &amp; $AQ$108 &amp; $AN28),0)),"",INDIRECT(CONCATENATE("Table!",ADDRESS($AJ28,MATCH(F$1,INDIRECT("Table!A" &amp; $AN28):INDIRECT("Table!" &amp; $AQ$108 &amp; $AN28),0))))/1024)</f>
        <v>110.23878515624999</v>
      </c>
      <c r="G28" s="595">
        <f ca="1">IF(ISERROR(MATCH(G$1,INDIRECT("Table!A"&amp;$AN28):INDIRECT("Table!" &amp; $AQ$108 &amp; $AN28),0)),"",INDIRECT(CONCATENATE("Table!",ADDRESS($AJ28,MATCH(G$1,INDIRECT("Table!A" &amp; $AN28):INDIRECT("Table!" &amp; $AQ$108 &amp; $AN28),0))))/1024)</f>
        <v>448.33073437499996</v>
      </c>
      <c r="H28" s="595">
        <f ca="1">IF(ISERROR(MATCH(H$1,INDIRECT("Table!A"&amp;$AN28):INDIRECT("Table!" &amp; $AQ$108 &amp; $AN28),0)),"",INDIRECT(CONCATENATE("Table!",ADDRESS($AJ28,MATCH(H$1,INDIRECT("Table!A" &amp; $AN28):INDIRECT("Table!" &amp; $AQ$108 &amp; $AN28),0))))/1024)</f>
        <v>228.80804003906249</v>
      </c>
      <c r="I28" s="595">
        <f ca="1">IF(ISERROR(MATCH(I$1,INDIRECT("Table!A"&amp;$AN28):INDIRECT("Table!" &amp; $AQ$85 &amp; $AN28),0)),"",INDIRECT(CONCATENATE("Table!",ADDRESS($AJ28,MATCH(I$1,INDIRECT("Table!A" &amp; $AN28):INDIRECT("Table!" &amp; $AQ$85 &amp; $AN28),0))))/1024)</f>
        <v>45.405999023437495</v>
      </c>
      <c r="J28" s="595">
        <f ca="1">IF(ISERROR(MATCH(J$1,INDIRECT("Table!A"&amp;$AN28):INDIRECT("Table!" &amp; $AQ$85 &amp; $AN28),0)),"",INDIRECT(CONCATENATE("Table!",ADDRESS($AJ28,MATCH(J$1,INDIRECT("Table!A" &amp; $AN28):INDIRECT("Table!" &amp; $AQ$85 &amp; $AN28),0))))/1024)</f>
        <v>196.11176953124999</v>
      </c>
      <c r="K28" s="595">
        <f ca="1">IF(ISERROR(MATCH(K$1,INDIRECT("Table!A"&amp;$AN28):INDIRECT("Table!" &amp; $AQ$85 &amp; $AN28),0)),"",INDIRECT(CONCATENATE("Table!",ADDRESS($AJ28,MATCH(K$1,INDIRECT("Table!A" &amp; $AN28):INDIRECT("Table!" &amp; $AQ$85 &amp; $AN28),0))))/1024)</f>
        <v>216.92148046874999</v>
      </c>
      <c r="L28" s="595">
        <f ca="1">IF(ISERROR(MATCH(L$1,INDIRECT("Table!A"&amp;$AN28):INDIRECT("Table!" &amp; $AQ$85 &amp; $AN28),0)),"",INDIRECT(CONCATENATE("Table!",ADDRESS($AJ28,MATCH(L$1,INDIRECT("Table!A" &amp; $AN28):INDIRECT("Table!" &amp; $AQ$85 &amp; $AN28),0))))/1024)</f>
        <v>231.80437499999999</v>
      </c>
      <c r="M28" s="595">
        <f ca="1">IF(ISERROR(MATCH(M$1,INDIRECT("Table!A"&amp;$AN28):INDIRECT("Table!" &amp; $AQ$85 &amp; $AN28),0)),"",INDIRECT(CONCATENATE("Table!",ADDRESS($AJ28,MATCH(M$1,INDIRECT("Table!A" &amp; $AN28):INDIRECT("Table!" &amp; $AQ$85 &amp; $AN28),0))))/1024)</f>
        <v>357.97971093749999</v>
      </c>
      <c r="N28" s="595">
        <f ca="1">IF(ISERROR(MATCH(N$1,INDIRECT("Table!A"&amp;$AN28):INDIRECT("Table!" &amp; $AQ$85 &amp; $AN28),0)),"",INDIRECT(CONCATENATE("Table!",ADDRESS($AJ28,MATCH(N$1,INDIRECT("Table!A" &amp; $AN28):INDIRECT("Table!" &amp; $AQ$85 &amp; $AN28),0))))/1024)</f>
        <v>112.938779296875</v>
      </c>
      <c r="O28" s="595">
        <f ca="1">IF(ISERROR(MATCH(O$1,INDIRECT("Table!A"&amp;$AN28):INDIRECT("Table!" &amp; $AQ$85 &amp; $AN28),0)),"",INDIRECT(CONCATENATE("Table!",ADDRESS($AJ28,MATCH(O$1,INDIRECT("Table!A" &amp; $AN28):INDIRECT("Table!" &amp; $AQ$85 &amp; $AN28),0))))/1024)</f>
        <v>179.68131738281249</v>
      </c>
      <c r="P28" s="595">
        <f ca="1">IF(ISERROR(MATCH(P$1,INDIRECT("Table!A"&amp;$AN28):INDIRECT("Table!" &amp; $AQ$85 &amp; $AN28),0)),"",INDIRECT(CONCATENATE("Table!",ADDRESS($AJ28,MATCH(P$1,INDIRECT("Table!A" &amp; $AN28):INDIRECT("Table!" &amp; $AQ$85 &amp; $AN28),0))))/1024)</f>
        <v>60.157186523437495</v>
      </c>
      <c r="Q28" s="595">
        <f ca="1">IF(ISERROR(MATCH(Q$1,INDIRECT("Table!A"&amp;$AN28):INDIRECT("Table!" &amp; $AQ$85 &amp; $AN28),0)),"",INDIRECT(CONCATENATE("Table!",ADDRESS($AJ28,MATCH(Q$1,INDIRECT("Table!A" &amp; $AN28):INDIRECT("Table!" &amp; $AQ$85 &amp; $AN28),0))))/1024)</f>
        <v>150.63991699218749</v>
      </c>
      <c r="R28" s="595">
        <f ca="1">IF(ISERROR(MATCH(R$1,INDIRECT("Table!A"&amp;$AN28):INDIRECT("Table!" &amp; $AQ$85 &amp; $AN28),0)),"",INDIRECT(CONCATENATE("Table!",ADDRESS($AJ28,MATCH(R$1,INDIRECT("Table!A" &amp; $AN28):INDIRECT("Table!" &amp; $AQ$85 &amp; $AN28),0))))/1024)</f>
        <v>329.79440625000001</v>
      </c>
      <c r="S28" s="595">
        <v>0</v>
      </c>
      <c r="T28" s="595">
        <f ca="1">IF(ISERROR(MATCH(T$1,INDIRECT("Table!A"&amp;$AN28):INDIRECT("Table!" &amp; $AQ$85 &amp; $AN28),0)),"",INDIRECT(CONCATENATE("Table!",ADDRESS($AJ28,MATCH(T$1,INDIRECT("Table!A" &amp; $AN28):INDIRECT("Table!" &amp; $AQ$85 &amp; $AN28),0))))/1024)</f>
        <v>36.318213867187495</v>
      </c>
      <c r="U28" s="595">
        <f ca="1">IF(ISERROR(MATCH(U$1,INDIRECT("Table!A"&amp;$AN28):INDIRECT("Table!" &amp; $AQ$85 &amp; $AN28),0)),"",INDIRECT(CONCATENATE("Table!",ADDRESS($AJ28,MATCH(U$1,INDIRECT("Table!A" &amp; $AN28):INDIRECT("Table!" &amp; $AQ$85 &amp; $AN28),0))))/1024)</f>
        <v>60.848648437499996</v>
      </c>
      <c r="V28" s="595">
        <f ca="1">IF(ISERROR(MATCH(V$1,INDIRECT("Table!A"&amp;$AN28):INDIRECT("Table!" &amp; $AQ$85 &amp; $AN28),0)),"",INDIRECT(CONCATENATE("Table!",ADDRESS($AJ28,MATCH(V$1,INDIRECT("Table!A" &amp; $AN28):INDIRECT("Table!" &amp; $AQ$85 &amp; $AN28),0))))/1024)</f>
        <v>81.658359375000003</v>
      </c>
      <c r="W28" s="595">
        <f ca="1">IF(ISERROR(MATCH(W$1,INDIRECT("Table!A"&amp;$AN28):INDIRECT("Table!" &amp; $AQ$85 &amp; $AN28),0)),"",INDIRECT(CONCATENATE("Table!",ADDRESS($AJ28,MATCH(W$1,INDIRECT("Table!A" &amp; $AN28):INDIRECT("Table!" &amp; $AQ$85 &amp; $AN28),0))))/1024)</f>
        <v>22.456048828124999</v>
      </c>
      <c r="X28" s="595">
        <f ca="1">IF(ISERROR(MATCH(X$1,INDIRECT("Table!A"&amp;$AN28):INDIRECT("Table!" &amp; $AQ$85 &amp; $AN28),0)),"",INDIRECT(CONCATENATE("Table!",ADDRESS($AJ28,MATCH(X$1,INDIRECT("Table!A" &amp; $AN28):INDIRECT("Table!" &amp; $AQ$85 &amp; $AN28),0))))/1024)</f>
        <v>31.6096875</v>
      </c>
      <c r="Y28" s="595">
        <f ca="1">IF(ISERROR(MATCH(Y$1,INDIRECT("Table!A"&amp;$AN28):INDIRECT("Table!" &amp; $AQ$85 &amp; $AN28),0)),"",INDIRECT(CONCATENATE("Table!",ADDRESS($AJ28,MATCH(Y$1,INDIRECT("Table!A" &amp; $AN28):INDIRECT("Table!" &amp; $AQ$85 &amp; $AN28),0))))/1024)</f>
        <v>18.471911132812501</v>
      </c>
      <c r="Z28" s="595">
        <f ca="1">IF(ISERROR(MATCH(Z$1,INDIRECT("Table!A"&amp;$AN28):INDIRECT("Table!" &amp; $AQ$85 &amp; $AN28),0)),"",INDIRECT(CONCATENATE("Table!",ADDRESS($AJ28,MATCH(Z$1,INDIRECT("Table!A" &amp; $AN28):INDIRECT("Table!" &amp; $AQ$85 &amp; $AN28),0))))/1024)</f>
        <v>36.647481445312501</v>
      </c>
      <c r="AA28" s="595">
        <f ca="1">IF(ISERROR(MATCH(AA$1,INDIRECT("Table!A"&amp;$AN28):INDIRECT("Table!" &amp; $AQ$85 &amp; $AN28),0)),"",INDIRECT(CONCATENATE("Table!",ADDRESS($AJ28,MATCH(AA$1,INDIRECT("Table!A" &amp; $AN28):INDIRECT("Table!" &amp; $AQ$85 &amp; $AN28),0))))/1024)</f>
        <v>23.674338867187497</v>
      </c>
      <c r="AB28" s="595" t="str">
        <f ca="1">IF(ISERROR(MATCH(AB$1,INDIRECT("Table!A"&amp;$AN28):INDIRECT("Table!" &amp; $AQ$85 &amp; $AN28),0)),"",INDIRECT(CONCATENATE("Table!",ADDRESS($AJ28,MATCH(AB$1,INDIRECT("Table!A" &amp; $AN28):INDIRECT("Table!" &amp; $AQ$85 &amp; $AN28),0))))/1024)</f>
        <v/>
      </c>
      <c r="AC28" s="595"/>
      <c r="AD28" s="595"/>
      <c r="AE28" s="595"/>
      <c r="AF28" s="595"/>
      <c r="AG28" s="595"/>
      <c r="AH28" s="595"/>
      <c r="AI28" s="595"/>
      <c r="AJ28" s="595">
        <f>MATCH($A28,Table!$A:$A,0)+$AL$2-1</f>
        <v>375</v>
      </c>
      <c r="AK28" s="899"/>
      <c r="AL28" s="899"/>
      <c r="AM28" s="899"/>
      <c r="AN28" s="595">
        <f>MATCH($A28,Table!$A:$A,0)+$AP$2-1</f>
        <v>367</v>
      </c>
      <c r="AO28" s="899"/>
      <c r="AP28" s="899"/>
      <c r="AQ28" s="973" t="s">
        <v>302</v>
      </c>
      <c r="AR28" s="699">
        <f t="shared" ca="1" si="13"/>
        <v>3597.5775585937499</v>
      </c>
      <c r="AS28" s="699">
        <f ca="1">AR28-AR43</f>
        <v>471.08312402343745</v>
      </c>
      <c r="AT28" s="699">
        <f t="shared" ca="1" si="14"/>
        <v>311.21058759765617</v>
      </c>
    </row>
    <row r="29" spans="1:46" s="743" customFormat="1" x14ac:dyDescent="0.25">
      <c r="A29" s="592">
        <v>41794</v>
      </c>
      <c r="B29" s="595">
        <f ca="1">IF(ISERROR(MATCH(B$1,INDIRECT("Table!A"&amp;$AN29):INDIRECT("Table!" &amp; $AQ$108 &amp; $AN29),0)),"",INDIRECT(CONCATENATE("Table!",ADDRESS($AJ29,MATCH(B$1,INDIRECT("Table!A" &amp; $AN29):INDIRECT("Table!" &amp; $AQ$108 &amp; $AN29),0))))/1024)</f>
        <v>175.20327832031251</v>
      </c>
      <c r="C29" s="595">
        <f ca="1">IF(ISERROR(MATCH(C$1,INDIRECT("Table!A"&amp;$AN29):INDIRECT("Table!" &amp; $AQ$108 &amp; $AN29),0)),"",INDIRECT(CONCATENATE("Table!",ADDRESS($AJ29,MATCH(C$1,INDIRECT("Table!A" &amp; $AN29):INDIRECT("Table!" &amp; $AQ$108 &amp; $AN29),0))))/1024)</f>
        <v>97.06808203125</v>
      </c>
      <c r="D29" s="595">
        <f ca="1">IF(ISERROR(MATCH(D$1,INDIRECT("Table!A"&amp;$AN29):INDIRECT("Table!" &amp; $AQ$108 &amp; $AN29),0)),"",INDIRECT(CONCATENATE("Table!",ADDRESS($AJ29,MATCH(D$1,INDIRECT("Table!A" &amp; $AN29):INDIRECT("Table!" &amp; $AQ$108 &amp; $AN29),0))))/1024)</f>
        <v>97.06808203125</v>
      </c>
      <c r="E29" s="595">
        <f ca="1">IF(ISERROR(MATCH(E$1,INDIRECT("Table!A"&amp;$AN29):INDIRECT("Table!" &amp; $AQ$108 &amp; $AN29),0)),"",INDIRECT(CONCATENATE("Table!",ADDRESS($AJ29,MATCH(E$1,INDIRECT("Table!A" &amp; $AN29):INDIRECT("Table!" &amp; $AQ$108 &amp; $AN29),0))))/1024)</f>
        <v>247.74092578124998</v>
      </c>
      <c r="F29" s="595">
        <f ca="1">IF(ISERROR(MATCH(F$1,INDIRECT("Table!A"&amp;$AN29):INDIRECT("Table!" &amp; $AQ$108 &amp; $AN29),0)),"",INDIRECT(CONCATENATE("Table!",ADDRESS($AJ29,MATCH(F$1,INDIRECT("Table!A" &amp; $AN29):INDIRECT("Table!" &amp; $AQ$108 &amp; $AN29),0))))/1024)</f>
        <v>110.23878515624999</v>
      </c>
      <c r="G29" s="595">
        <f ca="1">IF(ISERROR(MATCH(G$1,INDIRECT("Table!A"&amp;$AN29):INDIRECT("Table!" &amp; $AQ$108 &amp; $AN29),0)),"",INDIRECT(CONCATENATE("Table!",ADDRESS($AJ29,MATCH(G$1,INDIRECT("Table!A" &amp; $AN29):INDIRECT("Table!" &amp; $AQ$108 &amp; $AN29),0))))/1024)</f>
        <v>448.33073437499996</v>
      </c>
      <c r="H29" s="595">
        <f ca="1">IF(ISERROR(MATCH(H$1,INDIRECT("Table!A"&amp;$AN29):INDIRECT("Table!" &amp; $AQ$108 &amp; $AN29),0)),"",INDIRECT(CONCATENATE("Table!",ADDRESS($AJ29,MATCH(H$1,INDIRECT("Table!A" &amp; $AN29):INDIRECT("Table!" &amp; $AQ$108 &amp; $AN29),0))))/1024)</f>
        <v>228.445845703125</v>
      </c>
      <c r="I29" s="595">
        <f ca="1">IF(ISERROR(MATCH(I$1,INDIRECT("Table!A"&amp;$AN29):INDIRECT("Table!" &amp; $AQ$85 &amp; $AN29),0)),"",INDIRECT(CONCATENATE("Table!",ADDRESS($AJ29,MATCH(I$1,INDIRECT("Table!A" &amp; $AN29):INDIRECT("Table!" &amp; $AQ$85 &amp; $AN29),0))))/1024)</f>
        <v>45.405999023437495</v>
      </c>
      <c r="J29" s="595">
        <f ca="1">IF(ISERROR(MATCH(J$1,INDIRECT("Table!A"&amp;$AN29):INDIRECT("Table!" &amp; $AQ$85 &amp; $AN29),0)),"",INDIRECT(CONCATENATE("Table!",ADDRESS($AJ29,MATCH(J$1,INDIRECT("Table!A" &amp; $AN29):INDIRECT("Table!" &amp; $AQ$85 &amp; $AN29),0))))/1024)</f>
        <v>196.11176953124999</v>
      </c>
      <c r="K29" s="595">
        <f ca="1">IF(ISERROR(MATCH(K$1,INDIRECT("Table!A"&amp;$AN29):INDIRECT("Table!" &amp; $AQ$85 &amp; $AN29),0)),"",INDIRECT(CONCATENATE("Table!",ADDRESS($AJ29,MATCH(K$1,INDIRECT("Table!A" &amp; $AN29):INDIRECT("Table!" &amp; $AQ$85 &amp; $AN29),0))))/1024)</f>
        <v>216.526359375</v>
      </c>
      <c r="L29" s="595">
        <f ca="1">IF(ISERROR(MATCH(L$1,INDIRECT("Table!A"&amp;$AN29):INDIRECT("Table!" &amp; $AQ$85 &amp; $AN29),0)),"",INDIRECT(CONCATENATE("Table!",ADDRESS($AJ29,MATCH(L$1,INDIRECT("Table!A" &amp; $AN29):INDIRECT("Table!" &amp; $AQ$85 &amp; $AN29),0))))/1024)</f>
        <v>231.80437499999999</v>
      </c>
      <c r="M29" s="595">
        <f ca="1">IF(ISERROR(MATCH(M$1,INDIRECT("Table!A"&amp;$AN29):INDIRECT("Table!" &amp; $AQ$85 &amp; $AN29),0)),"",INDIRECT(CONCATENATE("Table!",ADDRESS($AJ29,MATCH(M$1,INDIRECT("Table!A" &amp; $AN29):INDIRECT("Table!" &amp; $AQ$85 &amp; $AN29),0))))/1024)</f>
        <v>357.97971093749999</v>
      </c>
      <c r="N29" s="595">
        <f ca="1">IF(ISERROR(MATCH(N$1,INDIRECT("Table!A"&amp;$AN29):INDIRECT("Table!" &amp; $AQ$85 &amp; $AN29),0)),"",INDIRECT(CONCATENATE("Table!",ADDRESS($AJ29,MATCH(N$1,INDIRECT("Table!A" &amp; $AN29):INDIRECT("Table!" &amp; $AQ$85 &amp; $AN29),0))))/1024)</f>
        <v>112.938779296875</v>
      </c>
      <c r="O29" s="595">
        <f ca="1">IF(ISERROR(MATCH(O$1,INDIRECT("Table!A"&amp;$AN29):INDIRECT("Table!" &amp; $AQ$85 &amp; $AN29),0)),"",INDIRECT(CONCATENATE("Table!",ADDRESS($AJ29,MATCH(O$1,INDIRECT("Table!A" &amp; $AN29):INDIRECT("Table!" &amp; $AQ$85 &amp; $AN29),0))))/1024)</f>
        <v>179.31912304687501</v>
      </c>
      <c r="P29" s="595">
        <f ca="1">IF(ISERROR(MATCH(P$1,INDIRECT("Table!A"&amp;$AN29):INDIRECT("Table!" &amp; $AQ$85 &amp; $AN29),0)),"",INDIRECT(CONCATENATE("Table!",ADDRESS($AJ29,MATCH(P$1,INDIRECT("Table!A" &amp; $AN29):INDIRECT("Table!" &amp; $AQ$85 &amp; $AN29),0))))/1024)</f>
        <v>60.157186523437495</v>
      </c>
      <c r="Q29" s="595">
        <f ca="1">IF(ISERROR(MATCH(Q$1,INDIRECT("Table!A"&amp;$AN29):INDIRECT("Table!" &amp; $AQ$85 &amp; $AN29),0)),"",INDIRECT(CONCATENATE("Table!",ADDRESS($AJ29,MATCH(Q$1,INDIRECT("Table!A" &amp; $AN29):INDIRECT("Table!" &amp; $AQ$85 &amp; $AN29),0))))/1024)</f>
        <v>150.63991699218749</v>
      </c>
      <c r="R29" s="595">
        <f ca="1">IF(ISERROR(MATCH(R$1,INDIRECT("Table!A"&amp;$AN29):INDIRECT("Table!" &amp; $AQ$85 &amp; $AN29),0)),"",INDIRECT(CONCATENATE("Table!",ADDRESS($AJ29,MATCH(R$1,INDIRECT("Table!A" &amp; $AN29):INDIRECT("Table!" &amp; $AQ$85 &amp; $AN29),0))))/1024)</f>
        <v>328.41148242187501</v>
      </c>
      <c r="S29" s="595">
        <v>0</v>
      </c>
      <c r="T29" s="595">
        <f ca="1">IF(ISERROR(MATCH(T$1,INDIRECT("Table!A"&amp;$AN29):INDIRECT("Table!" &amp; $AQ$85 &amp; $AN29),0)),"",INDIRECT(CONCATENATE("Table!",ADDRESS($AJ29,MATCH(T$1,INDIRECT("Table!A" &amp; $AN29):INDIRECT("Table!" &amp; $AQ$85 &amp; $AN29),0))))/1024)</f>
        <v>36.318213867187495</v>
      </c>
      <c r="U29" s="595">
        <f ca="1">IF(ISERROR(MATCH(U$1,INDIRECT("Table!A"&amp;$AN29):INDIRECT("Table!" &amp; $AQ$85 &amp; $AN29),0)),"",INDIRECT(CONCATENATE("Table!",ADDRESS($AJ29,MATCH(U$1,INDIRECT("Table!A" &amp; $AN29):INDIRECT("Table!" &amp; $AQ$85 &amp; $AN29),0))))/1024)</f>
        <v>60.848648437499996</v>
      </c>
      <c r="V29" s="595">
        <f ca="1">IF(ISERROR(MATCH(V$1,INDIRECT("Table!A"&amp;$AN29):INDIRECT("Table!" &amp; $AQ$85 &amp; $AN29),0)),"",INDIRECT(CONCATENATE("Table!",ADDRESS($AJ29,MATCH(V$1,INDIRECT("Table!A" &amp; $AN29):INDIRECT("Table!" &amp; $AQ$85 &amp; $AN29),0))))/1024)</f>
        <v>81.658359375000003</v>
      </c>
      <c r="W29" s="595">
        <f ca="1">IF(ISERROR(MATCH(W$1,INDIRECT("Table!A"&amp;$AN29):INDIRECT("Table!" &amp; $AQ$85 &amp; $AN29),0)),"",INDIRECT(CONCATENATE("Table!",ADDRESS($AJ29,MATCH(W$1,INDIRECT("Table!A" &amp; $AN29):INDIRECT("Table!" &amp; $AQ$85 &amp; $AN29),0))))/1024)</f>
        <v>21.8633671875</v>
      </c>
      <c r="X29" s="595">
        <f ca="1">IF(ISERROR(MATCH(X$1,INDIRECT("Table!A"&amp;$AN29):INDIRECT("Table!" &amp; $AQ$85 &amp; $AN29),0)),"",INDIRECT(CONCATENATE("Table!",ADDRESS($AJ29,MATCH(X$1,INDIRECT("Table!A" &amp; $AN29):INDIRECT("Table!" &amp; $AQ$85 &amp; $AN29),0))))/1024)</f>
        <v>31.017005859374997</v>
      </c>
      <c r="Y29" s="595">
        <f ca="1">IF(ISERROR(MATCH(Y$1,INDIRECT("Table!A"&amp;$AN29):INDIRECT("Table!" &amp; $AQ$85 &amp; $AN29),0)),"",INDIRECT(CONCATENATE("Table!",ADDRESS($AJ29,MATCH(Y$1,INDIRECT("Table!A" &amp; $AN29):INDIRECT("Table!" &amp; $AQ$85 &amp; $AN29),0))))/1024)</f>
        <v>15.442649414062499</v>
      </c>
      <c r="Z29" s="595">
        <f ca="1">IF(ISERROR(MATCH(Z$1,INDIRECT("Table!A"&amp;$AN29):INDIRECT("Table!" &amp; $AQ$85 &amp; $AN29),0)),"",INDIRECT(CONCATENATE("Table!",ADDRESS($AJ29,MATCH(Z$1,INDIRECT("Table!A" &amp; $AN29):INDIRECT("Table!" &amp; $AQ$85 &amp; $AN29),0))))/1024)</f>
        <v>30.720665039062499</v>
      </c>
      <c r="AA29" s="595">
        <f ca="1">IF(ISERROR(MATCH(AA$1,INDIRECT("Table!A"&amp;$AN29):INDIRECT("Table!" &amp; $AQ$85 &amp; $AN29),0)),"",INDIRECT(CONCATENATE("Table!",ADDRESS($AJ29,MATCH(AA$1,INDIRECT("Table!A" &amp; $AN29):INDIRECT("Table!" &amp; $AQ$85 &amp; $AN29),0))))/1024)</f>
        <v>19.2621533203125</v>
      </c>
      <c r="AB29" s="595" t="str">
        <f ca="1">IF(ISERROR(MATCH(AB$1,INDIRECT("Table!A"&amp;$AN29):INDIRECT("Table!" &amp; $AQ$85 &amp; $AN29),0)),"",INDIRECT(CONCATENATE("Table!",ADDRESS($AJ29,MATCH(AB$1,INDIRECT("Table!A" &amp; $AN29):INDIRECT("Table!" &amp; $AQ$85 &amp; $AN29),0))))/1024)</f>
        <v/>
      </c>
      <c r="AC29" s="595"/>
      <c r="AD29" s="595"/>
      <c r="AE29" s="595"/>
      <c r="AF29" s="595"/>
      <c r="AG29" s="595"/>
      <c r="AH29" s="595"/>
      <c r="AI29" s="595"/>
      <c r="AJ29" s="595">
        <f>MATCH($A29,Table!$A:$A,0)+$AL$2-1</f>
        <v>389</v>
      </c>
      <c r="AK29" s="896"/>
      <c r="AL29" s="896"/>
      <c r="AM29" s="896"/>
      <c r="AN29" s="595">
        <f>MATCH($A29,Table!$A:$A,0)+$AP$2-1</f>
        <v>381</v>
      </c>
      <c r="AO29" s="896"/>
      <c r="AP29" s="896"/>
      <c r="AQ29" s="973" t="s">
        <v>302</v>
      </c>
      <c r="AR29" s="699">
        <f t="shared" ca="1" si="13"/>
        <v>3580.5214980468745</v>
      </c>
      <c r="AS29" s="699">
        <f ca="1">AR29-AR43</f>
        <v>454.02706347656203</v>
      </c>
      <c r="AT29" s="699">
        <f t="shared" ca="1" si="14"/>
        <v>271.24079628906253</v>
      </c>
    </row>
    <row r="30" spans="1:46" s="743" customFormat="1" x14ac:dyDescent="0.25">
      <c r="A30" s="592">
        <v>41787</v>
      </c>
      <c r="B30" s="595">
        <f ca="1">IF(ISERROR(MATCH(B$1,INDIRECT("Table!A"&amp;$AN30):INDIRECT("Table!" &amp; $AQ$108 &amp; $AN30),0)),"",INDIRECT(CONCATENATE("Table!",ADDRESS($AJ30,MATCH(B$1,INDIRECT("Table!A" &amp; $AN30):INDIRECT("Table!" &amp; $AQ$108 &amp; $AN30),0))))/1024)</f>
        <v>176.65205566406249</v>
      </c>
      <c r="C30" s="595">
        <f ca="1">IF(ISERROR(MATCH(C$1,INDIRECT("Table!A"&amp;$AN30):INDIRECT("Table!" &amp; $AQ$108 &amp; $AN30),0)),"",INDIRECT(CONCATENATE("Table!",ADDRESS($AJ30,MATCH(C$1,INDIRECT("Table!A" &amp; $AN30):INDIRECT("Table!" &amp; $AQ$108 &amp; $AN30),0))))/1024)</f>
        <v>97.06808203125</v>
      </c>
      <c r="D30" s="595">
        <f ca="1">IF(ISERROR(MATCH(D$1,INDIRECT("Table!A"&amp;$AN30):INDIRECT("Table!" &amp; $AQ$108 &amp; $AN30),0)),"",INDIRECT(CONCATENATE("Table!",ADDRESS($AJ30,MATCH(D$1,INDIRECT("Table!A" &amp; $AN30):INDIRECT("Table!" &amp; $AQ$108 &amp; $AN30),0))))/1024)</f>
        <v>97.06808203125</v>
      </c>
      <c r="E30" s="595">
        <f ca="1">IF(ISERROR(MATCH(E$1,INDIRECT("Table!A"&amp;$AN30):INDIRECT("Table!" &amp; $AQ$108 &amp; $AN30),0)),"",INDIRECT(CONCATENATE("Table!",ADDRESS($AJ30,MATCH(E$1,INDIRECT("Table!A" &amp; $AN30):INDIRECT("Table!" &amp; $AQ$108 &amp; $AN30),0))))/1024)</f>
        <v>247.74092578124998</v>
      </c>
      <c r="F30" s="595">
        <f ca="1">IF(ISERROR(MATCH(F$1,INDIRECT("Table!A"&amp;$AN30):INDIRECT("Table!" &amp; $AQ$108 &amp; $AN30),0)),"",INDIRECT(CONCATENATE("Table!",ADDRESS($AJ30,MATCH(F$1,INDIRECT("Table!A" &amp; $AN30):INDIRECT("Table!" &amp; $AQ$108 &amp; $AN30),0))))/1024)</f>
        <v>110.23878515624999</v>
      </c>
      <c r="G30" s="595">
        <f ca="1">IF(ISERROR(MATCH(G$1,INDIRECT("Table!A"&amp;$AN30):INDIRECT("Table!" &amp; $AQ$108 &amp; $AN30),0)),"",INDIRECT(CONCATENATE("Table!",ADDRESS($AJ30,MATCH(G$1,INDIRECT("Table!A" &amp; $AN30):INDIRECT("Table!" &amp; $AQ$108 &amp; $AN30),0))))/1024)</f>
        <v>448.33073437499996</v>
      </c>
      <c r="H30" s="595">
        <f ca="1">IF(ISERROR(MATCH(H$1,INDIRECT("Table!A"&amp;$AN30):INDIRECT("Table!" &amp; $AQ$108 &amp; $AN30),0)),"",INDIRECT(CONCATENATE("Table!",ADDRESS($AJ30,MATCH(H$1,INDIRECT("Table!A" &amp; $AN30):INDIRECT("Table!" &amp; $AQ$108 &amp; $AN30),0))))/1024)</f>
        <v>231.11291308593749</v>
      </c>
      <c r="I30" s="595">
        <f ca="1">IF(ISERROR(MATCH(I$1,INDIRECT("Table!A"&amp;$AN30):INDIRECT("Table!" &amp; $AQ$85 &amp; $AN30),0)),"",INDIRECT(CONCATENATE("Table!",ADDRESS($AJ30,MATCH(I$1,INDIRECT("Table!A" &amp; $AN30):INDIRECT("Table!" &amp; $AQ$85 &amp; $AN30),0))))/1024)</f>
        <v>45.405999023437495</v>
      </c>
      <c r="J30" s="595">
        <f ca="1">IF(ISERROR(MATCH(J$1,INDIRECT("Table!A"&amp;$AN30):INDIRECT("Table!" &amp; $AQ$85 &amp; $AN30),0)),"",INDIRECT(CONCATENATE("Table!",ADDRESS($AJ30,MATCH(J$1,INDIRECT("Table!A" &amp; $AN30):INDIRECT("Table!" &amp; $AQ$85 &amp; $AN30),0))))/1024)</f>
        <v>195.58494140624998</v>
      </c>
      <c r="K30" s="595">
        <f ca="1">IF(ISERROR(MATCH(K$1,INDIRECT("Table!A"&amp;$AN30):INDIRECT("Table!" &amp; $AQ$85 &amp; $AN30),0)),"",INDIRECT(CONCATENATE("Table!",ADDRESS($AJ30,MATCH(K$1,INDIRECT("Table!A" &amp; $AN30):INDIRECT("Table!" &amp; $AQ$85 &amp; $AN30),0))))/1024)</f>
        <v>197.2971328125</v>
      </c>
      <c r="L30" s="595">
        <f ca="1">IF(ISERROR(MATCH(L$1,INDIRECT("Table!A"&amp;$AN30):INDIRECT("Table!" &amp; $AQ$85 &amp; $AN30),0)),"",INDIRECT(CONCATENATE("Table!",ADDRESS($AJ30,MATCH(L$1,INDIRECT("Table!A" &amp; $AN30):INDIRECT("Table!" &amp; $AQ$85 &amp; $AN30),0))))/1024)</f>
        <v>236.05192675781248</v>
      </c>
      <c r="M30" s="595">
        <f ca="1">IF(ISERROR(MATCH(M$1,INDIRECT("Table!A"&amp;$AN30):INDIRECT("Table!" &amp; $AQ$85 &amp; $AN30),0)),"",INDIRECT(CONCATENATE("Table!",ADDRESS($AJ30,MATCH(M$1,INDIRECT("Table!A" &amp; $AN30):INDIRECT("Table!" &amp; $AQ$85 &amp; $AN30),0))))/1024)</f>
        <v>357.97971093749999</v>
      </c>
      <c r="N30" s="595">
        <f ca="1">IF(ISERROR(MATCH(N$1,INDIRECT("Table!A"&amp;$AN30):INDIRECT("Table!" &amp; $AQ$85 &amp; $AN30),0)),"",INDIRECT(CONCATENATE("Table!",ADDRESS($AJ30,MATCH(N$1,INDIRECT("Table!A" &amp; $AN30):INDIRECT("Table!" &amp; $AQ$85 &amp; $AN30),0))))/1024)</f>
        <v>112.938779296875</v>
      </c>
      <c r="O30" s="595">
        <f ca="1">IF(ISERROR(MATCH(O$1,INDIRECT("Table!A"&amp;$AN30):INDIRECT("Table!" &amp; $AQ$85 &amp; $AN30),0)),"",INDIRECT(CONCATENATE("Table!",ADDRESS($AJ30,MATCH(O$1,INDIRECT("Table!A" &amp; $AN30):INDIRECT("Table!" &amp; $AQ$85 &amp; $AN30),0))))/1024)</f>
        <v>183.99472265624996</v>
      </c>
      <c r="P30" s="595">
        <f ca="1">IF(ISERROR(MATCH(P$1,INDIRECT("Table!A"&amp;$AN30):INDIRECT("Table!" &amp; $AQ$85 &amp; $AN30),0)),"",INDIRECT(CONCATENATE("Table!",ADDRESS($AJ30,MATCH(P$1,INDIRECT("Table!A" &amp; $AN30):INDIRECT("Table!" &amp; $AQ$85 &amp; $AN30),0))))/1024)</f>
        <v>60.157186523437495</v>
      </c>
      <c r="Q30" s="595">
        <f ca="1">IF(ISERROR(MATCH(Q$1,INDIRECT("Table!A"&amp;$AN30):INDIRECT("Table!" &amp; $AQ$85 &amp; $AN30),0)),"",INDIRECT(CONCATENATE("Table!",ADDRESS($AJ30,MATCH(Q$1,INDIRECT("Table!A" &amp; $AN30):INDIRECT("Table!" &amp; $AQ$85 &amp; $AN30),0))))/1024)</f>
        <v>149.58626074218751</v>
      </c>
      <c r="R30" s="595">
        <f ca="1">IF(ISERROR(MATCH(R$1,INDIRECT("Table!A"&amp;$AN30):INDIRECT("Table!" &amp; $AQ$85 &amp; $AN30),0)),"",INDIRECT(CONCATENATE("Table!",ADDRESS($AJ30,MATCH(R$1,INDIRECT("Table!A" &amp; $AN30):INDIRECT("Table!" &amp; $AQ$85 &amp; $AN30),0))))/1024)</f>
        <v>323.37368847656251</v>
      </c>
      <c r="S30" s="595">
        <v>0</v>
      </c>
      <c r="T30" s="595">
        <f ca="1">IF(ISERROR(MATCH(T$1,INDIRECT("Table!A"&amp;$AN30):INDIRECT("Table!" &amp; $AQ$85 &amp; $AN30),0)),"",INDIRECT(CONCATENATE("Table!",ADDRESS($AJ30,MATCH(T$1,INDIRECT("Table!A" &amp; $AN30):INDIRECT("Table!" &amp; $AQ$85 &amp; $AN30),0))))/1024)</f>
        <v>36.318213867187495</v>
      </c>
      <c r="U30" s="595">
        <f ca="1">IF(ISERROR(MATCH(U$1,INDIRECT("Table!A"&amp;$AN30):INDIRECT("Table!" &amp; $AQ$85 &amp; $AN30),0)),"",INDIRECT(CONCATENATE("Table!",ADDRESS($AJ30,MATCH(U$1,INDIRECT("Table!A" &amp; $AN30):INDIRECT("Table!" &amp; $AQ$85 &amp; $AN30),0))))/1024)</f>
        <v>60.848648437499996</v>
      </c>
      <c r="V30" s="595">
        <f ca="1">IF(ISERROR(MATCH(V$1,INDIRECT("Table!A"&amp;$AN30):INDIRECT("Table!" &amp; $AQ$85 &amp; $AN30),0)),"",INDIRECT(CONCATENATE("Table!",ADDRESS($AJ30,MATCH(V$1,INDIRECT("Table!A" &amp; $AN30):INDIRECT("Table!" &amp; $AQ$85 &amp; $AN30),0))))/1024)</f>
        <v>81.658359375000003</v>
      </c>
      <c r="W30" s="595">
        <f ca="1">IF(ISERROR(MATCH(W$1,INDIRECT("Table!A"&amp;$AN30):INDIRECT("Table!" &amp; $AQ$85 &amp; $AN30),0)),"",INDIRECT(CONCATENATE("Table!",ADDRESS($AJ30,MATCH(W$1,INDIRECT("Table!A" &amp; $AN30):INDIRECT("Table!" &amp; $AQ$85 &amp; $AN30),0))))/1024)</f>
        <v>21.8633671875</v>
      </c>
      <c r="X30" s="595">
        <f ca="1">IF(ISERROR(MATCH(X$1,INDIRECT("Table!A"&amp;$AN30):INDIRECT("Table!" &amp; $AQ$85 &amp; $AN30),0)),"",INDIRECT(CONCATENATE("Table!",ADDRESS($AJ30,MATCH(X$1,INDIRECT("Table!A" &amp; $AN30):INDIRECT("Table!" &amp; $AQ$85 &amp; $AN30),0))))/1024)</f>
        <v>31.017005859374997</v>
      </c>
      <c r="Y30" s="595">
        <f ca="1">IF(ISERROR(MATCH(Y$1,INDIRECT("Table!A"&amp;$AN30):INDIRECT("Table!" &amp; $AQ$85 &amp; $AN30),0)),"",INDIRECT(CONCATENATE("Table!",ADDRESS($AJ30,MATCH(Y$1,INDIRECT("Table!A" &amp; $AN30):INDIRECT("Table!" &amp; $AQ$85 &amp; $AN30),0))))/1024)</f>
        <v>15.442649414062499</v>
      </c>
      <c r="Z30" s="595">
        <f ca="1">IF(ISERROR(MATCH(Z$1,INDIRECT("Table!A"&amp;$AN30):INDIRECT("Table!" &amp; $AQ$85 &amp; $AN30),0)),"",INDIRECT(CONCATENATE("Table!",ADDRESS($AJ30,MATCH(Z$1,INDIRECT("Table!A" &amp; $AN30):INDIRECT("Table!" &amp; $AQ$85 &amp; $AN30),0))))/1024)</f>
        <v>30.720665039062499</v>
      </c>
      <c r="AA30" s="595">
        <f ca="1">IF(ISERROR(MATCH(AA$1,INDIRECT("Table!A"&amp;$AN30):INDIRECT("Table!" &amp; $AQ$85 &amp; $AN30),0)),"",INDIRECT(CONCATENATE("Table!",ADDRESS($AJ30,MATCH(AA$1,INDIRECT("Table!A" &amp; $AN30):INDIRECT("Table!" &amp; $AQ$85 &amp; $AN30),0))))/1024)</f>
        <v>6.5524248046875</v>
      </c>
      <c r="AB30" s="595" t="str">
        <f ca="1">IF(ISERROR(MATCH(AB$1,INDIRECT("Table!A"&amp;$AN30):INDIRECT("Table!" &amp; $AQ$85 &amp; $AN30),0)),"",INDIRECT(CONCATENATE("Table!",ADDRESS($AJ30,MATCH(AB$1,INDIRECT("Table!A" &amp; $AN30):INDIRECT("Table!" &amp; $AQ$85 &amp; $AN30),0))))/1024)</f>
        <v/>
      </c>
      <c r="AC30" s="595"/>
      <c r="AD30" s="595"/>
      <c r="AE30" s="595"/>
      <c r="AF30" s="595"/>
      <c r="AG30" s="595"/>
      <c r="AH30" s="595"/>
      <c r="AI30" s="595"/>
      <c r="AJ30" s="595">
        <f>MATCH($A30,Table!$A:$A,0)+$AL$2-1</f>
        <v>403</v>
      </c>
      <c r="AK30" s="893"/>
      <c r="AL30" s="893"/>
      <c r="AM30" s="893"/>
      <c r="AN30" s="595">
        <f>MATCH($A30,Table!$A:$A,0)+$AP$2-1</f>
        <v>395</v>
      </c>
      <c r="AO30" s="893"/>
      <c r="AP30" s="893"/>
      <c r="AQ30" s="973" t="s">
        <v>302</v>
      </c>
      <c r="AR30" s="699">
        <f t="shared" ca="1" si="13"/>
        <v>3555.0032607421872</v>
      </c>
      <c r="AS30" s="699">
        <f ca="1">AR30-AR43</f>
        <v>428.50882617187472</v>
      </c>
      <c r="AT30" s="699">
        <f t="shared" ca="1" si="14"/>
        <v>232.14027138671881</v>
      </c>
    </row>
    <row r="31" spans="1:46" s="743" customFormat="1" x14ac:dyDescent="0.25">
      <c r="A31" s="592">
        <v>41780</v>
      </c>
      <c r="B31" s="595">
        <f ca="1">IF(ISERROR(MATCH(B$1,INDIRECT("Table!A"&amp;$AN31):INDIRECT("Table!" &amp; $AQ$108 &amp; $AN31),0)),"",INDIRECT(CONCATENATE("Table!",ADDRESS($AJ31,MATCH(B$1,INDIRECT("Table!A" &amp; $AN31):INDIRECT("Table!" &amp; $AQ$108 &amp; $AN31),0))))/1024)</f>
        <v>177.7057119140625</v>
      </c>
      <c r="C31" s="595">
        <f ca="1">IF(ISERROR(MATCH(C$1,INDIRECT("Table!A"&amp;$AN31):INDIRECT("Table!" &amp; $AQ$108 &amp; $AN31),0)),"",INDIRECT(CONCATENATE("Table!",ADDRESS($AJ31,MATCH(C$1,INDIRECT("Table!A" &amp; $AN31):INDIRECT("Table!" &amp; $AQ$108 &amp; $AN31),0))))/1024)</f>
        <v>98.154665039062493</v>
      </c>
      <c r="D31" s="595">
        <f ca="1">IF(ISERROR(MATCH(D$1,INDIRECT("Table!A"&amp;$AN31):INDIRECT("Table!" &amp; $AQ$108 &amp; $AN31),0)),"",INDIRECT(CONCATENATE("Table!",ADDRESS($AJ31,MATCH(D$1,INDIRECT("Table!A" &amp; $AN31):INDIRECT("Table!" &amp; $AQ$108 &amp; $AN31),0))))/1024)</f>
        <v>99.0107607421875</v>
      </c>
      <c r="E31" s="595">
        <f ca="1">IF(ISERROR(MATCH(E$1,INDIRECT("Table!A"&amp;$AN31):INDIRECT("Table!" &amp; $AQ$108 &amp; $AN31),0)),"",INDIRECT(CONCATENATE("Table!",ADDRESS($AJ31,MATCH(E$1,INDIRECT("Table!A" &amp; $AN31):INDIRECT("Table!" &amp; $AQ$108 &amp; $AN31),0))))/1024)</f>
        <v>253.5689619140625</v>
      </c>
      <c r="F31" s="595">
        <f ca="1">IF(ISERROR(MATCH(F$1,INDIRECT("Table!A"&amp;$AN31):INDIRECT("Table!" &amp; $AQ$108 &amp; $AN31),0)),"",INDIRECT(CONCATENATE("Table!",ADDRESS($AJ31,MATCH(F$1,INDIRECT("Table!A" &amp; $AN31):INDIRECT("Table!" &amp; $AQ$108 &amp; $AN31),0))))/1024)</f>
        <v>110.50219921874999</v>
      </c>
      <c r="G31" s="595">
        <f ca="1">IF(ISERROR(MATCH(G$1,INDIRECT("Table!A"&amp;$AN31):INDIRECT("Table!" &amp; $AQ$108 &amp; $AN31),0)),"",INDIRECT(CONCATENATE("Table!",ADDRESS($AJ31,MATCH(G$1,INDIRECT("Table!A" &amp; $AN31):INDIRECT("Table!" &amp; $AQ$108 &amp; $AN31),0))))/1024)</f>
        <v>448.29780761718746</v>
      </c>
      <c r="H31" s="595">
        <f ca="1">IF(ISERROR(MATCH(H$1,INDIRECT("Table!A"&amp;$AN31):INDIRECT("Table!" &amp; $AQ$108 &amp; $AN31),0)),"",INDIRECT(CONCATENATE("Table!",ADDRESS($AJ31,MATCH(H$1,INDIRECT("Table!A" &amp; $AN31):INDIRECT("Table!" &amp; $AQ$108 &amp; $AN31),0))))/1024)</f>
        <v>233.54949316406248</v>
      </c>
      <c r="I31" s="595">
        <f ca="1">IF(ISERROR(MATCH(I$1,INDIRECT("Table!A"&amp;$AN31):INDIRECT("Table!" &amp; $AQ$85 &amp; $AN31),0)),"",INDIRECT(CONCATENATE("Table!",ADDRESS($AJ31,MATCH(I$1,INDIRECT("Table!A" &amp; $AN31):INDIRECT("Table!" &amp; $AQ$85 &amp; $AN31),0))))/1024)</f>
        <v>45.405999023437495</v>
      </c>
      <c r="J31" s="595">
        <f ca="1">IF(ISERROR(MATCH(J$1,INDIRECT("Table!A"&amp;$AN31):INDIRECT("Table!" &amp; $AQ$85 &amp; $AN31),0)),"",INDIRECT(CONCATENATE("Table!",ADDRESS($AJ31,MATCH(J$1,INDIRECT("Table!A" &amp; $AN31):INDIRECT("Table!" &amp; $AQ$85 &amp; $AN31),0))))/1024)</f>
        <v>192.5556796875</v>
      </c>
      <c r="K31" s="595">
        <f ca="1">IF(ISERROR(MATCH(K$1,INDIRECT("Table!A"&amp;$AN31):INDIRECT("Table!" &amp; $AQ$85 &amp; $AN31),0)),"",INDIRECT(CONCATENATE("Table!",ADDRESS($AJ31,MATCH(K$1,INDIRECT("Table!A" &amp; $AN31):INDIRECT("Table!" &amp; $AQ$85 &amp; $AN31),0))))/1024)</f>
        <v>186.00325488281248</v>
      </c>
      <c r="L31" s="595">
        <f ca="1">IF(ISERROR(MATCH(L$1,INDIRECT("Table!A"&amp;$AN31):INDIRECT("Table!" &amp; $AQ$85 &amp; $AN31),0)),"",INDIRECT(CONCATENATE("Table!",ADDRESS($AJ31,MATCH(L$1,INDIRECT("Table!A" &amp; $AN31):INDIRECT("Table!" &amp; $AQ$85 &amp; $AN31),0))))/1024)</f>
        <v>250.50677343749999</v>
      </c>
      <c r="M31" s="595">
        <f ca="1">IF(ISERROR(MATCH(M$1,INDIRECT("Table!A"&amp;$AN31):INDIRECT("Table!" &amp; $AQ$85 &amp; $AN31),0)),"",INDIRECT(CONCATENATE("Table!",ADDRESS($AJ31,MATCH(M$1,INDIRECT("Table!A" &amp; $AN31):INDIRECT("Table!" &amp; $AQ$85 &amp; $AN31),0))))/1024)</f>
        <v>357.97971093749999</v>
      </c>
      <c r="N31" s="595">
        <f ca="1">IF(ISERROR(MATCH(N$1,INDIRECT("Table!A"&amp;$AN31):INDIRECT("Table!" &amp; $AQ$85 &amp; $AN31),0)),"",INDIRECT(CONCATENATE("Table!",ADDRESS($AJ31,MATCH(N$1,INDIRECT("Table!A" &amp; $AN31):INDIRECT("Table!" &amp; $AQ$85 &amp; $AN31),0))))/1024)</f>
        <v>112.938779296875</v>
      </c>
      <c r="O31" s="595">
        <f ca="1">IF(ISERROR(MATCH(O$1,INDIRECT("Table!A"&amp;$AN31):INDIRECT("Table!" &amp; $AQ$85 &amp; $AN31),0)),"",INDIRECT(CONCATENATE("Table!",ADDRESS($AJ31,MATCH(O$1,INDIRECT("Table!A" &amp; $AN31):INDIRECT("Table!" &amp; $AQ$85 &amp; $AN31),0))))/1024)</f>
        <v>183.99472265624996</v>
      </c>
      <c r="P31" s="595">
        <f ca="1">IF(ISERROR(MATCH(P$1,INDIRECT("Table!A"&amp;$AN31):INDIRECT("Table!" &amp; $AQ$85 &amp; $AN31),0)),"",INDIRECT(CONCATENATE("Table!",ADDRESS($AJ31,MATCH(P$1,INDIRECT("Table!A" &amp; $AN31):INDIRECT("Table!" &amp; $AQ$85 &amp; $AN31),0))))/1024)</f>
        <v>60.157186523437495</v>
      </c>
      <c r="Q31" s="595">
        <f ca="1">IF(ISERROR(MATCH(Q$1,INDIRECT("Table!A"&amp;$AN31):INDIRECT("Table!" &amp; $AQ$85 &amp; $AN31),0)),"",INDIRECT(CONCATENATE("Table!",ADDRESS($AJ31,MATCH(Q$1,INDIRECT("Table!A" &amp; $AN31):INDIRECT("Table!" &amp; $AQ$85 &amp; $AN31),0))))/1024)</f>
        <v>146.5569990234375</v>
      </c>
      <c r="R31" s="595">
        <f ca="1">IF(ISERROR(MATCH(R$1,INDIRECT("Table!A"&amp;$AN31):INDIRECT("Table!" &amp; $AQ$85 &amp; $AN31),0)),"",INDIRECT(CONCATENATE("Table!",ADDRESS($AJ31,MATCH(R$1,INDIRECT("Table!A" &amp; $AN31):INDIRECT("Table!" &amp; $AQ$85 &amp; $AN31),0))))/1024)</f>
        <v>317.94077343750001</v>
      </c>
      <c r="S31" s="595">
        <v>0</v>
      </c>
      <c r="T31" s="595">
        <f ca="1">IF(ISERROR(MATCH(T$1,INDIRECT("Table!A"&amp;$AN31):INDIRECT("Table!" &amp; $AQ$85 &amp; $AN31),0)),"",INDIRECT(CONCATENATE("Table!",ADDRESS($AJ31,MATCH(T$1,INDIRECT("Table!A" &amp; $AN31):INDIRECT("Table!" &amp; $AQ$85 &amp; $AN31),0))))/1024)</f>
        <v>36.318213867187495</v>
      </c>
      <c r="U31" s="595">
        <f ca="1">IF(ISERROR(MATCH(U$1,INDIRECT("Table!A"&amp;$AN31):INDIRECT("Table!" &amp; $AQ$85 &amp; $AN31),0)),"",INDIRECT(CONCATENATE("Table!",ADDRESS($AJ31,MATCH(U$1,INDIRECT("Table!A" &amp; $AN31):INDIRECT("Table!" &amp; $AQ$85 &amp; $AN31),0))))/1024)</f>
        <v>60.848648437499996</v>
      </c>
      <c r="V31" s="595">
        <f ca="1">IF(ISERROR(MATCH(V$1,INDIRECT("Table!A"&amp;$AN31):INDIRECT("Table!" &amp; $AQ$85 &amp; $AN31),0)),"",INDIRECT(CONCATENATE("Table!",ADDRESS($AJ31,MATCH(V$1,INDIRECT("Table!A" &amp; $AN31):INDIRECT("Table!" &amp; $AQ$85 &amp; $AN31),0))))/1024)</f>
        <v>81.658359375000003</v>
      </c>
      <c r="W31" s="595">
        <f ca="1">IF(ISERROR(MATCH(W$1,INDIRECT("Table!A"&amp;$AN31):INDIRECT("Table!" &amp; $AQ$85 &amp; $AN31),0)),"",INDIRECT(CONCATENATE("Table!",ADDRESS($AJ31,MATCH(W$1,INDIRECT("Table!A" &amp; $AN31):INDIRECT("Table!" &amp; $AQ$85 &amp; $AN31),0))))/1024)</f>
        <v>16.562159179687498</v>
      </c>
      <c r="X31" s="595">
        <f ca="1">IF(ISERROR(MATCH(X$1,INDIRECT("Table!A"&amp;$AN31):INDIRECT("Table!" &amp; $AQ$85 &amp; $AN31),0)),"",INDIRECT(CONCATENATE("Table!",ADDRESS($AJ31,MATCH(X$1,INDIRECT("Table!A" &amp; $AN31):INDIRECT("Table!" &amp; $AQ$85 &amp; $AN31),0))))/1024)</f>
        <v>22.851169921874998</v>
      </c>
      <c r="Y31" s="595">
        <f ca="1">IF(ISERROR(MATCH(Y$1,INDIRECT("Table!A"&amp;$AN31):INDIRECT("Table!" &amp; $AQ$85 &amp; $AN31),0)),"",INDIRECT(CONCATENATE("Table!",ADDRESS($AJ31,MATCH(Y$1,INDIRECT("Table!A" &amp; $AN31):INDIRECT("Table!" &amp; $AQ$85 &amp; $AN31),0))))/1024)</f>
        <v>15.442649414062499</v>
      </c>
      <c r="Z31" s="595">
        <f ca="1">IF(ISERROR(MATCH(Z$1,INDIRECT("Table!A"&amp;$AN31):INDIRECT("Table!" &amp; $AQ$85 &amp; $AN31),0)),"",INDIRECT(CONCATENATE("Table!",ADDRESS($AJ31,MATCH(Z$1,INDIRECT("Table!A" &amp; $AN31):INDIRECT("Table!" &amp; $AQ$85 &amp; $AN31),0))))/1024)</f>
        <v>30.720665039062499</v>
      </c>
      <c r="AA31" s="595">
        <f ca="1">IF(ISERROR(MATCH(AA$1,INDIRECT("Table!A"&amp;$AN31):INDIRECT("Table!" &amp; $AQ$85 &amp; $AN31),0)),"",INDIRECT(CONCATENATE("Table!",ADDRESS($AJ31,MATCH(AA$1,INDIRECT("Table!A" &amp; $AN31):INDIRECT("Table!" &amp; $AQ$85 &amp; $AN31),0))))/1024)</f>
        <v>-3.2926757812499999E-2</v>
      </c>
      <c r="AB31" s="595" t="str">
        <f ca="1">IF(ISERROR(MATCH(AB$1,INDIRECT("Table!A"&amp;$AN31):INDIRECT("Table!" &amp; $AQ$85 &amp; $AN31),0)),"",INDIRECT(CONCATENATE("Table!",ADDRESS($AJ31,MATCH(AB$1,INDIRECT("Table!A" &amp; $AN31):INDIRECT("Table!" &amp; $AQ$85 &amp; $AN31),0))))/1024)</f>
        <v/>
      </c>
      <c r="AC31" s="595"/>
      <c r="AD31" s="595"/>
      <c r="AE31" s="595"/>
      <c r="AF31" s="595"/>
      <c r="AG31" s="595"/>
      <c r="AH31" s="595"/>
      <c r="AI31" s="595"/>
      <c r="AJ31" s="595">
        <f>MATCH($A31,Table!$A:$A,0)+$AL$2-1</f>
        <v>417</v>
      </c>
      <c r="AK31" s="893"/>
      <c r="AL31" s="893"/>
      <c r="AM31" s="893"/>
      <c r="AN31" s="595">
        <f>MATCH($A31,Table!$A:$A,0)+$AP$2-1</f>
        <v>409</v>
      </c>
      <c r="AO31" s="893"/>
      <c r="AP31" s="893"/>
      <c r="AQ31" s="973" t="s">
        <v>302</v>
      </c>
      <c r="AR31" s="699">
        <f t="shared" ca="1" si="13"/>
        <v>3539.198416992187</v>
      </c>
      <c r="AS31" s="699">
        <f ca="1">AR31-AR43</f>
        <v>412.70398242187457</v>
      </c>
      <c r="AT31" s="699">
        <f t="shared" ca="1" si="14"/>
        <v>193.22084365234383</v>
      </c>
    </row>
    <row r="32" spans="1:46" s="743" customFormat="1" x14ac:dyDescent="0.25">
      <c r="A32" s="592">
        <v>41773</v>
      </c>
      <c r="B32" s="595">
        <f ca="1">IF(ISERROR(MATCH(B$1,INDIRECT("Table!A"&amp;$AN32):INDIRECT("Table!" &amp; $AQ$108 &amp; $AN32),0)),"",INDIRECT(CONCATENATE("Table!",ADDRESS($AJ32,MATCH(B$1,INDIRECT("Table!A" &amp; $AN32):INDIRECT("Table!" &amp; $AQ$108 &amp; $AN32),0))))/1024)</f>
        <v>177.7057119140625</v>
      </c>
      <c r="C32" s="595">
        <f ca="1">IF(ISERROR(MATCH(C$1,INDIRECT("Table!A"&amp;$AN32):INDIRECT("Table!" &amp; $AQ$108 &amp; $AN32),0)),"",INDIRECT(CONCATENATE("Table!",ADDRESS($AJ32,MATCH(C$1,INDIRECT("Table!A" &amp; $AN32):INDIRECT("Table!" &amp; $AQ$108 &amp; $AN32),0))))/1024)</f>
        <v>97.858324218749999</v>
      </c>
      <c r="D32" s="595">
        <f ca="1">IF(ISERROR(MATCH(D$1,INDIRECT("Table!A"&amp;$AN32):INDIRECT("Table!" &amp; $AQ$108 &amp; $AN32),0)),"",INDIRECT(CONCATENATE("Table!",ADDRESS($AJ32,MATCH(D$1,INDIRECT("Table!A" &amp; $AN32):INDIRECT("Table!" &amp; $AQ$108 &amp; $AN32),0))))/1024)</f>
        <v>98.714419921874992</v>
      </c>
      <c r="E32" s="595">
        <f ca="1">IF(ISERROR(MATCH(E$1,INDIRECT("Table!A"&amp;$AN32):INDIRECT("Table!" &amp; $AQ$108 &amp; $AN32),0)),"",INDIRECT(CONCATENATE("Table!",ADDRESS($AJ32,MATCH(E$1,INDIRECT("Table!A" &amp; $AN32):INDIRECT("Table!" &amp; $AQ$108 &amp; $AN32),0))))/1024)</f>
        <v>253.5689619140625</v>
      </c>
      <c r="F32" s="595">
        <f ca="1">IF(ISERROR(MATCH(F$1,INDIRECT("Table!A"&amp;$AN32):INDIRECT("Table!" &amp; $AQ$108 &amp; $AN32),0)),"",INDIRECT(CONCATENATE("Table!",ADDRESS($AJ32,MATCH(F$1,INDIRECT("Table!A" &amp; $AN32):INDIRECT("Table!" &amp; $AQ$108 &amp; $AN32),0))))/1024)</f>
        <v>110.50219921874999</v>
      </c>
      <c r="G32" s="595">
        <f ca="1">IF(ISERROR(MATCH(G$1,INDIRECT("Table!A"&amp;$AN32):INDIRECT("Table!" &amp; $AQ$108 &amp; $AN32),0)),"",INDIRECT(CONCATENATE("Table!",ADDRESS($AJ32,MATCH(G$1,INDIRECT("Table!A" &amp; $AN32):INDIRECT("Table!" &amp; $AQ$108 &amp; $AN32),0))))/1024)</f>
        <v>448.26488085937495</v>
      </c>
      <c r="H32" s="595">
        <f ca="1">IF(ISERROR(MATCH(H$1,INDIRECT("Table!A"&amp;$AN32):INDIRECT("Table!" &amp; $AQ$108 &amp; $AN32),0)),"",INDIRECT(CONCATENATE("Table!",ADDRESS($AJ32,MATCH(H$1,INDIRECT("Table!A" &amp; $AN32):INDIRECT("Table!" &amp; $AQ$108 &amp; $AN32),0))))/1024)</f>
        <v>233.54949316406248</v>
      </c>
      <c r="I32" s="595">
        <f ca="1">IF(ISERROR(MATCH(I$1,INDIRECT("Table!A"&amp;$AN32):INDIRECT("Table!" &amp; $AQ$85 &amp; $AN32),0)),"",INDIRECT(CONCATENATE("Table!",ADDRESS($AJ32,MATCH(I$1,INDIRECT("Table!A" &amp; $AN32):INDIRECT("Table!" &amp; $AQ$85 &amp; $AN32),0))))/1024)</f>
        <v>45.405999023437495</v>
      </c>
      <c r="J32" s="595">
        <f ca="1">IF(ISERROR(MATCH(J$1,INDIRECT("Table!A"&amp;$AN32):INDIRECT("Table!" &amp; $AQ$85 &amp; $AN32),0)),"",INDIRECT(CONCATENATE("Table!",ADDRESS($AJ32,MATCH(J$1,INDIRECT("Table!A" &amp; $AN32):INDIRECT("Table!" &amp; $AQ$85 &amp; $AN32),0))))/1024)</f>
        <v>192.5556796875</v>
      </c>
      <c r="K32" s="595">
        <f ca="1">IF(ISERROR(MATCH(K$1,INDIRECT("Table!A"&amp;$AN32):INDIRECT("Table!" &amp; $AQ$85 &amp; $AN32),0)),"",INDIRECT(CONCATENATE("Table!",ADDRESS($AJ32,MATCH(K$1,INDIRECT("Table!A" &amp; $AN32):INDIRECT("Table!" &amp; $AQ$85 &amp; $AN32),0))))/1024)</f>
        <v>178.95692871093749</v>
      </c>
      <c r="L32" s="595">
        <f ca="1">IF(ISERROR(MATCH(L$1,INDIRECT("Table!A"&amp;$AN32):INDIRECT("Table!" &amp; $AQ$85 &amp; $AN32),0)),"",INDIRECT(CONCATENATE("Table!",ADDRESS($AJ32,MATCH(L$1,INDIRECT("Table!A" &amp; $AN32):INDIRECT("Table!" &amp; $AQ$85 &amp; $AN32),0))))/1024)</f>
        <v>251.00067480468749</v>
      </c>
      <c r="M32" s="595">
        <f ca="1">IF(ISERROR(MATCH(M$1,INDIRECT("Table!A"&amp;$AN32):INDIRECT("Table!" &amp; $AQ$85 &amp; $AN32),0)),"",INDIRECT(CONCATENATE("Table!",ADDRESS($AJ32,MATCH(M$1,INDIRECT("Table!A" &amp; $AN32):INDIRECT("Table!" &amp; $AQ$85 &amp; $AN32),0))))/1024)</f>
        <v>357.97971093749999</v>
      </c>
      <c r="N32" s="595">
        <f ca="1">IF(ISERROR(MATCH(N$1,INDIRECT("Table!A"&amp;$AN32):INDIRECT("Table!" &amp; $AQ$85 &amp; $AN32),0)),"",INDIRECT(CONCATENATE("Table!",ADDRESS($AJ32,MATCH(N$1,INDIRECT("Table!A" &amp; $AN32):INDIRECT("Table!" &amp; $AQ$85 &amp; $AN32),0))))/1024)</f>
        <v>112.938779296875</v>
      </c>
      <c r="O32" s="595">
        <f ca="1">IF(ISERROR(MATCH(O$1,INDIRECT("Table!A"&amp;$AN32):INDIRECT("Table!" &amp; $AQ$85 &amp; $AN32),0)),"",INDIRECT(CONCATENATE("Table!",ADDRESS($AJ32,MATCH(O$1,INDIRECT("Table!A" &amp; $AN32):INDIRECT("Table!" &amp; $AQ$85 &amp; $AN32),0))))/1024)</f>
        <v>186.43130273437498</v>
      </c>
      <c r="P32" s="595">
        <f ca="1">IF(ISERROR(MATCH(P$1,INDIRECT("Table!A"&amp;$AN32):INDIRECT("Table!" &amp; $AQ$85 &amp; $AN32),0)),"",INDIRECT(CONCATENATE("Table!",ADDRESS($AJ32,MATCH(P$1,INDIRECT("Table!A" &amp; $AN32):INDIRECT("Table!" &amp; $AQ$85 &amp; $AN32),0))))/1024)</f>
        <v>60.157186523437495</v>
      </c>
      <c r="Q32" s="595">
        <f ca="1">IF(ISERROR(MATCH(Q$1,INDIRECT("Table!A"&amp;$AN32):INDIRECT("Table!" &amp; $AQ$85 &amp; $AN32),0)),"",INDIRECT(CONCATENATE("Table!",ADDRESS($AJ32,MATCH(Q$1,INDIRECT("Table!A" &amp; $AN32):INDIRECT("Table!" &amp; $AQ$85 &amp; $AN32),0))))/1024)</f>
        <v>146.5569990234375</v>
      </c>
      <c r="R32" s="595">
        <f ca="1">IF(ISERROR(MATCH(R$1,INDIRECT("Table!A"&amp;$AN32):INDIRECT("Table!" &amp; $AQ$85 &amp; $AN32),0)),"",INDIRECT(CONCATENATE("Table!",ADDRESS($AJ32,MATCH(R$1,INDIRECT("Table!A" &amp; $AN32):INDIRECT("Table!" &amp; $AQ$85 &amp; $AN32),0))))/1024)</f>
        <v>312.24444433593749</v>
      </c>
      <c r="S32" s="595">
        <v>0</v>
      </c>
      <c r="T32" s="595">
        <f ca="1">IF(ISERROR(MATCH(T$1,INDIRECT("Table!A"&amp;$AN32):INDIRECT("Table!" &amp; $AQ$85 &amp; $AN32),0)),"",INDIRECT(CONCATENATE("Table!",ADDRESS($AJ32,MATCH(T$1,INDIRECT("Table!A" &amp; $AN32):INDIRECT("Table!" &amp; $AQ$85 &amp; $AN32),0))))/1024)</f>
        <v>36.318213867187495</v>
      </c>
      <c r="U32" s="595">
        <f ca="1">IF(ISERROR(MATCH(U$1,INDIRECT("Table!A"&amp;$AN32):INDIRECT("Table!" &amp; $AQ$85 &amp; $AN32),0)),"",INDIRECT(CONCATENATE("Table!",ADDRESS($AJ32,MATCH(U$1,INDIRECT("Table!A" &amp; $AN32):INDIRECT("Table!" &amp; $AQ$85 &amp; $AN32),0))))/1024)</f>
        <v>60.848648437499996</v>
      </c>
      <c r="V32" s="595">
        <f ca="1">IF(ISERROR(MATCH(V$1,INDIRECT("Table!A"&amp;$AN32):INDIRECT("Table!" &amp; $AQ$85 &amp; $AN32),0)),"",INDIRECT(CONCATENATE("Table!",ADDRESS($AJ32,MATCH(V$1,INDIRECT("Table!A" &amp; $AN32):INDIRECT("Table!" &amp; $AQ$85 &amp; $AN32),0))))/1024)</f>
        <v>81.658359375000003</v>
      </c>
      <c r="W32" s="595">
        <f ca="1">IF(ISERROR(MATCH(W$1,INDIRECT("Table!A"&amp;$AN32):INDIRECT("Table!" &amp; $AQ$85 &amp; $AN32),0)),"",INDIRECT(CONCATENATE("Table!",ADDRESS($AJ32,MATCH(W$1,INDIRECT("Table!A" &amp; $AN32):INDIRECT("Table!" &amp; $AQ$85 &amp; $AN32),0))))/1024)</f>
        <v>13.829238281249999</v>
      </c>
      <c r="X32" s="595">
        <f ca="1">IF(ISERROR(MATCH(X$1,INDIRECT("Table!A"&amp;$AN32):INDIRECT("Table!" &amp; $AQ$85 &amp; $AN32),0)),"",INDIRECT(CONCATENATE("Table!",ADDRESS($AJ32,MATCH(X$1,INDIRECT("Table!A" &amp; $AN32):INDIRECT("Table!" &amp; $AQ$85 &amp; $AN32),0))))/1024)</f>
        <v>20.1182490234375</v>
      </c>
      <c r="Y32" s="595">
        <f ca="1">IF(ISERROR(MATCH(Y$1,INDIRECT("Table!A"&amp;$AN32):INDIRECT("Table!" &amp; $AQ$85 &amp; $AN32),0)),"",INDIRECT(CONCATENATE("Table!",ADDRESS($AJ32,MATCH(Y$1,INDIRECT("Table!A" &amp; $AN32):INDIRECT("Table!" &amp; $AQ$85 &amp; $AN32),0))))/1024)</f>
        <v>15.442649414062499</v>
      </c>
      <c r="Z32" s="595">
        <f ca="1">IF(ISERROR(MATCH(Z$1,INDIRECT("Table!A"&amp;$AN32):INDIRECT("Table!" &amp; $AQ$85 &amp; $AN32),0)),"",INDIRECT(CONCATENATE("Table!",ADDRESS($AJ32,MATCH(Z$1,INDIRECT("Table!A" &amp; $AN32):INDIRECT("Table!" &amp; $AQ$85 &amp; $AN32),0))))/1024)</f>
        <v>30.720665039062499</v>
      </c>
      <c r="AA32" s="595" t="str">
        <f ca="1">IF(ISERROR(MATCH(AA$1,INDIRECT("Table!A"&amp;$AN32):INDIRECT("Table!" &amp; $AQ$85 &amp; $AN32),0)),"",INDIRECT(CONCATENATE("Table!",ADDRESS($AJ32,MATCH(AA$1,INDIRECT("Table!A" &amp; $AN32):INDIRECT("Table!" &amp; $AQ$85 &amp; $AN32),0))))/1024)</f>
        <v/>
      </c>
      <c r="AB32" s="595" t="str">
        <f ca="1">IF(ISERROR(MATCH(AB$1,INDIRECT("Table!A"&amp;$AN32):INDIRECT("Table!" &amp; $AQ$85 &amp; $AN32),0)),"",INDIRECT(CONCATENATE("Table!",ADDRESS($AJ32,MATCH(AB$1,INDIRECT("Table!A" &amp; $AN32):INDIRECT("Table!" &amp; $AQ$85 &amp; $AN32),0))))/1024)</f>
        <v/>
      </c>
      <c r="AC32" s="595"/>
      <c r="AD32" s="595"/>
      <c r="AE32" s="595"/>
      <c r="AF32" s="595"/>
      <c r="AG32" s="595"/>
      <c r="AH32" s="595"/>
      <c r="AI32" s="595"/>
      <c r="AJ32" s="595">
        <f>MATCH($A32,Table!$A:$A,0)+$AL$2-1</f>
        <v>431</v>
      </c>
      <c r="AK32" s="890"/>
      <c r="AL32" s="890"/>
      <c r="AM32" s="890"/>
      <c r="AN32" s="595">
        <f>MATCH($A32,Table!$A:$A,0)+$AP$2-1</f>
        <v>423</v>
      </c>
      <c r="AO32" s="890"/>
      <c r="AP32" s="890"/>
      <c r="AQ32" s="973" t="s">
        <v>302</v>
      </c>
      <c r="AR32" s="699">
        <f t="shared" ca="1" si="13"/>
        <v>3523.3277197265625</v>
      </c>
      <c r="AS32" s="699">
        <f ca="1">AR32-AR43</f>
        <v>396.83328515624999</v>
      </c>
      <c r="AT32" s="699">
        <f t="shared" ca="1" si="14"/>
        <v>156.34616757812509</v>
      </c>
    </row>
    <row r="33" spans="1:46" s="743" customFormat="1" x14ac:dyDescent="0.25">
      <c r="A33" s="592">
        <v>41766</v>
      </c>
      <c r="B33" s="595">
        <f ca="1">IF(ISERROR(MATCH(B$1,INDIRECT("Table!A"&amp;$AN33):INDIRECT("Table!" &amp; $AQ$108 &amp; $AN33),0)),"",INDIRECT(CONCATENATE("Table!",ADDRESS($AJ33,MATCH(B$1,INDIRECT("Table!A" &amp; $AN33):INDIRECT("Table!" &amp; $AQ$108 &amp; $AN33),0))))/1024)</f>
        <v>177.7060546875</v>
      </c>
      <c r="C33" s="595">
        <f ca="1">IF(ISERROR(MATCH(C$1,INDIRECT("Table!A"&amp;$AN33):INDIRECT("Table!" &amp; $AQ$108 &amp; $AN33),0)),"",INDIRECT(CONCATENATE("Table!",ADDRESS($AJ33,MATCH(C$1,INDIRECT("Table!A" &amp; $AN33):INDIRECT("Table!" &amp; $AQ$108 &amp; $AN33),0))))/1024)</f>
        <v>97.529296875</v>
      </c>
      <c r="D33" s="595">
        <f ca="1">IF(ISERROR(MATCH(D$1,INDIRECT("Table!A"&amp;$AN33):INDIRECT("Table!" &amp; $AQ$108 &amp; $AN33),0)),"",INDIRECT(CONCATENATE("Table!",ADDRESS($AJ33,MATCH(D$1,INDIRECT("Table!A" &amp; $AN33):INDIRECT("Table!" &amp; $AQ$108 &amp; $AN33),0))))/1024)</f>
        <v>98.384765625</v>
      </c>
      <c r="E33" s="595">
        <f ca="1">IF(ISERROR(MATCH(E$1,INDIRECT("Table!A"&amp;$AN33):INDIRECT("Table!" &amp; $AQ$108 &amp; $AN33),0)),"",INDIRECT(CONCATENATE("Table!",ADDRESS($AJ33,MATCH(E$1,INDIRECT("Table!A" &amp; $AN33):INDIRECT("Table!" &amp; $AQ$108 &amp; $AN33),0))))/1024)</f>
        <v>253.4697265625</v>
      </c>
      <c r="F33" s="595">
        <f ca="1">IF(ISERROR(MATCH(F$1,INDIRECT("Table!A"&amp;$AN33):INDIRECT("Table!" &amp; $AQ$108 &amp; $AN33),0)),"",INDIRECT(CONCATENATE("Table!",ADDRESS($AJ33,MATCH(F$1,INDIRECT("Table!A" &amp; $AN33):INDIRECT("Table!" &amp; $AQ$108 &amp; $AN33),0))))/1024)</f>
        <v>110.501953125</v>
      </c>
      <c r="G33" s="595">
        <f ca="1">IF(ISERROR(MATCH(G$1,INDIRECT("Table!A"&amp;$AN33):INDIRECT("Table!" &amp; $AQ$108 &amp; $AN33),0)),"",INDIRECT(CONCATENATE("Table!",ADDRESS($AJ33,MATCH(G$1,INDIRECT("Table!A" &amp; $AN33):INDIRECT("Table!" &amp; $AQ$108 &amp; $AN33),0))))/1024)</f>
        <v>448.2646484375</v>
      </c>
      <c r="H33" s="595">
        <f ca="1">IF(ISERROR(MATCH(H$1,INDIRECT("Table!A"&amp;$AN33):INDIRECT("Table!" &amp; $AQ$108 &amp; $AN33),0)),"",INDIRECT(CONCATENATE("Table!",ADDRESS($AJ33,MATCH(H$1,INDIRECT("Table!A" &amp; $AN33):INDIRECT("Table!" &amp; $AQ$108 &amp; $AN33),0))))/1024)</f>
        <v>233.5498046875</v>
      </c>
      <c r="I33" s="595">
        <f ca="1">IF(ISERROR(MATCH(I$1,INDIRECT("Table!A"&amp;$AN33):INDIRECT("Table!" &amp; $AQ$85 &amp; $AN33),0)),"",INDIRECT(CONCATENATE("Table!",ADDRESS($AJ33,MATCH(I$1,INDIRECT("Table!A" &amp; $AN33):INDIRECT("Table!" &amp; $AQ$85 &amp; $AN33),0))))/1024)</f>
        <v>45.3076171875</v>
      </c>
      <c r="J33" s="595">
        <f ca="1">IF(ISERROR(MATCH(J$1,INDIRECT("Table!A"&amp;$AN33):INDIRECT("Table!" &amp; $AQ$85 &amp; $AN33),0)),"",INDIRECT(CONCATENATE("Table!",ADDRESS($AJ33,MATCH(J$1,INDIRECT("Table!A" &amp; $AN33):INDIRECT("Table!" &amp; $AQ$85 &amp; $AN33),0))))/1024)</f>
        <v>192.5556640625</v>
      </c>
      <c r="K33" s="595">
        <f ca="1">IF(ISERROR(MATCH(K$1,INDIRECT("Table!A"&amp;$AN33):INDIRECT("Table!" &amp; $AQ$85 &amp; $AN33),0)),"",INDIRECT(CONCATENATE("Table!",ADDRESS($AJ33,MATCH(K$1,INDIRECT("Table!A" &amp; $AN33):INDIRECT("Table!" &amp; $AQ$85 &amp; $AN33),0))))/1024)</f>
        <v>174.544921875</v>
      </c>
      <c r="L33" s="595">
        <f ca="1">IF(ISERROR(MATCH(L$1,INDIRECT("Table!A"&amp;$AN33):INDIRECT("Table!" &amp; $AQ$85 &amp; $AN33),0)),"",INDIRECT(CONCATENATE("Table!",ADDRESS($AJ33,MATCH(L$1,INDIRECT("Table!A" &amp; $AN33):INDIRECT("Table!" &amp; $AQ$85 &amp; $AN33),0))))/1024)</f>
        <v>250.7705078125</v>
      </c>
      <c r="M33" s="595">
        <f ca="1">IF(ISERROR(MATCH(M$1,INDIRECT("Table!A"&amp;$AN33):INDIRECT("Table!" &amp; $AQ$85 &amp; $AN33),0)),"",INDIRECT(CONCATENATE("Table!",ADDRESS($AJ33,MATCH(M$1,INDIRECT("Table!A" &amp; $AN33):INDIRECT("Table!" &amp; $AQ$85 &amp; $AN33),0))))/1024)</f>
        <v>357.9794921875</v>
      </c>
      <c r="N33" s="595">
        <f ca="1">IF(ISERROR(MATCH(N$1,INDIRECT("Table!A"&amp;$AN33):INDIRECT("Table!" &amp; $AQ$85 &amp; $AN33),0)),"",INDIRECT(CONCATENATE("Table!",ADDRESS($AJ33,MATCH(N$1,INDIRECT("Table!A" &amp; $AN33):INDIRECT("Table!" &amp; $AQ$85 &amp; $AN33),0))))/1024)</f>
        <v>112.9384765625</v>
      </c>
      <c r="O33" s="595">
        <f ca="1">IF(ISERROR(MATCH(O$1,INDIRECT("Table!A"&amp;$AN33):INDIRECT("Table!" &amp; $AQ$85 &amp; $AN33),0)),"",INDIRECT(CONCATENATE("Table!",ADDRESS($AJ33,MATCH(O$1,INDIRECT("Table!A" &amp; $AN33):INDIRECT("Table!" &amp; $AQ$85 &amp; $AN33),0))))/1024)</f>
        <v>186.431640625</v>
      </c>
      <c r="P33" s="595">
        <f ca="1">IF(ISERROR(MATCH(P$1,INDIRECT("Table!A"&amp;$AN33):INDIRECT("Table!" &amp; $AQ$85 &amp; $AN33),0)),"",INDIRECT(CONCATENATE("Table!",ADDRESS($AJ33,MATCH(P$1,INDIRECT("Table!A" &amp; $AN33):INDIRECT("Table!" &amp; $AQ$85 &amp; $AN33),0))))/1024)</f>
        <v>60.05859375</v>
      </c>
      <c r="Q33" s="595">
        <f ca="1">IF(ISERROR(MATCH(Q$1,INDIRECT("Table!A"&amp;$AN33):INDIRECT("Table!" &amp; $AQ$85 &amp; $AN33),0)),"",INDIRECT(CONCATENATE("Table!",ADDRESS($AJ33,MATCH(Q$1,INDIRECT("Table!A" &amp; $AN33):INDIRECT("Table!" &amp; $AQ$85 &amp; $AN33),0))))/1024)</f>
        <v>146.556640625</v>
      </c>
      <c r="R33" s="595">
        <f ca="1">IF(ISERROR(MATCH(R$1,INDIRECT("Table!A"&amp;$AN33):INDIRECT("Table!" &amp; $AQ$85 &amp; $AN33),0)),"",INDIRECT(CONCATENATE("Table!",ADDRESS($AJ33,MATCH(R$1,INDIRECT("Table!A" &amp; $AN33):INDIRECT("Table!" &amp; $AQ$85 &amp; $AN33),0))))/1024)</f>
        <v>309.8740234375</v>
      </c>
      <c r="S33" s="595">
        <v>0</v>
      </c>
      <c r="T33" s="595">
        <f ca="1">IF(ISERROR(MATCH(T$1,INDIRECT("Table!A"&amp;$AN33):INDIRECT("Table!" &amp; $AQ$85 &amp; $AN33),0)),"",INDIRECT(CONCATENATE("Table!",ADDRESS($AJ33,MATCH(T$1,INDIRECT("Table!A" &amp; $AN33):INDIRECT("Table!" &amp; $AQ$85 &amp; $AN33),0))))/1024)</f>
        <v>36.318359375</v>
      </c>
      <c r="U33" s="595">
        <f ca="1">IF(ISERROR(MATCH(U$1,INDIRECT("Table!A"&amp;$AN33):INDIRECT("Table!" &amp; $AQ$85 &amp; $AN33),0)),"",INDIRECT(CONCATENATE("Table!",ADDRESS($AJ33,MATCH(U$1,INDIRECT("Table!A" &amp; $AN33):INDIRECT("Table!" &amp; $AQ$85 &amp; $AN33),0))))/1024)</f>
        <v>39.314453125</v>
      </c>
      <c r="V33" s="595">
        <f ca="1">IF(ISERROR(MATCH(V$1,INDIRECT("Table!A"&amp;$AN33):INDIRECT("Table!" &amp; $AQ$85 &amp; $AN33),0)),"",INDIRECT(CONCATENATE("Table!",ADDRESS($AJ33,MATCH(V$1,INDIRECT("Table!A" &amp; $AN33):INDIRECT("Table!" &amp; $AQ$85 &amp; $AN33),0))))/1024)</f>
        <v>39.314453125</v>
      </c>
      <c r="W33" s="595">
        <f ca="1">IF(ISERROR(MATCH(W$1,INDIRECT("Table!A"&amp;$AN33):INDIRECT("Table!" &amp; $AQ$85 &amp; $AN33),0)),"",INDIRECT(CONCATENATE("Table!",ADDRESS($AJ33,MATCH(W$1,INDIRECT("Table!A" &amp; $AN33):INDIRECT("Table!" &amp; $AQ$85 &amp; $AN33),0))))/1024)</f>
        <v>13.763671875</v>
      </c>
      <c r="X33" s="595">
        <f ca="1">IF(ISERROR(MATCH(X$1,INDIRECT("Table!A"&amp;$AN33):INDIRECT("Table!" &amp; $AQ$85 &amp; $AN33),0)),"",INDIRECT(CONCATENATE("Table!",ADDRESS($AJ33,MATCH(X$1,INDIRECT("Table!A" &amp; $AN33):INDIRECT("Table!" &amp; $AQ$85 &amp; $AN33),0))))/1024)</f>
        <v>20.052734375</v>
      </c>
      <c r="Y33" s="595">
        <f ca="1">IF(ISERROR(MATCH(Y$1,INDIRECT("Table!A"&amp;$AN33):INDIRECT("Table!" &amp; $AQ$85 &amp; $AN33),0)),"",INDIRECT(CONCATENATE("Table!",ADDRESS($AJ33,MATCH(Y$1,INDIRECT("Table!A" &amp; $AN33):INDIRECT("Table!" &amp; $AQ$85 &amp; $AN33),0))))/1024)</f>
        <v>-3.3203125E-2</v>
      </c>
      <c r="Z33" s="595">
        <f ca="1">IF(ISERROR(MATCH(Z$1,INDIRECT("Table!A"&amp;$AN33):INDIRECT("Table!" &amp; $AQ$85 &amp; $AN33),0)),"",INDIRECT(CONCATENATE("Table!",ADDRESS($AJ33,MATCH(Z$1,INDIRECT("Table!A" &amp; $AN33):INDIRECT("Table!" &amp; $AQ$85 &amp; $AN33),0))))/1024)</f>
        <v>-3.3203125E-2</v>
      </c>
      <c r="AA33" s="595" t="str">
        <f ca="1">IF(ISERROR(MATCH(AA$1,INDIRECT("Table!A"&amp;$AN33):INDIRECT("Table!" &amp; $AQ$85 &amp; $AN33),0)),"",INDIRECT(CONCATENATE("Table!",ADDRESS($AJ33,MATCH(AA$1,INDIRECT("Table!A" &amp; $AN33):INDIRECT("Table!" &amp; $AQ$85 &amp; $AN33),0))))/1024)</f>
        <v/>
      </c>
      <c r="AB33" s="595" t="str">
        <f ca="1">IF(ISERROR(MATCH(AB$1,INDIRECT("Table!A"&amp;$AN33):INDIRECT("Table!" &amp; $AQ$85 &amp; $AN33),0)),"",INDIRECT(CONCATENATE("Table!",ADDRESS($AJ33,MATCH(AB$1,INDIRECT("Table!A" &amp; $AN33):INDIRECT("Table!" &amp; $AQ$85 &amp; $AN33),0))))/1024)</f>
        <v/>
      </c>
      <c r="AC33" s="595"/>
      <c r="AD33" s="595"/>
      <c r="AE33" s="595"/>
      <c r="AF33" s="595"/>
      <c r="AG33" s="595"/>
      <c r="AH33" s="595"/>
      <c r="AI33" s="595"/>
      <c r="AJ33" s="595">
        <f>MATCH($A33,Table!$A:$A,0)+$AL$2-1</f>
        <v>445</v>
      </c>
      <c r="AK33" s="883"/>
      <c r="AL33" s="883"/>
      <c r="AM33" s="883"/>
      <c r="AN33" s="595">
        <f>MATCH($A33,Table!$A:$A,0)+$AP$2-1</f>
        <v>437</v>
      </c>
      <c r="AO33" s="883"/>
      <c r="AP33" s="883"/>
      <c r="AQ33" s="973" t="s">
        <v>302</v>
      </c>
      <c r="AR33" s="699">
        <f t="shared" ca="1" si="13"/>
        <v>3405.12109375</v>
      </c>
      <c r="AS33" s="699">
        <f ca="1">AR33-AR43</f>
        <v>278.62665917968752</v>
      </c>
      <c r="AT33" s="699">
        <f t="shared" ca="1" si="14"/>
        <v>123.57416552734381</v>
      </c>
    </row>
    <row r="34" spans="1:46" s="743" customFormat="1" x14ac:dyDescent="0.25">
      <c r="A34" s="592">
        <v>41752</v>
      </c>
      <c r="B34" s="595">
        <f ca="1">IF(ISERROR(MATCH(B$1,INDIRECT("Table!A"&amp;$AN34):INDIRECT("Table!" &amp; $AQ$108 &amp; $AN34),0)),"",INDIRECT(CONCATENATE("Table!",ADDRESS($AJ34,MATCH(B$1,INDIRECT("Table!A" &amp; $AN34):INDIRECT("Table!" &amp; $AQ$108 &amp; $AN34),0))))/1024)</f>
        <v>181.7886298828125</v>
      </c>
      <c r="C34" s="595">
        <f ca="1">IF(ISERROR(MATCH(C$1,INDIRECT("Table!A"&amp;$AN34):INDIRECT("Table!" &amp; $AQ$108 &amp; $AN34),0)),"",INDIRECT(CONCATENATE("Table!",ADDRESS($AJ34,MATCH(C$1,INDIRECT("Table!A" &amp; $AN34):INDIRECT("Table!" &amp; $AQ$108 &amp; $AN34),0))))/1024)</f>
        <v>97.430276367187503</v>
      </c>
      <c r="D34" s="595">
        <f ca="1">IF(ISERROR(MATCH(D$1,INDIRECT("Table!A"&amp;$AN34):INDIRECT("Table!" &amp; $AQ$108 &amp; $AN34),0)),"",INDIRECT(CONCATENATE("Table!",ADDRESS($AJ34,MATCH(D$1,INDIRECT("Table!A" &amp; $AN34):INDIRECT("Table!" &amp; $AQ$108 &amp; $AN34),0))))/1024)</f>
        <v>98.286372070312495</v>
      </c>
      <c r="E34" s="595">
        <f ca="1">IF(ISERROR(MATCH(E$1,INDIRECT("Table!A"&amp;$AN34):INDIRECT("Table!" &amp; $AQ$108 &amp; $AN34),0)),"",INDIRECT(CONCATENATE("Table!",ADDRESS($AJ34,MATCH(E$1,INDIRECT("Table!A" &amp; $AN34):INDIRECT("Table!" &amp; $AQ$108 &amp; $AN34),0))))/1024)</f>
        <v>253.47018164062499</v>
      </c>
      <c r="F34" s="595">
        <f ca="1">IF(ISERROR(MATCH(F$1,INDIRECT("Table!A"&amp;$AN34):INDIRECT("Table!" &amp; $AQ$108 &amp; $AN34),0)),"",INDIRECT(CONCATENATE("Table!",ADDRESS($AJ34,MATCH(F$1,INDIRECT("Table!A" &amp; $AN34):INDIRECT("Table!" &amp; $AQ$108 &amp; $AN34),0))))/1024)</f>
        <v>110.50219921874999</v>
      </c>
      <c r="G34" s="595">
        <f ca="1">IF(ISERROR(MATCH(G$1,INDIRECT("Table!A"&amp;$AN34):INDIRECT("Table!" &amp; $AQ$108 &amp; $AN34),0)),"",INDIRECT(CONCATENATE("Table!",ADDRESS($AJ34,MATCH(G$1,INDIRECT("Table!A" &amp; $AN34):INDIRECT("Table!" &amp; $AQ$108 &amp; $AN34),0))))/1024)</f>
        <v>448.26488085937495</v>
      </c>
      <c r="H34" s="595">
        <f ca="1">IF(ISERROR(MATCH(H$1,INDIRECT("Table!A"&amp;$AN34):INDIRECT("Table!" &amp; $AQ$108 &amp; $AN34),0)),"",INDIRECT(CONCATENATE("Table!",ADDRESS($AJ34,MATCH(H$1,INDIRECT("Table!A" &amp; $AN34):INDIRECT("Table!" &amp; $AQ$108 &amp; $AN34),0))))/1024)</f>
        <v>234.6031494140625</v>
      </c>
      <c r="I34" s="595">
        <f ca="1">IF(ISERROR(MATCH(I$1,INDIRECT("Table!A"&amp;$AN34):INDIRECT("Table!" &amp; $AQ$85 &amp; $AN34),0)),"",INDIRECT(CONCATENATE("Table!",ADDRESS($AJ34,MATCH(I$1,INDIRECT("Table!A" &amp; $AN34):INDIRECT("Table!" &amp; $AQ$85 &amp; $AN34),0))))/1024)</f>
        <v>45.307218749999997</v>
      </c>
      <c r="J34" s="595">
        <f ca="1">IF(ISERROR(MATCH(J$1,INDIRECT("Table!A"&amp;$AN34):INDIRECT("Table!" &amp; $AQ$85 &amp; $AN34),0)),"",INDIRECT(CONCATENATE("Table!",ADDRESS($AJ34,MATCH(J$1,INDIRECT("Table!A" &amp; $AN34):INDIRECT("Table!" &amp; $AQ$85 &amp; $AN34),0))))/1024)</f>
        <v>134.11068457031249</v>
      </c>
      <c r="K34" s="595">
        <f ca="1">IF(ISERROR(MATCH(K$1,INDIRECT("Table!A"&amp;$AN34):INDIRECT("Table!" &amp; $AQ$85 &amp; $AN34),0)),"",INDIRECT(CONCATENATE("Table!",ADDRESS($AJ34,MATCH(K$1,INDIRECT("Table!A" &amp; $AN34):INDIRECT("Table!" &amp; $AQ$85 &amp; $AN34),0))))/1024)</f>
        <v>164.1398876953125</v>
      </c>
      <c r="L34" s="595">
        <f ca="1">IF(ISERROR(MATCH(L$1,INDIRECT("Table!A"&amp;$AN34):INDIRECT("Table!" &amp; $AQ$85 &amp; $AN34),0)),"",INDIRECT(CONCATENATE("Table!",ADDRESS($AJ34,MATCH(L$1,INDIRECT("Table!A" &amp; $AN34):INDIRECT("Table!" &amp; $AQ$85 &amp; $AN34),0))))/1024)</f>
        <v>250.77018749999999</v>
      </c>
      <c r="M34" s="595">
        <f ca="1">IF(ISERROR(MATCH(M$1,INDIRECT("Table!A"&amp;$AN34):INDIRECT("Table!" &amp; $AQ$85 &amp; $AN34),0)),"",INDIRECT(CONCATENATE("Table!",ADDRESS($AJ34,MATCH(M$1,INDIRECT("Table!A" &amp; $AN34):INDIRECT("Table!" &amp; $AQ$85 &amp; $AN34),0))))/1024)</f>
        <v>357.97971093749999</v>
      </c>
      <c r="N34" s="595">
        <f ca="1">IF(ISERROR(MATCH(N$1,INDIRECT("Table!A"&amp;$AN34):INDIRECT("Table!" &amp; $AQ$85 &amp; $AN34),0)),"",INDIRECT(CONCATENATE("Table!",ADDRESS($AJ34,MATCH(N$1,INDIRECT("Table!A" &amp; $AN34):INDIRECT("Table!" &amp; $AQ$85 &amp; $AN34),0))))/1024)</f>
        <v>112.938779296875</v>
      </c>
      <c r="O34" s="595">
        <f ca="1">IF(ISERROR(MATCH(O$1,INDIRECT("Table!A"&amp;$AN34):INDIRECT("Table!" &amp; $AQ$85 &amp; $AN34),0)),"",INDIRECT(CONCATENATE("Table!",ADDRESS($AJ34,MATCH(O$1,INDIRECT("Table!A" &amp; $AN34):INDIRECT("Table!" &amp; $AQ$85 &amp; $AN34),0))))/1024)</f>
        <v>191.172755859375</v>
      </c>
      <c r="P34" s="595">
        <f ca="1">IF(ISERROR(MATCH(P$1,INDIRECT("Table!A"&amp;$AN34):INDIRECT("Table!" &amp; $AQ$85 &amp; $AN34),0)),"",INDIRECT(CONCATENATE("Table!",ADDRESS($AJ34,MATCH(P$1,INDIRECT("Table!A" &amp; $AN34):INDIRECT("Table!" &amp; $AQ$85 &amp; $AN34),0))))/1024)</f>
        <v>60.058406249999997</v>
      </c>
      <c r="Q34" s="595">
        <f ca="1">IF(ISERROR(MATCH(Q$1,INDIRECT("Table!A"&amp;$AN34):INDIRECT("Table!" &amp; $AQ$85 &amp; $AN34),0)),"",INDIRECT(CONCATENATE("Table!",ADDRESS($AJ34,MATCH(Q$1,INDIRECT("Table!A" &amp; $AN34):INDIRECT("Table!" &amp; $AQ$85 &amp; $AN34),0))))/1024)</f>
        <v>146.06309765624999</v>
      </c>
      <c r="R34" s="595">
        <f ca="1">IF(ISERROR(MATCH(R$1,INDIRECT("Table!A"&amp;$AN34):INDIRECT("Table!" &amp; $AQ$85 &amp; $AN34),0)),"",INDIRECT(CONCATENATE("Table!",ADDRESS($AJ34,MATCH(R$1,INDIRECT("Table!A" &amp; $AN34):INDIRECT("Table!" &amp; $AQ$85 &amp; $AN34),0))))/1024)</f>
        <v>303.81519433593746</v>
      </c>
      <c r="S34" s="595">
        <v>0</v>
      </c>
      <c r="T34" s="595">
        <f ca="1">IF(ISERROR(MATCH(T$1,INDIRECT("Table!A"&amp;$AN34):INDIRECT("Table!" &amp; $AQ$85 &amp; $AN34),0)),"",INDIRECT(CONCATENATE("Table!",ADDRESS($AJ34,MATCH(T$1,INDIRECT("Table!A" &amp; $AN34):INDIRECT("Table!" &amp; $AQ$85 &amp; $AN34),0))))/1024)</f>
        <v>36.318213867187495</v>
      </c>
      <c r="U34" s="595">
        <f ca="1">IF(ISERROR(MATCH(U$1,INDIRECT("Table!A"&amp;$AN34):INDIRECT("Table!" &amp; $AQ$85 &amp; $AN34),0)),"",INDIRECT(CONCATENATE("Table!",ADDRESS($AJ34,MATCH(U$1,INDIRECT("Table!A" &amp; $AN34):INDIRECT("Table!" &amp; $AQ$85 &amp; $AN34),0))))/1024)</f>
        <v>38.7547939453125</v>
      </c>
      <c r="V34" s="595">
        <f ca="1">IF(ISERROR(MATCH(V$1,INDIRECT("Table!A"&amp;$AN34):INDIRECT("Table!" &amp; $AQ$85 &amp; $AN34),0)),"",INDIRECT(CONCATENATE("Table!",ADDRESS($AJ34,MATCH(V$1,INDIRECT("Table!A" &amp; $AN34):INDIRECT("Table!" &amp; $AQ$85 &amp; $AN34),0))))/1024)</f>
        <v>38.7547939453125</v>
      </c>
      <c r="W34" s="595">
        <f ca="1">IF(ISERROR(MATCH(W$1,INDIRECT("Table!A"&amp;$AN34):INDIRECT("Table!" &amp; $AQ$85 &amp; $AN34),0)),"",INDIRECT(CONCATENATE("Table!",ADDRESS($AJ34,MATCH(W$1,INDIRECT("Table!A" &amp; $AN34):INDIRECT("Table!" &amp; $AQ$85 &amp; $AN34),0))))/1024)</f>
        <v>7.6390078125</v>
      </c>
      <c r="X34" s="595">
        <f ca="1">IF(ISERROR(MATCH(X$1,INDIRECT("Table!A"&amp;$AN34):INDIRECT("Table!" &amp; $AQ$85 &amp; $AN34),0)),"",INDIRECT(CONCATENATE("Table!",ADDRESS($AJ34,MATCH(X$1,INDIRECT("Table!A" &amp; $AN34):INDIRECT("Table!" &amp; $AQ$85 &amp; $AN34),0))))/1024)</f>
        <v>9.7133935546874994</v>
      </c>
      <c r="Y34" s="595" t="str">
        <f ca="1">IF(ISERROR(MATCH(Y$1,INDIRECT("Table!A"&amp;$AN34):INDIRECT("Table!" &amp; $AQ$85 &amp; $AN34),0)),"",INDIRECT(CONCATENATE("Table!",ADDRESS($AJ34,MATCH(Y$1,INDIRECT("Table!A" &amp; $AN34):INDIRECT("Table!" &amp; $AQ$85 &amp; $AN34),0))))/1024)</f>
        <v/>
      </c>
      <c r="Z34" s="595" t="str">
        <f ca="1">IF(ISERROR(MATCH(Z$1,INDIRECT("Table!A"&amp;$AN34):INDIRECT("Table!" &amp; $AQ$85 &amp; $AN34),0)),"",INDIRECT(CONCATENATE("Table!",ADDRESS($AJ34,MATCH(Z$1,INDIRECT("Table!A" &amp; $AN34):INDIRECT("Table!" &amp; $AQ$85 &amp; $AN34),0))))/1024)</f>
        <v/>
      </c>
      <c r="AA34" s="595" t="str">
        <f ca="1">IF(ISERROR(MATCH(AA$1,INDIRECT("Table!A"&amp;$AN34):INDIRECT("Table!" &amp; $AQ$85 &amp; $AN34),0)),"",INDIRECT(CONCATENATE("Table!",ADDRESS($AJ34,MATCH(AA$1,INDIRECT("Table!A" &amp; $AN34):INDIRECT("Table!" &amp; $AQ$85 &amp; $AN34),0))))/1024)</f>
        <v/>
      </c>
      <c r="AB34" s="595" t="str">
        <f ca="1">IF(ISERROR(MATCH(AB$1,INDIRECT("Table!A"&amp;$AN34):INDIRECT("Table!" &amp; $AQ$85 &amp; $AN34),0)),"",INDIRECT(CONCATENATE("Table!",ADDRESS($AJ34,MATCH(AB$1,INDIRECT("Table!A" &amp; $AN34):INDIRECT("Table!" &amp; $AQ$85 &amp; $AN34),0))))/1024)</f>
        <v/>
      </c>
      <c r="AC34" s="595"/>
      <c r="AD34" s="595"/>
      <c r="AE34" s="595"/>
      <c r="AF34" s="595"/>
      <c r="AG34" s="595"/>
      <c r="AH34" s="595"/>
      <c r="AI34" s="595"/>
      <c r="AJ34" s="595">
        <f>MATCH($A34,Table!$A:$A,0)+$AL$2-1</f>
        <v>459</v>
      </c>
      <c r="AK34" s="883"/>
      <c r="AL34" s="883"/>
      <c r="AM34" s="883"/>
      <c r="AN34" s="595">
        <f>MATCH($A34,Table!$A:$A,0)+$AP$2-1</f>
        <v>451</v>
      </c>
      <c r="AO34" s="883"/>
      <c r="AP34" s="883"/>
      <c r="AQ34" s="973" t="s">
        <v>302</v>
      </c>
      <c r="AR34" s="699">
        <f t="shared" ca="1" si="13"/>
        <v>3321.8818154296878</v>
      </c>
      <c r="AS34" s="699">
        <f t="shared" ref="AS34" ca="1" si="15">AR34-AR43</f>
        <v>195.3873808593753</v>
      </c>
      <c r="AT34" s="699">
        <f t="shared" ca="1" si="14"/>
        <v>103.22538574218757</v>
      </c>
    </row>
    <row r="35" spans="1:46" s="743" customFormat="1" x14ac:dyDescent="0.25">
      <c r="A35" s="592">
        <v>41745</v>
      </c>
      <c r="B35" s="595">
        <f ca="1">IF(ISERROR(MATCH(B$1,INDIRECT("Table!A"&amp;$AN35):INDIRECT("Table!" &amp; $AQ$108 &amp; $AN35),0)),"",INDIRECT(CONCATENATE("Table!",ADDRESS($AJ35,MATCH(B$1,INDIRECT("Table!A" &amp; $AN35):INDIRECT("Table!" &amp; $AQ$108 &amp; $AN35),0))))/1024)</f>
        <v>181.755703125</v>
      </c>
      <c r="C35" s="595">
        <f ca="1">IF(ISERROR(MATCH(C$1,INDIRECT("Table!A"&amp;$AN35):INDIRECT("Table!" &amp; $AQ$108 &amp; $AN35),0)),"",INDIRECT(CONCATENATE("Table!",ADDRESS($AJ35,MATCH(C$1,INDIRECT("Table!A" &amp; $AN35):INDIRECT("Table!" &amp; $AQ$108 &amp; $AN35),0))))/1024)</f>
        <v>96.771741210937492</v>
      </c>
      <c r="D35" s="595">
        <f ca="1">IF(ISERROR(MATCH(D$1,INDIRECT("Table!A"&amp;$AN35):INDIRECT("Table!" &amp; $AQ$108 &amp; $AN35),0)),"",INDIRECT(CONCATENATE("Table!",ADDRESS($AJ35,MATCH(D$1,INDIRECT("Table!A" &amp; $AN35):INDIRECT("Table!" &amp; $AQ$108 &amp; $AN35),0))))/1024)</f>
        <v>97.627836914062499</v>
      </c>
      <c r="E35" s="595">
        <f ca="1">IF(ISERROR(MATCH(E$1,INDIRECT("Table!A"&amp;$AN35):INDIRECT("Table!" &amp; $AQ$108 &amp; $AN35),0)),"",INDIRECT(CONCATENATE("Table!",ADDRESS($AJ35,MATCH(E$1,INDIRECT("Table!A" &amp; $AN35):INDIRECT("Table!" &amp; $AQ$108 &amp; $AN35),0))))/1024)</f>
        <v>253.47018164062499</v>
      </c>
      <c r="F35" s="595">
        <f ca="1">IF(ISERROR(MATCH(F$1,INDIRECT("Table!A"&amp;$AN35):INDIRECT("Table!" &amp; $AQ$108 &amp; $AN35),0)),"",INDIRECT(CONCATENATE("Table!",ADDRESS($AJ35,MATCH(F$1,INDIRECT("Table!A" &amp; $AN35):INDIRECT("Table!" &amp; $AQ$108 &amp; $AN35),0))))/1024)</f>
        <v>113.00463281249999</v>
      </c>
      <c r="G35" s="595">
        <f ca="1">IF(ISERROR(MATCH(G$1,INDIRECT("Table!A"&amp;$AN35):INDIRECT("Table!" &amp; $AQ$108 &amp; $AN35),0)),"",INDIRECT(CONCATENATE("Table!",ADDRESS($AJ35,MATCH(G$1,INDIRECT("Table!A" &amp; $AN35):INDIRECT("Table!" &amp; $AQ$108 &amp; $AN35),0))))/1024)</f>
        <v>448.39658789062497</v>
      </c>
      <c r="H35" s="595">
        <f ca="1">IF(ISERROR(MATCH(H$1,INDIRECT("Table!A"&amp;$AN35):INDIRECT("Table!" &amp; $AQ$108 &amp; $AN35),0)),"",INDIRECT(CONCATENATE("Table!",ADDRESS($AJ35,MATCH(H$1,INDIRECT("Table!A" &amp; $AN35):INDIRECT("Table!" &amp; $AQ$108 &amp; $AN35),0))))/1024)</f>
        <v>234.57022265625</v>
      </c>
      <c r="I35" s="595">
        <f ca="1">IF(ISERROR(MATCH(I$1,INDIRECT("Table!A"&amp;$AN35):INDIRECT("Table!" &amp; $AQ$85 &amp; $AN35),0)),"",INDIRECT(CONCATENATE("Table!",ADDRESS($AJ35,MATCH(I$1,INDIRECT("Table!A" &amp; $AN35):INDIRECT("Table!" &amp; $AQ$85 &amp; $AN35),0))))/1024)</f>
        <v>45.307218749999997</v>
      </c>
      <c r="J35" s="595">
        <f ca="1">IF(ISERROR(MATCH(J$1,INDIRECT("Table!A"&amp;$AN35):INDIRECT("Table!" &amp; $AQ$85 &amp; $AN35),0)),"",INDIRECT(CONCATENATE("Table!",ADDRESS($AJ35,MATCH(J$1,INDIRECT("Table!A" &amp; $AN35):INDIRECT("Table!" &amp; $AQ$85 &amp; $AN35),0))))/1024)</f>
        <v>133.748490234375</v>
      </c>
      <c r="K35" s="595">
        <f ca="1">IF(ISERROR(MATCH(K$1,INDIRECT("Table!A"&amp;$AN35):INDIRECT("Table!" &amp; $AQ$85 &amp; $AN35),0)),"",INDIRECT(CONCATENATE("Table!",ADDRESS($AJ35,MATCH(K$1,INDIRECT("Table!A" &amp; $AN35):INDIRECT("Table!" &amp; $AQ$85 &amp; $AN35),0))))/1024)</f>
        <v>163.0203779296875</v>
      </c>
      <c r="L35" s="595">
        <f ca="1">IF(ISERROR(MATCH(L$1,INDIRECT("Table!A"&amp;$AN35):INDIRECT("Table!" &amp; $AQ$85 &amp; $AN35),0)),"",INDIRECT(CONCATENATE("Table!",ADDRESS($AJ35,MATCH(L$1,INDIRECT("Table!A" &amp; $AN35):INDIRECT("Table!" &amp; $AQ$85 &amp; $AN35),0))))/1024)</f>
        <v>250.77018749999999</v>
      </c>
      <c r="M35" s="595">
        <f ca="1">IF(ISERROR(MATCH(M$1,INDIRECT("Table!A"&amp;$AN35):INDIRECT("Table!" &amp; $AQ$85 &amp; $AN35),0)),"",INDIRECT(CONCATENATE("Table!",ADDRESS($AJ35,MATCH(M$1,INDIRECT("Table!A" &amp; $AN35):INDIRECT("Table!" &amp; $AQ$85 &amp; $AN35),0))))/1024)</f>
        <v>358.17727148437501</v>
      </c>
      <c r="N35" s="595">
        <f ca="1">IF(ISERROR(MATCH(N$1,INDIRECT("Table!A"&amp;$AN35):INDIRECT("Table!" &amp; $AQ$85 &amp; $AN35),0)),"",INDIRECT(CONCATENATE("Table!",ADDRESS($AJ35,MATCH(N$1,INDIRECT("Table!A" &amp; $AN35):INDIRECT("Table!" &amp; $AQ$85 &amp; $AN35),0))))/1024)</f>
        <v>113.92658203124999</v>
      </c>
      <c r="O35" s="595">
        <f ca="1">IF(ISERROR(MATCH(O$1,INDIRECT("Table!A"&amp;$AN35):INDIRECT("Table!" &amp; $AQ$85 &amp; $AN35),0)),"",INDIRECT(CONCATENATE("Table!",ADDRESS($AJ35,MATCH(O$1,INDIRECT("Table!A" &amp; $AN35):INDIRECT("Table!" &amp; $AQ$85 &amp; $AN35),0))))/1024)</f>
        <v>196.70445117187495</v>
      </c>
      <c r="P35" s="595">
        <f ca="1">IF(ISERROR(MATCH(P$1,INDIRECT("Table!A"&amp;$AN35):INDIRECT("Table!" &amp; $AQ$85 &amp; $AN35),0)),"",INDIRECT(CONCATENATE("Table!",ADDRESS($AJ35,MATCH(P$1,INDIRECT("Table!A" &amp; $AN35):INDIRECT("Table!" &amp; $AQ$85 &amp; $AN35),0))))/1024)</f>
        <v>60.058406249999997</v>
      </c>
      <c r="Q35" s="595">
        <f ca="1">IF(ISERROR(MATCH(Q$1,INDIRECT("Table!A"&amp;$AN35):INDIRECT("Table!" &amp; $AQ$85 &amp; $AN35),0)),"",INDIRECT(CONCATENATE("Table!",ADDRESS($AJ35,MATCH(Q$1,INDIRECT("Table!A" &amp; $AN35):INDIRECT("Table!" &amp; $AQ$85 &amp; $AN35),0))))/1024)</f>
        <v>145.56919628906249</v>
      </c>
      <c r="R35" s="595">
        <f ca="1">IF(ISERROR(MATCH(R$1,INDIRECT("Table!A"&amp;$AN35):INDIRECT("Table!" &amp; $AQ$85 &amp; $AN35),0)),"",INDIRECT(CONCATENATE("Table!",ADDRESS($AJ35,MATCH(R$1,INDIRECT("Table!A" &amp; $AN35):INDIRECT("Table!" &amp; $AQ$85 &amp; $AN35),0))))/1024)</f>
        <v>302.79446484375001</v>
      </c>
      <c r="S35" s="595">
        <v>0</v>
      </c>
      <c r="T35" s="595">
        <f ca="1">IF(ISERROR(MATCH(T$1,INDIRECT("Table!A"&amp;$AN35):INDIRECT("Table!" &amp; $AQ$85 &amp; $AN35),0)),"",INDIRECT(CONCATENATE("Table!",ADDRESS($AJ35,MATCH(T$1,INDIRECT("Table!A" &amp; $AN35):INDIRECT("Table!" &amp; $AQ$85 &amp; $AN35),0))))/1024)</f>
        <v>36.318213867187495</v>
      </c>
      <c r="U35" s="595">
        <f ca="1">IF(ISERROR(MATCH(U$1,INDIRECT("Table!A"&amp;$AN35):INDIRECT("Table!" &amp; $AQ$85 &amp; $AN35),0)),"",INDIRECT(CONCATENATE("Table!",ADDRESS($AJ35,MATCH(U$1,INDIRECT("Table!A" &amp; $AN35):INDIRECT("Table!" &amp; $AQ$85 &amp; $AN35),0))))/1024)</f>
        <v>38.7547939453125</v>
      </c>
      <c r="V35" s="595">
        <f ca="1">IF(ISERROR(MATCH(V$1,INDIRECT("Table!A"&amp;$AN35):INDIRECT("Table!" &amp; $AQ$85 &amp; $AN35),0)),"",INDIRECT(CONCATENATE("Table!",ADDRESS($AJ35,MATCH(V$1,INDIRECT("Table!A" &amp; $AN35):INDIRECT("Table!" &amp; $AQ$85 &amp; $AN35),0))))/1024)</f>
        <v>38.7547939453125</v>
      </c>
      <c r="W35" s="595">
        <f ca="1">IF(ISERROR(MATCH(W$1,INDIRECT("Table!A"&amp;$AN35):INDIRECT("Table!" &amp; $AQ$85 &amp; $AN35),0)),"",INDIRECT(CONCATENATE("Table!",ADDRESS($AJ35,MATCH(W$1,INDIRECT("Table!A" &amp; $AN35):INDIRECT("Table!" &amp; $AQ$85 &amp; $AN35),0))))/1024)</f>
        <v>-3.2926757812499999E-2</v>
      </c>
      <c r="X35" s="595">
        <f ca="1">IF(ISERROR(MATCH(X$1,INDIRECT("Table!A"&amp;$AN35):INDIRECT("Table!" &amp; $AQ$85 &amp; $AN35),0)),"",INDIRECT(CONCATENATE("Table!",ADDRESS($AJ35,MATCH(X$1,INDIRECT("Table!A" &amp; $AN35):INDIRECT("Table!" &amp; $AQ$85 &amp; $AN35),0))))/1024)</f>
        <v>-3.2926757812499999E-2</v>
      </c>
      <c r="Y35" s="595" t="str">
        <f ca="1">IF(ISERROR(MATCH(Y$1,INDIRECT("Table!A"&amp;$AN35):INDIRECT("Table!" &amp; $AQ$85 &amp; $AN35),0)),"",INDIRECT(CONCATENATE("Table!",ADDRESS($AJ35,MATCH(Y$1,INDIRECT("Table!A" &amp; $AN35):INDIRECT("Table!" &amp; $AQ$85 &amp; $AN35),0))))/1024)</f>
        <v/>
      </c>
      <c r="Z35" s="595" t="str">
        <f ca="1">IF(ISERROR(MATCH(Z$1,INDIRECT("Table!A"&amp;$AN35):INDIRECT("Table!" &amp; $AQ$85 &amp; $AN35),0)),"",INDIRECT(CONCATENATE("Table!",ADDRESS($AJ35,MATCH(Z$1,INDIRECT("Table!A" &amp; $AN35):INDIRECT("Table!" &amp; $AQ$85 &amp; $AN35),0))))/1024)</f>
        <v/>
      </c>
      <c r="AA35" s="595" t="str">
        <f ca="1">IF(ISERROR(MATCH(AA$1,INDIRECT("Table!A"&amp;$AN35):INDIRECT("Table!" &amp; $AQ$85 &amp; $AN35),0)),"",INDIRECT(CONCATENATE("Table!",ADDRESS($AJ35,MATCH(AA$1,INDIRECT("Table!A" &amp; $AN35):INDIRECT("Table!" &amp; $AQ$85 &amp; $AN35),0))))/1024)</f>
        <v/>
      </c>
      <c r="AB35" s="595" t="str">
        <f ca="1">IF(ISERROR(MATCH(AB$1,INDIRECT("Table!A"&amp;$AN35):INDIRECT("Table!" &amp; $AQ$85 &amp; $AN35),0)),"",INDIRECT(CONCATENATE("Table!",ADDRESS($AJ35,MATCH(AB$1,INDIRECT("Table!A" &amp; $AN35):INDIRECT("Table!" &amp; $AQ$85 &amp; $AN35),0))))/1024)</f>
        <v/>
      </c>
      <c r="AC35" s="595"/>
      <c r="AD35" s="595"/>
      <c r="AE35" s="595"/>
      <c r="AF35" s="595"/>
      <c r="AG35" s="595"/>
      <c r="AH35" s="595"/>
      <c r="AI35" s="595"/>
      <c r="AJ35" s="595">
        <f>MATCH($A35,Table!$A:$A,0)+$AL$2-1</f>
        <v>473</v>
      </c>
      <c r="AK35" s="769"/>
      <c r="AL35" s="769"/>
      <c r="AM35" s="769"/>
      <c r="AN35" s="595">
        <f>MATCH($A35,Table!$A:$A,0)+$AP$2-1</f>
        <v>465</v>
      </c>
      <c r="AO35" s="769"/>
      <c r="AP35" s="769"/>
      <c r="AQ35" s="973" t="s">
        <v>302</v>
      </c>
      <c r="AR35" s="699">
        <f t="shared" ca="1" si="13"/>
        <v>3309.4355009765618</v>
      </c>
      <c r="AS35" s="699">
        <f t="shared" ref="AS35" ca="1" si="16">AR35-AR42</f>
        <v>138.98384472656198</v>
      </c>
      <c r="AT35" s="699">
        <f t="shared" ca="1" si="14"/>
        <v>82.382748046875079</v>
      </c>
    </row>
    <row r="36" spans="1:46" s="743" customFormat="1" x14ac:dyDescent="0.25">
      <c r="A36" s="592">
        <v>41739</v>
      </c>
      <c r="B36" s="595">
        <f ca="1">IF(ISERROR(MATCH(B$1,INDIRECT("Table!A"&amp;$AN36):INDIRECT("Table!" &amp; $AQ$108 &amp; $AN36),0)),"",INDIRECT(CONCATENATE("Table!",ADDRESS($AJ36,MATCH(B$1,INDIRECT("Table!A" &amp; $AN36):INDIRECT("Table!" &amp; $AQ$108 &amp; $AN36),0))))/1024)</f>
        <v>181.72277636718749</v>
      </c>
      <c r="C36" s="595">
        <f ca="1">IF(ISERROR(MATCH(C$1,INDIRECT("Table!A"&amp;$AN36):INDIRECT("Table!" &amp; $AQ$108 &amp; $AN36),0)),"",INDIRECT(CONCATENATE("Table!",ADDRESS($AJ36,MATCH(C$1,INDIRECT("Table!A" &amp; $AN36):INDIRECT("Table!" &amp; $AQ$108 &amp; $AN36),0))))/1024)</f>
        <v>96.771741210937492</v>
      </c>
      <c r="D36" s="595">
        <f ca="1">IF(ISERROR(MATCH(D$1,INDIRECT("Table!A"&amp;$AN36):INDIRECT("Table!" &amp; $AQ$108 &amp; $AN36),0)),"",INDIRECT(CONCATENATE("Table!",ADDRESS($AJ36,MATCH(D$1,INDIRECT("Table!A" &amp; $AN36):INDIRECT("Table!" &amp; $AQ$108 &amp; $AN36),0))))/1024)</f>
        <v>97.627836914062499</v>
      </c>
      <c r="E36" s="595">
        <f ca="1">IF(ISERROR(MATCH(E$1,INDIRECT("Table!A"&amp;$AN36):INDIRECT("Table!" &amp; $AQ$108 &amp; $AN36),0)),"",INDIRECT(CONCATENATE("Table!",ADDRESS($AJ36,MATCH(E$1,INDIRECT("Table!A" &amp; $AN36):INDIRECT("Table!" &amp; $AQ$108 &amp; $AN36),0))))/1024)</f>
        <v>253.53603515624999</v>
      </c>
      <c r="F36" s="595">
        <f ca="1">IF(ISERROR(MATCH(F$1,INDIRECT("Table!A"&amp;$AN36):INDIRECT("Table!" &amp; $AQ$108 &amp; $AN36),0)),"",INDIRECT(CONCATENATE("Table!",ADDRESS($AJ36,MATCH(F$1,INDIRECT("Table!A" &amp; $AN36):INDIRECT("Table!" &amp; $AQ$108 &amp; $AN36),0))))/1024)</f>
        <v>115.30950585937499</v>
      </c>
      <c r="G36" s="595">
        <f ca="1">IF(ISERROR(MATCH(G$1,INDIRECT("Table!A"&amp;$AN36):INDIRECT("Table!" &amp; $AQ$108 &amp; $AN36),0)),"",INDIRECT(CONCATENATE("Table!",ADDRESS($AJ36,MATCH(G$1,INDIRECT("Table!A" &amp; $AN36):INDIRECT("Table!" &amp; $AQ$108 &amp; $AN36),0))))/1024)</f>
        <v>448.39658789062497</v>
      </c>
      <c r="H36" s="595">
        <f ca="1">IF(ISERROR(MATCH(H$1,INDIRECT("Table!A"&amp;$AN36):INDIRECT("Table!" &amp; $AQ$108 &amp; $AN36),0)),"",INDIRECT(CONCATENATE("Table!",ADDRESS($AJ36,MATCH(H$1,INDIRECT("Table!A" &amp; $AN36):INDIRECT("Table!" &amp; $AQ$108 &amp; $AN36),0))))/1024)</f>
        <v>234.53729589843749</v>
      </c>
      <c r="I36" s="595">
        <f ca="1">IF(ISERROR(MATCH(I$1,INDIRECT("Table!A"&amp;$AN36):INDIRECT("Table!" &amp; $AQ$85 &amp; $AN36),0)),"",INDIRECT(CONCATENATE("Table!",ADDRESS($AJ36,MATCH(I$1,INDIRECT("Table!A" &amp; $AN36):INDIRECT("Table!" &amp; $AQ$85 &amp; $AN36),0))))/1024)</f>
        <v>45.307218749999997</v>
      </c>
      <c r="J36" s="595">
        <f ca="1">IF(ISERROR(MATCH(J$1,INDIRECT("Table!A"&amp;$AN36):INDIRECT("Table!" &amp; $AQ$85 &amp; $AN36),0)),"",INDIRECT(CONCATENATE("Table!",ADDRESS($AJ36,MATCH(J$1,INDIRECT("Table!A" &amp; $AN36):INDIRECT("Table!" &amp; $AQ$85 &amp; $AN36),0))))/1024)</f>
        <v>124.29851074218749</v>
      </c>
      <c r="K36" s="595">
        <f ca="1">IF(ISERROR(MATCH(K$1,INDIRECT("Table!A"&amp;$AN36):INDIRECT("Table!" &amp; $AQ$85 &amp; $AN36),0)),"",INDIRECT(CONCATENATE("Table!",ADDRESS($AJ36,MATCH(K$1,INDIRECT("Table!A" &amp; $AN36):INDIRECT("Table!" &amp; $AQ$85 &amp; $AN36),0))))/1024)</f>
        <v>162.62525683593751</v>
      </c>
      <c r="L36" s="595">
        <f ca="1">IF(ISERROR(MATCH(L$1,INDIRECT("Table!A"&amp;$AN36):INDIRECT("Table!" &amp; $AQ$85 &amp; $AN36),0)),"",INDIRECT(CONCATENATE("Table!",ADDRESS($AJ36,MATCH(L$1,INDIRECT("Table!A" &amp; $AN36):INDIRECT("Table!" &amp; $AQ$85 &amp; $AN36),0))))/1024)</f>
        <v>250.77018749999999</v>
      </c>
      <c r="M36" s="595">
        <f ca="1">IF(ISERROR(MATCH(M$1,INDIRECT("Table!A"&amp;$AN36):INDIRECT("Table!" &amp; $AQ$85 &amp; $AN36),0)),"",INDIRECT(CONCATENATE("Table!",ADDRESS($AJ36,MATCH(M$1,INDIRECT("Table!A" &amp; $AN36):INDIRECT("Table!" &amp; $AQ$85 &amp; $AN36),0))))/1024)</f>
        <v>358.17727148437501</v>
      </c>
      <c r="N36" s="595">
        <f ca="1">IF(ISERROR(MATCH(N$1,INDIRECT("Table!A"&amp;$AN36):INDIRECT("Table!" &amp; $AQ$85 &amp; $AN36),0)),"",INDIRECT(CONCATENATE("Table!",ADDRESS($AJ36,MATCH(N$1,INDIRECT("Table!A" &amp; $AN36):INDIRECT("Table!" &amp; $AQ$85 &amp; $AN36),0))))/1024)</f>
        <v>119.9521787109375</v>
      </c>
      <c r="O36" s="595">
        <f ca="1">IF(ISERROR(MATCH(O$1,INDIRECT("Table!A"&amp;$AN36):INDIRECT("Table!" &amp; $AQ$85 &amp; $AN36),0)),"",INDIRECT(CONCATENATE("Table!",ADDRESS($AJ36,MATCH(O$1,INDIRECT("Table!A" &amp; $AN36):INDIRECT("Table!" &amp; $AQ$85 &amp; $AN36),0))))/1024)</f>
        <v>196.6715244140625</v>
      </c>
      <c r="P36" s="595">
        <f ca="1">IF(ISERROR(MATCH(P$1,INDIRECT("Table!A"&amp;$AN36):INDIRECT("Table!" &amp; $AQ$85 &amp; $AN36),0)),"",INDIRECT(CONCATENATE("Table!",ADDRESS($AJ36,MATCH(P$1,INDIRECT("Table!A" &amp; $AN36):INDIRECT("Table!" &amp; $AQ$85 &amp; $AN36),0))))/1024)</f>
        <v>60.058406249999997</v>
      </c>
      <c r="Q36" s="595">
        <f ca="1">IF(ISERROR(MATCH(Q$1,INDIRECT("Table!A"&amp;$AN36):INDIRECT("Table!" &amp; $AQ$85 &amp; $AN36),0)),"",INDIRECT(CONCATENATE("Table!",ADDRESS($AJ36,MATCH(Q$1,INDIRECT("Table!A" &amp; $AN36):INDIRECT("Table!" &amp; $AQ$85 &amp; $AN36),0))))/1024)</f>
        <v>136.11921679687501</v>
      </c>
      <c r="R36" s="595">
        <f ca="1">IF(ISERROR(MATCH(R$1,INDIRECT("Table!A"&amp;$AN36):INDIRECT("Table!" &amp; $AQ$85 &amp; $AN36),0)),"",INDIRECT(CONCATENATE("Table!",ADDRESS($AJ36,MATCH(R$1,INDIRECT("Table!A" &amp; $AN36):INDIRECT("Table!" &amp; $AQ$85 &amp; $AN36),0))))/1024)</f>
        <v>302.79446484375001</v>
      </c>
      <c r="S36" s="595">
        <v>0</v>
      </c>
      <c r="T36" s="595">
        <f ca="1">IF(ISERROR(MATCH(T$1,INDIRECT("Table!A"&amp;$AN36):INDIRECT("Table!" &amp; $AQ$85 &amp; $AN36),0)),"",INDIRECT(CONCATENATE("Table!",ADDRESS($AJ36,MATCH(T$1,INDIRECT("Table!A" &amp; $AN36):INDIRECT("Table!" &amp; $AQ$85 &amp; $AN36),0))))/1024)</f>
        <v>35.791385742187501</v>
      </c>
      <c r="U36" s="595">
        <f ca="1">IF(ISERROR(MATCH(U$1,INDIRECT("Table!A"&amp;$AN36):INDIRECT("Table!" &amp; $AQ$85 &amp; $AN36),0)),"",INDIRECT(CONCATENATE("Table!",ADDRESS($AJ36,MATCH(U$1,INDIRECT("Table!A" &amp; $AN36):INDIRECT("Table!" &amp; $AQ$85 &amp; $AN36),0))))/1024)</f>
        <v>38.7547939453125</v>
      </c>
      <c r="V36" s="595">
        <f ca="1">IF(ISERROR(MATCH(V$1,INDIRECT("Table!A"&amp;$AN36):INDIRECT("Table!" &amp; $AQ$85 &amp; $AN36),0)),"",INDIRECT(CONCATENATE("Table!",ADDRESS($AJ36,MATCH(V$1,INDIRECT("Table!A" &amp; $AN36):INDIRECT("Table!" &amp; $AQ$85 &amp; $AN36),0))))/1024)</f>
        <v>38.7547939453125</v>
      </c>
      <c r="W36" s="595" t="str">
        <f ca="1">IF(ISERROR(MATCH(W$1,INDIRECT("Table!A"&amp;$AN36):INDIRECT("Table!" &amp; $AQ$85 &amp; $AN36),0)),"",INDIRECT(CONCATENATE("Table!",ADDRESS($AJ36,MATCH(W$1,INDIRECT("Table!A" &amp; $AN36):INDIRECT("Table!" &amp; $AQ$85 &amp; $AN36),0))))/1024)</f>
        <v/>
      </c>
      <c r="X36" s="595"/>
      <c r="Y36" s="595"/>
      <c r="Z36" s="595"/>
      <c r="AA36" s="595"/>
      <c r="AB36" s="595"/>
      <c r="AC36" s="595"/>
      <c r="AD36" s="595"/>
      <c r="AE36" s="595"/>
      <c r="AF36" s="595"/>
      <c r="AG36" s="595"/>
      <c r="AH36" s="595"/>
      <c r="AI36" s="595"/>
      <c r="AJ36" s="595">
        <f>MATCH($A36,Table!$A:$A,0)+$AL$2-1</f>
        <v>487</v>
      </c>
      <c r="AK36" s="764"/>
      <c r="AL36" s="764"/>
      <c r="AM36" s="764"/>
      <c r="AN36" s="595">
        <f>MATCH($A36,Table!$A:$A,0)+$AP$2-1</f>
        <v>479</v>
      </c>
      <c r="AO36" s="764"/>
      <c r="AP36" s="764"/>
      <c r="AQ36" s="973" t="s">
        <v>302</v>
      </c>
      <c r="AR36" s="699">
        <f t="shared" ca="1" si="13"/>
        <v>3297.9769892578129</v>
      </c>
      <c r="AS36" s="699">
        <f t="shared" ref="AS36" ca="1" si="17">AR36-AR42</f>
        <v>127.52533300781306</v>
      </c>
      <c r="AT36" s="699">
        <f t="shared" ca="1" si="14"/>
        <v>79.15263310546888</v>
      </c>
    </row>
    <row r="37" spans="1:46" s="743" customFormat="1" x14ac:dyDescent="0.25">
      <c r="A37" s="592">
        <v>41732</v>
      </c>
      <c r="B37" s="595">
        <f ca="1">IF(ISERROR(MATCH(B$1,INDIRECT("Table!A"&amp;$AN37):INDIRECT("Table!" &amp; $AQ$108 &amp; $AN37),0)),"",INDIRECT(CONCATENATE("Table!",ADDRESS($AJ37,MATCH(B$1,INDIRECT("Table!A" &amp; $AN37):INDIRECT("Table!" &amp; $AQ$108 &amp; $AN37),0))))/1024)</f>
        <v>181.45936230468749</v>
      </c>
      <c r="C37" s="595">
        <f ca="1">IF(ISERROR(MATCH(C$1,INDIRECT("Table!A"&amp;$AN37):INDIRECT("Table!" &amp; $AQ$108 &amp; $AN37),0)),"",INDIRECT(CONCATENATE("Table!",ADDRESS($AJ37,MATCH(C$1,INDIRECT("Table!A" &amp; $AN37):INDIRECT("Table!" &amp; $AQ$108 &amp; $AN37),0))))/1024)</f>
        <v>96.771741210937492</v>
      </c>
      <c r="D37" s="595">
        <f ca="1">IF(ISERROR(MATCH(D$1,INDIRECT("Table!A"&amp;$AN37):INDIRECT("Table!" &amp; $AQ$108 &amp; $AN37),0)),"",INDIRECT(CONCATENATE("Table!",ADDRESS($AJ37,MATCH(D$1,INDIRECT("Table!A" &amp; $AN37):INDIRECT("Table!" &amp; $AQ$108 &amp; $AN37),0))))/1024)</f>
        <v>97.627836914062499</v>
      </c>
      <c r="E37" s="595">
        <f ca="1">IF(ISERROR(MATCH(E$1,INDIRECT("Table!A"&amp;$AN37):INDIRECT("Table!" &amp; $AQ$108 &amp; $AN37),0)),"",INDIRECT(CONCATENATE("Table!",ADDRESS($AJ37,MATCH(E$1,INDIRECT("Table!A" &amp; $AN37):INDIRECT("Table!" &amp; $AQ$108 &amp; $AN37),0))))/1024)</f>
        <v>253.53603515624999</v>
      </c>
      <c r="F37" s="595">
        <f ca="1">IF(ISERROR(MATCH(F$1,INDIRECT("Table!A"&amp;$AN37):INDIRECT("Table!" &amp; $AQ$108 &amp; $AN37),0)),"",INDIRECT(CONCATENATE("Table!",ADDRESS($AJ37,MATCH(F$1,INDIRECT("Table!A" &amp; $AN37):INDIRECT("Table!" &amp; $AQ$108 &amp; $AN37),0))))/1024)</f>
        <v>115.30950585937499</v>
      </c>
      <c r="G37" s="595">
        <f ca="1">IF(ISERROR(MATCH(G$1,INDIRECT("Table!A"&amp;$AN37):INDIRECT("Table!" &amp; $AQ$108 &amp; $AN37),0)),"",INDIRECT(CONCATENATE("Table!",ADDRESS($AJ37,MATCH(G$1,INDIRECT("Table!A" &amp; $AN37):INDIRECT("Table!" &amp; $AQ$108 &amp; $AN37),0))))/1024)</f>
        <v>448.39658789062497</v>
      </c>
      <c r="H37" s="595">
        <f ca="1">IF(ISERROR(MATCH(H$1,INDIRECT("Table!A"&amp;$AN37):INDIRECT("Table!" &amp; $AQ$108 &amp; $AN37),0)),"",INDIRECT(CONCATENATE("Table!",ADDRESS($AJ37,MATCH(H$1,INDIRECT("Table!A" &amp; $AN37):INDIRECT("Table!" &amp; $AQ$108 &amp; $AN37),0))))/1024)</f>
        <v>234.1421748046875</v>
      </c>
      <c r="I37" s="595">
        <f ca="1">IF(ISERROR(MATCH(I$1,INDIRECT("Table!A"&amp;$AN37):INDIRECT("Table!" &amp; $AQ$85 &amp; $AN37),0)),"",INDIRECT(CONCATENATE("Table!",ADDRESS($AJ37,MATCH(I$1,INDIRECT("Table!A" &amp; $AN37):INDIRECT("Table!" &amp; $AQ$85 &amp; $AN37),0))))/1024)</f>
        <v>45.109658203125001</v>
      </c>
      <c r="J37" s="595">
        <f ca="1">IF(ISERROR(MATCH(J$1,INDIRECT("Table!A"&amp;$AN37):INDIRECT("Table!" &amp; $AQ$85 &amp; $AN37),0)),"",INDIRECT(CONCATENATE("Table!",ADDRESS($AJ37,MATCH(J$1,INDIRECT("Table!A" &amp; $AN37):INDIRECT("Table!" &amp; $AQ$85 &amp; $AN37),0))))/1024)</f>
        <v>123.93631640625</v>
      </c>
      <c r="K37" s="595">
        <f ca="1">IF(ISERROR(MATCH(K$1,INDIRECT("Table!A"&amp;$AN37):INDIRECT("Table!" &amp; $AQ$85 &amp; $AN37),0)),"",INDIRECT(CONCATENATE("Table!",ADDRESS($AJ37,MATCH(K$1,INDIRECT("Table!A" &amp; $AN37):INDIRECT("Table!" &amp; $AQ$85 &amp; $AN37),0))))/1024)</f>
        <v>160.485017578125</v>
      </c>
      <c r="L37" s="595">
        <f ca="1">IF(ISERROR(MATCH(L$1,INDIRECT("Table!A"&amp;$AN37):INDIRECT("Table!" &amp; $AQ$85 &amp; $AN37),0)),"",INDIRECT(CONCATENATE("Table!",ADDRESS($AJ37,MATCH(L$1,INDIRECT("Table!A" &amp; $AN37):INDIRECT("Table!" &amp; $AQ$85 &amp; $AN37),0))))/1024)</f>
        <v>250.77018749999999</v>
      </c>
      <c r="M37" s="595">
        <f ca="1">IF(ISERROR(MATCH(M$1,INDIRECT("Table!A"&amp;$AN37):INDIRECT("Table!" &amp; $AQ$85 &amp; $AN37),0)),"",INDIRECT(CONCATENATE("Table!",ADDRESS($AJ37,MATCH(M$1,INDIRECT("Table!A" &amp; $AN37):INDIRECT("Table!" &amp; $AQ$85 &amp; $AN37),0))))/1024)</f>
        <v>358.17727148437501</v>
      </c>
      <c r="N37" s="595">
        <f ca="1">IF(ISERROR(MATCH(N$1,INDIRECT("Table!A"&amp;$AN37):INDIRECT("Table!" &amp; $AQ$85 &amp; $AN37),0)),"",INDIRECT(CONCATENATE("Table!",ADDRESS($AJ37,MATCH(N$1,INDIRECT("Table!A" &amp; $AN37):INDIRECT("Table!" &amp; $AQ$85 &amp; $AN37),0))))/1024)</f>
        <v>119.9521787109375</v>
      </c>
      <c r="O37" s="595">
        <f ca="1">IF(ISERROR(MATCH(O$1,INDIRECT("Table!A"&amp;$AN37):INDIRECT("Table!" &amp; $AQ$85 &amp; $AN37),0)),"",INDIRECT(CONCATENATE("Table!",ADDRESS($AJ37,MATCH(O$1,INDIRECT("Table!A" &amp; $AN37):INDIRECT("Table!" &amp; $AQ$85 &amp; $AN37),0))))/1024)</f>
        <v>196.27640332031245</v>
      </c>
      <c r="P37" s="595">
        <f ca="1">IF(ISERROR(MATCH(P$1,INDIRECT("Table!A"&amp;$AN37):INDIRECT("Table!" &amp; $AQ$85 &amp; $AN37),0)),"",INDIRECT(CONCATENATE("Table!",ADDRESS($AJ37,MATCH(P$1,INDIRECT("Table!A" &amp; $AN37):INDIRECT("Table!" &amp; $AQ$85 &amp; $AN37),0))))/1024)</f>
        <v>59.860845703125001</v>
      </c>
      <c r="Q37" s="595">
        <f ca="1">IF(ISERROR(MATCH(Q$1,INDIRECT("Table!A"&amp;$AN37):INDIRECT("Table!" &amp; $AQ$85 &amp; $AN37),0)),"",INDIRECT(CONCATENATE("Table!",ADDRESS($AJ37,MATCH(Q$1,INDIRECT("Table!A" &amp; $AN37):INDIRECT("Table!" &amp; $AQ$85 &amp; $AN37),0))))/1024)</f>
        <v>134.933853515625</v>
      </c>
      <c r="R37" s="595">
        <f ca="1">IF(ISERROR(MATCH(R$1,INDIRECT("Table!A"&amp;$AN37):INDIRECT("Table!" &amp; $AQ$85 &amp; $AN37),0)),"",INDIRECT(CONCATENATE("Table!",ADDRESS($AJ37,MATCH(R$1,INDIRECT("Table!A" &amp; $AN37):INDIRECT("Table!" &amp; $AQ$85 &amp; $AN37),0))))/1024)</f>
        <v>285.60669726562497</v>
      </c>
      <c r="S37" s="595">
        <v>0</v>
      </c>
      <c r="T37" s="595">
        <f ca="1">IF(ISERROR(MATCH(T$1,INDIRECT("Table!A"&amp;$AN37):INDIRECT("Table!" &amp; $AQ$85 &amp; $AN37),0)),"",INDIRECT(CONCATENATE("Table!",ADDRESS($AJ37,MATCH(T$1,INDIRECT("Table!A" &amp; $AN37):INDIRECT("Table!" &amp; $AQ$85 &amp; $AN37),0))))/1024)</f>
        <v>35.791385742187501</v>
      </c>
      <c r="U37" s="595">
        <f ca="1">IF(ISERROR(MATCH(U$1,INDIRECT("Table!A"&amp;$AN37):INDIRECT("Table!" &amp; $AQ$85 &amp; $AN37),0)),"",INDIRECT(CONCATENATE("Table!",ADDRESS($AJ37,MATCH(U$1,INDIRECT("Table!A" &amp; $AN37):INDIRECT("Table!" &amp; $AQ$85 &amp; $AN37),0))))/1024)</f>
        <v>38.260892578124995</v>
      </c>
      <c r="V37" s="595">
        <f ca="1">IF(ISERROR(MATCH(V$1,INDIRECT("Table!A"&amp;$AN37):INDIRECT("Table!" &amp; $AQ$85 &amp; $AN37),0)),"",INDIRECT(CONCATENATE("Table!",ADDRESS($AJ37,MATCH(V$1,INDIRECT("Table!A" &amp; $AN37):INDIRECT("Table!" &amp; $AQ$85 &amp; $AN37),0))))/1024)</f>
        <v>38.260892578124995</v>
      </c>
      <c r="W37" s="595" t="str">
        <f ca="1">IF(ISERROR(MATCH(W$1,INDIRECT("Table!A"&amp;$AN37):INDIRECT("Table!" &amp; $AQ$85 &amp; $AN37),0)),"",INDIRECT(CONCATENATE("Table!",ADDRESS($AJ37,MATCH(W$1,INDIRECT("Table!A" &amp; $AN37):INDIRECT("Table!" &amp; $AQ$85 &amp; $AN37),0))))/1024)</f>
        <v/>
      </c>
      <c r="X37" s="595"/>
      <c r="Y37" s="595"/>
      <c r="Z37" s="595"/>
      <c r="AA37" s="595"/>
      <c r="AB37" s="595"/>
      <c r="AC37" s="595"/>
      <c r="AD37" s="595"/>
      <c r="AE37" s="595"/>
      <c r="AF37" s="595"/>
      <c r="AG37" s="595"/>
      <c r="AH37" s="595"/>
      <c r="AI37" s="595"/>
      <c r="AJ37" s="595">
        <f>MATCH($A37,Table!$A:$A,0)+$AL$2-1</f>
        <v>501</v>
      </c>
      <c r="AK37" s="759"/>
      <c r="AL37" s="759"/>
      <c r="AM37" s="759"/>
      <c r="AN37" s="595">
        <f>MATCH($A37,Table!$A:$A,0)+$AP$2-1</f>
        <v>493</v>
      </c>
      <c r="AO37" s="759"/>
      <c r="AP37" s="759"/>
      <c r="AQ37" s="973" t="s">
        <v>302</v>
      </c>
      <c r="AR37" s="699">
        <f t="shared" ca="1" si="13"/>
        <v>3274.6648447265625</v>
      </c>
      <c r="AS37" s="699">
        <f t="shared" ref="AS37" ca="1" si="18">AR37-AR42</f>
        <v>104.21318847656266</v>
      </c>
      <c r="AT37" s="699">
        <f t="shared" ca="1" si="14"/>
        <v>66.647050488281323</v>
      </c>
    </row>
    <row r="38" spans="1:46" s="743" customFormat="1" x14ac:dyDescent="0.25">
      <c r="A38" s="592">
        <v>41725</v>
      </c>
      <c r="B38" s="595">
        <f ca="1">IF(ISERROR(MATCH(B$1,INDIRECT("Table!A"&amp;$AN38):INDIRECT("Table!" &amp; $AQ$108 &amp; $AN38),0)),"",INDIRECT(CONCATENATE("Table!",ADDRESS($AJ38,MATCH(B$1,INDIRECT("Table!A" &amp; $AN38):INDIRECT("Table!" &amp; $AQ$108 &amp; $AN38),0))))/1024)</f>
        <v>181.45936230468749</v>
      </c>
      <c r="C38" s="595">
        <f ca="1">IF(ISERROR(MATCH(C$1,INDIRECT("Table!A"&amp;$AN38):INDIRECT("Table!" &amp; $AQ$108 &amp; $AN38),0)),"",INDIRECT(CONCATENATE("Table!",ADDRESS($AJ38,MATCH(C$1,INDIRECT("Table!A" &amp; $AN38):INDIRECT("Table!" &amp; $AQ$108 &amp; $AN38),0))))/1024)</f>
        <v>96.771741210937492</v>
      </c>
      <c r="D38" s="595">
        <f ca="1">IF(ISERROR(MATCH(D$1,INDIRECT("Table!A"&amp;$AN38):INDIRECT("Table!" &amp; $AQ$108 &amp; $AN38),0)),"",INDIRECT(CONCATENATE("Table!",ADDRESS($AJ38,MATCH(D$1,INDIRECT("Table!A" &amp; $AN38):INDIRECT("Table!" &amp; $AQ$108 &amp; $AN38),0))))/1024)</f>
        <v>97.627836914062499</v>
      </c>
      <c r="E38" s="595">
        <f ca="1">IF(ISERROR(MATCH(E$1,INDIRECT("Table!A"&amp;$AN38):INDIRECT("Table!" &amp; $AQ$108 &amp; $AN38),0)),"",INDIRECT(CONCATENATE("Table!",ADDRESS($AJ38,MATCH(E$1,INDIRECT("Table!A" &amp; $AN38):INDIRECT("Table!" &amp; $AQ$108 &amp; $AN38),0))))/1024)</f>
        <v>253.53603515624999</v>
      </c>
      <c r="F38" s="595">
        <f ca="1">IF(ISERROR(MATCH(F$1,INDIRECT("Table!A"&amp;$AN38):INDIRECT("Table!" &amp; $AQ$108 &amp; $AN38),0)),"",INDIRECT(CONCATENATE("Table!",ADDRESS($AJ38,MATCH(F$1,INDIRECT("Table!A" &amp; $AN38):INDIRECT("Table!" &amp; $AQ$108 &amp; $AN38),0))))/1024)</f>
        <v>115.30950585937499</v>
      </c>
      <c r="G38" s="595">
        <f ca="1">IF(ISERROR(MATCH(G$1,INDIRECT("Table!A"&amp;$AN38):INDIRECT("Table!" &amp; $AQ$108 &amp; $AN38),0)),"",INDIRECT(CONCATENATE("Table!",ADDRESS($AJ38,MATCH(G$1,INDIRECT("Table!A" &amp; $AN38):INDIRECT("Table!" &amp; $AQ$108 &amp; $AN38),0))))/1024)</f>
        <v>448.39658789062497</v>
      </c>
      <c r="H38" s="595">
        <f ca="1">IF(ISERROR(MATCH(H$1,INDIRECT("Table!A"&amp;$AN38):INDIRECT("Table!" &amp; $AQ$108 &amp; $AN38),0)),"",INDIRECT(CONCATENATE("Table!",ADDRESS($AJ38,MATCH(H$1,INDIRECT("Table!A" &amp; $AN38):INDIRECT("Table!" &amp; $AQ$108 &amp; $AN38),0))))/1024)</f>
        <v>234.1421748046875</v>
      </c>
      <c r="I38" s="595">
        <f ca="1">IF(ISERROR(MATCH(I$1,INDIRECT("Table!A"&amp;$AN38):INDIRECT("Table!" &amp; $AQ$85 &amp; $AN38),0)),"",INDIRECT(CONCATENATE("Table!",ADDRESS($AJ38,MATCH(I$1,INDIRECT("Table!A" &amp; $AN38):INDIRECT("Table!" &amp; $AQ$85 &amp; $AN38),0))))/1024)</f>
        <v>45.109658203125001</v>
      </c>
      <c r="J38" s="595">
        <f ca="1">IF(ISERROR(MATCH(J$1,INDIRECT("Table!A"&amp;$AN38):INDIRECT("Table!" &amp; $AQ$85 &amp; $AN38),0)),"",INDIRECT(CONCATENATE("Table!",ADDRESS($AJ38,MATCH(J$1,INDIRECT("Table!A" &amp; $AN38):INDIRECT("Table!" &amp; $AQ$85 &amp; $AN38),0))))/1024)</f>
        <v>123.93631640625</v>
      </c>
      <c r="K38" s="595">
        <f ca="1">IF(ISERROR(MATCH(K$1,INDIRECT("Table!A"&amp;$AN38):INDIRECT("Table!" &amp; $AQ$85 &amp; $AN38),0)),"",INDIRECT(CONCATENATE("Table!",ADDRESS($AJ38,MATCH(K$1,INDIRECT("Table!A" &amp; $AN38):INDIRECT("Table!" &amp; $AQ$85 &amp; $AN38),0))))/1024)</f>
        <v>160.485017578125</v>
      </c>
      <c r="L38" s="595">
        <f ca="1">IF(ISERROR(MATCH(L$1,INDIRECT("Table!A"&amp;$AN38):INDIRECT("Table!" &amp; $AQ$85 &amp; $AN38),0)),"",INDIRECT(CONCATENATE("Table!",ADDRESS($AJ38,MATCH(L$1,INDIRECT("Table!A" &amp; $AN38):INDIRECT("Table!" &amp; $AQ$85 &amp; $AN38),0))))/1024)</f>
        <v>250.77018749999999</v>
      </c>
      <c r="M38" s="595">
        <f ca="1">IF(ISERROR(MATCH(M$1,INDIRECT("Table!A"&amp;$AN38):INDIRECT("Table!" &amp; $AQ$85 &amp; $AN38),0)),"",INDIRECT(CONCATENATE("Table!",ADDRESS($AJ38,MATCH(M$1,INDIRECT("Table!A" &amp; $AN38):INDIRECT("Table!" &amp; $AQ$85 &amp; $AN38),0))))/1024)</f>
        <v>358.17727148437501</v>
      </c>
      <c r="N38" s="595">
        <f ca="1">IF(ISERROR(MATCH(N$1,INDIRECT("Table!A"&amp;$AN38):INDIRECT("Table!" &amp; $AQ$85 &amp; $AN38),0)),"",INDIRECT(CONCATENATE("Table!",ADDRESS($AJ38,MATCH(N$1,INDIRECT("Table!A" &amp; $AN38):INDIRECT("Table!" &amp; $AQ$85 &amp; $AN38),0))))/1024)</f>
        <v>119.9521787109375</v>
      </c>
      <c r="O38" s="595">
        <f ca="1">IF(ISERROR(MATCH(O$1,INDIRECT("Table!A"&amp;$AN38):INDIRECT("Table!" &amp; $AQ$85 &amp; $AN38),0)),"",INDIRECT(CONCATENATE("Table!",ADDRESS($AJ38,MATCH(O$1,INDIRECT("Table!A" &amp; $AN38):INDIRECT("Table!" &amp; $AQ$85 &amp; $AN38),0))))/1024)</f>
        <v>196.27640332031245</v>
      </c>
      <c r="P38" s="595">
        <f ca="1">IF(ISERROR(MATCH(P$1,INDIRECT("Table!A"&amp;$AN38):INDIRECT("Table!" &amp; $AQ$85 &amp; $AN38),0)),"",INDIRECT(CONCATENATE("Table!",ADDRESS($AJ38,MATCH(P$1,INDIRECT("Table!A" &amp; $AN38):INDIRECT("Table!" &amp; $AQ$85 &amp; $AN38),0))))/1024)</f>
        <v>59.860845703125001</v>
      </c>
      <c r="Q38" s="595">
        <f ca="1">IF(ISERROR(MATCH(Q$1,INDIRECT("Table!A"&amp;$AN38):INDIRECT("Table!" &amp; $AQ$85 &amp; $AN38),0)),"",INDIRECT(CONCATENATE("Table!",ADDRESS($AJ38,MATCH(Q$1,INDIRECT("Table!A" &amp; $AN38):INDIRECT("Table!" &amp; $AQ$85 &amp; $AN38),0))))/1024)</f>
        <v>134.933853515625</v>
      </c>
      <c r="R38" s="595">
        <f ca="1">IF(ISERROR(MATCH(R$1,INDIRECT("Table!A"&amp;$AN38):INDIRECT("Table!" &amp; $AQ$85 &amp; $AN38),0)),"",INDIRECT(CONCATENATE("Table!",ADDRESS($AJ38,MATCH(R$1,INDIRECT("Table!A" &amp; $AN38):INDIRECT("Table!" &amp; $AQ$85 &amp; $AN38),0))))/1024)</f>
        <v>285.60669726562497</v>
      </c>
      <c r="S38" s="595">
        <v>0</v>
      </c>
      <c r="T38" s="595">
        <f ca="1">IF(ISERROR(MATCH(T$1,INDIRECT("Table!A"&amp;$AN38):INDIRECT("Table!" &amp; $AQ$85 &amp; $AN38),0)),"",INDIRECT(CONCATENATE("Table!",ADDRESS($AJ38,MATCH(T$1,INDIRECT("Table!A" &amp; $AN38):INDIRECT("Table!" &amp; $AQ$85 &amp; $AN38),0))))/1024)</f>
        <v>35.791385742187501</v>
      </c>
      <c r="U38" s="595">
        <f ca="1">IF(ISERROR(MATCH(U$1,INDIRECT("Table!A"&amp;$AN38):INDIRECT("Table!" &amp; $AQ$85 &amp; $AN38),0)),"",INDIRECT(CONCATENATE("Table!",ADDRESS($AJ38,MATCH(U$1,INDIRECT("Table!A" &amp; $AN38):INDIRECT("Table!" &amp; $AQ$85 &amp; $AN38),0))))/1024)</f>
        <v>38.260892578124995</v>
      </c>
      <c r="V38" s="595">
        <f ca="1">IF(ISERROR(MATCH(V$1,INDIRECT("Table!A"&amp;$AN38):INDIRECT("Table!" &amp; $AQ$85 &amp; $AN38),0)),"",INDIRECT(CONCATENATE("Table!",ADDRESS($AJ38,MATCH(V$1,INDIRECT("Table!A" &amp; $AN38):INDIRECT("Table!" &amp; $AQ$85 &amp; $AN38),0))))/1024)</f>
        <v>38.260892578124995</v>
      </c>
      <c r="W38" s="595" t="str">
        <f ca="1">IF(ISERROR(MATCH(W$1,INDIRECT("Table!A"&amp;$AN38):INDIRECT("Table!" &amp; $AQ$85 &amp; $AN38),0)),"",INDIRECT(CONCATENATE("Table!",ADDRESS($AJ38,MATCH(W$1,INDIRECT("Table!A" &amp; $AN38):INDIRECT("Table!" &amp; $AQ$85 &amp; $AN38),0))))/1024)</f>
        <v/>
      </c>
      <c r="X38" s="595"/>
      <c r="Y38" s="595"/>
      <c r="Z38" s="595"/>
      <c r="AA38" s="595"/>
      <c r="AB38" s="595"/>
      <c r="AC38" s="595"/>
      <c r="AD38" s="595"/>
      <c r="AE38" s="595"/>
      <c r="AF38" s="595"/>
      <c r="AG38" s="595"/>
      <c r="AH38" s="595"/>
      <c r="AI38" s="595"/>
      <c r="AJ38" s="595">
        <f>MATCH($A38,Table!$A:$A,0)+$AL$2-1</f>
        <v>515</v>
      </c>
      <c r="AK38" s="742"/>
      <c r="AL38" s="742"/>
      <c r="AM38" s="742"/>
      <c r="AN38" s="595">
        <f>MATCH($A38,Table!$A:$A,0)+$AP$2-1</f>
        <v>507</v>
      </c>
      <c r="AO38" s="742"/>
      <c r="AP38" s="742"/>
      <c r="AQ38" s="973" t="s">
        <v>302</v>
      </c>
      <c r="AR38" s="699">
        <f t="shared" ca="1" si="13"/>
        <v>3274.6648447265625</v>
      </c>
      <c r="AS38" s="699">
        <f t="shared" ref="AS38" ca="1" si="19">AR38-AR42</f>
        <v>104.21318847656266</v>
      </c>
      <c r="AT38" s="699">
        <f t="shared" ca="1" si="14"/>
        <v>46.344411621093833</v>
      </c>
    </row>
    <row r="39" spans="1:46" s="743" customFormat="1" x14ac:dyDescent="0.25">
      <c r="A39" s="592">
        <v>41709</v>
      </c>
      <c r="B39" s="595">
        <f ca="1">IF(ISERROR(MATCH(B$1,INDIRECT("Table!A"&amp;$AN39):INDIRECT("Table!" &amp; $AQ$108 &amp; $AN39),0)),"",INDIRECT(CONCATENATE("Table!",ADDRESS($AJ39,MATCH(B$1,INDIRECT("Table!A" &amp; $AN39):INDIRECT("Table!" &amp; $AQ$108 &amp; $AN39),0))))/1024)</f>
        <v>182.4471650390625</v>
      </c>
      <c r="C39" s="595">
        <f ca="1">IF(ISERROR(MATCH(C$1,INDIRECT("Table!A"&amp;$AN39):INDIRECT("Table!" &amp; $AQ$108 &amp; $AN39),0)),"",INDIRECT(CONCATENATE("Table!",ADDRESS($AJ39,MATCH(C$1,INDIRECT("Table!A" &amp; $AN39):INDIRECT("Table!" &amp; $AQ$108 &amp; $AN39),0))))/1024)</f>
        <v>96.771741210937492</v>
      </c>
      <c r="D39" s="595">
        <f ca="1">IF(ISERROR(MATCH(D$1,INDIRECT("Table!A"&amp;$AN39):INDIRECT("Table!" &amp; $AQ$108 &amp; $AN39),0)),"",INDIRECT(CONCATENATE("Table!",ADDRESS($AJ39,MATCH(D$1,INDIRECT("Table!A" &amp; $AN39):INDIRECT("Table!" &amp; $AQ$108 &amp; $AN39),0))))/1024)</f>
        <v>97.627836914062499</v>
      </c>
      <c r="E39" s="595">
        <f ca="1">IF(ISERROR(MATCH(E$1,INDIRECT("Table!A"&amp;$AN39):INDIRECT("Table!" &amp; $AQ$108 &amp; $AN39),0)),"",INDIRECT(CONCATENATE("Table!",ADDRESS($AJ39,MATCH(E$1,INDIRECT("Table!A" &amp; $AN39):INDIRECT("Table!" &amp; $AQ$108 &amp; $AN39),0))))/1024)</f>
        <v>255.11651953124999</v>
      </c>
      <c r="F39" s="595">
        <f ca="1">IF(ISERROR(MATCH(F$1,INDIRECT("Table!A"&amp;$AN39):INDIRECT("Table!" &amp; $AQ$108 &amp; $AN39),0)),"",INDIRECT(CONCATENATE("Table!",ADDRESS($AJ39,MATCH(F$1,INDIRECT("Table!A" &amp; $AN39):INDIRECT("Table!" &amp; $AQ$108 &amp; $AN39),0))))/1024)</f>
        <v>116.23145507812499</v>
      </c>
      <c r="G39" s="595">
        <f ca="1">IF(ISERROR(MATCH(G$1,INDIRECT("Table!A"&amp;$AN39):INDIRECT("Table!" &amp; $AQ$108 &amp; $AN39),0)),"",INDIRECT(CONCATENATE("Table!",ADDRESS($AJ39,MATCH(G$1,INDIRECT("Table!A" &amp; $AN39):INDIRECT("Table!" &amp; $AQ$108 &amp; $AN39),0))))/1024)</f>
        <v>448.39658789062497</v>
      </c>
      <c r="H39" s="595">
        <f ca="1">IF(ISERROR(MATCH(H$1,INDIRECT("Table!A"&amp;$AN39):INDIRECT("Table!" &amp; $AQ$108 &amp; $AN39),0)),"",INDIRECT(CONCATENATE("Table!",ADDRESS($AJ39,MATCH(H$1,INDIRECT("Table!A" &amp; $AN39):INDIRECT("Table!" &amp; $AQ$108 &amp; $AN39),0))))/1024)</f>
        <v>233.6812001953125</v>
      </c>
      <c r="I39" s="595">
        <f ca="1">IF(ISERROR(MATCH(I$1,INDIRECT("Table!A"&amp;$AN39):INDIRECT("Table!" &amp; $AQ$85 &amp; $AN39),0)),"",INDIRECT(CONCATENATE("Table!",ADDRESS($AJ39,MATCH(I$1,INDIRECT("Table!A" &amp; $AN39):INDIRECT("Table!" &amp; $AQ$85 &amp; $AN39),0))))/1024)</f>
        <v>43.298686523437496</v>
      </c>
      <c r="J39" s="595">
        <f ca="1">IF(ISERROR(MATCH(J$1,INDIRECT("Table!A"&amp;$AN39):INDIRECT("Table!" &amp; $AQ$85 &amp; $AN39),0)),"",INDIRECT(CONCATENATE("Table!",ADDRESS($AJ39,MATCH(J$1,INDIRECT("Table!A" &amp; $AN39):INDIRECT("Table!" &amp; $AQ$85 &amp; $AN39),0))))/1024)</f>
        <v>123.04729394531249</v>
      </c>
      <c r="K39" s="595">
        <f ca="1">IF(ISERROR(MATCH(K$1,INDIRECT("Table!A"&amp;$AN39):INDIRECT("Table!" &amp; $AQ$85 &amp; $AN39),0)),"",INDIRECT(CONCATENATE("Table!",ADDRESS($AJ39,MATCH(K$1,INDIRECT("Table!A" &amp; $AN39):INDIRECT("Table!" &amp; $AQ$85 &amp; $AN39),0))))/1024)</f>
        <v>158.64111914062499</v>
      </c>
      <c r="L39" s="595">
        <f ca="1">IF(ISERROR(MATCH(L$1,INDIRECT("Table!A"&amp;$AN39):INDIRECT("Table!" &amp; $AQ$85 &amp; $AN39),0)),"",INDIRECT(CONCATENATE("Table!",ADDRESS($AJ39,MATCH(L$1,INDIRECT("Table!A" &amp; $AN39):INDIRECT("Table!" &amp; $AQ$85 &amp; $AN39),0))))/1024)</f>
        <v>250.77018749999999</v>
      </c>
      <c r="M39" s="595">
        <f ca="1">IF(ISERROR(MATCH(M$1,INDIRECT("Table!A"&amp;$AN39):INDIRECT("Table!" &amp; $AQ$85 &amp; $AN39),0)),"",INDIRECT(CONCATENATE("Table!",ADDRESS($AJ39,MATCH(M$1,INDIRECT("Table!A" &amp; $AN39):INDIRECT("Table!" &amp; $AQ$85 &amp; $AN39),0))))/1024)</f>
        <v>357.97971093749999</v>
      </c>
      <c r="N39" s="595">
        <f ca="1">IF(ISERROR(MATCH(N$1,INDIRECT("Table!A"&amp;$AN39):INDIRECT("Table!" &amp; $AQ$85 &amp; $AN39),0)),"",INDIRECT(CONCATENATE("Table!",ADDRESS($AJ39,MATCH(N$1,INDIRECT("Table!A" &amp; $AN39):INDIRECT("Table!" &amp; $AQ$85 &amp; $AN39),0))))/1024)</f>
        <v>121.0716884765625</v>
      </c>
      <c r="O39" s="595">
        <f ca="1">IF(ISERROR(MATCH(O$1,INDIRECT("Table!A"&amp;$AN39):INDIRECT("Table!" &amp; $AQ$85 &amp; $AN39),0)),"",INDIRECT(CONCATENATE("Table!",ADDRESS($AJ39,MATCH(O$1,INDIRECT("Table!A" &amp; $AN39):INDIRECT("Table!" &amp; $AQ$85 &amp; $AN39),0))))/1024)</f>
        <v>195.81542871093745</v>
      </c>
      <c r="P39" s="595">
        <f ca="1">IF(ISERROR(MATCH(P$1,INDIRECT("Table!A"&amp;$AN39):INDIRECT("Table!" &amp; $AQ$85 &amp; $AN39),0)),"",INDIRECT(CONCATENATE("Table!",ADDRESS($AJ39,MATCH(P$1,INDIRECT("Table!A" &amp; $AN39):INDIRECT("Table!" &amp; $AQ$85 &amp; $AN39),0))))/1024)</f>
        <v>58.049874023437496</v>
      </c>
      <c r="Q39" s="595">
        <f ca="1">IF(ISERROR(MATCH(Q$1,INDIRECT("Table!A"&amp;$AN39):INDIRECT("Table!" &amp; $AQ$85 &amp; $AN39),0)),"",INDIRECT(CONCATENATE("Table!",ADDRESS($AJ39,MATCH(Q$1,INDIRECT("Table!A" &amp; $AN39):INDIRECT("Table!" &amp; $AQ$85 &amp; $AN39),0))))/1024)</f>
        <v>134.86799999999999</v>
      </c>
      <c r="R39" s="595">
        <f ca="1">IF(ISERROR(MATCH(R$1,INDIRECT("Table!A"&amp;$AN39):INDIRECT("Table!" &amp; $AQ$85 &amp; $AN39),0)),"",INDIRECT(CONCATENATE("Table!",ADDRESS($AJ39,MATCH(R$1,INDIRECT("Table!A" &amp; $AN39):INDIRECT("Table!" &amp; $AQ$85 &amp; $AN39),0))))/1024)</f>
        <v>282.6432890625</v>
      </c>
      <c r="S39" s="595">
        <v>0</v>
      </c>
      <c r="T39" s="595">
        <f ca="1">IF(ISERROR(MATCH(T$1,INDIRECT("Table!A"&amp;$AN39):INDIRECT("Table!" &amp; $AQ$85 &amp; $AN39),0)),"",INDIRECT(CONCATENATE("Table!",ADDRESS($AJ39,MATCH(T$1,INDIRECT("Table!A" &amp; $AN39):INDIRECT("Table!" &amp; $AQ$85 &amp; $AN39),0))))/1024)</f>
        <v>35.791385742187501</v>
      </c>
      <c r="U39" s="595">
        <f ca="1">IF(ISERROR(MATCH(U$1,INDIRECT("Table!A"&amp;$AN39):INDIRECT("Table!" &amp; $AQ$85 &amp; $AN39),0)),"",INDIRECT(CONCATENATE("Table!",ADDRESS($AJ39,MATCH(U$1,INDIRECT("Table!A" &amp; $AN39):INDIRECT("Table!" &amp; $AQ$85 &amp; $AN39),0))))/1024)</f>
        <v>24.793848632812498</v>
      </c>
      <c r="V39" s="595">
        <f ca="1">IF(ISERROR(MATCH(V$1,INDIRECT("Table!A"&amp;$AN39):INDIRECT("Table!" &amp; $AQ$85 &amp; $AN39),0)),"",INDIRECT(CONCATENATE("Table!",ADDRESS($AJ39,MATCH(V$1,INDIRECT("Table!A" &amp; $AN39):INDIRECT("Table!" &amp; $AQ$85 &amp; $AN39),0))))/1024)</f>
        <v>24.793848632812498</v>
      </c>
      <c r="W39" s="595" t="str">
        <f ca="1">IF(ISERROR(MATCH(W$1,INDIRECT("Table!A"&amp;$AN39):INDIRECT("Table!" &amp; $AQ$85 &amp; $AN39),0)),"",INDIRECT(CONCATENATE("Table!",ADDRESS($AJ39,MATCH(W$1,INDIRECT("Table!A" &amp; $AN39):INDIRECT("Table!" &amp; $AQ$85 &amp; $AN39),0))))/1024)</f>
        <v/>
      </c>
      <c r="X39" s="595"/>
      <c r="Y39" s="595"/>
      <c r="Z39" s="595"/>
      <c r="AA39" s="595"/>
      <c r="AB39" s="595"/>
      <c r="AC39" s="595"/>
      <c r="AD39" s="595"/>
      <c r="AE39" s="595"/>
      <c r="AF39" s="595"/>
      <c r="AG39" s="595"/>
      <c r="AH39" s="595"/>
      <c r="AI39" s="595"/>
      <c r="AJ39" s="595">
        <f>MATCH($A39,Table!$A:$A,0)+$AL$2-1</f>
        <v>529</v>
      </c>
      <c r="AK39" s="737"/>
      <c r="AL39" s="737"/>
      <c r="AM39" s="737"/>
      <c r="AN39" s="595">
        <f>MATCH($A39,Table!$A:$A,0)+$AP$2-1</f>
        <v>521</v>
      </c>
      <c r="AO39" s="737"/>
      <c r="AP39" s="737"/>
      <c r="AQ39" s="973" t="s">
        <v>302</v>
      </c>
      <c r="AR39" s="699">
        <f t="shared" ca="1" si="13"/>
        <v>3241.8368671875005</v>
      </c>
      <c r="AS39" s="699">
        <f t="shared" ref="AS39" ca="1" si="20">AR39-AR42</f>
        <v>71.385210937500688</v>
      </c>
    </row>
    <row r="40" spans="1:46" s="591" customFormat="1" x14ac:dyDescent="0.25">
      <c r="A40" s="592">
        <v>41704</v>
      </c>
      <c r="B40" s="595">
        <f ca="1">IF(ISERROR(MATCH(B$1,INDIRECT("Table!A"&amp;$AN40):INDIRECT("Table!" &amp; $AQ$108 &amp; $AN40),0)),"",INDIRECT(CONCATENATE("Table!",ADDRESS($AJ40,MATCH(B$1,INDIRECT("Table!A" &amp; $AN40):INDIRECT("Table!" &amp; $AQ$108 &amp; $AN40),0))))/1024)</f>
        <v>184.88374511718749</v>
      </c>
      <c r="C40" s="595">
        <f ca="1">IF(ISERROR(MATCH(C$1,INDIRECT("Table!A"&amp;$AN40):INDIRECT("Table!" &amp; $AQ$108 &amp; $AN40),0)),"",INDIRECT(CONCATENATE("Table!",ADDRESS($AJ40,MATCH(C$1,INDIRECT("Table!A" &amp; $AN40):INDIRECT("Table!" &amp; $AQ$108 &amp; $AN40),0))))/1024)</f>
        <v>96.771741210937492</v>
      </c>
      <c r="D40" s="595">
        <f ca="1">IF(ISERROR(MATCH(D$1,INDIRECT("Table!A"&amp;$AN40):INDIRECT("Table!" &amp; $AQ$108 &amp; $AN40),0)),"",INDIRECT(CONCATENATE("Table!",ADDRESS($AJ40,MATCH(D$1,INDIRECT("Table!A" &amp; $AN40):INDIRECT("Table!" &amp; $AQ$108 &amp; $AN40),0))))/1024)</f>
        <v>97.627836914062499</v>
      </c>
      <c r="E40" s="595">
        <f ca="1">IF(ISERROR(MATCH(E$1,INDIRECT("Table!A"&amp;$AN40):INDIRECT("Table!" &amp; $AQ$108 &amp; $AN40),0)),"",INDIRECT(CONCATENATE("Table!",ADDRESS($AJ40,MATCH(E$1,INDIRECT("Table!A" &amp; $AN40):INDIRECT("Table!" &amp; $AQ$108 &amp; $AN40),0))))/1024)</f>
        <v>266.57503124999999</v>
      </c>
      <c r="F40" s="595">
        <f ca="1">IF(ISERROR(MATCH(F$1,INDIRECT("Table!A"&amp;$AN40):INDIRECT("Table!" &amp; $AQ$108 &amp; $AN40),0)),"",INDIRECT(CONCATENATE("Table!",ADDRESS($AJ40,MATCH(F$1,INDIRECT("Table!A" &amp; $AN40):INDIRECT("Table!" &amp; $AQ$108 &amp; $AN40),0))))/1024)</f>
        <v>118.14120703124999</v>
      </c>
      <c r="G40" s="595">
        <f ca="1">IF(ISERROR(MATCH(G$1,INDIRECT("Table!A"&amp;$AN40):INDIRECT("Table!" &amp; $AQ$108 &amp; $AN40),0)),"",INDIRECT(CONCATENATE("Table!",ADDRESS($AJ40,MATCH(G$1,INDIRECT("Table!A" &amp; $AN40):INDIRECT("Table!" &amp; $AQ$108 &amp; $AN40),0))))/1024)</f>
        <v>448.39658789062497</v>
      </c>
      <c r="H40" s="595">
        <f ca="1">IF(ISERROR(MATCH(H$1,INDIRECT("Table!A"&amp;$AN40):INDIRECT("Table!" &amp; $AQ$108 &amp; $AN40),0)),"",INDIRECT(CONCATENATE("Table!",ADDRESS($AJ40,MATCH(H$1,INDIRECT("Table!A" &amp; $AN40):INDIRECT("Table!" &amp; $AQ$108 &amp; $AN40),0))))/1024)</f>
        <v>233.6812001953125</v>
      </c>
      <c r="I40" s="595">
        <f ca="1">IF(ISERROR(MATCH(I$1,INDIRECT("Table!A"&amp;$AN40):INDIRECT("Table!" &amp; $AQ$85 &amp; $AN40),0)),"",INDIRECT(CONCATENATE("Table!",ADDRESS($AJ40,MATCH(I$1,INDIRECT("Table!A" &amp; $AN40):INDIRECT("Table!" &amp; $AQ$85 &amp; $AN40),0))))/1024)</f>
        <v>42.442590820312496</v>
      </c>
      <c r="J40" s="595">
        <f ca="1">IF(ISERROR(MATCH(J$1,INDIRECT("Table!A"&amp;$AN40):INDIRECT("Table!" &amp; $AQ$85 &amp; $AN40),0)),"",INDIRECT(CONCATENATE("Table!",ADDRESS($AJ40,MATCH(J$1,INDIRECT("Table!A" &amp; $AN40):INDIRECT("Table!" &amp; $AQ$85 &amp; $AN40),0))))/1024)</f>
        <v>122.553392578125</v>
      </c>
      <c r="K40" s="595">
        <f ca="1">IF(ISERROR(MATCH(K$1,INDIRECT("Table!A"&amp;$AN40):INDIRECT("Table!" &amp; $AQ$85 &amp; $AN40),0)),"",INDIRECT(CONCATENATE("Table!",ADDRESS($AJ40,MATCH(K$1,INDIRECT("Table!A" &amp; $AN40):INDIRECT("Table!" &amp; $AQ$85 &amp; $AN40),0))))/1024)</f>
        <v>155.743564453125</v>
      </c>
      <c r="L40" s="595">
        <f ca="1">IF(ISERROR(MATCH(L$1,INDIRECT("Table!A"&amp;$AN40):INDIRECT("Table!" &amp; $AQ$85 &amp; $AN40),0)),"",INDIRECT(CONCATENATE("Table!",ADDRESS($AJ40,MATCH(L$1,INDIRECT("Table!A" &amp; $AN40):INDIRECT("Table!" &amp; $AQ$85 &amp; $AN40),0))))/1024)</f>
        <v>265.98234960937498</v>
      </c>
      <c r="M40" s="595">
        <f ca="1">IF(ISERROR(MATCH(M$1,INDIRECT("Table!A"&amp;$AN40):INDIRECT("Table!" &amp; $AQ$85 &amp; $AN40),0)),"",INDIRECT(CONCATENATE("Table!",ADDRESS($AJ40,MATCH(M$1,INDIRECT("Table!A" &amp; $AN40):INDIRECT("Table!" &amp; $AQ$85 &amp; $AN40),0))))/1024)</f>
        <v>357.97971093749999</v>
      </c>
      <c r="N40" s="595">
        <f ca="1">IF(ISERROR(MATCH(N$1,INDIRECT("Table!A"&amp;$AN40):INDIRECT("Table!" &amp; $AQ$85 &amp; $AN40),0)),"",INDIRECT(CONCATENATE("Table!",ADDRESS($AJ40,MATCH(N$1,INDIRECT("Table!A" &amp; $AN40):INDIRECT("Table!" &amp; $AQ$85 &amp; $AN40),0))))/1024)</f>
        <v>122.3229052734375</v>
      </c>
      <c r="O40" s="595">
        <f ca="1">IF(ISERROR(MATCH(O$1,INDIRECT("Table!A"&amp;$AN40):INDIRECT("Table!" &amp; $AQ$85 &amp; $AN40),0)),"",INDIRECT(CONCATENATE("Table!",ADDRESS($AJ40,MATCH(O$1,INDIRECT("Table!A" &amp; $AN40):INDIRECT("Table!" &amp; $AQ$85 &amp; $AN40),0))))/1024)</f>
        <v>195.81542871093745</v>
      </c>
      <c r="P40" s="595">
        <f ca="1">IF(ISERROR(MATCH(P$1,INDIRECT("Table!A"&amp;$AN40):INDIRECT("Table!" &amp; $AQ$85 &amp; $AN40),0)),"",INDIRECT(CONCATENATE("Table!",ADDRESS($AJ40,MATCH(P$1,INDIRECT("Table!A" &amp; $AN40):INDIRECT("Table!" &amp; $AQ$85 &amp; $AN40),0))))/1024)</f>
        <v>57.193778320312497</v>
      </c>
      <c r="Q40" s="595">
        <f ca="1">IF(ISERROR(MATCH(Q$1,INDIRECT("Table!A"&amp;$AN40):INDIRECT("Table!" &amp; $AQ$85 &amp; $AN40),0)),"",INDIRECT(CONCATENATE("Table!",ADDRESS($AJ40,MATCH(Q$1,INDIRECT("Table!A" &amp; $AN40):INDIRECT("Table!" &amp; $AQ$85 &amp; $AN40),0))))/1024)</f>
        <v>134.37409863281249</v>
      </c>
      <c r="R40" s="595">
        <f ca="1">IF(ISERROR(MATCH(R$1,INDIRECT("Table!A"&amp;$AN40):INDIRECT("Table!" &amp; $AQ$85 &amp; $AN40),0)),"",INDIRECT(CONCATENATE("Table!",ADDRESS($AJ40,MATCH(R$1,INDIRECT("Table!A" &amp; $AN40):INDIRECT("Table!" &amp; $AQ$85 &amp; $AN40),0))))/1024)</f>
        <v>254.39213085937499</v>
      </c>
      <c r="S40" s="595">
        <v>0</v>
      </c>
      <c r="T40" s="595">
        <f ca="1">IF(ISERROR(MATCH(T$1,INDIRECT("Table!A"&amp;$AN40):INDIRECT("Table!" &amp; $AQ$85 &amp; $AN40),0)),"",INDIRECT(CONCATENATE("Table!",ADDRESS($AJ40,MATCH(T$1,INDIRECT("Table!A" &amp; $AN40):INDIRECT("Table!" &amp; $AQ$85 &amp; $AN40),0))))/1024)</f>
        <v>35.791385742187501</v>
      </c>
      <c r="U40" s="595">
        <f ca="1">IF(ISERROR(MATCH(U$1,INDIRECT("Table!A"&amp;$AN40):INDIRECT("Table!" &amp; $AQ$85 &amp; $AN40),0)),"",INDIRECT(CONCATENATE("Table!",ADDRESS($AJ40,MATCH(U$1,INDIRECT("Table!A" &amp; $AN40):INDIRECT("Table!" &amp; $AQ$85 &amp; $AN40),0))))/1024)</f>
        <v>21.402392578124999</v>
      </c>
      <c r="V40" s="595">
        <f ca="1">IF(ISERROR(MATCH(V$1,INDIRECT("Table!A"&amp;$AN40):INDIRECT("Table!" &amp; $AQ$85 &amp; $AN40),0)),"",INDIRECT(CONCATENATE("Table!",ADDRESS($AJ40,MATCH(V$1,INDIRECT("Table!A" &amp; $AN40):INDIRECT("Table!" &amp; $AQ$85 &amp; $AN40),0))))/1024)</f>
        <v>21.402392578124999</v>
      </c>
      <c r="W40" s="595" t="str">
        <f ca="1">IF(ISERROR(MATCH(W$1,INDIRECT("Table!A"&amp;$AN40):INDIRECT("Table!" &amp; $AQ$85 &amp; $AN40),0)),"",INDIRECT(CONCATENATE("Table!",ADDRESS($AJ40,MATCH(W$1,INDIRECT("Table!A" &amp; $AN40):INDIRECT("Table!" &amp; $AQ$85 &amp; $AN40),0))))/1024)</f>
        <v/>
      </c>
      <c r="X40" s="595"/>
      <c r="Y40" s="595"/>
      <c r="Z40" s="595"/>
      <c r="AA40" s="595"/>
      <c r="AB40" s="595"/>
      <c r="AC40" s="595"/>
      <c r="AD40" s="595"/>
      <c r="AE40" s="595"/>
      <c r="AF40" s="595"/>
      <c r="AG40" s="595"/>
      <c r="AH40" s="595"/>
      <c r="AI40" s="595"/>
      <c r="AJ40" s="595">
        <f>MATCH($A40,Table!$A:$A,0)+$AL$2-1</f>
        <v>543</v>
      </c>
      <c r="AK40" s="732"/>
      <c r="AL40" s="732"/>
      <c r="AM40" s="732"/>
      <c r="AN40" s="595">
        <f>MATCH($A40,Table!$A:$A,0)+$AP$2-1</f>
        <v>535</v>
      </c>
      <c r="AO40" s="732"/>
      <c r="AP40" s="732"/>
      <c r="AQ40" s="973" t="s">
        <v>302</v>
      </c>
      <c r="AR40" s="699">
        <f t="shared" ca="1" si="13"/>
        <v>3233.4734707031248</v>
      </c>
      <c r="AS40" s="699">
        <f t="shared" ref="AS40" ca="1" si="21">AR40-AR42</f>
        <v>63.021814453124989</v>
      </c>
    </row>
    <row r="41" spans="1:46" s="591" customFormat="1" x14ac:dyDescent="0.25">
      <c r="A41" s="592">
        <v>41703</v>
      </c>
      <c r="B41" s="595">
        <f ca="1">IF(ISERROR(MATCH(B$1,INDIRECT("Table!A"&amp;$AN41):INDIRECT("Table!" &amp; $AQ$108 &amp; $AN41),0)),"",INDIRECT(CONCATENATE("Table!",ADDRESS($AJ41,MATCH(B$1,INDIRECT("Table!A" &amp; $AN41):INDIRECT("Table!" &amp; $AQ$108 &amp; $AN41),0))))/1024)</f>
        <v>184.88374511718749</v>
      </c>
      <c r="C41" s="595">
        <f ca="1">IF(ISERROR(MATCH(C$1,INDIRECT("Table!A"&amp;$AN41):INDIRECT("Table!" &amp; $AQ$108 &amp; $AN41),0)),"",INDIRECT(CONCATENATE("Table!",ADDRESS($AJ41,MATCH(C$1,INDIRECT("Table!A" &amp; $AN41):INDIRECT("Table!" &amp; $AQ$108 &amp; $AN41),0))))/1024)</f>
        <v>96.771741210937492</v>
      </c>
      <c r="D41" s="595">
        <f ca="1">IF(ISERROR(MATCH(D$1,INDIRECT("Table!A"&amp;$AN41):INDIRECT("Table!" &amp; $AQ$108 &amp; $AN41),0)),"",INDIRECT(CONCATENATE("Table!",ADDRESS($AJ41,MATCH(D$1,INDIRECT("Table!A" &amp; $AN41):INDIRECT("Table!" &amp; $AQ$108 &amp; $AN41),0))))/1024)</f>
        <v>97.627836914062499</v>
      </c>
      <c r="E41" s="595">
        <f ca="1">IF(ISERROR(MATCH(E$1,INDIRECT("Table!A"&amp;$AN41):INDIRECT("Table!" &amp; $AQ$108 &amp; $AN41),0)),"",INDIRECT(CONCATENATE("Table!",ADDRESS($AJ41,MATCH(E$1,INDIRECT("Table!A" &amp; $AN41):INDIRECT("Table!" &amp; $AQ$108 &amp; $AN41),0))))/1024)</f>
        <v>266.57503124999999</v>
      </c>
      <c r="F41" s="595">
        <f ca="1">IF(ISERROR(MATCH(F$1,INDIRECT("Table!A"&amp;$AN41):INDIRECT("Table!" &amp; $AQ$108 &amp; $AN41),0)),"",INDIRECT(CONCATENATE("Table!",ADDRESS($AJ41,MATCH(F$1,INDIRECT("Table!A" &amp; $AN41):INDIRECT("Table!" &amp; $AQ$108 &amp; $AN41),0))))/1024)</f>
        <v>118.14120703124999</v>
      </c>
      <c r="G41" s="595">
        <f ca="1">IF(ISERROR(MATCH(G$1,INDIRECT("Table!A"&amp;$AN41):INDIRECT("Table!" &amp; $AQ$108 &amp; $AN41),0)),"",INDIRECT(CONCATENATE("Table!",ADDRESS($AJ41,MATCH(G$1,INDIRECT("Table!A" &amp; $AN41):INDIRECT("Table!" &amp; $AQ$108 &amp; $AN41),0))))/1024)</f>
        <v>448.39658789062497</v>
      </c>
      <c r="H41" s="595">
        <f ca="1">IF(ISERROR(MATCH(H$1,INDIRECT("Table!A"&amp;$AN41):INDIRECT("Table!" &amp; $AQ$108 &amp; $AN41),0)),"",INDIRECT(CONCATENATE("Table!",ADDRESS($AJ41,MATCH(H$1,INDIRECT("Table!A" &amp; $AN41):INDIRECT("Table!" &amp; $AQ$108 &amp; $AN41),0))))/1024)</f>
        <v>233.18729882812499</v>
      </c>
      <c r="I41" s="595">
        <f ca="1">IF(ISERROR(MATCH(I$1,INDIRECT("Table!A"&amp;$AN41):INDIRECT("Table!" &amp; $AQ$85 &amp; $AN41),0)),"",INDIRECT(CONCATENATE("Table!",ADDRESS($AJ41,MATCH(I$1,INDIRECT("Table!A" &amp; $AN41):INDIRECT("Table!" &amp; $AQ$85 &amp; $AN41),0))))/1024)</f>
        <v>42.442590820312496</v>
      </c>
      <c r="J41" s="595">
        <f ca="1">IF(ISERROR(MATCH(J$1,INDIRECT("Table!A"&amp;$AN41):INDIRECT("Table!" &amp; $AQ$85 &amp; $AN41),0)),"",INDIRECT(CONCATENATE("Table!",ADDRESS($AJ41,MATCH(J$1,INDIRECT("Table!A" &amp; $AN41):INDIRECT("Table!" &amp; $AQ$85 &amp; $AN41),0))))/1024)</f>
        <v>122.4546123046875</v>
      </c>
      <c r="K41" s="595">
        <f ca="1">IF(ISERROR(MATCH(K$1,INDIRECT("Table!A"&amp;$AN41):INDIRECT("Table!" &amp; $AQ$85 &amp; $AN41),0)),"",INDIRECT(CONCATENATE("Table!",ADDRESS($AJ41,MATCH(K$1,INDIRECT("Table!A" &amp; $AN41):INDIRECT("Table!" &amp; $AQ$85 &amp; $AN41),0))))/1024)</f>
        <v>134.04483105468751</v>
      </c>
      <c r="L41" s="595">
        <f ca="1">IF(ISERROR(MATCH(L$1,INDIRECT("Table!A"&amp;$AN41):INDIRECT("Table!" &amp; $AQ$85 &amp; $AN41),0)),"",INDIRECT(CONCATENATE("Table!",ADDRESS($AJ41,MATCH(L$1,INDIRECT("Table!A" &amp; $AN41):INDIRECT("Table!" &amp; $AQ$85 &amp; $AN41),0))))/1024)</f>
        <v>265.98234960937498</v>
      </c>
      <c r="M41" s="595">
        <f ca="1">IF(ISERROR(MATCH(M$1,INDIRECT("Table!A"&amp;$AN41):INDIRECT("Table!" &amp; $AQ$85 &amp; $AN41),0)),"",INDIRECT(CONCATENATE("Table!",ADDRESS($AJ41,MATCH(M$1,INDIRECT("Table!A" &amp; $AN41):INDIRECT("Table!" &amp; $AQ$85 &amp; $AN41),0))))/1024)</f>
        <v>357.97971093749999</v>
      </c>
      <c r="N41" s="595">
        <f ca="1">IF(ISERROR(MATCH(N$1,INDIRECT("Table!A"&amp;$AN41):INDIRECT("Table!" &amp; $AQ$85 &amp; $AN41),0)),"",INDIRECT(CONCATENATE("Table!",ADDRESS($AJ41,MATCH(N$1,INDIRECT("Table!A" &amp; $AN41):INDIRECT("Table!" &amp; $AQ$85 &amp; $AN41),0))))/1024)</f>
        <v>122.3229052734375</v>
      </c>
      <c r="O41" s="595">
        <f ca="1">IF(ISERROR(MATCH(O$1,INDIRECT("Table!A"&amp;$AN41):INDIRECT("Table!" &amp; $AQ$85 &amp; $AN41),0)),"",INDIRECT(CONCATENATE("Table!",ADDRESS($AJ41,MATCH(O$1,INDIRECT("Table!A" &amp; $AN41):INDIRECT("Table!" &amp; $AQ$85 &amp; $AN41),0))))/1024)</f>
        <v>195.32152734375001</v>
      </c>
      <c r="P41" s="595">
        <f ca="1">IF(ISERROR(MATCH(P$1,INDIRECT("Table!A"&amp;$AN41):INDIRECT("Table!" &amp; $AQ$85 &amp; $AN41),0)),"",INDIRECT(CONCATENATE("Table!",ADDRESS($AJ41,MATCH(P$1,INDIRECT("Table!A" &amp; $AN41):INDIRECT("Table!" &amp; $AQ$85 &amp; $AN41),0))))/1024)</f>
        <v>57.193778320312497</v>
      </c>
      <c r="Q41" s="595">
        <f ca="1">IF(ISERROR(MATCH(Q$1,INDIRECT("Table!A"&amp;$AN41):INDIRECT("Table!" &amp; $AQ$85 &amp; $AN41),0)),"",INDIRECT(CONCATENATE("Table!",ADDRESS($AJ41,MATCH(Q$1,INDIRECT("Table!A" &amp; $AN41):INDIRECT("Table!" &amp; $AQ$85 &amp; $AN41),0))))/1024)</f>
        <v>134.27531835937501</v>
      </c>
      <c r="R41" s="595">
        <f ca="1">IF(ISERROR(MATCH(R$1,INDIRECT("Table!A"&amp;$AN41):INDIRECT("Table!" &amp; $AQ$85 &amp; $AN41),0)),"",INDIRECT(CONCATENATE("Table!",ADDRESS($AJ41,MATCH(R$1,INDIRECT("Table!A" &amp; $AN41):INDIRECT("Table!" &amp; $AQ$85 &amp; $AN41),0))))/1024)</f>
        <v>254.22749707031249</v>
      </c>
      <c r="S41" s="595">
        <v>0</v>
      </c>
      <c r="T41" s="595">
        <f ca="1">IF(ISERROR(MATCH(T$1,INDIRECT("Table!A"&amp;$AN41):INDIRECT("Table!" &amp; $AQ$85 &amp; $AN41),0)),"",INDIRECT(CONCATENATE("Table!",ADDRESS($AJ41,MATCH(T$1,INDIRECT("Table!A" &amp; $AN41):INDIRECT("Table!" &amp; $AQ$85 &amp; $AN41),0))))/1024)</f>
        <v>35.791385742187501</v>
      </c>
      <c r="U41" s="595">
        <f ca="1">IF(ISERROR(MATCH(U$1,INDIRECT("Table!A"&amp;$AN41):INDIRECT("Table!" &amp; $AQ$85 &amp; $AN41),0)),"",INDIRECT(CONCATENATE("Table!",ADDRESS($AJ41,MATCH(U$1,INDIRECT("Table!A" &amp; $AN41):INDIRECT("Table!" &amp; $AQ$85 &amp; $AN41),0))))/1024)</f>
        <v>21.073124999999997</v>
      </c>
      <c r="V41" s="595">
        <f ca="1">IF(ISERROR(MATCH(V$1,INDIRECT("Table!A"&amp;$AN41):INDIRECT("Table!" &amp; $AQ$85 &amp; $AN41),0)),"",INDIRECT(CONCATENATE("Table!",ADDRESS($AJ41,MATCH(V$1,INDIRECT("Table!A" &amp; $AN41):INDIRECT("Table!" &amp; $AQ$85 &amp; $AN41),0))))/1024)</f>
        <v>21.073124999999997</v>
      </c>
      <c r="W41" s="595" t="str">
        <f ca="1">IF(ISERROR(MATCH(W$1,INDIRECT("Table!A"&amp;$AN41):INDIRECT("Table!" &amp; $AQ$85 &amp; $AN41),0)),"",INDIRECT(CONCATENATE("Table!",ADDRESS($AJ41,MATCH(W$1,INDIRECT("Table!A" &amp; $AN41):INDIRECT("Table!" &amp; $AQ$85 &amp; $AN41),0))))/1024)</f>
        <v/>
      </c>
      <c r="X41" s="595"/>
      <c r="Y41" s="595"/>
      <c r="Z41" s="595"/>
      <c r="AA41" s="595"/>
      <c r="AB41" s="595"/>
      <c r="AC41" s="595"/>
      <c r="AD41" s="595"/>
      <c r="AE41" s="595"/>
      <c r="AF41" s="595"/>
      <c r="AG41" s="595"/>
      <c r="AH41" s="595"/>
      <c r="AI41" s="595"/>
      <c r="AJ41" s="595">
        <f>MATCH($A41,Table!$A:$A,0)+$AL$2-1</f>
        <v>557</v>
      </c>
      <c r="AK41" s="698"/>
      <c r="AL41" s="698"/>
      <c r="AM41" s="698"/>
      <c r="AN41" s="595">
        <f>MATCH($A41,Table!$A:$A,0)+$AP$2-1</f>
        <v>549</v>
      </c>
      <c r="AO41" s="698"/>
      <c r="AP41" s="698"/>
      <c r="AQ41" s="973" t="s">
        <v>302</v>
      </c>
      <c r="AR41" s="699">
        <f t="shared" ca="1" si="13"/>
        <v>3209.7662050781246</v>
      </c>
      <c r="AS41" s="699">
        <f t="shared" ref="AS41:AS104" ca="1" si="22">AR41-AR42</f>
        <v>39.314548828124771</v>
      </c>
    </row>
    <row r="42" spans="1:46" s="591" customFormat="1" x14ac:dyDescent="0.25">
      <c r="A42" s="592">
        <v>41702</v>
      </c>
      <c r="B42" s="595">
        <f ca="1">IF(ISERROR(MATCH(B$1,INDIRECT("Table!A"&amp;$AN42):INDIRECT("Table!" &amp; $AQ$108 &amp; $AN42),0)),"",INDIRECT(CONCATENATE("Table!",ADDRESS($AJ42,MATCH(B$1,INDIRECT("Table!A" &amp; $AN42):INDIRECT("Table!" &amp; $AQ$108 &amp; $AN42),0))))/1024)</f>
        <v>184.88374511718749</v>
      </c>
      <c r="C42" s="595">
        <f ca="1">IF(ISERROR(MATCH(C$1,INDIRECT("Table!A"&amp;$AN42):INDIRECT("Table!" &amp; $AQ$108 &amp; $AN42),0)),"",INDIRECT(CONCATENATE("Table!",ADDRESS($AJ42,MATCH(C$1,INDIRECT("Table!A" &amp; $AN42):INDIRECT("Table!" &amp; $AQ$108 &amp; $AN42),0))))/1024)</f>
        <v>86.235178710937504</v>
      </c>
      <c r="D42" s="595">
        <f ca="1">IF(ISERROR(MATCH(D$1,INDIRECT("Table!A"&amp;$AN42):INDIRECT("Table!" &amp; $AQ$108 &amp; $AN42),0)),"",INDIRECT(CONCATENATE("Table!",ADDRESS($AJ42,MATCH(D$1,INDIRECT("Table!A" &amp; $AN42):INDIRECT("Table!" &amp; $AQ$108 &amp; $AN42),0))))/1024)</f>
        <v>87.091274414062497</v>
      </c>
      <c r="E42" s="595">
        <f ca="1">IF(ISERROR(MATCH(E$1,INDIRECT("Table!A"&amp;$AN42):INDIRECT("Table!" &amp; $AQ$108 &amp; $AN42),0)),"",INDIRECT(CONCATENATE("Table!",ADDRESS($AJ42,MATCH(E$1,INDIRECT("Table!A" &amp; $AN42):INDIRECT("Table!" &amp; $AQ$108 &amp; $AN42),0))))/1024)</f>
        <v>266.57503124999999</v>
      </c>
      <c r="F42" s="595">
        <f ca="1">IF(ISERROR(MATCH(F$1,INDIRECT("Table!A"&amp;$AN42):INDIRECT("Table!" &amp; $AQ$108 &amp; $AN42),0)),"",INDIRECT(CONCATENATE("Table!",ADDRESS($AJ42,MATCH(F$1,INDIRECT("Table!A" &amp; $AN42):INDIRECT("Table!" &amp; $AQ$108 &amp; $AN42),0))))/1024)</f>
        <v>118.14120703124999</v>
      </c>
      <c r="G42" s="595">
        <f ca="1">IF(ISERROR(MATCH(G$1,INDIRECT("Table!A"&amp;$AN42):INDIRECT("Table!" &amp; $AQ$108 &amp; $AN42),0)),"",INDIRECT(CONCATENATE("Table!",ADDRESS($AJ42,MATCH(G$1,INDIRECT("Table!A" &amp; $AN42):INDIRECT("Table!" &amp; $AQ$108 &amp; $AN42),0))))/1024)</f>
        <v>448.39658789062497</v>
      </c>
      <c r="H42" s="595">
        <f ca="1">IF(ISERROR(MATCH(H$1,INDIRECT("Table!A"&amp;$AN42):INDIRECT("Table!" &amp; $AQ$108 &amp; $AN42),0)),"",INDIRECT(CONCATENATE("Table!",ADDRESS($AJ42,MATCH(H$1,INDIRECT("Table!A" &amp; $AN42):INDIRECT("Table!" &amp; $AQ$108 &amp; $AN42),0))))/1024)</f>
        <v>220.01659570312501</v>
      </c>
      <c r="I42" s="595">
        <f ca="1">IF(ISERROR(MATCH(I$1,INDIRECT("Table!A"&amp;$AN42):INDIRECT("Table!" &amp; $AQ$85 &amp; $AN42),0)),"",INDIRECT(CONCATENATE("Table!",ADDRESS($AJ42,MATCH(I$1,INDIRECT("Table!A" &amp; $AN42):INDIRECT("Table!" &amp; $AQ$85 &amp; $AN42),0))))/1024)</f>
        <v>42.442590820312496</v>
      </c>
      <c r="J42" s="595">
        <f ca="1">IF(ISERROR(MATCH(J$1,INDIRECT("Table!A"&amp;$AN42):INDIRECT("Table!" &amp; $AQ$85 &amp; $AN42),0)),"",INDIRECT(CONCATENATE("Table!",ADDRESS($AJ42,MATCH(J$1,INDIRECT("Table!A" &amp; $AN42):INDIRECT("Table!" &amp; $AQ$85 &amp; $AN42),0))))/1024)</f>
        <v>122.4546123046875</v>
      </c>
      <c r="K42" s="595">
        <f ca="1">IF(ISERROR(MATCH(K$1,INDIRECT("Table!A"&amp;$AN42):INDIRECT("Table!" &amp; $AQ$85 &amp; $AN42),0)),"",INDIRECT(CONCATENATE("Table!",ADDRESS($AJ42,MATCH(K$1,INDIRECT("Table!A" &amp; $AN42):INDIRECT("Table!" &amp; $AQ$85 &amp; $AN42),0))))/1024)</f>
        <v>135.855802734375</v>
      </c>
      <c r="L42" s="595">
        <f ca="1">IF(ISERROR(MATCH(L$1,INDIRECT("Table!A"&amp;$AN42):INDIRECT("Table!" &amp; $AQ$85 &amp; $AN42),0)),"",INDIRECT(CONCATENATE("Table!",ADDRESS($AJ42,MATCH(L$1,INDIRECT("Table!A" &amp; $AN42):INDIRECT("Table!" &amp; $AQ$85 &amp; $AN42),0))))/1024)</f>
        <v>272.27136035156246</v>
      </c>
      <c r="M42" s="595">
        <f ca="1">IF(ISERROR(MATCH(M$1,INDIRECT("Table!A"&amp;$AN42):INDIRECT("Table!" &amp; $AQ$85 &amp; $AN42),0)),"",INDIRECT(CONCATENATE("Table!",ADDRESS($AJ42,MATCH(M$1,INDIRECT("Table!A" &amp; $AN42):INDIRECT("Table!" &amp; $AQ$85 &amp; $AN42),0))))/1024)</f>
        <v>357.97971093749999</v>
      </c>
      <c r="N42" s="595">
        <f ca="1">IF(ISERROR(MATCH(N$1,INDIRECT("Table!A"&amp;$AN42):INDIRECT("Table!" &amp; $AQ$85 &amp; $AN42),0)),"",INDIRECT(CONCATENATE("Table!",ADDRESS($AJ42,MATCH(N$1,INDIRECT("Table!A" &amp; $AN42):INDIRECT("Table!" &amp; $AQ$85 &amp; $AN42),0))))/1024)</f>
        <v>122.3229052734375</v>
      </c>
      <c r="O42" s="595">
        <f ca="1">IF(ISERROR(MATCH(O$1,INDIRECT("Table!A"&amp;$AN42):INDIRECT("Table!" &amp; $AQ$85 &amp; $AN42),0)),"",INDIRECT(CONCATENATE("Table!",ADDRESS($AJ42,MATCH(O$1,INDIRECT("Table!A" &amp; $AN42):INDIRECT("Table!" &amp; $AQ$85 &amp; $AN42),0))))/1024)</f>
        <v>182.15082421874996</v>
      </c>
      <c r="P42" s="595">
        <f ca="1">IF(ISERROR(MATCH(P$1,INDIRECT("Table!A"&amp;$AN42):INDIRECT("Table!" &amp; $AQ$85 &amp; $AN42),0)),"",INDIRECT(CONCATENATE("Table!",ADDRESS($AJ42,MATCH(P$1,INDIRECT("Table!A" &amp; $AN42):INDIRECT("Table!" &amp; $AQ$85 &amp; $AN42),0))))/1024)</f>
        <v>57.193778320312497</v>
      </c>
      <c r="Q42" s="595">
        <f ca="1">IF(ISERROR(MATCH(Q$1,INDIRECT("Table!A"&amp;$AN42):INDIRECT("Table!" &amp; $AQ$85 &amp; $AN42),0)),"",INDIRECT(CONCATENATE("Table!",ADDRESS($AJ42,MATCH(Q$1,INDIRECT("Table!A" &amp; $AN42):INDIRECT("Table!" &amp; $AQ$85 &amp; $AN42),0))))/1024)</f>
        <v>134.27531835937501</v>
      </c>
      <c r="R42" s="595">
        <f ca="1">IF(ISERROR(MATCH(R$1,INDIRECT("Table!A"&amp;$AN42):INDIRECT("Table!" &amp; $AQ$85 &amp; $AN42),0)),"",INDIRECT(CONCATENATE("Table!",ADDRESS($AJ42,MATCH(R$1,INDIRECT("Table!A" &amp; $AN42):INDIRECT("Table!" &amp; $AQ$85 &amp; $AN42),0))))/1024)</f>
        <v>254.22749707031249</v>
      </c>
      <c r="S42" s="595">
        <v>0</v>
      </c>
      <c r="T42" s="595">
        <f ca="1">IF(ISERROR(MATCH(T$1,INDIRECT("Table!A"&amp;$AN42):INDIRECT("Table!" &amp; $AQ$85 &amp; $AN42),0)),"",INDIRECT(CONCATENATE("Table!",ADDRESS($AJ42,MATCH(T$1,INDIRECT("Table!A" &amp; $AN42):INDIRECT("Table!" &amp; $AQ$85 &amp; $AN42),0))))/1024)</f>
        <v>35.791385742187501</v>
      </c>
      <c r="U42" s="595">
        <f ca="1">IF(ISERROR(MATCH(U$1,INDIRECT("Table!A"&amp;$AN42):INDIRECT("Table!" &amp; $AQ$85 &amp; $AN42),0)),"",INDIRECT(CONCATENATE("Table!",ADDRESS($AJ42,MATCH(U$1,INDIRECT("Table!A" &amp; $AN42):INDIRECT("Table!" &amp; $AQ$85 &amp; $AN42),0))))/1024)</f>
        <v>21.073124999999997</v>
      </c>
      <c r="V42" s="595">
        <f ca="1">IF(ISERROR(MATCH(V$1,INDIRECT("Table!A"&amp;$AN42):INDIRECT("Table!" &amp; $AQ$85 &amp; $AN42),0)),"",INDIRECT(CONCATENATE("Table!",ADDRESS($AJ42,MATCH(V$1,INDIRECT("Table!A" &amp; $AN42):INDIRECT("Table!" &amp; $AQ$85 &amp; $AN42),0))))/1024)</f>
        <v>21.073124999999997</v>
      </c>
      <c r="W42" s="595" t="str">
        <f ca="1">IF(ISERROR(MATCH(W$1,INDIRECT("Table!A"&amp;$AN42):INDIRECT("Table!" &amp; $AQ$85 &amp; $AN42),0)),"",INDIRECT(CONCATENATE("Table!",ADDRESS($AJ42,MATCH(W$1,INDIRECT("Table!A" &amp; $AN42):INDIRECT("Table!" &amp; $AQ$85 &amp; $AN42),0))))/1024)</f>
        <v/>
      </c>
      <c r="X42" s="595"/>
      <c r="Y42" s="595"/>
      <c r="Z42" s="595"/>
      <c r="AA42" s="595"/>
      <c r="AB42" s="595"/>
      <c r="AC42" s="595"/>
      <c r="AD42" s="595"/>
      <c r="AE42" s="595"/>
      <c r="AF42" s="595"/>
      <c r="AG42" s="595"/>
      <c r="AH42" s="595"/>
      <c r="AI42" s="595"/>
      <c r="AJ42" s="595">
        <f>MATCH($A42,Table!$A:$A,0)+$AL$2-1</f>
        <v>571</v>
      </c>
      <c r="AK42" s="698"/>
      <c r="AL42" s="698"/>
      <c r="AM42" s="698"/>
      <c r="AN42" s="595">
        <f>MATCH($A42,Table!$A:$A,0)+$AP$2-1</f>
        <v>563</v>
      </c>
      <c r="AO42" s="698"/>
      <c r="AP42" s="698"/>
      <c r="AQ42" s="973" t="s">
        <v>302</v>
      </c>
      <c r="AR42" s="699">
        <f t="shared" ca="1" si="13"/>
        <v>3170.4516562499998</v>
      </c>
      <c r="AS42" s="699">
        <f t="shared" ca="1" si="22"/>
        <v>43.957221679687336</v>
      </c>
    </row>
    <row r="43" spans="1:46" s="591" customFormat="1" x14ac:dyDescent="0.25">
      <c r="A43" s="592">
        <v>41695</v>
      </c>
      <c r="B43" s="595">
        <f ca="1">IF(ISERROR(MATCH(B$1,INDIRECT("Table!A"&amp;$AN43):INDIRECT("Table!" &amp; $AQ$108 &amp; $AN43),0)),"",INDIRECT(CONCATENATE("Table!",ADDRESS($AJ43,MATCH(B$1,INDIRECT("Table!A" &amp; $AN43):INDIRECT("Table!" &amp; $AQ$108 &amp; $AN43),0))))/1024)</f>
        <v>184.88374511718749</v>
      </c>
      <c r="C43" s="595">
        <f ca="1">IF(ISERROR(MATCH(C$1,INDIRECT("Table!A"&amp;$AN43):INDIRECT("Table!" &amp; $AQ$108 &amp; $AN43),0)),"",INDIRECT(CONCATENATE("Table!",ADDRESS($AJ43,MATCH(C$1,INDIRECT("Table!A" &amp; $AN43):INDIRECT("Table!" &amp; $AQ$108 &amp; $AN43),0))))/1024)</f>
        <v>86.235178710937504</v>
      </c>
      <c r="D43" s="595">
        <f ca="1">IF(ISERROR(MATCH(D$1,INDIRECT("Table!A"&amp;$AN43):INDIRECT("Table!" &amp; $AQ$108 &amp; $AN43),0)),"",INDIRECT(CONCATENATE("Table!",ADDRESS($AJ43,MATCH(D$1,INDIRECT("Table!A" &amp; $AN43):INDIRECT("Table!" &amp; $AQ$108 &amp; $AN43),0))))/1024)</f>
        <v>87.091274414062497</v>
      </c>
      <c r="E43" s="595">
        <f ca="1">IF(ISERROR(MATCH(E$1,INDIRECT("Table!A"&amp;$AN43):INDIRECT("Table!" &amp; $AQ$108 &amp; $AN43),0)),"",INDIRECT(CONCATENATE("Table!",ADDRESS($AJ43,MATCH(E$1,INDIRECT("Table!A" &amp; $AN43):INDIRECT("Table!" &amp; $AQ$108 &amp; $AN43),0))))/1024)</f>
        <v>266.57503124999999</v>
      </c>
      <c r="F43" s="595">
        <f ca="1">IF(ISERROR(MATCH(F$1,INDIRECT("Table!A"&amp;$AN43):INDIRECT("Table!" &amp; $AQ$108 &amp; $AN43),0)),"",INDIRECT(CONCATENATE("Table!",ADDRESS($AJ43,MATCH(F$1,INDIRECT("Table!A" &amp; $AN43):INDIRECT("Table!" &amp; $AQ$108 &amp; $AN43),0))))/1024)</f>
        <v>118.60218164062499</v>
      </c>
      <c r="G43" s="595">
        <f ca="1">IF(ISERROR(MATCH(G$1,INDIRECT("Table!A"&amp;$AN43):INDIRECT("Table!" &amp; $AQ$108 &amp; $AN43),0)),"",INDIRECT(CONCATENATE("Table!",ADDRESS($AJ43,MATCH(G$1,INDIRECT("Table!A" &amp; $AN43):INDIRECT("Table!" &amp; $AQ$108 &amp; $AN43),0))))/1024)</f>
        <v>448.39658789062497</v>
      </c>
      <c r="H43" s="595">
        <f ca="1">IF(ISERROR(MATCH(H$1,INDIRECT("Table!A"&amp;$AN43):INDIRECT("Table!" &amp; $AQ$108 &amp; $AN43),0)),"",INDIRECT(CONCATENATE("Table!",ADDRESS($AJ43,MATCH(H$1,INDIRECT("Table!A" &amp; $AN43):INDIRECT("Table!" &amp; $AQ$108 &amp; $AN43),0))))/1024)</f>
        <v>219.489767578125</v>
      </c>
      <c r="I43" s="595">
        <f ca="1">IF(ISERROR(MATCH(I$1,INDIRECT("Table!A"&amp;$AN43):INDIRECT("Table!" &amp; $AQ$85 &amp; $AN43),0)),"",INDIRECT(CONCATENATE("Table!",ADDRESS($AJ43,MATCH(I$1,INDIRECT("Table!A" &amp; $AN43):INDIRECT("Table!" &amp; $AQ$85 &amp; $AN43),0))))/1024)</f>
        <v>42.179176757812499</v>
      </c>
      <c r="J43" s="595">
        <f ca="1">IF(ISERROR(MATCH(J$1,INDIRECT("Table!A"&amp;$AN43):INDIRECT("Table!" &amp; $AQ$85 &amp; $AN43),0)),"",INDIRECT(CONCATENATE("Table!",ADDRESS($AJ43,MATCH(J$1,INDIRECT("Table!A" &amp; $AN43):INDIRECT("Table!" &amp; $AQ$85 &amp; $AN43),0))))/1024)</f>
        <v>120.31437304687499</v>
      </c>
      <c r="K43" s="595">
        <f ca="1">IF(ISERROR(MATCH(K$1,INDIRECT("Table!A"&amp;$AN43):INDIRECT("Table!" &amp; $AQ$85 &amp; $AN43),0)),"",INDIRECT(CONCATENATE("Table!",ADDRESS($AJ43,MATCH(K$1,INDIRECT("Table!A" &amp; $AN43):INDIRECT("Table!" &amp; $AQ$85 &amp; $AN43),0))))/1024)</f>
        <v>126.6692373046875</v>
      </c>
      <c r="L43" s="595">
        <f ca="1">IF(ISERROR(MATCH(L$1,INDIRECT("Table!A"&amp;$AN43):INDIRECT("Table!" &amp; $AQ$85 &amp; $AN43),0)),"",INDIRECT(CONCATENATE("Table!",ADDRESS($AJ43,MATCH(L$1,INDIRECT("Table!A" &amp; $AN43):INDIRECT("Table!" &amp; $AQ$85 &amp; $AN43),0))))/1024)</f>
        <v>266.21283691406251</v>
      </c>
      <c r="M43" s="595">
        <f ca="1">IF(ISERROR(MATCH(M$1,INDIRECT("Table!A"&amp;$AN43):INDIRECT("Table!" &amp; $AQ$85 &amp; $AN43),0)),"",INDIRECT(CONCATENATE("Table!",ADDRESS($AJ43,MATCH(M$1,INDIRECT("Table!A" &amp; $AN43):INDIRECT("Table!" &amp; $AQ$85 &amp; $AN43),0))))/1024)</f>
        <v>357.97971093749999</v>
      </c>
      <c r="N43" s="595">
        <f ca="1">IF(ISERROR(MATCH(N$1,INDIRECT("Table!A"&amp;$AN43):INDIRECT("Table!" &amp; $AQ$85 &amp; $AN43),0)),"",INDIRECT(CONCATENATE("Table!",ADDRESS($AJ43,MATCH(N$1,INDIRECT("Table!A" &amp; $AN43):INDIRECT("Table!" &amp; $AQ$85 &amp; $AN43),0))))/1024)</f>
        <v>122.3229052734375</v>
      </c>
      <c r="O43" s="595">
        <f ca="1">IF(ISERROR(MATCH(O$1,INDIRECT("Table!A"&amp;$AN43):INDIRECT("Table!" &amp; $AQ$85 &amp; $AN43),0)),"",INDIRECT(CONCATENATE("Table!",ADDRESS($AJ43,MATCH(O$1,INDIRECT("Table!A" &amp; $AN43):INDIRECT("Table!" &amp; $AQ$85 &amp; $AN43),0))))/1024)</f>
        <v>181.68984960937496</v>
      </c>
      <c r="P43" s="595">
        <f ca="1">IF(ISERROR(MATCH(P$1,INDIRECT("Table!A"&amp;$AN43):INDIRECT("Table!" &amp; $AQ$85 &amp; $AN43),0)),"",INDIRECT(CONCATENATE("Table!",ADDRESS($AJ43,MATCH(P$1,INDIRECT("Table!A" &amp; $AN43):INDIRECT("Table!" &amp; $AQ$85 &amp; $AN43),0))))/1024)</f>
        <v>56.930364257812499</v>
      </c>
      <c r="Q43" s="595">
        <f ca="1">IF(ISERROR(MATCH(Q$1,INDIRECT("Table!A"&amp;$AN43):INDIRECT("Table!" &amp; $AQ$85 &amp; $AN43),0)),"",INDIRECT(CONCATENATE("Table!",ADDRESS($AJ43,MATCH(Q$1,INDIRECT("Table!A" &amp; $AN43):INDIRECT("Table!" &amp; $AQ$85 &amp; $AN43),0))))/1024)</f>
        <v>132.1350791015625</v>
      </c>
      <c r="R43" s="595">
        <f ca="1">IF(ISERROR(MATCH(R$1,INDIRECT("Table!A"&amp;$AN43):INDIRECT("Table!" &amp; $AQ$85 &amp; $AN43),0)),"",INDIRECT(CONCATENATE("Table!",ADDRESS($AJ43,MATCH(R$1,INDIRECT("Table!A" &amp; $AN43):INDIRECT("Table!" &amp; $AQ$85 &amp; $AN43),0))))/1024)</f>
        <v>249.28848339843748</v>
      </c>
      <c r="S43" s="595">
        <v>0</v>
      </c>
      <c r="T43" s="595">
        <f ca="1">IF(ISERROR(MATCH(T$1,INDIRECT("Table!A"&amp;$AN43):INDIRECT("Table!" &amp; $AQ$85 &amp; $AN43),0)),"",INDIRECT(CONCATENATE("Table!",ADDRESS($AJ43,MATCH(T$1,INDIRECT("Table!A" &amp; $AN43):INDIRECT("Table!" &amp; $AQ$85 &amp; $AN43),0))))/1024)</f>
        <v>35.791385742187501</v>
      </c>
      <c r="U43" s="595">
        <f ca="1">IF(ISERROR(MATCH(U$1,INDIRECT("Table!A"&amp;$AN43):INDIRECT("Table!" &amp; $AQ$85 &amp; $AN43),0)),"",INDIRECT(CONCATENATE("Table!",ADDRESS($AJ43,MATCH(U$1,INDIRECT("Table!A" &amp; $AN43):INDIRECT("Table!" &amp; $AQ$85 &amp; $AN43),0))))/1024)</f>
        <v>2.6341406249999997</v>
      </c>
      <c r="V43" s="595">
        <f ca="1">IF(ISERROR(MATCH(V$1,INDIRECT("Table!A"&amp;$AN43):INDIRECT("Table!" &amp; $AQ$85 &amp; $AN43),0)),"",INDIRECT(CONCATENATE("Table!",ADDRESS($AJ43,MATCH(V$1,INDIRECT("Table!A" &amp; $AN43):INDIRECT("Table!" &amp; $AQ$85 &amp; $AN43),0))))/1024)</f>
        <v>21.073124999999997</v>
      </c>
      <c r="W43" s="595" t="str">
        <f ca="1">IF(ISERROR(MATCH(W$1,INDIRECT("Table!A"&amp;$AN43):INDIRECT("Table!" &amp; $AQ$85 &amp; $AN43),0)),"",INDIRECT(CONCATENATE("Table!",ADDRESS($AJ43,MATCH(W$1,INDIRECT("Table!A" &amp; $AN43):INDIRECT("Table!" &amp; $AQ$85 &amp; $AN43),0))))/1024)</f>
        <v/>
      </c>
      <c r="X43" s="595"/>
      <c r="Y43" s="595"/>
      <c r="Z43" s="595"/>
      <c r="AA43" s="595"/>
      <c r="AB43" s="595"/>
      <c r="AC43" s="595"/>
      <c r="AD43" s="595"/>
      <c r="AE43" s="595"/>
      <c r="AF43" s="595"/>
      <c r="AG43" s="595"/>
      <c r="AH43" s="595"/>
      <c r="AI43" s="595"/>
      <c r="AJ43" s="595">
        <f>MATCH($A43,Table!$A:$A,0)+$AL$2-1</f>
        <v>585</v>
      </c>
      <c r="AK43" s="698"/>
      <c r="AL43" s="698"/>
      <c r="AM43" s="698"/>
      <c r="AN43" s="595">
        <f>MATCH($A43,Table!$A:$A,0)+$AP$2-1</f>
        <v>577</v>
      </c>
      <c r="AO43" s="698"/>
      <c r="AP43" s="698"/>
      <c r="AQ43" s="973" t="s">
        <v>302</v>
      </c>
      <c r="AR43" s="699">
        <f t="shared" ca="1" si="13"/>
        <v>3126.4944345703125</v>
      </c>
      <c r="AS43" s="699">
        <f t="shared" ca="1" si="22"/>
        <v>69.113264648437053</v>
      </c>
    </row>
    <row r="44" spans="1:46" s="591" customFormat="1" x14ac:dyDescent="0.25">
      <c r="A44" s="592">
        <v>41690</v>
      </c>
      <c r="B44" s="595">
        <f ca="1">IF(ISERROR(MATCH(B$1,INDIRECT("Table!A"&amp;$AN44):INDIRECT("Table!" &amp; $AQ$108 &amp; $AN44),0)),"",INDIRECT(CONCATENATE("Table!",ADDRESS($AJ44,MATCH(B$1,INDIRECT("Table!A" &amp; $AN44):INDIRECT("Table!" &amp; $AQ$108 &amp; $AN44),0))))/1024)</f>
        <v>183.5996015625</v>
      </c>
      <c r="C44" s="595">
        <f ca="1">IF(ISERROR(MATCH(C$1,INDIRECT("Table!A"&amp;$AN44):INDIRECT("Table!" &amp; $AQ$108 &amp; $AN44),0)),"",INDIRECT(CONCATENATE("Table!",ADDRESS($AJ44,MATCH(C$1,INDIRECT("Table!A" &amp; $AN44):INDIRECT("Table!" &amp; $AQ$108 &amp; $AN44),0))))/1024)</f>
        <v>83.963232421874991</v>
      </c>
      <c r="D44" s="595">
        <f ca="1">IF(ISERROR(MATCH(D$1,INDIRECT("Table!A"&amp;$AN44):INDIRECT("Table!" &amp; $AQ$108 &amp; $AN44),0)),"",INDIRECT(CONCATENATE("Table!",ADDRESS($AJ44,MATCH(D$1,INDIRECT("Table!A" &amp; $AN44):INDIRECT("Table!" &amp; $AQ$108 &amp; $AN44),0))))/1024)</f>
        <v>84.951035156250001</v>
      </c>
      <c r="E44" s="595">
        <f ca="1">IF(ISERROR(MATCH(E$1,INDIRECT("Table!A"&amp;$AN44):INDIRECT("Table!" &amp; $AQ$108 &amp; $AN44),0)),"",INDIRECT(CONCATENATE("Table!",ADDRESS($AJ44,MATCH(E$1,INDIRECT("Table!A" &amp; $AN44):INDIRECT("Table!" &amp; $AQ$108 &amp; $AN44),0))))/1024)</f>
        <v>273.06160253906251</v>
      </c>
      <c r="F44" s="595">
        <f ca="1">IF(ISERROR(MATCH(F$1,INDIRECT("Table!A"&amp;$AN44):INDIRECT("Table!" &amp; $AQ$108 &amp; $AN44),0)),"",INDIRECT(CONCATENATE("Table!",ADDRESS($AJ44,MATCH(F$1,INDIRECT("Table!A" &amp; $AN44):INDIRECT("Table!" &amp; $AQ$108 &amp; $AN44),0))))/1024)</f>
        <v>119.129009765625</v>
      </c>
      <c r="G44" s="595">
        <f ca="1">IF(ISERROR(MATCH(G$1,INDIRECT("Table!A"&amp;$AN44):INDIRECT("Table!" &amp; $AQ$108 &amp; $AN44),0)),"",INDIRECT(CONCATENATE("Table!",ADDRESS($AJ44,MATCH(G$1,INDIRECT("Table!A" &amp; $AN44):INDIRECT("Table!" &amp; $AQ$108 &amp; $AN44),0))))/1024)</f>
        <v>449.84536523437498</v>
      </c>
      <c r="H44" s="595">
        <f ca="1">IF(ISERROR(MATCH(H$1,INDIRECT("Table!A"&amp;$AN44):INDIRECT("Table!" &amp; $AQ$108 &amp; $AN44),0)),"",INDIRECT(CONCATENATE("Table!",ADDRESS($AJ44,MATCH(H$1,INDIRECT("Table!A" &amp; $AN44):INDIRECT("Table!" &amp; $AQ$108 &amp; $AN44),0))))/1024)</f>
        <v>218.53489160156249</v>
      </c>
      <c r="I44" s="595">
        <f ca="1">IF(ISERROR(MATCH(I$1,INDIRECT("Table!A"&amp;$AN44):INDIRECT("Table!" &amp; $AQ$85 &amp; $AN44),0)),"",INDIRECT(CONCATENATE("Table!",ADDRESS($AJ44,MATCH(I$1,INDIRECT("Table!A" &amp; $AN44):INDIRECT("Table!" &amp; $AQ$85 &amp; $AN44),0))))/1024)</f>
        <v>40.895033203124996</v>
      </c>
      <c r="J44" s="595">
        <f ca="1">IF(ISERROR(MATCH(J$1,INDIRECT("Table!A"&amp;$AN44):INDIRECT("Table!" &amp; $AQ$85 &amp; $AN44),0)),"",INDIRECT(CONCATENATE("Table!",ADDRESS($AJ44,MATCH(J$1,INDIRECT("Table!A" &amp; $AN44):INDIRECT("Table!" &amp; $AQ$85 &amp; $AN44),0))))/1024)</f>
        <v>118.7997421875</v>
      </c>
      <c r="K44" s="595">
        <f ca="1">IF(ISERROR(MATCH(K$1,INDIRECT("Table!A"&amp;$AN44):INDIRECT("Table!" &amp; $AQ$85 &amp; $AN44),0)),"",INDIRECT(CONCATENATE("Table!",ADDRESS($AJ44,MATCH(K$1,INDIRECT("Table!A" &amp; $AN44):INDIRECT("Table!" &amp; $AQ$85 &amp; $AN44),0))))/1024)</f>
        <v>98.58271289062499</v>
      </c>
      <c r="L44" s="595">
        <f ca="1">IF(ISERROR(MATCH(L$1,INDIRECT("Table!A"&amp;$AN44):INDIRECT("Table!" &amp; $AQ$85 &amp; $AN44),0)),"",INDIRECT(CONCATENATE("Table!",ADDRESS($AJ44,MATCH(L$1,INDIRECT("Table!A" &amp; $AN44):INDIRECT("Table!" &amp; $AQ$85 &amp; $AN44),0))))/1024)</f>
        <v>272.5347744140625</v>
      </c>
      <c r="M44" s="595">
        <f ca="1">IF(ISERROR(MATCH(M$1,INDIRECT("Table!A"&amp;$AN44):INDIRECT("Table!" &amp; $AQ$85 &amp; $AN44),0)),"",INDIRECT(CONCATENATE("Table!",ADDRESS($AJ44,MATCH(M$1,INDIRECT("Table!A" &amp; $AN44):INDIRECT("Table!" &amp; $AQ$85 &amp; $AN44),0))))/1024)</f>
        <v>357.97971093749999</v>
      </c>
      <c r="N44" s="595">
        <f ca="1">IF(ISERROR(MATCH(N$1,INDIRECT("Table!A"&amp;$AN44):INDIRECT("Table!" &amp; $AQ$85 &amp; $AN44),0)),"",INDIRECT(CONCATENATE("Table!",ADDRESS($AJ44,MATCH(N$1,INDIRECT("Table!A" &amp; $AN44):INDIRECT("Table!" &amp; $AQ$85 &amp; $AN44),0))))/1024)</f>
        <v>122.553392578125</v>
      </c>
      <c r="O44" s="595">
        <f ca="1">IF(ISERROR(MATCH(O$1,INDIRECT("Table!A"&amp;$AN44):INDIRECT("Table!" &amp; $AQ$85 &amp; $AN44),0)),"",INDIRECT(CONCATENATE("Table!",ADDRESS($AJ44,MATCH(O$1,INDIRECT("Table!A" &amp; $AN44):INDIRECT("Table!" &amp; $AQ$85 &amp; $AN44),0))))/1024)</f>
        <v>181.68984960937496</v>
      </c>
      <c r="P44" s="595">
        <f ca="1">IF(ISERROR(MATCH(P$1,INDIRECT("Table!A"&amp;$AN44):INDIRECT("Table!" &amp; $AQ$85 &amp; $AN44),0)),"",INDIRECT(CONCATENATE("Table!",ADDRESS($AJ44,MATCH(P$1,INDIRECT("Table!A" &amp; $AN44):INDIRECT("Table!" &amp; $AQ$85 &amp; $AN44),0))))/1024)</f>
        <v>56.008415039062498</v>
      </c>
      <c r="Q44" s="595">
        <f ca="1">IF(ISERROR(MATCH(Q$1,INDIRECT("Table!A"&amp;$AN44):INDIRECT("Table!" &amp; $AQ$85 &amp; $AN44),0)),"",INDIRECT(CONCATENATE("Table!",ADDRESS($AJ44,MATCH(Q$1,INDIRECT("Table!A" &amp; $AN44):INDIRECT("Table!" &amp; $AQ$85 &amp; $AN44),0))))/1024)</f>
        <v>132.1350791015625</v>
      </c>
      <c r="R44" s="595">
        <f ca="1">IF(ISERROR(MATCH(R$1,INDIRECT("Table!A"&amp;$AN44):INDIRECT("Table!" &amp; $AQ$85 &amp; $AN44),0)),"",INDIRECT(CONCATENATE("Table!",ADDRESS($AJ44,MATCH(R$1,INDIRECT("Table!A" &amp; $AN44):INDIRECT("Table!" &amp; $AQ$85 &amp; $AN44),0))))/1024)</f>
        <v>225.15316992187499</v>
      </c>
      <c r="S44" s="595">
        <v>0</v>
      </c>
      <c r="T44" s="595">
        <f ca="1">IF(ISERROR(MATCH(T$1,INDIRECT("Table!A"&amp;$AN44):INDIRECT("Table!" &amp; $AQ$85 &amp; $AN44),0)),"",INDIRECT(CONCATENATE("Table!",ADDRESS($AJ44,MATCH(T$1,INDIRECT("Table!A" &amp; $AN44):INDIRECT("Table!" &amp; $AQ$85 &amp; $AN44),0))))/1024)</f>
        <v>35.791385742187501</v>
      </c>
      <c r="U44" s="595">
        <f ca="1">IF(ISERROR(MATCH(U$1,INDIRECT("Table!A"&amp;$AN44):INDIRECT("Table!" &amp; $AQ$85 &amp; $AN44),0)),"",INDIRECT(CONCATENATE("Table!",ADDRESS($AJ44,MATCH(U$1,INDIRECT("Table!A" &amp; $AN44):INDIRECT("Table!" &amp; $AQ$85 &amp; $AN44),0))))/1024)</f>
        <v>2.1731660156250001</v>
      </c>
      <c r="V44" s="595"/>
      <c r="W44" s="595"/>
      <c r="X44" s="595"/>
      <c r="Y44" s="595"/>
      <c r="Z44" s="595"/>
      <c r="AA44" s="595"/>
      <c r="AB44" s="595"/>
      <c r="AC44" s="595"/>
      <c r="AD44" s="595"/>
      <c r="AE44" s="595"/>
      <c r="AF44" s="595"/>
      <c r="AG44" s="595"/>
      <c r="AH44" s="595"/>
      <c r="AI44" s="595"/>
      <c r="AJ44" s="595">
        <f>MATCH($A44,Table!$A:$A,0)+$AL$2-1</f>
        <v>599</v>
      </c>
      <c r="AK44" s="698"/>
      <c r="AL44" s="698"/>
      <c r="AM44" s="698"/>
      <c r="AN44" s="595">
        <f>MATCH($A44,Table!$A:$A,0)+$AP$2-1</f>
        <v>591</v>
      </c>
      <c r="AO44" s="698"/>
      <c r="AP44" s="698"/>
      <c r="AQ44" s="973" t="s">
        <v>302</v>
      </c>
      <c r="AR44" s="699">
        <f t="shared" ca="1" si="13"/>
        <v>3057.3811699218754</v>
      </c>
      <c r="AS44" s="699">
        <f t="shared" ca="1" si="22"/>
        <v>75.138861328125131</v>
      </c>
    </row>
    <row r="45" spans="1:46" s="591" customFormat="1" x14ac:dyDescent="0.25">
      <c r="A45" s="592">
        <v>41684</v>
      </c>
      <c r="B45" s="595">
        <f ca="1">IF(ISERROR(MATCH(B$1,INDIRECT("Table!A"&amp;$AN45):INDIRECT("Table!" &amp; $AQ$108 &amp; $AN45),0)),"",INDIRECT(CONCATENATE("Table!",ADDRESS($AJ45,MATCH(B$1,INDIRECT("Table!A" &amp; $AN45):INDIRECT("Table!" &amp; $AQ$108 &amp; $AN45),0))))/1024)</f>
        <v>183.5996015625</v>
      </c>
      <c r="C45" s="595">
        <f ca="1">IF(ISERROR(MATCH(C$1,INDIRECT("Table!A"&amp;$AN45):INDIRECT("Table!" &amp; $AQ$108 &amp; $AN45),0)),"",INDIRECT(CONCATENATE("Table!",ADDRESS($AJ45,MATCH(C$1,INDIRECT("Table!A" &amp; $AN45):INDIRECT("Table!" &amp; $AQ$108 &amp; $AN45),0))))/1024)</f>
        <v>83.963232421874991</v>
      </c>
      <c r="D45" s="595">
        <f ca="1">IF(ISERROR(MATCH(D$1,INDIRECT("Table!A"&amp;$AN45):INDIRECT("Table!" &amp; $AQ$108 &amp; $AN45),0)),"",INDIRECT(CONCATENATE("Table!",ADDRESS($AJ45,MATCH(D$1,INDIRECT("Table!A" &amp; $AN45):INDIRECT("Table!" &amp; $AQ$108 &amp; $AN45),0))))/1024)</f>
        <v>84.951035156250001</v>
      </c>
      <c r="E45" s="595">
        <f ca="1">IF(ISERROR(MATCH(E$1,INDIRECT("Table!A"&amp;$AN45):INDIRECT("Table!" &amp; $AQ$108 &amp; $AN45),0)),"",INDIRECT(CONCATENATE("Table!",ADDRESS($AJ45,MATCH(E$1,INDIRECT("Table!A" &amp; $AN45):INDIRECT("Table!" &amp; $AQ$108 &amp; $AN45),0))))/1024)</f>
        <v>273.06160253906251</v>
      </c>
      <c r="F45" s="595">
        <f ca="1">IF(ISERROR(MATCH(F$1,INDIRECT("Table!A"&amp;$AN45):INDIRECT("Table!" &amp; $AQ$108 &amp; $AN45),0)),"",INDIRECT(CONCATENATE("Table!",ADDRESS($AJ45,MATCH(F$1,INDIRECT("Table!A" &amp; $AN45):INDIRECT("Table!" &amp; $AQ$108 &amp; $AN45),0))))/1024)</f>
        <v>119.129009765625</v>
      </c>
      <c r="G45" s="595">
        <f ca="1">IF(ISERROR(MATCH(G$1,INDIRECT("Table!A"&amp;$AN45):INDIRECT("Table!" &amp; $AQ$108 &amp; $AN45),0)),"",INDIRECT(CONCATENATE("Table!",ADDRESS($AJ45,MATCH(G$1,INDIRECT("Table!A" &amp; $AN45):INDIRECT("Table!" &amp; $AQ$108 &amp; $AN45),0))))/1024)</f>
        <v>449.84536523437498</v>
      </c>
      <c r="H45" s="595">
        <f ca="1">IF(ISERROR(MATCH(H$1,INDIRECT("Table!A"&amp;$AN45):INDIRECT("Table!" &amp; $AQ$108 &amp; $AN45),0)),"",INDIRECT(CONCATENATE("Table!",ADDRESS($AJ45,MATCH(H$1,INDIRECT("Table!A" &amp; $AN45):INDIRECT("Table!" &amp; $AQ$108 &amp; $AN45),0))))/1024)</f>
        <v>152.68137597656249</v>
      </c>
      <c r="I45" s="595">
        <f ca="1">IF(ISERROR(MATCH(I$1,INDIRECT("Table!A"&amp;$AN45):INDIRECT("Table!" &amp; $AQ$85 &amp; $AN45),0)),"",INDIRECT(CONCATENATE("Table!",ADDRESS($AJ45,MATCH(I$1,INDIRECT("Table!A" &amp; $AN45):INDIRECT("Table!" &amp; $AQ$85 &amp; $AN45),0))))/1024)</f>
        <v>40.895033203124996</v>
      </c>
      <c r="J45" s="595">
        <f ca="1">IF(ISERROR(MATCH(J$1,INDIRECT("Table!A"&amp;$AN45):INDIRECT("Table!" &amp; $AQ$85 &amp; $AN45),0)),"",INDIRECT(CONCATENATE("Table!",ADDRESS($AJ45,MATCH(J$1,INDIRECT("Table!A" &amp; $AN45):INDIRECT("Table!" &amp; $AQ$85 &amp; $AN45),0))))/1024)</f>
        <v>118.7997421875</v>
      </c>
      <c r="K45" s="595">
        <f ca="1">IF(ISERROR(MATCH(K$1,INDIRECT("Table!A"&amp;$AN45):INDIRECT("Table!" &amp; $AQ$85 &amp; $AN45),0)),"",INDIRECT(CONCATENATE("Table!",ADDRESS($AJ45,MATCH(K$1,INDIRECT("Table!A" &amp; $AN45):INDIRECT("Table!" &amp; $AQ$85 &amp; $AN45),0))))/1024)</f>
        <v>98.58271289062499</v>
      </c>
      <c r="L45" s="595">
        <f ca="1">IF(ISERROR(MATCH(L$1,INDIRECT("Table!A"&amp;$AN45):INDIRECT("Table!" &amp; $AQ$85 &amp; $AN45),0)),"",INDIRECT(CONCATENATE("Table!",ADDRESS($AJ45,MATCH(L$1,INDIRECT("Table!A" &amp; $AN45):INDIRECT("Table!" &amp; $AQ$85 &amp; $AN45),0))))/1024)</f>
        <v>272.96282226562499</v>
      </c>
      <c r="M45" s="595">
        <f ca="1">IF(ISERROR(MATCH(M$1,INDIRECT("Table!A"&amp;$AN45):INDIRECT("Table!" &amp; $AQ$85 &amp; $AN45),0)),"",INDIRECT(CONCATENATE("Table!",ADDRESS($AJ45,MATCH(M$1,INDIRECT("Table!A" &amp; $AN45):INDIRECT("Table!" &amp; $AQ$85 &amp; $AN45),0))))/1024)</f>
        <v>357.97971093749999</v>
      </c>
      <c r="N45" s="595">
        <f ca="1">IF(ISERROR(MATCH(N$1,INDIRECT("Table!A"&amp;$AN45):INDIRECT("Table!" &amp; $AQ$85 &amp; $AN45),0)),"",INDIRECT(CONCATENATE("Table!",ADDRESS($AJ45,MATCH(N$1,INDIRECT("Table!A" &amp; $AN45):INDIRECT("Table!" &amp; $AQ$85 &amp; $AN45),0))))/1024)</f>
        <v>122.553392578125</v>
      </c>
      <c r="O45" s="595">
        <f ca="1">IF(ISERROR(MATCH(O$1,INDIRECT("Table!A"&amp;$AN45):INDIRECT("Table!" &amp; $AQ$85 &amp; $AN45),0)),"",INDIRECT(CONCATENATE("Table!",ADDRESS($AJ45,MATCH(O$1,INDIRECT("Table!A" &amp; $AN45):INDIRECT("Table!" &amp; $AQ$85 &amp; $AN45),0))))/1024)</f>
        <v>180.6691201171875</v>
      </c>
      <c r="P45" s="595">
        <f ca="1">IF(ISERROR(MATCH(P$1,INDIRECT("Table!A"&amp;$AN45):INDIRECT("Table!" &amp; $AQ$85 &amp; $AN45),0)),"",INDIRECT(CONCATENATE("Table!",ADDRESS($AJ45,MATCH(P$1,INDIRECT("Table!A" &amp; $AN45):INDIRECT("Table!" &amp; $AQ$85 &amp; $AN45),0))))/1024)</f>
        <v>55.646220703124996</v>
      </c>
      <c r="Q45" s="595">
        <f ca="1">IF(ISERROR(MATCH(Q$1,INDIRECT("Table!A"&amp;$AN45):INDIRECT("Table!" &amp; $AQ$85 &amp; $AN45),0)),"",INDIRECT(CONCATENATE("Table!",ADDRESS($AJ45,MATCH(Q$1,INDIRECT("Table!A" &amp; $AN45):INDIRECT("Table!" &amp; $AQ$85 &amp; $AN45),0))))/1024)</f>
        <v>130.62044824218751</v>
      </c>
      <c r="R45" s="595">
        <f ca="1">IF(ISERROR(MATCH(R$1,INDIRECT("Table!A"&amp;$AN45):INDIRECT("Table!" &amp; $AQ$85 &amp; $AN45),0)),"",INDIRECT(CONCATENATE("Table!",ADDRESS($AJ45,MATCH(R$1,INDIRECT("Table!A" &amp; $AN45):INDIRECT("Table!" &amp; $AQ$85 &amp; $AN45),0))))/1024)</f>
        <v>220.51049707031248</v>
      </c>
      <c r="S45" s="595">
        <v>0</v>
      </c>
      <c r="T45" s="595">
        <f ca="1">IF(ISERROR(MATCH(T$1,INDIRECT("Table!A"&amp;$AN45):INDIRECT("Table!" &amp; $AQ$85 &amp; $AN45),0)),"",INDIRECT(CONCATENATE("Table!",ADDRESS($AJ45,MATCH(T$1,INDIRECT("Table!A" &amp; $AN45):INDIRECT("Table!" &amp; $AQ$85 &amp; $AN45),0))))/1024)</f>
        <v>35.791385742187501</v>
      </c>
      <c r="U45" s="595" t="str">
        <f ca="1">IF(ISERROR(MATCH(U$1,INDIRECT("Table!A"&amp;$AN45):INDIRECT("Table!" &amp; $AQ$85 &amp; $AN45),0)),"",INDIRECT(CONCATENATE("Table!",ADDRESS($AJ45,MATCH(U$1,INDIRECT("Table!A" &amp; $AN45):INDIRECT("Table!" &amp; $AQ$85 &amp; $AN45),0))))/1024)</f>
        <v/>
      </c>
      <c r="V45" s="595"/>
      <c r="W45" s="595"/>
      <c r="X45" s="595"/>
      <c r="Y45" s="595"/>
      <c r="Z45" s="595"/>
      <c r="AA45" s="595"/>
      <c r="AB45" s="595"/>
      <c r="AC45" s="595"/>
      <c r="AD45" s="595"/>
      <c r="AE45" s="595"/>
      <c r="AF45" s="595"/>
      <c r="AG45" s="595"/>
      <c r="AH45" s="595"/>
      <c r="AI45" s="595"/>
      <c r="AJ45" s="595">
        <f>MATCH($A45,Table!$A:$A,0)+$AL$2-1</f>
        <v>613</v>
      </c>
      <c r="AK45" s="698"/>
      <c r="AL45" s="698"/>
      <c r="AM45" s="698"/>
      <c r="AN45" s="595">
        <f>MATCH($A45,Table!$A:$A,0)+$AP$2-1</f>
        <v>605</v>
      </c>
      <c r="AO45" s="698"/>
      <c r="AP45" s="698"/>
      <c r="AQ45" s="973" t="s">
        <v>302</v>
      </c>
      <c r="AR45" s="699">
        <f t="shared" ca="1" si="13"/>
        <v>2982.2423085937503</v>
      </c>
      <c r="AS45" s="699">
        <f t="shared" ca="1" si="22"/>
        <v>-13.038996093749574</v>
      </c>
    </row>
    <row r="46" spans="1:46" s="591" customFormat="1" x14ac:dyDescent="0.25">
      <c r="A46" s="592">
        <v>41676</v>
      </c>
      <c r="B46" s="595">
        <f ca="1">IF(ISERROR(MATCH(B$1,INDIRECT("Table!A"&amp;$AN46):INDIRECT("Table!" &amp; $AQ$108 &amp; $AN46),0)),"",INDIRECT(CONCATENATE("Table!",ADDRESS($AJ46,MATCH(B$1,INDIRECT("Table!A" &amp; $AN46):INDIRECT("Table!" &amp; $AQ$108 &amp; $AN46),0))))/1024)</f>
        <v>183.5996015625</v>
      </c>
      <c r="C46" s="595">
        <f ca="1">IF(ISERROR(MATCH(C$1,INDIRECT("Table!A"&amp;$AN46):INDIRECT("Table!" &amp; $AQ$108 &amp; $AN46),0)),"",INDIRECT(CONCATENATE("Table!",ADDRESS($AJ46,MATCH(C$1,INDIRECT("Table!A" &amp; $AN46):INDIRECT("Table!" &amp; $AQ$108 &amp; $AN46),0))))/1024)</f>
        <v>94.499794921874994</v>
      </c>
      <c r="D46" s="595">
        <f ca="1">IF(ISERROR(MATCH(D$1,INDIRECT("Table!A"&amp;$AN46):INDIRECT("Table!" &amp; $AQ$108 &amp; $AN46),0)),"",INDIRECT(CONCATENATE("Table!",ADDRESS($AJ46,MATCH(D$1,INDIRECT("Table!A" &amp; $AN46):INDIRECT("Table!" &amp; $AQ$108 &amp; $AN46),0))))/1024)</f>
        <v>95.487597656250003</v>
      </c>
      <c r="E46" s="595">
        <f ca="1">IF(ISERROR(MATCH(E$1,INDIRECT("Table!A"&amp;$AN46):INDIRECT("Table!" &amp; $AQ$108 &amp; $AN46),0)),"",INDIRECT(CONCATENATE("Table!",ADDRESS($AJ46,MATCH(E$1,INDIRECT("Table!A" &amp; $AN46):INDIRECT("Table!" &amp; $AQ$108 &amp; $AN46),0))))/1024)</f>
        <v>273.06160253906251</v>
      </c>
      <c r="F46" s="595">
        <f ca="1">IF(ISERROR(MATCH(F$1,INDIRECT("Table!A"&amp;$AN46):INDIRECT("Table!" &amp; $AQ$108 &amp; $AN46),0)),"",INDIRECT(CONCATENATE("Table!",ADDRESS($AJ46,MATCH(F$1,INDIRECT("Table!A" &amp; $AN46):INDIRECT("Table!" &amp; $AQ$108 &amp; $AN46),0))))/1024)</f>
        <v>119.129009765625</v>
      </c>
      <c r="G46" s="595">
        <f ca="1">IF(ISERROR(MATCH(G$1,INDIRECT("Table!A"&amp;$AN46):INDIRECT("Table!" &amp; $AQ$108 &amp; $AN46),0)),"",INDIRECT(CONCATENATE("Table!",ADDRESS($AJ46,MATCH(G$1,INDIRECT("Table!A" &amp; $AN46):INDIRECT("Table!" &amp; $AQ$108 &amp; $AN46),0))))/1024)</f>
        <v>449.84536523437498</v>
      </c>
      <c r="H46" s="595">
        <f ca="1">IF(ISERROR(MATCH(H$1,INDIRECT("Table!A"&amp;$AN46):INDIRECT("Table!" &amp; $AQ$108 &amp; $AN46),0)),"",INDIRECT(CONCATENATE("Table!",ADDRESS($AJ46,MATCH(H$1,INDIRECT("Table!A" &amp; $AN46):INDIRECT("Table!" &amp; $AQ$108 &amp; $AN46),0))))/1024)</f>
        <v>152.38503515624998</v>
      </c>
      <c r="I46" s="595">
        <f ca="1">IF(ISERROR(MATCH(I$1,INDIRECT("Table!A"&amp;$AN46):INDIRECT("Table!" &amp; $AQ$85 &amp; $AN46),0)),"",INDIRECT(CONCATENATE("Table!",ADDRESS($AJ46,MATCH(I$1,INDIRECT("Table!A" &amp; $AN46):INDIRECT("Table!" &amp; $AQ$85 &amp; $AN46),0))))/1024)</f>
        <v>40.895033203124996</v>
      </c>
      <c r="J46" s="595">
        <f ca="1">IF(ISERROR(MATCH(J$1,INDIRECT("Table!A"&amp;$AN46):INDIRECT("Table!" &amp; $AQ$85 &amp; $AN46),0)),"",INDIRECT(CONCATENATE("Table!",ADDRESS($AJ46,MATCH(J$1,INDIRECT("Table!A" &amp; $AN46):INDIRECT("Table!" &amp; $AQ$85 &amp; $AN46),0))))/1024)</f>
        <v>117.81193945312499</v>
      </c>
      <c r="K46" s="595">
        <f ca="1">IF(ISERROR(MATCH(K$1,INDIRECT("Table!A"&amp;$AN46):INDIRECT("Table!" &amp; $AQ$85 &amp; $AN46),0)),"",INDIRECT(CONCATENATE("Table!",ADDRESS($AJ46,MATCH(K$1,INDIRECT("Table!A" &amp; $AN46):INDIRECT("Table!" &amp; $AQ$85 &amp; $AN46),0))))/1024)</f>
        <v>96.574180664062496</v>
      </c>
      <c r="L46" s="595">
        <f ca="1">IF(ISERROR(MATCH(L$1,INDIRECT("Table!A"&amp;$AN46):INDIRECT("Table!" &amp; $AQ$85 &amp; $AN46),0)),"",INDIRECT(CONCATENATE("Table!",ADDRESS($AJ46,MATCH(L$1,INDIRECT("Table!A" &amp; $AN46):INDIRECT("Table!" &amp; $AQ$85 &amp; $AN46),0))))/1024)</f>
        <v>272.96282226562499</v>
      </c>
      <c r="M46" s="595">
        <f ca="1">IF(ISERROR(MATCH(M$1,INDIRECT("Table!A"&amp;$AN46):INDIRECT("Table!" &amp; $AQ$85 &amp; $AN46),0)),"",INDIRECT(CONCATENATE("Table!",ADDRESS($AJ46,MATCH(M$1,INDIRECT("Table!A" &amp; $AN46):INDIRECT("Table!" &amp; $AQ$85 &amp; $AN46),0))))/1024)</f>
        <v>357.97971093749999</v>
      </c>
      <c r="N46" s="595">
        <f ca="1">IF(ISERROR(MATCH(N$1,INDIRECT("Table!A"&amp;$AN46):INDIRECT("Table!" &amp; $AQ$85 &amp; $AN46),0)),"",INDIRECT(CONCATENATE("Table!",ADDRESS($AJ46,MATCH(N$1,INDIRECT("Table!A" &amp; $AN46):INDIRECT("Table!" &amp; $AQ$85 &amp; $AN46),0))))/1024)</f>
        <v>122.553392578125</v>
      </c>
      <c r="O46" s="595">
        <f ca="1">IF(ISERROR(MATCH(O$1,INDIRECT("Table!A"&amp;$AN46):INDIRECT("Table!" &amp; $AQ$85 &amp; $AN46),0)),"",INDIRECT(CONCATENATE("Table!",ADDRESS($AJ46,MATCH(O$1,INDIRECT("Table!A" &amp; $AN46):INDIRECT("Table!" &amp; $AQ$85 &amp; $AN46),0))))/1024)</f>
        <v>180.37277929687497</v>
      </c>
      <c r="P46" s="595">
        <f ca="1">IF(ISERROR(MATCH(P$1,INDIRECT("Table!A"&amp;$AN46):INDIRECT("Table!" &amp; $AQ$85 &amp; $AN46),0)),"",INDIRECT(CONCATENATE("Table!",ADDRESS($AJ46,MATCH(P$1,INDIRECT("Table!A" &amp; $AN46):INDIRECT("Table!" &amp; $AQ$85 &amp; $AN46),0))))/1024)</f>
        <v>55.646220703124996</v>
      </c>
      <c r="Q46" s="595">
        <f ca="1">IF(ISERROR(MATCH(Q$1,INDIRECT("Table!A"&amp;$AN46):INDIRECT("Table!" &amp; $AQ$85 &amp; $AN46),0)),"",INDIRECT(CONCATENATE("Table!",ADDRESS($AJ46,MATCH(Q$1,INDIRECT("Table!A" &amp; $AN46):INDIRECT("Table!" &amp; $AQ$85 &amp; $AN46),0))))/1024)</f>
        <v>129.6326455078125</v>
      </c>
      <c r="R46" s="595">
        <f ca="1">IF(ISERROR(MATCH(R$1,INDIRECT("Table!A"&amp;$AN46):INDIRECT("Table!" &amp; $AQ$85 &amp; $AN46),0)),"",INDIRECT(CONCATENATE("Table!",ADDRESS($AJ46,MATCH(R$1,INDIRECT("Table!A" &amp; $AN46):INDIRECT("Table!" &amp; $AQ$85 &amp; $AN46),0))))/1024)</f>
        <v>217.05318749999998</v>
      </c>
      <c r="S46" s="595">
        <v>0</v>
      </c>
      <c r="T46" s="595">
        <f ca="1">IF(ISERROR(MATCH(T$1,INDIRECT("Table!A"&amp;$AN46):INDIRECT("Table!" &amp; $AQ$85 &amp; $AN46),0)),"",INDIRECT(CONCATENATE("Table!",ADDRESS($AJ46,MATCH(T$1,INDIRECT("Table!A" &amp; $AN46):INDIRECT("Table!" &amp; $AQ$85 &amp; $AN46),0))))/1024)</f>
        <v>35.791385742187501</v>
      </c>
      <c r="U46" s="595" t="str">
        <f ca="1">IF(ISERROR(MATCH(U$1,INDIRECT("Table!A"&amp;$AN46):INDIRECT("Table!" &amp; $AQ$85 &amp; $AN46),0)),"",INDIRECT(CONCATENATE("Table!",ADDRESS($AJ46,MATCH(U$1,INDIRECT("Table!A" &amp; $AN46):INDIRECT("Table!" &amp; $AQ$85 &amp; $AN46),0))))/1024)</f>
        <v/>
      </c>
      <c r="V46" s="595"/>
      <c r="W46" s="595"/>
      <c r="X46" s="595"/>
      <c r="Y46" s="595"/>
      <c r="Z46" s="595"/>
      <c r="AA46" s="595"/>
      <c r="AB46" s="595"/>
      <c r="AC46" s="595"/>
      <c r="AD46" s="595"/>
      <c r="AE46" s="595"/>
      <c r="AF46" s="595"/>
      <c r="AG46" s="595"/>
      <c r="AH46" s="595"/>
      <c r="AI46" s="595"/>
      <c r="AJ46" s="595">
        <f>MATCH($A46,Table!$A:$A,0)+$AL$2-1</f>
        <v>627</v>
      </c>
      <c r="AK46" s="698"/>
      <c r="AL46" s="698"/>
      <c r="AM46" s="698"/>
      <c r="AN46" s="595">
        <f>MATCH($A46,Table!$A:$A,0)+$AP$2-1</f>
        <v>619</v>
      </c>
      <c r="AO46" s="698"/>
      <c r="AP46" s="698"/>
      <c r="AQ46" s="973" t="s">
        <v>302</v>
      </c>
      <c r="AR46" s="699">
        <f t="shared" ca="1" si="13"/>
        <v>2995.2813046874999</v>
      </c>
      <c r="AS46" s="699">
        <f t="shared" ca="1" si="22"/>
        <v>106.68269531250007</v>
      </c>
    </row>
    <row r="47" spans="1:46" s="591" customFormat="1" x14ac:dyDescent="0.25">
      <c r="A47" s="592">
        <v>41642</v>
      </c>
      <c r="B47" s="595">
        <f ca="1">IF(ISERROR(MATCH(B$1,INDIRECT("Table!A"&amp;$AN47):INDIRECT("Table!" &amp; $AQ$108 &amp; $AN47),0)),"",INDIRECT(CONCATENATE("Table!",ADDRESS($AJ47,MATCH(B$1,INDIRECT("Table!A" &amp; $AN47):INDIRECT("Table!" &amp; $AQ$108 &amp; $AN47),0))))/1024)</f>
        <v>182.216677734375</v>
      </c>
      <c r="C47" s="595">
        <f ca="1">IF(ISERROR(MATCH(C$1,INDIRECT("Table!A"&amp;$AN47):INDIRECT("Table!" &amp; $AQ$108 &amp; $AN47),0)),"",INDIRECT(CONCATENATE("Table!",ADDRESS($AJ47,MATCH(C$1,INDIRECT("Table!A" &amp; $AN47):INDIRECT("Table!" &amp; $AQ$108 &amp; $AN47),0))))/1024)</f>
        <v>94.335161132812502</v>
      </c>
      <c r="D47" s="595">
        <f ca="1">IF(ISERROR(MATCH(D$1,INDIRECT("Table!A"&amp;$AN47):INDIRECT("Table!" &amp; $AQ$108 &amp; $AN47),0)),"",INDIRECT(CONCATENATE("Table!",ADDRESS($AJ47,MATCH(D$1,INDIRECT("Table!A" &amp; $AN47):INDIRECT("Table!" &amp; $AQ$108 &amp; $AN47),0))))/1024)</f>
        <v>95.322963867187497</v>
      </c>
      <c r="E47" s="595">
        <f ca="1">IF(ISERROR(MATCH(E$1,INDIRECT("Table!A"&amp;$AN47):INDIRECT("Table!" &amp; $AQ$108 &amp; $AN47),0)),"",INDIRECT(CONCATENATE("Table!",ADDRESS($AJ47,MATCH(E$1,INDIRECT("Table!A" &amp; $AN47):INDIRECT("Table!" &amp; $AQ$108 &amp; $AN47),0))))/1024)</f>
        <v>274.18111230468747</v>
      </c>
      <c r="F47" s="595">
        <f ca="1">IF(ISERROR(MATCH(F$1,INDIRECT("Table!A"&amp;$AN47):INDIRECT("Table!" &amp; $AQ$108 &amp; $AN47),0)),"",INDIRECT(CONCATENATE("Table!",ADDRESS($AJ47,MATCH(F$1,INDIRECT("Table!A" &amp; $AN47):INDIRECT("Table!" &amp; $AQ$108 &amp; $AN47),0))))/1024)</f>
        <v>119.129009765625</v>
      </c>
      <c r="G47" s="595">
        <f ca="1">IF(ISERROR(MATCH(G$1,INDIRECT("Table!A"&amp;$AN47):INDIRECT("Table!" &amp; $AQ$108 &amp; $AN47),0)),"",INDIRECT(CONCATENATE("Table!",ADDRESS($AJ47,MATCH(G$1,INDIRECT("Table!A" &amp; $AN47):INDIRECT("Table!" &amp; $AQ$108 &amp; $AN47),0))))/1024)</f>
        <v>449.84536523437498</v>
      </c>
      <c r="H47" s="595">
        <f ca="1">IF(ISERROR(MATCH(H$1,INDIRECT("Table!A"&amp;$AN47):INDIRECT("Table!" &amp; $AQ$108 &amp; $AN47),0)),"",INDIRECT(CONCATENATE("Table!",ADDRESS($AJ47,MATCH(H$1,INDIRECT("Table!A" &amp; $AN47):INDIRECT("Table!" &amp; $AQ$108 &amp; $AN47),0))))/1024)</f>
        <v>161.76916113281248</v>
      </c>
      <c r="I47" s="595">
        <f ca="1">IF(ISERROR(MATCH(I$1,INDIRECT("Table!A"&amp;$AN47):INDIRECT("Table!" &amp; $AQ$85 &amp; $AN47),0)),"",INDIRECT(CONCATENATE("Table!",ADDRESS($AJ47,MATCH(I$1,INDIRECT("Table!A" &amp; $AN47):INDIRECT("Table!" &amp; $AQ$85 &amp; $AN47),0))))/1024)</f>
        <v>26.802380859374999</v>
      </c>
      <c r="J47" s="595">
        <f ca="1">IF(ISERROR(MATCH(J$1,INDIRECT("Table!A"&amp;$AN47):INDIRECT("Table!" &amp; $AQ$85 &amp; $AN47),0)),"",INDIRECT(CONCATENATE("Table!",ADDRESS($AJ47,MATCH(J$1,INDIRECT("Table!A" &amp; $AN47):INDIRECT("Table!" &amp; $AQ$85 &amp; $AN47),0))))/1024)</f>
        <v>99.340028320312499</v>
      </c>
      <c r="K47" s="595">
        <f ca="1">IF(ISERROR(MATCH(K$1,INDIRECT("Table!A"&amp;$AN47):INDIRECT("Table!" &amp; $AQ$85 &amp; $AN47),0)),"",INDIRECT(CONCATENATE("Table!",ADDRESS($AJ47,MATCH(K$1,INDIRECT("Table!A" &amp; $AN47):INDIRECT("Table!" &amp; $AQ$85 &amp; $AN47),0))))/1024)</f>
        <v>72.537647460937492</v>
      </c>
      <c r="L47" s="595">
        <f ca="1">IF(ISERROR(MATCH(L$1,INDIRECT("Table!A"&amp;$AN47):INDIRECT("Table!" &amp; $AQ$85 &amp; $AN47),0)),"",INDIRECT(CONCATENATE("Table!",ADDRESS($AJ47,MATCH(L$1,INDIRECT("Table!A" &amp; $AN47):INDIRECT("Table!" &amp; $AQ$85 &amp; $AN47),0))))/1024)</f>
        <v>274.87257421875</v>
      </c>
      <c r="M47" s="595">
        <f ca="1">IF(ISERROR(MATCH(M$1,INDIRECT("Table!A"&amp;$AN47):INDIRECT("Table!" &amp; $AQ$85 &amp; $AN47),0)),"",INDIRECT(CONCATENATE("Table!",ADDRESS($AJ47,MATCH(M$1,INDIRECT("Table!A" &amp; $AN47):INDIRECT("Table!" &amp; $AQ$85 &amp; $AN47),0))))/1024)</f>
        <v>360.15287695312497</v>
      </c>
      <c r="N47" s="595">
        <f ca="1">IF(ISERROR(MATCH(N$1,INDIRECT("Table!A"&amp;$AN47):INDIRECT("Table!" &amp; $AQ$85 &amp; $AN47),0)),"",INDIRECT(CONCATENATE("Table!",ADDRESS($AJ47,MATCH(N$1,INDIRECT("Table!A" &amp; $AN47):INDIRECT("Table!" &amp; $AQ$85 &amp; $AN47),0))))/1024)</f>
        <v>123.96924316406249</v>
      </c>
      <c r="O47" s="595">
        <f ca="1">IF(ISERROR(MATCH(O$1,INDIRECT("Table!A"&amp;$AN47):INDIRECT("Table!" &amp; $AQ$85 &amp; $AN47),0)),"",INDIRECT(CONCATENATE("Table!",ADDRESS($AJ47,MATCH(O$1,INDIRECT("Table!A" &amp; $AN47):INDIRECT("Table!" &amp; $AQ$85 &amp; $AN47),0))))/1024)</f>
        <v>189.7569052734375</v>
      </c>
      <c r="P47" s="595">
        <f ca="1">IF(ISERROR(MATCH(P$1,INDIRECT("Table!A"&amp;$AN47):INDIRECT("Table!" &amp; $AQ$85 &amp; $AN47),0)),"",INDIRECT(CONCATENATE("Table!",ADDRESS($AJ47,MATCH(P$1,INDIRECT("Table!A" &amp; $AN47):INDIRECT("Table!" &amp; $AQ$85 &amp; $AN47),0))))/1024)</f>
        <v>41.553568359374999</v>
      </c>
      <c r="Q47" s="595">
        <f ca="1">IF(ISERROR(MATCH(Q$1,INDIRECT("Table!A"&amp;$AN47):INDIRECT("Table!" &amp; $AQ$85 &amp; $AN47),0)),"",INDIRECT(CONCATENATE("Table!",ADDRESS($AJ47,MATCH(Q$1,INDIRECT("Table!A" &amp; $AN47):INDIRECT("Table!" &amp; $AQ$85 &amp; $AN47),0))))/1024)</f>
        <v>103.12660546875</v>
      </c>
      <c r="R47" s="595">
        <f ca="1">IF(ISERROR(MATCH(R$1,INDIRECT("Table!A"&amp;$AN47):INDIRECT("Table!" &amp; $AQ$85 &amp; $AN47),0)),"",INDIRECT(CONCATENATE("Table!",ADDRESS($AJ47,MATCH(R$1,INDIRECT("Table!A" &amp; $AN47):INDIRECT("Table!" &amp; $AQ$85 &amp; $AN47),0))))/1024)</f>
        <v>186.26666894531249</v>
      </c>
      <c r="S47" s="595">
        <v>0</v>
      </c>
      <c r="T47" s="595">
        <f ca="1">IF(ISERROR(MATCH(T$1,INDIRECT("Table!A"&amp;$AN47):INDIRECT("Table!" &amp; $AQ$85 &amp; $AN47),0)),"",INDIRECT(CONCATENATE("Table!",ADDRESS($AJ47,MATCH(T$1,INDIRECT("Table!A" &amp; $AN47):INDIRECT("Table!" &amp; $AQ$85 &amp; $AN47),0))))/1024)</f>
        <v>33.420659179687497</v>
      </c>
      <c r="U47" s="595" t="str">
        <f ca="1">IF(ISERROR(MATCH(U$1,INDIRECT("Table!A"&amp;$AN47):INDIRECT("Table!" &amp; $AQ$85 &amp; $AN47),0)),"",INDIRECT(CONCATENATE("Table!",ADDRESS($AJ47,MATCH(U$1,INDIRECT("Table!A" &amp; $AN47):INDIRECT("Table!" &amp; $AQ$85 &amp; $AN47),0))))/1024)</f>
        <v/>
      </c>
      <c r="V47" s="595"/>
      <c r="W47" s="595"/>
      <c r="X47" s="595"/>
      <c r="Y47" s="595"/>
      <c r="Z47" s="595"/>
      <c r="AA47" s="595"/>
      <c r="AB47" s="595"/>
      <c r="AC47" s="595"/>
      <c r="AD47" s="595"/>
      <c r="AE47" s="595"/>
      <c r="AF47" s="595"/>
      <c r="AG47" s="595"/>
      <c r="AH47" s="595"/>
      <c r="AI47" s="595"/>
      <c r="AJ47" s="595">
        <f>MATCH($A47,Table!$A:$A,0)+$AL$2-1</f>
        <v>669</v>
      </c>
      <c r="AK47" s="698"/>
      <c r="AL47" s="698"/>
      <c r="AM47" s="698"/>
      <c r="AN47" s="595">
        <f>MATCH($A47,Table!$A:$A,0)+$AP$2-1</f>
        <v>661</v>
      </c>
      <c r="AO47" s="698"/>
      <c r="AP47" s="698"/>
      <c r="AQ47" s="973" t="s">
        <v>302</v>
      </c>
      <c r="AR47" s="699">
        <f t="shared" ca="1" si="13"/>
        <v>2888.5986093749998</v>
      </c>
      <c r="AS47" s="699">
        <f t="shared" ca="1" si="22"/>
        <v>2.4695068359374091</v>
      </c>
    </row>
    <row r="48" spans="1:46" s="591" customFormat="1" x14ac:dyDescent="0.25">
      <c r="A48" s="592">
        <v>41626</v>
      </c>
      <c r="B48" s="595">
        <f ca="1">IF(ISERROR(MATCH(B$1,INDIRECT("Table!A"&amp;$AN48):INDIRECT("Table!" &amp; $AQ$108 &amp; $AN48),0)),"",INDIRECT(CONCATENATE("Table!",ADDRESS($AJ48,MATCH(B$1,INDIRECT("Table!A" &amp; $AN48):INDIRECT("Table!" &amp; $AQ$108 &amp; $AN48),0))))/1024)</f>
        <v>182.216677734375</v>
      </c>
      <c r="C48" s="595">
        <f ca="1">IF(ISERROR(MATCH(C$1,INDIRECT("Table!A"&amp;$AN48):INDIRECT("Table!" &amp; $AQ$108 &amp; $AN48),0)),"",INDIRECT(CONCATENATE("Table!",ADDRESS($AJ48,MATCH(C$1,INDIRECT("Table!A" &amp; $AN48):INDIRECT("Table!" &amp; $AQ$108 &amp; $AN48),0))))/1024)</f>
        <v>94.335161132812502</v>
      </c>
      <c r="D48" s="595">
        <f ca="1">IF(ISERROR(MATCH(D$1,INDIRECT("Table!A"&amp;$AN48):INDIRECT("Table!" &amp; $AQ$108 &amp; $AN48),0)),"",INDIRECT(CONCATENATE("Table!",ADDRESS($AJ48,MATCH(D$1,INDIRECT("Table!A" &amp; $AN48):INDIRECT("Table!" &amp; $AQ$108 &amp; $AN48),0))))/1024)</f>
        <v>95.322963867187497</v>
      </c>
      <c r="E48" s="595">
        <f ca="1">IF(ISERROR(MATCH(E$1,INDIRECT("Table!A"&amp;$AN48):INDIRECT("Table!" &amp; $AQ$108 &amp; $AN48),0)),"",INDIRECT(CONCATENATE("Table!",ADDRESS($AJ48,MATCH(E$1,INDIRECT("Table!A" &amp; $AN48):INDIRECT("Table!" &amp; $AQ$108 &amp; $AN48),0))))/1024)</f>
        <v>274.18111230468747</v>
      </c>
      <c r="F48" s="595">
        <f ca="1">IF(ISERROR(MATCH(F$1,INDIRECT("Table!A"&amp;$AN48):INDIRECT("Table!" &amp; $AQ$108 &amp; $AN48),0)),"",INDIRECT(CONCATENATE("Table!",ADDRESS($AJ48,MATCH(F$1,INDIRECT("Table!A" &amp; $AN48):INDIRECT("Table!" &amp; $AQ$108 &amp; $AN48),0))))/1024)</f>
        <v>119.129009765625</v>
      </c>
      <c r="G48" s="595">
        <f ca="1">IF(ISERROR(MATCH(G$1,INDIRECT("Table!A"&amp;$AN48):INDIRECT("Table!" &amp; $AQ$108 &amp; $AN48),0)),"",INDIRECT(CONCATENATE("Table!",ADDRESS($AJ48,MATCH(G$1,INDIRECT("Table!A" &amp; $AN48):INDIRECT("Table!" &amp; $AQ$108 &amp; $AN48),0))))/1024)</f>
        <v>449.84536523437498</v>
      </c>
      <c r="H48" s="595">
        <f ca="1">IF(ISERROR(MATCH(H$1,INDIRECT("Table!A"&amp;$AN48):INDIRECT("Table!" &amp; $AQ$108 &amp; $AN48),0)),"",INDIRECT(CONCATENATE("Table!",ADDRESS($AJ48,MATCH(H$1,INDIRECT("Table!A" &amp; $AN48):INDIRECT("Table!" &amp; $AQ$108 &amp; $AN48),0))))/1024)</f>
        <v>161.76916113281248</v>
      </c>
      <c r="I48" s="595">
        <f ca="1">IF(ISERROR(MATCH(I$1,INDIRECT("Table!A"&amp;$AN48):INDIRECT("Table!" &amp; $AQ$85 &amp; $AN48),0)),"",INDIRECT(CONCATENATE("Table!",ADDRESS($AJ48,MATCH(I$1,INDIRECT("Table!A" &amp; $AN48):INDIRECT("Table!" &amp; $AQ$85 &amp; $AN48),0))))/1024)</f>
        <v>25.5840908203125</v>
      </c>
      <c r="J48" s="595">
        <f ca="1">IF(ISERROR(MATCH(J$1,INDIRECT("Table!A"&amp;$AN48):INDIRECT("Table!" &amp; $AQ$85 &amp; $AN48),0)),"",INDIRECT(CONCATENATE("Table!",ADDRESS($AJ48,MATCH(J$1,INDIRECT("Table!A" &amp; $AN48):INDIRECT("Table!" &amp; $AQ$85 &amp; $AN48),0))))/1024)</f>
        <v>99.340028320312499</v>
      </c>
      <c r="K48" s="595">
        <f ca="1">IF(ISERROR(MATCH(K$1,INDIRECT("Table!A"&amp;$AN48):INDIRECT("Table!" &amp; $AQ$85 &amp; $AN48),0)),"",INDIRECT(CONCATENATE("Table!",ADDRESS($AJ48,MATCH(K$1,INDIRECT("Table!A" &amp; $AN48):INDIRECT("Table!" &amp; $AQ$85 &amp; $AN48),0))))/1024)</f>
        <v>72.537647460937492</v>
      </c>
      <c r="L48" s="595">
        <f ca="1">IF(ISERROR(MATCH(L$1,INDIRECT("Table!A"&amp;$AN48):INDIRECT("Table!" &amp; $AQ$85 &amp; $AN48),0)),"",INDIRECT(CONCATENATE("Table!",ADDRESS($AJ48,MATCH(L$1,INDIRECT("Table!A" &amp; $AN48):INDIRECT("Table!" &amp; $AQ$85 &amp; $AN48),0))))/1024)</f>
        <v>274.87257421875</v>
      </c>
      <c r="M48" s="595">
        <f ca="1">IF(ISERROR(MATCH(M$1,INDIRECT("Table!A"&amp;$AN48):INDIRECT("Table!" &amp; $AQ$85 &amp; $AN48),0)),"",INDIRECT(CONCATENATE("Table!",ADDRESS($AJ48,MATCH(M$1,INDIRECT("Table!A" &amp; $AN48):INDIRECT("Table!" &amp; $AQ$85 &amp; $AN48),0))))/1024)</f>
        <v>360.11995019531247</v>
      </c>
      <c r="N48" s="595">
        <f ca="1">IF(ISERROR(MATCH(N$1,INDIRECT("Table!A"&amp;$AN48):INDIRECT("Table!" &amp; $AQ$85 &amp; $AN48),0)),"",INDIRECT(CONCATENATE("Table!",ADDRESS($AJ48,MATCH(N$1,INDIRECT("Table!A" &amp; $AN48):INDIRECT("Table!" &amp; $AQ$85 &amp; $AN48),0))))/1024)</f>
        <v>123.96924316406249</v>
      </c>
      <c r="O48" s="595">
        <f ca="1">IF(ISERROR(MATCH(O$1,INDIRECT("Table!A"&amp;$AN48):INDIRECT("Table!" &amp; $AQ$85 &amp; $AN48),0)),"",INDIRECT(CONCATENATE("Table!",ADDRESS($AJ48,MATCH(O$1,INDIRECT("Table!A" &amp; $AN48):INDIRECT("Table!" &amp; $AQ$85 &amp; $AN48),0))))/1024)</f>
        <v>189.7569052734375</v>
      </c>
      <c r="P48" s="595">
        <f ca="1">IF(ISERROR(MATCH(P$1,INDIRECT("Table!A"&amp;$AN48):INDIRECT("Table!" &amp; $AQ$85 &amp; $AN48),0)),"",INDIRECT(CONCATENATE("Table!",ADDRESS($AJ48,MATCH(P$1,INDIRECT("Table!A" &amp; $AN48):INDIRECT("Table!" &amp; $AQ$85 &amp; $AN48),0))))/1024)</f>
        <v>40.335278320312497</v>
      </c>
      <c r="Q48" s="595">
        <f ca="1">IF(ISERROR(MATCH(Q$1,INDIRECT("Table!A"&amp;$AN48):INDIRECT("Table!" &amp; $AQ$85 &amp; $AN48),0)),"",INDIRECT(CONCATENATE("Table!",ADDRESS($AJ48,MATCH(Q$1,INDIRECT("Table!A" &amp; $AN48):INDIRECT("Table!" &amp; $AQ$85 &amp; $AN48),0))))/1024)</f>
        <v>103.12660546875</v>
      </c>
      <c r="R48" s="595">
        <f ca="1">IF(ISERROR(MATCH(R$1,INDIRECT("Table!A"&amp;$AN48):INDIRECT("Table!" &amp; $AQ$85 &amp; $AN48),0)),"",INDIRECT(CONCATENATE("Table!",ADDRESS($AJ48,MATCH(R$1,INDIRECT("Table!A" &amp; $AN48):INDIRECT("Table!" &amp; $AQ$85 &amp; $AN48),0))))/1024)</f>
        <v>186.26666894531249</v>
      </c>
      <c r="S48" s="595">
        <v>0</v>
      </c>
      <c r="T48" s="595">
        <f ca="1">IF(ISERROR(MATCH(T$1,INDIRECT("Table!A"&amp;$AN48):INDIRECT("Table!" &amp; $AQ$85 &amp; $AN48),0)),"",INDIRECT(CONCATENATE("Table!",ADDRESS($AJ48,MATCH(T$1,INDIRECT("Table!A" &amp; $AN48):INDIRECT("Table!" &amp; $AQ$85 &amp; $AN48),0))))/1024)</f>
        <v>33.420659179687497</v>
      </c>
      <c r="U48" s="595" t="str">
        <f ca="1">IF(ISERROR(MATCH(U$1,INDIRECT("Table!A"&amp;$AN48):INDIRECT("Table!" &amp; $AQ$85 &amp; $AN48),0)),"",INDIRECT(CONCATENATE("Table!",ADDRESS($AJ48,MATCH(U$1,INDIRECT("Table!A" &amp; $AN48):INDIRECT("Table!" &amp; $AQ$85 &amp; $AN48),0))))/1024)</f>
        <v/>
      </c>
      <c r="V48" s="595"/>
      <c r="W48" s="595"/>
      <c r="X48" s="595"/>
      <c r="Y48" s="595"/>
      <c r="Z48" s="595"/>
      <c r="AA48" s="595"/>
      <c r="AB48" s="595"/>
      <c r="AC48" s="595"/>
      <c r="AD48" s="595"/>
      <c r="AE48" s="595"/>
      <c r="AF48" s="595"/>
      <c r="AG48" s="595"/>
      <c r="AH48" s="595"/>
      <c r="AI48" s="595"/>
      <c r="AJ48" s="595">
        <f>MATCH($A48,Table!$A:$A,0)+$AL$2-1</f>
        <v>683</v>
      </c>
      <c r="AK48" s="607"/>
      <c r="AL48" s="607"/>
      <c r="AM48" s="607"/>
      <c r="AN48" s="595">
        <f>MATCH($A48,Table!$A:$A,0)+$AP$2-1</f>
        <v>675</v>
      </c>
      <c r="AO48" s="607"/>
      <c r="AP48" s="607"/>
      <c r="AQ48" s="973" t="s">
        <v>302</v>
      </c>
      <c r="AR48" s="699">
        <f t="shared" ca="1" si="13"/>
        <v>2886.1291025390624</v>
      </c>
      <c r="AS48" s="699">
        <f t="shared" ca="1" si="22"/>
        <v>-98.81320019531222</v>
      </c>
    </row>
    <row r="49" spans="1:45" s="591" customFormat="1" x14ac:dyDescent="0.25">
      <c r="A49" s="592">
        <v>41617</v>
      </c>
      <c r="B49" s="595">
        <f ca="1">IF(ISERROR(MATCH(B$1,INDIRECT("Table!A"&amp;$AN49):INDIRECT("Table!" &amp; $AQ$108 &amp; $AN49),0)),"",INDIRECT(CONCATENATE("Table!",ADDRESS($AJ49,MATCH(B$1,INDIRECT("Table!A" &amp; $AN49):INDIRECT("Table!" &amp; $AQ$108 &amp; $AN49),0))))/1024)</f>
        <v>182.216677734375</v>
      </c>
      <c r="C49" s="595">
        <f ca="1">IF(ISERROR(MATCH(C$1,INDIRECT("Table!A"&amp;$AN49):INDIRECT("Table!" &amp; $AQ$108 &amp; $AN49),0)),"",INDIRECT(CONCATENATE("Table!",ADDRESS($AJ49,MATCH(C$1,INDIRECT("Table!A" &amp; $AN49):INDIRECT("Table!" &amp; $AQ$108 &amp; $AN49),0))))/1024)</f>
        <v>94.335161132812502</v>
      </c>
      <c r="D49" s="595">
        <f ca="1">IF(ISERROR(MATCH(D$1,INDIRECT("Table!A"&amp;$AN49):INDIRECT("Table!" &amp; $AQ$108 &amp; $AN49),0)),"",INDIRECT(CONCATENATE("Table!",ADDRESS($AJ49,MATCH(D$1,INDIRECT("Table!A" &amp; $AN49):INDIRECT("Table!" &amp; $AQ$108 &amp; $AN49),0))))/1024)</f>
        <v>95.322963867187497</v>
      </c>
      <c r="E49" s="595">
        <f ca="1">IF(ISERROR(MATCH(E$1,INDIRECT("Table!A"&amp;$AN49):INDIRECT("Table!" &amp; $AQ$108 &amp; $AN49),0)),"",INDIRECT(CONCATENATE("Table!",ADDRESS($AJ49,MATCH(E$1,INDIRECT("Table!A" &amp; $AN49):INDIRECT("Table!" &amp; $AQ$108 &amp; $AN49),0))))/1024)</f>
        <v>274.18111230468747</v>
      </c>
      <c r="F49" s="595">
        <f ca="1">IF(ISERROR(MATCH(F$1,INDIRECT("Table!A"&amp;$AN49):INDIRECT("Table!" &amp; $AQ$108 &amp; $AN49),0)),"",INDIRECT(CONCATENATE("Table!",ADDRESS($AJ49,MATCH(F$1,INDIRECT("Table!A" &amp; $AN49):INDIRECT("Table!" &amp; $AQ$108 &amp; $AN49),0))))/1024)</f>
        <v>251.42872265624999</v>
      </c>
      <c r="G49" s="595">
        <f ca="1">IF(ISERROR(MATCH(G$1,INDIRECT("Table!A"&amp;$AN49):INDIRECT("Table!" &amp; $AQ$108 &amp; $AN49),0)),"",INDIRECT(CONCATENATE("Table!",ADDRESS($AJ49,MATCH(G$1,INDIRECT("Table!A" &amp; $AN49):INDIRECT("Table!" &amp; $AQ$108 &amp; $AN49),0))))/1024)</f>
        <v>449.84536523437498</v>
      </c>
      <c r="H49" s="595">
        <f ca="1">IF(ISERROR(MATCH(H$1,INDIRECT("Table!A"&amp;$AN49):INDIRECT("Table!" &amp; $AQ$108 &amp; $AN49),0)),"",INDIRECT(CONCATENATE("Table!",ADDRESS($AJ49,MATCH(H$1,INDIRECT("Table!A" &amp; $AN49):INDIRECT("Table!" &amp; $AQ$108 &amp; $AN49),0))))/1024)</f>
        <v>161.6374541015625</v>
      </c>
      <c r="I49" s="595">
        <f ca="1">IF(ISERROR(MATCH(I$1,INDIRECT("Table!A"&amp;$AN49):INDIRECT("Table!" &amp; $AQ$85 &amp; $AN49),0)),"",INDIRECT(CONCATENATE("Table!",ADDRESS($AJ49,MATCH(I$1,INDIRECT("Table!A" &amp; $AN49):INDIRECT("Table!" &amp; $AQ$85 &amp; $AN49),0))))/1024)</f>
        <v>21.369465820312499</v>
      </c>
      <c r="J49" s="595">
        <f ca="1">IF(ISERROR(MATCH(J$1,INDIRECT("Table!A"&amp;$AN49):INDIRECT("Table!" &amp; $AQ$85 &amp; $AN49),0)),"",INDIRECT(CONCATENATE("Table!",ADDRESS($AJ49,MATCH(J$1,INDIRECT("Table!A" &amp; $AN49):INDIRECT("Table!" &amp; $AQ$85 &amp; $AN49),0))))/1024)</f>
        <v>98.846126953124994</v>
      </c>
      <c r="K49" s="595">
        <f ca="1">IF(ISERROR(MATCH(K$1,INDIRECT("Table!A"&amp;$AN49):INDIRECT("Table!" &amp; $AQ$85 &amp; $AN49),0)),"",INDIRECT(CONCATENATE("Table!",ADDRESS($AJ49,MATCH(K$1,INDIRECT("Table!A" &amp; $AN49):INDIRECT("Table!" &amp; $AQ$85 &amp; $AN49),0))))/1024)</f>
        <v>69.738873046875</v>
      </c>
      <c r="L49" s="595">
        <f ca="1">IF(ISERROR(MATCH(L$1,INDIRECT("Table!A"&amp;$AN49):INDIRECT("Table!" &amp; $AQ$85 &amp; $AN49),0)),"",INDIRECT(CONCATENATE("Table!",ADDRESS($AJ49,MATCH(L$1,INDIRECT("Table!A" &amp; $AN49):INDIRECT("Table!" &amp; $AQ$85 &amp; $AN49),0))))/1024)</f>
        <v>274.54330664062496</v>
      </c>
      <c r="M49" s="595">
        <f ca="1">IF(ISERROR(MATCH(M$1,INDIRECT("Table!A"&amp;$AN49):INDIRECT("Table!" &amp; $AQ$85 &amp; $AN49),0)),"",INDIRECT(CONCATENATE("Table!",ADDRESS($AJ49,MATCH(M$1,INDIRECT("Table!A" &amp; $AN49):INDIRECT("Table!" &amp; $AQ$85 &amp; $AN49),0))))/1024)</f>
        <v>360.11995019531247</v>
      </c>
      <c r="N49" s="595">
        <f ca="1">IF(ISERROR(MATCH(N$1,INDIRECT("Table!A"&amp;$AN49):INDIRECT("Table!" &amp; $AQ$85 &amp; $AN49),0)),"",INDIRECT(CONCATENATE("Table!",ADDRESS($AJ49,MATCH(N$1,INDIRECT("Table!A" &amp; $AN49):INDIRECT("Table!" &amp; $AQ$85 &amp; $AN49),0))))/1024)</f>
        <v>130.5545947265625</v>
      </c>
      <c r="O49" s="595">
        <f ca="1">IF(ISERROR(MATCH(O$1,INDIRECT("Table!A"&amp;$AN49):INDIRECT("Table!" &amp; $AQ$85 &amp; $AN49),0)),"",INDIRECT(CONCATENATE("Table!",ADDRESS($AJ49,MATCH(O$1,INDIRECT("Table!A" &amp; $AN49):INDIRECT("Table!" &amp; $AQ$85 &amp; $AN49),0))))/1024)</f>
        <v>275.69574316406249</v>
      </c>
      <c r="P49" s="595">
        <f ca="1">IF(ISERROR(MATCH(P$1,INDIRECT("Table!A"&amp;$AN49):INDIRECT("Table!" &amp; $AQ$85 &amp; $AN49),0)),"",INDIRECT(CONCATENATE("Table!",ADDRESS($AJ49,MATCH(P$1,INDIRECT("Table!A" &amp; $AN49):INDIRECT("Table!" &amp; $AQ$85 &amp; $AN49),0))))/1024)</f>
        <v>36.120653320312499</v>
      </c>
      <c r="Q49" s="595">
        <f ca="1">IF(ISERROR(MATCH(Q$1,INDIRECT("Table!A"&amp;$AN49):INDIRECT("Table!" &amp; $AQ$85 &amp; $AN49),0)),"",INDIRECT(CONCATENATE("Table!",ADDRESS($AJ49,MATCH(Q$1,INDIRECT("Table!A" &amp; $AN49):INDIRECT("Table!" &amp; $AQ$85 &amp; $AN49),0))))/1024)</f>
        <v>102.6327041015625</v>
      </c>
      <c r="R49" s="595">
        <f ca="1">IF(ISERROR(MATCH(R$1,INDIRECT("Table!A"&amp;$AN49):INDIRECT("Table!" &amp; $AQ$85 &amp; $AN49),0)),"",INDIRECT(CONCATENATE("Table!",ADDRESS($AJ49,MATCH(R$1,INDIRECT("Table!A" &amp; $AN49):INDIRECT("Table!" &amp; $AQ$85 &amp; $AN49),0))))/1024)</f>
        <v>72.932768554687499</v>
      </c>
      <c r="S49" s="595">
        <v>0</v>
      </c>
      <c r="T49" s="595">
        <f ca="1">IF(ISERROR(MATCH(T$1,INDIRECT("Table!A"&amp;$AN49):INDIRECT("Table!" &amp; $AQ$85 &amp; $AN49),0)),"",INDIRECT(CONCATENATE("Table!",ADDRESS($AJ49,MATCH(T$1,INDIRECT("Table!A" &amp; $AN49):INDIRECT("Table!" &amp; $AQ$85 &amp; $AN49),0))))/1024)</f>
        <v>33.420659179687497</v>
      </c>
      <c r="U49" s="595" t="str">
        <f ca="1">IF(ISERROR(MATCH(U$1,INDIRECT("Table!A"&amp;$AN49):INDIRECT("Table!" &amp; $AQ$85 &amp; $AN49),0)),"",INDIRECT(CONCATENATE("Table!",ADDRESS($AJ49,MATCH(U$1,INDIRECT("Table!A" &amp; $AN49):INDIRECT("Table!" &amp; $AQ$85 &amp; $AN49),0))))/1024)</f>
        <v/>
      </c>
      <c r="V49" s="595"/>
      <c r="W49" s="595"/>
      <c r="X49" s="595"/>
      <c r="Y49" s="595"/>
      <c r="Z49" s="595"/>
      <c r="AA49" s="595"/>
      <c r="AB49" s="595"/>
      <c r="AC49" s="595"/>
      <c r="AD49" s="595"/>
      <c r="AE49" s="595"/>
      <c r="AF49" s="595"/>
      <c r="AG49" s="595"/>
      <c r="AH49" s="595"/>
      <c r="AI49" s="595"/>
      <c r="AJ49" s="595">
        <f>MATCH($A49,Table!$A:$A,0)+$AL$2-1</f>
        <v>695</v>
      </c>
      <c r="AK49" s="593"/>
      <c r="AL49" s="593"/>
      <c r="AM49" s="593"/>
      <c r="AN49" s="595">
        <f>MATCH($A49,Table!$A:$A,0)+$AP$2-1</f>
        <v>687</v>
      </c>
      <c r="AO49" s="593"/>
      <c r="AP49" s="593"/>
      <c r="AQ49" s="973" t="s">
        <v>302</v>
      </c>
      <c r="AR49" s="699">
        <f t="shared" ca="1" si="13"/>
        <v>2984.9423027343746</v>
      </c>
      <c r="AS49" s="699">
        <f t="shared" ca="1" si="22"/>
        <v>11.096317382812231</v>
      </c>
    </row>
    <row r="50" spans="1:45" s="591" customFormat="1" x14ac:dyDescent="0.25">
      <c r="A50" s="592">
        <v>41610</v>
      </c>
      <c r="B50" s="595">
        <f ca="1">IF(ISERROR(MATCH(B$1,INDIRECT("Table!A"&amp;$AN50):INDIRECT("Table!" &amp; $AQ$108 &amp; $AN50),0)),"",INDIRECT(CONCATENATE("Table!",ADDRESS($AJ50,MATCH(B$1,INDIRECT("Table!A" &amp; $AN50):INDIRECT("Table!" &amp; $AQ$108 &amp; $AN50),0))))/1024)</f>
        <v>184.65325781249999</v>
      </c>
      <c r="C50" s="595">
        <f ca="1">IF(ISERROR(MATCH(C$1,INDIRECT("Table!A"&amp;$AN50):INDIRECT("Table!" &amp; $AQ$108 &amp; $AN50),0)),"",INDIRECT(CONCATENATE("Table!",ADDRESS($AJ50,MATCH(C$1,INDIRECT("Table!A" &amp; $AN50):INDIRECT("Table!" &amp; $AQ$108 &amp; $AN50),0))))/1024)</f>
        <v>94.335161132812502</v>
      </c>
      <c r="D50" s="595">
        <f ca="1">IF(ISERROR(MATCH(D$1,INDIRECT("Table!A"&amp;$AN50):INDIRECT("Table!" &amp; $AQ$108 &amp; $AN50),0)),"",INDIRECT(CONCATENATE("Table!",ADDRESS($AJ50,MATCH(D$1,INDIRECT("Table!A" &amp; $AN50):INDIRECT("Table!" &amp; $AQ$108 &amp; $AN50),0))))/1024)</f>
        <v>95.322963867187497</v>
      </c>
      <c r="E50" s="595">
        <f ca="1">IF(ISERROR(MATCH(E$1,INDIRECT("Table!A"&amp;$AN50):INDIRECT("Table!" &amp; $AQ$108 &amp; $AN50),0)),"",INDIRECT(CONCATENATE("Table!",ADDRESS($AJ50,MATCH(E$1,INDIRECT("Table!A" &amp; $AN50):INDIRECT("Table!" &amp; $AQ$108 &amp; $AN50),0))))/1024)</f>
        <v>274.18111230468747</v>
      </c>
      <c r="F50" s="595">
        <f ca="1">IF(ISERROR(MATCH(F$1,INDIRECT("Table!A"&amp;$AN50):INDIRECT("Table!" &amp; $AQ$108 &amp; $AN50),0)),"",INDIRECT(CONCATENATE("Table!",ADDRESS($AJ50,MATCH(F$1,INDIRECT("Table!A" &amp; $AN50):INDIRECT("Table!" &amp; $AQ$108 &amp; $AN50),0))))/1024)</f>
        <v>251.42872265624999</v>
      </c>
      <c r="G50" s="595">
        <f ca="1">IF(ISERROR(MATCH(G$1,INDIRECT("Table!A"&amp;$AN50):INDIRECT("Table!" &amp; $AQ$108 &amp; $AN50),0)),"",INDIRECT(CONCATENATE("Table!",ADDRESS($AJ50,MATCH(G$1,INDIRECT("Table!A" &amp; $AN50):INDIRECT("Table!" &amp; $AQ$108 &amp; $AN50),0))))/1024)</f>
        <v>449.84536523437498</v>
      </c>
      <c r="H50" s="595">
        <f ca="1">IF(ISERROR(MATCH(H$1,INDIRECT("Table!A"&amp;$AN50):INDIRECT("Table!" &amp; $AQ$108 &amp; $AN50),0)),"",INDIRECT(CONCATENATE("Table!",ADDRESS($AJ50,MATCH(H$1,INDIRECT("Table!A" &amp; $AN50):INDIRECT("Table!" &amp; $AQ$108 &amp; $AN50),0))))/1024)</f>
        <v>161.6374541015625</v>
      </c>
      <c r="I50" s="595">
        <f ca="1">IF(ISERROR(MATCH(I$1,INDIRECT("Table!A"&amp;$AN50):INDIRECT("Table!" &amp; $AQ$85 &amp; $AN50),0)),"",INDIRECT(CONCATENATE("Table!",ADDRESS($AJ50,MATCH(I$1,INDIRECT("Table!A" &amp; $AN50):INDIRECT("Table!" &amp; $AQ$85 &amp; $AN50),0))))/1024)</f>
        <v>21.369465820312499</v>
      </c>
      <c r="J50" s="595">
        <f ca="1">IF(ISERROR(MATCH(J$1,INDIRECT("Table!A"&amp;$AN50):INDIRECT("Table!" &amp; $AQ$85 &amp; $AN50),0)),"",INDIRECT(CONCATENATE("Table!",ADDRESS($AJ50,MATCH(J$1,INDIRECT("Table!A" &amp; $AN50):INDIRECT("Table!" &amp; $AQ$85 &amp; $AN50),0))))/1024)</f>
        <v>98.846126953124994</v>
      </c>
      <c r="K50" s="595">
        <f ca="1">IF(ISERROR(MATCH(K$1,INDIRECT("Table!A"&amp;$AN50):INDIRECT("Table!" &amp; $AQ$85 &amp; $AN50),0)),"",INDIRECT(CONCATENATE("Table!",ADDRESS($AJ50,MATCH(K$1,INDIRECT("Table!A" &amp; $AN50):INDIRECT("Table!" &amp; $AQ$85 &amp; $AN50),0))))/1024)</f>
        <v>67.697414062500002</v>
      </c>
      <c r="L50" s="595">
        <f ca="1">IF(ISERROR(MATCH(L$1,INDIRECT("Table!A"&amp;$AN50):INDIRECT("Table!" &amp; $AQ$85 &amp; $AN50),0)),"",INDIRECT(CONCATENATE("Table!",ADDRESS($AJ50,MATCH(L$1,INDIRECT("Table!A" &amp; $AN50):INDIRECT("Table!" &amp; $AQ$85 &amp; $AN50),0))))/1024)</f>
        <v>274.87257421875</v>
      </c>
      <c r="M50" s="595">
        <f ca="1">IF(ISERROR(MATCH(M$1,INDIRECT("Table!A"&amp;$AN50):INDIRECT("Table!" &amp; $AQ$85 &amp; $AN50),0)),"",INDIRECT(CONCATENATE("Table!",ADDRESS($AJ50,MATCH(M$1,INDIRECT("Table!A" &amp; $AN50):INDIRECT("Table!" &amp; $AQ$85 &amp; $AN50),0))))/1024)</f>
        <v>360.11995019531247</v>
      </c>
      <c r="N50" s="595">
        <f ca="1">IF(ISERROR(MATCH(N$1,INDIRECT("Table!A"&amp;$AN50):INDIRECT("Table!" &amp; $AQ$85 &amp; $AN50),0)),"",INDIRECT(CONCATENATE("Table!",ADDRESS($AJ50,MATCH(N$1,INDIRECT("Table!A" &amp; $AN50):INDIRECT("Table!" &amp; $AQ$85 &amp; $AN50),0))))/1024)</f>
        <v>130.5545947265625</v>
      </c>
      <c r="O50" s="595">
        <f ca="1">IF(ISERROR(MATCH(O$1,INDIRECT("Table!A"&amp;$AN50):INDIRECT("Table!" &amp; $AQ$85 &amp; $AN50),0)),"",INDIRECT(CONCATENATE("Table!",ADDRESS($AJ50,MATCH(O$1,INDIRECT("Table!A" &amp; $AN50):INDIRECT("Table!" &amp; $AQ$85 &amp; $AN50),0))))/1024)</f>
        <v>275.69574316406249</v>
      </c>
      <c r="P50" s="595">
        <f ca="1">IF(ISERROR(MATCH(P$1,INDIRECT("Table!A"&amp;$AN50):INDIRECT("Table!" &amp; $AQ$85 &amp; $AN50),0)),"",INDIRECT(CONCATENATE("Table!",ADDRESS($AJ50,MATCH(P$1,INDIRECT("Table!A" &amp; $AN50):INDIRECT("Table!" &amp; $AQ$85 &amp; $AN50),0))))/1024)</f>
        <v>36.120653320312499</v>
      </c>
      <c r="Q50" s="595">
        <f ca="1">IF(ISERROR(MATCH(Q$1,INDIRECT("Table!A"&amp;$AN50):INDIRECT("Table!" &amp; $AQ$85 &amp; $AN50),0)),"",INDIRECT(CONCATENATE("Table!",ADDRESS($AJ50,MATCH(Q$1,INDIRECT("Table!A" &amp; $AN50):INDIRECT("Table!" &amp; $AQ$85 &amp; $AN50),0))))/1024)</f>
        <v>99.768076171874995</v>
      </c>
      <c r="R50" s="595">
        <f ca="1">IF(ISERROR(MATCH(R$1,INDIRECT("Table!A"&amp;$AN50):INDIRECT("Table!" &amp; $AQ$85 &amp; $AN50),0)),"",INDIRECT(CONCATENATE("Table!",ADDRESS($AJ50,MATCH(R$1,INDIRECT("Table!A" &amp; $AN50):INDIRECT("Table!" &amp; $AQ$85 &amp; $AN50),0))))/1024)</f>
        <v>65.326687499999991</v>
      </c>
      <c r="S50" s="595">
        <v>0</v>
      </c>
      <c r="T50" s="595">
        <f ca="1">IF(ISERROR(MATCH(T$1,INDIRECT("Table!A"&amp;$AN50):INDIRECT("Table!" &amp; $AQ$85 &amp; $AN50),0)),"",INDIRECT(CONCATENATE("Table!",ADDRESS($AJ50,MATCH(T$1,INDIRECT("Table!A" &amp; $AN50):INDIRECT("Table!" &amp; $AQ$85 &amp; $AN50),0))))/1024)</f>
        <v>32.070662109375</v>
      </c>
      <c r="U50" s="595" t="str">
        <f ca="1">IF(ISERROR(MATCH(U$1,INDIRECT("Table!A"&amp;$AN50):INDIRECT("Table!" &amp; $AQ$85 &amp; $AN50),0)),"",INDIRECT(CONCATENATE("Table!",ADDRESS($AJ50,MATCH(U$1,INDIRECT("Table!A" &amp; $AN50):INDIRECT("Table!" &amp; $AQ$85 &amp; $AN50),0))))/1024)</f>
        <v/>
      </c>
      <c r="V50" s="595"/>
      <c r="W50" s="595"/>
      <c r="X50" s="595"/>
      <c r="Y50" s="595"/>
      <c r="Z50" s="595"/>
      <c r="AA50" s="595"/>
      <c r="AB50" s="595"/>
      <c r="AC50" s="595"/>
      <c r="AD50" s="595"/>
      <c r="AE50" s="595"/>
      <c r="AF50" s="595"/>
      <c r="AG50" s="595"/>
      <c r="AH50" s="595"/>
      <c r="AI50" s="595"/>
      <c r="AJ50" s="595">
        <f>MATCH($A50,Table!$A:$A,0)+$AL$2-1</f>
        <v>707</v>
      </c>
      <c r="AK50" s="593"/>
      <c r="AL50" s="593"/>
      <c r="AM50" s="593"/>
      <c r="AN50" s="595">
        <f>MATCH($A50,Table!$A:$A,0)+$AP$2-1</f>
        <v>699</v>
      </c>
      <c r="AO50" s="593"/>
      <c r="AP50" s="593"/>
      <c r="AQ50" s="973" t="s">
        <v>302</v>
      </c>
      <c r="AR50" s="699">
        <f t="shared" ca="1" si="13"/>
        <v>2973.8459853515624</v>
      </c>
      <c r="AS50" s="699">
        <f t="shared" ca="1" si="22"/>
        <v>59.46572460937432</v>
      </c>
    </row>
    <row r="51" spans="1:45" s="591" customFormat="1" x14ac:dyDescent="0.25">
      <c r="A51" s="592">
        <v>41603</v>
      </c>
      <c r="B51" s="595">
        <f ca="1">IF(ISERROR(MATCH(B$1,INDIRECT("Table!A"&amp;$AN51):INDIRECT("Table!" &amp; $AQ$108 &amp; $AN51),0)),"",INDIRECT(CONCATENATE("Table!",ADDRESS($AJ51,MATCH(B$1,INDIRECT("Table!A" &amp; $AN51):INDIRECT("Table!" &amp; $AQ$108 &amp; $AN51),0))))/1024)</f>
        <v>184.35691699218751</v>
      </c>
      <c r="C51" s="595">
        <f ca="1">IF(ISERROR(MATCH(C$1,INDIRECT("Table!A"&amp;$AN51):INDIRECT("Table!" &amp; $AQ$108 &amp; $AN51),0)),"",INDIRECT(CONCATENATE("Table!",ADDRESS($AJ51,MATCH(C$1,INDIRECT("Table!A" &amp; $AN51):INDIRECT("Table!" &amp; $AQ$108 &amp; $AN51),0))))/1024)</f>
        <v>94.335161132812502</v>
      </c>
      <c r="D51" s="595">
        <f ca="1">IF(ISERROR(MATCH(D$1,INDIRECT("Table!A"&amp;$AN51):INDIRECT("Table!" &amp; $AQ$108 &amp; $AN51),0)),"",INDIRECT(CONCATENATE("Table!",ADDRESS($AJ51,MATCH(D$1,INDIRECT("Table!A" &amp; $AN51):INDIRECT("Table!" &amp; $AQ$108 &amp; $AN51),0))))/1024)</f>
        <v>95.322963867187497</v>
      </c>
      <c r="E51" s="595">
        <f ca="1">IF(ISERROR(MATCH(E$1,INDIRECT("Table!A"&amp;$AN51):INDIRECT("Table!" &amp; $AQ$108 &amp; $AN51),0)),"",INDIRECT(CONCATENATE("Table!",ADDRESS($AJ51,MATCH(E$1,INDIRECT("Table!A" &amp; $AN51):INDIRECT("Table!" &amp; $AQ$108 &amp; $AN51),0))))/1024)</f>
        <v>274.18111230468747</v>
      </c>
      <c r="F51" s="595">
        <f ca="1">IF(ISERROR(MATCH(F$1,INDIRECT("Table!A"&amp;$AN51):INDIRECT("Table!" &amp; $AQ$108 &amp; $AN51),0)),"",INDIRECT(CONCATENATE("Table!",ADDRESS($AJ51,MATCH(F$1,INDIRECT("Table!A" &amp; $AN51):INDIRECT("Table!" &amp; $AQ$108 &amp; $AN51),0))))/1024)</f>
        <v>251.42872265624999</v>
      </c>
      <c r="G51" s="595">
        <f ca="1">IF(ISERROR(MATCH(G$1,INDIRECT("Table!A"&amp;$AN51):INDIRECT("Table!" &amp; $AQ$108 &amp; $AN51),0)),"",INDIRECT(CONCATENATE("Table!",ADDRESS($AJ51,MATCH(G$1,INDIRECT("Table!A" &amp; $AN51):INDIRECT("Table!" &amp; $AQ$108 &amp; $AN51),0))))/1024)</f>
        <v>449.84536523437498</v>
      </c>
      <c r="H51" s="595">
        <f ca="1">IF(ISERROR(MATCH(H$1,INDIRECT("Table!A"&amp;$AN51):INDIRECT("Table!" &amp; $AQ$108 &amp; $AN51),0)),"",INDIRECT(CONCATENATE("Table!",ADDRESS($AJ51,MATCH(H$1,INDIRECT("Table!A" &amp; $AN51):INDIRECT("Table!" &amp; $AQ$108 &amp; $AN51),0))))/1024)</f>
        <v>161.6374541015625</v>
      </c>
      <c r="I51" s="595">
        <f ca="1">IF(ISERROR(MATCH(I$1,INDIRECT("Table!A"&amp;$AN51):INDIRECT("Table!" &amp; $AQ$85 &amp; $AN51),0)),"",INDIRECT(CONCATENATE("Table!",ADDRESS($AJ51,MATCH(I$1,INDIRECT("Table!A" &amp; $AN51):INDIRECT("Table!" &amp; $AQ$85 &amp; $AN51),0))))/1024)</f>
        <v>19.459713867187499</v>
      </c>
      <c r="J51" s="595">
        <f ca="1">IF(ISERROR(MATCH(J$1,INDIRECT("Table!A"&amp;$AN51):INDIRECT("Table!" &amp; $AQ$85 &amp; $AN51),0)),"",INDIRECT(CONCATENATE("Table!",ADDRESS($AJ51,MATCH(J$1,INDIRECT("Table!A" &amp; $AN51):INDIRECT("Table!" &amp; $AQ$85 &amp; $AN51),0))))/1024)</f>
        <v>98.58271289062499</v>
      </c>
      <c r="K51" s="595">
        <f ca="1">IF(ISERROR(MATCH(K$1,INDIRECT("Table!A"&amp;$AN51):INDIRECT("Table!" &amp; $AQ$85 &amp; $AN51),0)),"",INDIRECT(CONCATENATE("Table!",ADDRESS($AJ51,MATCH(K$1,INDIRECT("Table!A" &amp; $AN51):INDIRECT("Table!" &amp; $AQ$85 &amp; $AN51),0))))/1024)</f>
        <v>57.753533203124995</v>
      </c>
      <c r="L51" s="595">
        <f ca="1">IF(ISERROR(MATCH(L$1,INDIRECT("Table!A"&amp;$AN51):INDIRECT("Table!" &amp; $AQ$85 &amp; $AN51),0)),"",INDIRECT(CONCATENATE("Table!",ADDRESS($AJ51,MATCH(L$1,INDIRECT("Table!A" &amp; $AN51):INDIRECT("Table!" &amp; $AQ$85 &amp; $AN51),0))))/1024)</f>
        <v>274.87257421875</v>
      </c>
      <c r="M51" s="595">
        <f ca="1">IF(ISERROR(MATCH(M$1,INDIRECT("Table!A"&amp;$AN51):INDIRECT("Table!" &amp; $AQ$85 &amp; $AN51),0)),"",INDIRECT(CONCATENATE("Table!",ADDRESS($AJ51,MATCH(M$1,INDIRECT("Table!A" &amp; $AN51):INDIRECT("Table!" &amp; $AQ$85 &amp; $AN51),0))))/1024)</f>
        <v>360.11995019531247</v>
      </c>
      <c r="N51" s="595">
        <f ca="1">IF(ISERROR(MATCH(N$1,INDIRECT("Table!A"&amp;$AN51):INDIRECT("Table!" &amp; $AQ$85 &amp; $AN51),0)),"",INDIRECT(CONCATENATE("Table!",ADDRESS($AJ51,MATCH(N$1,INDIRECT("Table!A" &amp; $AN51):INDIRECT("Table!" &amp; $AQ$85 &amp; $AN51),0))))/1024)</f>
        <v>130.5545947265625</v>
      </c>
      <c r="O51" s="595">
        <f ca="1">IF(ISERROR(MATCH(O$1,INDIRECT("Table!A"&amp;$AN51):INDIRECT("Table!" &amp; $AQ$85 &amp; $AN51),0)),"",INDIRECT(CONCATENATE("Table!",ADDRESS($AJ51,MATCH(O$1,INDIRECT("Table!A" &amp; $AN51):INDIRECT("Table!" &amp; $AQ$85 &amp; $AN51),0))))/1024)</f>
        <v>275.69574316406249</v>
      </c>
      <c r="P51" s="595">
        <f ca="1">IF(ISERROR(MATCH(P$1,INDIRECT("Table!A"&amp;$AN51):INDIRECT("Table!" &amp; $AQ$85 &amp; $AN51),0)),"",INDIRECT(CONCATENATE("Table!",ADDRESS($AJ51,MATCH(P$1,INDIRECT("Table!A" &amp; $AN51):INDIRECT("Table!" &amp; $AQ$85 &amp; $AN51),0))))/1024)</f>
        <v>34.210901367187496</v>
      </c>
      <c r="Q51" s="595">
        <f ca="1">IF(ISERROR(MATCH(Q$1,INDIRECT("Table!A"&amp;$AN51):INDIRECT("Table!" &amp; $AQ$85 &amp; $AN51),0)),"",INDIRECT(CONCATENATE("Table!",ADDRESS($AJ51,MATCH(Q$1,INDIRECT("Table!A" &amp; $AN51):INDIRECT("Table!" &amp; $AQ$85 &amp; $AN51),0))))/1024)</f>
        <v>99.504662109374991</v>
      </c>
      <c r="R51" s="595">
        <f ca="1">IF(ISERROR(MATCH(R$1,INDIRECT("Table!A"&amp;$AN51):INDIRECT("Table!" &amp; $AQ$85 &amp; $AN51),0)),"",INDIRECT(CONCATENATE("Table!",ADDRESS($AJ51,MATCH(R$1,INDIRECT("Table!A" &amp; $AN51):INDIRECT("Table!" &amp; $AQ$85 &amp; $AN51),0))))/1024)</f>
        <v>20.447516601562498</v>
      </c>
      <c r="S51" s="595">
        <v>0</v>
      </c>
      <c r="T51" s="595">
        <f ca="1">IF(ISERROR(MATCH(T$1,INDIRECT("Table!A"&amp;$AN51):INDIRECT("Table!" &amp; $AQ$85 &amp; $AN51),0)),"",INDIRECT(CONCATENATE("Table!",ADDRESS($AJ51,MATCH(T$1,INDIRECT("Table!A" &amp; $AN51):INDIRECT("Table!" &amp; $AQ$85 &amp; $AN51),0))))/1024)</f>
        <v>32.070662109375</v>
      </c>
      <c r="U51" s="595" t="str">
        <f ca="1">IF(ISERROR(MATCH(U$1,INDIRECT("Table!A"&amp;$AN51):INDIRECT("Table!" &amp; $AQ$85 &amp; $AN51),0)),"",INDIRECT(CONCATENATE("Table!",ADDRESS($AJ51,MATCH(U$1,INDIRECT("Table!A" &amp; $AN51):INDIRECT("Table!" &amp; $AQ$85 &amp; $AN51),0))))/1024)</f>
        <v/>
      </c>
      <c r="V51" s="595"/>
      <c r="W51" s="595"/>
      <c r="X51" s="595"/>
      <c r="Y51" s="595"/>
      <c r="Z51" s="595"/>
      <c r="AA51" s="595"/>
      <c r="AB51" s="595"/>
      <c r="AC51" s="595"/>
      <c r="AD51" s="595"/>
      <c r="AE51" s="595"/>
      <c r="AF51" s="595"/>
      <c r="AG51" s="595"/>
      <c r="AH51" s="595"/>
      <c r="AI51" s="595"/>
      <c r="AJ51" s="595">
        <f>MATCH($A51,Table!$A:$A,0)+$AL$2-1</f>
        <v>719</v>
      </c>
      <c r="AK51" s="593"/>
      <c r="AL51" s="593"/>
      <c r="AM51" s="593"/>
      <c r="AN51" s="595">
        <f>MATCH($A51,Table!$A:$A,0)+$AP$2-1</f>
        <v>711</v>
      </c>
      <c r="AO51" s="593"/>
      <c r="AP51" s="593"/>
      <c r="AQ51" s="973" t="s">
        <v>302</v>
      </c>
      <c r="AR51" s="699">
        <f t="shared" ca="1" si="13"/>
        <v>2914.3802607421881</v>
      </c>
      <c r="AS51" s="699">
        <f t="shared" ca="1" si="22"/>
        <v>-81.72421289062504</v>
      </c>
    </row>
    <row r="52" spans="1:45" s="591" customFormat="1" x14ac:dyDescent="0.25">
      <c r="A52" s="592">
        <v>41596</v>
      </c>
      <c r="B52" s="595">
        <f ca="1">IF(ISERROR(MATCH(B$1,INDIRECT("Table!A"&amp;$AN52):INDIRECT("Table!" &amp; $AQ$108 &amp; $AN52),0)),"",INDIRECT(CONCATENATE("Table!",ADDRESS($AJ52,MATCH(B$1,INDIRECT("Table!A" &amp; $AN52):INDIRECT("Table!" &amp; $AQ$108 &amp; $AN52),0))))/1024)</f>
        <v>184.35691699218751</v>
      </c>
      <c r="C52" s="595">
        <f ca="1">IF(ISERROR(MATCH(C$1,INDIRECT("Table!A"&amp;$AN52):INDIRECT("Table!" &amp; $AQ$108 &amp; $AN52),0)),"",INDIRECT(CONCATENATE("Table!",ADDRESS($AJ52,MATCH(C$1,INDIRECT("Table!A" &amp; $AN52):INDIRECT("Table!" &amp; $AQ$108 &amp; $AN52),0))))/1024)</f>
        <v>94.335161132812502</v>
      </c>
      <c r="D52" s="595">
        <f ca="1">IF(ISERROR(MATCH(D$1,INDIRECT("Table!A"&amp;$AN52):INDIRECT("Table!" &amp; $AQ$108 &amp; $AN52),0)),"",INDIRECT(CONCATENATE("Table!",ADDRESS($AJ52,MATCH(D$1,INDIRECT("Table!A" &amp; $AN52):INDIRECT("Table!" &amp; $AQ$108 &amp; $AN52),0))))/1024)</f>
        <v>95.322963867187497</v>
      </c>
      <c r="E52" s="595">
        <f ca="1">IF(ISERROR(MATCH(E$1,INDIRECT("Table!A"&amp;$AN52):INDIRECT("Table!" &amp; $AQ$108 &amp; $AN52),0)),"",INDIRECT(CONCATENATE("Table!",ADDRESS($AJ52,MATCH(E$1,INDIRECT("Table!A" &amp; $AN52):INDIRECT("Table!" &amp; $AQ$108 &amp; $AN52),0))))/1024)</f>
        <v>274.18111230468747</v>
      </c>
      <c r="F52" s="595">
        <f ca="1">IF(ISERROR(MATCH(F$1,INDIRECT("Table!A"&amp;$AN52):INDIRECT("Table!" &amp; $AQ$108 &amp; $AN52),0)),"",INDIRECT(CONCATENATE("Table!",ADDRESS($AJ52,MATCH(F$1,INDIRECT("Table!A" &amp; $AN52):INDIRECT("Table!" &amp; $AQ$108 &amp; $AN52),0))))/1024)</f>
        <v>251.42872265624999</v>
      </c>
      <c r="G52" s="595">
        <f ca="1">IF(ISERROR(MATCH(G$1,INDIRECT("Table!A"&amp;$AN52):INDIRECT("Table!" &amp; $AQ$108 &amp; $AN52),0)),"",INDIRECT(CONCATENATE("Table!",ADDRESS($AJ52,MATCH(G$1,INDIRECT("Table!A" &amp; $AN52):INDIRECT("Table!" &amp; $AQ$108 &amp; $AN52),0))))/1024)</f>
        <v>449.84536523437498</v>
      </c>
      <c r="H52" s="595">
        <f ca="1">IF(ISERROR(MATCH(H$1,INDIRECT("Table!A"&amp;$AN52):INDIRECT("Table!" &amp; $AQ$108 &amp; $AN52),0)),"",INDIRECT(CONCATENATE("Table!",ADDRESS($AJ52,MATCH(H$1,INDIRECT("Table!A" &amp; $AN52):INDIRECT("Table!" &amp; $AQ$108 &amp; $AN52),0))))/1024)</f>
        <v>159.167947265625</v>
      </c>
      <c r="I52" s="595">
        <f ca="1">IF(ISERROR(MATCH(I$1,INDIRECT("Table!A"&amp;$AN52):INDIRECT("Table!" &amp; $AQ$85 &amp; $AN52),0)),"",INDIRECT(CONCATENATE("Table!",ADDRESS($AJ52,MATCH(I$1,INDIRECT("Table!A" &amp; $AN52):INDIRECT("Table!" &amp; $AQ$85 &amp; $AN52),0))))/1024)</f>
        <v>19.328006835937501</v>
      </c>
      <c r="J52" s="595">
        <f ca="1">IF(ISERROR(MATCH(J$1,INDIRECT("Table!A"&amp;$AN52):INDIRECT("Table!" &amp; $AQ$85 &amp; $AN52),0)),"",INDIRECT(CONCATENATE("Table!",ADDRESS($AJ52,MATCH(J$1,INDIRECT("Table!A" &amp; $AN52):INDIRECT("Table!" &amp; $AQ$85 &amp; $AN52),0))))/1024)</f>
        <v>96.343693359374996</v>
      </c>
      <c r="K52" s="595">
        <f ca="1">IF(ISERROR(MATCH(K$1,INDIRECT("Table!A"&amp;$AN52):INDIRECT("Table!" &amp; $AQ$85 &amp; $AN52),0)),"",INDIRECT(CONCATENATE("Table!",ADDRESS($AJ52,MATCH(K$1,INDIRECT("Table!A" &amp; $AN52):INDIRECT("Table!" &amp; $AQ$85 &amp; $AN52),0))))/1024)</f>
        <v>52.024277343750001</v>
      </c>
      <c r="L52" s="595">
        <f ca="1">IF(ISERROR(MATCH(L$1,INDIRECT("Table!A"&amp;$AN52):INDIRECT("Table!" &amp; $AQ$85 &amp; $AN52),0)),"",INDIRECT(CONCATENATE("Table!",ADDRESS($AJ52,MATCH(L$1,INDIRECT("Table!A" &amp; $AN52):INDIRECT("Table!" &amp; $AQ$85 &amp; $AN52),0))))/1024)</f>
        <v>274.54330664062496</v>
      </c>
      <c r="M52" s="595">
        <f ca="1">IF(ISERROR(MATCH(M$1,INDIRECT("Table!A"&amp;$AN52):INDIRECT("Table!" &amp; $AQ$85 &amp; $AN52),0)),"",INDIRECT(CONCATENATE("Table!",ADDRESS($AJ52,MATCH(M$1,INDIRECT("Table!A" &amp; $AN52):INDIRECT("Table!" &amp; $AQ$85 &amp; $AN52),0))))/1024)</f>
        <v>360.11995019531247</v>
      </c>
      <c r="N52" s="595">
        <f ca="1">IF(ISERROR(MATCH(N$1,INDIRECT("Table!A"&amp;$AN52):INDIRECT("Table!" &amp; $AQ$85 &amp; $AN52),0)),"",INDIRECT(CONCATENATE("Table!",ADDRESS($AJ52,MATCH(N$1,INDIRECT("Table!A" &amp; $AN52):INDIRECT("Table!" &amp; $AQ$85 &amp; $AN52),0))))/1024)</f>
        <v>130.5545947265625</v>
      </c>
      <c r="O52" s="595">
        <f ca="1">IF(ISERROR(MATCH(O$1,INDIRECT("Table!A"&amp;$AN52):INDIRECT("Table!" &amp; $AQ$85 &amp; $AN52),0)),"",INDIRECT(CONCATENATE("Table!",ADDRESS($AJ52,MATCH(O$1,INDIRECT("Table!A" &amp; $AN52):INDIRECT("Table!" &amp; $AQ$85 &amp; $AN52),0))))/1024)</f>
        <v>273.22623632812497</v>
      </c>
      <c r="P52" s="595">
        <f ca="1">IF(ISERROR(MATCH(P$1,INDIRECT("Table!A"&amp;$AN52):INDIRECT("Table!" &amp; $AQ$85 &amp; $AN52),0)),"",INDIRECT(CONCATENATE("Table!",ADDRESS($AJ52,MATCH(P$1,INDIRECT("Table!A" &amp; $AN52):INDIRECT("Table!" &amp; $AQ$85 &amp; $AN52),0))))/1024)</f>
        <v>34.079194335937501</v>
      </c>
      <c r="Q52" s="595">
        <f ca="1">IF(ISERROR(MATCH(Q$1,INDIRECT("Table!A"&amp;$AN52):INDIRECT("Table!" &amp; $AQ$85 &amp; $AN52),0)),"",INDIRECT(CONCATENATE("Table!",ADDRESS($AJ52,MATCH(Q$1,INDIRECT("Table!A" &amp; $AN52):INDIRECT("Table!" &amp; $AQ$85 &amp; $AN52),0))))/1024)</f>
        <v>95.948572265625003</v>
      </c>
      <c r="R52" s="595">
        <f ca="1">IF(ISERROR(MATCH(R$1,INDIRECT("Table!A"&amp;$AN52):INDIRECT("Table!" &amp; $AQ$85 &amp; $AN52),0)),"",INDIRECT(CONCATENATE("Table!",ADDRESS($AJ52,MATCH(R$1,INDIRECT("Table!A" &amp; $AN52):INDIRECT("Table!" &amp; $AQ$85 &amp; $AN52),0))))/1024)</f>
        <v>119.2277900390625</v>
      </c>
      <c r="S52" s="595">
        <v>0</v>
      </c>
      <c r="T52" s="595">
        <f ca="1">IF(ISERROR(MATCH(T$1,INDIRECT("Table!A"&amp;$AN52):INDIRECT("Table!" &amp; $AQ$85 &amp; $AN52),0)),"",INDIRECT(CONCATENATE("Table!",ADDRESS($AJ52,MATCH(T$1,INDIRECT("Table!A" &amp; $AN52):INDIRECT("Table!" &amp; $AQ$85 &amp; $AN52),0))))/1024)</f>
        <v>32.070662109375</v>
      </c>
      <c r="U52" s="595" t="str">
        <f ca="1">IF(ISERROR(MATCH(U$1,INDIRECT("Table!A"&amp;$AN52):INDIRECT("Table!" &amp; $AQ$85 &amp; $AN52),0)),"",INDIRECT(CONCATENATE("Table!",ADDRESS($AJ52,MATCH(U$1,INDIRECT("Table!A" &amp; $AN52):INDIRECT("Table!" &amp; $AQ$85 &amp; $AN52),0))))/1024)</f>
        <v/>
      </c>
      <c r="V52" s="595"/>
      <c r="W52" s="595"/>
      <c r="X52" s="595"/>
      <c r="Y52" s="595"/>
      <c r="Z52" s="595"/>
      <c r="AA52" s="595"/>
      <c r="AB52" s="595"/>
      <c r="AC52" s="595"/>
      <c r="AD52" s="595"/>
      <c r="AE52" s="595"/>
      <c r="AF52" s="595"/>
      <c r="AG52" s="595"/>
      <c r="AH52" s="595"/>
      <c r="AI52" s="595"/>
      <c r="AJ52" s="595">
        <f>MATCH($A52,Table!$A:$A,0)+$AL$2-1</f>
        <v>731</v>
      </c>
      <c r="AK52" s="593"/>
      <c r="AL52" s="593"/>
      <c r="AM52" s="593"/>
      <c r="AN52" s="595">
        <f>MATCH($A52,Table!$A:$A,0)+$AP$2-1</f>
        <v>723</v>
      </c>
      <c r="AO52" s="593"/>
      <c r="AP52" s="593"/>
      <c r="AQ52" s="973" t="s">
        <v>302</v>
      </c>
      <c r="AR52" s="699">
        <f t="shared" ca="1" si="13"/>
        <v>2996.1044736328131</v>
      </c>
      <c r="AS52" s="699">
        <f t="shared" ca="1" si="22"/>
        <v>8.7914443359381949</v>
      </c>
    </row>
    <row r="53" spans="1:45" s="591" customFormat="1" x14ac:dyDescent="0.25">
      <c r="A53" s="592">
        <v>41589</v>
      </c>
      <c r="B53" s="595">
        <f ca="1">IF(ISERROR(MATCH(B$1,INDIRECT("Table!A"&amp;$AN53):INDIRECT("Table!" &amp; $AQ$108 &amp; $AN53),0)),"",INDIRECT(CONCATENATE("Table!",ADDRESS($AJ53,MATCH(B$1,INDIRECT("Table!A" &amp; $AN53):INDIRECT("Table!" &amp; $AQ$108 &amp; $AN53),0))))/1024)</f>
        <v>184.35691699218751</v>
      </c>
      <c r="C53" s="595">
        <f ca="1">IF(ISERROR(MATCH(C$1,INDIRECT("Table!A"&amp;$AN53):INDIRECT("Table!" &amp; $AQ$108 &amp; $AN53),0)),"",INDIRECT(CONCATENATE("Table!",ADDRESS($AJ53,MATCH(C$1,INDIRECT("Table!A" &amp; $AN53):INDIRECT("Table!" &amp; $AQ$108 &amp; $AN53),0))))/1024)</f>
        <v>94.335161132812502</v>
      </c>
      <c r="D53" s="595">
        <f ca="1">IF(ISERROR(MATCH(D$1,INDIRECT("Table!A"&amp;$AN53):INDIRECT("Table!" &amp; $AQ$108 &amp; $AN53),0)),"",INDIRECT(CONCATENATE("Table!",ADDRESS($AJ53,MATCH(D$1,INDIRECT("Table!A" &amp; $AN53):INDIRECT("Table!" &amp; $AQ$108 &amp; $AN53),0))))/1024)</f>
        <v>95.322963867187497</v>
      </c>
      <c r="E53" s="595">
        <f ca="1">IF(ISERROR(MATCH(E$1,INDIRECT("Table!A"&amp;$AN53):INDIRECT("Table!" &amp; $AQ$108 &amp; $AN53),0)),"",INDIRECT(CONCATENATE("Table!",ADDRESS($AJ53,MATCH(E$1,INDIRECT("Table!A" &amp; $AN53):INDIRECT("Table!" &amp; $AQ$108 &amp; $AN53),0))))/1024)</f>
        <v>274.18111230468747</v>
      </c>
      <c r="F53" s="595">
        <f ca="1">IF(ISERROR(MATCH(F$1,INDIRECT("Table!A"&amp;$AN53):INDIRECT("Table!" &amp; $AQ$108 &amp; $AN53),0)),"",INDIRECT(CONCATENATE("Table!",ADDRESS($AJ53,MATCH(F$1,INDIRECT("Table!A" &amp; $AN53):INDIRECT("Table!" &amp; $AQ$108 &amp; $AN53),0))))/1024)</f>
        <v>251.42872265624999</v>
      </c>
      <c r="G53" s="595">
        <f ca="1">IF(ISERROR(MATCH(G$1,INDIRECT("Table!A"&amp;$AN53):INDIRECT("Table!" &amp; $AQ$108 &amp; $AN53),0)),"",INDIRECT(CONCATENATE("Table!",ADDRESS($AJ53,MATCH(G$1,INDIRECT("Table!A" &amp; $AN53):INDIRECT("Table!" &amp; $AQ$108 &amp; $AN53),0))))/1024)</f>
        <v>449.84536523437498</v>
      </c>
      <c r="H53" s="595">
        <f ca="1">IF(ISERROR(MATCH(H$1,INDIRECT("Table!A"&amp;$AN53):INDIRECT("Table!" &amp; $AQ$108 &amp; $AN53),0)),"",INDIRECT(CONCATENATE("Table!",ADDRESS($AJ53,MATCH(H$1,INDIRECT("Table!A" &amp; $AN53):INDIRECT("Table!" &amp; $AQ$108 &amp; $AN53),0))))/1024)</f>
        <v>156.665513671875</v>
      </c>
      <c r="I53" s="595">
        <f ca="1">IF(ISERROR(MATCH(I$1,INDIRECT("Table!A"&amp;$AN53):INDIRECT("Table!" &amp; $AQ$85 &amp; $AN53),0)),"",INDIRECT(CONCATENATE("Table!",ADDRESS($AJ53,MATCH(I$1,INDIRECT("Table!A" &amp; $AN53):INDIRECT("Table!" &amp; $AQ$85 &amp; $AN53),0))))/1024)</f>
        <v>19.328006835937501</v>
      </c>
      <c r="J53" s="595">
        <f ca="1">IF(ISERROR(MATCH(J$1,INDIRECT("Table!A"&amp;$AN53):INDIRECT("Table!" &amp; $AQ$85 &amp; $AN53),0)),"",INDIRECT(CONCATENATE("Table!",ADDRESS($AJ53,MATCH(J$1,INDIRECT("Table!A" &amp; $AN53):INDIRECT("Table!" &amp; $AQ$85 &amp; $AN53),0))))/1024)</f>
        <v>95.816865234375001</v>
      </c>
      <c r="K53" s="595">
        <f ca="1">IF(ISERROR(MATCH(K$1,INDIRECT("Table!A"&amp;$AN53):INDIRECT("Table!" &amp; $AQ$85 &amp; $AN53),0)),"",INDIRECT(CONCATENATE("Table!",ADDRESS($AJ53,MATCH(K$1,INDIRECT("Table!A" &amp; $AN53):INDIRECT("Table!" &amp; $AQ$85 &amp; $AN53),0))))/1024)</f>
        <v>50.838914062499995</v>
      </c>
      <c r="L53" s="595">
        <f ca="1">IF(ISERROR(MATCH(L$1,INDIRECT("Table!A"&amp;$AN53):INDIRECT("Table!" &amp; $AQ$85 &amp; $AN53),0)),"",INDIRECT(CONCATENATE("Table!",ADDRESS($AJ53,MATCH(L$1,INDIRECT("Table!A" &amp; $AN53):INDIRECT("Table!" &amp; $AQ$85 &amp; $AN53),0))))/1024)</f>
        <v>274.54330664062496</v>
      </c>
      <c r="M53" s="595">
        <f ca="1">IF(ISERROR(MATCH(M$1,INDIRECT("Table!A"&amp;$AN53):INDIRECT("Table!" &amp; $AQ$85 &amp; $AN53),0)),"",INDIRECT(CONCATENATE("Table!",ADDRESS($AJ53,MATCH(M$1,INDIRECT("Table!A" &amp; $AN53):INDIRECT("Table!" &amp; $AQ$85 &amp; $AN53),0))))/1024)</f>
        <v>360.11995019531247</v>
      </c>
      <c r="N53" s="595">
        <f ca="1">IF(ISERROR(MATCH(N$1,INDIRECT("Table!A"&amp;$AN53):INDIRECT("Table!" &amp; $AQ$85 &amp; $AN53),0)),"",INDIRECT(CONCATENATE("Table!",ADDRESS($AJ53,MATCH(N$1,INDIRECT("Table!A" &amp; $AN53):INDIRECT("Table!" &amp; $AQ$85 &amp; $AN53),0))))/1024)</f>
        <v>130.5545947265625</v>
      </c>
      <c r="O53" s="595">
        <f ca="1">IF(ISERROR(MATCH(O$1,INDIRECT("Table!A"&amp;$AN53):INDIRECT("Table!" &amp; $AQ$85 &amp; $AN53),0)),"",INDIRECT(CONCATENATE("Table!",ADDRESS($AJ53,MATCH(O$1,INDIRECT("Table!A" &amp; $AN53):INDIRECT("Table!" &amp; $AQ$85 &amp; $AN53),0))))/1024)</f>
        <v>270.723802734375</v>
      </c>
      <c r="P53" s="595">
        <f ca="1">IF(ISERROR(MATCH(P$1,INDIRECT("Table!A"&amp;$AN53):INDIRECT("Table!" &amp; $AQ$85 &amp; $AN53),0)),"",INDIRECT(CONCATENATE("Table!",ADDRESS($AJ53,MATCH(P$1,INDIRECT("Table!A" &amp; $AN53):INDIRECT("Table!" &amp; $AQ$85 &amp; $AN53),0))))/1024)</f>
        <v>34.079194335937501</v>
      </c>
      <c r="Q53" s="595">
        <f ca="1">IF(ISERROR(MATCH(Q$1,INDIRECT("Table!A"&amp;$AN53):INDIRECT("Table!" &amp; $AQ$85 &amp; $AN53),0)),"",INDIRECT(CONCATENATE("Table!",ADDRESS($AJ53,MATCH(Q$1,INDIRECT("Table!A" &amp; $AN53):INDIRECT("Table!" &amp; $AQ$85 &amp; $AN53),0))))/1024)</f>
        <v>95.421744140624995</v>
      </c>
      <c r="R53" s="595">
        <f ca="1">IF(ISERROR(MATCH(R$1,INDIRECT("Table!A"&amp;$AN53):INDIRECT("Table!" &amp; $AQ$85 &amp; $AN53),0)),"",INDIRECT(CONCATENATE("Table!",ADDRESS($AJ53,MATCH(R$1,INDIRECT("Table!A" &amp; $AN53):INDIRECT("Table!" &amp; $AQ$85 &amp; $AN53),0))))/1024)</f>
        <v>117.68023242187499</v>
      </c>
      <c r="S53" s="595">
        <v>0</v>
      </c>
      <c r="T53" s="595">
        <f ca="1">IF(ISERROR(MATCH(T$1,INDIRECT("Table!A"&amp;$AN53):INDIRECT("Table!" &amp; $AQ$85 &amp; $AN53),0)),"",INDIRECT(CONCATENATE("Table!",ADDRESS($AJ53,MATCH(T$1,INDIRECT("Table!A" &amp; $AN53):INDIRECT("Table!" &amp; $AQ$85 &amp; $AN53),0))))/1024)</f>
        <v>32.070662109375</v>
      </c>
      <c r="U53" s="595" t="str">
        <f ca="1">IF(ISERROR(MATCH(U$1,INDIRECT("Table!A"&amp;$AN53):INDIRECT("Table!" &amp; $AQ$85 &amp; $AN53),0)),"",INDIRECT(CONCATENATE("Table!",ADDRESS($AJ53,MATCH(U$1,INDIRECT("Table!A" &amp; $AN53):INDIRECT("Table!" &amp; $AQ$85 &amp; $AN53),0))))/1024)</f>
        <v/>
      </c>
      <c r="V53" s="595"/>
      <c r="W53" s="595"/>
      <c r="X53" s="595"/>
      <c r="Y53" s="595"/>
      <c r="Z53" s="595"/>
      <c r="AA53" s="595"/>
      <c r="AB53" s="595"/>
      <c r="AC53" s="595"/>
      <c r="AD53" s="595"/>
      <c r="AE53" s="595"/>
      <c r="AF53" s="595"/>
      <c r="AG53" s="595"/>
      <c r="AH53" s="595"/>
      <c r="AI53" s="595"/>
      <c r="AJ53" s="595">
        <f>MATCH($A53,Table!$A:$A,0)+$AL$2-1</f>
        <v>743</v>
      </c>
      <c r="AK53" s="593"/>
      <c r="AL53" s="593"/>
      <c r="AM53" s="593"/>
      <c r="AN53" s="595">
        <f>MATCH($A53,Table!$A:$A,0)+$AP$2-1</f>
        <v>735</v>
      </c>
      <c r="AO53" s="593"/>
      <c r="AP53" s="593"/>
      <c r="AQ53" s="973" t="s">
        <v>302</v>
      </c>
      <c r="AR53" s="699">
        <f t="shared" ca="1" si="13"/>
        <v>2987.3130292968749</v>
      </c>
      <c r="AS53" s="699">
        <f t="shared" ca="1" si="22"/>
        <v>74.085205078125</v>
      </c>
    </row>
    <row r="54" spans="1:45" s="267" customFormat="1" x14ac:dyDescent="0.25">
      <c r="A54" s="268">
        <v>41561</v>
      </c>
      <c r="B54" s="272">
        <f ca="1">IF(ISERROR(MATCH(B$1,INDIRECT("Table!A"&amp;$AN54):INDIRECT("Table!" &amp; $AQ$108 &amp; $AN54),0)),"",INDIRECT(CONCATENATE("Table!",ADDRESS($AJ54,MATCH(B$1,INDIRECT("Table!A" &amp; $AN54):INDIRECT("Table!" &amp; $AQ$108 &amp; $AN54),0))))/1024)</f>
        <v>183.56667480468749</v>
      </c>
      <c r="C54" s="272">
        <f ca="1">IF(ISERROR(MATCH(C$1,INDIRECT("Table!A"&amp;$AN54):INDIRECT("Table!" &amp; $AQ$108 &amp; $AN54),0)),"",INDIRECT(CONCATENATE("Table!",ADDRESS($AJ54,MATCH(C$1,INDIRECT("Table!A" &amp; $AN54):INDIRECT("Table!" &amp; $AQ$108 &amp; $AN54),0))))/1024)</f>
        <v>94.335161132812502</v>
      </c>
      <c r="D54" s="272">
        <f ca="1">IF(ISERROR(MATCH(D$1,INDIRECT("Table!A"&amp;$AN54):INDIRECT("Table!" &amp; $AQ$108 &amp; $AN54),0)),"",INDIRECT(CONCATENATE("Table!",ADDRESS($AJ54,MATCH(D$1,INDIRECT("Table!A" &amp; $AN54):INDIRECT("Table!" &amp; $AQ$108 &amp; $AN54),0))))/1024)</f>
        <v>95.322963867187497</v>
      </c>
      <c r="E54" s="272">
        <f ca="1">IF(ISERROR(MATCH(E$1,INDIRECT("Table!A"&amp;$AN54):INDIRECT("Table!" &amp; $AQ$108 &amp; $AN54),0)),"",INDIRECT(CONCATENATE("Table!",ADDRESS($AJ54,MATCH(E$1,INDIRECT("Table!A" &amp; $AN54):INDIRECT("Table!" &amp; $AQ$108 &amp; $AN54),0))))/1024)</f>
        <v>274.18111230468747</v>
      </c>
      <c r="F54" s="272">
        <f ca="1">IF(ISERROR(MATCH(F$1,INDIRECT("Table!A"&amp;$AN54):INDIRECT("Table!" &amp; $AQ$108 &amp; $AN54),0)),"",INDIRECT(CONCATENATE("Table!",ADDRESS($AJ54,MATCH(F$1,INDIRECT("Table!A" &amp; $AN54):INDIRECT("Table!" &amp; $AQ$108 &amp; $AN54),0))))/1024)</f>
        <v>251.42872265624999</v>
      </c>
      <c r="G54" s="272">
        <f ca="1">IF(ISERROR(MATCH(G$1,INDIRECT("Table!A"&amp;$AN54):INDIRECT("Table!" &amp; $AQ$108 &amp; $AN54),0)),"",INDIRECT(CONCATENATE("Table!",ADDRESS($AJ54,MATCH(G$1,INDIRECT("Table!A" &amp; $AN54):INDIRECT("Table!" &amp; $AQ$108 &amp; $AN54),0))))/1024)</f>
        <v>449.84536523437498</v>
      </c>
      <c r="H54" s="272">
        <f ca="1">IF(ISERROR(MATCH(H$1,INDIRECT("Table!A"&amp;$AN54):INDIRECT("Table!" &amp; $AQ$108 &amp; $AN54),0)),"",INDIRECT(CONCATENATE("Table!",ADDRESS($AJ54,MATCH(H$1,INDIRECT("Table!A" &amp; $AN54):INDIRECT("Table!" &amp; $AQ$108 &amp; $AN54),0))))/1024)</f>
        <v>145.207001953125</v>
      </c>
      <c r="I54" s="272">
        <f ca="1">IF(ISERROR(MATCH(I$1,INDIRECT("Table!A"&amp;$AN54):INDIRECT("Table!" &amp; $AQ$85 &amp; $AN54),0)),"",INDIRECT(CONCATENATE("Table!",ADDRESS($AJ54,MATCH(I$1,INDIRECT("Table!A" &amp; $AN54):INDIRECT("Table!" &amp; $AQ$85 &amp; $AN54),0))))/1024)</f>
        <v>19.097519531250001</v>
      </c>
      <c r="J54" s="272">
        <f ca="1">IF(ISERROR(MATCH(J$1,INDIRECT("Table!A"&amp;$AN54):INDIRECT("Table!" &amp; $AQ$85 &amp; $AN54),0)),"",INDIRECT(CONCATENATE("Table!",ADDRESS($AJ54,MATCH(J$1,INDIRECT("Table!A" &amp; $AN54):INDIRECT("Table!" &amp; $AQ$85 &amp; $AN54),0))))/1024)</f>
        <v>94.69735546874999</v>
      </c>
      <c r="K54" s="272">
        <f ca="1">IF(ISERROR(MATCH(K$1,INDIRECT("Table!A"&amp;$AN54):INDIRECT("Table!" &amp; $AQ$85 &amp; $AN54),0)),"",INDIRECT(CONCATENATE("Table!",ADDRESS($AJ54,MATCH(K$1,INDIRECT("Table!A" &amp; $AN54):INDIRECT("Table!" &amp; $AQ$85 &amp; $AN54),0))))/1024)</f>
        <v>34.803583007812499</v>
      </c>
      <c r="L54" s="272">
        <f ca="1">IF(ISERROR(MATCH(L$1,INDIRECT("Table!A"&amp;$AN54):INDIRECT("Table!" &amp; $AQ$85 &amp; $AN54),0)),"",INDIRECT(CONCATENATE("Table!",ADDRESS($AJ54,MATCH(L$1,INDIRECT("Table!A" &amp; $AN54):INDIRECT("Table!" &amp; $AQ$85 &amp; $AN54),0))))/1024)</f>
        <v>274.54330664062496</v>
      </c>
      <c r="M54" s="272">
        <f ca="1">IF(ISERROR(MATCH(M$1,INDIRECT("Table!A"&amp;$AN54):INDIRECT("Table!" &amp; $AQ$85 &amp; $AN54),0)),"",INDIRECT(CONCATENATE("Table!",ADDRESS($AJ54,MATCH(M$1,INDIRECT("Table!A" &amp; $AN54):INDIRECT("Table!" &amp; $AQ$85 &amp; $AN54),0))))/1024)</f>
        <v>354.3906943359375</v>
      </c>
      <c r="N54" s="272">
        <f ca="1">IF(ISERROR(MATCH(N$1,INDIRECT("Table!A"&amp;$AN54):INDIRECT("Table!" &amp; $AQ$85 &amp; $AN54),0)),"",INDIRECT(CONCATENATE("Table!",ADDRESS($AJ54,MATCH(N$1,INDIRECT("Table!A" &amp; $AN54):INDIRECT("Table!" &amp; $AQ$85 &amp; $AN54),0))))/1024)</f>
        <v>133.5509296875</v>
      </c>
      <c r="O54" s="272">
        <f ca="1">IF(ISERROR(MATCH(O$1,INDIRECT("Table!A"&amp;$AN54):INDIRECT("Table!" &amp; $AQ$85 &amp; $AN54),0)),"",INDIRECT(CONCATENATE("Table!",ADDRESS($AJ54,MATCH(O$1,INDIRECT("Table!A" &amp; $AN54):INDIRECT("Table!" &amp; $AQ$85 &amp; $AN54),0))))/1024)</f>
        <v>256.26895605468746</v>
      </c>
      <c r="P54" s="272">
        <f ca="1">IF(ISERROR(MATCH(P$1,INDIRECT("Table!A"&amp;$AN54):INDIRECT("Table!" &amp; $AQ$85 &amp; $AN54),0)),"",INDIRECT(CONCATENATE("Table!",ADDRESS($AJ54,MATCH(P$1,INDIRECT("Table!A" &amp; $AN54):INDIRECT("Table!" &amp; $AQ$85 &amp; $AN54),0))))/1024)</f>
        <v>33.848707031250001</v>
      </c>
      <c r="Q54" s="272">
        <f ca="1">IF(ISERROR(MATCH(Q$1,INDIRECT("Table!A"&amp;$AN54):INDIRECT("Table!" &amp; $AQ$85 &amp; $AN54),0)),"",INDIRECT(CONCATENATE("Table!",ADDRESS($AJ54,MATCH(Q$1,INDIRECT("Table!A" &amp; $AN54):INDIRECT("Table!" &amp; $AQ$85 &amp; $AN54),0))))/1024)</f>
        <v>89.297367187500001</v>
      </c>
      <c r="R54" s="272">
        <f ca="1">IF(ISERROR(MATCH(R$1,INDIRECT("Table!A"&amp;$AN54):INDIRECT("Table!" &amp; $AQ$85 &amp; $AN54),0)),"",INDIRECT(CONCATENATE("Table!",ADDRESS($AJ54,MATCH(R$1,INDIRECT("Table!A" &amp; $AN54):INDIRECT("Table!" &amp; $AQ$85 &amp; $AN54),0))))/1024)</f>
        <v>97.858324218749999</v>
      </c>
      <c r="S54" s="595">
        <v>0</v>
      </c>
      <c r="T54" s="595">
        <f ca="1">IF(ISERROR(MATCH(T$1,INDIRECT("Table!A"&amp;$AN54):INDIRECT("Table!" &amp; $AQ$85 &amp; $AN54),0)),"",INDIRECT(CONCATENATE("Table!",ADDRESS($AJ54,MATCH(T$1,INDIRECT("Table!A" &amp; $AN54):INDIRECT("Table!" &amp; $AQ$85 &amp; $AN54),0))))/1024)</f>
        <v>30.9840791015625</v>
      </c>
      <c r="U54" s="272" t="str">
        <f ca="1">IF(ISERROR(MATCH(U$1,INDIRECT("Table!A"&amp;$AN54):INDIRECT("Table!" &amp; $AQ$85 &amp; $AN54),0)),"",INDIRECT(CONCATENATE("Table!",ADDRESS($AJ54,MATCH(U$1,INDIRECT("Table!A" &amp; $AN54):INDIRECT("Table!" &amp; $AQ$85 &amp; $AN54),0))))/1024)</f>
        <v/>
      </c>
      <c r="V54" s="595"/>
      <c r="W54" s="595"/>
      <c r="X54" s="595"/>
      <c r="Y54" s="595"/>
      <c r="Z54" s="595"/>
      <c r="AA54" s="595"/>
      <c r="AB54" s="595"/>
      <c r="AC54" s="595"/>
      <c r="AD54" s="595"/>
      <c r="AE54" s="595"/>
      <c r="AF54" s="595"/>
      <c r="AG54" s="595"/>
      <c r="AH54" s="595"/>
      <c r="AI54" s="595"/>
      <c r="AJ54" s="272">
        <f>MATCH($A54,Table!$A:$A,0)+$AL$2-1</f>
        <v>755</v>
      </c>
      <c r="AK54" s="487"/>
      <c r="AL54" s="487"/>
      <c r="AM54" s="487"/>
      <c r="AN54" s="272">
        <f>MATCH($A54,Table!$A:$A,0)+$AP$2-1</f>
        <v>747</v>
      </c>
      <c r="AO54" s="487"/>
      <c r="AP54" s="487"/>
      <c r="AQ54" s="973" t="s">
        <v>302</v>
      </c>
      <c r="AR54" s="699">
        <f t="shared" ca="1" si="13"/>
        <v>2913.2278242187499</v>
      </c>
      <c r="AS54" s="699">
        <f t="shared" ca="1" si="22"/>
        <v>8.0670556640620816</v>
      </c>
    </row>
    <row r="55" spans="1:45" s="267" customFormat="1" x14ac:dyDescent="0.25">
      <c r="A55" s="268">
        <v>41548</v>
      </c>
      <c r="B55" s="272">
        <f ca="1">IF(ISERROR(MATCH(B$1,INDIRECT("Table!A"&amp;$AN55):INDIRECT("Table!" &amp; $AQ$108 &amp; $AN55),0)),"",INDIRECT(CONCATENATE("Table!",ADDRESS($AJ55,MATCH(B$1,INDIRECT("Table!A" &amp; $AN55):INDIRECT("Table!" &amp; $AQ$108 &amp; $AN55),0))))/1024)</f>
        <v>183.56667480468749</v>
      </c>
      <c r="C55" s="272">
        <f ca="1">IF(ISERROR(MATCH(C$1,INDIRECT("Table!A"&amp;$AN55):INDIRECT("Table!" &amp; $AQ$108 &amp; $AN55),0)),"",INDIRECT(CONCATENATE("Table!",ADDRESS($AJ55,MATCH(C$1,INDIRECT("Table!A" &amp; $AN55):INDIRECT("Table!" &amp; $AQ$108 &amp; $AN55),0))))/1024)</f>
        <v>94.335161132812502</v>
      </c>
      <c r="D55" s="272">
        <f ca="1">IF(ISERROR(MATCH(D$1,INDIRECT("Table!A"&amp;$AN55):INDIRECT("Table!" &amp; $AQ$108 &amp; $AN55),0)),"",INDIRECT(CONCATENATE("Table!",ADDRESS($AJ55,MATCH(D$1,INDIRECT("Table!A" &amp; $AN55):INDIRECT("Table!" &amp; $AQ$108 &amp; $AN55),0))))/1024)</f>
        <v>95.322963867187497</v>
      </c>
      <c r="E55" s="272">
        <f ca="1">IF(ISERROR(MATCH(E$1,INDIRECT("Table!A"&amp;$AN55):INDIRECT("Table!" &amp; $AQ$108 &amp; $AN55),0)),"",INDIRECT(CONCATENATE("Table!",ADDRESS($AJ55,MATCH(E$1,INDIRECT("Table!A" &amp; $AN55):INDIRECT("Table!" &amp; $AQ$108 &amp; $AN55),0))))/1024)</f>
        <v>274.18111230468747</v>
      </c>
      <c r="F55" s="272">
        <f ca="1">IF(ISERROR(MATCH(F$1,INDIRECT("Table!A"&amp;$AN55):INDIRECT("Table!" &amp; $AQ$108 &amp; $AN55),0)),"",INDIRECT(CONCATENATE("Table!",ADDRESS($AJ55,MATCH(F$1,INDIRECT("Table!A" &amp; $AN55):INDIRECT("Table!" &amp; $AQ$108 &amp; $AN55),0))))/1024)</f>
        <v>257.42139257812499</v>
      </c>
      <c r="G55" s="272">
        <f ca="1">IF(ISERROR(MATCH(G$1,INDIRECT("Table!A"&amp;$AN55):INDIRECT("Table!" &amp; $AQ$108 &amp; $AN55),0)),"",INDIRECT(CONCATENATE("Table!",ADDRESS($AJ55,MATCH(G$1,INDIRECT("Table!A" &amp; $AN55):INDIRECT("Table!" &amp; $AQ$108 &amp; $AN55),0))))/1024)</f>
        <v>450.4709736328125</v>
      </c>
      <c r="H55" s="272">
        <f ca="1">IF(ISERROR(MATCH(H$1,INDIRECT("Table!A"&amp;$AN55):INDIRECT("Table!" &amp; $AQ$108 &amp; $AN55),0)),"",INDIRECT(CONCATENATE("Table!",ADDRESS($AJ55,MATCH(H$1,INDIRECT("Table!A" &amp; $AN55):INDIRECT("Table!" &amp; $AQ$108 &amp; $AN55),0))))/1024)</f>
        <v>145.207001953125</v>
      </c>
      <c r="I55" s="272">
        <f ca="1">IF(ISERROR(MATCH(I$1,INDIRECT("Table!A"&amp;$AN55):INDIRECT("Table!" &amp; $AQ$85 &amp; $AN55),0)),"",INDIRECT(CONCATENATE("Table!",ADDRESS($AJ55,MATCH(I$1,INDIRECT("Table!A" &amp; $AN55):INDIRECT("Table!" &amp; $AQ$85 &amp; $AN55),0))))/1024)</f>
        <v>19.097519531250001</v>
      </c>
      <c r="J55" s="272">
        <f ca="1">IF(ISERROR(MATCH(J$1,INDIRECT("Table!A"&amp;$AN55):INDIRECT("Table!" &amp; $AQ$85 &amp; $AN55),0)),"",INDIRECT(CONCATENATE("Table!",ADDRESS($AJ55,MATCH(J$1,INDIRECT("Table!A" &amp; $AN55):INDIRECT("Table!" &amp; $AQ$85 &amp; $AN55),0))))/1024)</f>
        <v>92.29370214843749</v>
      </c>
      <c r="K55" s="272">
        <f ca="1">IF(ISERROR(MATCH(K$1,INDIRECT("Table!A"&amp;$AN55):INDIRECT("Table!" &amp; $AQ$85 &amp; $AN55),0)),"",INDIRECT(CONCATENATE("Table!",ADDRESS($AJ55,MATCH(K$1,INDIRECT("Table!A" &amp; $AN55):INDIRECT("Table!" &amp; $AQ$85 &amp; $AN55),0))))/1024)</f>
        <v>24.958482421875001</v>
      </c>
      <c r="L55" s="272">
        <f ca="1">IF(ISERROR(MATCH(L$1,INDIRECT("Table!A"&amp;$AN55):INDIRECT("Table!" &amp; $AQ$85 &amp; $AN55),0)),"",INDIRECT(CONCATENATE("Table!",ADDRESS($AJ55,MATCH(L$1,INDIRECT("Table!A" &amp; $AN55):INDIRECT("Table!" &amp; $AQ$85 &amp; $AN55),0))))/1024)</f>
        <v>274.54330664062496</v>
      </c>
      <c r="M55" s="272">
        <f ca="1">IF(ISERROR(MATCH(M$1,INDIRECT("Table!A"&amp;$AN55):INDIRECT("Table!" &amp; $AQ$85 &amp; $AN55),0)),"",INDIRECT(CONCATENATE("Table!",ADDRESS($AJ55,MATCH(M$1,INDIRECT("Table!A" &amp; $AN55):INDIRECT("Table!" &amp; $AQ$85 &amp; $AN55),0))))/1024)</f>
        <v>354.3906943359375</v>
      </c>
      <c r="N55" s="272">
        <f ca="1">IF(ISERROR(MATCH(N$1,INDIRECT("Table!A"&amp;$AN55):INDIRECT("Table!" &amp; $AQ$85 &amp; $AN55),0)),"",INDIRECT(CONCATENATE("Table!",ADDRESS($AJ55,MATCH(N$1,INDIRECT("Table!A" &amp; $AN55):INDIRECT("Table!" &amp; $AQ$85 &amp; $AN55),0))))/1024)</f>
        <v>133.5509296875</v>
      </c>
      <c r="O55" s="272">
        <f ca="1">IF(ISERROR(MATCH(O$1,INDIRECT("Table!A"&amp;$AN55):INDIRECT("Table!" &amp; $AQ$85 &amp; $AN55),0)),"",INDIRECT(CONCATENATE("Table!",ADDRESS($AJ55,MATCH(O$1,INDIRECT("Table!A" &amp; $AN55):INDIRECT("Table!" &amp; $AQ$85 &amp; $AN55),0))))/1024)</f>
        <v>254.16164355468749</v>
      </c>
      <c r="P55" s="272">
        <f ca="1">IF(ISERROR(MATCH(P$1,INDIRECT("Table!A"&amp;$AN55):INDIRECT("Table!" &amp; $AQ$85 &amp; $AN55),0)),"",INDIRECT(CONCATENATE("Table!",ADDRESS($AJ55,MATCH(P$1,INDIRECT("Table!A" &amp; $AN55):INDIRECT("Table!" &amp; $AQ$85 &amp; $AN55),0))))/1024)</f>
        <v>33.848707031250001</v>
      </c>
      <c r="Q55" s="272">
        <f ca="1">IF(ISERROR(MATCH(Q$1,INDIRECT("Table!A"&amp;$AN55):INDIRECT("Table!" &amp; $AQ$85 &amp; $AN55),0)),"",INDIRECT(CONCATENATE("Table!",ADDRESS($AJ55,MATCH(Q$1,INDIRECT("Table!A" &amp; $AN55):INDIRECT("Table!" &amp; $AQ$85 &amp; $AN55),0))))/1024)</f>
        <v>84.160792968750002</v>
      </c>
      <c r="R55" s="272">
        <f ca="1">IF(ISERROR(MATCH(R$1,INDIRECT("Table!A"&amp;$AN55):INDIRECT("Table!" &amp; $AQ$85 &amp; $AN55),0)),"",INDIRECT(CONCATENATE("Table!",ADDRESS($AJ55,MATCH(R$1,INDIRECT("Table!A" &amp; $AN55):INDIRECT("Table!" &amp; $AQ$85 &amp; $AN55),0))))/1024)</f>
        <v>102.665630859375</v>
      </c>
      <c r="S55" s="595">
        <v>0</v>
      </c>
      <c r="T55" s="595">
        <f ca="1">IF(ISERROR(MATCH(T$1,INDIRECT("Table!A"&amp;$AN55):INDIRECT("Table!" &amp; $AQ$85 &amp; $AN55),0)),"",INDIRECT(CONCATENATE("Table!",ADDRESS($AJ55,MATCH(T$1,INDIRECT("Table!A" &amp; $AN55):INDIRECT("Table!" &amp; $AQ$85 &amp; $AN55),0))))/1024)</f>
        <v>30.9840791015625</v>
      </c>
      <c r="U55" s="272" t="str">
        <f ca="1">IF(ISERROR(MATCH(U$1,INDIRECT("Table!A"&amp;$AN55):INDIRECT("Table!" &amp; $AQ$85 &amp; $AN55),0)),"",INDIRECT(CONCATENATE("Table!",ADDRESS($AJ55,MATCH(U$1,INDIRECT("Table!A" &amp; $AN55):INDIRECT("Table!" &amp; $AQ$85 &amp; $AN55),0))))/1024)</f>
        <v/>
      </c>
      <c r="V55" s="595"/>
      <c r="W55" s="595"/>
      <c r="X55" s="595"/>
      <c r="Y55" s="595"/>
      <c r="Z55" s="595"/>
      <c r="AA55" s="595"/>
      <c r="AB55" s="595"/>
      <c r="AC55" s="595"/>
      <c r="AD55" s="595"/>
      <c r="AE55" s="595"/>
      <c r="AF55" s="595"/>
      <c r="AG55" s="595"/>
      <c r="AH55" s="595"/>
      <c r="AI55" s="595"/>
      <c r="AJ55" s="272">
        <f>MATCH($A55,Table!$A:$A,0)+$AL$2-1</f>
        <v>767</v>
      </c>
      <c r="AK55" s="482"/>
      <c r="AL55" s="482"/>
      <c r="AM55" s="482"/>
      <c r="AN55" s="272">
        <f>MATCH($A55,Table!$A:$A,0)+$AP$2-1</f>
        <v>759</v>
      </c>
      <c r="AO55" s="482"/>
      <c r="AP55" s="482"/>
      <c r="AQ55" s="973" t="s">
        <v>302</v>
      </c>
      <c r="AR55" s="699">
        <f t="shared" ca="1" si="13"/>
        <v>2905.1607685546878</v>
      </c>
      <c r="AS55" s="699">
        <f t="shared" ca="1" si="22"/>
        <v>7.1451064453135587</v>
      </c>
    </row>
    <row r="56" spans="1:45" s="267" customFormat="1" x14ac:dyDescent="0.25">
      <c r="A56" s="268">
        <v>41541</v>
      </c>
      <c r="B56" s="272">
        <f ca="1">IF(ISERROR(MATCH(B$1,INDIRECT("Table!A"&amp;$AN56):INDIRECT("Table!" &amp; $AQ$108 &amp; $AN56),0)),"",INDIRECT(CONCATENATE("Table!",ADDRESS($AJ56,MATCH(B$1,INDIRECT("Table!A" &amp; $AN56):INDIRECT("Table!" &amp; $AQ$108 &amp; $AN56),0))))/1024)</f>
        <v>183.56667480468749</v>
      </c>
      <c r="C56" s="272">
        <f ca="1">IF(ISERROR(MATCH(C$1,INDIRECT("Table!A"&amp;$AN56):INDIRECT("Table!" &amp; $AQ$108 &amp; $AN56),0)),"",INDIRECT(CONCATENATE("Table!",ADDRESS($AJ56,MATCH(C$1,INDIRECT("Table!A" &amp; $AN56):INDIRECT("Table!" &amp; $AQ$108 &amp; $AN56),0))))/1024)</f>
        <v>94.335161132812502</v>
      </c>
      <c r="D56" s="272">
        <f ca="1">IF(ISERROR(MATCH(D$1,INDIRECT("Table!A"&amp;$AN56):INDIRECT("Table!" &amp; $AQ$108 &amp; $AN56),0)),"",INDIRECT(CONCATENATE("Table!",ADDRESS($AJ56,MATCH(D$1,INDIRECT("Table!A" &amp; $AN56):INDIRECT("Table!" &amp; $AQ$108 &amp; $AN56),0))))/1024)</f>
        <v>95.322963867187497</v>
      </c>
      <c r="E56" s="272">
        <f ca="1">IF(ISERROR(MATCH(E$1,INDIRECT("Table!A"&amp;$AN56):INDIRECT("Table!" &amp; $AQ$108 &amp; $AN56),0)),"",INDIRECT(CONCATENATE("Table!",ADDRESS($AJ56,MATCH(E$1,INDIRECT("Table!A" &amp; $AN56):INDIRECT("Table!" &amp; $AQ$108 &amp; $AN56),0))))/1024)</f>
        <v>274.18111230468747</v>
      </c>
      <c r="F56" s="272">
        <f ca="1">IF(ISERROR(MATCH(F$1,INDIRECT("Table!A"&amp;$AN56):INDIRECT("Table!" &amp; $AQ$108 &amp; $AN56),0)),"",INDIRECT(CONCATENATE("Table!",ADDRESS($AJ56,MATCH(F$1,INDIRECT("Table!A" &amp; $AN56):INDIRECT("Table!" &amp; $AQ$108 &amp; $AN56),0))))/1024)</f>
        <v>257.42139257812499</v>
      </c>
      <c r="G56" s="272">
        <f ca="1">IF(ISERROR(MATCH(G$1,INDIRECT("Table!A"&amp;$AN56):INDIRECT("Table!" &amp; $AQ$108 &amp; $AN56),0)),"",INDIRECT(CONCATENATE("Table!",ADDRESS($AJ56,MATCH(G$1,INDIRECT("Table!A" &amp; $AN56):INDIRECT("Table!" &amp; $AQ$108 &amp; $AN56),0))))/1024)</f>
        <v>450.4709736328125</v>
      </c>
      <c r="H56" s="272">
        <f ca="1">IF(ISERROR(MATCH(H$1,INDIRECT("Table!A"&amp;$AN56):INDIRECT("Table!" &amp; $AQ$108 &amp; $AN56),0)),"",INDIRECT(CONCATENATE("Table!",ADDRESS($AJ56,MATCH(H$1,INDIRECT("Table!A" &amp; $AN56):INDIRECT("Table!" &amp; $AQ$108 &amp; $AN56),0))))/1024)</f>
        <v>142.0131064453125</v>
      </c>
      <c r="I56" s="272">
        <f ca="1">IF(ISERROR(MATCH(I$1,INDIRECT("Table!A"&amp;$AN56):INDIRECT("Table!" &amp; $AQ$85 &amp; $AN56),0)),"",INDIRECT(CONCATENATE("Table!",ADDRESS($AJ56,MATCH(I$1,INDIRECT("Table!A" &amp; $AN56):INDIRECT("Table!" &amp; $AQ$85 &amp; $AN56),0))))/1024)</f>
        <v>19.097519531250001</v>
      </c>
      <c r="J56" s="272">
        <f ca="1">IF(ISERROR(MATCH(J$1,INDIRECT("Table!A"&amp;$AN56):INDIRECT("Table!" &amp; $AQ$85 &amp; $AN56),0)),"",INDIRECT(CONCATENATE("Table!",ADDRESS($AJ56,MATCH(J$1,INDIRECT("Table!A" &amp; $AN56):INDIRECT("Table!" &amp; $AQ$85 &amp; $AN56),0))))/1024)</f>
        <v>92.29370214843749</v>
      </c>
      <c r="K56" s="272">
        <f ca="1">IF(ISERROR(MATCH(K$1,INDIRECT("Table!A"&amp;$AN56):INDIRECT("Table!" &amp; $AQ$85 &amp; $AN56),0)),"",INDIRECT(CONCATENATE("Table!",ADDRESS($AJ56,MATCH(K$1,INDIRECT("Table!A" &amp; $AN56):INDIRECT("Table!" &amp; $AQ$85 &amp; $AN56),0))))/1024)</f>
        <v>24.332874023437498</v>
      </c>
      <c r="L56" s="272">
        <f ca="1">IF(ISERROR(MATCH(L$1,INDIRECT("Table!A"&amp;$AN56):INDIRECT("Table!" &amp; $AQ$85 &amp; $AN56),0)),"",INDIRECT(CONCATENATE("Table!",ADDRESS($AJ56,MATCH(L$1,INDIRECT("Table!A" &amp; $AN56):INDIRECT("Table!" &amp; $AQ$85 &amp; $AN56),0))))/1024)</f>
        <v>274.54330664062496</v>
      </c>
      <c r="M56" s="272">
        <f ca="1">IF(ISERROR(MATCH(M$1,INDIRECT("Table!A"&amp;$AN56):INDIRECT("Table!" &amp; $AQ$85 &amp; $AN56),0)),"",INDIRECT(CONCATENATE("Table!",ADDRESS($AJ56,MATCH(M$1,INDIRECT("Table!A" &amp; $AN56):INDIRECT("Table!" &amp; $AQ$85 &amp; $AN56),0))))/1024)</f>
        <v>354.3906943359375</v>
      </c>
      <c r="N56" s="272">
        <f ca="1">IF(ISERROR(MATCH(N$1,INDIRECT("Table!A"&amp;$AN56):INDIRECT("Table!" &amp; $AQ$85 &amp; $AN56),0)),"",INDIRECT(CONCATENATE("Table!",ADDRESS($AJ56,MATCH(N$1,INDIRECT("Table!A" &amp; $AN56):INDIRECT("Table!" &amp; $AQ$85 &amp; $AN56),0))))/1024)</f>
        <v>133.5509296875</v>
      </c>
      <c r="O56" s="272">
        <f ca="1">IF(ISERROR(MATCH(O$1,INDIRECT("Table!A"&amp;$AN56):INDIRECT("Table!" &amp; $AQ$85 &amp; $AN56),0)),"",INDIRECT(CONCATENATE("Table!",ADDRESS($AJ56,MATCH(O$1,INDIRECT("Table!A" &amp; $AN56):INDIRECT("Table!" &amp; $AQ$85 &amp; $AN56),0))))/1024)</f>
        <v>250.96774804687499</v>
      </c>
      <c r="P56" s="272">
        <f ca="1">IF(ISERROR(MATCH(P$1,INDIRECT("Table!A"&amp;$AN56):INDIRECT("Table!" &amp; $AQ$85 &amp; $AN56),0)),"",INDIRECT(CONCATENATE("Table!",ADDRESS($AJ56,MATCH(P$1,INDIRECT("Table!A" &amp; $AN56):INDIRECT("Table!" &amp; $AQ$85 &amp; $AN56),0))))/1024)</f>
        <v>33.848707031250001</v>
      </c>
      <c r="Q56" s="272">
        <f ca="1">IF(ISERROR(MATCH(Q$1,INDIRECT("Table!A"&amp;$AN56):INDIRECT("Table!" &amp; $AQ$85 &amp; $AN56),0)),"",INDIRECT(CONCATENATE("Table!",ADDRESS($AJ56,MATCH(Q$1,INDIRECT("Table!A" &amp; $AN56):INDIRECT("Table!" &amp; $AQ$85 &amp; $AN56),0))))/1024)</f>
        <v>84.160792968750002</v>
      </c>
      <c r="R56" s="272">
        <f ca="1">IF(ISERROR(MATCH(R$1,INDIRECT("Table!A"&amp;$AN56):INDIRECT("Table!" &amp; $AQ$85 &amp; $AN56),0)),"",INDIRECT(CONCATENATE("Table!",ADDRESS($AJ56,MATCH(R$1,INDIRECT("Table!A" &amp; $AN56):INDIRECT("Table!" &amp; $AQ$85 &amp; $AN56),0))))/1024)</f>
        <v>102.533923828125</v>
      </c>
      <c r="S56" s="595">
        <v>0</v>
      </c>
      <c r="T56" s="595">
        <f ca="1">IF(ISERROR(MATCH(T$1,INDIRECT("Table!A"&amp;$AN56):INDIRECT("Table!" &amp; $AQ$85 &amp; $AN56),0)),"",INDIRECT(CONCATENATE("Table!",ADDRESS($AJ56,MATCH(T$1,INDIRECT("Table!A" &amp; $AN56):INDIRECT("Table!" &amp; $AQ$85 &amp; $AN56),0))))/1024)</f>
        <v>30.9840791015625</v>
      </c>
      <c r="U56" s="272" t="str">
        <f ca="1">IF(ISERROR(MATCH(U$1,INDIRECT("Table!A"&amp;$AN56):INDIRECT("Table!" &amp; $AQ$85 &amp; $AN56),0)),"",INDIRECT(CONCATENATE("Table!",ADDRESS($AJ56,MATCH(U$1,INDIRECT("Table!A" &amp; $AN56):INDIRECT("Table!" &amp; $AQ$85 &amp; $AN56),0))))/1024)</f>
        <v/>
      </c>
      <c r="V56" s="595"/>
      <c r="W56" s="595"/>
      <c r="X56" s="595"/>
      <c r="Y56" s="595"/>
      <c r="Z56" s="595"/>
      <c r="AA56" s="595"/>
      <c r="AB56" s="595"/>
      <c r="AC56" s="595"/>
      <c r="AD56" s="595"/>
      <c r="AE56" s="595"/>
      <c r="AF56" s="595"/>
      <c r="AG56" s="595"/>
      <c r="AH56" s="595"/>
      <c r="AI56" s="595"/>
      <c r="AJ56" s="272">
        <f>MATCH($A56,Table!$A:$A,0)+$AL$2-1</f>
        <v>779</v>
      </c>
      <c r="AK56" s="482"/>
      <c r="AL56" s="482"/>
      <c r="AM56" s="482"/>
      <c r="AN56" s="272">
        <f>MATCH($A56,Table!$A:$A,0)+$AP$2-1</f>
        <v>771</v>
      </c>
      <c r="AO56" s="482"/>
      <c r="AP56" s="482"/>
      <c r="AQ56" s="973" t="s">
        <v>302</v>
      </c>
      <c r="AR56" s="699">
        <f t="shared" ca="1" si="13"/>
        <v>2898.0156621093743</v>
      </c>
      <c r="AS56" s="699">
        <f t="shared" ca="1" si="22"/>
        <v>14.059725585937031</v>
      </c>
    </row>
    <row r="57" spans="1:45" s="267" customFormat="1" x14ac:dyDescent="0.25">
      <c r="A57" s="268">
        <v>41534</v>
      </c>
      <c r="B57" s="272">
        <f ca="1">IF(ISERROR(MATCH(B$1,INDIRECT("Table!A"&amp;$AN57):INDIRECT("Table!" &amp; $AQ$108 &amp; $AN57),0)),"",INDIRECT(CONCATENATE("Table!",ADDRESS($AJ57,MATCH(B$1,INDIRECT("Table!A" &amp; $AN57):INDIRECT("Table!" &amp; $AQ$108 &amp; $AN57),0))))/1024)</f>
        <v>183.33618749999999</v>
      </c>
      <c r="C57" s="272">
        <f ca="1">IF(ISERROR(MATCH(C$1,INDIRECT("Table!A"&amp;$AN57):INDIRECT("Table!" &amp; $AQ$108 &amp; $AN57),0)),"",INDIRECT(CONCATENATE("Table!",ADDRESS($AJ57,MATCH(C$1,INDIRECT("Table!A" &amp; $AN57):INDIRECT("Table!" &amp; $AQ$108 &amp; $AN57),0))))/1024)</f>
        <v>94.335161132812502</v>
      </c>
      <c r="D57" s="272">
        <f ca="1">IF(ISERROR(MATCH(D$1,INDIRECT("Table!A"&amp;$AN57):INDIRECT("Table!" &amp; $AQ$108 &amp; $AN57),0)),"",INDIRECT(CONCATENATE("Table!",ADDRESS($AJ57,MATCH(D$1,INDIRECT("Table!A" &amp; $AN57):INDIRECT("Table!" &amp; $AQ$108 &amp; $AN57),0))))/1024)</f>
        <v>95.322963867187497</v>
      </c>
      <c r="E57" s="272">
        <f ca="1">IF(ISERROR(MATCH(E$1,INDIRECT("Table!A"&amp;$AN57):INDIRECT("Table!" &amp; $AQ$108 &amp; $AN57),0)),"",INDIRECT(CONCATENATE("Table!",ADDRESS($AJ57,MATCH(E$1,INDIRECT("Table!A" &amp; $AN57):INDIRECT("Table!" &amp; $AQ$108 &amp; $AN57),0))))/1024)</f>
        <v>274.18111230468747</v>
      </c>
      <c r="F57" s="272">
        <f ca="1">IF(ISERROR(MATCH(F$1,INDIRECT("Table!A"&amp;$AN57):INDIRECT("Table!" &amp; $AQ$108 &amp; $AN57),0)),"",INDIRECT(CONCATENATE("Table!",ADDRESS($AJ57,MATCH(F$1,INDIRECT("Table!A" &amp; $AN57):INDIRECT("Table!" &amp; $AQ$108 &amp; $AN57),0))))/1024)</f>
        <v>257.42139257812499</v>
      </c>
      <c r="G57" s="272">
        <f ca="1">IF(ISERROR(MATCH(G$1,INDIRECT("Table!A"&amp;$AN57):INDIRECT("Table!" &amp; $AQ$108 &amp; $AN57),0)),"",INDIRECT(CONCATENATE("Table!",ADDRESS($AJ57,MATCH(G$1,INDIRECT("Table!A" &amp; $AN57):INDIRECT("Table!" &amp; $AQ$108 &amp; $AN57),0))))/1024)</f>
        <v>450.4709736328125</v>
      </c>
      <c r="H57" s="272">
        <f ca="1">IF(ISERROR(MATCH(H$1,INDIRECT("Table!A"&amp;$AN57):INDIRECT("Table!" &amp; $AQ$108 &amp; $AN57),0)),"",INDIRECT(CONCATENATE("Table!",ADDRESS($AJ57,MATCH(H$1,INDIRECT("Table!A" &amp; $AN57):INDIRECT("Table!" &amp; $AQ$108 &amp; $AN57),0))))/1024)</f>
        <v>142.0131064453125</v>
      </c>
      <c r="I57" s="272">
        <f ca="1">IF(ISERROR(MATCH(I$1,INDIRECT("Table!A"&amp;$AN57):INDIRECT("Table!" &amp; $AQ$85 &amp; $AN57),0)),"",INDIRECT(CONCATENATE("Table!",ADDRESS($AJ57,MATCH(I$1,INDIRECT("Table!A" &amp; $AN57):INDIRECT("Table!" &amp; $AQ$85 &amp; $AN57),0))))/1024)</f>
        <v>19.097519531250001</v>
      </c>
      <c r="J57" s="272">
        <f ca="1">IF(ISERROR(MATCH(J$1,INDIRECT("Table!A"&amp;$AN57):INDIRECT("Table!" &amp; $AQ$85 &amp; $AN57),0)),"",INDIRECT(CONCATENATE("Table!",ADDRESS($AJ57,MATCH(J$1,INDIRECT("Table!A" &amp; $AN57):INDIRECT("Table!" &amp; $AQ$85 &amp; $AN57),0))))/1024)</f>
        <v>92.29370214843749</v>
      </c>
      <c r="K57" s="272">
        <f ca="1">IF(ISERROR(MATCH(K$1,INDIRECT("Table!A"&amp;$AN57):INDIRECT("Table!" &amp; $AQ$85 &amp; $AN57),0)),"",INDIRECT(CONCATENATE("Table!",ADDRESS($AJ57,MATCH(K$1,INDIRECT("Table!A" &amp; $AN57):INDIRECT("Table!" &amp; $AQ$85 &amp; $AN57),0))))/1024)</f>
        <v>18.504837890624998</v>
      </c>
      <c r="L57" s="272">
        <f ca="1">IF(ISERROR(MATCH(L$1,INDIRECT("Table!A"&amp;$AN57):INDIRECT("Table!" &amp; $AQ$85 &amp; $AN57),0)),"",INDIRECT(CONCATENATE("Table!",ADDRESS($AJ57,MATCH(L$1,INDIRECT("Table!A" &amp; $AN57):INDIRECT("Table!" &amp; $AQ$85 &amp; $AN57),0))))/1024)</f>
        <v>267.957955078125</v>
      </c>
      <c r="M57" s="272">
        <f ca="1">IF(ISERROR(MATCH(M$1,INDIRECT("Table!A"&amp;$AN57):INDIRECT("Table!" &amp; $AQ$85 &amp; $AN57),0)),"",INDIRECT(CONCATENATE("Table!",ADDRESS($AJ57,MATCH(M$1,INDIRECT("Table!A" &amp; $AN57):INDIRECT("Table!" &amp; $AQ$85 &amp; $AN57),0))))/1024)</f>
        <v>354.3906943359375</v>
      </c>
      <c r="N57" s="272">
        <f ca="1">IF(ISERROR(MATCH(N$1,INDIRECT("Table!A"&amp;$AN57):INDIRECT("Table!" &amp; $AQ$85 &amp; $AN57),0)),"",INDIRECT(CONCATENATE("Table!",ADDRESS($AJ57,MATCH(N$1,INDIRECT("Table!A" &amp; $AN57):INDIRECT("Table!" &amp; $AQ$85 &amp; $AN57),0))))/1024)</f>
        <v>133.5509296875</v>
      </c>
      <c r="O57" s="272">
        <f ca="1">IF(ISERROR(MATCH(O$1,INDIRECT("Table!A"&amp;$AN57):INDIRECT("Table!" &amp; $AQ$85 &amp; $AN57),0)),"",INDIRECT(CONCATENATE("Table!",ADDRESS($AJ57,MATCH(O$1,INDIRECT("Table!A" &amp; $AN57):INDIRECT("Table!" &amp; $AQ$85 &amp; $AN57),0))))/1024)</f>
        <v>250.96774804687499</v>
      </c>
      <c r="P57" s="272">
        <f ca="1">IF(ISERROR(MATCH(P$1,INDIRECT("Table!A"&amp;$AN57):INDIRECT("Table!" &amp; $AQ$85 &amp; $AN57),0)),"",INDIRECT(CONCATENATE("Table!",ADDRESS($AJ57,MATCH(P$1,INDIRECT("Table!A" &amp; $AN57):INDIRECT("Table!" &amp; $AQ$85 &amp; $AN57),0))))/1024)</f>
        <v>33.848707031250001</v>
      </c>
      <c r="Q57" s="272">
        <f ca="1">IF(ISERROR(MATCH(Q$1,INDIRECT("Table!A"&amp;$AN57):INDIRECT("Table!" &amp; $AQ$85 &amp; $AN57),0)),"",INDIRECT(CONCATENATE("Table!",ADDRESS($AJ57,MATCH(Q$1,INDIRECT("Table!A" &amp; $AN57):INDIRECT("Table!" &amp; $AQ$85 &amp; $AN57),0))))/1024)</f>
        <v>84.160792968750002</v>
      </c>
      <c r="R57" s="272">
        <f ca="1">IF(ISERROR(MATCH(R$1,INDIRECT("Table!A"&amp;$AN57):INDIRECT("Table!" &amp; $AQ$85 &amp; $AN57),0)),"",INDIRECT(CONCATENATE("Table!",ADDRESS($AJ57,MATCH(R$1,INDIRECT("Table!A" &amp; $AN57):INDIRECT("Table!" &amp; $AQ$85 &amp; $AN57),0))))/1024)</f>
        <v>101.11807324218749</v>
      </c>
      <c r="S57" s="595">
        <v>0</v>
      </c>
      <c r="T57" s="595">
        <f ca="1">IF(ISERROR(MATCH(T$1,INDIRECT("Table!A"&amp;$AN57):INDIRECT("Table!" &amp; $AQ$85 &amp; $AN57),0)),"",INDIRECT(CONCATENATE("Table!",ADDRESS($AJ57,MATCH(T$1,INDIRECT("Table!A" &amp; $AN57):INDIRECT("Table!" &amp; $AQ$85 &amp; $AN57),0))))/1024)</f>
        <v>30.9840791015625</v>
      </c>
      <c r="U57" s="272" t="str">
        <f ca="1">IF(ISERROR(MATCH(U$1,INDIRECT("Table!A"&amp;$AN57):INDIRECT("Table!" &amp; $AQ$85 &amp; $AN57),0)),"",INDIRECT(CONCATENATE("Table!",ADDRESS($AJ57,MATCH(U$1,INDIRECT("Table!A" &amp; $AN57):INDIRECT("Table!" &amp; $AQ$85 &amp; $AN57),0))))/1024)</f>
        <v/>
      </c>
      <c r="V57" s="595"/>
      <c r="W57" s="595"/>
      <c r="X57" s="595"/>
      <c r="Y57" s="595"/>
      <c r="Z57" s="595"/>
      <c r="AA57" s="595"/>
      <c r="AB57" s="595"/>
      <c r="AC57" s="595"/>
      <c r="AD57" s="595"/>
      <c r="AE57" s="595"/>
      <c r="AF57" s="595"/>
      <c r="AG57" s="595"/>
      <c r="AH57" s="595"/>
      <c r="AI57" s="595"/>
      <c r="AJ57" s="272">
        <f>MATCH($A57,Table!$A:$A,0)+$AL$2-1</f>
        <v>791</v>
      </c>
      <c r="AK57" s="473"/>
      <c r="AL57" s="473"/>
      <c r="AM57" s="473"/>
      <c r="AN57" s="272">
        <f>MATCH($A57,Table!$A:$A,0)+$AP$2-1</f>
        <v>783</v>
      </c>
      <c r="AO57" s="473"/>
      <c r="AP57" s="473"/>
      <c r="AQ57" s="973" t="s">
        <v>302</v>
      </c>
      <c r="AR57" s="699">
        <f t="shared" ca="1" si="13"/>
        <v>2883.9559365234372</v>
      </c>
      <c r="AS57" s="699">
        <f t="shared" ca="1" si="22"/>
        <v>27.032868164062165</v>
      </c>
    </row>
    <row r="58" spans="1:45" s="267" customFormat="1" x14ac:dyDescent="0.25">
      <c r="A58" s="268">
        <v>41519</v>
      </c>
      <c r="B58" s="272">
        <f ca="1">IF(ISERROR(MATCH(B$1,INDIRECT("Table!A"&amp;$AN58):INDIRECT("Table!" &amp; $AQ$108 &amp; $AN58),0)),"",INDIRECT(CONCATENATE("Table!",ADDRESS($AJ58,MATCH(B$1,INDIRECT("Table!A" &amp; $AN58):INDIRECT("Table!" &amp; $AQ$108 &amp; $AN58),0))))/1024)</f>
        <v>181.36058203125</v>
      </c>
      <c r="C58" s="272">
        <f ca="1">IF(ISERROR(MATCH(C$1,INDIRECT("Table!A"&amp;$AN58):INDIRECT("Table!" &amp; $AQ$108 &amp; $AN58),0)),"",INDIRECT(CONCATENATE("Table!",ADDRESS($AJ58,MATCH(C$1,INDIRECT("Table!A" &amp; $AN58):INDIRECT("Table!" &amp; $AQ$108 &amp; $AN58),0))))/1024)</f>
        <v>92.227848632812496</v>
      </c>
      <c r="D58" s="272">
        <f ca="1">IF(ISERROR(MATCH(D$1,INDIRECT("Table!A"&amp;$AN58):INDIRECT("Table!" &amp; $AQ$108 &amp; $AN58),0)),"",INDIRECT(CONCATENATE("Table!",ADDRESS($AJ58,MATCH(D$1,INDIRECT("Table!A" &amp; $AN58):INDIRECT("Table!" &amp; $AQ$108 &amp; $AN58),0))))/1024)</f>
        <v>93.21565136718749</v>
      </c>
      <c r="E58" s="272">
        <f ca="1">IF(ISERROR(MATCH(E$1,INDIRECT("Table!A"&amp;$AN58):INDIRECT("Table!" &amp; $AQ$108 &amp; $AN58),0)),"",INDIRECT(CONCATENATE("Table!",ADDRESS($AJ58,MATCH(E$1,INDIRECT("Table!A" &amp; $AN58):INDIRECT("Table!" &amp; $AQ$108 &amp; $AN58),0))))/1024)</f>
        <v>274.18111230468747</v>
      </c>
      <c r="F58" s="272">
        <f ca="1">IF(ISERROR(MATCH(F$1,INDIRECT("Table!A"&amp;$AN58):INDIRECT("Table!" &amp; $AQ$108 &amp; $AN58),0)),"",INDIRECT(CONCATENATE("Table!",ADDRESS($AJ58,MATCH(F$1,INDIRECT("Table!A" &amp; $AN58):INDIRECT("Table!" &amp; $AQ$108 &amp; $AN58),0))))/1024)</f>
        <v>257.42139257812499</v>
      </c>
      <c r="G58" s="272">
        <f ca="1">IF(ISERROR(MATCH(G$1,INDIRECT("Table!A"&amp;$AN58):INDIRECT("Table!" &amp; $AQ$108 &amp; $AN58),0)),"",INDIRECT(CONCATENATE("Table!",ADDRESS($AJ58,MATCH(G$1,INDIRECT("Table!A" &amp; $AN58):INDIRECT("Table!" &amp; $AQ$108 &amp; $AN58),0))))/1024)</f>
        <v>450.40512011718749</v>
      </c>
      <c r="H58" s="272">
        <f ca="1">IF(ISERROR(MATCH(H$1,INDIRECT("Table!A"&amp;$AN58):INDIRECT("Table!" &amp; $AQ$108 &amp; $AN58),0)),"",INDIRECT(CONCATENATE("Table!",ADDRESS($AJ58,MATCH(H$1,INDIRECT("Table!A" &amp; $AN58):INDIRECT("Table!" &amp; $AQ$108 &amp; $AN58),0))))/1024)</f>
        <v>141.02530371093749</v>
      </c>
      <c r="I58" s="272">
        <f ca="1">IF(ISERROR(MATCH(I$1,INDIRECT("Table!A"&amp;$AN58):INDIRECT("Table!" &amp; $AQ$85 &amp; $AN58),0)),"",INDIRECT(CONCATENATE("Table!",ADDRESS($AJ58,MATCH(I$1,INDIRECT("Table!A" &amp; $AN58):INDIRECT("Table!" &amp; $AQ$85 &amp; $AN58),0))))/1024)</f>
        <v>19.097519531250001</v>
      </c>
      <c r="J58" s="272">
        <f ca="1">IF(ISERROR(MATCH(J$1,INDIRECT("Table!A"&amp;$AN58):INDIRECT("Table!" &amp; $AQ$85 &amp; $AN58),0)),"",INDIRECT(CONCATENATE("Table!",ADDRESS($AJ58,MATCH(J$1,INDIRECT("Table!A" &amp; $AN58):INDIRECT("Table!" &amp; $AQ$85 &amp; $AN58),0))))/1024)</f>
        <v>86.4327392578125</v>
      </c>
      <c r="K58" s="272">
        <f ca="1">IF(ISERROR(MATCH(K$1,INDIRECT("Table!A"&amp;$AN58):INDIRECT("Table!" &amp; $AQ$85 &amp; $AN58),0)),"",INDIRECT(CONCATENATE("Table!",ADDRESS($AJ58,MATCH(K$1,INDIRECT("Table!A" &amp; $AN58):INDIRECT("Table!" &amp; $AQ$85 &amp; $AN58),0))))/1024)</f>
        <v>14.817041015625</v>
      </c>
      <c r="L58" s="272">
        <f ca="1">IF(ISERROR(MATCH(L$1,INDIRECT("Table!A"&amp;$AN58):INDIRECT("Table!" &amp; $AQ$85 &amp; $AN58),0)),"",INDIRECT(CONCATENATE("Table!",ADDRESS($AJ58,MATCH(L$1,INDIRECT("Table!A" &amp; $AN58):INDIRECT("Table!" &amp; $AQ$85 &amp; $AN58),0))))/1024)</f>
        <v>269.04453808593752</v>
      </c>
      <c r="M58" s="272">
        <f ca="1">IF(ISERROR(MATCH(M$1,INDIRECT("Table!A"&amp;$AN58):INDIRECT("Table!" &amp; $AQ$85 &amp; $AN58),0)),"",INDIRECT(CONCATENATE("Table!",ADDRESS($AJ58,MATCH(M$1,INDIRECT("Table!A" &amp; $AN58):INDIRECT("Table!" &amp; $AQ$85 &amp; $AN58),0))))/1024)</f>
        <v>354.3906943359375</v>
      </c>
      <c r="N58" s="272">
        <f ca="1">IF(ISERROR(MATCH(N$1,INDIRECT("Table!A"&amp;$AN58):INDIRECT("Table!" &amp; $AQ$85 &amp; $AN58),0)),"",INDIRECT(CONCATENATE("Table!",ADDRESS($AJ58,MATCH(N$1,INDIRECT("Table!A" &amp; $AN58):INDIRECT("Table!" &amp; $AQ$85 &amp; $AN58),0))))/1024)</f>
        <v>133.5509296875</v>
      </c>
      <c r="O58" s="272">
        <f ca="1">IF(ISERROR(MATCH(O$1,INDIRECT("Table!A"&amp;$AN58):INDIRECT("Table!" &amp; $AQ$85 &amp; $AN58),0)),"",INDIRECT(CONCATENATE("Table!",ADDRESS($AJ58,MATCH(O$1,INDIRECT("Table!A" &amp; $AN58):INDIRECT("Table!" &amp; $AQ$85 &amp; $AN58),0))))/1024)</f>
        <v>249.97994531249998</v>
      </c>
      <c r="P58" s="272">
        <f ca="1">IF(ISERROR(MATCH(P$1,INDIRECT("Table!A"&amp;$AN58):INDIRECT("Table!" &amp; $AQ$85 &amp; $AN58),0)),"",INDIRECT(CONCATENATE("Table!",ADDRESS($AJ58,MATCH(P$1,INDIRECT("Table!A" &amp; $AN58):INDIRECT("Table!" &amp; $AQ$85 &amp; $AN58),0))))/1024)</f>
        <v>33.848707031250001</v>
      </c>
      <c r="Q58" s="272">
        <f ca="1">IF(ISERROR(MATCH(Q$1,INDIRECT("Table!A"&amp;$AN58):INDIRECT("Table!" &amp; $AQ$85 &amp; $AN58),0)),"",INDIRECT(CONCATENATE("Table!",ADDRESS($AJ58,MATCH(Q$1,INDIRECT("Table!A" &amp; $AN58):INDIRECT("Table!" &amp; $AQ$85 &amp; $AN58),0))))/1024)</f>
        <v>77.904708984374992</v>
      </c>
      <c r="R58" s="272">
        <f ca="1">IF(ISERROR(MATCH(R$1,INDIRECT("Table!A"&amp;$AN58):INDIRECT("Table!" &amp; $AQ$85 &amp; $AN58),0)),"",INDIRECT(CONCATENATE("Table!",ADDRESS($AJ58,MATCH(R$1,INDIRECT("Table!A" &amp; $AN58):INDIRECT("Table!" &amp; $AQ$85 &amp; $AN58),0))))/1024)</f>
        <v>98.154665039062493</v>
      </c>
      <c r="S58" s="595">
        <v>0</v>
      </c>
      <c r="T58" s="595">
        <f ca="1">IF(ISERROR(MATCH(T$1,INDIRECT("Table!A"&amp;$AN58):INDIRECT("Table!" &amp; $AQ$85 &amp; $AN58),0)),"",INDIRECT(CONCATENATE("Table!",ADDRESS($AJ58,MATCH(T$1,INDIRECT("Table!A" &amp; $AN58):INDIRECT("Table!" &amp; $AQ$85 &amp; $AN58),0))))/1024)</f>
        <v>29.8645693359375</v>
      </c>
      <c r="U58" s="272" t="str">
        <f ca="1">IF(ISERROR(MATCH(U$1,INDIRECT("Table!A"&amp;$AN58):INDIRECT("Table!" &amp; $AQ$85 &amp; $AN58),0)),"",INDIRECT(CONCATENATE("Table!",ADDRESS($AJ58,MATCH(U$1,INDIRECT("Table!A" &amp; $AN58):INDIRECT("Table!" &amp; $AQ$85 &amp; $AN58),0))))/1024)</f>
        <v/>
      </c>
      <c r="V58" s="595"/>
      <c r="W58" s="595"/>
      <c r="X58" s="595"/>
      <c r="Y58" s="595"/>
      <c r="Z58" s="595"/>
      <c r="AA58" s="595"/>
      <c r="AB58" s="595"/>
      <c r="AC58" s="595"/>
      <c r="AD58" s="595"/>
      <c r="AE58" s="595"/>
      <c r="AF58" s="595"/>
      <c r="AG58" s="595"/>
      <c r="AH58" s="595"/>
      <c r="AI58" s="595"/>
      <c r="AJ58" s="272">
        <f>MATCH($A58,Table!$A:$A,0)+$AL$2-1</f>
        <v>803</v>
      </c>
      <c r="AK58" s="468"/>
      <c r="AL58" s="468"/>
      <c r="AM58" s="468"/>
      <c r="AN58" s="272">
        <f>MATCH($A58,Table!$A:$A,0)+$AP$2-1</f>
        <v>795</v>
      </c>
      <c r="AO58" s="468"/>
      <c r="AP58" s="468"/>
      <c r="AQ58" s="973" t="s">
        <v>302</v>
      </c>
      <c r="AR58" s="699">
        <f t="shared" ca="1" si="13"/>
        <v>2856.9230683593751</v>
      </c>
      <c r="AS58" s="699">
        <f t="shared" ca="1" si="22"/>
        <v>5.1036474609381912</v>
      </c>
    </row>
    <row r="59" spans="1:45" s="267" customFormat="1" x14ac:dyDescent="0.25">
      <c r="A59" s="268">
        <v>41513</v>
      </c>
      <c r="B59" s="272">
        <f ca="1">IF(ISERROR(MATCH(B$1,INDIRECT("Table!A"&amp;$AN59):INDIRECT("Table!" &amp; $AQ$108 &amp; $AN59),0)),"",INDIRECT(CONCATENATE("Table!",ADDRESS($AJ59,MATCH(B$1,INDIRECT("Table!A" &amp; $AN59):INDIRECT("Table!" &amp; $AQ$108 &amp; $AN59),0))))/1024)</f>
        <v>180.57033984374999</v>
      </c>
      <c r="C59" s="272">
        <f ca="1">IF(ISERROR(MATCH(C$1,INDIRECT("Table!A"&amp;$AN59):INDIRECT("Table!" &amp; $AQ$108 &amp; $AN59),0)),"",INDIRECT(CONCATENATE("Table!",ADDRESS($AJ59,MATCH(C$1,INDIRECT("Table!A" &amp; $AN59):INDIRECT("Table!" &amp; $AQ$108 &amp; $AN59),0))))/1024)</f>
        <v>91.832727539062503</v>
      </c>
      <c r="D59" s="272">
        <f ca="1">IF(ISERROR(MATCH(D$1,INDIRECT("Table!A"&amp;$AN59):INDIRECT("Table!" &amp; $AQ$108 &amp; $AN59),0)),"",INDIRECT(CONCATENATE("Table!",ADDRESS($AJ59,MATCH(D$1,INDIRECT("Table!A" &amp; $AN59):INDIRECT("Table!" &amp; $AQ$108 &amp; $AN59),0))))/1024)</f>
        <v>92.260775390625</v>
      </c>
      <c r="E59" s="272">
        <f ca="1">IF(ISERROR(MATCH(E$1,INDIRECT("Table!A"&amp;$AN59):INDIRECT("Table!" &amp; $AQ$108 &amp; $AN59),0)),"",INDIRECT(CONCATENATE("Table!",ADDRESS($AJ59,MATCH(E$1,INDIRECT("Table!A" &amp; $AN59):INDIRECT("Table!" &amp; $AQ$108 &amp; $AN59),0))))/1024)</f>
        <v>274.18111230468747</v>
      </c>
      <c r="F59" s="272">
        <f ca="1">IF(ISERROR(MATCH(F$1,INDIRECT("Table!A"&amp;$AN59):INDIRECT("Table!" &amp; $AQ$108 &amp; $AN59),0)),"",INDIRECT(CONCATENATE("Table!",ADDRESS($AJ59,MATCH(F$1,INDIRECT("Table!A" &amp; $AN59):INDIRECT("Table!" &amp; $AQ$108 &amp; $AN59),0))))/1024)</f>
        <v>256.76285742187497</v>
      </c>
      <c r="G59" s="272">
        <f ca="1">IF(ISERROR(MATCH(G$1,INDIRECT("Table!A"&amp;$AN59):INDIRECT("Table!" &amp; $AQ$108 &amp; $AN59),0)),"",INDIRECT(CONCATENATE("Table!",ADDRESS($AJ59,MATCH(G$1,INDIRECT("Table!A" &amp; $AN59):INDIRECT("Table!" &amp; $AQ$108 &amp; $AN59),0))))/1024)</f>
        <v>450.17463281249996</v>
      </c>
      <c r="H59" s="272">
        <f ca="1">IF(ISERROR(MATCH(H$1,INDIRECT("Table!A"&amp;$AN59):INDIRECT("Table!" &amp; $AQ$108 &amp; $AN59),0)),"",INDIRECT(CONCATENATE("Table!",ADDRESS($AJ59,MATCH(H$1,INDIRECT("Table!A" &amp; $AN59):INDIRECT("Table!" &amp; $AQ$108 &amp; $AN59),0))))/1024)</f>
        <v>140.79481640624999</v>
      </c>
      <c r="I59" s="272">
        <f ca="1">IF(ISERROR(MATCH(I$1,INDIRECT("Table!A"&amp;$AN59):INDIRECT("Table!" &amp; $AQ$85 &amp; $AN59),0)),"",INDIRECT(CONCATENATE("Table!",ADDRESS($AJ59,MATCH(I$1,INDIRECT("Table!A" &amp; $AN59):INDIRECT("Table!" &amp; $AQ$85 &amp; $AN59),0))))/1024)</f>
        <v>18.570691406249999</v>
      </c>
      <c r="J59" s="272">
        <f ca="1">IF(ISERROR(MATCH(J$1,INDIRECT("Table!A"&amp;$AN59):INDIRECT("Table!" &amp; $AQ$85 &amp; $AN59),0)),"",INDIRECT(CONCATENATE("Table!",ADDRESS($AJ59,MATCH(J$1,INDIRECT("Table!A" &amp; $AN59):INDIRECT("Table!" &amp; $AQ$85 &amp; $AN59),0))))/1024)</f>
        <v>86.4327392578125</v>
      </c>
      <c r="K59" s="272">
        <f ca="1">IF(ISERROR(MATCH(K$1,INDIRECT("Table!A"&amp;$AN59):INDIRECT("Table!" &amp; $AQ$85 &amp; $AN59),0)),"",INDIRECT(CONCATENATE("Table!",ADDRESS($AJ59,MATCH(K$1,INDIRECT("Table!A" &amp; $AN59):INDIRECT("Table!" &amp; $AQ$85 &amp; $AN59),0))))/1024)</f>
        <v>14.817041015625</v>
      </c>
      <c r="L59" s="272">
        <f ca="1">IF(ISERROR(MATCH(L$1,INDIRECT("Table!A"&amp;$AN59):INDIRECT("Table!" &amp; $AQ$85 &amp; $AN59),0)),"",INDIRECT(CONCATENATE("Table!",ADDRESS($AJ59,MATCH(L$1,INDIRECT("Table!A" &amp; $AN59):INDIRECT("Table!" &amp; $AQ$85 &amp; $AN59),0))))/1024)</f>
        <v>268.81405078124999</v>
      </c>
      <c r="M59" s="272">
        <f ca="1">IF(ISERROR(MATCH(M$1,INDIRECT("Table!A"&amp;$AN59):INDIRECT("Table!" &amp; $AQ$85 &amp; $AN59),0)),"",INDIRECT(CONCATENATE("Table!",ADDRESS($AJ59,MATCH(M$1,INDIRECT("Table!A" &amp; $AN59):INDIRECT("Table!" &amp; $AQ$85 &amp; $AN59),0))))/1024)</f>
        <v>354.3906943359375</v>
      </c>
      <c r="N59" s="272">
        <f ca="1">IF(ISERROR(MATCH(N$1,INDIRECT("Table!A"&amp;$AN59):INDIRECT("Table!" &amp; $AQ$85 &amp; $AN59),0)),"",INDIRECT(CONCATENATE("Table!",ADDRESS($AJ59,MATCH(N$1,INDIRECT("Table!A" &amp; $AN59):INDIRECT("Table!" &amp; $AQ$85 &amp; $AN59),0))))/1024)</f>
        <v>133.22166210937499</v>
      </c>
      <c r="O59" s="272">
        <f ca="1">IF(ISERROR(MATCH(O$1,INDIRECT("Table!A"&amp;$AN59):INDIRECT("Table!" &amp; $AQ$85 &amp; $AN59),0)),"",INDIRECT(CONCATENATE("Table!",ADDRESS($AJ59,MATCH(O$1,INDIRECT("Table!A" &amp; $AN59):INDIRECT("Table!" &amp; $AQ$85 &amp; $AN59),0))))/1024)</f>
        <v>249.74945800781248</v>
      </c>
      <c r="P59" s="272">
        <f ca="1">IF(ISERROR(MATCH(P$1,INDIRECT("Table!A"&amp;$AN59):INDIRECT("Table!" &amp; $AQ$85 &amp; $AN59),0)),"",INDIRECT(CONCATENATE("Table!",ADDRESS($AJ59,MATCH(P$1,INDIRECT("Table!A" &amp; $AN59):INDIRECT("Table!" &amp; $AQ$85 &amp; $AN59),0))))/1024)</f>
        <v>33.321878906249999</v>
      </c>
      <c r="Q59" s="272">
        <f ca="1">IF(ISERROR(MATCH(Q$1,INDIRECT("Table!A"&amp;$AN59):INDIRECT("Table!" &amp; $AQ$85 &amp; $AN59),0)),"",INDIRECT(CONCATENATE("Table!",ADDRESS($AJ59,MATCH(Q$1,INDIRECT("Table!A" &amp; $AN59):INDIRECT("Table!" &amp; $AQ$85 &amp; $AN59),0))))/1024)</f>
        <v>77.904708984374992</v>
      </c>
      <c r="R59" s="272">
        <f ca="1">IF(ISERROR(MATCH(R$1,INDIRECT("Table!A"&amp;$AN59):INDIRECT("Table!" &amp; $AQ$85 &amp; $AN59),0)),"",INDIRECT(CONCATENATE("Table!",ADDRESS($AJ59,MATCH(R$1,INDIRECT("Table!A" &amp; $AN59):INDIRECT("Table!" &amp; $AQ$85 &amp; $AN59),0))))/1024)</f>
        <v>98.154665039062493</v>
      </c>
      <c r="S59" s="595">
        <v>0</v>
      </c>
      <c r="T59" s="595">
        <f ca="1">IF(ISERROR(MATCH(T$1,INDIRECT("Table!A"&amp;$AN59):INDIRECT("Table!" &amp; $AQ$85 &amp; $AN59),0)),"",INDIRECT(CONCATENATE("Table!",ADDRESS($AJ59,MATCH(T$1,INDIRECT("Table!A" &amp; $AN59):INDIRECT("Table!" &amp; $AQ$85 &amp; $AN59),0))))/1024)</f>
        <v>29.8645693359375</v>
      </c>
      <c r="U59" s="272" t="str">
        <f ca="1">IF(ISERROR(MATCH(U$1,INDIRECT("Table!A"&amp;$AN59):INDIRECT("Table!" &amp; $AQ$85 &amp; $AN59),0)),"",INDIRECT(CONCATENATE("Table!",ADDRESS($AJ59,MATCH(U$1,INDIRECT("Table!A" &amp; $AN59):INDIRECT("Table!" &amp; $AQ$85 &amp; $AN59),0))))/1024)</f>
        <v/>
      </c>
      <c r="V59" s="595"/>
      <c r="W59" s="595"/>
      <c r="X59" s="595"/>
      <c r="Y59" s="595"/>
      <c r="Z59" s="595"/>
      <c r="AA59" s="595"/>
      <c r="AB59" s="595"/>
      <c r="AC59" s="595"/>
      <c r="AD59" s="595"/>
      <c r="AE59" s="595"/>
      <c r="AF59" s="595"/>
      <c r="AG59" s="595"/>
      <c r="AH59" s="595"/>
      <c r="AI59" s="595"/>
      <c r="AJ59" s="272">
        <f>MATCH($A59,Table!$A:$A,0)+$AL$2-1</f>
        <v>815</v>
      </c>
      <c r="AK59" s="463"/>
      <c r="AL59" s="463"/>
      <c r="AM59" s="463"/>
      <c r="AN59" s="272">
        <f>MATCH($A59,Table!$A:$A,0)+$AP$2-1</f>
        <v>807</v>
      </c>
      <c r="AO59" s="463"/>
      <c r="AP59" s="463"/>
      <c r="AQ59" s="973" t="s">
        <v>302</v>
      </c>
      <c r="AR59" s="699">
        <f t="shared" ca="1" si="13"/>
        <v>2851.8194208984369</v>
      </c>
      <c r="AS59" s="699">
        <f t="shared" ca="1" si="22"/>
        <v>72.37301367187456</v>
      </c>
    </row>
    <row r="60" spans="1:45" s="267" customFormat="1" x14ac:dyDescent="0.25">
      <c r="A60" s="268">
        <v>41498</v>
      </c>
      <c r="B60" s="272">
        <f ca="1">IF(ISERROR(MATCH(B$1,INDIRECT("Table!A"&amp;$AN60):INDIRECT("Table!" &amp; $AQ$108 &amp; $AN60),0)),"",INDIRECT(CONCATENATE("Table!",ADDRESS($AJ60,MATCH(B$1,INDIRECT("Table!A" &amp; $AN60):INDIRECT("Table!" &amp; $AQ$108 &amp; $AN60),0))))/1024)</f>
        <v>180.07643847656249</v>
      </c>
      <c r="C60" s="272">
        <f ca="1">IF(ISERROR(MATCH(C$1,INDIRECT("Table!A"&amp;$AN60):INDIRECT("Table!" &amp; $AQ$108 &amp; $AN60),0)),"",INDIRECT(CONCATENATE("Table!",ADDRESS($AJ60,MATCH(C$1,INDIRECT("Table!A" &amp; $AN60):INDIRECT("Table!" &amp; $AQ$108 &amp; $AN60),0))))/1024)</f>
        <v>91.240045898437501</v>
      </c>
      <c r="D60" s="272">
        <f ca="1">IF(ISERROR(MATCH(D$1,INDIRECT("Table!A"&amp;$AN60):INDIRECT("Table!" &amp; $AQ$108 &amp; $AN60),0)),"",INDIRECT(CONCATENATE("Table!",ADDRESS($AJ60,MATCH(D$1,INDIRECT("Table!A" &amp; $AN60):INDIRECT("Table!" &amp; $AQ$108 &amp; $AN60),0))))/1024)</f>
        <v>92.260775390625</v>
      </c>
      <c r="E60" s="272">
        <f ca="1">IF(ISERROR(MATCH(E$1,INDIRECT("Table!A"&amp;$AN60):INDIRECT("Table!" &amp; $AQ$108 &amp; $AN60),0)),"",INDIRECT(CONCATENATE("Table!",ADDRESS($AJ60,MATCH(E$1,INDIRECT("Table!A" &amp; $AN60):INDIRECT("Table!" &amp; $AQ$108 &amp; $AN60),0))))/1024)</f>
        <v>272.30428710937497</v>
      </c>
      <c r="F60" s="272">
        <f ca="1">IF(ISERROR(MATCH(F$1,INDIRECT("Table!A"&amp;$AN60):INDIRECT("Table!" &amp; $AQ$108 &amp; $AN60),0)),"",INDIRECT(CONCATENATE("Table!",ADDRESS($AJ60,MATCH(F$1,INDIRECT("Table!A" &amp; $AN60):INDIRECT("Table!" &amp; $AQ$108 &amp; $AN60),0))))/1024)</f>
        <v>256.76285742187497</v>
      </c>
      <c r="G60" s="272">
        <f ca="1">IF(ISERROR(MATCH(G$1,INDIRECT("Table!A"&amp;$AN60):INDIRECT("Table!" &amp; $AQ$108 &amp; $AN60),0)),"",INDIRECT(CONCATENATE("Table!",ADDRESS($AJ60,MATCH(G$1,INDIRECT("Table!A" &amp; $AN60):INDIRECT("Table!" &amp; $AQ$108 &amp; $AN60),0))))/1024)</f>
        <v>447.44171191406247</v>
      </c>
      <c r="H60" s="272">
        <f ca="1">IF(ISERROR(MATCH(H$1,INDIRECT("Table!A"&amp;$AN60):INDIRECT("Table!" &amp; $AQ$108 &amp; $AN60),0)),"",INDIRECT(CONCATENATE("Table!",ADDRESS($AJ60,MATCH(H$1,INDIRECT("Table!A" &amp; $AN60):INDIRECT("Table!" &amp; $AQ$108 &amp; $AN60),0))))/1024)</f>
        <v>139.80701367187498</v>
      </c>
      <c r="I60" s="272">
        <f ca="1">IF(ISERROR(MATCH(I$1,INDIRECT("Table!A"&amp;$AN60):INDIRECT("Table!" &amp; $AQ$85 &amp; $AN60),0)),"",INDIRECT(CONCATENATE("Table!",ADDRESS($AJ60,MATCH(I$1,INDIRECT("Table!A" &amp; $AN60):INDIRECT("Table!" &amp; $AQ$85 &amp; $AN60),0))))/1024)</f>
        <v>18.043863281250001</v>
      </c>
      <c r="J60" s="272">
        <f ca="1">IF(ISERROR(MATCH(J$1,INDIRECT("Table!A"&amp;$AN60):INDIRECT("Table!" &amp; $AQ$85 &amp; $AN60),0)),"",INDIRECT(CONCATENATE("Table!",ADDRESS($AJ60,MATCH(J$1,INDIRECT("Table!A" &amp; $AN60):INDIRECT("Table!" &amp; $AQ$85 &amp; $AN60),0))))/1024)</f>
        <v>59.498651367187499</v>
      </c>
      <c r="K60" s="272">
        <f ca="1">IF(ISERROR(MATCH(K$1,INDIRECT("Table!A"&amp;$AN60):INDIRECT("Table!" &amp; $AQ$85 &amp; $AN60),0)),"",INDIRECT(CONCATENATE("Table!",ADDRESS($AJ60,MATCH(K$1,INDIRECT("Table!A" &amp; $AN60):INDIRECT("Table!" &amp; $AQ$85 &amp; $AN60),0))))/1024)</f>
        <v>11.326804687499999</v>
      </c>
      <c r="L60" s="272">
        <f ca="1">IF(ISERROR(MATCH(L$1,INDIRECT("Table!A"&amp;$AN60):INDIRECT("Table!" &amp; $AQ$85 &amp; $AN60),0)),"",INDIRECT(CONCATENATE("Table!",ADDRESS($AJ60,MATCH(L$1,INDIRECT("Table!A" &amp; $AN60):INDIRECT("Table!" &amp; $AQ$85 &amp; $AN60),0))))/1024)</f>
        <v>268.81405078124999</v>
      </c>
      <c r="M60" s="272">
        <f ca="1">IF(ISERROR(MATCH(M$1,INDIRECT("Table!A"&amp;$AN60):INDIRECT("Table!" &amp; $AQ$85 &amp; $AN60),0)),"",INDIRECT(CONCATENATE("Table!",ADDRESS($AJ60,MATCH(M$1,INDIRECT("Table!A" &amp; $AN60):INDIRECT("Table!" &amp; $AQ$85 &amp; $AN60),0))))/1024)</f>
        <v>353.13947753906251</v>
      </c>
      <c r="N60" s="272">
        <f ca="1">IF(ISERROR(MATCH(N$1,INDIRECT("Table!A"&amp;$AN60):INDIRECT("Table!" &amp; $AQ$85 &amp; $AN60),0)),"",INDIRECT(CONCATENATE("Table!",ADDRESS($AJ60,MATCH(N$1,INDIRECT("Table!A" &amp; $AN60):INDIRECT("Table!" &amp; $AQ$85 &amp; $AN60),0))))/1024)</f>
        <v>133.22166210937499</v>
      </c>
      <c r="O60" s="272">
        <f ca="1">IF(ISERROR(MATCH(O$1,INDIRECT("Table!A"&amp;$AN60):INDIRECT("Table!" &amp; $AQ$85 &amp; $AN60),0)),"",INDIRECT(CONCATENATE("Table!",ADDRESS($AJ60,MATCH(O$1,INDIRECT("Table!A" &amp; $AN60):INDIRECT("Table!" &amp; $AQ$85 &amp; $AN60),0))))/1024)</f>
        <v>248.7616552734375</v>
      </c>
      <c r="P60" s="272">
        <f ca="1">IF(ISERROR(MATCH(P$1,INDIRECT("Table!A"&amp;$AN60):INDIRECT("Table!" &amp; $AQ$85 &amp; $AN60),0)),"",INDIRECT(CONCATENATE("Table!",ADDRESS($AJ60,MATCH(P$1,INDIRECT("Table!A" &amp; $AN60):INDIRECT("Table!" &amp; $AQ$85 &amp; $AN60),0))))/1024)</f>
        <v>32.795050781249998</v>
      </c>
      <c r="Q60" s="272">
        <f ca="1">IF(ISERROR(MATCH(Q$1,INDIRECT("Table!A"&amp;$AN60):INDIRECT("Table!" &amp; $AQ$85 &amp; $AN60),0)),"",INDIRECT(CONCATENATE("Table!",ADDRESS($AJ60,MATCH(Q$1,INDIRECT("Table!A" &amp; $AN60):INDIRECT("Table!" &amp; $AQ$85 &amp; $AN60),0))))/1024)</f>
        <v>63.285228515625001</v>
      </c>
      <c r="R60" s="272">
        <f ca="1">IF(ISERROR(MATCH(R$1,INDIRECT("Table!A"&amp;$AN60):INDIRECT("Table!" &amp; $AQ$85 &amp; $AN60),0)),"",INDIRECT(CONCATENATE("Table!",ADDRESS($AJ60,MATCH(R$1,INDIRECT("Table!A" &amp; $AN60):INDIRECT("Table!" &amp; $AQ$85 &amp; $AN60),0))))/1024)</f>
        <v>93.446138671874991</v>
      </c>
      <c r="S60" s="595">
        <v>0</v>
      </c>
      <c r="T60" s="595">
        <f ca="1">IF(ISERROR(MATCH(T$1,INDIRECT("Table!A"&amp;$AN60):INDIRECT("Table!" &amp; $AQ$85 &amp; $AN60),0)),"",INDIRECT(CONCATENATE("Table!",ADDRESS($AJ60,MATCH(T$1,INDIRECT("Table!A" &amp; $AN60):INDIRECT("Table!" &amp; $AQ$85 &amp; $AN60),0))))/1024)</f>
        <v>17.220694335937498</v>
      </c>
      <c r="U60" s="272" t="str">
        <f ca="1">IF(ISERROR(MATCH(U$1,INDIRECT("Table!A"&amp;$AN60):INDIRECT("Table!" &amp; $AQ$85 &amp; $AN60),0)),"",INDIRECT(CONCATENATE("Table!",ADDRESS($AJ60,MATCH(U$1,INDIRECT("Table!A" &amp; $AN60):INDIRECT("Table!" &amp; $AQ$85 &amp; $AN60),0))))/1024)</f>
        <v/>
      </c>
      <c r="V60" s="595"/>
      <c r="W60" s="595"/>
      <c r="X60" s="595"/>
      <c r="Y60" s="595"/>
      <c r="Z60" s="595"/>
      <c r="AA60" s="595"/>
      <c r="AB60" s="595"/>
      <c r="AC60" s="595"/>
      <c r="AD60" s="595"/>
      <c r="AE60" s="595"/>
      <c r="AF60" s="595"/>
      <c r="AG60" s="595"/>
      <c r="AH60" s="595"/>
      <c r="AI60" s="595"/>
      <c r="AJ60" s="272">
        <f>MATCH($A60,Table!$A:$A,0)+$AL$2-1</f>
        <v>827</v>
      </c>
      <c r="AK60" s="458"/>
      <c r="AL60" s="458"/>
      <c r="AM60" s="458"/>
      <c r="AN60" s="272">
        <f>MATCH($A60,Table!$A:$A,0)+$AP$2-1</f>
        <v>819</v>
      </c>
      <c r="AO60" s="458"/>
      <c r="AP60" s="458"/>
      <c r="AQ60" s="973" t="s">
        <v>302</v>
      </c>
      <c r="AR60" s="699">
        <f t="shared" ca="1" si="13"/>
        <v>2779.4464072265623</v>
      </c>
      <c r="AS60" s="699">
        <f t="shared" ca="1" si="22"/>
        <v>31.609687500000291</v>
      </c>
    </row>
    <row r="61" spans="1:45" s="267" customFormat="1" x14ac:dyDescent="0.25">
      <c r="A61" s="268">
        <v>41491</v>
      </c>
      <c r="B61" s="272">
        <f ca="1">IF(ISERROR(MATCH(B$1,INDIRECT("Table!A"&amp;$AN61):INDIRECT("Table!" &amp; $AQ$108 &amp; $AN61),0)),"",INDIRECT(CONCATENATE("Table!",ADDRESS($AJ61,MATCH(B$1,INDIRECT("Table!A" &amp; $AN61):INDIRECT("Table!" &amp; $AQ$108 &amp; $AN61),0))))/1024)</f>
        <v>180.07643847656249</v>
      </c>
      <c r="C61" s="272">
        <f ca="1">IF(ISERROR(MATCH(C$1,INDIRECT("Table!A"&amp;$AN61):INDIRECT("Table!" &amp; $AQ$108 &amp; $AN61),0)),"",INDIRECT(CONCATENATE("Table!",ADDRESS($AJ61,MATCH(C$1,INDIRECT("Table!A" &amp; $AN61):INDIRECT("Table!" &amp; $AQ$108 &amp; $AN61),0))))/1024)</f>
        <v>92.030288085937499</v>
      </c>
      <c r="D61" s="272">
        <f ca="1">IF(ISERROR(MATCH(D$1,INDIRECT("Table!A"&amp;$AN61):INDIRECT("Table!" &amp; $AQ$108 &amp; $AN61),0)),"",INDIRECT(CONCATENATE("Table!",ADDRESS($AJ61,MATCH(D$1,INDIRECT("Table!A" &amp; $AN61):INDIRECT("Table!" &amp; $AQ$108 &amp; $AN61),0))))/1024)</f>
        <v>93.051017578124998</v>
      </c>
      <c r="E61" s="272">
        <f ca="1">IF(ISERROR(MATCH(E$1,INDIRECT("Table!A"&amp;$AN61):INDIRECT("Table!" &amp; $AQ$108 &amp; $AN61),0)),"",INDIRECT(CONCATENATE("Table!",ADDRESS($AJ61,MATCH(E$1,INDIRECT("Table!A" &amp; $AN61):INDIRECT("Table!" &amp; $AQ$108 &amp; $AN61),0))))/1024)</f>
        <v>271.81038574218746</v>
      </c>
      <c r="F61" s="272">
        <f ca="1">IF(ISERROR(MATCH(F$1,INDIRECT("Table!A"&amp;$AN61):INDIRECT("Table!" &amp; $AQ$108 &amp; $AN61),0)),"",INDIRECT(CONCATENATE("Table!",ADDRESS($AJ61,MATCH(F$1,INDIRECT("Table!A" &amp; $AN61):INDIRECT("Table!" &amp; $AQ$108 &amp; $AN61),0))))/1024)</f>
        <v>256.76285742187497</v>
      </c>
      <c r="G61" s="272">
        <f ca="1">IF(ISERROR(MATCH(G$1,INDIRECT("Table!A"&amp;$AN61):INDIRECT("Table!" &amp; $AQ$108 &amp; $AN61),0)),"",INDIRECT(CONCATENATE("Table!",ADDRESS($AJ61,MATCH(G$1,INDIRECT("Table!A" &amp; $AN61):INDIRECT("Table!" &amp; $AQ$108 &amp; $AN61),0))))/1024)</f>
        <v>447.44171191406247</v>
      </c>
      <c r="H61" s="272">
        <f ca="1">IF(ISERROR(MATCH(H$1,INDIRECT("Table!A"&amp;$AN61):INDIRECT("Table!" &amp; $AQ$108 &amp; $AN61),0)),"",INDIRECT(CONCATENATE("Table!",ADDRESS($AJ61,MATCH(H$1,INDIRECT("Table!A" &amp; $AN61):INDIRECT("Table!" &amp; $AQ$108 &amp; $AN61),0))))/1024)</f>
        <v>138.29238281249999</v>
      </c>
      <c r="I61" s="272">
        <f ca="1">IF(ISERROR(MATCH(I$1,INDIRECT("Table!A"&amp;$AN61):INDIRECT("Table!" &amp; $AQ$85 &amp; $AN61),0)),"",INDIRECT(CONCATENATE("Table!",ADDRESS($AJ61,MATCH(I$1,INDIRECT("Table!A" &amp; $AN61):INDIRECT("Table!" &amp; $AQ$85 &amp; $AN61),0))))/1024)</f>
        <v>18.043863281250001</v>
      </c>
      <c r="J61" s="272">
        <f ca="1">IF(ISERROR(MATCH(J$1,INDIRECT("Table!A"&amp;$AN61):INDIRECT("Table!" &amp; $AQ$85 &amp; $AN61),0)),"",INDIRECT(CONCATENATE("Table!",ADDRESS($AJ61,MATCH(J$1,INDIRECT("Table!A" &amp; $AN61):INDIRECT("Table!" &amp; $AQ$85 &amp; $AN61),0))))/1024)</f>
        <v>51.266961914062499</v>
      </c>
      <c r="K61" s="272">
        <f ca="1">IF(ISERROR(MATCH(K$1,INDIRECT("Table!A"&amp;$AN61):INDIRECT("Table!" &amp; $AQ$85 &amp; $AN61),0)),"",INDIRECT(CONCATENATE("Table!",ADDRESS($AJ61,MATCH(K$1,INDIRECT("Table!A" &amp; $AN61):INDIRECT("Table!" &amp; $AQ$85 &amp; $AN61),0))))/1024)</f>
        <v>11.392658203125</v>
      </c>
      <c r="L61" s="272">
        <f ca="1">IF(ISERROR(MATCH(L$1,INDIRECT("Table!A"&amp;$AN61):INDIRECT("Table!" &amp; $AQ$85 &amp; $AN61),0)),"",INDIRECT(CONCATENATE("Table!",ADDRESS($AJ61,MATCH(L$1,INDIRECT("Table!A" &amp; $AN61):INDIRECT("Table!" &amp; $AQ$85 &amp; $AN61),0))))/1024)</f>
        <v>268.81405078124999</v>
      </c>
      <c r="M61" s="272">
        <f ca="1">IF(ISERROR(MATCH(M$1,INDIRECT("Table!A"&amp;$AN61):INDIRECT("Table!" &amp; $AQ$85 &amp; $AN61),0)),"",INDIRECT(CONCATENATE("Table!",ADDRESS($AJ61,MATCH(M$1,INDIRECT("Table!A" &amp; $AN61):INDIRECT("Table!" &amp; $AQ$85 &amp; $AN61),0))))/1024)</f>
        <v>350.47241015624996</v>
      </c>
      <c r="N61" s="272">
        <f ca="1">IF(ISERROR(MATCH(N$1,INDIRECT("Table!A"&amp;$AN61):INDIRECT("Table!" &amp; $AQ$85 &amp; $AN61),0)),"",INDIRECT(CONCATENATE("Table!",ADDRESS($AJ61,MATCH(N$1,INDIRECT("Table!A" &amp; $AN61):INDIRECT("Table!" &amp; $AQ$85 &amp; $AN61),0))))/1024)</f>
        <v>133.22166210937499</v>
      </c>
      <c r="O61" s="272">
        <f ca="1">IF(ISERROR(MATCH(O$1,INDIRECT("Table!A"&amp;$AN61):INDIRECT("Table!" &amp; $AQ$85 &amp; $AN61),0)),"",INDIRECT(CONCATENATE("Table!",ADDRESS($AJ61,MATCH(O$1,INDIRECT("Table!A" &amp; $AN61):INDIRECT("Table!" &amp; $AQ$85 &amp; $AN61),0))))/1024)</f>
        <v>247.24702441406248</v>
      </c>
      <c r="P61" s="272">
        <f ca="1">IF(ISERROR(MATCH(P$1,INDIRECT("Table!A"&amp;$AN61):INDIRECT("Table!" &amp; $AQ$85 &amp; $AN61),0)),"",INDIRECT(CONCATENATE("Table!",ADDRESS($AJ61,MATCH(P$1,INDIRECT("Table!A" &amp; $AN61):INDIRECT("Table!" &amp; $AQ$85 &amp; $AN61),0))))/1024)</f>
        <v>32.795050781249998</v>
      </c>
      <c r="Q61" s="272">
        <f ca="1">IF(ISERROR(MATCH(Q$1,INDIRECT("Table!A"&amp;$AN61):INDIRECT("Table!" &amp; $AQ$85 &amp; $AN61),0)),"",INDIRECT(CONCATENATE("Table!",ADDRESS($AJ61,MATCH(Q$1,INDIRECT("Table!A" &amp; $AN61):INDIRECT("Table!" &amp; $AQ$85 &amp; $AN61),0))))/1024)</f>
        <v>55.251099609374997</v>
      </c>
      <c r="R61" s="272">
        <f ca="1">IF(ISERROR(MATCH(R$1,INDIRECT("Table!A"&amp;$AN61):INDIRECT("Table!" &amp; $AQ$85 &amp; $AN61),0)),"",INDIRECT(CONCATENATE("Table!",ADDRESS($AJ61,MATCH(R$1,INDIRECT("Table!A" &amp; $AN61):INDIRECT("Table!" &amp; $AQ$85 &amp; $AN61),0))))/1024)</f>
        <v>82.646162109374998</v>
      </c>
      <c r="S61" s="595">
        <v>0</v>
      </c>
      <c r="T61" s="595">
        <f ca="1">IF(ISERROR(MATCH(T$1,INDIRECT("Table!A"&amp;$AN61):INDIRECT("Table!" &amp; $AQ$85 &amp; $AN61),0)),"",INDIRECT(CONCATENATE("Table!",ADDRESS($AJ61,MATCH(T$1,INDIRECT("Table!A" &amp; $AN61):INDIRECT("Table!" &amp; $AQ$85 &amp; $AN61),0))))/1024)</f>
        <v>17.220694335937498</v>
      </c>
      <c r="U61" s="272" t="str">
        <f ca="1">IF(ISERROR(MATCH(U$1,INDIRECT("Table!A"&amp;$AN61):INDIRECT("Table!" &amp; $AQ$85 &amp; $AN61),0)),"",INDIRECT(CONCATENATE("Table!",ADDRESS($AJ61,MATCH(U$1,INDIRECT("Table!A" &amp; $AN61):INDIRECT("Table!" &amp; $AQ$85 &amp; $AN61),0))))/1024)</f>
        <v/>
      </c>
      <c r="V61" s="595"/>
      <c r="W61" s="595"/>
      <c r="X61" s="595"/>
      <c r="Y61" s="595"/>
      <c r="Z61" s="595"/>
      <c r="AA61" s="595"/>
      <c r="AB61" s="595"/>
      <c r="AC61" s="595"/>
      <c r="AD61" s="595"/>
      <c r="AE61" s="595"/>
      <c r="AF61" s="595"/>
      <c r="AG61" s="595"/>
      <c r="AH61" s="595"/>
      <c r="AI61" s="595"/>
      <c r="AJ61" s="272">
        <f>MATCH($A61,Table!$A:$A,0)+$AL$2-1</f>
        <v>839</v>
      </c>
      <c r="AK61" s="453"/>
      <c r="AL61" s="453"/>
      <c r="AM61" s="453"/>
      <c r="AN61" s="272">
        <f>MATCH($A61,Table!$A:$A,0)+$AP$2-1</f>
        <v>831</v>
      </c>
      <c r="AO61" s="453"/>
      <c r="AP61" s="453"/>
      <c r="AQ61" s="973" t="s">
        <v>302</v>
      </c>
      <c r="AR61" s="699">
        <f t="shared" ca="1" si="13"/>
        <v>2747.836719726562</v>
      </c>
      <c r="AS61" s="699">
        <f t="shared" ca="1" si="22"/>
        <v>10.964610351561532</v>
      </c>
    </row>
    <row r="62" spans="1:45" s="267" customFormat="1" x14ac:dyDescent="0.25">
      <c r="A62" s="268">
        <v>41485</v>
      </c>
      <c r="B62" s="272">
        <f ca="1">IF(ISERROR(MATCH(B$1,INDIRECT("Table!A"&amp;$AN62):INDIRECT("Table!" &amp; $AQ$108 &amp; $AN62),0)),"",INDIRECT(CONCATENATE("Table!",ADDRESS($AJ62,MATCH(B$1,INDIRECT("Table!A" &amp; $AN62):INDIRECT("Table!" &amp; $AQ$108 &amp; $AN62),0))))/1024)</f>
        <v>180.07643847656249</v>
      </c>
      <c r="C62" s="272">
        <f ca="1">IF(ISERROR(MATCH(C$1,INDIRECT("Table!A"&amp;$AN62):INDIRECT("Table!" &amp; $AQ$108 &amp; $AN62),0)),"",INDIRECT(CONCATENATE("Table!",ADDRESS($AJ62,MATCH(C$1,INDIRECT("Table!A" &amp; $AN62):INDIRECT("Table!" &amp; $AQ$108 &amp; $AN62),0))))/1024)</f>
        <v>91.832727539062503</v>
      </c>
      <c r="D62" s="272">
        <f ca="1">IF(ISERROR(MATCH(D$1,INDIRECT("Table!A"&amp;$AN62):INDIRECT("Table!" &amp; $AQ$108 &amp; $AN62),0)),"",INDIRECT(CONCATENATE("Table!",ADDRESS($AJ62,MATCH(D$1,INDIRECT("Table!A" &amp; $AN62):INDIRECT("Table!" &amp; $AQ$108 &amp; $AN62),0))))/1024)</f>
        <v>92.853457031250002</v>
      </c>
      <c r="E62" s="272">
        <f ca="1">IF(ISERROR(MATCH(E$1,INDIRECT("Table!A"&amp;$AN62):INDIRECT("Table!" &amp; $AQ$108 &amp; $AN62),0)),"",INDIRECT(CONCATENATE("Table!",ADDRESS($AJ62,MATCH(E$1,INDIRECT("Table!A" &amp; $AN62):INDIRECT("Table!" &amp; $AQ$108 &amp; $AN62),0))))/1024)</f>
        <v>271.81038574218746</v>
      </c>
      <c r="F62" s="272">
        <f ca="1">IF(ISERROR(MATCH(F$1,INDIRECT("Table!A"&amp;$AN62):INDIRECT("Table!" &amp; $AQ$108 &amp; $AN62),0)),"",INDIRECT(CONCATENATE("Table!",ADDRESS($AJ62,MATCH(F$1,INDIRECT("Table!A" &amp; $AN62):INDIRECT("Table!" &amp; $AQ$108 &amp; $AN62),0))))/1024)</f>
        <v>256.49944335937499</v>
      </c>
      <c r="G62" s="272">
        <f ca="1">IF(ISERROR(MATCH(G$1,INDIRECT("Table!A"&amp;$AN62):INDIRECT("Table!" &amp; $AQ$108 &amp; $AN62),0)),"",INDIRECT(CONCATENATE("Table!",ADDRESS($AJ62,MATCH(G$1,INDIRECT("Table!A" &amp; $AN62):INDIRECT("Table!" &amp; $AQ$108 &amp; $AN62),0))))/1024)</f>
        <v>447.80390625000001</v>
      </c>
      <c r="H62" s="272">
        <f ca="1">IF(ISERROR(MATCH(H$1,INDIRECT("Table!A"&amp;$AN62):INDIRECT("Table!" &amp; $AQ$108 &amp; $AN62),0)),"",INDIRECT(CONCATENATE("Table!",ADDRESS($AJ62,MATCH(H$1,INDIRECT("Table!A" &amp; $AN62):INDIRECT("Table!" &amp; $AQ$108 &amp; $AN62),0))))/1024)</f>
        <v>138.29238281249999</v>
      </c>
      <c r="I62" s="272">
        <f ca="1">IF(ISERROR(MATCH(I$1,INDIRECT("Table!A"&amp;$AN62):INDIRECT("Table!" &amp; $AQ$85 &amp; $AN62),0)),"",INDIRECT(CONCATENATE("Table!",ADDRESS($AJ62,MATCH(I$1,INDIRECT("Table!A" &amp; $AN62):INDIRECT("Table!" &amp; $AQ$85 &amp; $AN62),0))))/1024)</f>
        <v>18.043863281250001</v>
      </c>
      <c r="J62" s="272">
        <f ca="1">IF(ISERROR(MATCH(J$1,INDIRECT("Table!A"&amp;$AN62):INDIRECT("Table!" &amp; $AQ$85 &amp; $AN62),0)),"",INDIRECT(CONCATENATE("Table!",ADDRESS($AJ62,MATCH(J$1,INDIRECT("Table!A" &amp; $AN62):INDIRECT("Table!" &amp; $AQ$85 &amp; $AN62),0))))/1024)</f>
        <v>40.763326171875001</v>
      </c>
      <c r="K62" s="272">
        <f ca="1">IF(ISERROR(MATCH(K$1,INDIRECT("Table!A"&amp;$AN62):INDIRECT("Table!" &amp; $AQ$85 &amp; $AN62),0)),"",INDIRECT(CONCATENATE("Table!",ADDRESS($AJ62,MATCH(K$1,INDIRECT("Table!A" &amp; $AN62):INDIRECT("Table!" &amp; $AQ$85 &amp; $AN62),0))))/1024)</f>
        <v>9.8780273437500004</v>
      </c>
      <c r="L62" s="272">
        <f ca="1">IF(ISERROR(MATCH(L$1,INDIRECT("Table!A"&amp;$AN62):INDIRECT("Table!" &amp; $AQ$85 &amp; $AN62),0)),"",INDIRECT(CONCATENATE("Table!",ADDRESS($AJ62,MATCH(L$1,INDIRECT("Table!A" &amp; $AN62):INDIRECT("Table!" &amp; $AQ$85 &amp; $AN62),0))))/1024)</f>
        <v>268.97868457031251</v>
      </c>
      <c r="M62" s="272">
        <f ca="1">IF(ISERROR(MATCH(M$1,INDIRECT("Table!A"&amp;$AN62):INDIRECT("Table!" &amp; $AQ$85 &amp; $AN62),0)),"",INDIRECT(CONCATENATE("Table!",ADDRESS($AJ62,MATCH(M$1,INDIRECT("Table!A" &amp; $AN62):INDIRECT("Table!" &amp; $AQ$85 &amp; $AN62),0))))/1024)</f>
        <v>367.00164257812497</v>
      </c>
      <c r="N62" s="272">
        <f ca="1">IF(ISERROR(MATCH(N$1,INDIRECT("Table!A"&amp;$AN62):INDIRECT("Table!" &amp; $AQ$85 &amp; $AN62),0)),"",INDIRECT(CONCATENATE("Table!",ADDRESS($AJ62,MATCH(N$1,INDIRECT("Table!A" &amp; $AN62):INDIRECT("Table!" &amp; $AQ$85 &amp; $AN62),0))))/1024)</f>
        <v>133.089955078125</v>
      </c>
      <c r="O62" s="272">
        <f ca="1">IF(ISERROR(MATCH(O$1,INDIRECT("Table!A"&amp;$AN62):INDIRECT("Table!" &amp; $AQ$85 &amp; $AN62),0)),"",INDIRECT(CONCATENATE("Table!",ADDRESS($AJ62,MATCH(O$1,INDIRECT("Table!A" &amp; $AN62):INDIRECT("Table!" &amp; $AQ$85 &amp; $AN62),0))))/1024)</f>
        <v>247.24702441406248</v>
      </c>
      <c r="P62" s="272">
        <f ca="1">IF(ISERROR(MATCH(P$1,INDIRECT("Table!A"&amp;$AN62):INDIRECT("Table!" &amp; $AQ$85 &amp; $AN62),0)),"",INDIRECT(CONCATENATE("Table!",ADDRESS($AJ62,MATCH(P$1,INDIRECT("Table!A" &amp; $AN62):INDIRECT("Table!" &amp; $AQ$85 &amp; $AN62),0))))/1024)</f>
        <v>32.795050781249998</v>
      </c>
      <c r="Q62" s="272">
        <f ca="1">IF(ISERROR(MATCH(Q$1,INDIRECT("Table!A"&amp;$AN62):INDIRECT("Table!" &amp; $AQ$85 &amp; $AN62),0)),"",INDIRECT(CONCATENATE("Table!",ADDRESS($AJ62,MATCH(Q$1,INDIRECT("Table!A" &amp; $AN62):INDIRECT("Table!" &amp; $AQ$85 &amp; $AN62),0))))/1024)</f>
        <v>43.166979492187501</v>
      </c>
      <c r="R62" s="272">
        <f ca="1">IF(ISERROR(MATCH(R$1,INDIRECT("Table!A"&amp;$AN62):INDIRECT("Table!" &amp; $AQ$85 &amp; $AN62),0)),"",INDIRECT(CONCATENATE("Table!",ADDRESS($AJ62,MATCH(R$1,INDIRECT("Table!A" &amp; $AN62):INDIRECT("Table!" &amp; $AQ$85 &amp; $AN62),0))))/1024)</f>
        <v>79.518120117187493</v>
      </c>
      <c r="S62" s="595">
        <v>0</v>
      </c>
      <c r="T62" s="595">
        <f ca="1">IF(ISERROR(MATCH(T$1,INDIRECT("Table!A"&amp;$AN62):INDIRECT("Table!" &amp; $AQ$85 &amp; $AN62),0)),"",INDIRECT(CONCATENATE("Table!",ADDRESS($AJ62,MATCH(T$1,INDIRECT("Table!A" &amp; $AN62):INDIRECT("Table!" &amp; $AQ$85 &amp; $AN62),0))))/1024)</f>
        <v>17.220694335937498</v>
      </c>
      <c r="U62" s="272" t="str">
        <f ca="1">IF(ISERROR(MATCH(U$1,INDIRECT("Table!A"&amp;$AN62):INDIRECT("Table!" &amp; $AQ$85 &amp; $AN62),0)),"",INDIRECT(CONCATENATE("Table!",ADDRESS($AJ62,MATCH(U$1,INDIRECT("Table!A" &amp; $AN62):INDIRECT("Table!" &amp; $AQ$85 &amp; $AN62),0))))/1024)</f>
        <v/>
      </c>
      <c r="V62" s="595"/>
      <c r="W62" s="595"/>
      <c r="X62" s="595"/>
      <c r="Y62" s="595"/>
      <c r="Z62" s="595"/>
      <c r="AA62" s="595"/>
      <c r="AB62" s="595"/>
      <c r="AC62" s="595"/>
      <c r="AD62" s="595"/>
      <c r="AE62" s="595"/>
      <c r="AF62" s="595"/>
      <c r="AG62" s="595"/>
      <c r="AH62" s="595"/>
      <c r="AI62" s="595"/>
      <c r="AJ62" s="272">
        <f>MATCH($A62,Table!$A:$A,0)+$AL$2-1</f>
        <v>851</v>
      </c>
      <c r="AK62" s="448"/>
      <c r="AL62" s="448"/>
      <c r="AM62" s="448"/>
      <c r="AN62" s="272">
        <f>MATCH($A62,Table!$A:$A,0)+$AP$2-1</f>
        <v>843</v>
      </c>
      <c r="AO62" s="448"/>
      <c r="AP62" s="448"/>
      <c r="AQ62" s="973" t="s">
        <v>302</v>
      </c>
      <c r="AR62" s="699">
        <f t="shared" ca="1" si="13"/>
        <v>2736.8721093750005</v>
      </c>
      <c r="AS62" s="699">
        <f t="shared" ca="1" si="22"/>
        <v>15.508502929687893</v>
      </c>
    </row>
    <row r="63" spans="1:45" s="267" customFormat="1" x14ac:dyDescent="0.25">
      <c r="A63" s="268">
        <v>41478</v>
      </c>
      <c r="B63" s="272">
        <f ca="1">IF(ISERROR(MATCH(B$1,INDIRECT("Table!A"&amp;$AN63):INDIRECT("Table!" &amp; $AQ$108 &amp; $AN63),0)),"",INDIRECT(CONCATENATE("Table!",ADDRESS($AJ63,MATCH(B$1,INDIRECT("Table!A" &amp; $AN63):INDIRECT("Table!" &amp; $AQ$108 &amp; $AN63),0))))/1024)</f>
        <v>180.07643847656249</v>
      </c>
      <c r="C63" s="272">
        <f ca="1">IF(ISERROR(MATCH(C$1,INDIRECT("Table!A"&amp;$AN63):INDIRECT("Table!" &amp; $AQ$108 &amp; $AN63),0)),"",INDIRECT(CONCATENATE("Table!",ADDRESS($AJ63,MATCH(C$1,INDIRECT("Table!A" &amp; $AN63):INDIRECT("Table!" &amp; $AQ$108 &amp; $AN63),0))))/1024)</f>
        <v>91.602240234375003</v>
      </c>
      <c r="D63" s="272">
        <f ca="1">IF(ISERROR(MATCH(D$1,INDIRECT("Table!A"&amp;$AN63):INDIRECT("Table!" &amp; $AQ$108 &amp; $AN63),0)),"",INDIRECT(CONCATENATE("Table!",ADDRESS($AJ63,MATCH(D$1,INDIRECT("Table!A" &amp; $AN63):INDIRECT("Table!" &amp; $AQ$108 &amp; $AN63),0))))/1024)</f>
        <v>92.622969726562502</v>
      </c>
      <c r="E63" s="272">
        <f ca="1">IF(ISERROR(MATCH(E$1,INDIRECT("Table!A"&amp;$AN63):INDIRECT("Table!" &amp; $AQ$108 &amp; $AN63),0)),"",INDIRECT(CONCATENATE("Table!",ADDRESS($AJ63,MATCH(E$1,INDIRECT("Table!A" &amp; $AN63):INDIRECT("Table!" &amp; $AQ$108 &amp; $AN63),0))))/1024)</f>
        <v>271.81038574218746</v>
      </c>
      <c r="F63" s="272">
        <f ca="1">IF(ISERROR(MATCH(F$1,INDIRECT("Table!A"&amp;$AN63):INDIRECT("Table!" &amp; $AQ$108 &amp; $AN63),0)),"",INDIRECT(CONCATENATE("Table!",ADDRESS($AJ63,MATCH(F$1,INDIRECT("Table!A" &amp; $AN63):INDIRECT("Table!" &amp; $AQ$108 &amp; $AN63),0))))/1024)</f>
        <v>256.49944335937499</v>
      </c>
      <c r="G63" s="272">
        <f ca="1">IF(ISERROR(MATCH(G$1,INDIRECT("Table!A"&amp;$AN63):INDIRECT("Table!" &amp; $AQ$108 &amp; $AN63),0)),"",INDIRECT(CONCATENATE("Table!",ADDRESS($AJ63,MATCH(G$1,INDIRECT("Table!A" &amp; $AN63):INDIRECT("Table!" &amp; $AQ$108 &amp; $AN63),0))))/1024)</f>
        <v>447.80390625000001</v>
      </c>
      <c r="H63" s="272">
        <f ca="1">IF(ISERROR(MATCH(H$1,INDIRECT("Table!A"&amp;$AN63):INDIRECT("Table!" &amp; $AQ$108 &amp; $AN63),0)),"",INDIRECT(CONCATENATE("Table!",ADDRESS($AJ63,MATCH(H$1,INDIRECT("Table!A" &amp; $AN63):INDIRECT("Table!" &amp; $AQ$108 &amp; $AN63),0))))/1024)</f>
        <v>138.29238281249999</v>
      </c>
      <c r="I63" s="272">
        <f ca="1">IF(ISERROR(MATCH(I$1,INDIRECT("Table!A"&amp;$AN63):INDIRECT("Table!" &amp; $AQ$85 &amp; $AN63),0)),"",INDIRECT(CONCATENATE("Table!",ADDRESS($AJ63,MATCH(I$1,INDIRECT("Table!A" &amp; $AN63):INDIRECT("Table!" &amp; $AQ$85 &amp; $AN63),0))))/1024)</f>
        <v>18.043863281250001</v>
      </c>
      <c r="J63" s="272">
        <f ca="1">IF(ISERROR(MATCH(J$1,INDIRECT("Table!A"&amp;$AN63):INDIRECT("Table!" &amp; $AQ$85 &amp; $AN63),0)),"",INDIRECT(CONCATENATE("Table!",ADDRESS($AJ63,MATCH(J$1,INDIRECT("Table!A" &amp; $AN63):INDIRECT("Table!" &amp; $AQ$85 &amp; $AN63),0))))/1024)</f>
        <v>32.432856445312495</v>
      </c>
      <c r="K63" s="272">
        <f ca="1">IF(ISERROR(MATCH(K$1,INDIRECT("Table!A"&amp;$AN63):INDIRECT("Table!" &amp; $AQ$85 &amp; $AN63),0)),"",INDIRECT(CONCATENATE("Table!",ADDRESS($AJ63,MATCH(K$1,INDIRECT("Table!A" &amp; $AN63):INDIRECT("Table!" &amp; $AQ$85 &amp; $AN63),0))))/1024)</f>
        <v>9.8780273437500004</v>
      </c>
      <c r="L63" s="272">
        <f ca="1">IF(ISERROR(MATCH(L$1,INDIRECT("Table!A"&amp;$AN63):INDIRECT("Table!" &amp; $AQ$85 &amp; $AN63),0)),"",INDIRECT(CONCATENATE("Table!",ADDRESS($AJ63,MATCH(L$1,INDIRECT("Table!A" &amp; $AN63):INDIRECT("Table!" &amp; $AQ$85 &amp; $AN63),0))))/1024)</f>
        <v>268.81405078124999</v>
      </c>
      <c r="M63" s="272">
        <f ca="1">IF(ISERROR(MATCH(M$1,INDIRECT("Table!A"&amp;$AN63):INDIRECT("Table!" &amp; $AQ$85 &amp; $AN63),0)),"",INDIRECT(CONCATENATE("Table!",ADDRESS($AJ63,MATCH(M$1,INDIRECT("Table!A" &amp; $AN63):INDIRECT("Table!" &amp; $AQ$85 &amp; $AN63),0))))/1024)</f>
        <v>367.00164257812497</v>
      </c>
      <c r="N63" s="272">
        <f ca="1">IF(ISERROR(MATCH(N$1,INDIRECT("Table!A"&amp;$AN63):INDIRECT("Table!" &amp; $AQ$85 &amp; $AN63),0)),"",INDIRECT(CONCATENATE("Table!",ADDRESS($AJ63,MATCH(N$1,INDIRECT("Table!A" &amp; $AN63):INDIRECT("Table!" &amp; $AQ$85 &amp; $AN63),0))))/1024)</f>
        <v>133.089955078125</v>
      </c>
      <c r="O63" s="272">
        <f ca="1">IF(ISERROR(MATCH(O$1,INDIRECT("Table!A"&amp;$AN63):INDIRECT("Table!" &amp; $AQ$85 &amp; $AN63),0)),"",INDIRECT(CONCATENATE("Table!",ADDRESS($AJ63,MATCH(O$1,INDIRECT("Table!A" &amp; $AN63):INDIRECT("Table!" &amp; $AQ$85 &amp; $AN63),0))))/1024)</f>
        <v>247.24702441406248</v>
      </c>
      <c r="P63" s="272">
        <f ca="1">IF(ISERROR(MATCH(P$1,INDIRECT("Table!A"&amp;$AN63):INDIRECT("Table!" &amp; $AQ$85 &amp; $AN63),0)),"",INDIRECT(CONCATENATE("Table!",ADDRESS($AJ63,MATCH(P$1,INDIRECT("Table!A" &amp; $AN63):INDIRECT("Table!" &amp; $AQ$85 &amp; $AN63),0))))/1024)</f>
        <v>32.795050781249998</v>
      </c>
      <c r="Q63" s="272">
        <f ca="1">IF(ISERROR(MATCH(Q$1,INDIRECT("Table!A"&amp;$AN63):INDIRECT("Table!" &amp; $AQ$85 &amp; $AN63),0)),"",INDIRECT(CONCATENATE("Table!",ADDRESS($AJ63,MATCH(Q$1,INDIRECT("Table!A" &amp; $AN63):INDIRECT("Table!" &amp; $AQ$85 &amp; $AN63),0))))/1024)</f>
        <v>36.614554687499997</v>
      </c>
      <c r="R63" s="272">
        <f ca="1">IF(ISERROR(MATCH(R$1,INDIRECT("Table!A"&amp;$AN63):INDIRECT("Table!" &amp; $AQ$85 &amp; $AN63),0)),"",INDIRECT(CONCATENATE("Table!",ADDRESS($AJ63,MATCH(R$1,INDIRECT("Table!A" &amp; $AN63):INDIRECT("Table!" &amp; $AQ$85 &amp; $AN63),0))))/1024)</f>
        <v>79.518120117187493</v>
      </c>
      <c r="S63" s="595">
        <v>0</v>
      </c>
      <c r="T63" s="595">
        <f ca="1">IF(ISERROR(MATCH(T$1,INDIRECT("Table!A"&amp;$AN63):INDIRECT("Table!" &amp; $AQ$85 &amp; $AN63),0)),"",INDIRECT(CONCATENATE("Table!",ADDRESS($AJ63,MATCH(T$1,INDIRECT("Table!A" &amp; $AN63):INDIRECT("Table!" &amp; $AQ$85 &amp; $AN63),0))))/1024)</f>
        <v>17.220694335937498</v>
      </c>
      <c r="U63" s="272" t="str">
        <f ca="1">IF(ISERROR(MATCH(U$1,INDIRECT("Table!A"&amp;$AN63):INDIRECT("Table!" &amp; $AQ$85 &amp; $AN63),0)),"",INDIRECT(CONCATENATE("Table!",ADDRESS($AJ63,MATCH(U$1,INDIRECT("Table!A" &amp; $AN63):INDIRECT("Table!" &amp; $AQ$85 &amp; $AN63),0))))/1024)</f>
        <v/>
      </c>
      <c r="V63" s="595"/>
      <c r="W63" s="595"/>
      <c r="X63" s="595"/>
      <c r="Y63" s="595"/>
      <c r="Z63" s="595"/>
      <c r="AA63" s="595"/>
      <c r="AB63" s="595"/>
      <c r="AC63" s="595"/>
      <c r="AD63" s="595"/>
      <c r="AE63" s="595"/>
      <c r="AF63" s="595"/>
      <c r="AG63" s="595"/>
      <c r="AH63" s="595"/>
      <c r="AI63" s="595"/>
      <c r="AJ63" s="272">
        <f>MATCH($A63,Table!$A:$A,0)+$AL$2-1</f>
        <v>863</v>
      </c>
      <c r="AK63" s="443"/>
      <c r="AL63" s="443"/>
      <c r="AM63" s="443"/>
      <c r="AN63" s="272">
        <f>MATCH($A63,Table!$A:$A,0)+$AP$2-1</f>
        <v>855</v>
      </c>
      <c r="AO63" s="443"/>
      <c r="AP63" s="443"/>
      <c r="AQ63" s="973" t="s">
        <v>302</v>
      </c>
      <c r="AR63" s="699">
        <f t="shared" ca="1" si="13"/>
        <v>2721.3636064453126</v>
      </c>
      <c r="AS63" s="699">
        <f t="shared" ca="1" si="22"/>
        <v>65.26083398437504</v>
      </c>
    </row>
    <row r="64" spans="1:45" s="267" customFormat="1" x14ac:dyDescent="0.25">
      <c r="A64" s="268">
        <v>41470</v>
      </c>
      <c r="B64" s="272">
        <f ca="1">IF(ISERROR(MATCH(B$1,INDIRECT("Table!A"&amp;$AN64):INDIRECT("Table!" &amp; $AQ$108 &amp; $AN64),0)),"",INDIRECT(CONCATENATE("Table!",ADDRESS($AJ64,MATCH(B$1,INDIRECT("Table!A" &amp; $AN64):INDIRECT("Table!" &amp; $AQ$108 &amp; $AN64),0))))/1024)</f>
        <v>180.07643847656249</v>
      </c>
      <c r="C64" s="272">
        <f ca="1">IF(ISERROR(MATCH(C$1,INDIRECT("Table!A"&amp;$AN64):INDIRECT("Table!" &amp; $AQ$108 &amp; $AN64),0)),"",INDIRECT(CONCATENATE("Table!",ADDRESS($AJ64,MATCH(C$1,INDIRECT("Table!A" &amp; $AN64):INDIRECT("Table!" &amp; $AQ$108 &amp; $AN64),0))))/1024)</f>
        <v>91.602240234375003</v>
      </c>
      <c r="D64" s="272">
        <f ca="1">IF(ISERROR(MATCH(D$1,INDIRECT("Table!A"&amp;$AN64):INDIRECT("Table!" &amp; $AQ$108 &amp; $AN64),0)),"",INDIRECT(CONCATENATE("Table!",ADDRESS($AJ64,MATCH(D$1,INDIRECT("Table!A" &amp; $AN64):INDIRECT("Table!" &amp; $AQ$108 &amp; $AN64),0))))/1024)</f>
        <v>92.622969726562502</v>
      </c>
      <c r="E64" s="272">
        <f ca="1">IF(ISERROR(MATCH(E$1,INDIRECT("Table!A"&amp;$AN64):INDIRECT("Table!" &amp; $AQ$108 &amp; $AN64),0)),"",INDIRECT(CONCATENATE("Table!",ADDRESS($AJ64,MATCH(E$1,INDIRECT("Table!A" &amp; $AN64):INDIRECT("Table!" &amp; $AQ$108 &amp; $AN64),0))))/1024)</f>
        <v>272.04087304687499</v>
      </c>
      <c r="F64" s="272">
        <f ca="1">IF(ISERROR(MATCH(F$1,INDIRECT("Table!A"&amp;$AN64):INDIRECT("Table!" &amp; $AQ$108 &amp; $AN64),0)),"",INDIRECT(CONCATENATE("Table!",ADDRESS($AJ64,MATCH(F$1,INDIRECT("Table!A" &amp; $AN64):INDIRECT("Table!" &amp; $AQ$108 &amp; $AN64),0))))/1024)</f>
        <v>255.51164062499998</v>
      </c>
      <c r="G64" s="272">
        <f ca="1">IF(ISERROR(MATCH(G$1,INDIRECT("Table!A"&amp;$AN64):INDIRECT("Table!" &amp; $AQ$108 &amp; $AN64),0)),"",INDIRECT(CONCATENATE("Table!",ADDRESS($AJ64,MATCH(G$1,INDIRECT("Table!A" &amp; $AN64):INDIRECT("Table!" &amp; $AQ$108 &amp; $AN64),0))))/1024)</f>
        <v>447.80390625000001</v>
      </c>
      <c r="H64" s="272">
        <f ca="1">IF(ISERROR(MATCH(H$1,INDIRECT("Table!A"&amp;$AN64):INDIRECT("Table!" &amp; $AQ$108 &amp; $AN64),0)),"",INDIRECT(CONCATENATE("Table!",ADDRESS($AJ64,MATCH(H$1,INDIRECT("Table!A" &amp; $AN64):INDIRECT("Table!" &amp; $AQ$108 &amp; $AN64),0))))/1024)</f>
        <v>138.29238281249999</v>
      </c>
      <c r="I64" s="272">
        <f ca="1">IF(ISERROR(MATCH(I$1,INDIRECT("Table!A"&amp;$AN64):INDIRECT("Table!" &amp; $AQ$85 &amp; $AN64),0)),"",INDIRECT(CONCATENATE("Table!",ADDRESS($AJ64,MATCH(I$1,INDIRECT("Table!A" &amp; $AN64):INDIRECT("Table!" &amp; $AQ$85 &amp; $AN64),0))))/1024)</f>
        <v>17.056060546874999</v>
      </c>
      <c r="J64" s="272">
        <f ca="1">IF(ISERROR(MATCH(J$1,INDIRECT("Table!A"&amp;$AN64):INDIRECT("Table!" &amp; $AQ$85 &amp; $AN64),0)),"",INDIRECT(CONCATENATE("Table!",ADDRESS($AJ64,MATCH(J$1,INDIRECT("Table!A" &amp; $AN64):INDIRECT("Table!" &amp; $AQ$85 &amp; $AN64),0))))/1024)</f>
        <v>19.690201171875</v>
      </c>
      <c r="K64" s="272">
        <f ca="1">IF(ISERROR(MATCH(K$1,INDIRECT("Table!A"&amp;$AN64):INDIRECT("Table!" &amp; $AQ$85 &amp; $AN64),0)),"",INDIRECT(CONCATENATE("Table!",ADDRESS($AJ64,MATCH(K$1,INDIRECT("Table!A" &amp; $AN64):INDIRECT("Table!" &amp; $AQ$85 &amp; $AN64),0))))/1024)</f>
        <v>6.8816923828125001</v>
      </c>
      <c r="L64" s="272">
        <f ca="1">IF(ISERROR(MATCH(L$1,INDIRECT("Table!A"&amp;$AN64):INDIRECT("Table!" &amp; $AQ$85 &amp; $AN64),0)),"",INDIRECT(CONCATENATE("Table!",ADDRESS($AJ64,MATCH(L$1,INDIRECT("Table!A" &amp; $AN64):INDIRECT("Table!" &amp; $AQ$85 &amp; $AN64),0))))/1024)</f>
        <v>269.01161132812501</v>
      </c>
      <c r="M64" s="272">
        <f ca="1">IF(ISERROR(MATCH(M$1,INDIRECT("Table!A"&amp;$AN64):INDIRECT("Table!" &amp; $AQ$85 &amp; $AN64),0)),"",INDIRECT(CONCATENATE("Table!",ADDRESS($AJ64,MATCH(M$1,INDIRECT("Table!A" &amp; $AN64):INDIRECT("Table!" &amp; $AQ$85 &amp; $AN64),0))))/1024)</f>
        <v>367.00164257812497</v>
      </c>
      <c r="N64" s="272">
        <f ca="1">IF(ISERROR(MATCH(N$1,INDIRECT("Table!A"&amp;$AN64):INDIRECT("Table!" &amp; $AQ$85 &amp; $AN64),0)),"",INDIRECT(CONCATENATE("Table!",ADDRESS($AJ64,MATCH(N$1,INDIRECT("Table!A" &amp; $AN64):INDIRECT("Table!" &amp; $AQ$85 &amp; $AN64),0))))/1024)</f>
        <v>132.5960537109375</v>
      </c>
      <c r="O64" s="272">
        <f ca="1">IF(ISERROR(MATCH(O$1,INDIRECT("Table!A"&amp;$AN64):INDIRECT("Table!" &amp; $AQ$85 &amp; $AN64),0)),"",INDIRECT(CONCATENATE("Table!",ADDRESS($AJ64,MATCH(O$1,INDIRECT("Table!A" &amp; $AN64):INDIRECT("Table!" &amp; $AQ$85 &amp; $AN64),0))))/1024)</f>
        <v>247.24702441406248</v>
      </c>
      <c r="P64" s="272">
        <f ca="1">IF(ISERROR(MATCH(P$1,INDIRECT("Table!A"&amp;$AN64):INDIRECT("Table!" &amp; $AQ$85 &amp; $AN64),0)),"",INDIRECT(CONCATENATE("Table!",ADDRESS($AJ64,MATCH(P$1,INDIRECT("Table!A" &amp; $AN64):INDIRECT("Table!" &amp; $AQ$85 &amp; $AN64),0))))/1024)</f>
        <v>31.6096875</v>
      </c>
      <c r="Q64" s="272">
        <f ca="1">IF(ISERROR(MATCH(Q$1,INDIRECT("Table!A"&amp;$AN64):INDIRECT("Table!" &amp; $AQ$85 &amp; $AN64),0)),"",INDIRECT(CONCATENATE("Table!",ADDRESS($AJ64,MATCH(Q$1,INDIRECT("Table!A" &amp; $AN64):INDIRECT("Table!" &amp; $AQ$85 &amp; $AN64),0))))/1024)</f>
        <v>22.620682617187498</v>
      </c>
      <c r="R64" s="272">
        <f ca="1">IF(ISERROR(MATCH(R$1,INDIRECT("Table!A"&amp;$AN64):INDIRECT("Table!" &amp; $AQ$85 &amp; $AN64),0)),"",INDIRECT(CONCATENATE("Table!",ADDRESS($AJ64,MATCH(R$1,INDIRECT("Table!A" &amp; $AN64):INDIRECT("Table!" &amp; $AQ$85 &amp; $AN64),0))))/1024)</f>
        <v>48.040139648437496</v>
      </c>
      <c r="S64" s="595">
        <v>0</v>
      </c>
      <c r="T64" s="595">
        <f ca="1">IF(ISERROR(MATCH(T$1,INDIRECT("Table!A"&amp;$AN64):INDIRECT("Table!" &amp; $AQ$85 &amp; $AN64),0)),"",INDIRECT(CONCATENATE("Table!",ADDRESS($AJ64,MATCH(T$1,INDIRECT("Table!A" &amp; $AN64):INDIRECT("Table!" &amp; $AQ$85 &amp; $AN64),0))))/1024)</f>
        <v>16.397525390624999</v>
      </c>
      <c r="U64" s="272" t="str">
        <f ca="1">IF(ISERROR(MATCH(U$1,INDIRECT("Table!A"&amp;$AN64):INDIRECT("Table!" &amp; $AQ$85 &amp; $AN64),0)),"",INDIRECT(CONCATENATE("Table!",ADDRESS($AJ64,MATCH(U$1,INDIRECT("Table!A" &amp; $AN64):INDIRECT("Table!" &amp; $AQ$85 &amp; $AN64),0))))/1024)</f>
        <v/>
      </c>
      <c r="V64" s="595"/>
      <c r="W64" s="595"/>
      <c r="X64" s="595"/>
      <c r="Y64" s="595"/>
      <c r="Z64" s="595"/>
      <c r="AA64" s="595"/>
      <c r="AB64" s="595"/>
      <c r="AC64" s="595"/>
      <c r="AD64" s="595"/>
      <c r="AE64" s="595"/>
      <c r="AF64" s="595"/>
      <c r="AG64" s="595"/>
      <c r="AH64" s="595"/>
      <c r="AI64" s="595"/>
      <c r="AJ64" s="272">
        <f>MATCH($A64,Table!$A:$A,0)+$AL$2-1</f>
        <v>875</v>
      </c>
      <c r="AK64" s="443"/>
      <c r="AL64" s="443"/>
      <c r="AM64" s="443"/>
      <c r="AN64" s="272">
        <f>MATCH($A64,Table!$A:$A,0)+$AP$2-1</f>
        <v>867</v>
      </c>
      <c r="AO64" s="443"/>
      <c r="AP64" s="443"/>
      <c r="AQ64" s="973" t="s">
        <v>302</v>
      </c>
      <c r="AR64" s="699">
        <f t="shared" ca="1" si="13"/>
        <v>2656.1027724609376</v>
      </c>
      <c r="AS64" s="699">
        <f t="shared" ca="1" si="22"/>
        <v>47.414531250000891</v>
      </c>
    </row>
    <row r="65" spans="1:45" s="267" customFormat="1" x14ac:dyDescent="0.25">
      <c r="A65" s="268">
        <v>41464</v>
      </c>
      <c r="B65" s="272">
        <f ca="1">IF(ISERROR(MATCH(B$1,INDIRECT("Table!A"&amp;$AN65):INDIRECT("Table!" &amp; $AQ$108 &amp; $AN65),0)),"",INDIRECT(CONCATENATE("Table!",ADDRESS($AJ65,MATCH(B$1,INDIRECT("Table!A" &amp; $AN65):INDIRECT("Table!" &amp; $AQ$108 &amp; $AN65),0))))/1024)</f>
        <v>178.98985546874999</v>
      </c>
      <c r="C65" s="272">
        <f ca="1">IF(ISERROR(MATCH(C$1,INDIRECT("Table!A"&amp;$AN65):INDIRECT("Table!" &amp; $AQ$108 &amp; $AN65),0)),"",INDIRECT(CONCATENATE("Table!",ADDRESS($AJ65,MATCH(C$1,INDIRECT("Table!A" &amp; $AN65):INDIRECT("Table!" &amp; $AQ$108 &amp; $AN65),0))))/1024)</f>
        <v>90.680291015625002</v>
      </c>
      <c r="D65" s="272">
        <f ca="1">IF(ISERROR(MATCH(D$1,INDIRECT("Table!A"&amp;$AN65):INDIRECT("Table!" &amp; $AQ$108 &amp; $AN65),0)),"",INDIRECT(CONCATENATE("Table!",ADDRESS($AJ65,MATCH(D$1,INDIRECT("Table!A" &amp; $AN65):INDIRECT("Table!" &amp; $AQ$108 &amp; $AN65),0))))/1024)</f>
        <v>91.701020507812501</v>
      </c>
      <c r="E65" s="272">
        <f ca="1">IF(ISERROR(MATCH(E$1,INDIRECT("Table!A"&amp;$AN65):INDIRECT("Table!" &amp; $AQ$108 &amp; $AN65),0)),"",INDIRECT(CONCATENATE("Table!",ADDRESS($AJ65,MATCH(E$1,INDIRECT("Table!A" &amp; $AN65):INDIRECT("Table!" &amp; $AQ$108 &amp; $AN65),0))))/1024)</f>
        <v>270.46038867187497</v>
      </c>
      <c r="F65" s="272">
        <f ca="1">IF(ISERROR(MATCH(F$1,INDIRECT("Table!A"&amp;$AN65):INDIRECT("Table!" &amp; $AQ$108 &amp; $AN65),0)),"",INDIRECT(CONCATENATE("Table!",ADDRESS($AJ65,MATCH(F$1,INDIRECT("Table!A" &amp; $AN65):INDIRECT("Table!" &amp; $AQ$108 &amp; $AN65),0))))/1024)</f>
        <v>255.37993359375</v>
      </c>
      <c r="G65" s="272">
        <f ca="1">IF(ISERROR(MATCH(G$1,INDIRECT("Table!A"&amp;$AN65):INDIRECT("Table!" &amp; $AQ$108 &amp; $AN65),0)),"",INDIRECT(CONCATENATE("Table!",ADDRESS($AJ65,MATCH(G$1,INDIRECT("Table!A" &amp; $AN65):INDIRECT("Table!" &amp; $AQ$108 &amp; $AN65),0))))/1024)</f>
        <v>451.91975097656251</v>
      </c>
      <c r="H65" s="272">
        <f ca="1">IF(ISERROR(MATCH(H$1,INDIRECT("Table!A"&amp;$AN65):INDIRECT("Table!" &amp; $AQ$108 &amp; $AN65),0)),"",INDIRECT(CONCATENATE("Table!",ADDRESS($AJ65,MATCH(H$1,INDIRECT("Table!A" &amp; $AN65):INDIRECT("Table!" &amp; $AQ$108 &amp; $AN65),0))))/1024)</f>
        <v>137.93018847656251</v>
      </c>
      <c r="I65" s="272">
        <f ca="1">IF(ISERROR(MATCH(I$1,INDIRECT("Table!A"&amp;$AN65):INDIRECT("Table!" &amp; $AQ$85 &amp; $AN65),0)),"",INDIRECT(CONCATENATE("Table!",ADDRESS($AJ65,MATCH(I$1,INDIRECT("Table!A" &amp; $AN65):INDIRECT("Table!" &amp; $AQ$85 &amp; $AN65),0))))/1024)</f>
        <v>17.056060546874999</v>
      </c>
      <c r="J65" s="272">
        <f ca="1">IF(ISERROR(MATCH(J$1,INDIRECT("Table!A"&amp;$AN65):INDIRECT("Table!" &amp; $AQ$85 &amp; $AN65),0)),"",INDIRECT(CONCATENATE("Table!",ADDRESS($AJ65,MATCH(J$1,INDIRECT("Table!A" &amp; $AN65):INDIRECT("Table!" &amp; $AQ$85 &amp; $AN65),0))))/1024)</f>
        <v>16.6938662109375</v>
      </c>
      <c r="K65" s="272">
        <f ca="1">IF(ISERROR(MATCH(K$1,INDIRECT("Table!A"&amp;$AN65):INDIRECT("Table!" &amp; $AQ$85 &amp; $AN65),0)),"",INDIRECT(CONCATENATE("Table!",ADDRESS($AJ65,MATCH(K$1,INDIRECT("Table!A" &amp; $AN65):INDIRECT("Table!" &amp; $AQ$85 &amp; $AN65),0))))/1024)</f>
        <v>2.8646279296874999</v>
      </c>
      <c r="L65" s="272">
        <f ca="1">IF(ISERROR(MATCH(L$1,INDIRECT("Table!A"&amp;$AN65):INDIRECT("Table!" &amp; $AQ$85 &amp; $AN65),0)),"",INDIRECT(CONCATENATE("Table!",ADDRESS($AJ65,MATCH(L$1,INDIRECT("Table!A" &amp; $AN65):INDIRECT("Table!" &amp; $AQ$85 &amp; $AN65),0))))/1024)</f>
        <v>275.03720800781247</v>
      </c>
      <c r="M65" s="272">
        <f ca="1">IF(ISERROR(MATCH(M$1,INDIRECT("Table!A"&amp;$AN65):INDIRECT("Table!" &amp; $AQ$85 &amp; $AN65),0)),"",INDIRECT(CONCATENATE("Table!",ADDRESS($AJ65,MATCH(M$1,INDIRECT("Table!A" &amp; $AN65):INDIRECT("Table!" &amp; $AQ$85 &amp; $AN65),0))))/1024)</f>
        <v>366.50774121093747</v>
      </c>
      <c r="N65" s="272">
        <f ca="1">IF(ISERROR(MATCH(N$1,INDIRECT("Table!A"&amp;$AN65):INDIRECT("Table!" &amp; $AQ$85 &amp; $AN65),0)),"",INDIRECT(CONCATENATE("Table!",ADDRESS($AJ65,MATCH(N$1,INDIRECT("Table!A" &amp; $AN65):INDIRECT("Table!" &amp; $AQ$85 &amp; $AN65),0))))/1024)</f>
        <v>132.53020019531249</v>
      </c>
      <c r="O65" s="272">
        <f ca="1">IF(ISERROR(MATCH(O$1,INDIRECT("Table!A"&amp;$AN65):INDIRECT("Table!" &amp; $AQ$85 &amp; $AN65),0)),"",INDIRECT(CONCATENATE("Table!",ADDRESS($AJ65,MATCH(O$1,INDIRECT("Table!A" &amp; $AN65):INDIRECT("Table!" &amp; $AQ$85 &amp; $AN65),0))))/1024)</f>
        <v>246.65434277343749</v>
      </c>
      <c r="P65" s="272">
        <f ca="1">IF(ISERROR(MATCH(P$1,INDIRECT("Table!A"&amp;$AN65):INDIRECT("Table!" &amp; $AQ$85 &amp; $AN65),0)),"",INDIRECT(CONCATENATE("Table!",ADDRESS($AJ65,MATCH(P$1,INDIRECT("Table!A" &amp; $AN65):INDIRECT("Table!" &amp; $AQ$85 &amp; $AN65),0))))/1024)</f>
        <v>31.6096875</v>
      </c>
      <c r="Q65" s="272">
        <f ca="1">IF(ISERROR(MATCH(Q$1,INDIRECT("Table!A"&amp;$AN65):INDIRECT("Table!" &amp; $AQ$85 &amp; $AN65),0)),"",INDIRECT(CONCATENATE("Table!",ADDRESS($AJ65,MATCH(Q$1,INDIRECT("Table!A" &amp; $AN65):INDIRECT("Table!" &amp; $AQ$85 &amp; $AN65),0))))/1024)</f>
        <v>19.690201171875</v>
      </c>
      <c r="R65" s="272">
        <f ca="1">IF(ISERROR(MATCH(R$1,INDIRECT("Table!A"&amp;$AN65):INDIRECT("Table!" &amp; $AQ$85 &amp; $AN65),0)),"",INDIRECT(CONCATENATE("Table!",ADDRESS($AJ65,MATCH(R$1,INDIRECT("Table!A" &amp; $AN65):INDIRECT("Table!" &amp; $AQ$85 &amp; $AN65),0))))/1024)</f>
        <v>6.5853515624999996</v>
      </c>
      <c r="S65" s="595">
        <v>0</v>
      </c>
      <c r="T65" s="595">
        <f ca="1">IF(ISERROR(MATCH(T$1,INDIRECT("Table!A"&amp;$AN65):INDIRECT("Table!" &amp; $AQ$85 &amp; $AN65),0)),"",INDIRECT(CONCATENATE("Table!",ADDRESS($AJ65,MATCH(T$1,INDIRECT("Table!A" &amp; $AN65):INDIRECT("Table!" &amp; $AQ$85 &amp; $AN65),0))))/1024)</f>
        <v>16.397525390624999</v>
      </c>
      <c r="U65" s="272" t="str">
        <f ca="1">IF(ISERROR(MATCH(U$1,INDIRECT("Table!A"&amp;$AN65):INDIRECT("Table!" &amp; $AQ$85 &amp; $AN65),0)),"",INDIRECT(CONCATENATE("Table!",ADDRESS($AJ65,MATCH(U$1,INDIRECT("Table!A" &amp; $AN65):INDIRECT("Table!" &amp; $AQ$85 &amp; $AN65),0))))/1024)</f>
        <v/>
      </c>
      <c r="V65" s="595"/>
      <c r="W65" s="595"/>
      <c r="X65" s="595"/>
      <c r="Y65" s="595"/>
      <c r="Z65" s="595"/>
      <c r="AA65" s="595"/>
      <c r="AB65" s="595"/>
      <c r="AC65" s="595"/>
      <c r="AD65" s="595"/>
      <c r="AE65" s="595"/>
      <c r="AF65" s="595"/>
      <c r="AG65" s="595"/>
      <c r="AH65" s="595"/>
      <c r="AI65" s="595"/>
      <c r="AJ65" s="272">
        <f>MATCH($A65,Table!$A:$A,0)+$AL$2-1</f>
        <v>887</v>
      </c>
      <c r="AK65" s="417"/>
      <c r="AL65" s="417"/>
      <c r="AM65" s="417"/>
      <c r="AN65" s="272">
        <f>MATCH($A65,Table!$A:$A,0)+$AP$2-1</f>
        <v>879</v>
      </c>
      <c r="AO65" s="417"/>
      <c r="AP65" s="417"/>
      <c r="AQ65" s="973" t="s">
        <v>302</v>
      </c>
      <c r="AR65" s="699">
        <f t="shared" ca="1" si="13"/>
        <v>2608.6882412109367</v>
      </c>
      <c r="AS65" s="699">
        <f t="shared" ca="1" si="22"/>
        <v>0</v>
      </c>
    </row>
    <row r="66" spans="1:45" s="267" customFormat="1" x14ac:dyDescent="0.25">
      <c r="A66" s="268">
        <v>41449</v>
      </c>
      <c r="B66" s="272">
        <f ca="1">IF(ISERROR(MATCH(B$1,INDIRECT("Table!A"&amp;$AN66):INDIRECT("Table!" &amp; $AQ$108 &amp; $AN66),0)),"",INDIRECT(CONCATENATE("Table!",ADDRESS($AJ66,MATCH(B$1,INDIRECT("Table!A" &amp; $AN66):INDIRECT("Table!" &amp; $AQ$108 &amp; $AN66),0))))/1024)</f>
        <v>178.98985546874999</v>
      </c>
      <c r="C66" s="272">
        <f ca="1">IF(ISERROR(MATCH(C$1,INDIRECT("Table!A"&amp;$AN66):INDIRECT("Table!" &amp; $AQ$108 &amp; $AN66),0)),"",INDIRECT(CONCATENATE("Table!",ADDRESS($AJ66,MATCH(C$1,INDIRECT("Table!A" &amp; $AN66):INDIRECT("Table!" &amp; $AQ$108 &amp; $AN66),0))))/1024)</f>
        <v>90.680291015625002</v>
      </c>
      <c r="D66" s="272">
        <f ca="1">IF(ISERROR(MATCH(D$1,INDIRECT("Table!A"&amp;$AN66):INDIRECT("Table!" &amp; $AQ$108 &amp; $AN66),0)),"",INDIRECT(CONCATENATE("Table!",ADDRESS($AJ66,MATCH(D$1,INDIRECT("Table!A" &amp; $AN66):INDIRECT("Table!" &amp; $AQ$108 &amp; $AN66),0))))/1024)</f>
        <v>91.701020507812501</v>
      </c>
      <c r="E66" s="272">
        <f ca="1">IF(ISERROR(MATCH(E$1,INDIRECT("Table!A"&amp;$AN66):INDIRECT("Table!" &amp; $AQ$108 &amp; $AN66),0)),"",INDIRECT(CONCATENATE("Table!",ADDRESS($AJ66,MATCH(E$1,INDIRECT("Table!A" &amp; $AN66):INDIRECT("Table!" &amp; $AQ$108 &amp; $AN66),0))))/1024)</f>
        <v>270.46038867187497</v>
      </c>
      <c r="F66" s="272">
        <f ca="1">IF(ISERROR(MATCH(F$1,INDIRECT("Table!A"&amp;$AN66):INDIRECT("Table!" &amp; $AQ$108 &amp; $AN66),0)),"",INDIRECT(CONCATENATE("Table!",ADDRESS($AJ66,MATCH(F$1,INDIRECT("Table!A" &amp; $AN66):INDIRECT("Table!" &amp; $AQ$108 &amp; $AN66),0))))/1024)</f>
        <v>255.37993359375</v>
      </c>
      <c r="G66" s="272">
        <f ca="1">IF(ISERROR(MATCH(G$1,INDIRECT("Table!A"&amp;$AN66):INDIRECT("Table!" &amp; $AQ$108 &amp; $AN66),0)),"",INDIRECT(CONCATENATE("Table!",ADDRESS($AJ66,MATCH(G$1,INDIRECT("Table!A" &amp; $AN66):INDIRECT("Table!" &amp; $AQ$108 &amp; $AN66),0))))/1024)</f>
        <v>451.91975097656251</v>
      </c>
      <c r="H66" s="272">
        <f ca="1">IF(ISERROR(MATCH(H$1,INDIRECT("Table!A"&amp;$AN66):INDIRECT("Table!" &amp; $AQ$108 &amp; $AN66),0)),"",INDIRECT(CONCATENATE("Table!",ADDRESS($AJ66,MATCH(H$1,INDIRECT("Table!A" &amp; $AN66):INDIRECT("Table!" &amp; $AQ$108 &amp; $AN66),0))))/1024)</f>
        <v>137.93018847656251</v>
      </c>
      <c r="I66" s="272">
        <f ca="1">IF(ISERROR(MATCH(I$1,INDIRECT("Table!A"&amp;$AN66):INDIRECT("Table!" &amp; $AQ$85 &amp; $AN66),0)),"",INDIRECT(CONCATENATE("Table!",ADDRESS($AJ66,MATCH(I$1,INDIRECT("Table!A" &amp; $AN66):INDIRECT("Table!" &amp; $AQ$85 &amp; $AN66),0))))/1024)</f>
        <v>17.056060546874999</v>
      </c>
      <c r="J66" s="272">
        <f ca="1">IF(ISERROR(MATCH(J$1,INDIRECT("Table!A"&amp;$AN66):INDIRECT("Table!" &amp; $AQ$85 &amp; $AN66),0)),"",INDIRECT(CONCATENATE("Table!",ADDRESS($AJ66,MATCH(J$1,INDIRECT("Table!A" &amp; $AN66):INDIRECT("Table!" &amp; $AQ$85 &amp; $AN66),0))))/1024)</f>
        <v>16.6938662109375</v>
      </c>
      <c r="K66" s="272">
        <f ca="1">IF(ISERROR(MATCH(K$1,INDIRECT("Table!A"&amp;$AN66):INDIRECT("Table!" &amp; $AQ$85 &amp; $AN66),0)),"",INDIRECT(CONCATENATE("Table!",ADDRESS($AJ66,MATCH(K$1,INDIRECT("Table!A" &amp; $AN66):INDIRECT("Table!" &amp; $AQ$85 &amp; $AN66),0))))/1024)</f>
        <v>2.8646279296874999</v>
      </c>
      <c r="L66" s="272">
        <f ca="1">IF(ISERROR(MATCH(L$1,INDIRECT("Table!A"&amp;$AN66):INDIRECT("Table!" &amp; $AQ$85 &amp; $AN66),0)),"",INDIRECT(CONCATENATE("Table!",ADDRESS($AJ66,MATCH(L$1,INDIRECT("Table!A" &amp; $AN66):INDIRECT("Table!" &amp; $AQ$85 &amp; $AN66),0))))/1024)</f>
        <v>275.03720800781247</v>
      </c>
      <c r="M66" s="272">
        <f ca="1">IF(ISERROR(MATCH(M$1,INDIRECT("Table!A"&amp;$AN66):INDIRECT("Table!" &amp; $AQ$85 &amp; $AN66),0)),"",INDIRECT(CONCATENATE("Table!",ADDRESS($AJ66,MATCH(M$1,INDIRECT("Table!A" &amp; $AN66):INDIRECT("Table!" &amp; $AQ$85 &amp; $AN66),0))))/1024)</f>
        <v>366.50774121093747</v>
      </c>
      <c r="N66" s="272">
        <f ca="1">IF(ISERROR(MATCH(N$1,INDIRECT("Table!A"&amp;$AN66):INDIRECT("Table!" &amp; $AQ$85 &amp; $AN66),0)),"",INDIRECT(CONCATENATE("Table!",ADDRESS($AJ66,MATCH(N$1,INDIRECT("Table!A" &amp; $AN66):INDIRECT("Table!" &amp; $AQ$85 &amp; $AN66),0))))/1024)</f>
        <v>132.53020019531249</v>
      </c>
      <c r="O66" s="272">
        <f ca="1">IF(ISERROR(MATCH(O$1,INDIRECT("Table!A"&amp;$AN66):INDIRECT("Table!" &amp; $AQ$85 &amp; $AN66),0)),"",INDIRECT(CONCATENATE("Table!",ADDRESS($AJ66,MATCH(O$1,INDIRECT("Table!A" &amp; $AN66):INDIRECT("Table!" &amp; $AQ$85 &amp; $AN66),0))))/1024)</f>
        <v>246.65434277343749</v>
      </c>
      <c r="P66" s="272">
        <f ca="1">IF(ISERROR(MATCH(P$1,INDIRECT("Table!A"&amp;$AN66):INDIRECT("Table!" &amp; $AQ$85 &amp; $AN66),0)),"",INDIRECT(CONCATENATE("Table!",ADDRESS($AJ66,MATCH(P$1,INDIRECT("Table!A" &amp; $AN66):INDIRECT("Table!" &amp; $AQ$85 &amp; $AN66),0))))/1024)</f>
        <v>31.6096875</v>
      </c>
      <c r="Q66" s="272">
        <f ca="1">IF(ISERROR(MATCH(Q$1,INDIRECT("Table!A"&amp;$AN66):INDIRECT("Table!" &amp; $AQ$85 &amp; $AN66),0)),"",INDIRECT(CONCATENATE("Table!",ADDRESS($AJ66,MATCH(Q$1,INDIRECT("Table!A" &amp; $AN66):INDIRECT("Table!" &amp; $AQ$85 &amp; $AN66),0))))/1024)</f>
        <v>19.690201171875</v>
      </c>
      <c r="R66" s="272">
        <f ca="1">IF(ISERROR(MATCH(R$1,INDIRECT("Table!A"&amp;$AN66):INDIRECT("Table!" &amp; $AQ$85 &amp; $AN66),0)),"",INDIRECT(CONCATENATE("Table!",ADDRESS($AJ66,MATCH(R$1,INDIRECT("Table!A" &amp; $AN66):INDIRECT("Table!" &amp; $AQ$85 &amp; $AN66),0))))/1024)</f>
        <v>6.5853515624999996</v>
      </c>
      <c r="S66" s="595">
        <v>0</v>
      </c>
      <c r="T66" s="595">
        <f ca="1">IF(ISERROR(MATCH(T$1,INDIRECT("Table!A"&amp;$AN66):INDIRECT("Table!" &amp; $AQ$85 &amp; $AN66),0)),"",INDIRECT(CONCATENATE("Table!",ADDRESS($AJ66,MATCH(T$1,INDIRECT("Table!A" &amp; $AN66):INDIRECT("Table!" &amp; $AQ$85 &amp; $AN66),0))))/1024)</f>
        <v>16.397525390624999</v>
      </c>
      <c r="U66" s="272" t="str">
        <f ca="1">IF(ISERROR(MATCH(U$1,INDIRECT("Table!A"&amp;$AN66):INDIRECT("Table!" &amp; $AQ$85 &amp; $AN66),0)),"",INDIRECT(CONCATENATE("Table!",ADDRESS($AJ66,MATCH(U$1,INDIRECT("Table!A" &amp; $AN66):INDIRECT("Table!" &amp; $AQ$85 &amp; $AN66),0))))/1024)</f>
        <v/>
      </c>
      <c r="V66" s="595"/>
      <c r="W66" s="595"/>
      <c r="X66" s="595"/>
      <c r="Y66" s="595"/>
      <c r="Z66" s="595"/>
      <c r="AA66" s="595"/>
      <c r="AB66" s="595"/>
      <c r="AC66" s="595"/>
      <c r="AD66" s="595"/>
      <c r="AE66" s="595"/>
      <c r="AF66" s="595"/>
      <c r="AG66" s="595"/>
      <c r="AH66" s="595"/>
      <c r="AI66" s="595"/>
      <c r="AJ66" s="272">
        <f>MATCH($A66,Table!$A:$A,0)+$AL$2-1</f>
        <v>899</v>
      </c>
      <c r="AK66" s="412"/>
      <c r="AL66" s="412"/>
      <c r="AM66" s="412"/>
      <c r="AN66" s="272">
        <f>MATCH($A66,Table!$A:$A,0)+$AP$2-1</f>
        <v>891</v>
      </c>
      <c r="AO66" s="412"/>
      <c r="AP66" s="412"/>
      <c r="AQ66" s="973" t="s">
        <v>302</v>
      </c>
      <c r="AR66" s="699">
        <f t="shared" ca="1" si="13"/>
        <v>2608.6882412109367</v>
      </c>
      <c r="AS66" s="699">
        <f t="shared" ca="1" si="22"/>
        <v>18.899958984374734</v>
      </c>
    </row>
    <row r="67" spans="1:45" s="267" customFormat="1" x14ac:dyDescent="0.25">
      <c r="A67" s="268">
        <v>41445</v>
      </c>
      <c r="B67" s="272">
        <f ca="1">IF(ISERROR(MATCH(B$1,INDIRECT("Table!A"&amp;$AN67):INDIRECT("Table!" &amp; $AQ$108 &amp; $AN67),0)),"",INDIRECT(CONCATENATE("Table!",ADDRESS($AJ67,MATCH(B$1,INDIRECT("Table!A" &amp; $AN67):INDIRECT("Table!" &amp; $AQ$108 &amp; $AN67),0))))/1024)</f>
        <v>178.00205273437498</v>
      </c>
      <c r="C67" s="272">
        <f ca="1">IF(ISERROR(MATCH(C$1,INDIRECT("Table!A"&amp;$AN67):INDIRECT("Table!" &amp; $AQ$108 &amp; $AN67),0)),"",INDIRECT(CONCATENATE("Table!",ADDRESS($AJ67,MATCH(C$1,INDIRECT("Table!A" &amp; $AN67):INDIRECT("Table!" &amp; $AQ$108 &amp; $AN67),0))))/1024)</f>
        <v>88.935172851562498</v>
      </c>
      <c r="D67" s="272">
        <f ca="1">IF(ISERROR(MATCH(D$1,INDIRECT("Table!A"&amp;$AN67):INDIRECT("Table!" &amp; $AQ$108 &amp; $AN67),0)),"",INDIRECT(CONCATENATE("Table!",ADDRESS($AJ67,MATCH(D$1,INDIRECT("Table!A" &amp; $AN67):INDIRECT("Table!" &amp; $AQ$108 &amp; $AN67),0))))/1024)</f>
        <v>89.955902343749997</v>
      </c>
      <c r="E67" s="272">
        <f ca="1">IF(ISERROR(MATCH(E$1,INDIRECT("Table!A"&amp;$AN67):INDIRECT("Table!" &amp; $AQ$108 &amp; $AN67),0)),"",INDIRECT(CONCATENATE("Table!",ADDRESS($AJ67,MATCH(E$1,INDIRECT("Table!A" &amp; $AN67):INDIRECT("Table!" &amp; $AQ$108 &amp; $AN67),0))))/1024)</f>
        <v>270.46038867187497</v>
      </c>
      <c r="F67" s="272">
        <f ca="1">IF(ISERROR(MATCH(F$1,INDIRECT("Table!A"&amp;$AN67):INDIRECT("Table!" &amp; $AQ$108 &amp; $AN67),0)),"",INDIRECT(CONCATENATE("Table!",ADDRESS($AJ67,MATCH(F$1,INDIRECT("Table!A" &amp; $AN67):INDIRECT("Table!" &amp; $AQ$108 &amp; $AN67),0))))/1024)</f>
        <v>255.37993359375</v>
      </c>
      <c r="G67" s="272">
        <f ca="1">IF(ISERROR(MATCH(G$1,INDIRECT("Table!A"&amp;$AN67):INDIRECT("Table!" &amp; $AQ$108 &amp; $AN67),0)),"",INDIRECT(CONCATENATE("Table!",ADDRESS($AJ67,MATCH(G$1,INDIRECT("Table!A" &amp; $AN67):INDIRECT("Table!" &amp; $AQ$108 &amp; $AN67),0))))/1024)</f>
        <v>449.68073144531246</v>
      </c>
      <c r="H67" s="272">
        <f ca="1">IF(ISERROR(MATCH(H$1,INDIRECT("Table!A"&amp;$AN67):INDIRECT("Table!" &amp; $AQ$108 &amp; $AN67),0)),"",INDIRECT(CONCATENATE("Table!",ADDRESS($AJ67,MATCH(H$1,INDIRECT("Table!A" &amp; $AN67):INDIRECT("Table!" &amp; $AQ$108 &amp; $AN67),0))))/1024)</f>
        <v>137.6667744140625</v>
      </c>
      <c r="I67" s="272">
        <f ca="1">IF(ISERROR(MATCH(I$1,INDIRECT("Table!A"&amp;$AN67):INDIRECT("Table!" &amp; $AQ$85 &amp; $AN67),0)),"",INDIRECT(CONCATENATE("Table!",ADDRESS($AJ67,MATCH(I$1,INDIRECT("Table!A" &amp; $AN67):INDIRECT("Table!" &amp; $AQ$85 &amp; $AN67),0))))/1024)</f>
        <v>17.056060546874999</v>
      </c>
      <c r="J67" s="272">
        <f ca="1">IF(ISERROR(MATCH(J$1,INDIRECT("Table!A"&amp;$AN67):INDIRECT("Table!" &amp; $AQ$85 &amp; $AN67),0)),"",INDIRECT(CONCATENATE("Table!",ADDRESS($AJ67,MATCH(J$1,INDIRECT("Table!A" &amp; $AN67):INDIRECT("Table!" &amp; $AQ$85 &amp; $AN67),0))))/1024)</f>
        <v>12.084120117187499</v>
      </c>
      <c r="K67" s="272">
        <f ca="1">IF(ISERROR(MATCH(K$1,INDIRECT("Table!A"&amp;$AN67):INDIRECT("Table!" &amp; $AQ$85 &amp; $AN67),0)),"",INDIRECT(CONCATENATE("Table!",ADDRESS($AJ67,MATCH(K$1,INDIRECT("Table!A" &amp; $AN67):INDIRECT("Table!" &amp; $AQ$85 &amp; $AN67),0))))/1024)</f>
        <v>2.8646279296874999</v>
      </c>
      <c r="L67" s="272">
        <f ca="1">IF(ISERROR(MATCH(L$1,INDIRECT("Table!A"&amp;$AN67):INDIRECT("Table!" &amp; $AQ$85 &amp; $AN67),0)),"",INDIRECT(CONCATENATE("Table!",ADDRESS($AJ67,MATCH(L$1,INDIRECT("Table!A" &amp; $AN67):INDIRECT("Table!" &amp; $AQ$85 &amp; $AN67),0))))/1024)</f>
        <v>275.03720800781247</v>
      </c>
      <c r="M67" s="272">
        <f ca="1">IF(ISERROR(MATCH(M$1,INDIRECT("Table!A"&amp;$AN67):INDIRECT("Table!" &amp; $AQ$85 &amp; $AN67),0)),"",INDIRECT(CONCATENATE("Table!",ADDRESS($AJ67,MATCH(M$1,INDIRECT("Table!A" &amp; $AN67):INDIRECT("Table!" &amp; $AQ$85 &amp; $AN67),0))))/1024)</f>
        <v>366.50774121093747</v>
      </c>
      <c r="N67" s="272">
        <f ca="1">IF(ISERROR(MATCH(N$1,INDIRECT("Table!A"&amp;$AN67):INDIRECT("Table!" &amp; $AQ$85 &amp; $AN67),0)),"",INDIRECT(CONCATENATE("Table!",ADDRESS($AJ67,MATCH(N$1,INDIRECT("Table!A" &amp; $AN67):INDIRECT("Table!" &amp; $AQ$85 &amp; $AN67),0))))/1024)</f>
        <v>132.53020019531249</v>
      </c>
      <c r="O67" s="272">
        <f ca="1">IF(ISERROR(MATCH(O$1,INDIRECT("Table!A"&amp;$AN67):INDIRECT("Table!" &amp; $AQ$85 &amp; $AN67),0)),"",INDIRECT(CONCATENATE("Table!",ADDRESS($AJ67,MATCH(O$1,INDIRECT("Table!A" &amp; $AN67):INDIRECT("Table!" &amp; $AQ$85 &amp; $AN67),0))))/1024)</f>
        <v>246.62141601562499</v>
      </c>
      <c r="P67" s="272">
        <f ca="1">IF(ISERROR(MATCH(P$1,INDIRECT("Table!A"&amp;$AN67):INDIRECT("Table!" &amp; $AQ$85 &amp; $AN67),0)),"",INDIRECT(CONCATENATE("Table!",ADDRESS($AJ67,MATCH(P$1,INDIRECT("Table!A" &amp; $AN67):INDIRECT("Table!" &amp; $AQ$85 &amp; $AN67),0))))/1024)</f>
        <v>31.6096875</v>
      </c>
      <c r="Q67" s="272">
        <f ca="1">IF(ISERROR(MATCH(Q$1,INDIRECT("Table!A"&amp;$AN67):INDIRECT("Table!" &amp; $AQ$85 &amp; $AN67),0)),"",INDIRECT(CONCATENATE("Table!",ADDRESS($AJ67,MATCH(Q$1,INDIRECT("Table!A" &amp; $AN67):INDIRECT("Table!" &amp; $AQ$85 &amp; $AN67),0))))/1024)</f>
        <v>12.413387695312499</v>
      </c>
      <c r="R67" s="272">
        <f ca="1">IF(ISERROR(MATCH(R$1,INDIRECT("Table!A"&amp;$AN67):INDIRECT("Table!" &amp; $AQ$85 &amp; $AN67),0)),"",INDIRECT(CONCATENATE("Table!",ADDRESS($AJ67,MATCH(R$1,INDIRECT("Table!A" &amp; $AN67):INDIRECT("Table!" &amp; $AQ$85 &amp; $AN67),0))))/1024)</f>
        <v>6.5853515624999996</v>
      </c>
      <c r="S67" s="595">
        <v>0</v>
      </c>
      <c r="T67" s="595">
        <f ca="1">IF(ISERROR(MATCH(T$1,INDIRECT("Table!A"&amp;$AN67):INDIRECT("Table!" &amp; $AQ$85 &amp; $AN67),0)),"",INDIRECT(CONCATENATE("Table!",ADDRESS($AJ67,MATCH(T$1,INDIRECT("Table!A" &amp; $AN67):INDIRECT("Table!" &amp; $AQ$85 &amp; $AN67),0))))/1024)</f>
        <v>16.397525390624999</v>
      </c>
      <c r="U67" s="272" t="str">
        <f ca="1">IF(ISERROR(MATCH(U$1,INDIRECT("Table!A"&amp;$AN67):INDIRECT("Table!" &amp; $AQ$85 &amp; $AN67),0)),"",INDIRECT(CONCATENATE("Table!",ADDRESS($AJ67,MATCH(U$1,INDIRECT("Table!A" &amp; $AN67):INDIRECT("Table!" &amp; $AQ$85 &amp; $AN67),0))))/1024)</f>
        <v/>
      </c>
      <c r="V67" s="595"/>
      <c r="W67" s="595"/>
      <c r="X67" s="595"/>
      <c r="Y67" s="595"/>
      <c r="Z67" s="595"/>
      <c r="AA67" s="595"/>
      <c r="AB67" s="595"/>
      <c r="AC67" s="595"/>
      <c r="AD67" s="595"/>
      <c r="AE67" s="595"/>
      <c r="AF67" s="595"/>
      <c r="AG67" s="595"/>
      <c r="AH67" s="595"/>
      <c r="AI67" s="595"/>
      <c r="AJ67" s="272">
        <f>MATCH($A67,Table!$A:$A,0)+$AL$2-1</f>
        <v>911</v>
      </c>
      <c r="AK67" s="407"/>
      <c r="AL67" s="407"/>
      <c r="AM67" s="407"/>
      <c r="AN67" s="272">
        <f>MATCH($A67,Table!$A:$A,0)+$AP$2-1</f>
        <v>903</v>
      </c>
      <c r="AO67" s="407"/>
      <c r="AP67" s="407"/>
      <c r="AQ67" s="973" t="s">
        <v>302</v>
      </c>
      <c r="AR67" s="699">
        <f t="shared" ca="1" si="13"/>
        <v>2589.7882822265619</v>
      </c>
      <c r="AS67" s="699">
        <f t="shared" ca="1" si="22"/>
        <v>8.5280302734372526</v>
      </c>
    </row>
    <row r="68" spans="1:45" s="267" customFormat="1" x14ac:dyDescent="0.25">
      <c r="A68" s="268">
        <v>41443</v>
      </c>
      <c r="B68" s="272">
        <f ca="1">IF(ISERROR(MATCH(B$1,INDIRECT("Table!A"&amp;$AN68):INDIRECT("Table!" &amp; $AQ$108 &amp; $AN68),0)),"",INDIRECT(CONCATENATE("Table!",ADDRESS($AJ68,MATCH(B$1,INDIRECT("Table!A" &amp; $AN68):INDIRECT("Table!" &amp; $AQ$108 &amp; $AN68),0))))/1024)</f>
        <v>178.00205273437498</v>
      </c>
      <c r="C68" s="272">
        <f ca="1">IF(ISERROR(MATCH(C$1,INDIRECT("Table!A"&amp;$AN68):INDIRECT("Table!" &amp; $AQ$108 &amp; $AN68),0)),"",INDIRECT(CONCATENATE("Table!",ADDRESS($AJ68,MATCH(C$1,INDIRECT("Table!A" &amp; $AN68):INDIRECT("Table!" &amp; $AQ$108 &amp; $AN68),0))))/1024)</f>
        <v>88.935172851562498</v>
      </c>
      <c r="D68" s="272">
        <f ca="1">IF(ISERROR(MATCH(D$1,INDIRECT("Table!A"&amp;$AN68):INDIRECT("Table!" &amp; $AQ$108 &amp; $AN68),0)),"",INDIRECT(CONCATENATE("Table!",ADDRESS($AJ68,MATCH(D$1,INDIRECT("Table!A" &amp; $AN68):INDIRECT("Table!" &amp; $AQ$108 &amp; $AN68),0))))/1024)</f>
        <v>89.955902343749997</v>
      </c>
      <c r="E68" s="272">
        <f ca="1">IF(ISERROR(MATCH(E$1,INDIRECT("Table!A"&amp;$AN68):INDIRECT("Table!" &amp; $AQ$108 &amp; $AN68),0)),"",INDIRECT(CONCATENATE("Table!",ADDRESS($AJ68,MATCH(E$1,INDIRECT("Table!A" &amp; $AN68):INDIRECT("Table!" &amp; $AQ$108 &amp; $AN68),0))))/1024)</f>
        <v>270.46038867187497</v>
      </c>
      <c r="F68" s="272">
        <f ca="1">IF(ISERROR(MATCH(F$1,INDIRECT("Table!A"&amp;$AN68):INDIRECT("Table!" &amp; $AQ$108 &amp; $AN68),0)),"",INDIRECT(CONCATENATE("Table!",ADDRESS($AJ68,MATCH(F$1,INDIRECT("Table!A" &amp; $AN68):INDIRECT("Table!" &amp; $AQ$108 &amp; $AN68),0))))/1024)</f>
        <v>255.37993359375</v>
      </c>
      <c r="G68" s="272">
        <f ca="1">IF(ISERROR(MATCH(G$1,INDIRECT("Table!A"&amp;$AN68):INDIRECT("Table!" &amp; $AQ$108 &amp; $AN68),0)),"",INDIRECT(CONCATENATE("Table!",ADDRESS($AJ68,MATCH(G$1,INDIRECT("Table!A" &amp; $AN68):INDIRECT("Table!" &amp; $AQ$108 &amp; $AN68),0))))/1024)</f>
        <v>449.68073144531246</v>
      </c>
      <c r="H68" s="272">
        <f ca="1">IF(ISERROR(MATCH(H$1,INDIRECT("Table!A"&amp;$AN68):INDIRECT("Table!" &amp; $AQ$108 &amp; $AN68),0)),"",INDIRECT(CONCATENATE("Table!",ADDRESS($AJ68,MATCH(H$1,INDIRECT("Table!A" &amp; $AN68):INDIRECT("Table!" &amp; $AQ$108 &amp; $AN68),0))))/1024)</f>
        <v>136.77775195312501</v>
      </c>
      <c r="I68" s="272">
        <f ca="1">IF(ISERROR(MATCH(I$1,INDIRECT("Table!A"&amp;$AN68):INDIRECT("Table!" &amp; $AQ$85 &amp; $AN68),0)),"",INDIRECT(CONCATENATE("Table!",ADDRESS($AJ68,MATCH(I$1,INDIRECT("Table!A" &amp; $AN68):INDIRECT("Table!" &amp; $AQ$85 &amp; $AN68),0))))/1024)</f>
        <v>14.0597255859375</v>
      </c>
      <c r="J68" s="272">
        <f ca="1">IF(ISERROR(MATCH(J$1,INDIRECT("Table!A"&amp;$AN68):INDIRECT("Table!" &amp; $AQ$85 &amp; $AN68),0)),"",INDIRECT(CONCATENATE("Table!",ADDRESS($AJ68,MATCH(J$1,INDIRECT("Table!A" &amp; $AN68):INDIRECT("Table!" &amp; $AQ$85 &amp; $AN68),0))))/1024)</f>
        <v>12.084120117187499</v>
      </c>
      <c r="K68" s="272">
        <f ca="1">IF(ISERROR(MATCH(K$1,INDIRECT("Table!A"&amp;$AN68):INDIRECT("Table!" &amp; $AQ$85 &amp; $AN68),0)),"",INDIRECT(CONCATENATE("Table!",ADDRESS($AJ68,MATCH(K$1,INDIRECT("Table!A" &amp; $AN68):INDIRECT("Table!" &amp; $AQ$85 &amp; $AN68),0))))/1024)</f>
        <v>2.8646279296874999</v>
      </c>
      <c r="L68" s="272">
        <f ca="1">IF(ISERROR(MATCH(L$1,INDIRECT("Table!A"&amp;$AN68):INDIRECT("Table!" &amp; $AQ$85 &amp; $AN68),0)),"",INDIRECT(CONCATENATE("Table!",ADDRESS($AJ68,MATCH(L$1,INDIRECT("Table!A" &amp; $AN68):INDIRECT("Table!" &amp; $AQ$85 &amp; $AN68),0))))/1024)</f>
        <v>275.03720800781247</v>
      </c>
      <c r="M68" s="272">
        <f ca="1">IF(ISERROR(MATCH(M$1,INDIRECT("Table!A"&amp;$AN68):INDIRECT("Table!" &amp; $AQ$85 &amp; $AN68),0)),"",INDIRECT(CONCATENATE("Table!",ADDRESS($AJ68,MATCH(M$1,INDIRECT("Table!A" &amp; $AN68):INDIRECT("Table!" &amp; $AQ$85 &amp; $AN68),0))))/1024)</f>
        <v>366.50774121093747</v>
      </c>
      <c r="N68" s="272">
        <f ca="1">IF(ISERROR(MATCH(N$1,INDIRECT("Table!A"&amp;$AN68):INDIRECT("Table!" &amp; $AQ$85 &amp; $AN68),0)),"",INDIRECT(CONCATENATE("Table!",ADDRESS($AJ68,MATCH(N$1,INDIRECT("Table!A" &amp; $AN68):INDIRECT("Table!" &amp; $AQ$85 &amp; $AN68),0))))/1024)</f>
        <v>132.53020019531249</v>
      </c>
      <c r="O68" s="272">
        <f ca="1">IF(ISERROR(MATCH(O$1,INDIRECT("Table!A"&amp;$AN68):INDIRECT("Table!" &amp; $AQ$85 &amp; $AN68),0)),"",INDIRECT(CONCATENATE("Table!",ADDRESS($AJ68,MATCH(O$1,INDIRECT("Table!A" &amp; $AN68):INDIRECT("Table!" &amp; $AQ$85 &amp; $AN68),0))))/1024)</f>
        <v>244.97507812499998</v>
      </c>
      <c r="P68" s="272">
        <f ca="1">IF(ISERROR(MATCH(P$1,INDIRECT("Table!A"&amp;$AN68):INDIRECT("Table!" &amp; $AQ$85 &amp; $AN68),0)),"",INDIRECT(CONCATENATE("Table!",ADDRESS($AJ68,MATCH(P$1,INDIRECT("Table!A" &amp; $AN68):INDIRECT("Table!" &amp; $AQ$85 &amp; $AN68),0))))/1024)</f>
        <v>28.6133525390625</v>
      </c>
      <c r="Q68" s="272">
        <f ca="1">IF(ISERROR(MATCH(Q$1,INDIRECT("Table!A"&amp;$AN68):INDIRECT("Table!" &amp; $AQ$85 &amp; $AN68),0)),"",INDIRECT(CONCATENATE("Table!",ADDRESS($AJ68,MATCH(Q$1,INDIRECT("Table!A" &amp; $AN68):INDIRECT("Table!" &amp; $AQ$85 &amp; $AN68),0))))/1024)</f>
        <v>12.413387695312499</v>
      </c>
      <c r="R68" s="272">
        <f ca="1">IF(ISERROR(MATCH(R$1,INDIRECT("Table!A"&amp;$AN68):INDIRECT("Table!" &amp; $AQ$85 &amp; $AN68),0)),"",INDIRECT(CONCATENATE("Table!",ADDRESS($AJ68,MATCH(R$1,INDIRECT("Table!A" &amp; $AN68):INDIRECT("Table!" &amp; $AQ$85 &amp; $AN68),0))))/1024)</f>
        <v>6.5853515624999996</v>
      </c>
      <c r="S68" s="595">
        <v>0</v>
      </c>
      <c r="T68" s="595">
        <f ca="1">IF(ISERROR(MATCH(T$1,INDIRECT("Table!A"&amp;$AN68):INDIRECT("Table!" &amp; $AQ$85 &amp; $AN68),0)),"",INDIRECT(CONCATENATE("Table!",ADDRESS($AJ68,MATCH(T$1,INDIRECT("Table!A" &amp; $AN68):INDIRECT("Table!" &amp; $AQ$85 &amp; $AN68),0))))/1024)</f>
        <v>16.397525390624999</v>
      </c>
      <c r="U68" s="272" t="str">
        <f ca="1">IF(ISERROR(MATCH(U$1,INDIRECT("Table!A"&amp;$AN68):INDIRECT("Table!" &amp; $AQ$85 &amp; $AN68),0)),"",INDIRECT(CONCATENATE("Table!",ADDRESS($AJ68,MATCH(U$1,INDIRECT("Table!A" &amp; $AN68):INDIRECT("Table!" &amp; $AQ$85 &amp; $AN68),0))))/1024)</f>
        <v/>
      </c>
      <c r="V68" s="595"/>
      <c r="W68" s="595"/>
      <c r="X68" s="595"/>
      <c r="Y68" s="595"/>
      <c r="Z68" s="595"/>
      <c r="AA68" s="595"/>
      <c r="AB68" s="595"/>
      <c r="AC68" s="595"/>
      <c r="AD68" s="595"/>
      <c r="AE68" s="595"/>
      <c r="AF68" s="595"/>
      <c r="AG68" s="595"/>
      <c r="AH68" s="595"/>
      <c r="AI68" s="595"/>
      <c r="AJ68" s="272">
        <f>MATCH($A68,Table!$A:$A,0)+$AL$2-1</f>
        <v>923</v>
      </c>
      <c r="AK68" s="407"/>
      <c r="AL68" s="407"/>
      <c r="AM68" s="407"/>
      <c r="AN68" s="272">
        <f>MATCH($A68,Table!$A:$A,0)+$AP$2-1</f>
        <v>915</v>
      </c>
      <c r="AO68" s="407"/>
      <c r="AP68" s="407"/>
      <c r="AQ68" s="973" t="s">
        <v>302</v>
      </c>
      <c r="AR68" s="699">
        <f t="shared" ca="1" si="13"/>
        <v>2581.2602519531247</v>
      </c>
      <c r="AS68" s="699">
        <f t="shared" ca="1" si="22"/>
        <v>24.365800781249618</v>
      </c>
    </row>
    <row r="69" spans="1:45" s="267" customFormat="1" x14ac:dyDescent="0.25">
      <c r="A69" s="268">
        <v>41437</v>
      </c>
      <c r="B69" s="272">
        <f ca="1">IF(ISERROR(MATCH(B$1,INDIRECT("Table!A"&amp;$AN69):INDIRECT("Table!" &amp; $AQ$108 &amp; $AN69),0)),"",INDIRECT(CONCATENATE("Table!",ADDRESS($AJ69,MATCH(B$1,INDIRECT("Table!A" &amp; $AN69):INDIRECT("Table!" &amp; $AQ$108 &amp; $AN69),0))))/1024)</f>
        <v>175.79595996093749</v>
      </c>
      <c r="C69" s="272">
        <f ca="1">IF(ISERROR(MATCH(C$1,INDIRECT("Table!A"&amp;$AN69):INDIRECT("Table!" &amp; $AQ$108 &amp; $AN69),0)),"",INDIRECT(CONCATENATE("Table!",ADDRESS($AJ69,MATCH(C$1,INDIRECT("Table!A" &amp; $AN69):INDIRECT("Table!" &amp; $AQ$108 &amp; $AN69),0))))/1024)</f>
        <v>88.474198242187498</v>
      </c>
      <c r="D69" s="272">
        <f ca="1">IF(ISERROR(MATCH(D$1,INDIRECT("Table!A"&amp;$AN69):INDIRECT("Table!" &amp; $AQ$108 &amp; $AN69),0)),"",INDIRECT(CONCATENATE("Table!",ADDRESS($AJ69,MATCH(D$1,INDIRECT("Table!A" &amp; $AN69):INDIRECT("Table!" &amp; $AQ$108 &amp; $AN69),0))))/1024)</f>
        <v>89.494927734374997</v>
      </c>
      <c r="E69" s="272">
        <f ca="1">IF(ISERROR(MATCH(E$1,INDIRECT("Table!A"&amp;$AN69):INDIRECT("Table!" &amp; $AQ$108 &amp; $AN69),0)),"",INDIRECT(CONCATENATE("Table!",ADDRESS($AJ69,MATCH(E$1,INDIRECT("Table!A" &amp; $AN69):INDIRECT("Table!" &amp; $AQ$108 &amp; $AN69),0))))/1024)</f>
        <v>271.51404492187498</v>
      </c>
      <c r="F69" s="272">
        <f ca="1">IF(ISERROR(MATCH(F$1,INDIRECT("Table!A"&amp;$AN69):INDIRECT("Table!" &amp; $AQ$108 &amp; $AN69),0)),"",INDIRECT(CONCATENATE("Table!",ADDRESS($AJ69,MATCH(F$1,INDIRECT("Table!A" &amp; $AN69):INDIRECT("Table!" &amp; $AQ$108 &amp; $AN69),0))))/1024)</f>
        <v>255.37993359375</v>
      </c>
      <c r="G69" s="272">
        <f ca="1">IF(ISERROR(MATCH(G$1,INDIRECT("Table!A"&amp;$AN69):INDIRECT("Table!" &amp; $AQ$108 &amp; $AN69),0)),"",INDIRECT(CONCATENATE("Table!",ADDRESS($AJ69,MATCH(G$1,INDIRECT("Table!A" &amp; $AN69):INDIRECT("Table!" &amp; $AQ$108 &amp; $AN69),0))))/1024)</f>
        <v>448.69292871093751</v>
      </c>
      <c r="H69" s="272">
        <f ca="1">IF(ISERROR(MATCH(H$1,INDIRECT("Table!A"&amp;$AN69):INDIRECT("Table!" &amp; $AQ$108 &amp; $AN69),0)),"",INDIRECT(CONCATENATE("Table!",ADDRESS($AJ69,MATCH(H$1,INDIRECT("Table!A" &amp; $AN69):INDIRECT("Table!" &amp; $AQ$108 &amp; $AN69),0))))/1024)</f>
        <v>136.77775195312501</v>
      </c>
      <c r="I69" s="272">
        <f ca="1">IF(ISERROR(MATCH(I$1,INDIRECT("Table!A"&amp;$AN69):INDIRECT("Table!" &amp; $AQ$85 &amp; $AN69),0)),"",INDIRECT(CONCATENATE("Table!",ADDRESS($AJ69,MATCH(I$1,INDIRECT("Table!A" &amp; $AN69):INDIRECT("Table!" &amp; $AQ$85 &amp; $AN69),0))))/1024)</f>
        <v>14.0597255859375</v>
      </c>
      <c r="J69" s="272">
        <f ca="1">IF(ISERROR(MATCH(J$1,INDIRECT("Table!A"&amp;$AN69):INDIRECT("Table!" &amp; $AQ$85 &amp; $AN69),0)),"",INDIRECT(CONCATENATE("Table!",ADDRESS($AJ69,MATCH(J$1,INDIRECT("Table!A" &amp; $AN69):INDIRECT("Table!" &amp; $AQ$85 &amp; $AN69),0))))/1024)</f>
        <v>2.9304814453125001</v>
      </c>
      <c r="K69" s="272">
        <f ca="1">IF(ISERROR(MATCH(K$1,INDIRECT("Table!A"&amp;$AN69):INDIRECT("Table!" &amp; $AQ$85 &amp; $AN69),0)),"",INDIRECT(CONCATENATE("Table!",ADDRESS($AJ69,MATCH(K$1,INDIRECT("Table!A" &amp; $AN69):INDIRECT("Table!" &amp; $AQ$85 &amp; $AN69),0))))/1024)</f>
        <v>2.8646279296874999</v>
      </c>
      <c r="L69" s="272">
        <f ca="1">IF(ISERROR(MATCH(L$1,INDIRECT("Table!A"&amp;$AN69):INDIRECT("Table!" &amp; $AQ$85 &amp; $AN69),0)),"",INDIRECT(CONCATENATE("Table!",ADDRESS($AJ69,MATCH(L$1,INDIRECT("Table!A" &amp; $AN69):INDIRECT("Table!" &amp; $AQ$85 &amp; $AN69),0))))/1024)</f>
        <v>275.92623046874996</v>
      </c>
      <c r="M69" s="272">
        <f ca="1">IF(ISERROR(MATCH(M$1,INDIRECT("Table!A"&amp;$AN69):INDIRECT("Table!" &amp; $AQ$85 &amp; $AN69),0)),"",INDIRECT(CONCATENATE("Table!",ADDRESS($AJ69,MATCH(M$1,INDIRECT("Table!A" &amp; $AN69):INDIRECT("Table!" &amp; $AQ$85 &amp; $AN69),0))))/1024)</f>
        <v>366.50774121093747</v>
      </c>
      <c r="N69" s="272">
        <f ca="1">IF(ISERROR(MATCH(N$1,INDIRECT("Table!A"&amp;$AN69):INDIRECT("Table!" &amp; $AQ$85 &amp; $AN69),0)),"",INDIRECT(CONCATENATE("Table!",ADDRESS($AJ69,MATCH(N$1,INDIRECT("Table!A" &amp; $AN69):INDIRECT("Table!" &amp; $AQ$85 &amp; $AN69),0))))/1024)</f>
        <v>132.53020019531249</v>
      </c>
      <c r="O69" s="272">
        <f ca="1">IF(ISERROR(MATCH(O$1,INDIRECT("Table!A"&amp;$AN69):INDIRECT("Table!" &amp; $AQ$85 &amp; $AN69),0)),"",INDIRECT(CONCATENATE("Table!",ADDRESS($AJ69,MATCH(O$1,INDIRECT("Table!A" &amp; $AN69):INDIRECT("Table!" &amp; $AQ$85 &amp; $AN69),0))))/1024)</f>
        <v>244.97507812499998</v>
      </c>
      <c r="P69" s="272">
        <f ca="1">IF(ISERROR(MATCH(P$1,INDIRECT("Table!A"&amp;$AN69):INDIRECT("Table!" &amp; $AQ$85 &amp; $AN69),0)),"",INDIRECT(CONCATENATE("Table!",ADDRESS($AJ69,MATCH(P$1,INDIRECT("Table!A" &amp; $AN69):INDIRECT("Table!" &amp; $AQ$85 &amp; $AN69),0))))/1024)</f>
        <v>28.6133525390625</v>
      </c>
      <c r="Q69" s="272">
        <f ca="1">IF(ISERROR(MATCH(Q$1,INDIRECT("Table!A"&amp;$AN69):INDIRECT("Table!" &amp; $AQ$85 &amp; $AN69),0)),"",INDIRECT(CONCATENATE("Table!",ADDRESS($AJ69,MATCH(Q$1,INDIRECT("Table!A" &amp; $AN69):INDIRECT("Table!" &amp; $AQ$85 &amp; $AN69),0))))/1024)</f>
        <v>5.2682812499999994</v>
      </c>
      <c r="R69" s="272">
        <f ca="1">IF(ISERROR(MATCH(R$1,INDIRECT("Table!A"&amp;$AN69):INDIRECT("Table!" &amp; $AQ$85 &amp; $AN69),0)),"",INDIRECT(CONCATENATE("Table!",ADDRESS($AJ69,MATCH(R$1,INDIRECT("Table!A" &amp; $AN69):INDIRECT("Table!" &amp; $AQ$85 &amp; $AN69),0))))/1024)</f>
        <v>0.69146191406250002</v>
      </c>
      <c r="S69" s="595">
        <v>0</v>
      </c>
      <c r="T69" s="595">
        <f ca="1">IF(ISERROR(MATCH(T$1,INDIRECT("Table!A"&amp;$AN69):INDIRECT("Table!" &amp; $AQ$85 &amp; $AN69),0)),"",INDIRECT(CONCATENATE("Table!",ADDRESS($AJ69,MATCH(T$1,INDIRECT("Table!A" &amp; $AN69):INDIRECT("Table!" &amp; $AQ$85 &amp; $AN69),0))))/1024)</f>
        <v>16.397525390624999</v>
      </c>
      <c r="U69" s="272" t="str">
        <f ca="1">IF(ISERROR(MATCH(U$1,INDIRECT("Table!A"&amp;$AN69):INDIRECT("Table!" &amp; $AQ$85 &amp; $AN69),0)),"",INDIRECT(CONCATENATE("Table!",ADDRESS($AJ69,MATCH(U$1,INDIRECT("Table!A" &amp; $AN69):INDIRECT("Table!" &amp; $AQ$85 &amp; $AN69),0))))/1024)</f>
        <v/>
      </c>
      <c r="V69" s="595"/>
      <c r="W69" s="595"/>
      <c r="X69" s="595"/>
      <c r="Y69" s="595"/>
      <c r="Z69" s="595"/>
      <c r="AA69" s="595"/>
      <c r="AB69" s="595"/>
      <c r="AC69" s="595"/>
      <c r="AD69" s="595"/>
      <c r="AE69" s="595"/>
      <c r="AF69" s="595"/>
      <c r="AG69" s="595"/>
      <c r="AH69" s="595"/>
      <c r="AI69" s="595"/>
      <c r="AJ69" s="272">
        <f>MATCH($A69,Table!$A:$A,0)+$AL$2-1</f>
        <v>935</v>
      </c>
      <c r="AK69" s="388"/>
      <c r="AL69" s="388"/>
      <c r="AM69" s="388"/>
      <c r="AN69" s="272">
        <f>MATCH($A69,Table!$A:$A,0)+$AP$2-1</f>
        <v>927</v>
      </c>
      <c r="AO69" s="388"/>
      <c r="AP69" s="388"/>
      <c r="AQ69" s="973" t="s">
        <v>302</v>
      </c>
      <c r="AR69" s="699">
        <f t="shared" ca="1" si="13"/>
        <v>2556.8944511718751</v>
      </c>
      <c r="AS69" s="699">
        <f t="shared" ca="1" si="22"/>
        <v>5.4987685546875582</v>
      </c>
    </row>
    <row r="70" spans="1:45" s="267" customFormat="1" x14ac:dyDescent="0.25">
      <c r="A70" s="268">
        <v>41430</v>
      </c>
      <c r="B70" s="272">
        <f ca="1">IF(ISERROR(MATCH(B$1,INDIRECT("Table!A"&amp;$AN70):INDIRECT("Table!" &amp; $AQ$108 &amp; $AN70),0)),"",INDIRECT(CONCATENATE("Table!",ADDRESS($AJ70,MATCH(B$1,INDIRECT("Table!A" &amp; $AN70):INDIRECT("Table!" &amp; $AQ$108 &amp; $AN70),0))))/1024)</f>
        <v>175.79595996093749</v>
      </c>
      <c r="C70" s="272">
        <f ca="1">IF(ISERROR(MATCH(C$1,INDIRECT("Table!A"&amp;$AN70):INDIRECT("Table!" &amp; $AQ$108 &amp; $AN70),0)),"",INDIRECT(CONCATENATE("Table!",ADDRESS($AJ70,MATCH(C$1,INDIRECT("Table!A" &amp; $AN70):INDIRECT("Table!" &amp; $AQ$108 &amp; $AN70),0))))/1024)</f>
        <v>88.342491210937496</v>
      </c>
      <c r="D70" s="272">
        <f ca="1">IF(ISERROR(MATCH(D$1,INDIRECT("Table!A"&amp;$AN70):INDIRECT("Table!" &amp; $AQ$108 &amp; $AN70),0)),"",INDIRECT(CONCATENATE("Table!",ADDRESS($AJ70,MATCH(D$1,INDIRECT("Table!A" &amp; $AN70):INDIRECT("Table!" &amp; $AQ$108 &amp; $AN70),0))))/1024)</f>
        <v>89.363220703124995</v>
      </c>
      <c r="E70" s="272">
        <f ca="1">IF(ISERROR(MATCH(E$1,INDIRECT("Table!A"&amp;$AN70):INDIRECT("Table!" &amp; $AQ$108 &amp; $AN70),0)),"",INDIRECT(CONCATENATE("Table!",ADDRESS($AJ70,MATCH(E$1,INDIRECT("Table!A" &amp; $AN70):INDIRECT("Table!" &amp; $AQ$108 &amp; $AN70),0))))/1024)</f>
        <v>271.51404492187498</v>
      </c>
      <c r="F70" s="272">
        <f ca="1">IF(ISERROR(MATCH(F$1,INDIRECT("Table!A"&amp;$AN70):INDIRECT("Table!" &amp; $AQ$108 &amp; $AN70),0)),"",INDIRECT(CONCATENATE("Table!",ADDRESS($AJ70,MATCH(F$1,INDIRECT("Table!A" &amp; $AN70):INDIRECT("Table!" &amp; $AQ$108 &amp; $AN70),0))))/1024)</f>
        <v>254.78725195312498</v>
      </c>
      <c r="G70" s="272">
        <f ca="1">IF(ISERROR(MATCH(G$1,INDIRECT("Table!A"&amp;$AN70):INDIRECT("Table!" &amp; $AQ$108 &amp; $AN70),0)),"",INDIRECT(CONCATENATE("Table!",ADDRESS($AJ70,MATCH(G$1,INDIRECT("Table!A" &amp; $AN70):INDIRECT("Table!" &amp; $AQ$108 &amp; $AN70),0))))/1024)</f>
        <v>448.5941484375</v>
      </c>
      <c r="H70" s="272">
        <f ca="1">IF(ISERROR(MATCH(H$1,INDIRECT("Table!A"&amp;$AN70):INDIRECT("Table!" &amp; $AQ$108 &amp; $AN70),0)),"",INDIRECT(CONCATENATE("Table!",ADDRESS($AJ70,MATCH(H$1,INDIRECT("Table!A" &amp; $AN70):INDIRECT("Table!" &amp; $AQ$108 &amp; $AN70),0))))/1024)</f>
        <v>136.77775195312501</v>
      </c>
      <c r="I70" s="272">
        <f ca="1">IF(ISERROR(MATCH(I$1,INDIRECT("Table!A"&amp;$AN70):INDIRECT("Table!" &amp; $AQ$85 &amp; $AN70),0)),"",INDIRECT(CONCATENATE("Table!",ADDRESS($AJ70,MATCH(I$1,INDIRECT("Table!A" &amp; $AN70):INDIRECT("Table!" &amp; $AQ$85 &amp; $AN70),0))))/1024)</f>
        <v>14.0597255859375</v>
      </c>
      <c r="J70" s="272">
        <f ca="1">IF(ISERROR(MATCH(J$1,INDIRECT("Table!A"&amp;$AN70):INDIRECT("Table!" &amp; $AQ$85 &amp; $AN70),0)),"",INDIRECT(CONCATENATE("Table!",ADDRESS($AJ70,MATCH(J$1,INDIRECT("Table!A" &amp; $AN70):INDIRECT("Table!" &amp; $AQ$85 &amp; $AN70),0))))/1024)</f>
        <v>2.9304814453125001</v>
      </c>
      <c r="K70" s="272" t="str">
        <f ca="1">IF(ISERROR(MATCH(K$1,INDIRECT("Table!A"&amp;$AN70):INDIRECT("Table!" &amp; $AQ$85 &amp; $AN70),0)),"",INDIRECT(CONCATENATE("Table!",ADDRESS($AJ70,MATCH(K$1,INDIRECT("Table!A" &amp; $AN70):INDIRECT("Table!" &amp; $AQ$85 &amp; $AN70),0))))/1024)</f>
        <v/>
      </c>
      <c r="L70" s="272">
        <f ca="1">IF(ISERROR(MATCH(L$1,INDIRECT("Table!A"&amp;$AN70):INDIRECT("Table!" &amp; $AQ$85 &amp; $AN70),0)),"",INDIRECT(CONCATENATE("Table!",ADDRESS($AJ70,MATCH(L$1,INDIRECT("Table!A" &amp; $AN70):INDIRECT("Table!" &amp; $AQ$85 &amp; $AN70),0))))/1024)</f>
        <v>275.92623046874996</v>
      </c>
      <c r="M70" s="272">
        <f ca="1">IF(ISERROR(MATCH(M$1,INDIRECT("Table!A"&amp;$AN70):INDIRECT("Table!" &amp; $AQ$85 &amp; $AN70),0)),"",INDIRECT(CONCATENATE("Table!",ADDRESS($AJ70,MATCH(M$1,INDIRECT("Table!A" &amp; $AN70):INDIRECT("Table!" &amp; $AQ$85 &amp; $AN70),0))))/1024)</f>
        <v>365.816279296875</v>
      </c>
      <c r="N70" s="272">
        <f ca="1">IF(ISERROR(MATCH(N$1,INDIRECT("Table!A"&amp;$AN70):INDIRECT("Table!" &amp; $AQ$85 &amp; $AN70),0)),"",INDIRECT(CONCATENATE("Table!",ADDRESS($AJ70,MATCH(N$1,INDIRECT("Table!A" &amp; $AN70):INDIRECT("Table!" &amp; $AQ$85 &amp; $AN70),0))))/1024)</f>
        <v>132.23385937500001</v>
      </c>
      <c r="O70" s="272">
        <f ca="1">IF(ISERROR(MATCH(O$1,INDIRECT("Table!A"&amp;$AN70):INDIRECT("Table!" &amp; $AQ$85 &amp; $AN70),0)),"",INDIRECT(CONCATENATE("Table!",ADDRESS($AJ70,MATCH(O$1,INDIRECT("Table!A" &amp; $AN70):INDIRECT("Table!" &amp; $AQ$85 &amp; $AN70),0))))/1024)</f>
        <v>244.97507812499998</v>
      </c>
      <c r="P70" s="272">
        <f ca="1">IF(ISERROR(MATCH(P$1,INDIRECT("Table!A"&amp;$AN70):INDIRECT("Table!" &amp; $AQ$85 &amp; $AN70),0)),"",INDIRECT(CONCATENATE("Table!",ADDRESS($AJ70,MATCH(P$1,INDIRECT("Table!A" &amp; $AN70):INDIRECT("Table!" &amp; $AQ$85 &amp; $AN70),0))))/1024)</f>
        <v>28.6133525390625</v>
      </c>
      <c r="Q70" s="272">
        <f ca="1">IF(ISERROR(MATCH(Q$1,INDIRECT("Table!A"&amp;$AN70):INDIRECT("Table!" &amp; $AQ$85 &amp; $AN70),0)),"",INDIRECT(CONCATENATE("Table!",ADDRESS($AJ70,MATCH(Q$1,INDIRECT("Table!A" &amp; $AN70):INDIRECT("Table!" &amp; $AQ$85 &amp; $AN70),0))))/1024)</f>
        <v>5.2682812499999994</v>
      </c>
      <c r="R70" s="272" t="str">
        <f ca="1">IF(ISERROR(MATCH(R$1,INDIRECT("Table!A"&amp;$AN70):INDIRECT("Table!" &amp; $AQ$85 &amp; $AN70),0)),"",INDIRECT(CONCATENATE("Table!",ADDRESS($AJ70,MATCH(R$1,INDIRECT("Table!A" &amp; $AN70):INDIRECT("Table!" &amp; $AQ$85 &amp; $AN70),0))))/1024)</f>
        <v/>
      </c>
      <c r="S70" s="595">
        <v>0</v>
      </c>
      <c r="T70" s="595">
        <f ca="1">IF(ISERROR(MATCH(T$1,INDIRECT("Table!A"&amp;$AN70):INDIRECT("Table!" &amp; $AQ$85 &amp; $AN70),0)),"",INDIRECT(CONCATENATE("Table!",ADDRESS($AJ70,MATCH(T$1,INDIRECT("Table!A" &amp; $AN70):INDIRECT("Table!" &amp; $AQ$85 &amp; $AN70),0))))/1024)</f>
        <v>16.397525390624999</v>
      </c>
      <c r="U70" s="272" t="str">
        <f ca="1">IF(ISERROR(MATCH(U$1,INDIRECT("Table!A"&amp;$AN70):INDIRECT("Table!" &amp; $AQ$85 &amp; $AN70),0)),"",INDIRECT(CONCATENATE("Table!",ADDRESS($AJ70,MATCH(U$1,INDIRECT("Table!A" &amp; $AN70):INDIRECT("Table!" &amp; $AQ$85 &amp; $AN70),0))))/1024)</f>
        <v/>
      </c>
      <c r="V70" s="595"/>
      <c r="W70" s="595"/>
      <c r="X70" s="595"/>
      <c r="Y70" s="595"/>
      <c r="Z70" s="595"/>
      <c r="AA70" s="595"/>
      <c r="AB70" s="595"/>
      <c r="AC70" s="595"/>
      <c r="AD70" s="595"/>
      <c r="AE70" s="595"/>
      <c r="AF70" s="595"/>
      <c r="AG70" s="595"/>
      <c r="AH70" s="595"/>
      <c r="AI70" s="595"/>
      <c r="AJ70" s="272">
        <f>MATCH($A70,Table!$A:$A,0)+$AL$2-1</f>
        <v>947</v>
      </c>
      <c r="AK70" s="384"/>
      <c r="AL70" s="384"/>
      <c r="AM70" s="384"/>
      <c r="AN70" s="272">
        <f>MATCH($A70,Table!$A:$A,0)+$AP$2-1</f>
        <v>939</v>
      </c>
      <c r="AO70" s="384"/>
      <c r="AP70" s="384"/>
      <c r="AQ70" s="973" t="s">
        <v>302</v>
      </c>
      <c r="AR70" s="699">
        <f t="shared" ca="1" si="13"/>
        <v>2551.3956826171875</v>
      </c>
      <c r="AS70" s="699">
        <f t="shared" ca="1" si="22"/>
        <v>13.829238281250127</v>
      </c>
    </row>
    <row r="71" spans="1:45" s="267" customFormat="1" x14ac:dyDescent="0.25">
      <c r="A71" s="268">
        <v>41428</v>
      </c>
      <c r="B71" s="272">
        <f ca="1">IF(ISERROR(MATCH(B$1,INDIRECT("Table!A"&amp;$AN71):INDIRECT("Table!" &amp; $AQ$108 &amp; $AN71),0)),"",INDIRECT(CONCATENATE("Table!",ADDRESS($AJ71,MATCH(B$1,INDIRECT("Table!A" &amp; $AN71):INDIRECT("Table!" &amp; $AQ$108 &amp; $AN71),0))))/1024)</f>
        <v>175.79595996093749</v>
      </c>
      <c r="C71" s="272">
        <f ca="1">IF(ISERROR(MATCH(C$1,INDIRECT("Table!A"&amp;$AN71):INDIRECT("Table!" &amp; $AQ$108 &amp; $AN71),0)),"",INDIRECT(CONCATENATE("Table!",ADDRESS($AJ71,MATCH(C$1,INDIRECT("Table!A" &amp; $AN71):INDIRECT("Table!" &amp; $AQ$108 &amp; $AN71),0))))/1024)</f>
        <v>88.342491210937496</v>
      </c>
      <c r="D71" s="272">
        <f ca="1">IF(ISERROR(MATCH(D$1,INDIRECT("Table!A"&amp;$AN71):INDIRECT("Table!" &amp; $AQ$108 &amp; $AN71),0)),"",INDIRECT(CONCATENATE("Table!",ADDRESS($AJ71,MATCH(D$1,INDIRECT("Table!A" &amp; $AN71):INDIRECT("Table!" &amp; $AQ$108 &amp; $AN71),0))))/1024)</f>
        <v>89.363220703124995</v>
      </c>
      <c r="E71" s="272">
        <f ca="1">IF(ISERROR(MATCH(E$1,INDIRECT("Table!A"&amp;$AN71):INDIRECT("Table!" &amp; $AQ$108 &amp; $AN71),0)),"",INDIRECT(CONCATENATE("Table!",ADDRESS($AJ71,MATCH(E$1,INDIRECT("Table!A" &amp; $AN71):INDIRECT("Table!" &amp; $AQ$108 &amp; $AN71),0))))/1024)</f>
        <v>271.51404492187498</v>
      </c>
      <c r="F71" s="272">
        <f ca="1">IF(ISERROR(MATCH(F$1,INDIRECT("Table!A"&amp;$AN71):INDIRECT("Table!" &amp; $AQ$108 &amp; $AN71),0)),"",INDIRECT(CONCATENATE("Table!",ADDRESS($AJ71,MATCH(F$1,INDIRECT("Table!A" &amp; $AN71):INDIRECT("Table!" &amp; $AQ$108 &amp; $AN71),0))))/1024)</f>
        <v>253.40432812499998</v>
      </c>
      <c r="G71" s="272">
        <f ca="1">IF(ISERROR(MATCH(G$1,INDIRECT("Table!A"&amp;$AN71):INDIRECT("Table!" &amp; $AQ$108 &amp; $AN71),0)),"",INDIRECT(CONCATENATE("Table!",ADDRESS($AJ71,MATCH(G$1,INDIRECT("Table!A" &amp; $AN71):INDIRECT("Table!" &amp; $AQ$108 &amp; $AN71),0))))/1024)</f>
        <v>448.52829492187499</v>
      </c>
      <c r="H71" s="272">
        <f ca="1">IF(ISERROR(MATCH(H$1,INDIRECT("Table!A"&amp;$AN71):INDIRECT("Table!" &amp; $AQ$108 &amp; $AN71),0)),"",INDIRECT(CONCATENATE("Table!",ADDRESS($AJ71,MATCH(H$1,INDIRECT("Table!A" &amp; $AN71):INDIRECT("Table!" &amp; $AQ$108 &amp; $AN71),0))))/1024)</f>
        <v>136.0204365234375</v>
      </c>
      <c r="I71" s="272">
        <f ca="1">IF(ISERROR(MATCH(I$1,INDIRECT("Table!A"&amp;$AN71):INDIRECT("Table!" &amp; $AQ$85 &amp; $AN71),0)),"",INDIRECT(CONCATENATE("Table!",ADDRESS($AJ71,MATCH(I$1,INDIRECT("Table!A" &amp; $AN71):INDIRECT("Table!" &amp; $AQ$85 &amp; $AN71),0))))/1024)</f>
        <v>12.512167968749999</v>
      </c>
      <c r="J71" s="272">
        <f ca="1">IF(ISERROR(MATCH(J$1,INDIRECT("Table!A"&amp;$AN71):INDIRECT("Table!" &amp; $AQ$85 &amp; $AN71),0)),"",INDIRECT(CONCATENATE("Table!",ADDRESS($AJ71,MATCH(J$1,INDIRECT("Table!A" &amp; $AN71):INDIRECT("Table!" &amp; $AQ$85 &amp; $AN71),0))))/1024)</f>
        <v>0</v>
      </c>
      <c r="K71" s="272" t="str">
        <f ca="1">IF(ISERROR(MATCH(K$1,INDIRECT("Table!A"&amp;$AN71):INDIRECT("Table!" &amp; $AQ$85 &amp; $AN71),0)),"",INDIRECT(CONCATENATE("Table!",ADDRESS($AJ71,MATCH(K$1,INDIRECT("Table!A" &amp; $AN71):INDIRECT("Table!" &amp; $AQ$85 &amp; $AN71),0))))/1024)</f>
        <v/>
      </c>
      <c r="L71" s="272">
        <f ca="1">IF(ISERROR(MATCH(L$1,INDIRECT("Table!A"&amp;$AN71):INDIRECT("Table!" &amp; $AQ$85 &amp; $AN71),0)),"",INDIRECT(CONCATENATE("Table!",ADDRESS($AJ71,MATCH(L$1,INDIRECT("Table!A" &amp; $AN71):INDIRECT("Table!" &amp; $AQ$85 &amp; $AN71),0))))/1024)</f>
        <v>275.92623046874996</v>
      </c>
      <c r="M71" s="272">
        <f ca="1">IF(ISERROR(MATCH(M$1,INDIRECT("Table!A"&amp;$AN71):INDIRECT("Table!" &amp; $AQ$85 &amp; $AN71),0)),"",INDIRECT(CONCATENATE("Table!",ADDRESS($AJ71,MATCH(M$1,INDIRECT("Table!A" &amp; $AN71):INDIRECT("Table!" &amp; $AQ$85 &amp; $AN71),0))))/1024)</f>
        <v>365.816279296875</v>
      </c>
      <c r="N71" s="272">
        <f ca="1">IF(ISERROR(MATCH(N$1,INDIRECT("Table!A"&amp;$AN71):INDIRECT("Table!" &amp; $AQ$85 &amp; $AN71),0)),"",INDIRECT(CONCATENATE("Table!",ADDRESS($AJ71,MATCH(N$1,INDIRECT("Table!A" &amp; $AN71):INDIRECT("Table!" &amp; $AQ$85 &amp; $AN71),0))))/1024)</f>
        <v>131.54239746093751</v>
      </c>
      <c r="O71" s="272">
        <f ca="1">IF(ISERROR(MATCH(O$1,INDIRECT("Table!A"&amp;$AN71):INDIRECT("Table!" &amp; $AQ$85 &amp; $AN71),0)),"",INDIRECT(CONCATENATE("Table!",ADDRESS($AJ71,MATCH(O$1,INDIRECT("Table!A" &amp; $AN71):INDIRECT("Table!" &amp; $AQ$85 &amp; $AN71),0))))/1024)</f>
        <v>244.2177626953125</v>
      </c>
      <c r="P71" s="272">
        <f ca="1">IF(ISERROR(MATCH(P$1,INDIRECT("Table!A"&amp;$AN71):INDIRECT("Table!" &amp; $AQ$85 &amp; $AN71),0)),"",INDIRECT(CONCATENATE("Table!",ADDRESS($AJ71,MATCH(P$1,INDIRECT("Table!A" &amp; $AN71):INDIRECT("Table!" &amp; $AQ$85 &amp; $AN71),0))))/1024)</f>
        <v>28.1853046875</v>
      </c>
      <c r="Q71" s="272">
        <f ca="1">IF(ISERROR(MATCH(Q$1,INDIRECT("Table!A"&amp;$AN71):INDIRECT("Table!" &amp; $AQ$85 &amp; $AN71),0)),"",INDIRECT(CONCATENATE("Table!",ADDRESS($AJ71,MATCH(Q$1,INDIRECT("Table!A" &amp; $AN71):INDIRECT("Table!" &amp; $AQ$85 &amp; $AN71),0))))/1024)</f>
        <v>0</v>
      </c>
      <c r="R71" s="272" t="str">
        <f ca="1">IF(ISERROR(MATCH(R$1,INDIRECT("Table!A"&amp;$AN71):INDIRECT("Table!" &amp; $AQ$85 &amp; $AN71),0)),"",INDIRECT(CONCATENATE("Table!",ADDRESS($AJ71,MATCH(R$1,INDIRECT("Table!A" &amp; $AN71):INDIRECT("Table!" &amp; $AQ$85 &amp; $AN71),0))))/1024)</f>
        <v/>
      </c>
      <c r="S71" s="595">
        <v>0</v>
      </c>
      <c r="T71" s="595">
        <f ca="1">IF(ISERROR(MATCH(T$1,INDIRECT("Table!A"&amp;$AN71):INDIRECT("Table!" &amp; $AQ$85 &amp; $AN71),0)),"",INDIRECT(CONCATENATE("Table!",ADDRESS($AJ71,MATCH(T$1,INDIRECT("Table!A" &amp; $AN71):INDIRECT("Table!" &amp; $AQ$85 &amp; $AN71),0))))/1024)</f>
        <v>16.397525390624999</v>
      </c>
      <c r="U71" s="272" t="str">
        <f ca="1">IF(ISERROR(MATCH(U$1,INDIRECT("Table!A"&amp;$AN71):INDIRECT("Table!" &amp; $AQ$85 &amp; $AN71),0)),"",INDIRECT(CONCATENATE("Table!",ADDRESS($AJ71,MATCH(U$1,INDIRECT("Table!A" &amp; $AN71):INDIRECT("Table!" &amp; $AQ$85 &amp; $AN71),0))))/1024)</f>
        <v/>
      </c>
      <c r="V71" s="595"/>
      <c r="W71" s="595"/>
      <c r="X71" s="595"/>
      <c r="Y71" s="595"/>
      <c r="Z71" s="595"/>
      <c r="AA71" s="595"/>
      <c r="AB71" s="595"/>
      <c r="AC71" s="595"/>
      <c r="AD71" s="595"/>
      <c r="AE71" s="595"/>
      <c r="AF71" s="595"/>
      <c r="AG71" s="595"/>
      <c r="AH71" s="595"/>
      <c r="AI71" s="595"/>
      <c r="AJ71" s="272">
        <f>MATCH($A71,Table!$A:$A,0)+$AL$2-1</f>
        <v>959</v>
      </c>
      <c r="AK71" s="380"/>
      <c r="AL71" s="380"/>
      <c r="AM71" s="380"/>
      <c r="AN71" s="272">
        <f>MATCH($A71,Table!$A:$A,0)+$AP$2-1</f>
        <v>951</v>
      </c>
      <c r="AO71" s="380"/>
      <c r="AP71" s="380"/>
      <c r="AQ71" s="973" t="s">
        <v>302</v>
      </c>
      <c r="AR71" s="699">
        <f t="shared" ca="1" si="13"/>
        <v>2537.5664443359374</v>
      </c>
      <c r="AS71" s="699">
        <f t="shared" ca="1" si="22"/>
        <v>0</v>
      </c>
    </row>
    <row r="72" spans="1:45" s="267" customFormat="1" x14ac:dyDescent="0.25">
      <c r="A72" s="268">
        <v>41423</v>
      </c>
      <c r="B72" s="272">
        <f ca="1">IF(ISERROR(MATCH(B$1,INDIRECT("Table!A"&amp;$AN72):INDIRECT("Table!" &amp; $AQ$108 &amp; $AN72),0)),"",INDIRECT(CONCATENATE("Table!",ADDRESS($AJ72,MATCH(B$1,INDIRECT("Table!A" &amp; $AN72):INDIRECT("Table!" &amp; $AQ$108 &amp; $AN72),0))))/1024)</f>
        <v>175.79595996093749</v>
      </c>
      <c r="C72" s="272">
        <f ca="1">IF(ISERROR(MATCH(C$1,INDIRECT("Table!A"&amp;$AN72):INDIRECT("Table!" &amp; $AQ$108 &amp; $AN72),0)),"",INDIRECT(CONCATENATE("Table!",ADDRESS($AJ72,MATCH(C$1,INDIRECT("Table!A" &amp; $AN72):INDIRECT("Table!" &amp; $AQ$108 &amp; $AN72),0))))/1024)</f>
        <v>88.342491210937496</v>
      </c>
      <c r="D72" s="272">
        <f ca="1">IF(ISERROR(MATCH(D$1,INDIRECT("Table!A"&amp;$AN72):INDIRECT("Table!" &amp; $AQ$108 &amp; $AN72),0)),"",INDIRECT(CONCATENATE("Table!",ADDRESS($AJ72,MATCH(D$1,INDIRECT("Table!A" &amp; $AN72):INDIRECT("Table!" &amp; $AQ$108 &amp; $AN72),0))))/1024)</f>
        <v>89.363220703124995</v>
      </c>
      <c r="E72" s="272">
        <f ca="1">IF(ISERROR(MATCH(E$1,INDIRECT("Table!A"&amp;$AN72):INDIRECT("Table!" &amp; $AQ$108 &amp; $AN72),0)),"",INDIRECT(CONCATENATE("Table!",ADDRESS($AJ72,MATCH(E$1,INDIRECT("Table!A" &amp; $AN72):INDIRECT("Table!" &amp; $AQ$108 &amp; $AN72),0))))/1024)</f>
        <v>271.51404492187498</v>
      </c>
      <c r="F72" s="272">
        <f ca="1">IF(ISERROR(MATCH(F$1,INDIRECT("Table!A"&amp;$AN72):INDIRECT("Table!" &amp; $AQ$108 &amp; $AN72),0)),"",INDIRECT(CONCATENATE("Table!",ADDRESS($AJ72,MATCH(F$1,INDIRECT("Table!A" &amp; $AN72):INDIRECT("Table!" &amp; $AQ$108 &amp; $AN72),0))))/1024)</f>
        <v>253.40432812499998</v>
      </c>
      <c r="G72" s="272">
        <f ca="1">IF(ISERROR(MATCH(G$1,INDIRECT("Table!A"&amp;$AN72):INDIRECT("Table!" &amp; $AQ$108 &amp; $AN72),0)),"",INDIRECT(CONCATENATE("Table!",ADDRESS($AJ72,MATCH(G$1,INDIRECT("Table!A" &amp; $AN72):INDIRECT("Table!" &amp; $AQ$108 &amp; $AN72),0))))/1024)</f>
        <v>448.52829492187499</v>
      </c>
      <c r="H72" s="272">
        <f ca="1">IF(ISERROR(MATCH(H$1,INDIRECT("Table!A"&amp;$AN72):INDIRECT("Table!" &amp; $AQ$108 &amp; $AN72),0)),"",INDIRECT(CONCATENATE("Table!",ADDRESS($AJ72,MATCH(H$1,INDIRECT("Table!A" &amp; $AN72):INDIRECT("Table!" &amp; $AQ$108 &amp; $AN72),0))))/1024)</f>
        <v>136.0204365234375</v>
      </c>
      <c r="I72" s="272">
        <f ca="1">IF(ISERROR(MATCH(I$1,INDIRECT("Table!A"&amp;$AN72):INDIRECT("Table!" &amp; $AQ$85 &amp; $AN72),0)),"",INDIRECT(CONCATENATE("Table!",ADDRESS($AJ72,MATCH(I$1,INDIRECT("Table!A" &amp; $AN72):INDIRECT("Table!" &amp; $AQ$85 &amp; $AN72),0))))/1024)</f>
        <v>12.512167968749999</v>
      </c>
      <c r="J72" s="272">
        <f ca="1">IF(ISERROR(MATCH(J$1,INDIRECT("Table!A"&amp;$AN72):INDIRECT("Table!" &amp; $AQ$85 &amp; $AN72),0)),"",INDIRECT(CONCATENATE("Table!",ADDRESS($AJ72,MATCH(J$1,INDIRECT("Table!A" &amp; $AN72):INDIRECT("Table!" &amp; $AQ$85 &amp; $AN72),0))))/1024)</f>
        <v>0</v>
      </c>
      <c r="K72" s="272" t="str">
        <f ca="1">IF(ISERROR(MATCH(K$1,INDIRECT("Table!A"&amp;$AN72):INDIRECT("Table!" &amp; $AQ$85 &amp; $AN72),0)),"",INDIRECT(CONCATENATE("Table!",ADDRESS($AJ72,MATCH(K$1,INDIRECT("Table!A" &amp; $AN72):INDIRECT("Table!" &amp; $AQ$85 &amp; $AN72),0))))/1024)</f>
        <v/>
      </c>
      <c r="L72" s="272">
        <f ca="1">IF(ISERROR(MATCH(L$1,INDIRECT("Table!A"&amp;$AN72):INDIRECT("Table!" &amp; $AQ$85 &amp; $AN72),0)),"",INDIRECT(CONCATENATE("Table!",ADDRESS($AJ72,MATCH(L$1,INDIRECT("Table!A" &amp; $AN72):INDIRECT("Table!" &amp; $AQ$85 &amp; $AN72),0))))/1024)</f>
        <v>275.92623046874996</v>
      </c>
      <c r="M72" s="272">
        <f ca="1">IF(ISERROR(MATCH(M$1,INDIRECT("Table!A"&amp;$AN72):INDIRECT("Table!" &amp; $AQ$85 &amp; $AN72),0)),"",INDIRECT(CONCATENATE("Table!",ADDRESS($AJ72,MATCH(M$1,INDIRECT("Table!A" &amp; $AN72):INDIRECT("Table!" &amp; $AQ$85 &amp; $AN72),0))))/1024)</f>
        <v>365.816279296875</v>
      </c>
      <c r="N72" s="272">
        <f ca="1">IF(ISERROR(MATCH(N$1,INDIRECT("Table!A"&amp;$AN72):INDIRECT("Table!" &amp; $AQ$85 &amp; $AN72),0)),"",INDIRECT(CONCATENATE("Table!",ADDRESS($AJ72,MATCH(N$1,INDIRECT("Table!A" &amp; $AN72):INDIRECT("Table!" &amp; $AQ$85 &amp; $AN72),0))))/1024)</f>
        <v>131.54239746093751</v>
      </c>
      <c r="O72" s="272">
        <f ca="1">IF(ISERROR(MATCH(O$1,INDIRECT("Table!A"&amp;$AN72):INDIRECT("Table!" &amp; $AQ$85 &amp; $AN72),0)),"",INDIRECT(CONCATENATE("Table!",ADDRESS($AJ72,MATCH(O$1,INDIRECT("Table!A" &amp; $AN72):INDIRECT("Table!" &amp; $AQ$85 &amp; $AN72),0))))/1024)</f>
        <v>244.2177626953125</v>
      </c>
      <c r="P72" s="272">
        <f ca="1">IF(ISERROR(MATCH(P$1,INDIRECT("Table!A"&amp;$AN72):INDIRECT("Table!" &amp; $AQ$85 &amp; $AN72),0)),"",INDIRECT(CONCATENATE("Table!",ADDRESS($AJ72,MATCH(P$1,INDIRECT("Table!A" &amp; $AN72):INDIRECT("Table!" &amp; $AQ$85 &amp; $AN72),0))))/1024)</f>
        <v>28.1853046875</v>
      </c>
      <c r="Q72" s="272">
        <f ca="1">IF(ISERROR(MATCH(Q$1,INDIRECT("Table!A"&amp;$AN72):INDIRECT("Table!" &amp; $AQ$85 &amp; $AN72),0)),"",INDIRECT(CONCATENATE("Table!",ADDRESS($AJ72,MATCH(Q$1,INDIRECT("Table!A" &amp; $AN72):INDIRECT("Table!" &amp; $AQ$85 &amp; $AN72),0))))/1024)</f>
        <v>0</v>
      </c>
      <c r="R72" s="272" t="str">
        <f ca="1">IF(ISERROR(MATCH(R$1,INDIRECT("Table!A"&amp;$AN72):INDIRECT("Table!" &amp; $AQ$85 &amp; $AN72),0)),"",INDIRECT(CONCATENATE("Table!",ADDRESS($AJ72,MATCH(R$1,INDIRECT("Table!A" &amp; $AN72):INDIRECT("Table!" &amp; $AQ$85 &amp; $AN72),0))))/1024)</f>
        <v/>
      </c>
      <c r="S72" s="595">
        <v>0</v>
      </c>
      <c r="T72" s="595">
        <f ca="1">IF(ISERROR(MATCH(T$1,INDIRECT("Table!A"&amp;$AN72):INDIRECT("Table!" &amp; $AQ$85 &amp; $AN72),0)),"",INDIRECT(CONCATENATE("Table!",ADDRESS($AJ72,MATCH(T$1,INDIRECT("Table!A" &amp; $AN72):INDIRECT("Table!" &amp; $AQ$85 &amp; $AN72),0))))/1024)</f>
        <v>16.397525390624999</v>
      </c>
      <c r="U72" s="272" t="str">
        <f ca="1">IF(ISERROR(MATCH(U$1,INDIRECT("Table!A"&amp;$AN72):INDIRECT("Table!" &amp; $AQ$85 &amp; $AN72),0)),"",INDIRECT(CONCATENATE("Table!",ADDRESS($AJ72,MATCH(U$1,INDIRECT("Table!A" &amp; $AN72):INDIRECT("Table!" &amp; $AQ$85 &amp; $AN72),0))))/1024)</f>
        <v/>
      </c>
      <c r="V72" s="595"/>
      <c r="W72" s="595"/>
      <c r="X72" s="595"/>
      <c r="Y72" s="595"/>
      <c r="Z72" s="595"/>
      <c r="AA72" s="595"/>
      <c r="AB72" s="595"/>
      <c r="AC72" s="595"/>
      <c r="AD72" s="595"/>
      <c r="AE72" s="595"/>
      <c r="AF72" s="595"/>
      <c r="AG72" s="595"/>
      <c r="AH72" s="595"/>
      <c r="AI72" s="595"/>
      <c r="AJ72" s="272">
        <f>MATCH($A72,Table!$A:$A,0)+$AL$2-1</f>
        <v>971</v>
      </c>
      <c r="AK72" s="379"/>
      <c r="AL72" s="379"/>
      <c r="AM72" s="379"/>
      <c r="AN72" s="272">
        <f>MATCH($A72,Table!$A:$A,0)+$AP$2-1</f>
        <v>963</v>
      </c>
      <c r="AO72" s="379"/>
      <c r="AP72" s="379"/>
      <c r="AQ72" s="973" t="s">
        <v>302</v>
      </c>
      <c r="AR72" s="699">
        <f t="shared" ca="1" si="13"/>
        <v>2537.5664443359374</v>
      </c>
      <c r="AS72" s="699">
        <f t="shared" ca="1" si="22"/>
        <v>0</v>
      </c>
    </row>
    <row r="73" spans="1:45" s="267" customFormat="1" x14ac:dyDescent="0.25">
      <c r="A73" s="268">
        <v>41422</v>
      </c>
      <c r="B73" s="272">
        <f ca="1">IF(ISERROR(MATCH(B$1,INDIRECT("Table!A"&amp;$AN73):INDIRECT("Table!" &amp; $AQ$108 &amp; $AN73),0)),"",INDIRECT(CONCATENATE("Table!",ADDRESS($AJ73,MATCH(B$1,INDIRECT("Table!A" &amp; $AN73):INDIRECT("Table!" &amp; $AQ$108 &amp; $AN73),0))))/1024)</f>
        <v>175.79595996093749</v>
      </c>
      <c r="C73" s="272">
        <f ca="1">IF(ISERROR(MATCH(C$1,INDIRECT("Table!A"&amp;$AN73):INDIRECT("Table!" &amp; $AQ$108 &amp; $AN73),0)),"",INDIRECT(CONCATENATE("Table!",ADDRESS($AJ73,MATCH(C$1,INDIRECT("Table!A" &amp; $AN73):INDIRECT("Table!" &amp; $AQ$108 &amp; $AN73),0))))/1024)</f>
        <v>88.342491210937496</v>
      </c>
      <c r="D73" s="272">
        <f ca="1">IF(ISERROR(MATCH(D$1,INDIRECT("Table!A"&amp;$AN73):INDIRECT("Table!" &amp; $AQ$108 &amp; $AN73),0)),"",INDIRECT(CONCATENATE("Table!",ADDRESS($AJ73,MATCH(D$1,INDIRECT("Table!A" &amp; $AN73):INDIRECT("Table!" &amp; $AQ$108 &amp; $AN73),0))))/1024)</f>
        <v>89.363220703124995</v>
      </c>
      <c r="E73" s="272">
        <f ca="1">IF(ISERROR(MATCH(E$1,INDIRECT("Table!A"&amp;$AN73):INDIRECT("Table!" &amp; $AQ$108 &amp; $AN73),0)),"",INDIRECT(CONCATENATE("Table!",ADDRESS($AJ73,MATCH(E$1,INDIRECT("Table!A" &amp; $AN73):INDIRECT("Table!" &amp; $AQ$108 &amp; $AN73),0))))/1024)</f>
        <v>271.51404492187498</v>
      </c>
      <c r="F73" s="272">
        <f ca="1">IF(ISERROR(MATCH(F$1,INDIRECT("Table!A"&amp;$AN73):INDIRECT("Table!" &amp; $AQ$108 &amp; $AN73),0)),"",INDIRECT(CONCATENATE("Table!",ADDRESS($AJ73,MATCH(F$1,INDIRECT("Table!A" &amp; $AN73):INDIRECT("Table!" &amp; $AQ$108 &amp; $AN73),0))))/1024)</f>
        <v>253.40432812499998</v>
      </c>
      <c r="G73" s="272">
        <f ca="1">IF(ISERROR(MATCH(G$1,INDIRECT("Table!A"&amp;$AN73):INDIRECT("Table!" &amp; $AQ$108 &amp; $AN73),0)),"",INDIRECT(CONCATENATE("Table!",ADDRESS($AJ73,MATCH(G$1,INDIRECT("Table!A" &amp; $AN73):INDIRECT("Table!" &amp; $AQ$108 &amp; $AN73),0))))/1024)</f>
        <v>448.52829492187499</v>
      </c>
      <c r="H73" s="272">
        <f ca="1">IF(ISERROR(MATCH(H$1,INDIRECT("Table!A"&amp;$AN73):INDIRECT("Table!" &amp; $AQ$108 &amp; $AN73),0)),"",INDIRECT(CONCATENATE("Table!",ADDRESS($AJ73,MATCH(H$1,INDIRECT("Table!A" &amp; $AN73):INDIRECT("Table!" &amp; $AQ$108 &amp; $AN73),0))))/1024)</f>
        <v>136.0204365234375</v>
      </c>
      <c r="I73" s="272">
        <f ca="1">IF(ISERROR(MATCH(I$1,INDIRECT("Table!A"&amp;$AN73):INDIRECT("Table!" &amp; $AQ$85 &amp; $AN73),0)),"",INDIRECT(CONCATENATE("Table!",ADDRESS($AJ73,MATCH(I$1,INDIRECT("Table!A" &amp; $AN73):INDIRECT("Table!" &amp; $AQ$85 &amp; $AN73),0))))/1024)</f>
        <v>12.512167968749999</v>
      </c>
      <c r="J73" s="272">
        <f ca="1">IF(ISERROR(MATCH(J$1,INDIRECT("Table!A"&amp;$AN73):INDIRECT("Table!" &amp; $AQ$85 &amp; $AN73),0)),"",INDIRECT(CONCATENATE("Table!",ADDRESS($AJ73,MATCH(J$1,INDIRECT("Table!A" &amp; $AN73):INDIRECT("Table!" &amp; $AQ$85 &amp; $AN73),0))))/1024)</f>
        <v>0</v>
      </c>
      <c r="K73" s="272" t="str">
        <f ca="1">IF(ISERROR(MATCH(K$1,INDIRECT("Table!A"&amp;$AN73):INDIRECT("Table!" &amp; $AQ$85 &amp; $AN73),0)),"",INDIRECT(CONCATENATE("Table!",ADDRESS($AJ73,MATCH(K$1,INDIRECT("Table!A" &amp; $AN73):INDIRECT("Table!" &amp; $AQ$85 &amp; $AN73),0))))/1024)</f>
        <v/>
      </c>
      <c r="L73" s="272">
        <f ca="1">IF(ISERROR(MATCH(L$1,INDIRECT("Table!A"&amp;$AN73):INDIRECT("Table!" &amp; $AQ$85 &amp; $AN73),0)),"",INDIRECT(CONCATENATE("Table!",ADDRESS($AJ73,MATCH(L$1,INDIRECT("Table!A" &amp; $AN73):INDIRECT("Table!" &amp; $AQ$85 &amp; $AN73),0))))/1024)</f>
        <v>275.92623046874996</v>
      </c>
      <c r="M73" s="272">
        <f ca="1">IF(ISERROR(MATCH(M$1,INDIRECT("Table!A"&amp;$AN73):INDIRECT("Table!" &amp; $AQ$85 &amp; $AN73),0)),"",INDIRECT(CONCATENATE("Table!",ADDRESS($AJ73,MATCH(M$1,INDIRECT("Table!A" &amp; $AN73):INDIRECT("Table!" &amp; $AQ$85 &amp; $AN73),0))))/1024)</f>
        <v>365.816279296875</v>
      </c>
      <c r="N73" s="272">
        <f ca="1">IF(ISERROR(MATCH(N$1,INDIRECT("Table!A"&amp;$AN73):INDIRECT("Table!" &amp; $AQ$85 &amp; $AN73),0)),"",INDIRECT(CONCATENATE("Table!",ADDRESS($AJ73,MATCH(N$1,INDIRECT("Table!A" &amp; $AN73):INDIRECT("Table!" &amp; $AQ$85 &amp; $AN73),0))))/1024)</f>
        <v>131.54239746093751</v>
      </c>
      <c r="O73" s="272">
        <f ca="1">IF(ISERROR(MATCH(O$1,INDIRECT("Table!A"&amp;$AN73):INDIRECT("Table!" &amp; $AQ$85 &amp; $AN73),0)),"",INDIRECT(CONCATENATE("Table!",ADDRESS($AJ73,MATCH(O$1,INDIRECT("Table!A" &amp; $AN73):INDIRECT("Table!" &amp; $AQ$85 &amp; $AN73),0))))/1024)</f>
        <v>244.2177626953125</v>
      </c>
      <c r="P73" s="272">
        <f ca="1">IF(ISERROR(MATCH(P$1,INDIRECT("Table!A"&amp;$AN73):INDIRECT("Table!" &amp; $AQ$85 &amp; $AN73),0)),"",INDIRECT(CONCATENATE("Table!",ADDRESS($AJ73,MATCH(P$1,INDIRECT("Table!A" &amp; $AN73):INDIRECT("Table!" &amp; $AQ$85 &amp; $AN73),0))))/1024)</f>
        <v>28.1853046875</v>
      </c>
      <c r="Q73" s="272">
        <f ca="1">IF(ISERROR(MATCH(Q$1,INDIRECT("Table!A"&amp;$AN73):INDIRECT("Table!" &amp; $AQ$85 &amp; $AN73),0)),"",INDIRECT(CONCATENATE("Table!",ADDRESS($AJ73,MATCH(Q$1,INDIRECT("Table!A" &amp; $AN73):INDIRECT("Table!" &amp; $AQ$85 &amp; $AN73),0))))/1024)</f>
        <v>0</v>
      </c>
      <c r="R73" s="272" t="str">
        <f ca="1">IF(ISERROR(MATCH(R$1,INDIRECT("Table!A"&amp;$AN73):INDIRECT("Table!" &amp; $AQ$85 &amp; $AN73),0)),"",INDIRECT(CONCATENATE("Table!",ADDRESS($AJ73,MATCH(R$1,INDIRECT("Table!A" &amp; $AN73):INDIRECT("Table!" &amp; $AQ$85 &amp; $AN73),0))))/1024)</f>
        <v/>
      </c>
      <c r="S73" s="595">
        <v>0</v>
      </c>
      <c r="T73" s="595">
        <f ca="1">IF(ISERROR(MATCH(T$1,INDIRECT("Table!A"&amp;$AN73):INDIRECT("Table!" &amp; $AQ$85 &amp; $AN73),0)),"",INDIRECT(CONCATENATE("Table!",ADDRESS($AJ73,MATCH(T$1,INDIRECT("Table!A" &amp; $AN73):INDIRECT("Table!" &amp; $AQ$85 &amp; $AN73),0))))/1024)</f>
        <v>16.397525390624999</v>
      </c>
      <c r="U73" s="272" t="str">
        <f ca="1">IF(ISERROR(MATCH(U$1,INDIRECT("Table!A"&amp;$AN73):INDIRECT("Table!" &amp; $AQ$85 &amp; $AN73),0)),"",INDIRECT(CONCATENATE("Table!",ADDRESS($AJ73,MATCH(U$1,INDIRECT("Table!A" &amp; $AN73):INDIRECT("Table!" &amp; $AQ$85 &amp; $AN73),0))))/1024)</f>
        <v/>
      </c>
      <c r="V73" s="595"/>
      <c r="W73" s="595"/>
      <c r="X73" s="595"/>
      <c r="Y73" s="595"/>
      <c r="Z73" s="595"/>
      <c r="AA73" s="595"/>
      <c r="AB73" s="595"/>
      <c r="AC73" s="595"/>
      <c r="AD73" s="595"/>
      <c r="AE73" s="595"/>
      <c r="AF73" s="595"/>
      <c r="AG73" s="595"/>
      <c r="AH73" s="595"/>
      <c r="AI73" s="595"/>
      <c r="AJ73" s="272">
        <f>MATCH($A73,Table!$A:$A,0)+$AL$2-1</f>
        <v>983</v>
      </c>
      <c r="AK73" s="373"/>
      <c r="AL73" s="373"/>
      <c r="AM73" s="373"/>
      <c r="AN73" s="272">
        <f>MATCH($A73,Table!$A:$A,0)+$AP$2-1</f>
        <v>975</v>
      </c>
      <c r="AO73" s="373"/>
      <c r="AP73" s="373"/>
      <c r="AQ73" s="973" t="s">
        <v>302</v>
      </c>
      <c r="AR73" s="699">
        <f t="shared" ca="1" si="13"/>
        <v>2537.5664443359374</v>
      </c>
      <c r="AS73" s="699">
        <f t="shared" ca="1" si="22"/>
        <v>6.4207177734374454</v>
      </c>
    </row>
    <row r="74" spans="1:45" s="267" customFormat="1" x14ac:dyDescent="0.25">
      <c r="A74" s="268">
        <v>41414</v>
      </c>
      <c r="B74" s="272">
        <f ca="1">IF(ISERROR(MATCH(B$1,INDIRECT("Table!A"&amp;$AN74):INDIRECT("Table!" &amp; $AQ$108 &amp; $AN74),0)),"",INDIRECT(CONCATENATE("Table!",ADDRESS($AJ74,MATCH(B$1,INDIRECT("Table!A" &amp; $AN74):INDIRECT("Table!" &amp; $AQ$108 &amp; $AN74),0))))/1024)</f>
        <v>175.73010644531249</v>
      </c>
      <c r="C74" s="272">
        <f ca="1">IF(ISERROR(MATCH(C$1,INDIRECT("Table!A"&amp;$AN74):INDIRECT("Table!" &amp; $AQ$108 &amp; $AN74),0)),"",INDIRECT(CONCATENATE("Table!",ADDRESS($AJ74,MATCH(C$1,INDIRECT("Table!A" &amp; $AN74):INDIRECT("Table!" &amp; $AQ$108 &amp; $AN74),0))))/1024)</f>
        <v>87.354688476562501</v>
      </c>
      <c r="D74" s="272">
        <f ca="1">IF(ISERROR(MATCH(D$1,INDIRECT("Table!A"&amp;$AN74):INDIRECT("Table!" &amp; $AQ$108 &amp; $AN74),0)),"",INDIRECT(CONCATENATE("Table!",ADDRESS($AJ74,MATCH(D$1,INDIRECT("Table!A" &amp; $AN74):INDIRECT("Table!" &amp; $AQ$108 &amp; $AN74),0))))/1024)</f>
        <v>88.37541796875</v>
      </c>
      <c r="E74" s="272">
        <f ca="1">IF(ISERROR(MATCH(E$1,INDIRECT("Table!A"&amp;$AN74):INDIRECT("Table!" &amp; $AQ$108 &amp; $AN74),0)),"",INDIRECT(CONCATENATE("Table!",ADDRESS($AJ74,MATCH(E$1,INDIRECT("Table!A" &amp; $AN74):INDIRECT("Table!" &amp; $AQ$108 &amp; $AN74),0))))/1024)</f>
        <v>271.51404492187498</v>
      </c>
      <c r="F74" s="272">
        <f ca="1">IF(ISERROR(MATCH(F$1,INDIRECT("Table!A"&amp;$AN74):INDIRECT("Table!" &amp; $AQ$108 &amp; $AN74),0)),"",INDIRECT(CONCATENATE("Table!",ADDRESS($AJ74,MATCH(F$1,INDIRECT("Table!A" &amp; $AN74):INDIRECT("Table!" &amp; $AQ$108 &amp; $AN74),0))))/1024)</f>
        <v>251.88969726562499</v>
      </c>
      <c r="G74" s="272">
        <f ca="1">IF(ISERROR(MATCH(G$1,INDIRECT("Table!A"&amp;$AN74):INDIRECT("Table!" &amp; $AQ$108 &amp; $AN74),0)),"",INDIRECT(CONCATENATE("Table!",ADDRESS($AJ74,MATCH(G$1,INDIRECT("Table!A" &amp; $AN74):INDIRECT("Table!" &amp; $AQ$108 &amp; $AN74),0))))/1024)</f>
        <v>448.52829492187499</v>
      </c>
      <c r="H74" s="272">
        <f ca="1">IF(ISERROR(MATCH(H$1,INDIRECT("Table!A"&amp;$AN74):INDIRECT("Table!" &amp; $AQ$108 &amp; $AN74),0)),"",INDIRECT(CONCATENATE("Table!",ADDRESS($AJ74,MATCH(H$1,INDIRECT("Table!A" &amp; $AN74):INDIRECT("Table!" &amp; $AQ$108 &amp; $AN74),0))))/1024)</f>
        <v>136.0204365234375</v>
      </c>
      <c r="I74" s="272">
        <f ca="1">IF(ISERROR(MATCH(I$1,INDIRECT("Table!A"&amp;$AN74):INDIRECT("Table!" &amp; $AQ$85 &amp; $AN74),0)),"",INDIRECT(CONCATENATE("Table!",ADDRESS($AJ74,MATCH(I$1,INDIRECT("Table!A" &amp; $AN74):INDIRECT("Table!" &amp; $AQ$85 &amp; $AN74),0))))/1024)</f>
        <v>12.512167968749999</v>
      </c>
      <c r="J74" s="272" t="str">
        <f ca="1">IF(ISERROR(MATCH(J$1,INDIRECT("Table!A"&amp;$AN74):INDIRECT("Table!" &amp; $AQ$85 &amp; $AN74),0)),"",INDIRECT(CONCATENATE("Table!",ADDRESS($AJ74,MATCH(J$1,INDIRECT("Table!A" &amp; $AN74):INDIRECT("Table!" &amp; $AQ$85 &amp; $AN74),0))))/1024)</f>
        <v/>
      </c>
      <c r="K74" s="272" t="str">
        <f ca="1">IF(ISERROR(MATCH(K$1,INDIRECT("Table!A"&amp;$AN74):INDIRECT("Table!" &amp; $AQ$85 &amp; $AN74),0)),"",INDIRECT(CONCATENATE("Table!",ADDRESS($AJ74,MATCH(K$1,INDIRECT("Table!A" &amp; $AN74):INDIRECT("Table!" &amp; $AQ$85 &amp; $AN74),0))))/1024)</f>
        <v/>
      </c>
      <c r="L74" s="272">
        <f ca="1">IF(ISERROR(MATCH(L$1,INDIRECT("Table!A"&amp;$AN74):INDIRECT("Table!" &amp; $AQ$85 &amp; $AN74),0)),"",INDIRECT(CONCATENATE("Table!",ADDRESS($AJ74,MATCH(L$1,INDIRECT("Table!A" &amp; $AN74):INDIRECT("Table!" &amp; $AQ$85 &amp; $AN74),0))))/1024)</f>
        <v>275.92623046874996</v>
      </c>
      <c r="M74" s="272">
        <f ca="1">IF(ISERROR(MATCH(M$1,INDIRECT("Table!A"&amp;$AN74):INDIRECT("Table!" &amp; $AQ$85 &amp; $AN74),0)),"",INDIRECT(CONCATENATE("Table!",ADDRESS($AJ74,MATCH(M$1,INDIRECT("Table!A" &amp; $AN74):INDIRECT("Table!" &amp; $AQ$85 &amp; $AN74),0))))/1024)</f>
        <v>363.74189355468746</v>
      </c>
      <c r="N74" s="272">
        <f ca="1">IF(ISERROR(MATCH(N$1,INDIRECT("Table!A"&amp;$AN74):INDIRECT("Table!" &amp; $AQ$85 &amp; $AN74),0)),"",INDIRECT(CONCATENATE("Table!",ADDRESS($AJ74,MATCH(N$1,INDIRECT("Table!A" &amp; $AN74):INDIRECT("Table!" &amp; $AQ$85 &amp; $AN74),0))))/1024)</f>
        <v>130.78508203125</v>
      </c>
      <c r="O74" s="272">
        <f ca="1">IF(ISERROR(MATCH(O$1,INDIRECT("Table!A"&amp;$AN74):INDIRECT("Table!" &amp; $AQ$85 &amp; $AN74),0)),"",INDIRECT(CONCATENATE("Table!",ADDRESS($AJ74,MATCH(O$1,INDIRECT("Table!A" &amp; $AN74):INDIRECT("Table!" &amp; $AQ$85 &amp; $AN74),0))))/1024)</f>
        <v>244.2177626953125</v>
      </c>
      <c r="P74" s="272">
        <f ca="1">IF(ISERROR(MATCH(P$1,INDIRECT("Table!A"&amp;$AN74):INDIRECT("Table!" &amp; $AQ$85 &amp; $AN74),0)),"",INDIRECT(CONCATENATE("Table!",ADDRESS($AJ74,MATCH(P$1,INDIRECT("Table!A" &amp; $AN74):INDIRECT("Table!" &amp; $AQ$85 &amp; $AN74),0))))/1024)</f>
        <v>28.1523779296875</v>
      </c>
      <c r="Q74" s="272" t="str">
        <f ca="1">IF(ISERROR(MATCH(Q$1,INDIRECT("Table!A"&amp;$AN74):INDIRECT("Table!" &amp; $AQ$85 &amp; $AN74),0)),"",INDIRECT(CONCATENATE("Table!",ADDRESS($AJ74,MATCH(Q$1,INDIRECT("Table!A" &amp; $AN74):INDIRECT("Table!" &amp; $AQ$85 &amp; $AN74),0))))/1024)</f>
        <v/>
      </c>
      <c r="R74" s="272" t="str">
        <f ca="1">IF(ISERROR(MATCH(R$1,INDIRECT("Table!A"&amp;$AN74):INDIRECT("Table!" &amp; $AQ$85 &amp; $AN74),0)),"",INDIRECT(CONCATENATE("Table!",ADDRESS($AJ74,MATCH(R$1,INDIRECT("Table!A" &amp; $AN74):INDIRECT("Table!" &amp; $AQ$85 &amp; $AN74),0))))/1024)</f>
        <v/>
      </c>
      <c r="S74" s="595">
        <v>0</v>
      </c>
      <c r="T74" s="595">
        <f ca="1">IF(ISERROR(MATCH(T$1,INDIRECT("Table!A"&amp;$AN74):INDIRECT("Table!" &amp; $AQ$85 &amp; $AN74),0)),"",INDIRECT(CONCATENATE("Table!",ADDRESS($AJ74,MATCH(T$1,INDIRECT("Table!A" &amp; $AN74):INDIRECT("Table!" &amp; $AQ$85 &amp; $AN74),0))))/1024)</f>
        <v>16.397525390624999</v>
      </c>
      <c r="U74" s="272" t="str">
        <f ca="1">IF(ISERROR(MATCH(U$1,INDIRECT("Table!A"&amp;$AN74):INDIRECT("Table!" &amp; $AQ$85 &amp; $AN74),0)),"",INDIRECT(CONCATENATE("Table!",ADDRESS($AJ74,MATCH(U$1,INDIRECT("Table!A" &amp; $AN74):INDIRECT("Table!" &amp; $AQ$85 &amp; $AN74),0))))/1024)</f>
        <v/>
      </c>
      <c r="V74" s="595"/>
      <c r="W74" s="595"/>
      <c r="X74" s="595"/>
      <c r="Y74" s="595"/>
      <c r="Z74" s="595"/>
      <c r="AA74" s="595"/>
      <c r="AB74" s="595"/>
      <c r="AC74" s="595"/>
      <c r="AD74" s="595"/>
      <c r="AE74" s="595"/>
      <c r="AF74" s="595"/>
      <c r="AG74" s="595"/>
      <c r="AH74" s="595"/>
      <c r="AI74" s="595"/>
      <c r="AJ74" s="272">
        <f>MATCH($A74,Table!$A:$A,0)+$AL$2-1</f>
        <v>995</v>
      </c>
      <c r="AK74" s="370"/>
      <c r="AL74" s="370"/>
      <c r="AM74" s="370"/>
      <c r="AN74" s="272">
        <f>MATCH($A74,Table!$A:$A,0)+$AP$2-1</f>
        <v>987</v>
      </c>
      <c r="AO74" s="370"/>
      <c r="AP74" s="370"/>
      <c r="AQ74" s="973" t="s">
        <v>302</v>
      </c>
      <c r="AR74" s="699">
        <f t="shared" ca="1" si="13"/>
        <v>2531.1457265624999</v>
      </c>
      <c r="AS74" s="699">
        <f t="shared" ca="1" si="22"/>
        <v>5.0048671874997126</v>
      </c>
    </row>
    <row r="75" spans="1:45" s="267" customFormat="1" x14ac:dyDescent="0.25">
      <c r="A75" s="268">
        <v>41408</v>
      </c>
      <c r="B75" s="272">
        <f ca="1">IF(ISERROR(MATCH(B$1,INDIRECT("Table!A"&amp;$AN75):INDIRECT("Table!" &amp; $AQ$108 &amp; $AN75),0)),"",INDIRECT(CONCATENATE("Table!",ADDRESS($AJ75,MATCH(B$1,INDIRECT("Table!A" &amp; $AN75):INDIRECT("Table!" &amp; $AQ$108 &amp; $AN75),0))))/1024)</f>
        <v>174.34718261718749</v>
      </c>
      <c r="C75" s="272">
        <f ca="1">IF(ISERROR(MATCH(C$1,INDIRECT("Table!A"&amp;$AN75):INDIRECT("Table!" &amp; $AQ$108 &amp; $AN75),0)),"",INDIRECT(CONCATENATE("Table!",ADDRESS($AJ75,MATCH(C$1,INDIRECT("Table!A" &amp; $AN75):INDIRECT("Table!" &amp; $AQ$108 &amp; $AN75),0))))/1024)</f>
        <v>87.354688476562501</v>
      </c>
      <c r="D75" s="272">
        <f ca="1">IF(ISERROR(MATCH(D$1,INDIRECT("Table!A"&amp;$AN75):INDIRECT("Table!" &amp; $AQ$108 &amp; $AN75),0)),"",INDIRECT(CONCATENATE("Table!",ADDRESS($AJ75,MATCH(D$1,INDIRECT("Table!A" &amp; $AN75):INDIRECT("Table!" &amp; $AQ$108 &amp; $AN75),0))))/1024)</f>
        <v>88.37541796875</v>
      </c>
      <c r="E75" s="272">
        <f ca="1">IF(ISERROR(MATCH(E$1,INDIRECT("Table!A"&amp;$AN75):INDIRECT("Table!" &amp; $AQ$108 &amp; $AN75),0)),"",INDIRECT(CONCATENATE("Table!",ADDRESS($AJ75,MATCH(E$1,INDIRECT("Table!A" &amp; $AN75):INDIRECT("Table!" &amp; $AQ$108 &amp; $AN75),0))))/1024)</f>
        <v>271.51404492187498</v>
      </c>
      <c r="F75" s="272">
        <f ca="1">IF(ISERROR(MATCH(F$1,INDIRECT("Table!A"&amp;$AN75):INDIRECT("Table!" &amp; $AQ$108 &amp; $AN75),0)),"",INDIRECT(CONCATENATE("Table!",ADDRESS($AJ75,MATCH(F$1,INDIRECT("Table!A" &amp; $AN75):INDIRECT("Table!" &amp; $AQ$108 &amp; $AN75),0))))/1024)</f>
        <v>250.24335937499998</v>
      </c>
      <c r="G75" s="272">
        <f ca="1">IF(ISERROR(MATCH(G$1,INDIRECT("Table!A"&amp;$AN75):INDIRECT("Table!" &amp; $AQ$108 &amp; $AN75),0)),"",INDIRECT(CONCATENATE("Table!",ADDRESS($AJ75,MATCH(G$1,INDIRECT("Table!A" &amp; $AN75):INDIRECT("Table!" &amp; $AQ$108 &amp; $AN75),0))))/1024)</f>
        <v>448.33073437499996</v>
      </c>
      <c r="H75" s="272">
        <f ca="1">IF(ISERROR(MATCH(H$1,INDIRECT("Table!A"&amp;$AN75):INDIRECT("Table!" &amp; $AQ$108 &amp; $AN75),0)),"",INDIRECT(CONCATENATE("Table!",ADDRESS($AJ75,MATCH(H$1,INDIRECT("Table!A" &amp; $AN75):INDIRECT("Table!" &amp; $AQ$108 &amp; $AN75),0))))/1024)</f>
        <v>136.0204365234375</v>
      </c>
      <c r="I75" s="272">
        <f ca="1">IF(ISERROR(MATCH(I$1,INDIRECT("Table!A"&amp;$AN75):INDIRECT("Table!" &amp; $AQ$85 &amp; $AN75),0)),"",INDIRECT(CONCATENATE("Table!",ADDRESS($AJ75,MATCH(I$1,INDIRECT("Table!A" &amp; $AN75):INDIRECT("Table!" &amp; $AQ$85 &amp; $AN75),0))))/1024)</f>
        <v>12.182900390624999</v>
      </c>
      <c r="J75" s="272" t="str">
        <f ca="1">IF(ISERROR(MATCH(J$1,INDIRECT("Table!A"&amp;$AN75):INDIRECT("Table!" &amp; $AQ$85 &amp; $AN75),0)),"",INDIRECT(CONCATENATE("Table!",ADDRESS($AJ75,MATCH(J$1,INDIRECT("Table!A" &amp; $AN75):INDIRECT("Table!" &amp; $AQ$85 &amp; $AN75),0))))/1024)</f>
        <v/>
      </c>
      <c r="K75" s="272" t="str">
        <f ca="1">IF(ISERROR(MATCH(K$1,INDIRECT("Table!A"&amp;$AN75):INDIRECT("Table!" &amp; $AQ$85 &amp; $AN75),0)),"",INDIRECT(CONCATENATE("Table!",ADDRESS($AJ75,MATCH(K$1,INDIRECT("Table!A" &amp; $AN75):INDIRECT("Table!" &amp; $AQ$85 &amp; $AN75),0))))/1024)</f>
        <v/>
      </c>
      <c r="L75" s="272">
        <f ca="1">IF(ISERROR(MATCH(L$1,INDIRECT("Table!A"&amp;$AN75):INDIRECT("Table!" &amp; $AQ$85 &amp; $AN75),0)),"",INDIRECT(CONCATENATE("Table!",ADDRESS($AJ75,MATCH(L$1,INDIRECT("Table!A" &amp; $AN75):INDIRECT("Table!" &amp; $AQ$85 &amp; $AN75),0))))/1024)</f>
        <v>275.92623046874996</v>
      </c>
      <c r="M75" s="272">
        <f ca="1">IF(ISERROR(MATCH(M$1,INDIRECT("Table!A"&amp;$AN75):INDIRECT("Table!" &amp; $AQ$85 &amp; $AN75),0)),"",INDIRECT(CONCATENATE("Table!",ADDRESS($AJ75,MATCH(M$1,INDIRECT("Table!A" &amp; $AN75):INDIRECT("Table!" &amp; $AQ$85 &amp; $AN75),0))))/1024)</f>
        <v>363.64311328125001</v>
      </c>
      <c r="N75" s="272">
        <f ca="1">IF(ISERROR(MATCH(N$1,INDIRECT("Table!A"&amp;$AN75):INDIRECT("Table!" &amp; $AQ$85 &amp; $AN75),0)),"",INDIRECT(CONCATENATE("Table!",ADDRESS($AJ75,MATCH(N$1,INDIRECT("Table!A" &amp; $AN75):INDIRECT("Table!" &amp; $AQ$85 &amp; $AN75),0))))/1024)</f>
        <v>129.96191308593748</v>
      </c>
      <c r="O75" s="272">
        <f ca="1">IF(ISERROR(MATCH(O$1,INDIRECT("Table!A"&amp;$AN75):INDIRECT("Table!" &amp; $AQ$85 &amp; $AN75),0)),"",INDIRECT(CONCATENATE("Table!",ADDRESS($AJ75,MATCH(O$1,INDIRECT("Table!A" &amp; $AN75):INDIRECT("Table!" &amp; $AQ$85 &amp; $AN75),0))))/1024)</f>
        <v>244.2177626953125</v>
      </c>
      <c r="P75" s="272">
        <f ca="1">IF(ISERROR(MATCH(P$1,INDIRECT("Table!A"&amp;$AN75):INDIRECT("Table!" &amp; $AQ$85 &amp; $AN75),0)),"",INDIRECT(CONCATENATE("Table!",ADDRESS($AJ75,MATCH(P$1,INDIRECT("Table!A" &amp; $AN75):INDIRECT("Table!" &amp; $AQ$85 &amp; $AN75),0))))/1024)</f>
        <v>27.625549804687498</v>
      </c>
      <c r="Q75" s="272" t="str">
        <f ca="1">IF(ISERROR(MATCH(Q$1,INDIRECT("Table!A"&amp;$AN75):INDIRECT("Table!" &amp; $AQ$85 &amp; $AN75),0)),"",INDIRECT(CONCATENATE("Table!",ADDRESS($AJ75,MATCH(Q$1,INDIRECT("Table!A" &amp; $AN75):INDIRECT("Table!" &amp; $AQ$85 &amp; $AN75),0))))/1024)</f>
        <v/>
      </c>
      <c r="R75" s="272" t="str">
        <f ca="1">IF(ISERROR(MATCH(R$1,INDIRECT("Table!A"&amp;$AN75):INDIRECT("Table!" &amp; $AQ$85 &amp; $AN75),0)),"",INDIRECT(CONCATENATE("Table!",ADDRESS($AJ75,MATCH(R$1,INDIRECT("Table!A" &amp; $AN75):INDIRECT("Table!" &amp; $AQ$85 &amp; $AN75),0))))/1024)</f>
        <v/>
      </c>
      <c r="S75" s="595">
        <v>0</v>
      </c>
      <c r="T75" s="595">
        <f ca="1">IF(ISERROR(MATCH(T$1,INDIRECT("Table!A"&amp;$AN75):INDIRECT("Table!" &amp; $AQ$85 &amp; $AN75),0)),"",INDIRECT(CONCATENATE("Table!",ADDRESS($AJ75,MATCH(T$1,INDIRECT("Table!A" &amp; $AN75):INDIRECT("Table!" &amp; $AQ$85 &amp; $AN75),0))))/1024)</f>
        <v>16.397525390624999</v>
      </c>
      <c r="U75" s="272" t="str">
        <f ca="1">IF(ISERROR(MATCH(U$1,INDIRECT("Table!A"&amp;$AN75):INDIRECT("Table!" &amp; $AQ$85 &amp; $AN75),0)),"",INDIRECT(CONCATENATE("Table!",ADDRESS($AJ75,MATCH(U$1,INDIRECT("Table!A" &amp; $AN75):INDIRECT("Table!" &amp; $AQ$85 &amp; $AN75),0))))/1024)</f>
        <v/>
      </c>
      <c r="V75" s="595"/>
      <c r="W75" s="595"/>
      <c r="X75" s="595"/>
      <c r="Y75" s="595"/>
      <c r="Z75" s="595"/>
      <c r="AA75" s="595"/>
      <c r="AB75" s="595"/>
      <c r="AC75" s="595"/>
      <c r="AD75" s="595"/>
      <c r="AE75" s="595"/>
      <c r="AF75" s="595"/>
      <c r="AG75" s="595"/>
      <c r="AH75" s="595"/>
      <c r="AI75" s="595"/>
      <c r="AJ75" s="272">
        <f>MATCH($A75,Table!$A:$A,0)+$AL$2-1</f>
        <v>1007</v>
      </c>
      <c r="AK75" s="369"/>
      <c r="AL75" s="369"/>
      <c r="AM75" s="369"/>
      <c r="AN75" s="272">
        <f>MATCH($A75,Table!$A:$A,0)+$AP$2-1</f>
        <v>999</v>
      </c>
      <c r="AO75" s="369"/>
      <c r="AP75" s="369"/>
      <c r="AQ75" s="973" t="s">
        <v>302</v>
      </c>
      <c r="AR75" s="699">
        <f t="shared" ca="1" si="13"/>
        <v>2526.1408593750002</v>
      </c>
      <c r="AS75" s="699">
        <f t="shared" ca="1" si="22"/>
        <v>-4.0499912109371508</v>
      </c>
    </row>
    <row r="76" spans="1:45" s="267" customFormat="1" x14ac:dyDescent="0.25">
      <c r="A76" s="268">
        <v>41401</v>
      </c>
      <c r="B76" s="272">
        <f ca="1">IF(ISERROR(MATCH(B$1,INDIRECT("Table!A"&amp;$AN76):INDIRECT("Table!" &amp; $AQ$108 &amp; $AN76),0)),"",INDIRECT(CONCATENATE("Table!",ADDRESS($AJ76,MATCH(B$1,INDIRECT("Table!A" &amp; $AN76):INDIRECT("Table!" &amp; $AQ$108 &amp; $AN76),0))))/1024)</f>
        <v>172.14108984375</v>
      </c>
      <c r="C76" s="272">
        <f ca="1">IF(ISERROR(MATCH(C$1,INDIRECT("Table!A"&amp;$AN76):INDIRECT("Table!" &amp; $AQ$108 &amp; $AN76),0)),"",INDIRECT(CONCATENATE("Table!",ADDRESS($AJ76,MATCH(C$1,INDIRECT("Table!A" &amp; $AN76):INDIRECT("Table!" &amp; $AQ$108 &amp; $AN76),0))))/1024)</f>
        <v>87.157127929687491</v>
      </c>
      <c r="D76" s="272">
        <f ca="1">IF(ISERROR(MATCH(D$1,INDIRECT("Table!A"&amp;$AN76):INDIRECT("Table!" &amp; $AQ$108 &amp; $AN76),0)),"",INDIRECT(CONCATENATE("Table!",ADDRESS($AJ76,MATCH(D$1,INDIRECT("Table!A" &amp; $AN76):INDIRECT("Table!" &amp; $AQ$108 &amp; $AN76),0))))/1024)</f>
        <v>88.177857421875004</v>
      </c>
      <c r="E76" s="272">
        <f ca="1">IF(ISERROR(MATCH(E$1,INDIRECT("Table!A"&amp;$AN76):INDIRECT("Table!" &amp; $AQ$108 &amp; $AN76),0)),"",INDIRECT(CONCATENATE("Table!",ADDRESS($AJ76,MATCH(E$1,INDIRECT("Table!A" &amp; $AN76):INDIRECT("Table!" &amp; $AQ$108 &amp; $AN76),0))))/1024)</f>
        <v>271.51404492187498</v>
      </c>
      <c r="F76" s="272">
        <f ca="1">IF(ISERROR(MATCH(F$1,INDIRECT("Table!A"&amp;$AN76):INDIRECT("Table!" &amp; $AQ$108 &amp; $AN76),0)),"",INDIRECT(CONCATENATE("Table!",ADDRESS($AJ76,MATCH(F$1,INDIRECT("Table!A" &amp; $AN76):INDIRECT("Table!" &amp; $AQ$108 &amp; $AN76),0))))/1024)</f>
        <v>249.78238476562498</v>
      </c>
      <c r="G76" s="272">
        <f ca="1">IF(ISERROR(MATCH(G$1,INDIRECT("Table!A"&amp;$AN76):INDIRECT("Table!" &amp; $AQ$108 &amp; $AN76),0)),"",INDIRECT(CONCATENATE("Table!",ADDRESS($AJ76,MATCH(G$1,INDIRECT("Table!A" &amp; $AN76):INDIRECT("Table!" &amp; $AQ$108 &amp; $AN76),0))))/1024)</f>
        <v>446.94781054687496</v>
      </c>
      <c r="H76" s="272">
        <f ca="1">IF(ISERROR(MATCH(H$1,INDIRECT("Table!A"&amp;$AN76):INDIRECT("Table!" &amp; $AQ$108 &amp; $AN76),0)),"",INDIRECT(CONCATENATE("Table!",ADDRESS($AJ76,MATCH(H$1,INDIRECT("Table!A" &amp; $AN76):INDIRECT("Table!" &amp; $AQ$108 &amp; $AN76),0))))/1024)</f>
        <v>139.5106728515625</v>
      </c>
      <c r="I76" s="272">
        <f ca="1">IF(ISERROR(MATCH(I$1,INDIRECT("Table!A"&amp;$AN76):INDIRECT("Table!" &amp; $AQ$85 &amp; $AN76),0)),"",INDIRECT(CONCATENATE("Table!",ADDRESS($AJ76,MATCH(I$1,INDIRECT("Table!A" &amp; $AN76):INDIRECT("Table!" &amp; $AQ$85 &amp; $AN76),0))))/1024)</f>
        <v>12.1499736328125</v>
      </c>
      <c r="J76" s="272" t="str">
        <f ca="1">IF(ISERROR(MATCH(J$1,INDIRECT("Table!A"&amp;$AN76):INDIRECT("Table!" &amp; $AQ$85 &amp; $AN76),0)),"",INDIRECT(CONCATENATE("Table!",ADDRESS($AJ76,MATCH(J$1,INDIRECT("Table!A" &amp; $AN76):INDIRECT("Table!" &amp; $AQ$85 &amp; $AN76),0))))/1024)</f>
        <v/>
      </c>
      <c r="K76" s="272" t="str">
        <f ca="1">IF(ISERROR(MATCH(K$1,INDIRECT("Table!A"&amp;$AN76):INDIRECT("Table!" &amp; $AQ$85 &amp; $AN76),0)),"",INDIRECT(CONCATENATE("Table!",ADDRESS($AJ76,MATCH(K$1,INDIRECT("Table!A" &amp; $AN76):INDIRECT("Table!" &amp; $AQ$85 &amp; $AN76),0))))/1024)</f>
        <v/>
      </c>
      <c r="L76" s="272">
        <f ca="1">IF(ISERROR(MATCH(L$1,INDIRECT("Table!A"&amp;$AN76):INDIRECT("Table!" &amp; $AQ$85 &amp; $AN76),0)),"",INDIRECT(CONCATENATE("Table!",ADDRESS($AJ76,MATCH(L$1,INDIRECT("Table!A" &amp; $AN76):INDIRECT("Table!" &amp; $AQ$85 &amp; $AN76),0))))/1024)</f>
        <v>275.92623046874996</v>
      </c>
      <c r="M76" s="272">
        <f ca="1">IF(ISERROR(MATCH(M$1,INDIRECT("Table!A"&amp;$AN76):INDIRECT("Table!" &amp; $AQ$85 &amp; $AN76),0)),"",INDIRECT(CONCATENATE("Table!",ADDRESS($AJ76,MATCH(M$1,INDIRECT("Table!A" &amp; $AN76):INDIRECT("Table!" &amp; $AQ$85 &amp; $AN76),0))))/1024)</f>
        <v>363.97238085937499</v>
      </c>
      <c r="N76" s="272">
        <f ca="1">IF(ISERROR(MATCH(N$1,INDIRECT("Table!A"&amp;$AN76):INDIRECT("Table!" &amp; $AQ$85 &amp; $AN76),0)),"",INDIRECT(CONCATENATE("Table!",ADDRESS($AJ76,MATCH(N$1,INDIRECT("Table!A" &amp; $AN76):INDIRECT("Table!" &amp; $AQ$85 &amp; $AN76),0))))/1024)</f>
        <v>129.56679199218749</v>
      </c>
      <c r="O76" s="272">
        <f ca="1">IF(ISERROR(MATCH(O$1,INDIRECT("Table!A"&amp;$AN76):INDIRECT("Table!" &amp; $AQ$85 &amp; $AN76),0)),"",INDIRECT(CONCATENATE("Table!",ADDRESS($AJ76,MATCH(O$1,INDIRECT("Table!A" &amp; $AN76):INDIRECT("Table!" &amp; $AQ$85 &amp; $AN76),0))))/1024)</f>
        <v>249.84823828124999</v>
      </c>
      <c r="P76" s="272">
        <f ca="1">IF(ISERROR(MATCH(P$1,INDIRECT("Table!A"&amp;$AN76):INDIRECT("Table!" &amp; $AQ$85 &amp; $AN76),0)),"",INDIRECT(CONCATENATE("Table!",ADDRESS($AJ76,MATCH(P$1,INDIRECT("Table!A" &amp; $AN76):INDIRECT("Table!" &amp; $AQ$85 &amp; $AN76),0))))/1024)</f>
        <v>27.592623046874998</v>
      </c>
      <c r="Q76" s="272" t="str">
        <f ca="1">IF(ISERROR(MATCH(Q$1,INDIRECT("Table!A"&amp;$AN76):INDIRECT("Table!" &amp; $AQ$85 &amp; $AN76),0)),"",INDIRECT(CONCATENATE("Table!",ADDRESS($AJ76,MATCH(Q$1,INDIRECT("Table!A" &amp; $AN76):INDIRECT("Table!" &amp; $AQ$85 &amp; $AN76),0))))/1024)</f>
        <v/>
      </c>
      <c r="R76" s="272" t="str">
        <f ca="1">IF(ISERROR(MATCH(R$1,INDIRECT("Table!A"&amp;$AN76):INDIRECT("Table!" &amp; $AQ$85 &amp; $AN76),0)),"",INDIRECT(CONCATENATE("Table!",ADDRESS($AJ76,MATCH(R$1,INDIRECT("Table!A" &amp; $AN76):INDIRECT("Table!" &amp; $AQ$85 &amp; $AN76),0))))/1024)</f>
        <v/>
      </c>
      <c r="S76" s="595" t="str">
        <f ca="1">IF(ISERROR(MATCH(S$1,INDIRECT("Table!A"&amp;$AN76):INDIRECT("Table!" &amp; $AQ$85 &amp; $AN76),0)),"",INDIRECT(CONCATENATE("Table!",ADDRESS($AJ76,MATCH(S$1,INDIRECT("Table!A" &amp; $AN76):INDIRECT("Table!" &amp; $AQ$85 &amp; $AN76),0))))/1024)</f>
        <v/>
      </c>
      <c r="T76" s="595">
        <f ca="1">IF(ISERROR(MATCH(T$1,INDIRECT("Table!A"&amp;$AN76):INDIRECT("Table!" &amp; $AQ$85 &amp; $AN76),0)),"",INDIRECT(CONCATENATE("Table!",ADDRESS($AJ76,MATCH(T$1,INDIRECT("Table!A" &amp; $AN76):INDIRECT("Table!" &amp; $AQ$85 &amp; $AN76),0))))/1024)</f>
        <v>15.9036240234375</v>
      </c>
      <c r="U76" s="272" t="str">
        <f ca="1">IF(ISERROR(MATCH(U$1,INDIRECT("Table!A"&amp;$AN76):INDIRECT("Table!" &amp; $AQ$85 &amp; $AN76),0)),"",INDIRECT(CONCATENATE("Table!",ADDRESS($AJ76,MATCH(U$1,INDIRECT("Table!A" &amp; $AN76):INDIRECT("Table!" &amp; $AQ$85 &amp; $AN76),0))))/1024)</f>
        <v/>
      </c>
      <c r="V76" s="595"/>
      <c r="W76" s="595"/>
      <c r="X76" s="595"/>
      <c r="Y76" s="595"/>
      <c r="Z76" s="595"/>
      <c r="AA76" s="595"/>
      <c r="AB76" s="595"/>
      <c r="AC76" s="595"/>
      <c r="AD76" s="595"/>
      <c r="AE76" s="595"/>
      <c r="AF76" s="595"/>
      <c r="AG76" s="595"/>
      <c r="AH76" s="595"/>
      <c r="AI76" s="595"/>
      <c r="AJ76" s="272">
        <f>MATCH($A76,Table!$A:$A,0)+$AL$2-1</f>
        <v>1019</v>
      </c>
      <c r="AK76" s="367"/>
      <c r="AL76" s="367"/>
      <c r="AM76" s="367"/>
      <c r="AN76" s="272">
        <f>MATCH($A76,Table!$A:$A,0)+$AP$2-1</f>
        <v>1011</v>
      </c>
      <c r="AO76" s="367"/>
      <c r="AP76" s="367"/>
      <c r="AQ76" s="973" t="s">
        <v>302</v>
      </c>
      <c r="AR76" s="699">
        <f t="shared" ca="1" si="13"/>
        <v>2530.1908505859374</v>
      </c>
      <c r="AS76" s="699">
        <f t="shared" ca="1" si="22"/>
        <v>-8.7585175781250655</v>
      </c>
    </row>
    <row r="77" spans="1:45" s="267" customFormat="1" x14ac:dyDescent="0.25">
      <c r="A77" s="268">
        <v>41395</v>
      </c>
      <c r="B77" s="272">
        <f ca="1">IF(ISERROR(MATCH(B$1,INDIRECT("Table!A"&amp;$AN77):INDIRECT("Table!" &amp; $AQ$108 &amp; $AN77),0)),"",INDIRECT(CONCATENATE("Table!",ADDRESS($AJ77,MATCH(B$1,INDIRECT("Table!A" &amp; $AN77):INDIRECT("Table!" &amp; $AQ$108 &amp; $AN77),0))))/1024)</f>
        <v>188.04471386718748</v>
      </c>
      <c r="C77" s="272">
        <f ca="1">IF(ISERROR(MATCH(C$1,INDIRECT("Table!A"&amp;$AN77):INDIRECT("Table!" &amp; $AQ$108 &amp; $AN77),0)),"",INDIRECT(CONCATENATE("Table!",ADDRESS($AJ77,MATCH(C$1,INDIRECT("Table!A" &amp; $AN77):INDIRECT("Table!" &amp; $AQ$108 &amp; $AN77),0))))/1024)</f>
        <v>87.157127929687491</v>
      </c>
      <c r="D77" s="272">
        <f ca="1">IF(ISERROR(MATCH(D$1,INDIRECT("Table!A"&amp;$AN77):INDIRECT("Table!" &amp; $AQ$108 &amp; $AN77),0)),"",INDIRECT(CONCATENATE("Table!",ADDRESS($AJ77,MATCH(D$1,INDIRECT("Table!A" &amp; $AN77):INDIRECT("Table!" &amp; $AQ$108 &amp; $AN77),0))))/1024)</f>
        <v>88.177857421875004</v>
      </c>
      <c r="E77" s="272">
        <f ca="1">IF(ISERROR(MATCH(E$1,INDIRECT("Table!A"&amp;$AN77):INDIRECT("Table!" &amp; $AQ$108 &amp; $AN77),0)),"",INDIRECT(CONCATENATE("Table!",ADDRESS($AJ77,MATCH(E$1,INDIRECT("Table!A" &amp; $AN77):INDIRECT("Table!" &amp; $AQ$108 &amp; $AN77),0))))/1024)</f>
        <v>271.51404492187498</v>
      </c>
      <c r="F77" s="272">
        <f ca="1">IF(ISERROR(MATCH(F$1,INDIRECT("Table!A"&amp;$AN77):INDIRECT("Table!" &amp; $AQ$108 &amp; $AN77),0)),"",INDIRECT(CONCATENATE("Table!",ADDRESS($AJ77,MATCH(F$1,INDIRECT("Table!A" &amp; $AN77):INDIRECT("Table!" &amp; $AQ$108 &amp; $AN77),0))))/1024)</f>
        <v>247.8726328125</v>
      </c>
      <c r="G77" s="272">
        <f ca="1">IF(ISERROR(MATCH(G$1,INDIRECT("Table!A"&amp;$AN77):INDIRECT("Table!" &amp; $AQ$108 &amp; $AN77),0)),"",INDIRECT(CONCATENATE("Table!",ADDRESS($AJ77,MATCH(G$1,INDIRECT("Table!A" &amp; $AN77):INDIRECT("Table!" &amp; $AQ$108 &amp; $AN77),0))))/1024)</f>
        <v>442.99659960937498</v>
      </c>
      <c r="H77" s="272">
        <f ca="1">IF(ISERROR(MATCH(H$1,INDIRECT("Table!A"&amp;$AN77):INDIRECT("Table!" &amp; $AQ$108 &amp; $AN77),0)),"",INDIRECT(CONCATENATE("Table!",ADDRESS($AJ77,MATCH(H$1,INDIRECT("Table!A" &amp; $AN77):INDIRECT("Table!" &amp; $AQ$108 &amp; $AN77),0))))/1024)</f>
        <v>139.5106728515625</v>
      </c>
      <c r="I77" s="272">
        <f ca="1">IF(ISERROR(MATCH(I$1,INDIRECT("Table!A"&amp;$AN77):INDIRECT("Table!" &amp; $AQ$85 &amp; $AN77),0)),"",INDIRECT(CONCATENATE("Table!",ADDRESS($AJ77,MATCH(I$1,INDIRECT("Table!A" &amp; $AN77):INDIRECT("Table!" &amp; $AQ$85 &amp; $AN77),0))))/1024)</f>
        <v>12.1499736328125</v>
      </c>
      <c r="J77" s="272" t="str">
        <f ca="1">IF(ISERROR(MATCH(J$1,INDIRECT("Table!A"&amp;$AN77):INDIRECT("Table!" &amp; $AQ$85 &amp; $AN77),0)),"",INDIRECT(CONCATENATE("Table!",ADDRESS($AJ77,MATCH(J$1,INDIRECT("Table!A" &amp; $AN77):INDIRECT("Table!" &amp; $AQ$85 &amp; $AN77),0))))/1024)</f>
        <v/>
      </c>
      <c r="K77" s="272" t="str">
        <f ca="1">IF(ISERROR(MATCH(K$1,INDIRECT("Table!A"&amp;$AN77):INDIRECT("Table!" &amp; $AQ$85 &amp; $AN77),0)),"",INDIRECT(CONCATENATE("Table!",ADDRESS($AJ77,MATCH(K$1,INDIRECT("Table!A" &amp; $AN77):INDIRECT("Table!" &amp; $AQ$85 &amp; $AN77),0))))/1024)</f>
        <v/>
      </c>
      <c r="L77" s="272">
        <f ca="1">IF(ISERROR(MATCH(L$1,INDIRECT("Table!A"&amp;$AN77):INDIRECT("Table!" &amp; $AQ$85 &amp; $AN77),0)),"",INDIRECT(CONCATENATE("Table!",ADDRESS($AJ77,MATCH(L$1,INDIRECT("Table!A" &amp; $AN77):INDIRECT("Table!" &amp; $AQ$85 &amp; $AN77),0))))/1024)</f>
        <v>275.92623046874996</v>
      </c>
      <c r="M77" s="272">
        <f ca="1">IF(ISERROR(MATCH(M$1,INDIRECT("Table!A"&amp;$AN77):INDIRECT("Table!" &amp; $AQ$85 &amp; $AN77),0)),"",INDIRECT(CONCATENATE("Table!",ADDRESS($AJ77,MATCH(M$1,INDIRECT("Table!A" &amp; $AN77):INDIRECT("Table!" &amp; $AQ$85 &amp; $AN77),0))))/1024)</f>
        <v>363.47847949218749</v>
      </c>
      <c r="N77" s="272">
        <f ca="1">IF(ISERROR(MATCH(N$1,INDIRECT("Table!A"&amp;$AN77):INDIRECT("Table!" &amp; $AQ$85 &amp; $AN77),0)),"",INDIRECT(CONCATENATE("Table!",ADDRESS($AJ77,MATCH(N$1,INDIRECT("Table!A" &amp; $AN77):INDIRECT("Table!" &amp; $AQ$85 &amp; $AN77),0))))/1024)</f>
        <v>128.77654980468751</v>
      </c>
      <c r="O77" s="272">
        <f ca="1">IF(ISERROR(MATCH(O$1,INDIRECT("Table!A"&amp;$AN77):INDIRECT("Table!" &amp; $AQ$85 &amp; $AN77),0)),"",INDIRECT(CONCATENATE("Table!",ADDRESS($AJ77,MATCH(O$1,INDIRECT("Table!A" &amp; $AN77):INDIRECT("Table!" &amp; $AQ$85 &amp; $AN77),0))))/1024)</f>
        <v>249.84823828124999</v>
      </c>
      <c r="P77" s="272">
        <f ca="1">IF(ISERROR(MATCH(P$1,INDIRECT("Table!A"&amp;$AN77):INDIRECT("Table!" &amp; $AQ$85 &amp; $AN77),0)),"",INDIRECT(CONCATENATE("Table!",ADDRESS($AJ77,MATCH(P$1,INDIRECT("Table!A" &amp; $AN77):INDIRECT("Table!" &amp; $AQ$85 &amp; $AN77),0))))/1024)</f>
        <v>27.592623046874998</v>
      </c>
      <c r="Q77" s="272" t="str">
        <f ca="1">IF(ISERROR(MATCH(Q$1,INDIRECT("Table!A"&amp;$AN77):INDIRECT("Table!" &amp; $AQ$85 &amp; $AN77),0)),"",INDIRECT(CONCATENATE("Table!",ADDRESS($AJ77,MATCH(Q$1,INDIRECT("Table!A" &amp; $AN77):INDIRECT("Table!" &amp; $AQ$85 &amp; $AN77),0))))/1024)</f>
        <v/>
      </c>
      <c r="R77" s="272" t="str">
        <f ca="1">IF(ISERROR(MATCH(R$1,INDIRECT("Table!A"&amp;$AN77):INDIRECT("Table!" &amp; $AQ$85 &amp; $AN77),0)),"",INDIRECT(CONCATENATE("Table!",ADDRESS($AJ77,MATCH(R$1,INDIRECT("Table!A" &amp; $AN77):INDIRECT("Table!" &amp; $AQ$85 &amp; $AN77),0))))/1024)</f>
        <v/>
      </c>
      <c r="S77" s="595" t="str">
        <f ca="1">IF(ISERROR(MATCH(S$1,INDIRECT("Table!A"&amp;$AN77):INDIRECT("Table!" &amp; $AQ$85 &amp; $AN77),0)),"",INDIRECT(CONCATENATE("Table!",ADDRESS($AJ77,MATCH(S$1,INDIRECT("Table!A" &amp; $AN77):INDIRECT("Table!" &amp; $AQ$85 &amp; $AN77),0))))/1024)</f>
        <v/>
      </c>
      <c r="T77" s="595">
        <f ca="1">IF(ISERROR(MATCH(T$1,INDIRECT("Table!A"&amp;$AN77):INDIRECT("Table!" &amp; $AQ$85 &amp; $AN77),0)),"",INDIRECT(CONCATENATE("Table!",ADDRESS($AJ77,MATCH(T$1,INDIRECT("Table!A" &amp; $AN77):INDIRECT("Table!" &amp; $AQ$85 &amp; $AN77),0))))/1024)</f>
        <v>15.9036240234375</v>
      </c>
      <c r="U77" s="272" t="str">
        <f ca="1">IF(ISERROR(MATCH(U$1,INDIRECT("Table!A"&amp;$AN77):INDIRECT("Table!" &amp; $AQ$85 &amp; $AN77),0)),"",INDIRECT(CONCATENATE("Table!",ADDRESS($AJ77,MATCH(U$1,INDIRECT("Table!A" &amp; $AN77):INDIRECT("Table!" &amp; $AQ$85 &amp; $AN77),0))))/1024)</f>
        <v/>
      </c>
      <c r="V77" s="595"/>
      <c r="W77" s="595"/>
      <c r="X77" s="595"/>
      <c r="Y77" s="595"/>
      <c r="Z77" s="595"/>
      <c r="AA77" s="595"/>
      <c r="AB77" s="595"/>
      <c r="AC77" s="595"/>
      <c r="AD77" s="595"/>
      <c r="AE77" s="595"/>
      <c r="AF77" s="595"/>
      <c r="AG77" s="595"/>
      <c r="AH77" s="595"/>
      <c r="AI77" s="595"/>
      <c r="AJ77" s="272">
        <f>MATCH($A77,Table!$A:$A,0)+$AL$2-1</f>
        <v>1031</v>
      </c>
      <c r="AK77" s="366"/>
      <c r="AL77" s="366"/>
      <c r="AM77" s="366"/>
      <c r="AN77" s="272">
        <f>MATCH($A77,Table!$A:$A,0)+$AP$2-1</f>
        <v>1023</v>
      </c>
      <c r="AO77" s="366"/>
      <c r="AP77" s="366"/>
      <c r="AQ77" s="973" t="s">
        <v>302</v>
      </c>
      <c r="AR77" s="699">
        <f t="shared" ca="1" si="13"/>
        <v>2538.9493681640624</v>
      </c>
      <c r="AS77" s="699">
        <f t="shared" ca="1" si="22"/>
        <v>1.8109716796870998</v>
      </c>
    </row>
    <row r="78" spans="1:45" s="267" customFormat="1" x14ac:dyDescent="0.25">
      <c r="A78" s="268">
        <v>41393</v>
      </c>
      <c r="B78" s="272">
        <f ca="1">IF(ISERROR(MATCH(B$1,INDIRECT("Table!A"&amp;$AN78):INDIRECT("Table!" &amp; $AQ$108 &amp; $AN78),0)),"",INDIRECT(CONCATENATE("Table!",ADDRESS($AJ78,MATCH(B$1,INDIRECT("Table!A" &amp; $AN78):INDIRECT("Table!" &amp; $AQ$108 &amp; $AN78),0))))/1024)</f>
        <v>188.04471386718748</v>
      </c>
      <c r="C78" s="272">
        <f ca="1">IF(ISERROR(MATCH(C$1,INDIRECT("Table!A"&amp;$AN78):INDIRECT("Table!" &amp; $AQ$108 &amp; $AN78),0)),"",INDIRECT(CONCATENATE("Table!",ADDRESS($AJ78,MATCH(C$1,INDIRECT("Table!A" &amp; $AN78):INDIRECT("Table!" &amp; $AQ$108 &amp; $AN78),0))))/1024)</f>
        <v>87.157127929687491</v>
      </c>
      <c r="D78" s="272">
        <f ca="1">IF(ISERROR(MATCH(D$1,INDIRECT("Table!A"&amp;$AN78):INDIRECT("Table!" &amp; $AQ$108 &amp; $AN78),0)),"",INDIRECT(CONCATENATE("Table!",ADDRESS($AJ78,MATCH(D$1,INDIRECT("Table!A" &amp; $AN78):INDIRECT("Table!" &amp; $AQ$108 &amp; $AN78),0))))/1024)</f>
        <v>88.177857421875004</v>
      </c>
      <c r="E78" s="272">
        <f ca="1">IF(ISERROR(MATCH(E$1,INDIRECT("Table!A"&amp;$AN78):INDIRECT("Table!" &amp; $AQ$108 &amp; $AN78),0)),"",INDIRECT(CONCATENATE("Table!",ADDRESS($AJ78,MATCH(E$1,INDIRECT("Table!A" &amp; $AN78):INDIRECT("Table!" &amp; $AQ$108 &amp; $AN78),0))))/1024)</f>
        <v>271.51404492187498</v>
      </c>
      <c r="F78" s="272">
        <f ca="1">IF(ISERROR(MATCH(F$1,INDIRECT("Table!A"&amp;$AN78):INDIRECT("Table!" &amp; $AQ$108 &amp; $AN78),0)),"",INDIRECT(CONCATENATE("Table!",ADDRESS($AJ78,MATCH(F$1,INDIRECT("Table!A" &amp; $AN78):INDIRECT("Table!" &amp; $AQ$108 &amp; $AN78),0))))/1024)</f>
        <v>247.8726328125</v>
      </c>
      <c r="G78" s="272">
        <f ca="1">IF(ISERROR(MATCH(G$1,INDIRECT("Table!A"&amp;$AN78):INDIRECT("Table!" &amp; $AQ$108 &amp; $AN78),0)),"",INDIRECT(CONCATENATE("Table!",ADDRESS($AJ78,MATCH(G$1,INDIRECT("Table!A" &amp; $AN78):INDIRECT("Table!" &amp; $AQ$108 &amp; $AN78),0))))/1024)</f>
        <v>442.99659960937498</v>
      </c>
      <c r="H78" s="272">
        <f ca="1">IF(ISERROR(MATCH(H$1,INDIRECT("Table!A"&amp;$AN78):INDIRECT("Table!" &amp; $AQ$108 &amp; $AN78),0)),"",INDIRECT(CONCATENATE("Table!",ADDRESS($AJ78,MATCH(H$1,INDIRECT("Table!A" &amp; $AN78):INDIRECT("Table!" &amp; $AQ$108 &amp; $AN78),0))))/1024)</f>
        <v>139.2472587890625</v>
      </c>
      <c r="I78" s="272">
        <f ca="1">IF(ISERROR(MATCH(I$1,INDIRECT("Table!A"&amp;$AN78):INDIRECT("Table!" &amp; $AQ$85 &amp; $AN78),0)),"",INDIRECT(CONCATENATE("Table!",ADDRESS($AJ78,MATCH(I$1,INDIRECT("Table!A" &amp; $AN78):INDIRECT("Table!" &amp; $AQ$85 &amp; $AN78),0))))/1024)</f>
        <v>12.1499736328125</v>
      </c>
      <c r="J78" s="272" t="str">
        <f ca="1">IF(ISERROR(MATCH(J$1,INDIRECT("Table!A"&amp;$AN78):INDIRECT("Table!" &amp; $AQ$85 &amp; $AN78),0)),"",INDIRECT(CONCATENATE("Table!",ADDRESS($AJ78,MATCH(J$1,INDIRECT("Table!A" &amp; $AN78):INDIRECT("Table!" &amp; $AQ$85 &amp; $AN78),0))))/1024)</f>
        <v/>
      </c>
      <c r="K78" s="272" t="str">
        <f ca="1">IF(ISERROR(MATCH(K$1,INDIRECT("Table!A"&amp;$AN78):INDIRECT("Table!" &amp; $AQ$85 &amp; $AN78),0)),"",INDIRECT(CONCATENATE("Table!",ADDRESS($AJ78,MATCH(K$1,INDIRECT("Table!A" &amp; $AN78):INDIRECT("Table!" &amp; $AQ$85 &amp; $AN78),0))))/1024)</f>
        <v/>
      </c>
      <c r="L78" s="272">
        <f ca="1">IF(ISERROR(MATCH(L$1,INDIRECT("Table!A"&amp;$AN78):INDIRECT("Table!" &amp; $AQ$85 &amp; $AN78),0)),"",INDIRECT(CONCATENATE("Table!",ADDRESS($AJ78,MATCH(L$1,INDIRECT("Table!A" &amp; $AN78):INDIRECT("Table!" &amp; $AQ$85 &amp; $AN78),0))))/1024)</f>
        <v>275.92623046874996</v>
      </c>
      <c r="M78" s="272">
        <f ca="1">IF(ISERROR(MATCH(M$1,INDIRECT("Table!A"&amp;$AN78):INDIRECT("Table!" &amp; $AQ$85 &amp; $AN78),0)),"",INDIRECT(CONCATENATE("Table!",ADDRESS($AJ78,MATCH(M$1,INDIRECT("Table!A" &amp; $AN78):INDIRECT("Table!" &amp; $AQ$85 &amp; $AN78),0))))/1024)</f>
        <v>363.18213867187501</v>
      </c>
      <c r="N78" s="272">
        <f ca="1">IF(ISERROR(MATCH(N$1,INDIRECT("Table!A"&amp;$AN78):INDIRECT("Table!" &amp; $AQ$85 &amp; $AN78),0)),"",INDIRECT(CONCATENATE("Table!",ADDRESS($AJ78,MATCH(N$1,INDIRECT("Table!A" &amp; $AN78):INDIRECT("Table!" &amp; $AQ$85 &amp; $AN78),0))))/1024)</f>
        <v>128.77654980468751</v>
      </c>
      <c r="O78" s="272">
        <f ca="1">IF(ISERROR(MATCH(O$1,INDIRECT("Table!A"&amp;$AN78):INDIRECT("Table!" &amp; $AQ$85 &amp; $AN78),0)),"",INDIRECT(CONCATENATE("Table!",ADDRESS($AJ78,MATCH(O$1,INDIRECT("Table!A" &amp; $AN78):INDIRECT("Table!" &amp; $AQ$85 &amp; $AN78),0))))/1024)</f>
        <v>249.58482421874999</v>
      </c>
      <c r="P78" s="272">
        <f ca="1">IF(ISERROR(MATCH(P$1,INDIRECT("Table!A"&amp;$AN78):INDIRECT("Table!" &amp; $AQ$85 &amp; $AN78),0)),"",INDIRECT(CONCATENATE("Table!",ADDRESS($AJ78,MATCH(P$1,INDIRECT("Table!A" &amp; $AN78):INDIRECT("Table!" &amp; $AQ$85 &amp; $AN78),0))))/1024)</f>
        <v>26.604820312499999</v>
      </c>
      <c r="Q78" s="272" t="str">
        <f ca="1">IF(ISERROR(MATCH(Q$1,INDIRECT("Table!A"&amp;$AN78):INDIRECT("Table!" &amp; $AQ$85 &amp; $AN78),0)),"",INDIRECT(CONCATENATE("Table!",ADDRESS($AJ78,MATCH(Q$1,INDIRECT("Table!A" &amp; $AN78):INDIRECT("Table!" &amp; $AQ$85 &amp; $AN78),0))))/1024)</f>
        <v/>
      </c>
      <c r="R78" s="272" t="str">
        <f ca="1">IF(ISERROR(MATCH(R$1,INDIRECT("Table!A"&amp;$AN78):INDIRECT("Table!" &amp; $AQ$85 &amp; $AN78),0)),"",INDIRECT(CONCATENATE("Table!",ADDRESS($AJ78,MATCH(R$1,INDIRECT("Table!A" &amp; $AN78):INDIRECT("Table!" &amp; $AQ$85 &amp; $AN78),0))))/1024)</f>
        <v/>
      </c>
      <c r="S78" s="595" t="str">
        <f ca="1">IF(ISERROR(MATCH(S$1,INDIRECT("Table!A"&amp;$AN78):INDIRECT("Table!" &amp; $AQ$85 &amp; $AN78),0)),"",INDIRECT(CONCATENATE("Table!",ADDRESS($AJ78,MATCH(S$1,INDIRECT("Table!A" &amp; $AN78):INDIRECT("Table!" &amp; $AQ$85 &amp; $AN78),0))))/1024)</f>
        <v/>
      </c>
      <c r="T78" s="595">
        <f ca="1">IF(ISERROR(MATCH(T$1,INDIRECT("Table!A"&amp;$AN78):INDIRECT("Table!" &amp; $AQ$85 &amp; $AN78),0)),"",INDIRECT(CONCATENATE("Table!",ADDRESS($AJ78,MATCH(T$1,INDIRECT("Table!A" &amp; $AN78):INDIRECT("Table!" &amp; $AQ$85 &amp; $AN78),0))))/1024)</f>
        <v>15.9036240234375</v>
      </c>
      <c r="U78" s="272" t="str">
        <f ca="1">IF(ISERROR(MATCH(U$1,INDIRECT("Table!A"&amp;$AN78):INDIRECT("Table!" &amp; $AQ$85 &amp; $AN78),0)),"",INDIRECT(CONCATENATE("Table!",ADDRESS($AJ78,MATCH(U$1,INDIRECT("Table!A" &amp; $AN78):INDIRECT("Table!" &amp; $AQ$85 &amp; $AN78),0))))/1024)</f>
        <v/>
      </c>
      <c r="V78" s="595"/>
      <c r="W78" s="595"/>
      <c r="X78" s="595"/>
      <c r="Y78" s="595"/>
      <c r="Z78" s="595"/>
      <c r="AA78" s="595"/>
      <c r="AB78" s="595"/>
      <c r="AC78" s="595"/>
      <c r="AD78" s="595"/>
      <c r="AE78" s="595"/>
      <c r="AF78" s="595"/>
      <c r="AG78" s="595"/>
      <c r="AH78" s="595"/>
      <c r="AI78" s="595"/>
      <c r="AJ78" s="272">
        <f>MATCH($A78,Table!$A:$A,0)+$AL$2-1</f>
        <v>1043</v>
      </c>
      <c r="AK78" s="365"/>
      <c r="AL78" s="365"/>
      <c r="AM78" s="365"/>
      <c r="AN78" s="272">
        <f>MATCH($A78,Table!$A:$A,0)+$AP$2-1</f>
        <v>1035</v>
      </c>
      <c r="AO78" s="365"/>
      <c r="AP78" s="365"/>
      <c r="AQ78" s="973" t="s">
        <v>302</v>
      </c>
      <c r="AR78" s="699">
        <f t="shared" ca="1" si="13"/>
        <v>2537.1383964843753</v>
      </c>
      <c r="AS78" s="699">
        <f t="shared" ca="1" si="22"/>
        <v>-4.6426728515625655</v>
      </c>
    </row>
    <row r="79" spans="1:45" s="267" customFormat="1" x14ac:dyDescent="0.25">
      <c r="A79" s="268">
        <v>41390</v>
      </c>
      <c r="B79" s="272">
        <f ca="1">IF(ISERROR(MATCH(B$1,INDIRECT("Table!A"&amp;$AN79):INDIRECT("Table!" &amp; $AQ$108 &amp; $AN79),0)),"",INDIRECT(CONCATENATE("Table!",ADDRESS($AJ79,MATCH(B$1,INDIRECT("Table!A" &amp; $AN79):INDIRECT("Table!" &amp; $AQ$108 &amp; $AN79),0))))/1024)</f>
        <v>188.04471386718748</v>
      </c>
      <c r="C79" s="272">
        <f ca="1">IF(ISERROR(MATCH(C$1,INDIRECT("Table!A"&amp;$AN79):INDIRECT("Table!" &amp; $AQ$108 &amp; $AN79),0)),"",INDIRECT(CONCATENATE("Table!",ADDRESS($AJ79,MATCH(C$1,INDIRECT("Table!A" &amp; $AN79):INDIRECT("Table!" &amp; $AQ$108 &amp; $AN79),0))))/1024)</f>
        <v>87.157127929687491</v>
      </c>
      <c r="D79" s="272">
        <f ca="1">IF(ISERROR(MATCH(D$1,INDIRECT("Table!A"&amp;$AN79):INDIRECT("Table!" &amp; $AQ$108 &amp; $AN79),0)),"",INDIRECT(CONCATENATE("Table!",ADDRESS($AJ79,MATCH(D$1,INDIRECT("Table!A" &amp; $AN79):INDIRECT("Table!" &amp; $AQ$108 &amp; $AN79),0))))/1024)</f>
        <v>88.177857421875004</v>
      </c>
      <c r="E79" s="272">
        <f ca="1">IF(ISERROR(MATCH(E$1,INDIRECT("Table!A"&amp;$AN79):INDIRECT("Table!" &amp; $AQ$108 &amp; $AN79),0)),"",INDIRECT(CONCATENATE("Table!",ADDRESS($AJ79,MATCH(E$1,INDIRECT("Table!A" &amp; $AN79):INDIRECT("Table!" &amp; $AQ$108 &amp; $AN79),0))))/1024)</f>
        <v>271.51404492187498</v>
      </c>
      <c r="F79" s="272">
        <f ca="1">IF(ISERROR(MATCH(F$1,INDIRECT("Table!A"&amp;$AN79):INDIRECT("Table!" &amp; $AQ$108 &amp; $AN79),0)),"",INDIRECT(CONCATENATE("Table!",ADDRESS($AJ79,MATCH(F$1,INDIRECT("Table!A" &amp; $AN79):INDIRECT("Table!" &amp; $AQ$108 &amp; $AN79),0))))/1024)</f>
        <v>247.8726328125</v>
      </c>
      <c r="G79" s="272">
        <f ca="1">IF(ISERROR(MATCH(G$1,INDIRECT("Table!A"&amp;$AN79):INDIRECT("Table!" &amp; $AQ$108 &amp; $AN79),0)),"",INDIRECT(CONCATENATE("Table!",ADDRESS($AJ79,MATCH(G$1,INDIRECT("Table!A" &amp; $AN79):INDIRECT("Table!" &amp; $AQ$108 &amp; $AN79),0))))/1024)</f>
        <v>442.99659960937498</v>
      </c>
      <c r="H79" s="272">
        <f ca="1">IF(ISERROR(MATCH(H$1,INDIRECT("Table!A"&amp;$AN79):INDIRECT("Table!" &amp; $AQ$108 &amp; $AN79),0)),"",INDIRECT(CONCATENATE("Table!",ADDRESS($AJ79,MATCH(H$1,INDIRECT("Table!A" &amp; $AN79):INDIRECT("Table!" &amp; $AQ$108 &amp; $AN79),0))))/1024)</f>
        <v>138.85213769531248</v>
      </c>
      <c r="I79" s="272">
        <f ca="1">IF(ISERROR(MATCH(I$1,INDIRECT("Table!A"&amp;$AN79):INDIRECT("Table!" &amp; $AQ$85 &amp; $AN79),0)),"",INDIRECT(CONCATENATE("Table!",ADDRESS($AJ79,MATCH(I$1,INDIRECT("Table!A" &amp; $AN79):INDIRECT("Table!" &amp; $AQ$85 &amp; $AN79),0))))/1024)</f>
        <v>12.1499736328125</v>
      </c>
      <c r="J79" s="272" t="str">
        <f ca="1">IF(ISERROR(MATCH(J$1,INDIRECT("Table!A"&amp;$AN79):INDIRECT("Table!" &amp; $AQ$85 &amp; $AN79),0)),"",INDIRECT(CONCATENATE("Table!",ADDRESS($AJ79,MATCH(J$1,INDIRECT("Table!A" &amp; $AN79):INDIRECT("Table!" &amp; $AQ$85 &amp; $AN79),0))))/1024)</f>
        <v/>
      </c>
      <c r="K79" s="272" t="str">
        <f ca="1">IF(ISERROR(MATCH(K$1,INDIRECT("Table!A"&amp;$AN79):INDIRECT("Table!" &amp; $AQ$85 &amp; $AN79),0)),"",INDIRECT(CONCATENATE("Table!",ADDRESS($AJ79,MATCH(K$1,INDIRECT("Table!A" &amp; $AN79):INDIRECT("Table!" &amp; $AQ$85 &amp; $AN79),0))))/1024)</f>
        <v/>
      </c>
      <c r="L79" s="272">
        <f ca="1">IF(ISERROR(MATCH(L$1,INDIRECT("Table!A"&amp;$AN79):INDIRECT("Table!" &amp; $AQ$85 &amp; $AN79),0)),"",INDIRECT(CONCATENATE("Table!",ADDRESS($AJ79,MATCH(L$1,INDIRECT("Table!A" &amp; $AN79):INDIRECT("Table!" &amp; $AQ$85 &amp; $AN79),0))))/1024)</f>
        <v>275.92623046874996</v>
      </c>
      <c r="M79" s="272">
        <f ca="1">IF(ISERROR(MATCH(M$1,INDIRECT("Table!A"&amp;$AN79):INDIRECT("Table!" &amp; $AQ$85 &amp; $AN79),0)),"",INDIRECT(CONCATENATE("Table!",ADDRESS($AJ79,MATCH(M$1,INDIRECT("Table!A" &amp; $AN79):INDIRECT("Table!" &amp; $AQ$85 &amp; $AN79),0))))/1024)</f>
        <v>368.6150537109375</v>
      </c>
      <c r="N79" s="272">
        <f ca="1">IF(ISERROR(MATCH(N$1,INDIRECT("Table!A"&amp;$AN79):INDIRECT("Table!" &amp; $AQ$85 &amp; $AN79),0)),"",INDIRECT(CONCATENATE("Table!",ADDRESS($AJ79,MATCH(N$1,INDIRECT("Table!A" &amp; $AN79):INDIRECT("Table!" &amp; $AQ$85 &amp; $AN79),0))))/1024)</f>
        <v>128.77654980468751</v>
      </c>
      <c r="O79" s="272">
        <f ca="1">IF(ISERROR(MATCH(O$1,INDIRECT("Table!A"&amp;$AN79):INDIRECT("Table!" &amp; $AQ$85 &amp; $AN79),0)),"",INDIRECT(CONCATENATE("Table!",ADDRESS($AJ79,MATCH(O$1,INDIRECT("Table!A" &amp; $AN79):INDIRECT("Table!" &amp; $AQ$85 &amp; $AN79),0))))/1024)</f>
        <v>249.18970312499999</v>
      </c>
      <c r="P79" s="272">
        <f ca="1">IF(ISERROR(MATCH(P$1,INDIRECT("Table!A"&amp;$AN79):INDIRECT("Table!" &amp; $AQ$85 &amp; $AN79),0)),"",INDIRECT(CONCATENATE("Table!",ADDRESS($AJ79,MATCH(P$1,INDIRECT("Table!A" &amp; $AN79):INDIRECT("Table!" &amp; $AQ$85 &amp; $AN79),0))))/1024)</f>
        <v>26.604820312499999</v>
      </c>
      <c r="Q79" s="272" t="str">
        <f ca="1">IF(ISERROR(MATCH(Q$1,INDIRECT("Table!A"&amp;$AN79):INDIRECT("Table!" &amp; $AQ$85 &amp; $AN79),0)),"",INDIRECT(CONCATENATE("Table!",ADDRESS($AJ79,MATCH(Q$1,INDIRECT("Table!A" &amp; $AN79):INDIRECT("Table!" &amp; $AQ$85 &amp; $AN79),0))))/1024)</f>
        <v/>
      </c>
      <c r="R79" s="272" t="str">
        <f ca="1">IF(ISERROR(MATCH(R$1,INDIRECT("Table!A"&amp;$AN79):INDIRECT("Table!" &amp; $AQ$85 &amp; $AN79),0)),"",INDIRECT(CONCATENATE("Table!",ADDRESS($AJ79,MATCH(R$1,INDIRECT("Table!A" &amp; $AN79):INDIRECT("Table!" &amp; $AQ$85 &amp; $AN79),0))))/1024)</f>
        <v/>
      </c>
      <c r="S79" s="595" t="str">
        <f ca="1">IF(ISERROR(MATCH(S$1,INDIRECT("Table!A"&amp;$AN79):INDIRECT("Table!" &amp; $AQ$85 &amp; $AN79),0)),"",INDIRECT(CONCATENATE("Table!",ADDRESS($AJ79,MATCH(S$1,INDIRECT("Table!A" &amp; $AN79):INDIRECT("Table!" &amp; $AQ$85 &amp; $AN79),0))))/1024)</f>
        <v/>
      </c>
      <c r="T79" s="595">
        <f ca="1">IF(ISERROR(MATCH(T$1,INDIRECT("Table!A"&amp;$AN79):INDIRECT("Table!" &amp; $AQ$85 &amp; $AN79),0)),"",INDIRECT(CONCATENATE("Table!",ADDRESS($AJ79,MATCH(T$1,INDIRECT("Table!A" &amp; $AN79):INDIRECT("Table!" &amp; $AQ$85 &amp; $AN79),0))))/1024)</f>
        <v>15.9036240234375</v>
      </c>
      <c r="U79" s="272" t="str">
        <f ca="1">IF(ISERROR(MATCH(U$1,INDIRECT("Table!A"&amp;$AN79):INDIRECT("Table!" &amp; $AQ$85 &amp; $AN79),0)),"",INDIRECT(CONCATENATE("Table!",ADDRESS($AJ79,MATCH(U$1,INDIRECT("Table!A" &amp; $AN79):INDIRECT("Table!" &amp; $AQ$85 &amp; $AN79),0))))/1024)</f>
        <v/>
      </c>
      <c r="V79" s="595"/>
      <c r="W79" s="595"/>
      <c r="X79" s="595"/>
      <c r="Y79" s="595"/>
      <c r="Z79" s="595"/>
      <c r="AA79" s="595"/>
      <c r="AB79" s="595"/>
      <c r="AC79" s="595"/>
      <c r="AD79" s="595"/>
      <c r="AE79" s="595"/>
      <c r="AF79" s="595"/>
      <c r="AG79" s="595"/>
      <c r="AH79" s="595"/>
      <c r="AI79" s="595"/>
      <c r="AJ79" s="272">
        <f>MATCH($A79,Table!$A:$A,0)+$AL$2-1</f>
        <v>1055</v>
      </c>
      <c r="AK79" s="364"/>
      <c r="AL79" s="364"/>
      <c r="AM79" s="364"/>
      <c r="AN79" s="272">
        <f>MATCH($A79,Table!$A:$A,0)+$AP$2-1</f>
        <v>1047</v>
      </c>
      <c r="AO79" s="364"/>
      <c r="AP79" s="364"/>
      <c r="AQ79" s="973" t="s">
        <v>302</v>
      </c>
      <c r="AR79" s="699">
        <f t="shared" ca="1" si="13"/>
        <v>2541.7810693359379</v>
      </c>
      <c r="AS79" s="699">
        <f t="shared" ca="1" si="22"/>
        <v>3.9182841796878165</v>
      </c>
    </row>
    <row r="80" spans="1:45" s="267" customFormat="1" x14ac:dyDescent="0.25">
      <c r="A80" s="268">
        <v>41387</v>
      </c>
      <c r="B80" s="272">
        <f ca="1">IF(ISERROR(MATCH(B$1,INDIRECT("Table!A"&amp;$AN80):INDIRECT("Table!" &amp; $AQ$108 &amp; $AN80),0)),"",INDIRECT(CONCATENATE("Table!",ADDRESS($AJ80,MATCH(B$1,INDIRECT("Table!A" &amp; $AN80):INDIRECT("Table!" &amp; $AQ$108 &amp; $AN80),0))))/1024)</f>
        <v>187.748373046875</v>
      </c>
      <c r="C80" s="272">
        <f ca="1">IF(ISERROR(MATCH(C$1,INDIRECT("Table!A"&amp;$AN80):INDIRECT("Table!" &amp; $AQ$108 &amp; $AN80),0)),"",INDIRECT(CONCATENATE("Table!",ADDRESS($AJ80,MATCH(C$1,INDIRECT("Table!A" &amp; $AN80):INDIRECT("Table!" &amp; $AQ$108 &amp; $AN80),0))))/1024)</f>
        <v>87.157127929687491</v>
      </c>
      <c r="D80" s="272">
        <f ca="1">IF(ISERROR(MATCH(D$1,INDIRECT("Table!A"&amp;$AN80):INDIRECT("Table!" &amp; $AQ$108 &amp; $AN80),0)),"",INDIRECT(CONCATENATE("Table!",ADDRESS($AJ80,MATCH(D$1,INDIRECT("Table!A" &amp; $AN80):INDIRECT("Table!" &amp; $AQ$108 &amp; $AN80),0))))/1024)</f>
        <v>88.177857421875004</v>
      </c>
      <c r="E80" s="272">
        <f ca="1">IF(ISERROR(MATCH(E$1,INDIRECT("Table!A"&amp;$AN80):INDIRECT("Table!" &amp; $AQ$108 &amp; $AN80),0)),"",INDIRECT(CONCATENATE("Table!",ADDRESS($AJ80,MATCH(E$1,INDIRECT("Table!A" &amp; $AN80):INDIRECT("Table!" &amp; $AQ$108 &amp; $AN80),0))))/1024)</f>
        <v>271.51404492187498</v>
      </c>
      <c r="F80" s="272">
        <f ca="1">IF(ISERROR(MATCH(F$1,INDIRECT("Table!A"&amp;$AN80):INDIRECT("Table!" &amp; $AQ$108 &amp; $AN80),0)),"",INDIRECT(CONCATENATE("Table!",ADDRESS($AJ80,MATCH(F$1,INDIRECT("Table!A" &amp; $AN80):INDIRECT("Table!" &amp; $AQ$108 &amp; $AN80),0))))/1024)</f>
        <v>247.8726328125</v>
      </c>
      <c r="G80" s="272">
        <f ca="1">IF(ISERROR(MATCH(G$1,INDIRECT("Table!A"&amp;$AN80):INDIRECT("Table!" &amp; $AQ$108 &amp; $AN80),0)),"",INDIRECT(CONCATENATE("Table!",ADDRESS($AJ80,MATCH(G$1,INDIRECT("Table!A" &amp; $AN80):INDIRECT("Table!" &amp; $AQ$108 &amp; $AN80),0))))/1024)</f>
        <v>442.99659960937498</v>
      </c>
      <c r="H80" s="272">
        <f ca="1">IF(ISERROR(MATCH(H$1,INDIRECT("Table!A"&amp;$AN80):INDIRECT("Table!" &amp; $AQ$108 &amp; $AN80),0)),"",INDIRECT(CONCATENATE("Table!",ADDRESS($AJ80,MATCH(H$1,INDIRECT("Table!A" &amp; $AN80):INDIRECT("Table!" &amp; $AQ$108 &amp; $AN80),0))))/1024)</f>
        <v>138.72043066406249</v>
      </c>
      <c r="I80" s="272">
        <f ca="1">IF(ISERROR(MATCH(I$1,INDIRECT("Table!A"&amp;$AN80):INDIRECT("Table!" &amp; $AQ$85 &amp; $AN80),0)),"",INDIRECT(CONCATENATE("Table!",ADDRESS($AJ80,MATCH(I$1,INDIRECT("Table!A" &amp; $AN80):INDIRECT("Table!" &amp; $AQ$85 &amp; $AN80),0))))/1024)</f>
        <v>12.1499736328125</v>
      </c>
      <c r="J80" s="272" t="str">
        <f ca="1">IF(ISERROR(MATCH(J$1,INDIRECT("Table!A"&amp;$AN80):INDIRECT("Table!" &amp; $AQ$85 &amp; $AN80),0)),"",INDIRECT(CONCATENATE("Table!",ADDRESS($AJ80,MATCH(J$1,INDIRECT("Table!A" &amp; $AN80):INDIRECT("Table!" &amp; $AQ$85 &amp; $AN80),0))))/1024)</f>
        <v/>
      </c>
      <c r="K80" s="272" t="str">
        <f ca="1">IF(ISERROR(MATCH(K$1,INDIRECT("Table!A"&amp;$AN80):INDIRECT("Table!" &amp; $AQ$85 &amp; $AN80),0)),"",INDIRECT(CONCATENATE("Table!",ADDRESS($AJ80,MATCH(K$1,INDIRECT("Table!A" &amp; $AN80):INDIRECT("Table!" &amp; $AQ$85 &amp; $AN80),0))))/1024)</f>
        <v/>
      </c>
      <c r="L80" s="272">
        <f ca="1">IF(ISERROR(MATCH(L$1,INDIRECT("Table!A"&amp;$AN80):INDIRECT("Table!" &amp; $AQ$85 &amp; $AN80),0)),"",INDIRECT(CONCATENATE("Table!",ADDRESS($AJ80,MATCH(L$1,INDIRECT("Table!A" &amp; $AN80):INDIRECT("Table!" &amp; $AQ$85 &amp; $AN80),0))))/1024)</f>
        <v>275.92623046874996</v>
      </c>
      <c r="M80" s="272">
        <f ca="1">IF(ISERROR(MATCH(M$1,INDIRECT("Table!A"&amp;$AN80):INDIRECT("Table!" &amp; $AQ$85 &amp; $AN80),0)),"",INDIRECT(CONCATENATE("Table!",ADDRESS($AJ80,MATCH(M$1,INDIRECT("Table!A" &amp; $AN80):INDIRECT("Table!" &amp; $AQ$85 &amp; $AN80),0))))/1024)</f>
        <v>368.6150537109375</v>
      </c>
      <c r="N80" s="272">
        <f ca="1">IF(ISERROR(MATCH(N$1,INDIRECT("Table!A"&amp;$AN80):INDIRECT("Table!" &amp; $AQ$85 &amp; $AN80),0)),"",INDIRECT(CONCATENATE("Table!",ADDRESS($AJ80,MATCH(N$1,INDIRECT("Table!A" &amp; $AN80):INDIRECT("Table!" &amp; $AQ$85 &amp; $AN80),0))))/1024)</f>
        <v>128.77654980468751</v>
      </c>
      <c r="O80" s="272">
        <f ca="1">IF(ISERROR(MATCH(O$1,INDIRECT("Table!A"&amp;$AN80):INDIRECT("Table!" &amp; $AQ$85 &amp; $AN80),0)),"",INDIRECT(CONCATENATE("Table!",ADDRESS($AJ80,MATCH(O$1,INDIRECT("Table!A" &amp; $AN80):INDIRECT("Table!" &amp; $AQ$85 &amp; $AN80),0))))/1024)</f>
        <v>249.05799609374998</v>
      </c>
      <c r="P80" s="272">
        <f ca="1">IF(ISERROR(MATCH(P$1,INDIRECT("Table!A"&amp;$AN80):INDIRECT("Table!" &amp; $AQ$85 &amp; $AN80),0)),"",INDIRECT(CONCATENATE("Table!",ADDRESS($AJ80,MATCH(P$1,INDIRECT("Table!A" &amp; $AN80):INDIRECT("Table!" &amp; $AQ$85 &amp; $AN80),0))))/1024)</f>
        <v>26.604820312499999</v>
      </c>
      <c r="Q80" s="272" t="str">
        <f ca="1">IF(ISERROR(MATCH(Q$1,INDIRECT("Table!A"&amp;$AN80):INDIRECT("Table!" &amp; $AQ$85 &amp; $AN80),0)),"",INDIRECT(CONCATENATE("Table!",ADDRESS($AJ80,MATCH(Q$1,INDIRECT("Table!A" &amp; $AN80):INDIRECT("Table!" &amp; $AQ$85 &amp; $AN80),0))))/1024)</f>
        <v/>
      </c>
      <c r="R80" s="272" t="str">
        <f ca="1">IF(ISERROR(MATCH(R$1,INDIRECT("Table!A"&amp;$AN80):INDIRECT("Table!" &amp; $AQ$85 &amp; $AN80),0)),"",INDIRECT(CONCATENATE("Table!",ADDRESS($AJ80,MATCH(R$1,INDIRECT("Table!A" &amp; $AN80):INDIRECT("Table!" &amp; $AQ$85 &amp; $AN80),0))))/1024)</f>
        <v/>
      </c>
      <c r="S80" s="595" t="str">
        <f ca="1">IF(ISERROR(MATCH(S$1,INDIRECT("Table!A"&amp;$AN80):INDIRECT("Table!" &amp; $AQ$85 &amp; $AN80),0)),"",INDIRECT(CONCATENATE("Table!",ADDRESS($AJ80,MATCH(S$1,INDIRECT("Table!A" &amp; $AN80):INDIRECT("Table!" &amp; $AQ$85 &amp; $AN80),0))))/1024)</f>
        <v/>
      </c>
      <c r="T80" s="595">
        <f ca="1">IF(ISERROR(MATCH(T$1,INDIRECT("Table!A"&amp;$AN80):INDIRECT("Table!" &amp; $AQ$85 &amp; $AN80),0)),"",INDIRECT(CONCATENATE("Table!",ADDRESS($AJ80,MATCH(T$1,INDIRECT("Table!A" &amp; $AN80):INDIRECT("Table!" &amp; $AQ$85 &amp; $AN80),0))))/1024)</f>
        <v>12.5450947265625</v>
      </c>
      <c r="U80" s="272" t="str">
        <f ca="1">IF(ISERROR(MATCH(U$1,INDIRECT("Table!A"&amp;$AN80):INDIRECT("Table!" &amp; $AQ$85 &amp; $AN80),0)),"",INDIRECT(CONCATENATE("Table!",ADDRESS($AJ80,MATCH(U$1,INDIRECT("Table!A" &amp; $AN80):INDIRECT("Table!" &amp; $AQ$85 &amp; $AN80),0))))/1024)</f>
        <v/>
      </c>
      <c r="V80" s="595"/>
      <c r="W80" s="595"/>
      <c r="X80" s="595"/>
      <c r="Y80" s="595"/>
      <c r="Z80" s="595"/>
      <c r="AA80" s="595"/>
      <c r="AB80" s="595"/>
      <c r="AC80" s="595"/>
      <c r="AD80" s="595"/>
      <c r="AE80" s="595"/>
      <c r="AF80" s="595"/>
      <c r="AG80" s="595"/>
      <c r="AH80" s="595"/>
      <c r="AI80" s="595"/>
      <c r="AJ80" s="272">
        <f>MATCH($A80,Table!$A:$A,0)+$AL$2-1</f>
        <v>1067</v>
      </c>
      <c r="AK80" s="363"/>
      <c r="AL80" s="363"/>
      <c r="AM80" s="363"/>
      <c r="AN80" s="272">
        <f>MATCH($A80,Table!$A:$A,0)+$AP$2-1</f>
        <v>1059</v>
      </c>
      <c r="AO80" s="363"/>
      <c r="AP80" s="363"/>
      <c r="AQ80" s="973" t="s">
        <v>302</v>
      </c>
      <c r="AR80" s="699">
        <f t="shared" ca="1" si="13"/>
        <v>2537.8627851562501</v>
      </c>
      <c r="AS80" s="699">
        <f t="shared" ca="1" si="22"/>
        <v>11.886559570312329</v>
      </c>
    </row>
    <row r="81" spans="1:45" s="267" customFormat="1" x14ac:dyDescent="0.25">
      <c r="A81" s="268">
        <v>41383</v>
      </c>
      <c r="B81" s="272">
        <f ca="1">IF(ISERROR(MATCH(B$1,INDIRECT("Table!A"&amp;$AN81):INDIRECT("Table!" &amp; $AQ$108 &amp; $AN81),0)),"",INDIRECT(CONCATENATE("Table!",ADDRESS($AJ81,MATCH(B$1,INDIRECT("Table!A" &amp; $AN81):INDIRECT("Table!" &amp; $AQ$108 &amp; $AN81),0))))/1024)</f>
        <v>187.748373046875</v>
      </c>
      <c r="C81" s="272">
        <f ca="1">IF(ISERROR(MATCH(C$1,INDIRECT("Table!A"&amp;$AN81):INDIRECT("Table!" &amp; $AQ$108 &amp; $AN81),0)),"",INDIRECT(CONCATENATE("Table!",ADDRESS($AJ81,MATCH(C$1,INDIRECT("Table!A" &amp; $AN81):INDIRECT("Table!" &amp; $AQ$108 &amp; $AN81),0))))/1024)</f>
        <v>87.157127929687491</v>
      </c>
      <c r="D81" s="272">
        <f ca="1">IF(ISERROR(MATCH(D$1,INDIRECT("Table!A"&amp;$AN81):INDIRECT("Table!" &amp; $AQ$108 &amp; $AN81),0)),"",INDIRECT(CONCATENATE("Table!",ADDRESS($AJ81,MATCH(D$1,INDIRECT("Table!A" &amp; $AN81):INDIRECT("Table!" &amp; $AQ$108 &amp; $AN81),0))))/1024)</f>
        <v>88.177857421875004</v>
      </c>
      <c r="E81" s="272">
        <f ca="1">IF(ISERROR(MATCH(E$1,INDIRECT("Table!A"&amp;$AN81):INDIRECT("Table!" &amp; $AQ$108 &amp; $AN81),0)),"",INDIRECT(CONCATENATE("Table!",ADDRESS($AJ81,MATCH(E$1,INDIRECT("Table!A" &amp; $AN81):INDIRECT("Table!" &amp; $AQ$108 &amp; $AN81),0))))/1024)</f>
        <v>271.51404492187498</v>
      </c>
      <c r="F81" s="272">
        <f ca="1">IF(ISERROR(MATCH(F$1,INDIRECT("Table!A"&amp;$AN81):INDIRECT("Table!" &amp; $AQ$108 &amp; $AN81),0)),"",INDIRECT(CONCATENATE("Table!",ADDRESS($AJ81,MATCH(F$1,INDIRECT("Table!A" &amp; $AN81):INDIRECT("Table!" &amp; $AQ$108 &amp; $AN81),0))))/1024)</f>
        <v>247.8726328125</v>
      </c>
      <c r="G81" s="272">
        <f ca="1">IF(ISERROR(MATCH(G$1,INDIRECT("Table!A"&amp;$AN81):INDIRECT("Table!" &amp; $AQ$108 &amp; $AN81),0)),"",INDIRECT(CONCATENATE("Table!",ADDRESS($AJ81,MATCH(G$1,INDIRECT("Table!A" &amp; $AN81):INDIRECT("Table!" &amp; $AQ$108 &amp; $AN81),0))))/1024)</f>
        <v>442.99659960937498</v>
      </c>
      <c r="H81" s="272">
        <f ca="1">IF(ISERROR(MATCH(H$1,INDIRECT("Table!A"&amp;$AN81):INDIRECT("Table!" &amp; $AQ$108 &amp; $AN81),0)),"",INDIRECT(CONCATENATE("Table!",ADDRESS($AJ81,MATCH(H$1,INDIRECT("Table!A" &amp; $AN81):INDIRECT("Table!" &amp; $AQ$108 &amp; $AN81),0))))/1024)</f>
        <v>137.63384765625</v>
      </c>
      <c r="I81" s="272">
        <f ca="1">IF(ISERROR(MATCH(I$1,INDIRECT("Table!A"&amp;$AN81):INDIRECT("Table!" &amp; $AQ$85 &amp; $AN81),0)),"",INDIRECT(CONCATENATE("Table!",ADDRESS($AJ81,MATCH(I$1,INDIRECT("Table!A" &amp; $AN81):INDIRECT("Table!" &amp; $AQ$85 &amp; $AN81),0))))/1024)</f>
        <v>12.1499736328125</v>
      </c>
      <c r="J81" s="272" t="str">
        <f ca="1">IF(ISERROR(MATCH(J$1,INDIRECT("Table!A"&amp;$AN81):INDIRECT("Table!" &amp; $AQ$85 &amp; $AN81),0)),"",INDIRECT(CONCATENATE("Table!",ADDRESS($AJ81,MATCH(J$1,INDIRECT("Table!A" &amp; $AN81):INDIRECT("Table!" &amp; $AQ$85 &amp; $AN81),0))))/1024)</f>
        <v/>
      </c>
      <c r="K81" s="272" t="str">
        <f ca="1">IF(ISERROR(MATCH(K$1,INDIRECT("Table!A"&amp;$AN81):INDIRECT("Table!" &amp; $AQ$85 &amp; $AN81),0)),"",INDIRECT(CONCATENATE("Table!",ADDRESS($AJ81,MATCH(K$1,INDIRECT("Table!A" &amp; $AN81):INDIRECT("Table!" &amp; $AQ$85 &amp; $AN81),0))))/1024)</f>
        <v/>
      </c>
      <c r="L81" s="272">
        <f ca="1">IF(ISERROR(MATCH(L$1,INDIRECT("Table!A"&amp;$AN81):INDIRECT("Table!" &amp; $AQ$85 &amp; $AN81),0)),"",INDIRECT(CONCATENATE("Table!",ADDRESS($AJ81,MATCH(L$1,INDIRECT("Table!A" &amp; $AN81):INDIRECT("Table!" &amp; $AQ$85 &amp; $AN81),0))))/1024)</f>
        <v>275.92623046874996</v>
      </c>
      <c r="M81" s="272">
        <f ca="1">IF(ISERROR(MATCH(M$1,INDIRECT("Table!A"&amp;$AN81):INDIRECT("Table!" &amp; $AQ$85 &amp; $AN81),0)),"",INDIRECT(CONCATENATE("Table!",ADDRESS($AJ81,MATCH(M$1,INDIRECT("Table!A" &amp; $AN81):INDIRECT("Table!" &amp; $AQ$85 &amp; $AN81),0))))/1024)</f>
        <v>363.87360058593748</v>
      </c>
      <c r="N81" s="272">
        <f ca="1">IF(ISERROR(MATCH(N$1,INDIRECT("Table!A"&amp;$AN81):INDIRECT("Table!" &amp; $AQ$85 &amp; $AN81),0)),"",INDIRECT(CONCATENATE("Table!",ADDRESS($AJ81,MATCH(N$1,INDIRECT("Table!A" &amp; $AN81):INDIRECT("Table!" &amp; $AQ$85 &amp; $AN81),0))))/1024)</f>
        <v>128.5131357421875</v>
      </c>
      <c r="O81" s="272">
        <f ca="1">IF(ISERROR(MATCH(O$1,INDIRECT("Table!A"&amp;$AN81):INDIRECT("Table!" &amp; $AQ$85 &amp; $AN81),0)),"",INDIRECT(CONCATENATE("Table!",ADDRESS($AJ81,MATCH(O$1,INDIRECT("Table!A" &amp; $AN81):INDIRECT("Table!" &amp; $AQ$85 &amp; $AN81),0))))/1024)</f>
        <v>243.26288671875</v>
      </c>
      <c r="P81" s="272">
        <f ca="1">IF(ISERROR(MATCH(P$1,INDIRECT("Table!A"&amp;$AN81):INDIRECT("Table!" &amp; $AQ$85 &amp; $AN81),0)),"",INDIRECT(CONCATENATE("Table!",ADDRESS($AJ81,MATCH(P$1,INDIRECT("Table!A" &amp; $AN81):INDIRECT("Table!" &amp; $AQ$85 &amp; $AN81),0))))/1024)</f>
        <v>26.604820312499999</v>
      </c>
      <c r="Q81" s="272" t="str">
        <f ca="1">IF(ISERROR(MATCH(Q$1,INDIRECT("Table!A"&amp;$AN81):INDIRECT("Table!" &amp; $AQ$85 &amp; $AN81),0)),"",INDIRECT(CONCATENATE("Table!",ADDRESS($AJ81,MATCH(Q$1,INDIRECT("Table!A" &amp; $AN81):INDIRECT("Table!" &amp; $AQ$85 &amp; $AN81),0))))/1024)</f>
        <v/>
      </c>
      <c r="R81" s="272" t="str">
        <f ca="1">IF(ISERROR(MATCH(R$1,INDIRECT("Table!A"&amp;$AN81):INDIRECT("Table!" &amp; $AQ$85 &amp; $AN81),0)),"",INDIRECT(CONCATENATE("Table!",ADDRESS($AJ81,MATCH(R$1,INDIRECT("Table!A" &amp; $AN81):INDIRECT("Table!" &amp; $AQ$85 &amp; $AN81),0))))/1024)</f>
        <v/>
      </c>
      <c r="S81" s="595" t="str">
        <f ca="1">IF(ISERROR(MATCH(S$1,INDIRECT("Table!A"&amp;$AN81):INDIRECT("Table!" &amp; $AQ$85 &amp; $AN81),0)),"",INDIRECT(CONCATENATE("Table!",ADDRESS($AJ81,MATCH(S$1,INDIRECT("Table!A" &amp; $AN81):INDIRECT("Table!" &amp; $AQ$85 &amp; $AN81),0))))/1024)</f>
        <v/>
      </c>
      <c r="T81" s="595">
        <f ca="1">IF(ISERROR(MATCH(T$1,INDIRECT("Table!A"&amp;$AN81):INDIRECT("Table!" &amp; $AQ$85 &amp; $AN81),0)),"",INDIRECT(CONCATENATE("Table!",ADDRESS($AJ81,MATCH(T$1,INDIRECT("Table!A" &amp; $AN81):INDIRECT("Table!" &amp; $AQ$85 &amp; $AN81),0))))/1024)</f>
        <v>12.5450947265625</v>
      </c>
      <c r="U81" s="272" t="str">
        <f ca="1">IF(ISERROR(MATCH(U$1,INDIRECT("Table!A"&amp;$AN81):INDIRECT("Table!" &amp; $AQ$85 &amp; $AN81),0)),"",INDIRECT(CONCATENATE("Table!",ADDRESS($AJ81,MATCH(U$1,INDIRECT("Table!A" &amp; $AN81):INDIRECT("Table!" &amp; $AQ$85 &amp; $AN81),0))))/1024)</f>
        <v/>
      </c>
      <c r="V81" s="595"/>
      <c r="W81" s="595"/>
      <c r="X81" s="595"/>
      <c r="Y81" s="595"/>
      <c r="Z81" s="595"/>
      <c r="AA81" s="595"/>
      <c r="AB81" s="595"/>
      <c r="AC81" s="595"/>
      <c r="AD81" s="595"/>
      <c r="AE81" s="595"/>
      <c r="AF81" s="595"/>
      <c r="AG81" s="595"/>
      <c r="AH81" s="595"/>
      <c r="AI81" s="595"/>
      <c r="AJ81" s="272">
        <f>MATCH($A81,Table!$A:$A,0)+$AL$2-1</f>
        <v>1079</v>
      </c>
      <c r="AK81" s="362"/>
      <c r="AL81" s="362"/>
      <c r="AM81" s="362"/>
      <c r="AN81" s="272">
        <f>MATCH($A81,Table!$A:$A,0)+$AP$2-1</f>
        <v>1071</v>
      </c>
      <c r="AO81" s="362"/>
      <c r="AP81" s="362"/>
      <c r="AQ81" s="973" t="s">
        <v>302</v>
      </c>
      <c r="AR81" s="699">
        <f t="shared" ca="1" si="13"/>
        <v>2525.9762255859378</v>
      </c>
      <c r="AS81" s="699">
        <f t="shared" ca="1" si="22"/>
        <v>6.7170585937501528</v>
      </c>
    </row>
    <row r="82" spans="1:45" s="267" customFormat="1" x14ac:dyDescent="0.25">
      <c r="A82" s="268">
        <v>41379</v>
      </c>
      <c r="B82" s="272">
        <f ca="1">IF(ISERROR(MATCH(B$1,INDIRECT("Table!A"&amp;$AN82):INDIRECT("Table!" &amp; $AQ$108 &amp; $AN82),0)),"",INDIRECT(CONCATENATE("Table!",ADDRESS($AJ82,MATCH(B$1,INDIRECT("Table!A" &amp; $AN82):INDIRECT("Table!" &amp; $AQ$108 &amp; $AN82),0))))/1024)</f>
        <v>187.748373046875</v>
      </c>
      <c r="C82" s="272">
        <f ca="1">IF(ISERROR(MATCH(C$1,INDIRECT("Table!A"&amp;$AN82):INDIRECT("Table!" &amp; $AQ$108 &amp; $AN82),0)),"",INDIRECT(CONCATENATE("Table!",ADDRESS($AJ82,MATCH(C$1,INDIRECT("Table!A" &amp; $AN82):INDIRECT("Table!" &amp; $AQ$108 &amp; $AN82),0))))/1024)</f>
        <v>87.157127929687491</v>
      </c>
      <c r="D82" s="272">
        <f ca="1">IF(ISERROR(MATCH(D$1,INDIRECT("Table!A"&amp;$AN82):INDIRECT("Table!" &amp; $AQ$108 &amp; $AN82),0)),"",INDIRECT(CONCATENATE("Table!",ADDRESS($AJ82,MATCH(D$1,INDIRECT("Table!A" &amp; $AN82):INDIRECT("Table!" &amp; $AQ$108 &amp; $AN82),0))))/1024)</f>
        <v>88.177857421875004</v>
      </c>
      <c r="E82" s="272">
        <f ca="1">IF(ISERROR(MATCH(E$1,INDIRECT("Table!A"&amp;$AN82):INDIRECT("Table!" &amp; $AQ$108 &amp; $AN82),0)),"",INDIRECT(CONCATENATE("Table!",ADDRESS($AJ82,MATCH(E$1,INDIRECT("Table!A" &amp; $AN82):INDIRECT("Table!" &amp; $AQ$108 &amp; $AN82),0))))/1024)</f>
        <v>270.32868164062501</v>
      </c>
      <c r="F82" s="272">
        <f ca="1">IF(ISERROR(MATCH(F$1,INDIRECT("Table!A"&amp;$AN82):INDIRECT("Table!" &amp; $AQ$108 &amp; $AN82),0)),"",INDIRECT(CONCATENATE("Table!",ADDRESS($AJ82,MATCH(F$1,INDIRECT("Table!A" &amp; $AN82):INDIRECT("Table!" &amp; $AQ$108 &amp; $AN82),0))))/1024)</f>
        <v>247.34580468749999</v>
      </c>
      <c r="G82" s="272">
        <f ca="1">IF(ISERROR(MATCH(G$1,INDIRECT("Table!A"&amp;$AN82):INDIRECT("Table!" &amp; $AQ$108 &amp; $AN82),0)),"",INDIRECT(CONCATENATE("Table!",ADDRESS($AJ82,MATCH(G$1,INDIRECT("Table!A" &amp; $AN82):INDIRECT("Table!" &amp; $AQ$108 &amp; $AN82),0))))/1024)</f>
        <v>442.7002587890625</v>
      </c>
      <c r="H82" s="272">
        <f ca="1">IF(ISERROR(MATCH(H$1,INDIRECT("Table!A"&amp;$AN82):INDIRECT("Table!" &amp; $AQ$108 &amp; $AN82),0)),"",INDIRECT(CONCATENATE("Table!",ADDRESS($AJ82,MATCH(H$1,INDIRECT("Table!A" &amp; $AN82):INDIRECT("Table!" &amp; $AQ$108 &amp; $AN82),0))))/1024)</f>
        <v>132.92532128906248</v>
      </c>
      <c r="I82" s="272">
        <f ca="1">IF(ISERROR(MATCH(I$1,INDIRECT("Table!A"&amp;$AN82):INDIRECT("Table!" &amp; $AQ$85 &amp; $AN82),0)),"",INDIRECT(CONCATENATE("Table!",ADDRESS($AJ82,MATCH(I$1,INDIRECT("Table!A" &amp; $AN82):INDIRECT("Table!" &amp; $AQ$85 &amp; $AN82),0))))/1024)</f>
        <v>12.1499736328125</v>
      </c>
      <c r="J82" s="272" t="str">
        <f ca="1">IF(ISERROR(MATCH(J$1,INDIRECT("Table!A"&amp;$AN82):INDIRECT("Table!" &amp; $AQ$85 &amp; $AN82),0)),"",INDIRECT(CONCATENATE("Table!",ADDRESS($AJ82,MATCH(J$1,INDIRECT("Table!A" &amp; $AN82):INDIRECT("Table!" &amp; $AQ$85 &amp; $AN82),0))))/1024)</f>
        <v/>
      </c>
      <c r="K82" s="272" t="str">
        <f ca="1">IF(ISERROR(MATCH(K$1,INDIRECT("Table!A"&amp;$AN82):INDIRECT("Table!" &amp; $AQ$85 &amp; $AN82),0)),"",INDIRECT(CONCATENATE("Table!",ADDRESS($AJ82,MATCH(K$1,INDIRECT("Table!A" &amp; $AN82):INDIRECT("Table!" &amp; $AQ$85 &amp; $AN82),0))))/1024)</f>
        <v/>
      </c>
      <c r="L82" s="272">
        <f ca="1">IF(ISERROR(MATCH(L$1,INDIRECT("Table!A"&amp;$AN82):INDIRECT("Table!" &amp; $AQ$85 &amp; $AN82),0)),"",INDIRECT(CONCATENATE("Table!",ADDRESS($AJ82,MATCH(L$1,INDIRECT("Table!A" &amp; $AN82):INDIRECT("Table!" &amp; $AQ$85 &amp; $AN82),0))))/1024)</f>
        <v>275.92623046874996</v>
      </c>
      <c r="M82" s="272">
        <f ca="1">IF(ISERROR(MATCH(M$1,INDIRECT("Table!A"&amp;$AN82):INDIRECT("Table!" &amp; $AQ$85 &amp; $AN82),0)),"",INDIRECT(CONCATENATE("Table!",ADDRESS($AJ82,MATCH(M$1,INDIRECT("Table!A" &amp; $AN82):INDIRECT("Table!" &amp; $AQ$85 &amp; $AN82),0))))/1024)</f>
        <v>363.87360058593748</v>
      </c>
      <c r="N82" s="272">
        <f ca="1">IF(ISERROR(MATCH(N$1,INDIRECT("Table!A"&amp;$AN82):INDIRECT("Table!" &amp; $AQ$85 &amp; $AN82),0)),"",INDIRECT(CONCATENATE("Table!",ADDRESS($AJ82,MATCH(N$1,INDIRECT("Table!A" &amp; $AN82):INDIRECT("Table!" &amp; $AQ$85 &amp; $AN82),0))))/1024)</f>
        <v>128.5131357421875</v>
      </c>
      <c r="O82" s="272">
        <f ca="1">IF(ISERROR(MATCH(O$1,INDIRECT("Table!A"&amp;$AN82):INDIRECT("Table!" &amp; $AQ$85 &amp; $AN82),0)),"",INDIRECT(CONCATENATE("Table!",ADDRESS($AJ82,MATCH(O$1,INDIRECT("Table!A" &amp; $AN82):INDIRECT("Table!" &amp; $AQ$85 &amp; $AN82),0))))/1024)</f>
        <v>243.26288671875</v>
      </c>
      <c r="P82" s="272">
        <f ca="1">IF(ISERROR(MATCH(P$1,INDIRECT("Table!A"&amp;$AN82):INDIRECT("Table!" &amp; $AQ$85 &amp; $AN82),0)),"",INDIRECT(CONCATENATE("Table!",ADDRESS($AJ82,MATCH(P$1,INDIRECT("Table!A" &amp; $AN82):INDIRECT("Table!" &amp; $AQ$85 &amp; $AN82),0))))/1024)</f>
        <v>26.604820312499999</v>
      </c>
      <c r="Q82" s="272" t="str">
        <f ca="1">IF(ISERROR(MATCH(Q$1,INDIRECT("Table!A"&amp;$AN82):INDIRECT("Table!" &amp; $AQ$85 &amp; $AN82),0)),"",INDIRECT(CONCATENATE("Table!",ADDRESS($AJ82,MATCH(Q$1,INDIRECT("Table!A" &amp; $AN82):INDIRECT("Table!" &amp; $AQ$85 &amp; $AN82),0))))/1024)</f>
        <v/>
      </c>
      <c r="R82" s="272" t="str">
        <f ca="1">IF(ISERROR(MATCH(R$1,INDIRECT("Table!A"&amp;$AN82):INDIRECT("Table!" &amp; $AQ$85 &amp; $AN82),0)),"",INDIRECT(CONCATENATE("Table!",ADDRESS($AJ82,MATCH(R$1,INDIRECT("Table!A" &amp; $AN82):INDIRECT("Table!" &amp; $AQ$85 &amp; $AN82),0))))/1024)</f>
        <v/>
      </c>
      <c r="S82" s="595" t="str">
        <f ca="1">IF(ISERROR(MATCH(S$1,INDIRECT("Table!A"&amp;$AN82):INDIRECT("Table!" &amp; $AQ$85 &amp; $AN82),0)),"",INDIRECT(CONCATENATE("Table!",ADDRESS($AJ82,MATCH(S$1,INDIRECT("Table!A" &amp; $AN82):INDIRECT("Table!" &amp; $AQ$85 &amp; $AN82),0))))/1024)</f>
        <v/>
      </c>
      <c r="T82" s="595">
        <f ca="1">IF(ISERROR(MATCH(T$1,INDIRECT("Table!A"&amp;$AN82):INDIRECT("Table!" &amp; $AQ$85 &amp; $AN82),0)),"",INDIRECT(CONCATENATE("Table!",ADDRESS($AJ82,MATCH(T$1,INDIRECT("Table!A" &amp; $AN82):INDIRECT("Table!" &amp; $AQ$85 &amp; $AN82),0))))/1024)</f>
        <v>12.5450947265625</v>
      </c>
      <c r="U82" s="272" t="str">
        <f ca="1">IF(ISERROR(MATCH(U$1,INDIRECT("Table!A"&amp;$AN82):INDIRECT("Table!" &amp; $AQ$85 &amp; $AN82),0)),"",INDIRECT(CONCATENATE("Table!",ADDRESS($AJ82,MATCH(U$1,INDIRECT("Table!A" &amp; $AN82):INDIRECT("Table!" &amp; $AQ$85 &amp; $AN82),0))))/1024)</f>
        <v/>
      </c>
      <c r="V82" s="595"/>
      <c r="W82" s="595"/>
      <c r="X82" s="595"/>
      <c r="Y82" s="595"/>
      <c r="Z82" s="595"/>
      <c r="AA82" s="595"/>
      <c r="AB82" s="595"/>
      <c r="AC82" s="595"/>
      <c r="AD82" s="595"/>
      <c r="AE82" s="595"/>
      <c r="AF82" s="595"/>
      <c r="AG82" s="595"/>
      <c r="AH82" s="595"/>
      <c r="AI82" s="595"/>
      <c r="AJ82" s="272">
        <f>MATCH($A82,Table!$A:$A,0)+$AL$2-1</f>
        <v>1091</v>
      </c>
      <c r="AK82" s="361"/>
      <c r="AL82" s="361"/>
      <c r="AM82" s="361"/>
      <c r="AN82" s="272">
        <f>MATCH($A82,Table!$A:$A,0)+$AP$2-1</f>
        <v>1083</v>
      </c>
      <c r="AO82" s="361"/>
      <c r="AP82" s="361"/>
      <c r="AQ82" s="973" t="s">
        <v>302</v>
      </c>
      <c r="AR82" s="699">
        <f t="shared" ca="1" si="13"/>
        <v>2519.2591669921876</v>
      </c>
      <c r="AS82" s="699">
        <f t="shared" ca="1" si="22"/>
        <v>5.7951093749998108</v>
      </c>
    </row>
    <row r="83" spans="1:45" s="267" customFormat="1" x14ac:dyDescent="0.25">
      <c r="A83" s="268">
        <v>41374</v>
      </c>
      <c r="B83" s="272">
        <f ca="1">IF(ISERROR(MATCH(B$1,INDIRECT("Table!A"&amp;$AN83):INDIRECT("Table!" &amp; $AQ$108 &amp; $AN83),0)),"",INDIRECT(CONCATENATE("Table!",ADDRESS($AJ83,MATCH(B$1,INDIRECT("Table!A" &amp; $AN83):INDIRECT("Table!" &amp; $AQ$108 &amp; $AN83),0))))/1024)</f>
        <v>187.748373046875</v>
      </c>
      <c r="C83" s="272">
        <f ca="1">IF(ISERROR(MATCH(C$1,INDIRECT("Table!A"&amp;$AN83):INDIRECT("Table!" &amp; $AQ$108 &amp; $AN83),0)),"",INDIRECT(CONCATENATE("Table!",ADDRESS($AJ83,MATCH(C$1,INDIRECT("Table!A" &amp; $AN83):INDIRECT("Table!" &amp; $AQ$108 &amp; $AN83),0))))/1024)</f>
        <v>87.157127929687491</v>
      </c>
      <c r="D83" s="272">
        <f ca="1">IF(ISERROR(MATCH(D$1,INDIRECT("Table!A"&amp;$AN83):INDIRECT("Table!" &amp; $AQ$108 &amp; $AN83),0)),"",INDIRECT(CONCATENATE("Table!",ADDRESS($AJ83,MATCH(D$1,INDIRECT("Table!A" &amp; $AN83):INDIRECT("Table!" &amp; $AQ$108 &amp; $AN83),0))))/1024)</f>
        <v>88.177857421875004</v>
      </c>
      <c r="E83" s="272">
        <f ca="1">IF(ISERROR(MATCH(E$1,INDIRECT("Table!A"&amp;$AN83):INDIRECT("Table!" &amp; $AQ$108 &amp; $AN83),0)),"",INDIRECT(CONCATENATE("Table!",ADDRESS($AJ83,MATCH(E$1,INDIRECT("Table!A" &amp; $AN83):INDIRECT("Table!" &amp; $AQ$108 &amp; $AN83),0))))/1024)</f>
        <v>271.51404492187498</v>
      </c>
      <c r="F83" s="272">
        <f ca="1">IF(ISERROR(MATCH(F$1,INDIRECT("Table!A"&amp;$AN83):INDIRECT("Table!" &amp; $AQ$108 &amp; $AN83),0)),"",INDIRECT(CONCATENATE("Table!",ADDRESS($AJ83,MATCH(F$1,INDIRECT("Table!A" &amp; $AN83):INDIRECT("Table!" &amp; $AQ$108 &amp; $AN83),0))))/1024)</f>
        <v>247.675072265625</v>
      </c>
      <c r="G83" s="272">
        <f ca="1">IF(ISERROR(MATCH(G$1,INDIRECT("Table!A"&amp;$AN83):INDIRECT("Table!" &amp; $AQ$108 &amp; $AN83),0)),"",INDIRECT(CONCATENATE("Table!",ADDRESS($AJ83,MATCH(G$1,INDIRECT("Table!A" &amp; $AN83):INDIRECT("Table!" &amp; $AQ$108 &amp; $AN83),0))))/1024)</f>
        <v>441.67952929687499</v>
      </c>
      <c r="H83" s="272">
        <f ca="1">IF(ISERROR(MATCH(H$1,INDIRECT("Table!A"&amp;$AN83):INDIRECT("Table!" &amp; $AQ$108 &amp; $AN83),0)),"",INDIRECT(CONCATENATE("Table!",ADDRESS($AJ83,MATCH(H$1,INDIRECT("Table!A" &amp; $AN83):INDIRECT("Table!" &amp; $AQ$108 &amp; $AN83),0))))/1024)</f>
        <v>130.587521484375</v>
      </c>
      <c r="I83" s="272">
        <f ca="1">IF(ISERROR(MATCH(I$1,INDIRECT("Table!A"&amp;$AN83):INDIRECT("Table!" &amp; $AQ$85 &amp; $AN83),0)),"",INDIRECT(CONCATENATE("Table!",ADDRESS($AJ83,MATCH(I$1,INDIRECT("Table!A" &amp; $AN83):INDIRECT("Table!" &amp; $AQ$85 &amp; $AN83),0))))/1024)</f>
        <v>10.240221679687499</v>
      </c>
      <c r="J83" s="272" t="str">
        <f ca="1">IF(ISERROR(MATCH(J$1,INDIRECT("Table!A"&amp;$AN83):INDIRECT("Table!" &amp; $AQ$85 &amp; $AN83),0)),"",INDIRECT(CONCATENATE("Table!",ADDRESS($AJ83,MATCH(J$1,INDIRECT("Table!A" &amp; $AN83):INDIRECT("Table!" &amp; $AQ$85 &amp; $AN83),0))))/1024)</f>
        <v/>
      </c>
      <c r="K83" s="272" t="str">
        <f ca="1">IF(ISERROR(MATCH(K$1,INDIRECT("Table!A"&amp;$AN83):INDIRECT("Table!" &amp; $AQ$85 &amp; $AN83),0)),"",INDIRECT(CONCATENATE("Table!",ADDRESS($AJ83,MATCH(K$1,INDIRECT("Table!A" &amp; $AN83):INDIRECT("Table!" &amp; $AQ$85 &amp; $AN83),0))))/1024)</f>
        <v/>
      </c>
      <c r="L83" s="272">
        <f ca="1">IF(ISERROR(MATCH(L$1,INDIRECT("Table!A"&amp;$AN83):INDIRECT("Table!" &amp; $AQ$85 &amp; $AN83),0)),"",INDIRECT(CONCATENATE("Table!",ADDRESS($AJ83,MATCH(L$1,INDIRECT("Table!A" &amp; $AN83):INDIRECT("Table!" &amp; $AQ$85 &amp; $AN83),0))))/1024)</f>
        <v>276.650619140625</v>
      </c>
      <c r="M83" s="272">
        <f ca="1">IF(ISERROR(MATCH(M$1,INDIRECT("Table!A"&amp;$AN83):INDIRECT("Table!" &amp; $AQ$85 &amp; $AN83),0)),"",INDIRECT(CONCATENATE("Table!",ADDRESS($AJ83,MATCH(M$1,INDIRECT("Table!A" &amp; $AN83):INDIRECT("Table!" &amp; $AQ$85 &amp; $AN83),0))))/1024)</f>
        <v>363.97238085937499</v>
      </c>
      <c r="N83" s="272">
        <f ca="1">IF(ISERROR(MATCH(N$1,INDIRECT("Table!A"&amp;$AN83):INDIRECT("Table!" &amp; $AQ$85 &amp; $AN83),0)),"",INDIRECT(CONCATENATE("Table!",ADDRESS($AJ83,MATCH(N$1,INDIRECT("Table!A" &amp; $AN83):INDIRECT("Table!" &amp; $AQ$85 &amp; $AN83),0))))/1024)</f>
        <v>129.07289062499999</v>
      </c>
      <c r="O83" s="272">
        <f ca="1">IF(ISERROR(MATCH(O$1,INDIRECT("Table!A"&amp;$AN83):INDIRECT("Table!" &amp; $AQ$85 &amp; $AN83),0)),"",INDIRECT(CONCATENATE("Table!",ADDRESS($AJ83,MATCH(O$1,INDIRECT("Table!A" &amp; $AN83):INDIRECT("Table!" &amp; $AQ$85 &amp; $AN83),0))))/1024)</f>
        <v>239.83850390625</v>
      </c>
      <c r="P83" s="272">
        <f ca="1">IF(ISERROR(MATCH(P$1,INDIRECT("Table!A"&amp;$AN83):INDIRECT("Table!" &amp; $AQ$85 &amp; $AN83),0)),"",INDIRECT(CONCATENATE("Table!",ADDRESS($AJ83,MATCH(P$1,INDIRECT("Table!A" &amp; $AN83):INDIRECT("Table!" &amp; $AQ$85 &amp; $AN83),0))))/1024)</f>
        <v>26.604820312499999</v>
      </c>
      <c r="Q83" s="272" t="str">
        <f ca="1">IF(ISERROR(MATCH(Q$1,INDIRECT("Table!A"&amp;$AN83):INDIRECT("Table!" &amp; $AQ$85 &amp; $AN83),0)),"",INDIRECT(CONCATENATE("Table!",ADDRESS($AJ83,MATCH(Q$1,INDIRECT("Table!A" &amp; $AN83):INDIRECT("Table!" &amp; $AQ$85 &amp; $AN83),0))))/1024)</f>
        <v/>
      </c>
      <c r="R83" s="272" t="str">
        <f ca="1">IF(ISERROR(MATCH(R$1,INDIRECT("Table!A"&amp;$AN83):INDIRECT("Table!" &amp; $AQ$85 &amp; $AN83),0)),"",INDIRECT(CONCATENATE("Table!",ADDRESS($AJ83,MATCH(R$1,INDIRECT("Table!A" &amp; $AN83):INDIRECT("Table!" &amp; $AQ$85 &amp; $AN83),0))))/1024)</f>
        <v/>
      </c>
      <c r="S83" s="595" t="str">
        <f ca="1">IF(ISERROR(MATCH(S$1,INDIRECT("Table!A"&amp;$AN83):INDIRECT("Table!" &amp; $AQ$85 &amp; $AN83),0)),"",INDIRECT(CONCATENATE("Table!",ADDRESS($AJ83,MATCH(S$1,INDIRECT("Table!A" &amp; $AN83):INDIRECT("Table!" &amp; $AQ$85 &amp; $AN83),0))))/1024)</f>
        <v/>
      </c>
      <c r="T83" s="595">
        <f ca="1">IF(ISERROR(MATCH(T$1,INDIRECT("Table!A"&amp;$AN83):INDIRECT("Table!" &amp; $AQ$85 &amp; $AN83),0)),"",INDIRECT(CONCATENATE("Table!",ADDRESS($AJ83,MATCH(T$1,INDIRECT("Table!A" &amp; $AN83):INDIRECT("Table!" &amp; $AQ$85 &amp; $AN83),0))))/1024)</f>
        <v>12.5450947265625</v>
      </c>
      <c r="U83" s="272" t="str">
        <f ca="1">IF(ISERROR(MATCH(U$1,INDIRECT("Table!A"&amp;$AN83):INDIRECT("Table!" &amp; $AQ$85 &amp; $AN83),0)),"",INDIRECT(CONCATENATE("Table!",ADDRESS($AJ83,MATCH(U$1,INDIRECT("Table!A" &amp; $AN83):INDIRECT("Table!" &amp; $AQ$85 &amp; $AN83),0))))/1024)</f>
        <v/>
      </c>
      <c r="V83" s="595"/>
      <c r="W83" s="595"/>
      <c r="X83" s="595"/>
      <c r="Y83" s="595"/>
      <c r="Z83" s="595"/>
      <c r="AA83" s="595"/>
      <c r="AB83" s="595"/>
      <c r="AC83" s="595"/>
      <c r="AD83" s="595"/>
      <c r="AE83" s="595"/>
      <c r="AF83" s="595"/>
      <c r="AG83" s="595"/>
      <c r="AH83" s="595"/>
      <c r="AI83" s="595"/>
      <c r="AJ83" s="272">
        <f>MATCH($A83,Table!$A:$A,0)+$AL$2-1</f>
        <v>1103</v>
      </c>
      <c r="AK83" s="360"/>
      <c r="AL83" s="360"/>
      <c r="AM83" s="360"/>
      <c r="AN83" s="272">
        <f>MATCH($A83,Table!$A:$A,0)+$AP$2-1</f>
        <v>1095</v>
      </c>
      <c r="AO83" s="360"/>
      <c r="AP83" s="360"/>
      <c r="AQ83" s="973" t="s">
        <v>302</v>
      </c>
      <c r="AR83" s="699">
        <f t="shared" ca="1" si="13"/>
        <v>2513.4640576171878</v>
      </c>
      <c r="AS83" s="699">
        <f t="shared" ca="1" si="22"/>
        <v>7.63900781250004</v>
      </c>
    </row>
    <row r="84" spans="1:45" s="267" customFormat="1" x14ac:dyDescent="0.25">
      <c r="A84" s="268">
        <v>41373</v>
      </c>
      <c r="B84" s="272">
        <f ca="1">IF(ISERROR(MATCH(B$1,INDIRECT("Table!A"&amp;$AN84):INDIRECT("Table!" &amp; $AQ$108 &amp; $AN84),0)),"",INDIRECT(CONCATENATE("Table!",ADDRESS($AJ84,MATCH(B$1,INDIRECT("Table!A" &amp; $AN84):INDIRECT("Table!" &amp; $AQ$108 &amp; $AN84),0))))/1024)</f>
        <v>187.748373046875</v>
      </c>
      <c r="C84" s="272">
        <f ca="1">IF(ISERROR(MATCH(C$1,INDIRECT("Table!A"&amp;$AN84):INDIRECT("Table!" &amp; $AQ$108 &amp; $AN84),0)),"",INDIRECT(CONCATENATE("Table!",ADDRESS($AJ84,MATCH(C$1,INDIRECT("Table!A" &amp; $AN84):INDIRECT("Table!" &amp; $AQ$108 &amp; $AN84),0))))/1024)</f>
        <v>87.157127929687491</v>
      </c>
      <c r="D84" s="272">
        <f ca="1">IF(ISERROR(MATCH(D$1,INDIRECT("Table!A"&amp;$AN84):INDIRECT("Table!" &amp; $AQ$108 &amp; $AN84),0)),"",INDIRECT(CONCATENATE("Table!",ADDRESS($AJ84,MATCH(D$1,INDIRECT("Table!A" &amp; $AN84):INDIRECT("Table!" &amp; $AQ$108 &amp; $AN84),0))))/1024)</f>
        <v>88.177857421875004</v>
      </c>
      <c r="E84" s="272">
        <f ca="1">IF(ISERROR(MATCH(E$1,INDIRECT("Table!A"&amp;$AN84):INDIRECT("Table!" &amp; $AQ$108 &amp; $AN84),0)),"",INDIRECT(CONCATENATE("Table!",ADDRESS($AJ84,MATCH(E$1,INDIRECT("Table!A" &amp; $AN84):INDIRECT("Table!" &amp; $AQ$108 &amp; $AN84),0))))/1024)</f>
        <v>271.51404492187498</v>
      </c>
      <c r="F84" s="272">
        <f ca="1">IF(ISERROR(MATCH(F$1,INDIRECT("Table!A"&amp;$AN84):INDIRECT("Table!" &amp; $AQ$108 &amp; $AN84),0)),"",INDIRECT(CONCATENATE("Table!",ADDRESS($AJ84,MATCH(F$1,INDIRECT("Table!A" &amp; $AN84):INDIRECT("Table!" &amp; $AQ$108 &amp; $AN84),0))))/1024)</f>
        <v>246.68726953125</v>
      </c>
      <c r="G84" s="272">
        <f ca="1">IF(ISERROR(MATCH(G$1,INDIRECT("Table!A"&amp;$AN84):INDIRECT("Table!" &amp; $AQ$108 &amp; $AN84),0)),"",INDIRECT(CONCATENATE("Table!",ADDRESS($AJ84,MATCH(G$1,INDIRECT("Table!A" &amp; $AN84):INDIRECT("Table!" &amp; $AQ$108 &amp; $AN84),0))))/1024)</f>
        <v>441.67952929687499</v>
      </c>
      <c r="H84" s="272">
        <f ca="1">IF(ISERROR(MATCH(H$1,INDIRECT("Table!A"&amp;$AN84):INDIRECT("Table!" &amp; $AQ$108 &amp; $AN84),0)),"",INDIRECT(CONCATENATE("Table!",ADDRESS($AJ84,MATCH(H$1,INDIRECT("Table!A" &amp; $AN84):INDIRECT("Table!" &amp; $AQ$108 &amp; $AN84),0))))/1024)</f>
        <v>130.02776660156249</v>
      </c>
      <c r="I84" s="272">
        <f ca="1">IF(ISERROR(MATCH(I$1,INDIRECT("Table!A"&amp;$AN84):INDIRECT("Table!" &amp; $AQ$85 &amp; $AN84),0)),"",INDIRECT(CONCATENATE("Table!",ADDRESS($AJ84,MATCH(I$1,INDIRECT("Table!A" &amp; $AN84):INDIRECT("Table!" &amp; $AQ$85 &amp; $AN84),0))))/1024)</f>
        <v>9.4170527343749999</v>
      </c>
      <c r="J84" s="272" t="str">
        <f ca="1">IF(ISERROR(MATCH(J$1,INDIRECT("Table!A"&amp;$AN84):INDIRECT("Table!" &amp; $AQ$85 &amp; $AN84),0)),"",INDIRECT(CONCATENATE("Table!",ADDRESS($AJ84,MATCH(J$1,INDIRECT("Table!A" &amp; $AN84):INDIRECT("Table!" &amp; $AQ$85 &amp; $AN84),0))))/1024)</f>
        <v/>
      </c>
      <c r="K84" s="272" t="str">
        <f ca="1">IF(ISERROR(MATCH(K$1,INDIRECT("Table!A"&amp;$AN84):INDIRECT("Table!" &amp; $AQ$85 &amp; $AN84),0)),"",INDIRECT(CONCATENATE("Table!",ADDRESS($AJ84,MATCH(K$1,INDIRECT("Table!A" &amp; $AN84):INDIRECT("Table!" &amp; $AQ$85 &amp; $AN84),0))))/1024)</f>
        <v/>
      </c>
      <c r="L84" s="272">
        <f ca="1">IF(ISERROR(MATCH(L$1,INDIRECT("Table!A"&amp;$AN84):INDIRECT("Table!" &amp; $AQ$85 &amp; $AN84),0)),"",INDIRECT(CONCATENATE("Table!",ADDRESS($AJ84,MATCH(L$1,INDIRECT("Table!A" &amp; $AN84):INDIRECT("Table!" &amp; $AQ$85 &amp; $AN84),0))))/1024)</f>
        <v>276.650619140625</v>
      </c>
      <c r="M84" s="272">
        <f ca="1">IF(ISERROR(MATCH(M$1,INDIRECT("Table!A"&amp;$AN84):INDIRECT("Table!" &amp; $AQ$85 &amp; $AN84),0)),"",INDIRECT(CONCATENATE("Table!",ADDRESS($AJ84,MATCH(M$1,INDIRECT("Table!A" &amp; $AN84):INDIRECT("Table!" &amp; $AQ$85 &amp; $AN84),0))))/1024)</f>
        <v>362.91872460937498</v>
      </c>
      <c r="N84" s="272">
        <f ca="1">IF(ISERROR(MATCH(N$1,INDIRECT("Table!A"&amp;$AN84):INDIRECT("Table!" &amp; $AQ$85 &amp; $AN84),0)),"",INDIRECT(CONCATENATE("Table!",ADDRESS($AJ84,MATCH(N$1,INDIRECT("Table!A" &amp; $AN84):INDIRECT("Table!" &amp; $AQ$85 &amp; $AN84),0))))/1024)</f>
        <v>129.03996386718748</v>
      </c>
      <c r="O84" s="272">
        <f ca="1">IF(ISERROR(MATCH(O$1,INDIRECT("Table!A"&amp;$AN84):INDIRECT("Table!" &amp; $AQ$85 &amp; $AN84),0)),"",INDIRECT(CONCATENATE("Table!",ADDRESS($AJ84,MATCH(O$1,INDIRECT("Table!A" &amp; $AN84):INDIRECT("Table!" &amp; $AQ$85 &amp; $AN84),0))))/1024)</f>
        <v>235.65680566406249</v>
      </c>
      <c r="P84" s="272">
        <f ca="1">IF(ISERROR(MATCH(P$1,INDIRECT("Table!A"&amp;$AN84):INDIRECT("Table!" &amp; $AQ$85 &amp; $AN84),0)),"",INDIRECT(CONCATENATE("Table!",ADDRESS($AJ84,MATCH(P$1,INDIRECT("Table!A" &amp; $AN84):INDIRECT("Table!" &amp; $AQ$85 &amp; $AN84),0))))/1024)</f>
        <v>26.604820312499999</v>
      </c>
      <c r="Q84" s="272" t="str">
        <f ca="1">IF(ISERROR(MATCH(Q$1,INDIRECT("Table!A"&amp;$AN84):INDIRECT("Table!" &amp; $AQ$85 &amp; $AN84),0)),"",INDIRECT(CONCATENATE("Table!",ADDRESS($AJ84,MATCH(Q$1,INDIRECT("Table!A" &amp; $AN84):INDIRECT("Table!" &amp; $AQ$85 &amp; $AN84),0))))/1024)</f>
        <v/>
      </c>
      <c r="R84" s="272" t="str">
        <f ca="1">IF(ISERROR(MATCH(R$1,INDIRECT("Table!A"&amp;$AN84):INDIRECT("Table!" &amp; $AQ$85 &amp; $AN84),0)),"",INDIRECT(CONCATENATE("Table!",ADDRESS($AJ84,MATCH(R$1,INDIRECT("Table!A" &amp; $AN84):INDIRECT("Table!" &amp; $AQ$85 &amp; $AN84),0))))/1024)</f>
        <v/>
      </c>
      <c r="S84" s="595" t="str">
        <f ca="1">IF(ISERROR(MATCH(S$1,INDIRECT("Table!A"&amp;$AN84):INDIRECT("Table!" &amp; $AQ$85 &amp; $AN84),0)),"",INDIRECT(CONCATENATE("Table!",ADDRESS($AJ84,MATCH(S$1,INDIRECT("Table!A" &amp; $AN84):INDIRECT("Table!" &amp; $AQ$85 &amp; $AN84),0))))/1024)</f>
        <v/>
      </c>
      <c r="T84" s="595">
        <f ca="1">IF(ISERROR(MATCH(T$1,INDIRECT("Table!A"&amp;$AN84):INDIRECT("Table!" &amp; $AQ$85 &amp; $AN84),0)),"",INDIRECT(CONCATENATE("Table!",ADDRESS($AJ84,MATCH(T$1,INDIRECT("Table!A" &amp; $AN84):INDIRECT("Table!" &amp; $AQ$85 &amp; $AN84),0))))/1024)</f>
        <v>12.5450947265625</v>
      </c>
      <c r="U84" s="272" t="str">
        <f ca="1">IF(ISERROR(MATCH(U$1,INDIRECT("Table!A"&amp;$AN84):INDIRECT("Table!" &amp; $AQ$85 &amp; $AN84),0)),"",INDIRECT(CONCATENATE("Table!",ADDRESS($AJ84,MATCH(U$1,INDIRECT("Table!A" &amp; $AN84):INDIRECT("Table!" &amp; $AQ$85 &amp; $AN84),0))))/1024)</f>
        <v/>
      </c>
      <c r="V84" s="595"/>
      <c r="W84" s="595"/>
      <c r="X84" s="595"/>
      <c r="Y84" s="595"/>
      <c r="Z84" s="595"/>
      <c r="AA84" s="595"/>
      <c r="AB84" s="595"/>
      <c r="AC84" s="595"/>
      <c r="AD84" s="595"/>
      <c r="AE84" s="595"/>
      <c r="AF84" s="595"/>
      <c r="AG84" s="595"/>
      <c r="AH84" s="595"/>
      <c r="AI84" s="595"/>
      <c r="AJ84" s="272">
        <f>MATCH($A84,Table!$A:$A,0)+$AL$2-1</f>
        <v>1115</v>
      </c>
      <c r="AK84" s="359"/>
      <c r="AL84" s="359"/>
      <c r="AM84" s="359"/>
      <c r="AN84" s="272">
        <f>MATCH($A84,Table!$A:$A,0)+$AP$2-1</f>
        <v>1107</v>
      </c>
      <c r="AO84" s="359"/>
      <c r="AP84" s="359"/>
      <c r="AQ84" s="973" t="s">
        <v>302</v>
      </c>
      <c r="AR84" s="699">
        <f t="shared" ca="1" si="13"/>
        <v>2505.8250498046878</v>
      </c>
      <c r="AS84" s="699">
        <f t="shared" ca="1" si="22"/>
        <v>12.117046875000597</v>
      </c>
    </row>
    <row r="85" spans="1:45" x14ac:dyDescent="0.25">
      <c r="A85" s="4">
        <v>41361</v>
      </c>
      <c r="B85" s="22">
        <f ca="1">IF(ISERROR(MATCH(B$1,INDIRECT("Table!A"&amp;$AN85):INDIRECT("Table!" &amp; $AQ$108 &amp; $AN85),0)),"",INDIRECT(CONCATENATE("Table!",ADDRESS($AJ85,MATCH(B$1,INDIRECT("Table!A" &amp; $AN85):INDIRECT("Table!" &amp; $AQ$108 &amp; $AN85),0))))/1024)</f>
        <v>187.748373046875</v>
      </c>
      <c r="C85" s="22">
        <f ca="1">IF(ISERROR(MATCH(C$1,INDIRECT("Table!A"&amp;$AN85):INDIRECT("Table!" &amp; $AQ$108 &amp; $AN85),0)),"",INDIRECT(CONCATENATE("Table!",ADDRESS($AJ85,MATCH(C$1,INDIRECT("Table!A" &amp; $AN85):INDIRECT("Table!" &amp; $AQ$108 &amp; $AN85),0))))/1024)</f>
        <v>87.157127929687491</v>
      </c>
      <c r="D85" s="22">
        <f ca="1">IF(ISERROR(MATCH(D$1,INDIRECT("Table!A"&amp;$AN85):INDIRECT("Table!" &amp; $AQ$108 &amp; $AN85),0)),"",INDIRECT(CONCATENATE("Table!",ADDRESS($AJ85,MATCH(D$1,INDIRECT("Table!A" &amp; $AN85):INDIRECT("Table!" &amp; $AQ$108 &amp; $AN85),0))))/1024)</f>
        <v>88.177857421875004</v>
      </c>
      <c r="E85" s="22">
        <f ca="1">IF(ISERROR(MATCH(E$1,INDIRECT("Table!A"&amp;$AN85):INDIRECT("Table!" &amp; $AQ$108 &amp; $AN85),0)),"",INDIRECT(CONCATENATE("Table!",ADDRESS($AJ85,MATCH(E$1,INDIRECT("Table!A" &amp; $AN85):INDIRECT("Table!" &amp; $AQ$108 &amp; $AN85),0))))/1024)</f>
        <v>271.51404492187498</v>
      </c>
      <c r="F85" s="22">
        <f ca="1">IF(ISERROR(MATCH(F$1,INDIRECT("Table!A"&amp;$AN85):INDIRECT("Table!" &amp; $AQ$108 &amp; $AN85),0)),"",INDIRECT(CONCATENATE("Table!",ADDRESS($AJ85,MATCH(F$1,INDIRECT("Table!A" &amp; $AN85):INDIRECT("Table!" &amp; $AQ$108 &amp; $AN85),0))))/1024)</f>
        <v>244.71166406249998</v>
      </c>
      <c r="G85" s="22">
        <f ca="1">IF(ISERROR(MATCH(G$1,INDIRECT("Table!A"&amp;$AN85):INDIRECT("Table!" &amp; $AQ$108 &amp; $AN85),0)),"",INDIRECT(CONCATENATE("Table!",ADDRESS($AJ85,MATCH(G$1,INDIRECT("Table!A" &amp; $AN85):INDIRECT("Table!" &amp; $AQ$108 &amp; $AN85),0))))/1024)</f>
        <v>441.67952929687499</v>
      </c>
      <c r="H85" s="22">
        <f ca="1">IF(ISERROR(MATCH(H$1,INDIRECT("Table!A"&amp;$AN85):INDIRECT("Table!" &amp; $AQ$108 &amp; $AN85),0)),"",INDIRECT(CONCATENATE("Table!",ADDRESS($AJ85,MATCH(H$1,INDIRECT("Table!A" &amp; $AN85):INDIRECT("Table!" &amp; $AQ$108 &amp; $AN85),0))))/1024)</f>
        <v>125.38509374999998</v>
      </c>
      <c r="I85" s="272">
        <f ca="1">IF(ISERROR(MATCH(I$1,INDIRECT("Table!A"&amp;$AN85):INDIRECT("Table!" &amp; $AQ$85 &amp; $AN85),0)),"",INDIRECT(CONCATENATE("Table!",ADDRESS($AJ85,MATCH(I$1,INDIRECT("Table!A" &amp; $AN85):INDIRECT("Table!" &amp; $AQ$85 &amp; $AN85),0))))/1024)</f>
        <v>9.4170527343749999</v>
      </c>
      <c r="J85" s="272" t="str">
        <f ca="1">IF(ISERROR(MATCH(J$1,INDIRECT("Table!A"&amp;$AN85):INDIRECT("Table!" &amp; $AQ$85 &amp; $AN85),0)),"",INDIRECT(CONCATENATE("Table!",ADDRESS($AJ85,MATCH(J$1,INDIRECT("Table!A" &amp; $AN85):INDIRECT("Table!" &amp; $AQ$85 &amp; $AN85),0))))/1024)</f>
        <v/>
      </c>
      <c r="K85" s="272" t="str">
        <f ca="1">IF(ISERROR(MATCH(K$1,INDIRECT("Table!A"&amp;$AN85):INDIRECT("Table!" &amp; $AQ$85 &amp; $AN85),0)),"",INDIRECT(CONCATENATE("Table!",ADDRESS($AJ85,MATCH(K$1,INDIRECT("Table!A" &amp; $AN85):INDIRECT("Table!" &amp; $AQ$85 &amp; $AN85),0))))/1024)</f>
        <v/>
      </c>
      <c r="L85" s="22">
        <f ca="1">IF(ISERROR(MATCH(L$1,INDIRECT("Table!A"&amp;$AN85):INDIRECT("Table!" &amp; $AQ$85 &amp; $AN85),0)),"",INDIRECT(CONCATENATE("Table!",ADDRESS($AJ85,MATCH(L$1,INDIRECT("Table!A" &amp; $AN85):INDIRECT("Table!" &amp; $AQ$85 &amp; $AN85),0))))/1024)</f>
        <v>276.650619140625</v>
      </c>
      <c r="M85" s="22">
        <f ca="1">IF(ISERROR(MATCH(M$1,INDIRECT("Table!A"&amp;$AN85):INDIRECT("Table!" &amp; $AQ$85 &amp; $AN85),0)),"",INDIRECT(CONCATENATE("Table!",ADDRESS($AJ85,MATCH(M$1,INDIRECT("Table!A" &amp; $AN85):INDIRECT("Table!" &amp; $AQ$85 &amp; $AN85),0))))/1024)</f>
        <v>362.91872460937498</v>
      </c>
      <c r="N85" s="22">
        <f ca="1">IF(ISERROR(MATCH(N$1,INDIRECT("Table!A"&amp;$AN85):INDIRECT("Table!" &amp; $AQ$85 &amp; $AN85),0)),"",INDIRECT(CONCATENATE("Table!",ADDRESS($AJ85,MATCH(N$1,INDIRECT("Table!A" &amp; $AN85):INDIRECT("Table!" &amp; $AQ$85 &amp; $AN85),0))))/1024)</f>
        <v>127.95338085937499</v>
      </c>
      <c r="O85" s="22">
        <f ca="1">IF(ISERROR(MATCH(O$1,INDIRECT("Table!A"&amp;$AN85):INDIRECT("Table!" &amp; $AQ$85 &amp; $AN85),0)),"",INDIRECT(CONCATENATE("Table!",ADDRESS($AJ85,MATCH(O$1,INDIRECT("Table!A" &amp; $AN85):INDIRECT("Table!" &amp; $AQ$85 &amp; $AN85),0))))/1024)</f>
        <v>233.97754101562498</v>
      </c>
      <c r="P85" s="272">
        <f ca="1">IF(ISERROR(MATCH(P$1,INDIRECT("Table!A"&amp;$AN85):INDIRECT("Table!" &amp; $AQ$85 &amp; $AN85),0)),"",INDIRECT(CONCATENATE("Table!",ADDRESS($AJ85,MATCH(P$1,INDIRECT("Table!A" &amp; $AN85):INDIRECT("Table!" &amp; $AQ$85 &amp; $AN85),0))))/1024)</f>
        <v>23.871899414062501</v>
      </c>
      <c r="Q85" s="272" t="str">
        <f ca="1">IF(ISERROR(MATCH(Q$1,INDIRECT("Table!A"&amp;$AN85):INDIRECT("Table!" &amp; $AQ$85 &amp; $AN85),0)),"",INDIRECT(CONCATENATE("Table!",ADDRESS($AJ85,MATCH(Q$1,INDIRECT("Table!A" &amp; $AN85):INDIRECT("Table!" &amp; $AQ$85 &amp; $AN85),0))))/1024)</f>
        <v/>
      </c>
      <c r="R85" s="272" t="str">
        <f ca="1">IF(ISERROR(MATCH(R$1,INDIRECT("Table!A"&amp;$AN85):INDIRECT("Table!" &amp; $AQ$85 &amp; $AN85),0)),"",INDIRECT(CONCATENATE("Table!",ADDRESS($AJ85,MATCH(R$1,INDIRECT("Table!A" &amp; $AN85):INDIRECT("Table!" &amp; $AQ$85 &amp; $AN85),0))))/1024)</f>
        <v/>
      </c>
      <c r="S85" s="595" t="str">
        <f ca="1">IF(ISERROR(MATCH(S$1,INDIRECT("Table!A"&amp;$AN85):INDIRECT("Table!" &amp; $AQ$85 &amp; $AN85),0)),"",INDIRECT(CONCATENATE("Table!",ADDRESS($AJ85,MATCH(S$1,INDIRECT("Table!A" &amp; $AN85):INDIRECT("Table!" &amp; $AQ$85 &amp; $AN85),0))))/1024)</f>
        <v/>
      </c>
      <c r="T85" s="595">
        <f ca="1">IF(ISERROR(MATCH(T$1,INDIRECT("Table!A"&amp;$AN85):INDIRECT("Table!" &amp; $AQ$85 &amp; $AN85),0)),"",INDIRECT(CONCATENATE("Table!",ADDRESS($AJ85,MATCH(T$1,INDIRECT("Table!A" &amp; $AN85):INDIRECT("Table!" &amp; $AQ$85 &amp; $AN85),0))))/1024)</f>
        <v>12.5450947265625</v>
      </c>
      <c r="U85" s="272" t="str">
        <f ca="1">IF(ISERROR(MATCH(U$1,INDIRECT("Table!A"&amp;$AN85):INDIRECT("Table!" &amp; $AQ$85 &amp; $AN85),0)),"",INDIRECT(CONCATENATE("Table!",ADDRESS($AJ85,MATCH(U$1,INDIRECT("Table!A" &amp; $AN85):INDIRECT("Table!" &amp; $AQ$85 &amp; $AN85),0))))/1024)</f>
        <v/>
      </c>
      <c r="V85" s="595"/>
      <c r="W85" s="595"/>
      <c r="X85" s="595"/>
      <c r="Y85" s="595"/>
      <c r="Z85" s="595"/>
      <c r="AA85" s="595"/>
      <c r="AB85" s="595"/>
      <c r="AC85" s="595"/>
      <c r="AD85" s="595"/>
      <c r="AE85" s="595"/>
      <c r="AF85" s="595"/>
      <c r="AG85" s="595"/>
      <c r="AH85" s="595"/>
      <c r="AI85" s="595"/>
      <c r="AJ85" s="22">
        <f>MATCH($A85,Table!$A:$A,0)+$AL$2-1</f>
        <v>1127</v>
      </c>
      <c r="AK85" s="253"/>
      <c r="AL85" s="253"/>
      <c r="AM85" s="253"/>
      <c r="AN85" s="22">
        <f>MATCH($A85,Table!$A:$A,0)+$AP$2-1</f>
        <v>1119</v>
      </c>
      <c r="AO85" s="253"/>
      <c r="AP85" s="253"/>
      <c r="AQ85" s="973" t="s">
        <v>302</v>
      </c>
      <c r="AR85" s="699">
        <f t="shared" ref="AR85:AR108" ca="1" si="23">SUM(B85:AH85)</f>
        <v>2493.7080029296872</v>
      </c>
      <c r="AS85" s="699">
        <f t="shared" ca="1" si="22"/>
        <v>22.390195312500055</v>
      </c>
    </row>
    <row r="86" spans="1:45" s="267" customFormat="1" x14ac:dyDescent="0.25">
      <c r="A86" s="268">
        <v>41359</v>
      </c>
      <c r="B86" s="272">
        <f ca="1">IF(ISERROR(MATCH(B$1,INDIRECT("Table!A"&amp;$AN86):INDIRECT("Table!" &amp; $AQ$108 &amp; $AN86),0)),"",INDIRECT(CONCATENATE("Table!",ADDRESS($AJ86,MATCH(B$1,INDIRECT("Table!A" &amp; $AN86):INDIRECT("Table!" &amp; $AQ$108 &amp; $AN86),0))))/1024)</f>
        <v>187.748373046875</v>
      </c>
      <c r="C86" s="272">
        <f ca="1">IF(ISERROR(MATCH(C$1,INDIRECT("Table!A"&amp;$AN86):INDIRECT("Table!" &amp; $AQ$108 &amp; $AN86),0)),"",INDIRECT(CONCATENATE("Table!",ADDRESS($AJ86,MATCH(C$1,INDIRECT("Table!A" &amp; $AN86):INDIRECT("Table!" &amp; $AQ$108 &amp; $AN86),0))))/1024)</f>
        <v>87.157127929687491</v>
      </c>
      <c r="D86" s="272">
        <f ca="1">IF(ISERROR(MATCH(D$1,INDIRECT("Table!A"&amp;$AN86):INDIRECT("Table!" &amp; $AQ$108 &amp; $AN86),0)),"",INDIRECT(CONCATENATE("Table!",ADDRESS($AJ86,MATCH(D$1,INDIRECT("Table!A" &amp; $AN86):INDIRECT("Table!" &amp; $AQ$108 &amp; $AN86),0))))/1024)</f>
        <v>88.177857421875004</v>
      </c>
      <c r="E86" s="272">
        <f ca="1">IF(ISERROR(MATCH(E$1,INDIRECT("Table!A"&amp;$AN86):INDIRECT("Table!" &amp; $AQ$108 &amp; $AN86),0)),"",INDIRECT(CONCATENATE("Table!",ADDRESS($AJ86,MATCH(E$1,INDIRECT("Table!A" &amp; $AN86):INDIRECT("Table!" &amp; $AQ$108 &amp; $AN86),0))))/1024)</f>
        <v>271.51404492187498</v>
      </c>
      <c r="F86" s="272">
        <f ca="1">IF(ISERROR(MATCH(F$1,INDIRECT("Table!A"&amp;$AN86):INDIRECT("Table!" &amp; $AQ$108 &amp; $AN86),0)),"",INDIRECT(CONCATENATE("Table!",ADDRESS($AJ86,MATCH(F$1,INDIRECT("Table!A" &amp; $AN86):INDIRECT("Table!" &amp; $AQ$108 &amp; $AN86),0))))/1024)</f>
        <v>240.562892578125</v>
      </c>
      <c r="G86" s="272">
        <f ca="1">IF(ISERROR(MATCH(G$1,INDIRECT("Table!A"&amp;$AN86):INDIRECT("Table!" &amp; $AQ$108 &amp; $AN86),0)),"",INDIRECT(CONCATENATE("Table!",ADDRESS($AJ86,MATCH(G$1,INDIRECT("Table!A" &amp; $AN86):INDIRECT("Table!" &amp; $AQ$108 &amp; $AN86),0))))/1024)</f>
        <v>441.67952929687499</v>
      </c>
      <c r="H86" s="272">
        <f ca="1">IF(ISERROR(MATCH(H$1,INDIRECT("Table!A"&amp;$AN86):INDIRECT("Table!" &amp; $AQ$108 &amp; $AN86),0)),"",INDIRECT(CONCATENATE("Table!",ADDRESS($AJ86,MATCH(H$1,INDIRECT("Table!A" &amp; $AN86):INDIRECT("Table!" &amp; $AQ$108 &amp; $AN86),0))))/1024)</f>
        <v>125.38509374999998</v>
      </c>
      <c r="I86" s="272">
        <f ca="1">IF(ISERROR(MATCH(I$1,INDIRECT("Table!A"&amp;$AN86):INDIRECT("Table!" &amp; $AQ$85 &amp; $AN86),0)),"",INDIRECT(CONCATENATE("Table!",ADDRESS($AJ86,MATCH(I$1,INDIRECT("Table!A" &amp; $AN86):INDIRECT("Table!" &amp; $AQ$85 &amp; $AN86),0))))/1024)</f>
        <v>9.4170527343749999</v>
      </c>
      <c r="J86" s="272" t="str">
        <f ca="1">IF(ISERROR(MATCH(J$1,INDIRECT("Table!A"&amp;$AN86):INDIRECT("Table!" &amp; $AQ$85 &amp; $AN86),0)),"",INDIRECT(CONCATENATE("Table!",ADDRESS($AJ86,MATCH(J$1,INDIRECT("Table!A" &amp; $AN86):INDIRECT("Table!" &amp; $AQ$85 &amp; $AN86),0))))/1024)</f>
        <v/>
      </c>
      <c r="K86" s="272" t="str">
        <f ca="1">IF(ISERROR(MATCH(K$1,INDIRECT("Table!A"&amp;$AN86):INDIRECT("Table!" &amp; $AQ$85 &amp; $AN86),0)),"",INDIRECT(CONCATENATE("Table!",ADDRESS($AJ86,MATCH(K$1,INDIRECT("Table!A" &amp; $AN86):INDIRECT("Table!" &amp; $AQ$85 &amp; $AN86),0))))/1024)</f>
        <v/>
      </c>
      <c r="L86" s="272">
        <f ca="1">IF(ISERROR(MATCH(L$1,INDIRECT("Table!A"&amp;$AN86):INDIRECT("Table!" &amp; $AQ$85 &amp; $AN86),0)),"",INDIRECT(CONCATENATE("Table!",ADDRESS($AJ86,MATCH(L$1,INDIRECT("Table!A" &amp; $AN86):INDIRECT("Table!" &amp; $AQ$85 &amp; $AN86),0))))/1024)</f>
        <v>276.650619140625</v>
      </c>
      <c r="M86" s="272">
        <f ca="1">IF(ISERROR(MATCH(M$1,INDIRECT("Table!A"&amp;$AN86):INDIRECT("Table!" &amp; $AQ$85 &amp; $AN86),0)),"",INDIRECT(CONCATENATE("Table!",ADDRESS($AJ86,MATCH(M$1,INDIRECT("Table!A" &amp; $AN86):INDIRECT("Table!" &amp; $AQ$85 &amp; $AN86),0))))/1024)</f>
        <v>347.113880859375</v>
      </c>
      <c r="N86" s="272">
        <f ca="1">IF(ISERROR(MATCH(N$1,INDIRECT("Table!A"&amp;$AN86):INDIRECT("Table!" &amp; $AQ$85 &amp; $AN86),0)),"",INDIRECT(CONCATENATE("Table!",ADDRESS($AJ86,MATCH(N$1,INDIRECT("Table!A" &amp; $AN86):INDIRECT("Table!" &amp; $AQ$85 &amp; $AN86),0))))/1024)</f>
        <v>125.51680078125</v>
      </c>
      <c r="O86" s="272">
        <f ca="1">IF(ISERROR(MATCH(O$1,INDIRECT("Table!A"&amp;$AN86):INDIRECT("Table!" &amp; $AQ$85 &amp; $AN86),0)),"",INDIRECT(CONCATENATE("Table!",ADDRESS($AJ86,MATCH(O$1,INDIRECT("Table!A" &amp; $AN86):INDIRECT("Table!" &amp; $AQ$85 &amp; $AN86),0))))/1024)</f>
        <v>233.97754101562498</v>
      </c>
      <c r="P86" s="272">
        <f ca="1">IF(ISERROR(MATCH(P$1,INDIRECT("Table!A"&amp;$AN86):INDIRECT("Table!" &amp; $AQ$85 &amp; $AN86),0)),"",INDIRECT(CONCATENATE("Table!",ADDRESS($AJ86,MATCH(P$1,INDIRECT("Table!A" &amp; $AN86):INDIRECT("Table!" &amp; $AQ$85 &amp; $AN86),0))))/1024)</f>
        <v>23.871899414062501</v>
      </c>
      <c r="Q86" s="272" t="str">
        <f ca="1">IF(ISERROR(MATCH(Q$1,INDIRECT("Table!A"&amp;$AN86):INDIRECT("Table!" &amp; $AQ$85 &amp; $AN86),0)),"",INDIRECT(CONCATENATE("Table!",ADDRESS($AJ86,MATCH(Q$1,INDIRECT("Table!A" &amp; $AN86):INDIRECT("Table!" &amp; $AQ$85 &amp; $AN86),0))))/1024)</f>
        <v/>
      </c>
      <c r="R86" s="272" t="str">
        <f ca="1">IF(ISERROR(MATCH(R$1,INDIRECT("Table!A"&amp;$AN86):INDIRECT("Table!" &amp; $AQ$85 &amp; $AN86),0)),"",INDIRECT(CONCATENATE("Table!",ADDRESS($AJ86,MATCH(R$1,INDIRECT("Table!A" &amp; $AN86):INDIRECT("Table!" &amp; $AQ$85 &amp; $AN86),0))))/1024)</f>
        <v/>
      </c>
      <c r="S86" s="595" t="str">
        <f ca="1">IF(ISERROR(MATCH(S$1,INDIRECT("Table!A"&amp;$AN86):INDIRECT("Table!" &amp; $AQ$85 &amp; $AN86),0)),"",INDIRECT(CONCATENATE("Table!",ADDRESS($AJ86,MATCH(S$1,INDIRECT("Table!A" &amp; $AN86):INDIRECT("Table!" &amp; $AQ$85 &amp; $AN86),0))))/1024)</f>
        <v/>
      </c>
      <c r="T86" s="595">
        <f ca="1">IF(ISERROR(MATCH(T$1,INDIRECT("Table!A"&amp;$AN86):INDIRECT("Table!" &amp; $AQ$85 &amp; $AN86),0)),"",INDIRECT(CONCATENATE("Table!",ADDRESS($AJ86,MATCH(T$1,INDIRECT("Table!A" &amp; $AN86):INDIRECT("Table!" &amp; $AQ$85 &amp; $AN86),0))))/1024)</f>
        <v>12.5450947265625</v>
      </c>
      <c r="U86" s="272" t="str">
        <f ca="1">IF(ISERROR(MATCH(U$1,INDIRECT("Table!A"&amp;$AN86):INDIRECT("Table!" &amp; $AQ$85 &amp; $AN86),0)),"",INDIRECT(CONCATENATE("Table!",ADDRESS($AJ86,MATCH(U$1,INDIRECT("Table!A" &amp; $AN86):INDIRECT("Table!" &amp; $AQ$85 &amp; $AN86),0))))/1024)</f>
        <v/>
      </c>
      <c r="V86" s="595"/>
      <c r="W86" s="595"/>
      <c r="X86" s="595"/>
      <c r="Y86" s="595"/>
      <c r="Z86" s="595"/>
      <c r="AA86" s="595"/>
      <c r="AB86" s="595"/>
      <c r="AC86" s="595"/>
      <c r="AD86" s="595"/>
      <c r="AE86" s="595"/>
      <c r="AF86" s="595"/>
      <c r="AG86" s="595"/>
      <c r="AH86" s="595"/>
      <c r="AI86" s="595"/>
      <c r="AJ86" s="272">
        <f>MATCH($A86,Table!$A:$A,0)+$AL$2-1</f>
        <v>1139</v>
      </c>
      <c r="AK86" s="356"/>
      <c r="AL86" s="356"/>
      <c r="AM86" s="356"/>
      <c r="AN86" s="272">
        <f>MATCH($A86,Table!$A:$A,0)+$AP$2-1</f>
        <v>1131</v>
      </c>
      <c r="AO86" s="356"/>
      <c r="AP86" s="356"/>
      <c r="AQ86" s="973" t="s">
        <v>302</v>
      </c>
      <c r="AR86" s="699">
        <f t="shared" ca="1" si="23"/>
        <v>2471.3178076171871</v>
      </c>
      <c r="AS86" s="699">
        <f t="shared" ca="1" si="22"/>
        <v>0</v>
      </c>
    </row>
    <row r="87" spans="1:45" s="267" customFormat="1" x14ac:dyDescent="0.25">
      <c r="A87" s="268">
        <v>41355</v>
      </c>
      <c r="B87" s="272">
        <f ca="1">IF(ISERROR(MATCH(B$1,INDIRECT("Table!A"&amp;$AN87):INDIRECT("Table!" &amp; $AQ$108 &amp; $AN87),0)),"",INDIRECT(CONCATENATE("Table!",ADDRESS($AJ87,MATCH(B$1,INDIRECT("Table!A" &amp; $AN87):INDIRECT("Table!" &amp; $AQ$108 &amp; $AN87),0))))/1024)</f>
        <v>187.748373046875</v>
      </c>
      <c r="C87" s="272">
        <f ca="1">IF(ISERROR(MATCH(C$1,INDIRECT("Table!A"&amp;$AN87):INDIRECT("Table!" &amp; $AQ$108 &amp; $AN87),0)),"",INDIRECT(CONCATENATE("Table!",ADDRESS($AJ87,MATCH(C$1,INDIRECT("Table!A" &amp; $AN87):INDIRECT("Table!" &amp; $AQ$108 &amp; $AN87),0))))/1024)</f>
        <v>87.157127929687491</v>
      </c>
      <c r="D87" s="272">
        <f ca="1">IF(ISERROR(MATCH(D$1,INDIRECT("Table!A"&amp;$AN87):INDIRECT("Table!" &amp; $AQ$108 &amp; $AN87),0)),"",INDIRECT(CONCATENATE("Table!",ADDRESS($AJ87,MATCH(D$1,INDIRECT("Table!A" &amp; $AN87):INDIRECT("Table!" &amp; $AQ$108 &amp; $AN87),0))))/1024)</f>
        <v>88.177857421875004</v>
      </c>
      <c r="E87" s="272">
        <f ca="1">IF(ISERROR(MATCH(E$1,INDIRECT("Table!A"&amp;$AN87):INDIRECT("Table!" &amp; $AQ$108 &amp; $AN87),0)),"",INDIRECT(CONCATENATE("Table!",ADDRESS($AJ87,MATCH(E$1,INDIRECT("Table!A" &amp; $AN87):INDIRECT("Table!" &amp; $AQ$108 &amp; $AN87),0))))/1024)</f>
        <v>271.51404492187498</v>
      </c>
      <c r="F87" s="272">
        <f ca="1">IF(ISERROR(MATCH(F$1,INDIRECT("Table!A"&amp;$AN87):INDIRECT("Table!" &amp; $AQ$108 &amp; $AN87),0)),"",INDIRECT(CONCATENATE("Table!",ADDRESS($AJ87,MATCH(F$1,INDIRECT("Table!A" &amp; $AN87):INDIRECT("Table!" &amp; $AQ$108 &amp; $AN87),0))))/1024)</f>
        <v>240.562892578125</v>
      </c>
      <c r="G87" s="272">
        <f ca="1">IF(ISERROR(MATCH(G$1,INDIRECT("Table!A"&amp;$AN87):INDIRECT("Table!" &amp; $AQ$108 &amp; $AN87),0)),"",INDIRECT(CONCATENATE("Table!",ADDRESS($AJ87,MATCH(G$1,INDIRECT("Table!A" &amp; $AN87):INDIRECT("Table!" &amp; $AQ$108 &amp; $AN87),0))))/1024)</f>
        <v>441.67952929687499</v>
      </c>
      <c r="H87" s="272">
        <f ca="1">IF(ISERROR(MATCH(H$1,INDIRECT("Table!A"&amp;$AN87):INDIRECT("Table!" &amp; $AQ$108 &amp; $AN87),0)),"",INDIRECT(CONCATENATE("Table!",ADDRESS($AJ87,MATCH(H$1,INDIRECT("Table!A" &amp; $AN87):INDIRECT("Table!" &amp; $AQ$108 &amp; $AN87),0))))/1024)</f>
        <v>125.38509374999998</v>
      </c>
      <c r="I87" s="272">
        <f ca="1">IF(ISERROR(MATCH(I$1,INDIRECT("Table!A"&amp;$AN87):INDIRECT("Table!" &amp; $AQ$85 &amp; $AN87),0)),"",INDIRECT(CONCATENATE("Table!",ADDRESS($AJ87,MATCH(I$1,INDIRECT("Table!A" &amp; $AN87):INDIRECT("Table!" &amp; $AQ$85 &amp; $AN87),0))))/1024)</f>
        <v>9.4170527343749999</v>
      </c>
      <c r="J87" s="272" t="str">
        <f ca="1">IF(ISERROR(MATCH(J$1,INDIRECT("Table!A"&amp;$AN87):INDIRECT("Table!" &amp; $AQ$85 &amp; $AN87),0)),"",INDIRECT(CONCATENATE("Table!",ADDRESS($AJ87,MATCH(J$1,INDIRECT("Table!A" &amp; $AN87):INDIRECT("Table!" &amp; $AQ$85 &amp; $AN87),0))))/1024)</f>
        <v/>
      </c>
      <c r="K87" s="272" t="str">
        <f ca="1">IF(ISERROR(MATCH(K$1,INDIRECT("Table!A"&amp;$AN87):INDIRECT("Table!" &amp; $AQ$85 &amp; $AN87),0)),"",INDIRECT(CONCATENATE("Table!",ADDRESS($AJ87,MATCH(K$1,INDIRECT("Table!A" &amp; $AN87):INDIRECT("Table!" &amp; $AQ$85 &amp; $AN87),0))))/1024)</f>
        <v/>
      </c>
      <c r="L87" s="272">
        <f ca="1">IF(ISERROR(MATCH(L$1,INDIRECT("Table!A"&amp;$AN87):INDIRECT("Table!" &amp; $AQ$85 &amp; $AN87),0)),"",INDIRECT(CONCATENATE("Table!",ADDRESS($AJ87,MATCH(L$1,INDIRECT("Table!A" &amp; $AN87):INDIRECT("Table!" &amp; $AQ$85 &amp; $AN87),0))))/1024)</f>
        <v>276.650619140625</v>
      </c>
      <c r="M87" s="272">
        <f ca="1">IF(ISERROR(MATCH(M$1,INDIRECT("Table!A"&amp;$AN87):INDIRECT("Table!" &amp; $AQ$85 &amp; $AN87),0)),"",INDIRECT(CONCATENATE("Table!",ADDRESS($AJ87,MATCH(M$1,INDIRECT("Table!A" &amp; $AN87):INDIRECT("Table!" &amp; $AQ$85 &amp; $AN87),0))))/1024)</f>
        <v>347.113880859375</v>
      </c>
      <c r="N87" s="272">
        <f ca="1">IF(ISERROR(MATCH(N$1,INDIRECT("Table!A"&amp;$AN87):INDIRECT("Table!" &amp; $AQ$85 &amp; $AN87),0)),"",INDIRECT(CONCATENATE("Table!",ADDRESS($AJ87,MATCH(N$1,INDIRECT("Table!A" &amp; $AN87):INDIRECT("Table!" &amp; $AQ$85 &amp; $AN87),0))))/1024)</f>
        <v>125.51680078125</v>
      </c>
      <c r="O87" s="272">
        <f ca="1">IF(ISERROR(MATCH(O$1,INDIRECT("Table!A"&amp;$AN87):INDIRECT("Table!" &amp; $AQ$85 &amp; $AN87),0)),"",INDIRECT(CONCATENATE("Table!",ADDRESS($AJ87,MATCH(O$1,INDIRECT("Table!A" &amp; $AN87):INDIRECT("Table!" &amp; $AQ$85 &amp; $AN87),0))))/1024)</f>
        <v>233.97754101562498</v>
      </c>
      <c r="P87" s="272">
        <f ca="1">IF(ISERROR(MATCH(P$1,INDIRECT("Table!A"&amp;$AN87):INDIRECT("Table!" &amp; $AQ$85 &amp; $AN87),0)),"",INDIRECT(CONCATENATE("Table!",ADDRESS($AJ87,MATCH(P$1,INDIRECT("Table!A" &amp; $AN87):INDIRECT("Table!" &amp; $AQ$85 &amp; $AN87),0))))/1024)</f>
        <v>23.871899414062501</v>
      </c>
      <c r="Q87" s="272" t="str">
        <f ca="1">IF(ISERROR(MATCH(Q$1,INDIRECT("Table!A"&amp;$AN87):INDIRECT("Table!" &amp; $AQ$85 &amp; $AN87),0)),"",INDIRECT(CONCATENATE("Table!",ADDRESS($AJ87,MATCH(Q$1,INDIRECT("Table!A" &amp; $AN87):INDIRECT("Table!" &amp; $AQ$85 &amp; $AN87),0))))/1024)</f>
        <v/>
      </c>
      <c r="R87" s="272" t="str">
        <f ca="1">IF(ISERROR(MATCH(R$1,INDIRECT("Table!A"&amp;$AN87):INDIRECT("Table!" &amp; $AQ$85 &amp; $AN87),0)),"",INDIRECT(CONCATENATE("Table!",ADDRESS($AJ87,MATCH(R$1,INDIRECT("Table!A" &amp; $AN87):INDIRECT("Table!" &amp; $AQ$85 &amp; $AN87),0))))/1024)</f>
        <v/>
      </c>
      <c r="S87" s="595" t="str">
        <f ca="1">IF(ISERROR(MATCH(S$1,INDIRECT("Table!A"&amp;$AN87):INDIRECT("Table!" &amp; $AQ$85 &amp; $AN87),0)),"",INDIRECT(CONCATENATE("Table!",ADDRESS($AJ87,MATCH(S$1,INDIRECT("Table!A" &amp; $AN87):INDIRECT("Table!" &amp; $AQ$85 &amp; $AN87),0))))/1024)</f>
        <v/>
      </c>
      <c r="T87" s="595">
        <f ca="1">IF(ISERROR(MATCH(T$1,INDIRECT("Table!A"&amp;$AN87):INDIRECT("Table!" &amp; $AQ$85 &amp; $AN87),0)),"",INDIRECT(CONCATENATE("Table!",ADDRESS($AJ87,MATCH(T$1,INDIRECT("Table!A" &amp; $AN87):INDIRECT("Table!" &amp; $AQ$85 &amp; $AN87),0))))/1024)</f>
        <v>12.5450947265625</v>
      </c>
      <c r="U87" s="272" t="str">
        <f ca="1">IF(ISERROR(MATCH(U$1,INDIRECT("Table!A"&amp;$AN87):INDIRECT("Table!" &amp; $AQ$85 &amp; $AN87),0)),"",INDIRECT(CONCATENATE("Table!",ADDRESS($AJ87,MATCH(U$1,INDIRECT("Table!A" &amp; $AN87):INDIRECT("Table!" &amp; $AQ$85 &amp; $AN87),0))))/1024)</f>
        <v/>
      </c>
      <c r="V87" s="595"/>
      <c r="W87" s="595"/>
      <c r="X87" s="595"/>
      <c r="Y87" s="595"/>
      <c r="Z87" s="595"/>
      <c r="AA87" s="595"/>
      <c r="AB87" s="595"/>
      <c r="AC87" s="595"/>
      <c r="AD87" s="595"/>
      <c r="AE87" s="595"/>
      <c r="AF87" s="595"/>
      <c r="AG87" s="595"/>
      <c r="AH87" s="595"/>
      <c r="AI87" s="595"/>
      <c r="AJ87" s="272">
        <f>MATCH($A87,Table!$A:$A,0)+$AL$2-1</f>
        <v>1151</v>
      </c>
      <c r="AK87" s="353"/>
      <c r="AL87" s="353"/>
      <c r="AM87" s="353"/>
      <c r="AN87" s="272">
        <f>MATCH($A87,Table!$A:$A,0)+$AP$2-1</f>
        <v>1143</v>
      </c>
      <c r="AO87" s="353"/>
      <c r="AP87" s="353"/>
      <c r="AQ87" s="973" t="s">
        <v>302</v>
      </c>
      <c r="AR87" s="699">
        <f t="shared" ca="1" si="23"/>
        <v>2471.3178076171871</v>
      </c>
      <c r="AS87" s="699">
        <f t="shared" ca="1" si="22"/>
        <v>17.517035156249676</v>
      </c>
    </row>
    <row r="88" spans="1:45" s="267" customFormat="1" x14ac:dyDescent="0.25">
      <c r="A88" s="268">
        <v>41353</v>
      </c>
      <c r="B88" s="272">
        <f ca="1">IF(ISERROR(MATCH(B$1,INDIRECT("Table!A"&amp;$AN88):INDIRECT("Table!" &amp; $AQ$108 &amp; $AN88),0)),"",INDIRECT(CONCATENATE("Table!",ADDRESS($AJ88,MATCH(B$1,INDIRECT("Table!A" &amp; $AN88):INDIRECT("Table!" &amp; $AQ$108 &amp; $AN88),0))))/1024)</f>
        <v>187.748373046875</v>
      </c>
      <c r="C88" s="272">
        <f ca="1">IF(ISERROR(MATCH(C$1,INDIRECT("Table!A"&amp;$AN88):INDIRECT("Table!" &amp; $AQ$108 &amp; $AN88),0)),"",INDIRECT(CONCATENATE("Table!",ADDRESS($AJ88,MATCH(C$1,INDIRECT("Table!A" &amp; $AN88):INDIRECT("Table!" &amp; $AQ$108 &amp; $AN88),0))))/1024)</f>
        <v>87.157127929687491</v>
      </c>
      <c r="D88" s="272">
        <f ca="1">IF(ISERROR(MATCH(D$1,INDIRECT("Table!A"&amp;$AN88):INDIRECT("Table!" &amp; $AQ$108 &amp; $AN88),0)),"",INDIRECT(CONCATENATE("Table!",ADDRESS($AJ88,MATCH(D$1,INDIRECT("Table!A" &amp; $AN88):INDIRECT("Table!" &amp; $AQ$108 &amp; $AN88),0))))/1024)</f>
        <v>88.177857421875004</v>
      </c>
      <c r="E88" s="272">
        <f ca="1">IF(ISERROR(MATCH(E$1,INDIRECT("Table!A"&amp;$AN88):INDIRECT("Table!" &amp; $AQ$108 &amp; $AN88),0)),"",INDIRECT(CONCATENATE("Table!",ADDRESS($AJ88,MATCH(E$1,INDIRECT("Table!A" &amp; $AN88):INDIRECT("Table!" &amp; $AQ$108 &amp; $AN88),0))))/1024)</f>
        <v>271.51404492187498</v>
      </c>
      <c r="F88" s="272">
        <f ca="1">IF(ISERROR(MATCH(F$1,INDIRECT("Table!A"&amp;$AN88):INDIRECT("Table!" &amp; $AQ$108 &amp; $AN88),0)),"",INDIRECT(CONCATENATE("Table!",ADDRESS($AJ88,MATCH(F$1,INDIRECT("Table!A" &amp; $AN88):INDIRECT("Table!" &amp; $AQ$108 &amp; $AN88),0))))/1024)</f>
        <v>237.20436328124998</v>
      </c>
      <c r="G88" s="272">
        <f ca="1">IF(ISERROR(MATCH(G$1,INDIRECT("Table!A"&amp;$AN88):INDIRECT("Table!" &amp; $AQ$108 &amp; $AN88),0)),"",INDIRECT(CONCATENATE("Table!",ADDRESS($AJ88,MATCH(G$1,INDIRECT("Table!A" &amp; $AN88):INDIRECT("Table!" &amp; $AQ$108 &amp; $AN88),0))))/1024)</f>
        <v>441.67952929687499</v>
      </c>
      <c r="H88" s="272">
        <f ca="1">IF(ISERROR(MATCH(H$1,INDIRECT("Table!A"&amp;$AN88):INDIRECT("Table!" &amp; $AQ$108 &amp; $AN88),0)),"",INDIRECT(CONCATENATE("Table!",ADDRESS($AJ88,MATCH(H$1,INDIRECT("Table!A" &amp; $AN88):INDIRECT("Table!" &amp; $AQ$108 &amp; $AN88),0))))/1024)</f>
        <v>117.18633105468749</v>
      </c>
      <c r="I88" s="272">
        <f ca="1">IF(ISERROR(MATCH(I$1,INDIRECT("Table!A"&amp;$AN88):INDIRECT("Table!" &amp; $AQ$85 &amp; $AN88),0)),"",INDIRECT(CONCATENATE("Table!",ADDRESS($AJ88,MATCH(I$1,INDIRECT("Table!A" &amp; $AN88):INDIRECT("Table!" &amp; $AQ$85 &amp; $AN88),0))))/1024)</f>
        <v>9.4170527343749999</v>
      </c>
      <c r="J88" s="272" t="str">
        <f ca="1">IF(ISERROR(MATCH(J$1,INDIRECT("Table!A"&amp;$AN88):INDIRECT("Table!" &amp; $AQ$85 &amp; $AN88),0)),"",INDIRECT(CONCATENATE("Table!",ADDRESS($AJ88,MATCH(J$1,INDIRECT("Table!A" &amp; $AN88):INDIRECT("Table!" &amp; $AQ$85 &amp; $AN88),0))))/1024)</f>
        <v/>
      </c>
      <c r="K88" s="272" t="str">
        <f ca="1">IF(ISERROR(MATCH(K$1,INDIRECT("Table!A"&amp;$AN88):INDIRECT("Table!" &amp; $AQ$85 &amp; $AN88),0)),"",INDIRECT(CONCATENATE("Table!",ADDRESS($AJ88,MATCH(K$1,INDIRECT("Table!A" &amp; $AN88):INDIRECT("Table!" &amp; $AQ$85 &amp; $AN88),0))))/1024)</f>
        <v/>
      </c>
      <c r="L88" s="272">
        <f ca="1">IF(ISERROR(MATCH(L$1,INDIRECT("Table!A"&amp;$AN88):INDIRECT("Table!" &amp; $AQ$85 &amp; $AN88),0)),"",INDIRECT(CONCATENATE("Table!",ADDRESS($AJ88,MATCH(L$1,INDIRECT("Table!A" &amp; $AN88):INDIRECT("Table!" &amp; $AQ$85 &amp; $AN88),0))))/1024)</f>
        <v>274.18111230468747</v>
      </c>
      <c r="M88" s="272">
        <f ca="1">IF(ISERROR(MATCH(M$1,INDIRECT("Table!A"&amp;$AN88):INDIRECT("Table!" &amp; $AQ$85 &amp; $AN88),0)),"",INDIRECT(CONCATENATE("Table!",ADDRESS($AJ88,MATCH(M$1,INDIRECT("Table!A" &amp; $AN88):INDIRECT("Table!" &amp; $AQ$85 &amp; $AN88),0))))/1024)</f>
        <v>347.113880859375</v>
      </c>
      <c r="N88" s="272">
        <f ca="1">IF(ISERROR(MATCH(N$1,INDIRECT("Table!A"&amp;$AN88):INDIRECT("Table!" &amp; $AQ$85 &amp; $AN88),0)),"",INDIRECT(CONCATENATE("Table!",ADDRESS($AJ88,MATCH(N$1,INDIRECT("Table!A" &amp; $AN88):INDIRECT("Table!" &amp; $AQ$85 &amp; $AN88),0))))/1024)</f>
        <v>124.72655859375</v>
      </c>
      <c r="O88" s="272">
        <f ca="1">IF(ISERROR(MATCH(O$1,INDIRECT("Table!A"&amp;$AN88):INDIRECT("Table!" &amp; $AQ$85 &amp; $AN88),0)),"",INDIRECT(CONCATENATE("Table!",ADDRESS($AJ88,MATCH(O$1,INDIRECT("Table!A" &amp; $AN88):INDIRECT("Table!" &amp; $AQ$85 &amp; $AN88),0))))/1024)</f>
        <v>232.46291015624999</v>
      </c>
      <c r="P88" s="272">
        <f ca="1">IF(ISERROR(MATCH(P$1,INDIRECT("Table!A"&amp;$AN88):INDIRECT("Table!" &amp; $AQ$85 &amp; $AN88),0)),"",INDIRECT(CONCATENATE("Table!",ADDRESS($AJ88,MATCH(P$1,INDIRECT("Table!A" &amp; $AN88):INDIRECT("Table!" &amp; $AQ$85 &amp; $AN88),0))))/1024)</f>
        <v>23.871899414062501</v>
      </c>
      <c r="Q88" s="272" t="str">
        <f ca="1">IF(ISERROR(MATCH(Q$1,INDIRECT("Table!A"&amp;$AN88):INDIRECT("Table!" &amp; $AQ$85 &amp; $AN88),0)),"",INDIRECT(CONCATENATE("Table!",ADDRESS($AJ88,MATCH(Q$1,INDIRECT("Table!A" &amp; $AN88):INDIRECT("Table!" &amp; $AQ$85 &amp; $AN88),0))))/1024)</f>
        <v/>
      </c>
      <c r="R88" s="272" t="str">
        <f ca="1">IF(ISERROR(MATCH(R$1,INDIRECT("Table!A"&amp;$AN88):INDIRECT("Table!" &amp; $AQ$85 &amp; $AN88),0)),"",INDIRECT(CONCATENATE("Table!",ADDRESS($AJ88,MATCH(R$1,INDIRECT("Table!A" &amp; $AN88):INDIRECT("Table!" &amp; $AQ$85 &amp; $AN88),0))))/1024)</f>
        <v/>
      </c>
      <c r="S88" s="595" t="str">
        <f ca="1">IF(ISERROR(MATCH(S$1,INDIRECT("Table!A"&amp;$AN88):INDIRECT("Table!" &amp; $AQ$85 &amp; $AN88),0)),"",INDIRECT(CONCATENATE("Table!",ADDRESS($AJ88,MATCH(S$1,INDIRECT("Table!A" &amp; $AN88):INDIRECT("Table!" &amp; $AQ$85 &amp; $AN88),0))))/1024)</f>
        <v/>
      </c>
      <c r="T88" s="595">
        <f ca="1">IF(ISERROR(MATCH(T$1,INDIRECT("Table!A"&amp;$AN88):INDIRECT("Table!" &amp; $AQ$85 &amp; $AN88),0)),"",INDIRECT(CONCATENATE("Table!",ADDRESS($AJ88,MATCH(T$1,INDIRECT("Table!A" &amp; $AN88):INDIRECT("Table!" &amp; $AQ$85 &amp; $AN88),0))))/1024)</f>
        <v>11.3597314453125</v>
      </c>
      <c r="U88" s="272" t="str">
        <f ca="1">IF(ISERROR(MATCH(U$1,INDIRECT("Table!A"&amp;$AN88):INDIRECT("Table!" &amp; $AQ$85 &amp; $AN88),0)),"",INDIRECT(CONCATENATE("Table!",ADDRESS($AJ88,MATCH(U$1,INDIRECT("Table!A" &amp; $AN88):INDIRECT("Table!" &amp; $AQ$85 &amp; $AN88),0))))/1024)</f>
        <v/>
      </c>
      <c r="V88" s="595"/>
      <c r="W88" s="595"/>
      <c r="X88" s="595"/>
      <c r="Y88" s="595"/>
      <c r="Z88" s="595"/>
      <c r="AA88" s="595"/>
      <c r="AB88" s="595"/>
      <c r="AC88" s="595"/>
      <c r="AD88" s="595"/>
      <c r="AE88" s="595"/>
      <c r="AF88" s="595"/>
      <c r="AG88" s="595"/>
      <c r="AH88" s="595"/>
      <c r="AI88" s="595"/>
      <c r="AJ88" s="272">
        <f>MATCH($A88,Table!$A:$A,0)+$AL$2-1</f>
        <v>1163</v>
      </c>
      <c r="AK88" s="352"/>
      <c r="AL88" s="352"/>
      <c r="AM88" s="352"/>
      <c r="AN88" s="272">
        <f>MATCH($A88,Table!$A:$A,0)+$AP$2-1</f>
        <v>1155</v>
      </c>
      <c r="AO88" s="352"/>
      <c r="AP88" s="352"/>
      <c r="AQ88" s="973" t="s">
        <v>302</v>
      </c>
      <c r="AR88" s="699">
        <f t="shared" ca="1" si="23"/>
        <v>2453.8007724609374</v>
      </c>
      <c r="AS88" s="699">
        <f t="shared" ca="1" si="22"/>
        <v>24.958482421874578</v>
      </c>
    </row>
    <row r="89" spans="1:45" s="267" customFormat="1" x14ac:dyDescent="0.25">
      <c r="A89" s="268">
        <v>41351</v>
      </c>
      <c r="B89" s="272">
        <f ca="1">IF(ISERROR(MATCH(B$1,INDIRECT("Table!A"&amp;$AN89):INDIRECT("Table!" &amp; $AQ$108 &amp; $AN89),0)),"",INDIRECT(CONCATENATE("Table!",ADDRESS($AJ89,MATCH(B$1,INDIRECT("Table!A" &amp; $AN89):INDIRECT("Table!" &amp; $AQ$108 &amp; $AN89),0))))/1024)</f>
        <v>187.748373046875</v>
      </c>
      <c r="C89" s="272">
        <f ca="1">IF(ISERROR(MATCH(C$1,INDIRECT("Table!A"&amp;$AN89):INDIRECT("Table!" &amp; $AQ$108 &amp; $AN89),0)),"",INDIRECT(CONCATENATE("Table!",ADDRESS($AJ89,MATCH(C$1,INDIRECT("Table!A" &amp; $AN89):INDIRECT("Table!" &amp; $AQ$108 &amp; $AN89),0))))/1024)</f>
        <v>87.157127929687491</v>
      </c>
      <c r="D89" s="272">
        <f ca="1">IF(ISERROR(MATCH(D$1,INDIRECT("Table!A"&amp;$AN89):INDIRECT("Table!" &amp; $AQ$108 &amp; $AN89),0)),"",INDIRECT(CONCATENATE("Table!",ADDRESS($AJ89,MATCH(D$1,INDIRECT("Table!A" &amp; $AN89):INDIRECT("Table!" &amp; $AQ$108 &amp; $AN89),0))))/1024)</f>
        <v>88.177857421875004</v>
      </c>
      <c r="E89" s="272">
        <f ca="1">IF(ISERROR(MATCH(E$1,INDIRECT("Table!A"&amp;$AN89):INDIRECT("Table!" &amp; $AQ$108 &amp; $AN89),0)),"",INDIRECT(CONCATENATE("Table!",ADDRESS($AJ89,MATCH(E$1,INDIRECT("Table!A" &amp; $AN89):INDIRECT("Table!" &amp; $AQ$108 &amp; $AN89),0))))/1024)</f>
        <v>271.51404492187498</v>
      </c>
      <c r="F89" s="272">
        <f ca="1">IF(ISERROR(MATCH(F$1,INDIRECT("Table!A"&amp;$AN89):INDIRECT("Table!" &amp; $AQ$108 &amp; $AN89),0)),"",INDIRECT(CONCATENATE("Table!",ADDRESS($AJ89,MATCH(F$1,INDIRECT("Table!A" &amp; $AN89):INDIRECT("Table!" &amp; $AQ$108 &amp; $AN89),0))))/1024)</f>
        <v>233.05559179687498</v>
      </c>
      <c r="G89" s="272">
        <f ca="1">IF(ISERROR(MATCH(G$1,INDIRECT("Table!A"&amp;$AN89):INDIRECT("Table!" &amp; $AQ$108 &amp; $AN89),0)),"",INDIRECT(CONCATENATE("Table!",ADDRESS($AJ89,MATCH(G$1,INDIRECT("Table!A" &amp; $AN89):INDIRECT("Table!" &amp; $AQ$108 &amp; $AN89),0))))/1024)</f>
        <v>441.67952929687499</v>
      </c>
      <c r="H89" s="272">
        <f ca="1">IF(ISERROR(MATCH(H$1,INDIRECT("Table!A"&amp;$AN89):INDIRECT("Table!" &amp; $AQ$108 &amp; $AN89),0)),"",INDIRECT(CONCATENATE("Table!",ADDRESS($AJ89,MATCH(H$1,INDIRECT("Table!A" &amp; $AN89):INDIRECT("Table!" &amp; $AQ$108 &amp; $AN89),0))))/1024)</f>
        <v>115.34243261718748</v>
      </c>
      <c r="I89" s="272">
        <f ca="1">IF(ISERROR(MATCH(I$1,INDIRECT("Table!A"&amp;$AN89):INDIRECT("Table!" &amp; $AQ$85 &amp; $AN89),0)),"",INDIRECT(CONCATENATE("Table!",ADDRESS($AJ89,MATCH(I$1,INDIRECT("Table!A" &amp; $AN89):INDIRECT("Table!" &amp; $AQ$85 &amp; $AN89),0))))/1024)</f>
        <v>9.4170527343749999</v>
      </c>
      <c r="J89" s="272" t="str">
        <f ca="1">IF(ISERROR(MATCH(J$1,INDIRECT("Table!A"&amp;$AN89):INDIRECT("Table!" &amp; $AQ$85 &amp; $AN89),0)),"",INDIRECT(CONCATENATE("Table!",ADDRESS($AJ89,MATCH(J$1,INDIRECT("Table!A" &amp; $AN89):INDIRECT("Table!" &amp; $AQ$85 &amp; $AN89),0))))/1024)</f>
        <v/>
      </c>
      <c r="K89" s="272" t="str">
        <f ca="1">IF(ISERROR(MATCH(K$1,INDIRECT("Table!A"&amp;$AN89):INDIRECT("Table!" &amp; $AQ$85 &amp; $AN89),0)),"",INDIRECT(CONCATENATE("Table!",ADDRESS($AJ89,MATCH(K$1,INDIRECT("Table!A" &amp; $AN89):INDIRECT("Table!" &amp; $AQ$85 &amp; $AN89),0))))/1024)</f>
        <v/>
      </c>
      <c r="L89" s="272">
        <f ca="1">IF(ISERROR(MATCH(L$1,INDIRECT("Table!A"&amp;$AN89):INDIRECT("Table!" &amp; $AQ$85 &amp; $AN89),0)),"",INDIRECT(CONCATENATE("Table!",ADDRESS($AJ89,MATCH(L$1,INDIRECT("Table!A" &amp; $AN89):INDIRECT("Table!" &amp; $AQ$85 &amp; $AN89),0))))/1024)</f>
        <v>274.18111230468747</v>
      </c>
      <c r="M89" s="272">
        <f ca="1">IF(ISERROR(MATCH(M$1,INDIRECT("Table!A"&amp;$AN89):INDIRECT("Table!" &amp; $AQ$85 &amp; $AN89),0)),"",INDIRECT(CONCATENATE("Table!",ADDRESS($AJ89,MATCH(M$1,INDIRECT("Table!A" &amp; $AN89):INDIRECT("Table!" &amp; $AQ$85 &amp; $AN89),0))))/1024)</f>
        <v>344.97364160156246</v>
      </c>
      <c r="N89" s="272">
        <f ca="1">IF(ISERROR(MATCH(N$1,INDIRECT("Table!A"&amp;$AN89):INDIRECT("Table!" &amp; $AQ$85 &amp; $AN89),0)),"",INDIRECT(CONCATENATE("Table!",ADDRESS($AJ89,MATCH(N$1,INDIRECT("Table!A" &amp; $AN89):INDIRECT("Table!" &amp; $AQ$85 &amp; $AN89),0))))/1024)</f>
        <v>122.6521728515625</v>
      </c>
      <c r="O89" s="272">
        <f ca="1">IF(ISERROR(MATCH(O$1,INDIRECT("Table!A"&amp;$AN89):INDIRECT("Table!" &amp; $AQ$85 &amp; $AN89),0)),"",INDIRECT(CONCATENATE("Table!",ADDRESS($AJ89,MATCH(O$1,INDIRECT("Table!A" &amp; $AN89):INDIRECT("Table!" &amp; $AQ$85 &amp; $AN89),0))))/1024)</f>
        <v>217.71172265625</v>
      </c>
      <c r="P89" s="272">
        <f ca="1">IF(ISERROR(MATCH(P$1,INDIRECT("Table!A"&amp;$AN89):INDIRECT("Table!" &amp; $AQ$85 &amp; $AN89),0)),"",INDIRECT(CONCATENATE("Table!",ADDRESS($AJ89,MATCH(P$1,INDIRECT("Table!A" &amp; $AN89):INDIRECT("Table!" &amp; $AQ$85 &amp; $AN89),0))))/1024)</f>
        <v>23.871899414062501</v>
      </c>
      <c r="Q89" s="272" t="str">
        <f ca="1">IF(ISERROR(MATCH(Q$1,INDIRECT("Table!A"&amp;$AN89):INDIRECT("Table!" &amp; $AQ$85 &amp; $AN89),0)),"",INDIRECT(CONCATENATE("Table!",ADDRESS($AJ89,MATCH(Q$1,INDIRECT("Table!A" &amp; $AN89):INDIRECT("Table!" &amp; $AQ$85 &amp; $AN89),0))))/1024)</f>
        <v/>
      </c>
      <c r="R89" s="272" t="str">
        <f ca="1">IF(ISERROR(MATCH(R$1,INDIRECT("Table!A"&amp;$AN89):INDIRECT("Table!" &amp; $AQ$85 &amp; $AN89),0)),"",INDIRECT(CONCATENATE("Table!",ADDRESS($AJ89,MATCH(R$1,INDIRECT("Table!A" &amp; $AN89):INDIRECT("Table!" &amp; $AQ$85 &amp; $AN89),0))))/1024)</f>
        <v/>
      </c>
      <c r="S89" s="595" t="str">
        <f ca="1">IF(ISERROR(MATCH(S$1,INDIRECT("Table!A"&amp;$AN89):INDIRECT("Table!" &amp; $AQ$85 &amp; $AN89),0)),"",INDIRECT(CONCATENATE("Table!",ADDRESS($AJ89,MATCH(S$1,INDIRECT("Table!A" &amp; $AN89):INDIRECT("Table!" &amp; $AQ$85 &amp; $AN89),0))))/1024)</f>
        <v/>
      </c>
      <c r="T89" s="595">
        <f ca="1">IF(ISERROR(MATCH(T$1,INDIRECT("Table!A"&amp;$AN89):INDIRECT("Table!" &amp; $AQ$85 &amp; $AN89),0)),"",INDIRECT(CONCATENATE("Table!",ADDRESS($AJ89,MATCH(T$1,INDIRECT("Table!A" &amp; $AN89):INDIRECT("Table!" &amp; $AQ$85 &amp; $AN89),0))))/1024)</f>
        <v>11.3597314453125</v>
      </c>
      <c r="U89" s="272" t="str">
        <f ca="1">IF(ISERROR(MATCH(U$1,INDIRECT("Table!A"&amp;$AN89):INDIRECT("Table!" &amp; $AQ$85 &amp; $AN89),0)),"",INDIRECT(CONCATENATE("Table!",ADDRESS($AJ89,MATCH(U$1,INDIRECT("Table!A" &amp; $AN89):INDIRECT("Table!" &amp; $AQ$85 &amp; $AN89),0))))/1024)</f>
        <v/>
      </c>
      <c r="V89" s="595"/>
      <c r="W89" s="595"/>
      <c r="X89" s="595"/>
      <c r="Y89" s="595"/>
      <c r="Z89" s="595"/>
      <c r="AA89" s="595"/>
      <c r="AB89" s="595"/>
      <c r="AC89" s="595"/>
      <c r="AD89" s="595"/>
      <c r="AE89" s="595"/>
      <c r="AF89" s="595"/>
      <c r="AG89" s="595"/>
      <c r="AH89" s="595"/>
      <c r="AI89" s="595"/>
      <c r="AJ89" s="272">
        <f>MATCH($A89,Table!$A:$A,0)+$AL$2-1</f>
        <v>1175</v>
      </c>
      <c r="AK89" s="351"/>
      <c r="AL89" s="351"/>
      <c r="AM89" s="351"/>
      <c r="AN89" s="272">
        <f>MATCH($A89,Table!$A:$A,0)+$AP$2-1</f>
        <v>1167</v>
      </c>
      <c r="AO89" s="351"/>
      <c r="AP89" s="351"/>
      <c r="AQ89" s="973" t="s">
        <v>302</v>
      </c>
      <c r="AR89" s="699">
        <f t="shared" ca="1" si="23"/>
        <v>2428.8422900390628</v>
      </c>
      <c r="AS89" s="699">
        <f t="shared" ca="1" si="22"/>
        <v>0.46097460937517099</v>
      </c>
    </row>
    <row r="90" spans="1:45" s="267" customFormat="1" x14ac:dyDescent="0.25">
      <c r="A90" s="268">
        <v>41347</v>
      </c>
      <c r="B90" s="272">
        <f ca="1">IF(ISERROR(MATCH(B$1,INDIRECT("Table!A"&amp;$AN90):INDIRECT("Table!" &amp; $AQ$108 &amp; $AN90),0)),"",INDIRECT(CONCATENATE("Table!",ADDRESS($AJ90,MATCH(B$1,INDIRECT("Table!A" &amp; $AN90):INDIRECT("Table!" &amp; $AQ$108 &amp; $AN90),0))))/1024)</f>
        <v>187.748373046875</v>
      </c>
      <c r="C90" s="272">
        <f ca="1">IF(ISERROR(MATCH(C$1,INDIRECT("Table!A"&amp;$AN90):INDIRECT("Table!" &amp; $AQ$108 &amp; $AN90),0)),"",INDIRECT(CONCATENATE("Table!",ADDRESS($AJ90,MATCH(C$1,INDIRECT("Table!A" &amp; $AN90):INDIRECT("Table!" &amp; $AQ$108 &amp; $AN90),0))))/1024)</f>
        <v>87.157127929687491</v>
      </c>
      <c r="D90" s="272">
        <f ca="1">IF(ISERROR(MATCH(D$1,INDIRECT("Table!A"&amp;$AN90):INDIRECT("Table!" &amp; $AQ$108 &amp; $AN90),0)),"",INDIRECT(CONCATENATE("Table!",ADDRESS($AJ90,MATCH(D$1,INDIRECT("Table!A" &amp; $AN90):INDIRECT("Table!" &amp; $AQ$108 &amp; $AN90),0))))/1024)</f>
        <v>88.177857421875004</v>
      </c>
      <c r="E90" s="272">
        <f ca="1">IF(ISERROR(MATCH(E$1,INDIRECT("Table!A"&amp;$AN90):INDIRECT("Table!" &amp; $AQ$108 &amp; $AN90),0)),"",INDIRECT(CONCATENATE("Table!",ADDRESS($AJ90,MATCH(E$1,INDIRECT("Table!A" &amp; $AN90):INDIRECT("Table!" &amp; $AQ$108 &amp; $AN90),0))))/1024)</f>
        <v>271.51404492187498</v>
      </c>
      <c r="F90" s="272">
        <f ca="1">IF(ISERROR(MATCH(F$1,INDIRECT("Table!A"&amp;$AN90):INDIRECT("Table!" &amp; $AQ$108 &amp; $AN90),0)),"",INDIRECT(CONCATENATE("Table!",ADDRESS($AJ90,MATCH(F$1,INDIRECT("Table!A" &amp; $AN90):INDIRECT("Table!" &amp; $AQ$108 &amp; $AN90),0))))/1024)</f>
        <v>233.05559179687498</v>
      </c>
      <c r="G90" s="272">
        <f ca="1">IF(ISERROR(MATCH(G$1,INDIRECT("Table!A"&amp;$AN90):INDIRECT("Table!" &amp; $AQ$108 &amp; $AN90),0)),"",INDIRECT(CONCATENATE("Table!",ADDRESS($AJ90,MATCH(G$1,INDIRECT("Table!A" &amp; $AN90):INDIRECT("Table!" &amp; $AQ$108 &amp; $AN90),0))))/1024)</f>
        <v>441.67952929687499</v>
      </c>
      <c r="H90" s="272">
        <f ca="1">IF(ISERROR(MATCH(H$1,INDIRECT("Table!A"&amp;$AN90):INDIRECT("Table!" &amp; $AQ$108 &amp; $AN90),0)),"",INDIRECT(CONCATENATE("Table!",ADDRESS($AJ90,MATCH(H$1,INDIRECT("Table!A" &amp; $AN90):INDIRECT("Table!" &amp; $AQ$108 &amp; $AN90),0))))/1024)</f>
        <v>115.34243261718748</v>
      </c>
      <c r="I90" s="272">
        <f ca="1">IF(ISERROR(MATCH(I$1,INDIRECT("Table!A"&amp;$AN90):INDIRECT("Table!" &amp; $AQ$85 &amp; $AN90),0)),"",INDIRECT(CONCATENATE("Table!",ADDRESS($AJ90,MATCH(I$1,INDIRECT("Table!A" &amp; $AN90):INDIRECT("Table!" &amp; $AQ$85 &amp; $AN90),0))))/1024)</f>
        <v>9.4170527343749999</v>
      </c>
      <c r="J90" s="272" t="str">
        <f ca="1">IF(ISERROR(MATCH(J$1,INDIRECT("Table!A"&amp;$AN90):INDIRECT("Table!" &amp; $AQ$85 &amp; $AN90),0)),"",INDIRECT(CONCATENATE("Table!",ADDRESS($AJ90,MATCH(J$1,INDIRECT("Table!A" &amp; $AN90):INDIRECT("Table!" &amp; $AQ$85 &amp; $AN90),0))))/1024)</f>
        <v/>
      </c>
      <c r="K90" s="272" t="str">
        <f ca="1">IF(ISERROR(MATCH(K$1,INDIRECT("Table!A"&amp;$AN90):INDIRECT("Table!" &amp; $AQ$85 &amp; $AN90),0)),"",INDIRECT(CONCATENATE("Table!",ADDRESS($AJ90,MATCH(K$1,INDIRECT("Table!A" &amp; $AN90):INDIRECT("Table!" &amp; $AQ$85 &amp; $AN90),0))))/1024)</f>
        <v/>
      </c>
      <c r="L90" s="272">
        <f ca="1">IF(ISERROR(MATCH(L$1,INDIRECT("Table!A"&amp;$AN90):INDIRECT("Table!" &amp; $AQ$85 &amp; $AN90),0)),"",INDIRECT(CONCATENATE("Table!",ADDRESS($AJ90,MATCH(L$1,INDIRECT("Table!A" &amp; $AN90):INDIRECT("Table!" &amp; $AQ$85 &amp; $AN90),0))))/1024)</f>
        <v>274.18111230468747</v>
      </c>
      <c r="M90" s="272">
        <f ca="1">IF(ISERROR(MATCH(M$1,INDIRECT("Table!A"&amp;$AN90):INDIRECT("Table!" &amp; $AQ$85 &amp; $AN90),0)),"",INDIRECT(CONCATENATE("Table!",ADDRESS($AJ90,MATCH(M$1,INDIRECT("Table!A" &amp; $AN90):INDIRECT("Table!" &amp; $AQ$85 &amp; $AN90),0))))/1024)</f>
        <v>344.97364160156246</v>
      </c>
      <c r="N90" s="272">
        <f ca="1">IF(ISERROR(MATCH(N$1,INDIRECT("Table!A"&amp;$AN90):INDIRECT("Table!" &amp; $AQ$85 &amp; $AN90),0)),"",INDIRECT(CONCATENATE("Table!",ADDRESS($AJ90,MATCH(N$1,INDIRECT("Table!A" &amp; $AN90):INDIRECT("Table!" &amp; $AQ$85 &amp; $AN90),0))))/1024)</f>
        <v>122.6521728515625</v>
      </c>
      <c r="O90" s="272">
        <f ca="1">IF(ISERROR(MATCH(O$1,INDIRECT("Table!A"&amp;$AN90):INDIRECT("Table!" &amp; $AQ$85 &amp; $AN90),0)),"",INDIRECT(CONCATENATE("Table!",ADDRESS($AJ90,MATCH(O$1,INDIRECT("Table!A" &amp; $AN90):INDIRECT("Table!" &amp; $AQ$85 &amp; $AN90),0))))/1024)</f>
        <v>217.250748046875</v>
      </c>
      <c r="P90" s="272">
        <f ca="1">IF(ISERROR(MATCH(P$1,INDIRECT("Table!A"&amp;$AN90):INDIRECT("Table!" &amp; $AQ$85 &amp; $AN90),0)),"",INDIRECT(CONCATENATE("Table!",ADDRESS($AJ90,MATCH(P$1,INDIRECT("Table!A" &amp; $AN90):INDIRECT("Table!" &amp; $AQ$85 &amp; $AN90),0))))/1024)</f>
        <v>23.871899414062501</v>
      </c>
      <c r="Q90" s="272" t="str">
        <f ca="1">IF(ISERROR(MATCH(Q$1,INDIRECT("Table!A"&amp;$AN90):INDIRECT("Table!" &amp; $AQ$85 &amp; $AN90),0)),"",INDIRECT(CONCATENATE("Table!",ADDRESS($AJ90,MATCH(Q$1,INDIRECT("Table!A" &amp; $AN90):INDIRECT("Table!" &amp; $AQ$85 &amp; $AN90),0))))/1024)</f>
        <v/>
      </c>
      <c r="R90" s="272" t="str">
        <f ca="1">IF(ISERROR(MATCH(R$1,INDIRECT("Table!A"&amp;$AN90):INDIRECT("Table!" &amp; $AQ$85 &amp; $AN90),0)),"",INDIRECT(CONCATENATE("Table!",ADDRESS($AJ90,MATCH(R$1,INDIRECT("Table!A" &amp; $AN90):INDIRECT("Table!" &amp; $AQ$85 &amp; $AN90),0))))/1024)</f>
        <v/>
      </c>
      <c r="S90" s="595" t="str">
        <f ca="1">IF(ISERROR(MATCH(S$1,INDIRECT("Table!A"&amp;$AN90):INDIRECT("Table!" &amp; $AQ$85 &amp; $AN90),0)),"",INDIRECT(CONCATENATE("Table!",ADDRESS($AJ90,MATCH(S$1,INDIRECT("Table!A" &amp; $AN90):INDIRECT("Table!" &amp; $AQ$85 &amp; $AN90),0))))/1024)</f>
        <v/>
      </c>
      <c r="T90" s="595">
        <f ca="1">IF(ISERROR(MATCH(T$1,INDIRECT("Table!A"&amp;$AN90):INDIRECT("Table!" &amp; $AQ$85 &amp; $AN90),0)),"",INDIRECT(CONCATENATE("Table!",ADDRESS($AJ90,MATCH(T$1,INDIRECT("Table!A" &amp; $AN90):INDIRECT("Table!" &amp; $AQ$85 &amp; $AN90),0))))/1024)</f>
        <v>11.3597314453125</v>
      </c>
      <c r="U90" s="272" t="str">
        <f ca="1">IF(ISERROR(MATCH(U$1,INDIRECT("Table!A"&amp;$AN90):INDIRECT("Table!" &amp; $AQ$85 &amp; $AN90),0)),"",INDIRECT(CONCATENATE("Table!",ADDRESS($AJ90,MATCH(U$1,INDIRECT("Table!A" &amp; $AN90):INDIRECT("Table!" &amp; $AQ$85 &amp; $AN90),0))))/1024)</f>
        <v/>
      </c>
      <c r="V90" s="595"/>
      <c r="W90" s="595"/>
      <c r="X90" s="595"/>
      <c r="Y90" s="595"/>
      <c r="Z90" s="595"/>
      <c r="AA90" s="595"/>
      <c r="AB90" s="595"/>
      <c r="AC90" s="595"/>
      <c r="AD90" s="595"/>
      <c r="AE90" s="595"/>
      <c r="AF90" s="595"/>
      <c r="AG90" s="595"/>
      <c r="AH90" s="595"/>
      <c r="AI90" s="595"/>
      <c r="AJ90" s="272">
        <f>MATCH($A90,Table!$A:$A,0)+$AL$2-1</f>
        <v>1187</v>
      </c>
      <c r="AK90" s="341"/>
      <c r="AL90" s="341"/>
      <c r="AM90" s="341"/>
      <c r="AN90" s="272">
        <f>MATCH($A90,Table!$A:$A,0)+$AP$2-1</f>
        <v>1179</v>
      </c>
      <c r="AO90" s="341"/>
      <c r="AP90" s="341"/>
      <c r="AQ90" s="973" t="s">
        <v>302</v>
      </c>
      <c r="AR90" s="699">
        <f t="shared" ca="1" si="23"/>
        <v>2428.3813154296877</v>
      </c>
      <c r="AS90" s="699">
        <f t="shared" ca="1" si="22"/>
        <v>17.517035156250131</v>
      </c>
    </row>
    <row r="91" spans="1:45" s="267" customFormat="1" x14ac:dyDescent="0.25">
      <c r="A91" s="268">
        <v>41345</v>
      </c>
      <c r="B91" s="272">
        <f ca="1">IF(ISERROR(MATCH(B$1,INDIRECT("Table!A"&amp;$AN91):INDIRECT("Table!" &amp; $AQ$108 &amp; $AN91),0)),"",INDIRECT(CONCATENATE("Table!",ADDRESS($AJ91,MATCH(B$1,INDIRECT("Table!A" &amp; $AN91):INDIRECT("Table!" &amp; $AQ$108 &amp; $AN91),0))))/1024)</f>
        <v>187.748373046875</v>
      </c>
      <c r="C91" s="272">
        <f ca="1">IF(ISERROR(MATCH(C$1,INDIRECT("Table!A"&amp;$AN91):INDIRECT("Table!" &amp; $AQ$108 &amp; $AN91),0)),"",INDIRECT(CONCATENATE("Table!",ADDRESS($AJ91,MATCH(C$1,INDIRECT("Table!A" &amp; $AN91):INDIRECT("Table!" &amp; $AQ$108 &amp; $AN91),0))))/1024)</f>
        <v>87.157127929687491</v>
      </c>
      <c r="D91" s="272">
        <f ca="1">IF(ISERROR(MATCH(D$1,INDIRECT("Table!A"&amp;$AN91):INDIRECT("Table!" &amp; $AQ$108 &amp; $AN91),0)),"",INDIRECT(CONCATENATE("Table!",ADDRESS($AJ91,MATCH(D$1,INDIRECT("Table!A" &amp; $AN91):INDIRECT("Table!" &amp; $AQ$108 &amp; $AN91),0))))/1024)</f>
        <v>88.177857421875004</v>
      </c>
      <c r="E91" s="272">
        <f ca="1">IF(ISERROR(MATCH(E$1,INDIRECT("Table!A"&amp;$AN91):INDIRECT("Table!" &amp; $AQ$108 &amp; $AN91),0)),"",INDIRECT(CONCATENATE("Table!",ADDRESS($AJ91,MATCH(E$1,INDIRECT("Table!A" &amp; $AN91):INDIRECT("Table!" &amp; $AQ$108 &amp; $AN91),0))))/1024)</f>
        <v>271.51404492187498</v>
      </c>
      <c r="F91" s="272">
        <f ca="1">IF(ISERROR(MATCH(F$1,INDIRECT("Table!A"&amp;$AN91):INDIRECT("Table!" &amp; $AQ$108 &amp; $AN91),0)),"",INDIRECT(CONCATENATE("Table!",ADDRESS($AJ91,MATCH(F$1,INDIRECT("Table!A" &amp; $AN91):INDIRECT("Table!" &amp; $AQ$108 &amp; $AN91),0))))/1024)</f>
        <v>233.05559179687498</v>
      </c>
      <c r="G91" s="272">
        <f ca="1">IF(ISERROR(MATCH(G$1,INDIRECT("Table!A"&amp;$AN91):INDIRECT("Table!" &amp; $AQ$108 &amp; $AN91),0)),"",INDIRECT(CONCATENATE("Table!",ADDRESS($AJ91,MATCH(G$1,INDIRECT("Table!A" &amp; $AN91):INDIRECT("Table!" &amp; $AQ$108 &amp; $AN91),0))))/1024)</f>
        <v>440.92221386718751</v>
      </c>
      <c r="H91" s="272">
        <f ca="1">IF(ISERROR(MATCH(H$1,INDIRECT("Table!A"&amp;$AN91):INDIRECT("Table!" &amp; $AQ$108 &amp; $AN91),0)),"",INDIRECT(CONCATENATE("Table!",ADDRESS($AJ91,MATCH(H$1,INDIRECT("Table!A" &amp; $AN91):INDIRECT("Table!" &amp; $AQ$108 &amp; $AN91),0))))/1024)</f>
        <v>111.72048925781249</v>
      </c>
      <c r="I91" s="272">
        <f ca="1">IF(ISERROR(MATCH(I$1,INDIRECT("Table!A"&amp;$AN91):INDIRECT("Table!" &amp; $AQ$85 &amp; $AN91),0)),"",INDIRECT(CONCATENATE("Table!",ADDRESS($AJ91,MATCH(I$1,INDIRECT("Table!A" &amp; $AN91):INDIRECT("Table!" &amp; $AQ$85 &amp; $AN91),0))))/1024)</f>
        <v>9.4170527343749999</v>
      </c>
      <c r="J91" s="272" t="str">
        <f ca="1">IF(ISERROR(MATCH(J$1,INDIRECT("Table!A"&amp;$AN91):INDIRECT("Table!" &amp; $AQ$85 &amp; $AN91),0)),"",INDIRECT(CONCATENATE("Table!",ADDRESS($AJ91,MATCH(J$1,INDIRECT("Table!A" &amp; $AN91):INDIRECT("Table!" &amp; $AQ$85 &amp; $AN91),0))))/1024)</f>
        <v/>
      </c>
      <c r="K91" s="272" t="str">
        <f ca="1">IF(ISERROR(MATCH(K$1,INDIRECT("Table!A"&amp;$AN91):INDIRECT("Table!" &amp; $AQ$85 &amp; $AN91),0)),"",INDIRECT(CONCATENATE("Table!",ADDRESS($AJ91,MATCH(K$1,INDIRECT("Table!A" &amp; $AN91):INDIRECT("Table!" &amp; $AQ$85 &amp; $AN91),0))))/1024)</f>
        <v/>
      </c>
      <c r="L91" s="272">
        <f ca="1">IF(ISERROR(MATCH(L$1,INDIRECT("Table!A"&amp;$AN91):INDIRECT("Table!" &amp; $AQ$85 &amp; $AN91),0)),"",INDIRECT(CONCATENATE("Table!",ADDRESS($AJ91,MATCH(L$1,INDIRECT("Table!A" &amp; $AN91):INDIRECT("Table!" &amp; $AQ$85 &amp; $AN91),0))))/1024)</f>
        <v>274.18111230468747</v>
      </c>
      <c r="M91" s="272">
        <f ca="1">IF(ISERROR(MATCH(M$1,INDIRECT("Table!A"&amp;$AN91):INDIRECT("Table!" &amp; $AQ$85 &amp; $AN91),0)),"",INDIRECT(CONCATENATE("Table!",ADDRESS($AJ91,MATCH(M$1,INDIRECT("Table!A" &amp; $AN91):INDIRECT("Table!" &amp; $AQ$85 &amp; $AN91),0))))/1024)</f>
        <v>335.95170996093748</v>
      </c>
      <c r="N91" s="272">
        <f ca="1">IF(ISERROR(MATCH(N$1,INDIRECT("Table!A"&amp;$AN91):INDIRECT("Table!" &amp; $AQ$85 &amp; $AN91),0)),"",INDIRECT(CONCATENATE("Table!",ADDRESS($AJ91,MATCH(N$1,INDIRECT("Table!A" &amp; $AN91):INDIRECT("Table!" &amp; $AQ$85 &amp; $AN91),0))))/1024)</f>
        <v>122.6521728515625</v>
      </c>
      <c r="O91" s="272">
        <f ca="1">IF(ISERROR(MATCH(O$1,INDIRECT("Table!A"&amp;$AN91):INDIRECT("Table!" &amp; $AQ$85 &amp; $AN91),0)),"",INDIRECT(CONCATENATE("Table!",ADDRESS($AJ91,MATCH(O$1,INDIRECT("Table!A" &amp; $AN91):INDIRECT("Table!" &amp; $AQ$85 &amp; $AN91),0))))/1024)</f>
        <v>213.1349033203125</v>
      </c>
      <c r="P91" s="272">
        <f ca="1">IF(ISERROR(MATCH(P$1,INDIRECT("Table!A"&amp;$AN91):INDIRECT("Table!" &amp; $AQ$85 &amp; $AN91),0)),"",INDIRECT(CONCATENATE("Table!",ADDRESS($AJ91,MATCH(P$1,INDIRECT("Table!A" &amp; $AN91):INDIRECT("Table!" &amp; $AQ$85 &amp; $AN91),0))))/1024)</f>
        <v>23.871899414062501</v>
      </c>
      <c r="Q91" s="272" t="str">
        <f ca="1">IF(ISERROR(MATCH(Q$1,INDIRECT("Table!A"&amp;$AN91):INDIRECT("Table!" &amp; $AQ$85 &amp; $AN91),0)),"",INDIRECT(CONCATENATE("Table!",ADDRESS($AJ91,MATCH(Q$1,INDIRECT("Table!A" &amp; $AN91):INDIRECT("Table!" &amp; $AQ$85 &amp; $AN91),0))))/1024)</f>
        <v/>
      </c>
      <c r="R91" s="272" t="str">
        <f ca="1">IF(ISERROR(MATCH(R$1,INDIRECT("Table!A"&amp;$AN91):INDIRECT("Table!" &amp; $AQ$85 &amp; $AN91),0)),"",INDIRECT(CONCATENATE("Table!",ADDRESS($AJ91,MATCH(R$1,INDIRECT("Table!A" &amp; $AN91):INDIRECT("Table!" &amp; $AQ$85 &amp; $AN91),0))))/1024)</f>
        <v/>
      </c>
      <c r="S91" s="595" t="str">
        <f ca="1">IF(ISERROR(MATCH(S$1,INDIRECT("Table!A"&amp;$AN91):INDIRECT("Table!" &amp; $AQ$85 &amp; $AN91),0)),"",INDIRECT(CONCATENATE("Table!",ADDRESS($AJ91,MATCH(S$1,INDIRECT("Table!A" &amp; $AN91):INDIRECT("Table!" &amp; $AQ$85 &amp; $AN91),0))))/1024)</f>
        <v/>
      </c>
      <c r="T91" s="595">
        <f ca="1">IF(ISERROR(MATCH(T$1,INDIRECT("Table!A"&amp;$AN91):INDIRECT("Table!" &amp; $AQ$85 &amp; $AN91),0)),"",INDIRECT(CONCATENATE("Table!",ADDRESS($AJ91,MATCH(T$1,INDIRECT("Table!A" &amp; $AN91):INDIRECT("Table!" &amp; $AQ$85 &amp; $AN91),0))))/1024)</f>
        <v>11.3597314453125</v>
      </c>
      <c r="U91" s="272" t="str">
        <f ca="1">IF(ISERROR(MATCH(U$1,INDIRECT("Table!A"&amp;$AN91):INDIRECT("Table!" &amp; $AQ$85 &amp; $AN91),0)),"",INDIRECT(CONCATENATE("Table!",ADDRESS($AJ91,MATCH(U$1,INDIRECT("Table!A" &amp; $AN91):INDIRECT("Table!" &amp; $AQ$85 &amp; $AN91),0))))/1024)</f>
        <v/>
      </c>
      <c r="V91" s="595"/>
      <c r="W91" s="595"/>
      <c r="X91" s="595"/>
      <c r="Y91" s="595"/>
      <c r="Z91" s="595"/>
      <c r="AA91" s="595"/>
      <c r="AB91" s="595"/>
      <c r="AC91" s="595"/>
      <c r="AD91" s="595"/>
      <c r="AE91" s="595"/>
      <c r="AF91" s="595"/>
      <c r="AG91" s="595"/>
      <c r="AH91" s="595"/>
      <c r="AI91" s="595"/>
      <c r="AJ91" s="272">
        <f>MATCH($A91,Table!$A:$A,0)+$AL$2-1</f>
        <v>1199</v>
      </c>
      <c r="AK91" s="340"/>
      <c r="AL91" s="340"/>
      <c r="AM91" s="340"/>
      <c r="AN91" s="272">
        <f>MATCH($A91,Table!$A:$A,0)+$AP$2-1</f>
        <v>1191</v>
      </c>
      <c r="AO91" s="340"/>
      <c r="AP91" s="340"/>
      <c r="AQ91" s="973" t="s">
        <v>302</v>
      </c>
      <c r="AR91" s="699">
        <f t="shared" ca="1" si="23"/>
        <v>2410.8642802734375</v>
      </c>
      <c r="AS91" s="699">
        <f t="shared" ca="1" si="22"/>
        <v>6.5853515624894499E-2</v>
      </c>
    </row>
    <row r="92" spans="1:45" s="267" customFormat="1" x14ac:dyDescent="0.25">
      <c r="A92" s="268">
        <v>41344</v>
      </c>
      <c r="B92" s="272">
        <f ca="1">IF(ISERROR(MATCH(B$1,INDIRECT("Table!A"&amp;$AN92):INDIRECT("Table!" &amp; $AQ$108 &amp; $AN92),0)),"",INDIRECT(CONCATENATE("Table!",ADDRESS($AJ92,MATCH(B$1,INDIRECT("Table!A" &amp; $AN92):INDIRECT("Table!" &amp; $AQ$108 &amp; $AN92),0))))/1024)</f>
        <v>187.748373046875</v>
      </c>
      <c r="C92" s="272">
        <f ca="1">IF(ISERROR(MATCH(C$1,INDIRECT("Table!A"&amp;$AN92):INDIRECT("Table!" &amp; $AQ$108 &amp; $AN92),0)),"",INDIRECT(CONCATENATE("Table!",ADDRESS($AJ92,MATCH(C$1,INDIRECT("Table!A" &amp; $AN92):INDIRECT("Table!" &amp; $AQ$108 &amp; $AN92),0))))/1024)</f>
        <v>87.157127929687491</v>
      </c>
      <c r="D92" s="272">
        <f ca="1">IF(ISERROR(MATCH(D$1,INDIRECT("Table!A"&amp;$AN92):INDIRECT("Table!" &amp; $AQ$108 &amp; $AN92),0)),"",INDIRECT(CONCATENATE("Table!",ADDRESS($AJ92,MATCH(D$1,INDIRECT("Table!A" &amp; $AN92):INDIRECT("Table!" &amp; $AQ$108 &amp; $AN92),0))))/1024)</f>
        <v>88.177857421875004</v>
      </c>
      <c r="E92" s="272">
        <f ca="1">IF(ISERROR(MATCH(E$1,INDIRECT("Table!A"&amp;$AN92):INDIRECT("Table!" &amp; $AQ$108 &amp; $AN92),0)),"",INDIRECT(CONCATENATE("Table!",ADDRESS($AJ92,MATCH(E$1,INDIRECT("Table!A" &amp; $AN92):INDIRECT("Table!" &amp; $AQ$108 &amp; $AN92),0))))/1024)</f>
        <v>271.51404492187498</v>
      </c>
      <c r="F92" s="272">
        <f ca="1">IF(ISERROR(MATCH(F$1,INDIRECT("Table!A"&amp;$AN92):INDIRECT("Table!" &amp; $AQ$108 &amp; $AN92),0)),"",INDIRECT(CONCATENATE("Table!",ADDRESS($AJ92,MATCH(F$1,INDIRECT("Table!A" &amp; $AN92):INDIRECT("Table!" &amp; $AQ$108 &amp; $AN92),0))))/1024)</f>
        <v>233.05559179687498</v>
      </c>
      <c r="G92" s="272">
        <f ca="1">IF(ISERROR(MATCH(G$1,INDIRECT("Table!A"&amp;$AN92):INDIRECT("Table!" &amp; $AQ$108 &amp; $AN92),0)),"",INDIRECT(CONCATENATE("Table!",ADDRESS($AJ92,MATCH(G$1,INDIRECT("Table!A" &amp; $AN92):INDIRECT("Table!" &amp; $AQ$108 &amp; $AN92),0))))/1024)</f>
        <v>440.92221386718751</v>
      </c>
      <c r="H92" s="272">
        <f ca="1">IF(ISERROR(MATCH(H$1,INDIRECT("Table!A"&amp;$AN92):INDIRECT("Table!" &amp; $AQ$108 &amp; $AN92),0)),"",INDIRECT(CONCATENATE("Table!",ADDRESS($AJ92,MATCH(H$1,INDIRECT("Table!A" &amp; $AN92):INDIRECT("Table!" &amp; $AQ$108 &amp; $AN92),0))))/1024)</f>
        <v>111.72048925781249</v>
      </c>
      <c r="I92" s="272">
        <f ca="1">IF(ISERROR(MATCH(I$1,INDIRECT("Table!A"&amp;$AN92):INDIRECT("Table!" &amp; $AQ$85 &amp; $AN92),0)),"",INDIRECT(CONCATENATE("Table!",ADDRESS($AJ92,MATCH(I$1,INDIRECT("Table!A" &amp; $AN92):INDIRECT("Table!" &amp; $AQ$85 &amp; $AN92),0))))/1024)</f>
        <v>9.4170527343749999</v>
      </c>
      <c r="J92" s="272" t="str">
        <f ca="1">IF(ISERROR(MATCH(J$1,INDIRECT("Table!A"&amp;$AN92):INDIRECT("Table!" &amp; $AQ$85 &amp; $AN92),0)),"",INDIRECT(CONCATENATE("Table!",ADDRESS($AJ92,MATCH(J$1,INDIRECT("Table!A" &amp; $AN92):INDIRECT("Table!" &amp; $AQ$85 &amp; $AN92),0))))/1024)</f>
        <v/>
      </c>
      <c r="K92" s="272" t="str">
        <f ca="1">IF(ISERROR(MATCH(K$1,INDIRECT("Table!A"&amp;$AN92):INDIRECT("Table!" &amp; $AQ$85 &amp; $AN92),0)),"",INDIRECT(CONCATENATE("Table!",ADDRESS($AJ92,MATCH(K$1,INDIRECT("Table!A" &amp; $AN92):INDIRECT("Table!" &amp; $AQ$85 &amp; $AN92),0))))/1024)</f>
        <v/>
      </c>
      <c r="L92" s="272">
        <f ca="1">IF(ISERROR(MATCH(L$1,INDIRECT("Table!A"&amp;$AN92):INDIRECT("Table!" &amp; $AQ$85 &amp; $AN92),0)),"",INDIRECT(CONCATENATE("Table!",ADDRESS($AJ92,MATCH(L$1,INDIRECT("Table!A" &amp; $AN92):INDIRECT("Table!" &amp; $AQ$85 &amp; $AN92),0))))/1024)</f>
        <v>274.18111230468747</v>
      </c>
      <c r="M92" s="272">
        <f ca="1">IF(ISERROR(MATCH(M$1,INDIRECT("Table!A"&amp;$AN92):INDIRECT("Table!" &amp; $AQ$85 &amp; $AN92),0)),"",INDIRECT(CONCATENATE("Table!",ADDRESS($AJ92,MATCH(M$1,INDIRECT("Table!A" &amp; $AN92):INDIRECT("Table!" &amp; $AQ$85 &amp; $AN92),0))))/1024)</f>
        <v>335.88585644531247</v>
      </c>
      <c r="N92" s="272">
        <f ca="1">IF(ISERROR(MATCH(N$1,INDIRECT("Table!A"&amp;$AN92):INDIRECT("Table!" &amp; $AQ$85 &amp; $AN92),0)),"",INDIRECT(CONCATENATE("Table!",ADDRESS($AJ92,MATCH(N$1,INDIRECT("Table!A" &amp; $AN92):INDIRECT("Table!" &amp; $AQ$85 &amp; $AN92),0))))/1024)</f>
        <v>122.6521728515625</v>
      </c>
      <c r="O92" s="272">
        <f ca="1">IF(ISERROR(MATCH(O$1,INDIRECT("Table!A"&amp;$AN92):INDIRECT("Table!" &amp; $AQ$85 &amp; $AN92),0)),"",INDIRECT(CONCATENATE("Table!",ADDRESS($AJ92,MATCH(O$1,INDIRECT("Table!A" &amp; $AN92):INDIRECT("Table!" &amp; $AQ$85 &amp; $AN92),0))))/1024)</f>
        <v>213.1349033203125</v>
      </c>
      <c r="P92" s="272">
        <f ca="1">IF(ISERROR(MATCH(P$1,INDIRECT("Table!A"&amp;$AN92):INDIRECT("Table!" &amp; $AQ$85 &amp; $AN92),0)),"",INDIRECT(CONCATENATE("Table!",ADDRESS($AJ92,MATCH(P$1,INDIRECT("Table!A" &amp; $AN92):INDIRECT("Table!" &amp; $AQ$85 &amp; $AN92),0))))/1024)</f>
        <v>23.871899414062501</v>
      </c>
      <c r="Q92" s="272" t="str">
        <f ca="1">IF(ISERROR(MATCH(Q$1,INDIRECT("Table!A"&amp;$AN92):INDIRECT("Table!" &amp; $AQ$85 &amp; $AN92),0)),"",INDIRECT(CONCATENATE("Table!",ADDRESS($AJ92,MATCH(Q$1,INDIRECT("Table!A" &amp; $AN92):INDIRECT("Table!" &amp; $AQ$85 &amp; $AN92),0))))/1024)</f>
        <v/>
      </c>
      <c r="R92" s="272" t="str">
        <f ca="1">IF(ISERROR(MATCH(R$1,INDIRECT("Table!A"&amp;$AN92):INDIRECT("Table!" &amp; $AQ$85 &amp; $AN92),0)),"",INDIRECT(CONCATENATE("Table!",ADDRESS($AJ92,MATCH(R$1,INDIRECT("Table!A" &amp; $AN92):INDIRECT("Table!" &amp; $AQ$85 &amp; $AN92),0))))/1024)</f>
        <v/>
      </c>
      <c r="S92" s="595" t="str">
        <f ca="1">IF(ISERROR(MATCH(S$1,INDIRECT("Table!A"&amp;$AN92):INDIRECT("Table!" &amp; $AQ$85 &amp; $AN92),0)),"",INDIRECT(CONCATENATE("Table!",ADDRESS($AJ92,MATCH(S$1,INDIRECT("Table!A" &amp; $AN92):INDIRECT("Table!" &amp; $AQ$85 &amp; $AN92),0))))/1024)</f>
        <v/>
      </c>
      <c r="T92" s="595">
        <f ca="1">IF(ISERROR(MATCH(T$1,INDIRECT("Table!A"&amp;$AN92):INDIRECT("Table!" &amp; $AQ$85 &amp; $AN92),0)),"",INDIRECT(CONCATENATE("Table!",ADDRESS($AJ92,MATCH(T$1,INDIRECT("Table!A" &amp; $AN92):INDIRECT("Table!" &amp; $AQ$85 &amp; $AN92),0))))/1024)</f>
        <v>11.3597314453125</v>
      </c>
      <c r="U92" s="272" t="str">
        <f ca="1">IF(ISERROR(MATCH(U$1,INDIRECT("Table!A"&amp;$AN92):INDIRECT("Table!" &amp; $AQ$85 &amp; $AN92),0)),"",INDIRECT(CONCATENATE("Table!",ADDRESS($AJ92,MATCH(U$1,INDIRECT("Table!A" &amp; $AN92):INDIRECT("Table!" &amp; $AQ$85 &amp; $AN92),0))))/1024)</f>
        <v/>
      </c>
      <c r="V92" s="595"/>
      <c r="W92" s="595"/>
      <c r="X92" s="595"/>
      <c r="Y92" s="595"/>
      <c r="Z92" s="595"/>
      <c r="AA92" s="595"/>
      <c r="AB92" s="595"/>
      <c r="AC92" s="595"/>
      <c r="AD92" s="595"/>
      <c r="AE92" s="595"/>
      <c r="AF92" s="595"/>
      <c r="AG92" s="595"/>
      <c r="AH92" s="595"/>
      <c r="AI92" s="595"/>
      <c r="AJ92" s="272">
        <f>MATCH($A92,Table!$A:$A,0)+$AL$2-1</f>
        <v>1211</v>
      </c>
      <c r="AK92" s="339"/>
      <c r="AL92" s="339"/>
      <c r="AM92" s="339"/>
      <c r="AN92" s="272">
        <f>MATCH($A92,Table!$A:$A,0)+$AP$2-1</f>
        <v>1203</v>
      </c>
      <c r="AO92" s="339"/>
      <c r="AP92" s="339"/>
      <c r="AQ92" s="973" t="s">
        <v>302</v>
      </c>
      <c r="AR92" s="699">
        <f t="shared" ca="1" si="23"/>
        <v>2410.7984267578126</v>
      </c>
      <c r="AS92" s="699">
        <f t="shared" ca="1" si="22"/>
        <v>50.365497070312813</v>
      </c>
    </row>
    <row r="93" spans="1:45" s="267" customFormat="1" x14ac:dyDescent="0.25">
      <c r="A93" s="268">
        <v>41341</v>
      </c>
      <c r="B93" s="272">
        <f ca="1">IF(ISERROR(MATCH(B$1,INDIRECT("Table!A"&amp;$AN93):INDIRECT("Table!" &amp; $AQ$108 &amp; $AN93),0)),"",INDIRECT(CONCATENATE("Table!",ADDRESS($AJ93,MATCH(B$1,INDIRECT("Table!A" &amp; $AN93):INDIRECT("Table!" &amp; $AQ$108 &amp; $AN93),0))))/1024)</f>
        <v>186.8759765625</v>
      </c>
      <c r="C93" s="272">
        <f ca="1">IF(ISERROR(MATCH(C$1,INDIRECT("Table!A"&amp;$AN93):INDIRECT("Table!" &amp; $AQ$108 &amp; $AN93),0)),"",INDIRECT(CONCATENATE("Table!",ADDRESS($AJ93,MATCH(C$1,INDIRECT("Table!A" &amp; $AN93):INDIRECT("Table!" &amp; $AQ$108 &amp; $AN93),0))))/1024)</f>
        <v>87.066093749999993</v>
      </c>
      <c r="D93" s="272">
        <f ca="1">IF(ISERROR(MATCH(D$1,INDIRECT("Table!A"&amp;$AN93):INDIRECT("Table!" &amp; $AQ$108 &amp; $AN93),0)),"",INDIRECT(CONCATENATE("Table!",ADDRESS($AJ93,MATCH(D$1,INDIRECT("Table!A" &amp; $AN93):INDIRECT("Table!" &amp; $AQ$108 &amp; $AN93),0))))/1024)</f>
        <v>88.0869140625</v>
      </c>
      <c r="E93" s="272">
        <f ca="1">IF(ISERROR(MATCH(E$1,INDIRECT("Table!A"&amp;$AN93):INDIRECT("Table!" &amp; $AQ$108 &amp; $AN93),0)),"",INDIRECT(CONCATENATE("Table!",ADDRESS($AJ93,MATCH(E$1,INDIRECT("Table!A" &amp; $AN93):INDIRECT("Table!" &amp; $AQ$108 &amp; $AN93),0))))/1024)</f>
        <v>271.538203125</v>
      </c>
      <c r="F93" s="272">
        <f ca="1">IF(ISERROR(MATCH(F$1,INDIRECT("Table!A"&amp;$AN93):INDIRECT("Table!" &amp; $AQ$108 &amp; $AN93),0)),"",INDIRECT(CONCATENATE("Table!",ADDRESS($AJ93,MATCH(F$1,INDIRECT("Table!A" &amp; $AN93):INDIRECT("Table!" &amp; $AQ$108 &amp; $AN93),0))))/1024)</f>
        <v>233.076328125</v>
      </c>
      <c r="G93" s="272">
        <f ca="1">IF(ISERROR(MATCH(G$1,INDIRECT("Table!A"&amp;$AN93):INDIRECT("Table!" &amp; $AQ$108 &amp; $AN93),0)),"",INDIRECT(CONCATENATE("Table!",ADDRESS($AJ93,MATCH(G$1,INDIRECT("Table!A" &amp; $AN93):INDIRECT("Table!" &amp; $AQ$108 &amp; $AN93),0))))/1024)</f>
        <v>440.96144531249996</v>
      </c>
      <c r="H93" s="272">
        <f ca="1">IF(ISERROR(MATCH(H$1,INDIRECT("Table!A"&amp;$AN93):INDIRECT("Table!" &amp; $AQ$108 &amp; $AN93),0)),"",INDIRECT(CONCATENATE("Table!",ADDRESS($AJ93,MATCH(H$1,INDIRECT("Table!A" &amp; $AN93):INDIRECT("Table!" &amp; $AQ$108 &amp; $AN93),0))))/1024)</f>
        <v>111.73042968749999</v>
      </c>
      <c r="I93" s="272">
        <f ca="1">IF(ISERROR(MATCH(I$1,INDIRECT("Table!A"&amp;$AN93):INDIRECT("Table!" &amp; $AQ$85 &amp; $AN93),0)),"",INDIRECT(CONCATENATE("Table!",ADDRESS($AJ93,MATCH(I$1,INDIRECT("Table!A" &amp; $AN93):INDIRECT("Table!" &amp; $AQ$85 &amp; $AN93),0))))/1024)</f>
        <v>9.4178906250000001</v>
      </c>
      <c r="J93" s="272" t="str">
        <f ca="1">IF(ISERROR(MATCH(J$1,INDIRECT("Table!A"&amp;$AN93):INDIRECT("Table!" &amp; $AQ$85 &amp; $AN93),0)),"",INDIRECT(CONCATENATE("Table!",ADDRESS($AJ93,MATCH(J$1,INDIRECT("Table!A" &amp; $AN93):INDIRECT("Table!" &amp; $AQ$85 &amp; $AN93),0))))/1024)</f>
        <v/>
      </c>
      <c r="K93" s="272" t="str">
        <f ca="1">IF(ISERROR(MATCH(K$1,INDIRECT("Table!A"&amp;$AN93):INDIRECT("Table!" &amp; $AQ$85 &amp; $AN93),0)),"",INDIRECT(CONCATENATE("Table!",ADDRESS($AJ93,MATCH(K$1,INDIRECT("Table!A" &amp; $AN93):INDIRECT("Table!" &amp; $AQ$85 &amp; $AN93),0))))/1024)</f>
        <v/>
      </c>
      <c r="L93" s="272">
        <f ca="1">IF(ISERROR(MATCH(L$1,INDIRECT("Table!A"&amp;$AN93):INDIRECT("Table!" &amp; $AQ$85 &amp; $AN93),0)),"",INDIRECT(CONCATENATE("Table!",ADDRESS($AJ93,MATCH(L$1,INDIRECT("Table!A" &amp; $AN93):INDIRECT("Table!" &amp; $AQ$85 &amp; $AN93),0))))/1024)</f>
        <v>274.2055078125</v>
      </c>
      <c r="M93" s="272">
        <f ca="1">IF(ISERROR(MATCH(M$1,INDIRECT("Table!A"&amp;$AN93):INDIRECT("Table!" &amp; $AQ$85 &amp; $AN93),0)),"",INDIRECT(CONCATENATE("Table!",ADDRESS($AJ93,MATCH(M$1,INDIRECT("Table!A" &amp; $AN93):INDIRECT("Table!" &amp; $AQ$85 &amp; $AN93),0))))/1024)</f>
        <v>335.91574218749997</v>
      </c>
      <c r="N93" s="272">
        <f ca="1">IF(ISERROR(MATCH(N$1,INDIRECT("Table!A"&amp;$AN93):INDIRECT("Table!" &amp; $AQ$85 &amp; $AN93),0)),"",INDIRECT(CONCATENATE("Table!",ADDRESS($AJ93,MATCH(N$1,INDIRECT("Table!A" &amp; $AN93):INDIRECT("Table!" &amp; $AQ$85 &amp; $AN93),0))))/1024)</f>
        <v>73.169765624999997</v>
      </c>
      <c r="O93" s="272">
        <f ca="1">IF(ISERROR(MATCH(O$1,INDIRECT("Table!A"&amp;$AN93):INDIRECT("Table!" &amp; $AQ$85 &amp; $AN93),0)),"",INDIRECT(CONCATENATE("Table!",ADDRESS($AJ93,MATCH(O$1,INDIRECT("Table!A" &amp; $AN93):INDIRECT("Table!" &amp; $AQ$85 &amp; $AN93),0))))/1024)</f>
        <v>213.1538671875</v>
      </c>
      <c r="P93" s="272">
        <f ca="1">IF(ISERROR(MATCH(P$1,INDIRECT("Table!A"&amp;$AN93):INDIRECT("Table!" &amp; $AQ$85 &amp; $AN93),0)),"",INDIRECT(CONCATENATE("Table!",ADDRESS($AJ93,MATCH(P$1,INDIRECT("Table!A" &amp; $AN93):INDIRECT("Table!" &amp; $AQ$85 &amp; $AN93),0))))/1024)</f>
        <v>23.8740234375</v>
      </c>
      <c r="Q93" s="272" t="str">
        <f ca="1">IF(ISERROR(MATCH(Q$1,INDIRECT("Table!A"&amp;$AN93):INDIRECT("Table!" &amp; $AQ$85 &amp; $AN93),0)),"",INDIRECT(CONCATENATE("Table!",ADDRESS($AJ93,MATCH(Q$1,INDIRECT("Table!A" &amp; $AN93):INDIRECT("Table!" &amp; $AQ$85 &amp; $AN93),0))))/1024)</f>
        <v/>
      </c>
      <c r="R93" s="272" t="str">
        <f ca="1">IF(ISERROR(MATCH(R$1,INDIRECT("Table!A"&amp;$AN93):INDIRECT("Table!" &amp; $AQ$85 &amp; $AN93),0)),"",INDIRECT(CONCATENATE("Table!",ADDRESS($AJ93,MATCH(R$1,INDIRECT("Table!A" &amp; $AN93):INDIRECT("Table!" &amp; $AQ$85 &amp; $AN93),0))))/1024)</f>
        <v/>
      </c>
      <c r="S93" s="595" t="str">
        <f ca="1">IF(ISERROR(MATCH(S$1,INDIRECT("Table!A"&amp;$AN93):INDIRECT("Table!" &amp; $AQ$85 &amp; $AN93),0)),"",INDIRECT(CONCATENATE("Table!",ADDRESS($AJ93,MATCH(S$1,INDIRECT("Table!A" &amp; $AN93):INDIRECT("Table!" &amp; $AQ$85 &amp; $AN93),0))))/1024)</f>
        <v/>
      </c>
      <c r="T93" s="595">
        <f ca="1">IF(ISERROR(MATCH(T$1,INDIRECT("Table!A"&amp;$AN93):INDIRECT("Table!" &amp; $AQ$85 &amp; $AN93),0)),"",INDIRECT(CONCATENATE("Table!",ADDRESS($AJ93,MATCH(T$1,INDIRECT("Table!A" &amp; $AN93):INDIRECT("Table!" &amp; $AQ$85 &amp; $AN93),0))))/1024)</f>
        <v>11.3607421875</v>
      </c>
      <c r="U93" s="272" t="str">
        <f ca="1">IF(ISERROR(MATCH(U$1,INDIRECT("Table!A"&amp;$AN93):INDIRECT("Table!" &amp; $AQ$85 &amp; $AN93),0)),"",INDIRECT(CONCATENATE("Table!",ADDRESS($AJ93,MATCH(U$1,INDIRECT("Table!A" &amp; $AN93):INDIRECT("Table!" &amp; $AQ$85 &amp; $AN93),0))))/1024)</f>
        <v/>
      </c>
      <c r="V93" s="595"/>
      <c r="W93" s="595"/>
      <c r="X93" s="595"/>
      <c r="Y93" s="595"/>
      <c r="Z93" s="595"/>
      <c r="AA93" s="595"/>
      <c r="AB93" s="595"/>
      <c r="AC93" s="595"/>
      <c r="AD93" s="595"/>
      <c r="AE93" s="595"/>
      <c r="AF93" s="595"/>
      <c r="AG93" s="595"/>
      <c r="AH93" s="595"/>
      <c r="AI93" s="595"/>
      <c r="AJ93" s="272">
        <f>MATCH($A93,Table!$A:$A,0)+$AL$2-1</f>
        <v>1223</v>
      </c>
      <c r="AK93" s="337"/>
      <c r="AL93" s="337"/>
      <c r="AM93" s="337"/>
      <c r="AN93" s="272">
        <f>MATCH($A93,Table!$A:$A,0)+$AP$2-1</f>
        <v>1215</v>
      </c>
      <c r="AO93" s="337"/>
      <c r="AP93" s="337"/>
      <c r="AQ93" s="973" t="s">
        <v>302</v>
      </c>
      <c r="AR93" s="699">
        <f t="shared" ca="1" si="23"/>
        <v>2360.4329296874998</v>
      </c>
      <c r="AS93" s="699">
        <f t="shared" ca="1" si="22"/>
        <v>3.5893359374999818</v>
      </c>
    </row>
    <row r="94" spans="1:45" s="267" customFormat="1" x14ac:dyDescent="0.25">
      <c r="A94" s="268">
        <v>41340</v>
      </c>
      <c r="B94" s="272">
        <f ca="1">IF(ISERROR(MATCH(B$1,INDIRECT("Table!A"&amp;$AN94):INDIRECT("Table!" &amp; $AQ$108 &amp; $AN94),0)),"",INDIRECT(CONCATENATE("Table!",ADDRESS($AJ94,MATCH(B$1,INDIRECT("Table!A" &amp; $AN94):INDIRECT("Table!" &amp; $AQ$108 &amp; $AN94),0))))/1024)</f>
        <v>185.65757812499999</v>
      </c>
      <c r="C94" s="272">
        <f ca="1">IF(ISERROR(MATCH(C$1,INDIRECT("Table!A"&amp;$AN94):INDIRECT("Table!" &amp; $AQ$108 &amp; $AN94),0)),"",INDIRECT(CONCATENATE("Table!",ADDRESS($AJ94,MATCH(C$1,INDIRECT("Table!A" &amp; $AN94):INDIRECT("Table!" &amp; $AQ$108 &amp; $AN94),0))))/1024)</f>
        <v>86.967304687500004</v>
      </c>
      <c r="D94" s="272">
        <f ca="1">IF(ISERROR(MATCH(D$1,INDIRECT("Table!A"&amp;$AN94):INDIRECT("Table!" &amp; $AQ$108 &amp; $AN94),0)),"",INDIRECT(CONCATENATE("Table!",ADDRESS($AJ94,MATCH(D$1,INDIRECT("Table!A" &amp; $AN94):INDIRECT("Table!" &amp; $AQ$108 &amp; $AN94),0))))/1024)</f>
        <v>87.988124999999997</v>
      </c>
      <c r="E94" s="272">
        <f ca="1">IF(ISERROR(MATCH(E$1,INDIRECT("Table!A"&amp;$AN94):INDIRECT("Table!" &amp; $AQ$108 &amp; $AN94),0)),"",INDIRECT(CONCATENATE("Table!",ADDRESS($AJ94,MATCH(E$1,INDIRECT("Table!A" &amp; $AN94):INDIRECT("Table!" &amp; $AQ$108 &amp; $AN94),0))))/1024)</f>
        <v>271.538203125</v>
      </c>
      <c r="F94" s="272">
        <f ca="1">IF(ISERROR(MATCH(F$1,INDIRECT("Table!A"&amp;$AN94):INDIRECT("Table!" &amp; $AQ$108 &amp; $AN94),0)),"",INDIRECT(CONCATENATE("Table!",ADDRESS($AJ94,MATCH(F$1,INDIRECT("Table!A" &amp; $AN94):INDIRECT("Table!" &amp; $AQ$108 &amp; $AN94),0))))/1024)</f>
        <v>233.076328125</v>
      </c>
      <c r="G94" s="272">
        <f ca="1">IF(ISERROR(MATCH(G$1,INDIRECT("Table!A"&amp;$AN94):INDIRECT("Table!" &amp; $AQ$108 &amp; $AN94),0)),"",INDIRECT(CONCATENATE("Table!",ADDRESS($AJ94,MATCH(G$1,INDIRECT("Table!A" &amp; $AN94):INDIRECT("Table!" &amp; $AQ$108 &amp; $AN94),0))))/1024)</f>
        <v>440.96144531249996</v>
      </c>
      <c r="H94" s="272">
        <f ca="1">IF(ISERROR(MATCH(H$1,INDIRECT("Table!A"&amp;$AN94):INDIRECT("Table!" &amp; $AQ$108 &amp; $AN94),0)),"",INDIRECT(CONCATENATE("Table!",ADDRESS($AJ94,MATCH(H$1,INDIRECT("Table!A" &amp; $AN94):INDIRECT("Table!" &amp; $AQ$108 &amp; $AN94),0))))/1024)</f>
        <v>111.1376953125</v>
      </c>
      <c r="I94" s="272">
        <f ca="1">IF(ISERROR(MATCH(I$1,INDIRECT("Table!A"&amp;$AN94):INDIRECT("Table!" &amp; $AQ$85 &amp; $AN94),0)),"",INDIRECT(CONCATENATE("Table!",ADDRESS($AJ94,MATCH(I$1,INDIRECT("Table!A" &amp; $AN94):INDIRECT("Table!" &amp; $AQ$85 &amp; $AN94),0))))/1024)</f>
        <v>9.4178906250000001</v>
      </c>
      <c r="J94" s="272" t="str">
        <f ca="1">IF(ISERROR(MATCH(J$1,INDIRECT("Table!A"&amp;$AN94):INDIRECT("Table!" &amp; $AQ$85 &amp; $AN94),0)),"",INDIRECT(CONCATENATE("Table!",ADDRESS($AJ94,MATCH(J$1,INDIRECT("Table!A" &amp; $AN94):INDIRECT("Table!" &amp; $AQ$85 &amp; $AN94),0))))/1024)</f>
        <v/>
      </c>
      <c r="K94" s="272" t="str">
        <f ca="1">IF(ISERROR(MATCH(K$1,INDIRECT("Table!A"&amp;$AN94):INDIRECT("Table!" &amp; $AQ$85 &amp; $AN94),0)),"",INDIRECT(CONCATENATE("Table!",ADDRESS($AJ94,MATCH(K$1,INDIRECT("Table!A" &amp; $AN94):INDIRECT("Table!" &amp; $AQ$85 &amp; $AN94),0))))/1024)</f>
        <v/>
      </c>
      <c r="L94" s="272">
        <f ca="1">IF(ISERROR(MATCH(L$1,INDIRECT("Table!A"&amp;$AN94):INDIRECT("Table!" &amp; $AQ$85 &amp; $AN94),0)),"",INDIRECT(CONCATENATE("Table!",ADDRESS($AJ94,MATCH(L$1,INDIRECT("Table!A" &amp; $AN94):INDIRECT("Table!" &amp; $AQ$85 &amp; $AN94),0))))/1024)</f>
        <v>274.2055078125</v>
      </c>
      <c r="M94" s="272">
        <f ca="1">IF(ISERROR(MATCH(M$1,INDIRECT("Table!A"&amp;$AN94):INDIRECT("Table!" &amp; $AQ$85 &amp; $AN94),0)),"",INDIRECT(CONCATENATE("Table!",ADDRESS($AJ94,MATCH(M$1,INDIRECT("Table!A" &amp; $AN94):INDIRECT("Table!" &amp; $AQ$85 &amp; $AN94),0))))/1024)</f>
        <v>335.91574218749997</v>
      </c>
      <c r="N94" s="272">
        <f ca="1">IF(ISERROR(MATCH(N$1,INDIRECT("Table!A"&amp;$AN94):INDIRECT("Table!" &amp; $AQ$85 &amp; $AN94),0)),"",INDIRECT(CONCATENATE("Table!",ADDRESS($AJ94,MATCH(N$1,INDIRECT("Table!A" &amp; $AN94):INDIRECT("Table!" &amp; $AQ$85 &amp; $AN94),0))))/1024)</f>
        <v>73.169765624999997</v>
      </c>
      <c r="O94" s="272">
        <f ca="1">IF(ISERROR(MATCH(O$1,INDIRECT("Table!A"&amp;$AN94):INDIRECT("Table!" &amp; $AQ$85 &amp; $AN94),0)),"",INDIRECT(CONCATENATE("Table!",ADDRESS($AJ94,MATCH(O$1,INDIRECT("Table!A" &amp; $AN94):INDIRECT("Table!" &amp; $AQ$85 &amp; $AN94),0))))/1024)</f>
        <v>212.56113281250001</v>
      </c>
      <c r="P94" s="272">
        <f ca="1">IF(ISERROR(MATCH(P$1,INDIRECT("Table!A"&amp;$AN94):INDIRECT("Table!" &amp; $AQ$85 &amp; $AN94),0)),"",INDIRECT(CONCATENATE("Table!",ADDRESS($AJ94,MATCH(P$1,INDIRECT("Table!A" &amp; $AN94):INDIRECT("Table!" &amp; $AQ$85 &amp; $AN94),0))))/1024)</f>
        <v>23.8740234375</v>
      </c>
      <c r="Q94" s="272" t="str">
        <f ca="1">IF(ISERROR(MATCH(Q$1,INDIRECT("Table!A"&amp;$AN94):INDIRECT("Table!" &amp; $AQ$85 &amp; $AN94),0)),"",INDIRECT(CONCATENATE("Table!",ADDRESS($AJ94,MATCH(Q$1,INDIRECT("Table!A" &amp; $AN94):INDIRECT("Table!" &amp; $AQ$85 &amp; $AN94),0))))/1024)</f>
        <v/>
      </c>
      <c r="R94" s="272" t="str">
        <f ca="1">IF(ISERROR(MATCH(R$1,INDIRECT("Table!A"&amp;$AN94):INDIRECT("Table!" &amp; $AQ$85 &amp; $AN94),0)),"",INDIRECT(CONCATENATE("Table!",ADDRESS($AJ94,MATCH(R$1,INDIRECT("Table!A" &amp; $AN94):INDIRECT("Table!" &amp; $AQ$85 &amp; $AN94),0))))/1024)</f>
        <v/>
      </c>
      <c r="S94" s="595" t="str">
        <f ca="1">IF(ISERROR(MATCH(S$1,INDIRECT("Table!A"&amp;$AN94):INDIRECT("Table!" &amp; $AQ$85 &amp; $AN94),0)),"",INDIRECT(CONCATENATE("Table!",ADDRESS($AJ94,MATCH(S$1,INDIRECT("Table!A" &amp; $AN94):INDIRECT("Table!" &amp; $AQ$85 &amp; $AN94),0))))/1024)</f>
        <v/>
      </c>
      <c r="T94" s="595">
        <f ca="1">IF(ISERROR(MATCH(T$1,INDIRECT("Table!A"&amp;$AN94):INDIRECT("Table!" &amp; $AQ$85 &amp; $AN94),0)),"",INDIRECT(CONCATENATE("Table!",ADDRESS($AJ94,MATCH(T$1,INDIRECT("Table!A" &amp; $AN94):INDIRECT("Table!" &amp; $AQ$85 &amp; $AN94),0))))/1024)</f>
        <v>10.372851562499999</v>
      </c>
      <c r="U94" s="272" t="str">
        <f ca="1">IF(ISERROR(MATCH(U$1,INDIRECT("Table!A"&amp;$AN94):INDIRECT("Table!" &amp; $AQ$85 &amp; $AN94),0)),"",INDIRECT(CONCATENATE("Table!",ADDRESS($AJ94,MATCH(U$1,INDIRECT("Table!A" &amp; $AN94):INDIRECT("Table!" &amp; $AQ$85 &amp; $AN94),0))))/1024)</f>
        <v/>
      </c>
      <c r="V94" s="595"/>
      <c r="W94" s="595"/>
      <c r="X94" s="595"/>
      <c r="Y94" s="595"/>
      <c r="Z94" s="595"/>
      <c r="AA94" s="595"/>
      <c r="AB94" s="595"/>
      <c r="AC94" s="595"/>
      <c r="AD94" s="595"/>
      <c r="AE94" s="595"/>
      <c r="AF94" s="595"/>
      <c r="AG94" s="595"/>
      <c r="AH94" s="595"/>
      <c r="AI94" s="595"/>
      <c r="AJ94" s="272">
        <f>MATCH($A94,Table!$A:$A,0)+$AL$2-1</f>
        <v>1235</v>
      </c>
      <c r="AK94" s="290"/>
      <c r="AL94" s="290"/>
      <c r="AM94" s="290"/>
      <c r="AN94" s="272">
        <f>MATCH($A94,Table!$A:$A,0)+$AP$2-1</f>
        <v>1227</v>
      </c>
      <c r="AO94" s="290"/>
      <c r="AP94" s="290"/>
      <c r="AQ94" s="973" t="s">
        <v>302</v>
      </c>
      <c r="AR94" s="699">
        <f t="shared" ca="1" si="23"/>
        <v>2356.8435937499999</v>
      </c>
      <c r="AS94" s="699">
        <f t="shared" ca="1" si="22"/>
        <v>23.775234374999854</v>
      </c>
    </row>
    <row r="95" spans="1:45" s="267" customFormat="1" x14ac:dyDescent="0.25">
      <c r="A95" s="268">
        <v>41337</v>
      </c>
      <c r="B95" s="272">
        <f ca="1">IF(ISERROR(MATCH(B$1,INDIRECT("Table!A"&amp;$AN95):INDIRECT("Table!" &amp; $AQ$108 &amp; $AN95),0)),"",INDIRECT(CONCATENATE("Table!",ADDRESS($AJ95,MATCH(B$1,INDIRECT("Table!A" &amp; $AN95):INDIRECT("Table!" &amp; $AQ$108 &amp; $AN95),0))))/1024)</f>
        <v>185.65757812499999</v>
      </c>
      <c r="C95" s="272">
        <f ca="1">IF(ISERROR(MATCH(C$1,INDIRECT("Table!A"&amp;$AN95):INDIRECT("Table!" &amp; $AQ$108 &amp; $AN95),0)),"",INDIRECT(CONCATENATE("Table!",ADDRESS($AJ95,MATCH(C$1,INDIRECT("Table!A" &amp; $AN95):INDIRECT("Table!" &amp; $AQ$108 &amp; $AN95),0))))/1024)</f>
        <v>86.967304687500004</v>
      </c>
      <c r="D95" s="272">
        <f ca="1">IF(ISERROR(MATCH(D$1,INDIRECT("Table!A"&amp;$AN95):INDIRECT("Table!" &amp; $AQ$108 &amp; $AN95),0)),"",INDIRECT(CONCATENATE("Table!",ADDRESS($AJ95,MATCH(D$1,INDIRECT("Table!A" &amp; $AN95):INDIRECT("Table!" &amp; $AQ$108 &amp; $AN95),0))))/1024)</f>
        <v>87.988124999999997</v>
      </c>
      <c r="E95" s="272">
        <f ca="1">IF(ISERROR(MATCH(E$1,INDIRECT("Table!A"&amp;$AN95):INDIRECT("Table!" &amp; $AQ$108 &amp; $AN95),0)),"",INDIRECT(CONCATENATE("Table!",ADDRESS($AJ95,MATCH(E$1,INDIRECT("Table!A" &amp; $AN95):INDIRECT("Table!" &amp; $AQ$108 &amp; $AN95),0))))/1024)</f>
        <v>271.538203125</v>
      </c>
      <c r="F95" s="272">
        <f ca="1">IF(ISERROR(MATCH(F$1,INDIRECT("Table!A"&amp;$AN95):INDIRECT("Table!" &amp; $AQ$108 &amp; $AN95),0)),"",INDIRECT(CONCATENATE("Table!",ADDRESS($AJ95,MATCH(F$1,INDIRECT("Table!A" &amp; $AN95):INDIRECT("Table!" &amp; $AQ$108 &amp; $AN95),0))))/1024)</f>
        <v>232.48359374999998</v>
      </c>
      <c r="G95" s="272">
        <f ca="1">IF(ISERROR(MATCH(G$1,INDIRECT("Table!A"&amp;$AN95):INDIRECT("Table!" &amp; $AQ$108 &amp; $AN95),0)),"",INDIRECT(CONCATENATE("Table!",ADDRESS($AJ95,MATCH(G$1,INDIRECT("Table!A" &amp; $AN95):INDIRECT("Table!" &amp; $AQ$108 &amp; $AN95),0))))/1024)</f>
        <v>440.96144531249996</v>
      </c>
      <c r="H95" s="272">
        <f ca="1">IF(ISERROR(MATCH(H$1,INDIRECT("Table!A"&amp;$AN95):INDIRECT("Table!" &amp; $AQ$108 &amp; $AN95),0)),"",INDIRECT(CONCATENATE("Table!",ADDRESS($AJ95,MATCH(H$1,INDIRECT("Table!A" &amp; $AN95):INDIRECT("Table!" &amp; $AQ$108 &amp; $AN95),0))))/1024)</f>
        <v>111.1376953125</v>
      </c>
      <c r="I95" s="272">
        <f ca="1">IF(ISERROR(MATCH(I$1,INDIRECT("Table!A"&amp;$AN95):INDIRECT("Table!" &amp; $AQ$85 &amp; $AN95),0)),"",INDIRECT(CONCATENATE("Table!",ADDRESS($AJ95,MATCH(I$1,INDIRECT("Table!A" &amp; $AN95):INDIRECT("Table!" &amp; $AQ$85 &amp; $AN95),0))))/1024)</f>
        <v>9.4178906250000001</v>
      </c>
      <c r="J95" s="272" t="str">
        <f ca="1">IF(ISERROR(MATCH(J$1,INDIRECT("Table!A"&amp;$AN95):INDIRECT("Table!" &amp; $AQ$85 &amp; $AN95),0)),"",INDIRECT(CONCATENATE("Table!",ADDRESS($AJ95,MATCH(J$1,INDIRECT("Table!A" &amp; $AN95):INDIRECT("Table!" &amp; $AQ$85 &amp; $AN95),0))))/1024)</f>
        <v/>
      </c>
      <c r="K95" s="272" t="str">
        <f ca="1">IF(ISERROR(MATCH(K$1,INDIRECT("Table!A"&amp;$AN95):INDIRECT("Table!" &amp; $AQ$85 &amp; $AN95),0)),"",INDIRECT(CONCATENATE("Table!",ADDRESS($AJ95,MATCH(K$1,INDIRECT("Table!A" &amp; $AN95):INDIRECT("Table!" &amp; $AQ$85 &amp; $AN95),0))))/1024)</f>
        <v/>
      </c>
      <c r="L95" s="272">
        <f ca="1">IF(ISERROR(MATCH(L$1,INDIRECT("Table!A"&amp;$AN95):INDIRECT("Table!" &amp; $AQ$85 &amp; $AN95),0)),"",INDIRECT(CONCATENATE("Table!",ADDRESS($AJ95,MATCH(L$1,INDIRECT("Table!A" &amp; $AN95):INDIRECT("Table!" &amp; $AQ$85 &amp; $AN95),0))))/1024)</f>
        <v>274.60066406250002</v>
      </c>
      <c r="M95" s="272">
        <f ca="1">IF(ISERROR(MATCH(M$1,INDIRECT("Table!A"&amp;$AN95):INDIRECT("Table!" &amp; $AQ$85 &amp; $AN95),0)),"",INDIRECT(CONCATENATE("Table!",ADDRESS($AJ95,MATCH(M$1,INDIRECT("Table!A" &amp; $AN95):INDIRECT("Table!" &amp; $AQ$85 &amp; $AN95),0))))/1024)</f>
        <v>323.30367187499996</v>
      </c>
      <c r="N95" s="272">
        <f ca="1">IF(ISERROR(MATCH(N$1,INDIRECT("Table!A"&amp;$AN95):INDIRECT("Table!" &amp; $AQ$85 &amp; $AN95),0)),"",INDIRECT(CONCATENATE("Table!",ADDRESS($AJ95,MATCH(N$1,INDIRECT("Table!A" &amp; $AN95):INDIRECT("Table!" &amp; $AQ$85 &amp; $AN95),0))))/1024)</f>
        <v>72.577031249999976</v>
      </c>
      <c r="O95" s="272">
        <f ca="1">IF(ISERROR(MATCH(O$1,INDIRECT("Table!A"&amp;$AN95):INDIRECT("Table!" &amp; $AQ$85 &amp; $AN95),0)),"",INDIRECT(CONCATENATE("Table!",ADDRESS($AJ95,MATCH(O$1,INDIRECT("Table!A" &amp; $AN95):INDIRECT("Table!" &amp; $AQ$85 &amp; $AN95),0))))/1024)</f>
        <v>212.56113281250001</v>
      </c>
      <c r="P95" s="272">
        <f ca="1">IF(ISERROR(MATCH(P$1,INDIRECT("Table!A"&amp;$AN95):INDIRECT("Table!" &amp; $AQ$85 &amp; $AN95),0)),"",INDIRECT(CONCATENATE("Table!",ADDRESS($AJ95,MATCH(P$1,INDIRECT("Table!A" &amp; $AN95):INDIRECT("Table!" &amp; $AQ$85 &amp; $AN95),0))))/1024)</f>
        <v>23.8740234375</v>
      </c>
      <c r="Q95" s="272" t="str">
        <f ca="1">IF(ISERROR(MATCH(Q$1,INDIRECT("Table!A"&amp;$AN95):INDIRECT("Table!" &amp; $AQ$85 &amp; $AN95),0)),"",INDIRECT(CONCATENATE("Table!",ADDRESS($AJ95,MATCH(Q$1,INDIRECT("Table!A" &amp; $AN95):INDIRECT("Table!" &amp; $AQ$85 &amp; $AN95),0))))/1024)</f>
        <v/>
      </c>
      <c r="R95" s="272" t="str">
        <f ca="1">IF(ISERROR(MATCH(R$1,INDIRECT("Table!A"&amp;$AN95):INDIRECT("Table!" &amp; $AQ$85 &amp; $AN95),0)),"",INDIRECT(CONCATENATE("Table!",ADDRESS($AJ95,MATCH(R$1,INDIRECT("Table!A" &amp; $AN95):INDIRECT("Table!" &amp; $AQ$85 &amp; $AN95),0))))/1024)</f>
        <v/>
      </c>
      <c r="S95" s="595" t="str">
        <f ca="1">IF(ISERROR(MATCH(S$1,INDIRECT("Table!A"&amp;$AN95):INDIRECT("Table!" &amp; $AQ$85 &amp; $AN95),0)),"",INDIRECT(CONCATENATE("Table!",ADDRESS($AJ95,MATCH(S$1,INDIRECT("Table!A" &amp; $AN95):INDIRECT("Table!" &amp; $AQ$85 &amp; $AN95),0))))/1024)</f>
        <v/>
      </c>
      <c r="T95" s="595" t="str">
        <f ca="1">IF(ISERROR(MATCH(T$1,INDIRECT("Table!A"&amp;$AN95):INDIRECT("Table!" &amp; $AQ$85 &amp; $AN95),0)),"",INDIRECT(CONCATENATE("Table!",ADDRESS($AJ95,MATCH(T$1,INDIRECT("Table!A" &amp; $AN95):INDIRECT("Table!" &amp; $AQ$85 &amp; $AN95),0))))/1024)</f>
        <v/>
      </c>
      <c r="U95" s="272" t="str">
        <f ca="1">IF(ISERROR(MATCH(U$1,INDIRECT("Table!A"&amp;$AN95):INDIRECT("Table!" &amp; $AQ$85 &amp; $AN95),0)),"",INDIRECT(CONCATENATE("Table!",ADDRESS($AJ95,MATCH(U$1,INDIRECT("Table!A" &amp; $AN95):INDIRECT("Table!" &amp; $AQ$85 &amp; $AN95),0))))/1024)</f>
        <v/>
      </c>
      <c r="V95" s="595"/>
      <c r="W95" s="595"/>
      <c r="X95" s="595"/>
      <c r="Y95" s="595"/>
      <c r="Z95" s="595"/>
      <c r="AA95" s="595"/>
      <c r="AB95" s="595"/>
      <c r="AC95" s="595"/>
      <c r="AD95" s="595"/>
      <c r="AE95" s="595"/>
      <c r="AF95" s="595"/>
      <c r="AG95" s="595"/>
      <c r="AH95" s="595"/>
      <c r="AI95" s="595"/>
      <c r="AJ95" s="272">
        <f>MATCH($A95,Table!$A:$A,0)+$AL$2-1</f>
        <v>1247</v>
      </c>
      <c r="AK95" s="269"/>
      <c r="AL95" s="269"/>
      <c r="AM95" s="269"/>
      <c r="AN95" s="272">
        <f>MATCH($A95,Table!$A:$A,0)+$AP$2-1</f>
        <v>1239</v>
      </c>
      <c r="AO95" s="269"/>
      <c r="AP95" s="269"/>
      <c r="AQ95" s="973" t="s">
        <v>302</v>
      </c>
      <c r="AR95" s="699">
        <f t="shared" ca="1" si="23"/>
        <v>2333.068359375</v>
      </c>
      <c r="AS95" s="699">
        <f t="shared" ca="1" si="22"/>
        <v>-57.067148437499782</v>
      </c>
    </row>
    <row r="96" spans="1:45" s="267" customFormat="1" x14ac:dyDescent="0.25">
      <c r="A96" s="268">
        <v>41334</v>
      </c>
      <c r="B96" s="272">
        <f ca="1">IF(ISERROR(MATCH(B$1,INDIRECT("Table!A"&amp;$AN96):INDIRECT("Table!" &amp; $AQ$108 &amp; $AN96),0)),"",INDIRECT(CONCATENATE("Table!",ADDRESS($AJ96,MATCH(B$1,INDIRECT("Table!A" &amp; $AN96):INDIRECT("Table!" &amp; $AQ$108 &amp; $AN96),0))))/1024)</f>
        <v>185.65757812499999</v>
      </c>
      <c r="C96" s="272">
        <f ca="1">IF(ISERROR(MATCH(C$1,INDIRECT("Table!A"&amp;$AN96):INDIRECT("Table!" &amp; $AQ$108 &amp; $AN96),0)),"",INDIRECT(CONCATENATE("Table!",ADDRESS($AJ96,MATCH(C$1,INDIRECT("Table!A" &amp; $AN96):INDIRECT("Table!" &amp; $AQ$108 &amp; $AN96),0))))/1024)</f>
        <v>87.494179687499994</v>
      </c>
      <c r="D96" s="272">
        <f ca="1">IF(ISERROR(MATCH(D$1,INDIRECT("Table!A"&amp;$AN96):INDIRECT("Table!" &amp; $AQ$108 &amp; $AN96),0)),"",INDIRECT(CONCATENATE("Table!",ADDRESS($AJ96,MATCH(D$1,INDIRECT("Table!A" &amp; $AN96):INDIRECT("Table!" &amp; $AQ$108 &amp; $AN96),0))))/1024)</f>
        <v>88.119843750000001</v>
      </c>
      <c r="E96" s="272">
        <f ca="1">IF(ISERROR(MATCH(E$1,INDIRECT("Table!A"&amp;$AN96):INDIRECT("Table!" &amp; $AQ$108 &amp; $AN96),0)),"",INDIRECT(CONCATENATE("Table!",ADDRESS($AJ96,MATCH(E$1,INDIRECT("Table!A" &amp; $AN96):INDIRECT("Table!" &amp; $AQ$108 &amp; $AN96),0))))/1024)</f>
        <v>271.538203125</v>
      </c>
      <c r="F96" s="272">
        <f ca="1">IF(ISERROR(MATCH(F$1,INDIRECT("Table!A"&amp;$AN96):INDIRECT("Table!" &amp; $AQ$108 &amp; $AN96),0)),"",INDIRECT(CONCATENATE("Table!",ADDRESS($AJ96,MATCH(F$1,INDIRECT("Table!A" &amp; $AN96):INDIRECT("Table!" &amp; $AQ$108 &amp; $AN96),0))))/1024)</f>
        <v>232.48359374999998</v>
      </c>
      <c r="G96" s="272">
        <f ca="1">IF(ISERROR(MATCH(G$1,INDIRECT("Table!A"&amp;$AN96):INDIRECT("Table!" &amp; $AQ$108 &amp; $AN96),0)),"",INDIRECT(CONCATENATE("Table!",ADDRESS($AJ96,MATCH(G$1,INDIRECT("Table!A" &amp; $AN96):INDIRECT("Table!" &amp; $AQ$108 &amp; $AN96),0))))/1024)</f>
        <v>440.96144531249996</v>
      </c>
      <c r="H96" s="272">
        <f ca="1">IF(ISERROR(MATCH(H$1,INDIRECT("Table!A"&amp;$AN96):INDIRECT("Table!" &amp; $AQ$108 &amp; $AN96),0)),"",INDIRECT(CONCATENATE("Table!",ADDRESS($AJ96,MATCH(H$1,INDIRECT("Table!A" &amp; $AN96):INDIRECT("Table!" &amp; $AQ$108 &amp; $AN96),0))))/1024)</f>
        <v>110.64374999999998</v>
      </c>
      <c r="I96" s="272" t="str">
        <f ca="1">IF(ISERROR(MATCH(I$1,INDIRECT("Table!A"&amp;$AN96):INDIRECT("Table!" &amp; $AQ$85 &amp; $AN96),0)),"",INDIRECT(CONCATENATE("Table!",ADDRESS($AJ96,MATCH(I$1,INDIRECT("Table!A" &amp; $AN96):INDIRECT("Table!" &amp; $AQ$85 &amp; $AN96),0))))/1024)</f>
        <v/>
      </c>
      <c r="J96" s="272" t="str">
        <f ca="1">IF(ISERROR(MATCH(J$1,INDIRECT("Table!A"&amp;$AN96):INDIRECT("Table!" &amp; $AQ$85 &amp; $AN96),0)),"",INDIRECT(CONCATENATE("Table!",ADDRESS($AJ96,MATCH(J$1,INDIRECT("Table!A" &amp; $AN96):INDIRECT("Table!" &amp; $AQ$85 &amp; $AN96),0))))/1024)</f>
        <v/>
      </c>
      <c r="K96" s="272" t="str">
        <f ca="1">IF(ISERROR(MATCH(K$1,INDIRECT("Table!A"&amp;$AN96):INDIRECT("Table!" &amp; $AQ$85 &amp; $AN96),0)),"",INDIRECT(CONCATENATE("Table!",ADDRESS($AJ96,MATCH(K$1,INDIRECT("Table!A" &amp; $AN96):INDIRECT("Table!" &amp; $AQ$85 &amp; $AN96),0))))/1024)</f>
        <v/>
      </c>
      <c r="L96" s="272">
        <f ca="1">IF(ISERROR(MATCH(L$1,INDIRECT("Table!A"&amp;$AN96):INDIRECT("Table!" &amp; $AQ$85 &amp; $AN96),0)),"",INDIRECT(CONCATENATE("Table!",ADDRESS($AJ96,MATCH(L$1,INDIRECT("Table!A" &amp; $AN96):INDIRECT("Table!" &amp; $AQ$85 &amp; $AN96),0))))/1024)</f>
        <v>274.60066406250002</v>
      </c>
      <c r="M96" s="272">
        <f ca="1">IF(ISERROR(MATCH(M$1,INDIRECT("Table!A"&amp;$AN96):INDIRECT("Table!" &amp; $AQ$108 &amp; $AN96),0)),"",INDIRECT(CONCATENATE("Table!",ADDRESS($AJ96,MATCH(M$1,INDIRECT("Table!A" &amp; $AN96):INDIRECT("Table!" &amp; $AQ$108 &amp; $AN96),0))))/1024)</f>
        <v>323.30367187499996</v>
      </c>
      <c r="N96" s="272">
        <f ca="1">IF(ISERROR(MATCH(N$1,INDIRECT("Table!A"&amp;$AN96):INDIRECT("Table!" &amp; $AQ$85 &amp; $AN96),0)),"",INDIRECT(CONCATENATE("Table!",ADDRESS($AJ96,MATCH(N$1,INDIRECT("Table!A" &amp; $AN96):INDIRECT("Table!" &amp; $AQ$85 &amp; $AN96),0))))/1024)</f>
        <v>122.36671874999999</v>
      </c>
      <c r="O96" s="272">
        <f ca="1">IF(ISERROR(MATCH(O$1,INDIRECT("Table!A"&amp;$AN96):INDIRECT("Table!" &amp; $AQ$85 &amp; $AN96),0)),"",INDIRECT(CONCATENATE("Table!",ADDRESS($AJ96,MATCH(O$1,INDIRECT("Table!A" &amp; $AN96):INDIRECT("Table!" &amp; $AQ$85 &amp; $AN96),0))))/1024)</f>
        <v>252.96585937500001</v>
      </c>
      <c r="P96" s="272" t="str">
        <f ca="1">IF(ISERROR(MATCH(P$1,INDIRECT("Table!A"&amp;$AN96):INDIRECT("Table!" &amp; $AQ$85 &amp; $AN96),0)),"",INDIRECT(CONCATENATE("Table!",ADDRESS($AJ96,MATCH(P$1,INDIRECT("Table!A" &amp; $AN96):INDIRECT("Table!" &amp; $AQ$85 &amp; $AN96),0))))/1024)</f>
        <v/>
      </c>
      <c r="Q96" s="272" t="str">
        <f ca="1">IF(ISERROR(MATCH(Q$1,INDIRECT("Table!A"&amp;$AN96):INDIRECT("Table!" &amp; $AQ$85 &amp; $AN96),0)),"",INDIRECT(CONCATENATE("Table!",ADDRESS($AJ96,MATCH(Q$1,INDIRECT("Table!A" &amp; $AN96):INDIRECT("Table!" &amp; $AQ$85 &amp; $AN96),0))))/1024)</f>
        <v/>
      </c>
      <c r="R96" s="272" t="str">
        <f ca="1">IF(ISERROR(MATCH(R$1,INDIRECT("Table!A"&amp;$AN96):INDIRECT("Table!" &amp; $AQ$85 &amp; $AN96),0)),"",INDIRECT(CONCATENATE("Table!",ADDRESS($AJ96,MATCH(R$1,INDIRECT("Table!A" &amp; $AN96):INDIRECT("Table!" &amp; $AQ$85 &amp; $AN96),0))))/1024)</f>
        <v/>
      </c>
      <c r="S96" s="595"/>
      <c r="T96" s="697"/>
      <c r="U96" s="272"/>
      <c r="V96" s="595"/>
      <c r="W96" s="595"/>
      <c r="X96" s="595"/>
      <c r="Y96" s="595"/>
      <c r="Z96" s="595"/>
      <c r="AA96" s="595"/>
      <c r="AB96" s="595"/>
      <c r="AC96" s="595"/>
      <c r="AD96" s="595"/>
      <c r="AE96" s="595"/>
      <c r="AF96" s="595"/>
      <c r="AG96" s="595"/>
      <c r="AH96" s="595"/>
      <c r="AI96" s="595"/>
      <c r="AJ96" s="272">
        <f>MATCH($A96,Table!$A:$A,0)+$AL$2-1</f>
        <v>1259</v>
      </c>
      <c r="AK96" s="269"/>
      <c r="AL96" s="269"/>
      <c r="AM96" s="269"/>
      <c r="AN96" s="272">
        <f>MATCH($A96,Table!$A:$A,0)+$AP$2-1</f>
        <v>1251</v>
      </c>
      <c r="AO96" s="269"/>
      <c r="AP96" s="269"/>
      <c r="AQ96" s="973" t="s">
        <v>302</v>
      </c>
      <c r="AR96" s="699">
        <f t="shared" ca="1" si="23"/>
        <v>2390.1355078124998</v>
      </c>
      <c r="AS96" s="699">
        <f t="shared" ca="1" si="22"/>
        <v>14.060976562499945</v>
      </c>
    </row>
    <row r="97" spans="1:45" x14ac:dyDescent="0.25">
      <c r="A97" s="4">
        <v>41330</v>
      </c>
      <c r="B97" s="22">
        <f ca="1">IF(ISERROR(MATCH(B$1,INDIRECT("Table!A"&amp;$AN97):INDIRECT("Table!" &amp; $AQ$108 &amp; $AN97),0)),"",INDIRECT(CONCATENATE("Table!",ADDRESS($AJ97,MATCH(B$1,INDIRECT("Table!A" &amp; $AN97):INDIRECT("Table!" &amp; $AQ$108 &amp; $AN97),0))))/1024)</f>
        <v>185.65757812499999</v>
      </c>
      <c r="C97" s="22">
        <f ca="1">IF(ISERROR(MATCH(C$1,INDIRECT("Table!A"&amp;$AN97):INDIRECT("Table!" &amp; $AQ$108 &amp; $AN97),0)),"",INDIRECT(CONCATENATE("Table!",ADDRESS($AJ97,MATCH(C$1,INDIRECT("Table!A" &amp; $AN97):INDIRECT("Table!" &amp; $AQ$108 &amp; $AN97),0))))/1024)</f>
        <v>87.494179687499994</v>
      </c>
      <c r="D97" s="22">
        <f ca="1">IF(ISERROR(MATCH(D$1,INDIRECT("Table!A"&amp;$AN97):INDIRECT("Table!" &amp; $AQ$108 &amp; $AN97),0)),"",INDIRECT(CONCATENATE("Table!",ADDRESS($AJ97,MATCH(D$1,INDIRECT("Table!A" &amp; $AN97):INDIRECT("Table!" &amp; $AQ$108 &amp; $AN97),0))))/1024)</f>
        <v>88.119843750000001</v>
      </c>
      <c r="E97" s="22">
        <f ca="1">IF(ISERROR(MATCH(E$1,INDIRECT("Table!A"&amp;$AN97):INDIRECT("Table!" &amp; $AQ$108 &amp; $AN97),0)),"",INDIRECT(CONCATENATE("Table!",ADDRESS($AJ97,MATCH(E$1,INDIRECT("Table!A" &amp; $AN97):INDIRECT("Table!" &amp; $AQ$108 &amp; $AN97),0))))/1024)</f>
        <v>271.538203125</v>
      </c>
      <c r="F97" s="22">
        <f ca="1">IF(ISERROR(MATCH(F$1,INDIRECT("Table!A"&amp;$AN97):INDIRECT("Table!" &amp; $AQ$108 &amp; $AN97),0)),"",INDIRECT(CONCATENATE("Table!",ADDRESS($AJ97,MATCH(F$1,INDIRECT("Table!A" &amp; $AN97):INDIRECT("Table!" &amp; $AQ$108 &amp; $AN97),0))))/1024)</f>
        <v>231.49570312500001</v>
      </c>
      <c r="G97" s="22">
        <f ca="1">IF(ISERROR(MATCH(G$1,INDIRECT("Table!A"&amp;$AN97):INDIRECT("Table!" &amp; $AQ$108 &amp; $AN97),0)),"",INDIRECT(CONCATENATE("Table!",ADDRESS($AJ97,MATCH(G$1,INDIRECT("Table!A" &amp; $AN97):INDIRECT("Table!" &amp; $AQ$108 &amp; $AN97),0))))/1024)</f>
        <v>440.3687109375</v>
      </c>
      <c r="H97" s="22">
        <f ca="1">IF(ISERROR(MATCH(H$1,INDIRECT("Table!A"&amp;$AN97):INDIRECT("Table!" &amp; $AQ$108 &amp; $AN97),0)),"",INDIRECT(CONCATENATE("Table!",ADDRESS($AJ97,MATCH(H$1,INDIRECT("Table!A" &amp; $AN97):INDIRECT("Table!" &amp; $AQ$108 &amp; $AN97),0))))/1024)</f>
        <v>109.26070312499999</v>
      </c>
      <c r="K97" s="272"/>
      <c r="L97" s="22">
        <f ca="1">IF(ISERROR(MATCH(L$1,INDIRECT("Table!A"&amp;$AN97):INDIRECT("Table!" &amp; $AQ$108 &amp; $AN97),0)),"",INDIRECT(CONCATENATE("Table!",ADDRESS($AJ97,MATCH(L$1,INDIRECT("Table!A" &amp; $AN97):INDIRECT("Table!" &amp; $AQ$108 &amp; $AN97),0))))/1024)</f>
        <v>264.49124999999998</v>
      </c>
      <c r="M97" s="22">
        <f ca="1">IF(ISERROR(MATCH(M$1,INDIRECT("Table!A"&amp;$AN97):INDIRECT("Table!" &amp; $AQ$108 &amp; $AN97),0)),"",INDIRECT(CONCATENATE("Table!",ADDRESS($AJ97,MATCH(M$1,INDIRECT("Table!A" &amp; $AN97):INDIRECT("Table!" &amp; $AQ$108 &amp; $AN97),0))))/1024)</f>
        <v>323.30367187499996</v>
      </c>
      <c r="N97" s="22">
        <f ca="1">IF(ISERROR(MATCH(N$1,INDIRECT("Table!A"&amp;$AN97):INDIRECT("Table!" &amp; $AQ$108 &amp; $AN97),0)),"",INDIRECT(CONCATENATE("Table!",ADDRESS($AJ97,MATCH(N$1,INDIRECT("Table!A" &amp; $AN97):INDIRECT("Table!" &amp; $AQ$108 &amp; $AN97),0))))/1024)</f>
        <v>121.378828125</v>
      </c>
      <c r="O97" s="22">
        <f ca="1">IF(ISERROR(MATCH(O$1,INDIRECT("Table!A"&amp;$AN97):INDIRECT("Table!" &amp; $AQ$108 &amp; $AN97),0)),"",INDIRECT(CONCATENATE("Table!",ADDRESS($AJ97,MATCH(O$1,INDIRECT("Table!A" &amp; $AN97):INDIRECT("Table!" &amp; $AQ$108 &amp; $AN97),0))))/1024)</f>
        <v>252.96585937500001</v>
      </c>
      <c r="P97" s="22"/>
      <c r="Q97" s="272"/>
      <c r="R97" s="272"/>
      <c r="S97" s="595"/>
      <c r="U97" s="22"/>
      <c r="V97" s="595"/>
      <c r="W97" s="595"/>
      <c r="X97" s="595"/>
      <c r="Y97" s="595"/>
      <c r="Z97" s="595"/>
      <c r="AA97" s="595"/>
      <c r="AB97" s="595"/>
      <c r="AC97" s="595"/>
      <c r="AD97" s="595"/>
      <c r="AE97" s="595"/>
      <c r="AF97" s="595"/>
      <c r="AG97" s="595"/>
      <c r="AH97" s="595"/>
      <c r="AI97" s="595"/>
      <c r="AJ97" s="22">
        <f>MATCH($A97,Table!$A:$A,0)+$AL$2-1</f>
        <v>1271</v>
      </c>
      <c r="AK97" s="258"/>
      <c r="AL97" s="258"/>
      <c r="AM97" s="258"/>
      <c r="AN97" s="22">
        <f>MATCH($A97,Table!$A:$A,0)+$AP$2-1</f>
        <v>1263</v>
      </c>
      <c r="AO97" s="258"/>
      <c r="AP97" s="258"/>
      <c r="AQ97" s="973" t="s">
        <v>302</v>
      </c>
      <c r="AR97" s="699">
        <f t="shared" ca="1" si="23"/>
        <v>2376.0745312499998</v>
      </c>
      <c r="AS97" s="699">
        <f t="shared" ca="1" si="22"/>
        <v>0</v>
      </c>
    </row>
    <row r="98" spans="1:45" x14ac:dyDescent="0.25">
      <c r="A98" s="4">
        <v>41327</v>
      </c>
      <c r="B98" s="22">
        <f ca="1">IF(ISERROR(MATCH(B$1,INDIRECT("Table!A"&amp;$AN98):INDIRECT("Table!" &amp; $AQ$108 &amp; $AN98),0)),"",INDIRECT(CONCATENATE("Table!",ADDRESS($AJ98,MATCH(B$1,INDIRECT("Table!A" &amp; $AN98):INDIRECT("Table!" &amp; $AQ$108 &amp; $AN98),0))))/1024)</f>
        <v>185.65757812499999</v>
      </c>
      <c r="C98" s="22">
        <f ca="1">IF(ISERROR(MATCH(C$1,INDIRECT("Table!A"&amp;$AN98):INDIRECT("Table!" &amp; $AQ$108 &amp; $AN98),0)),"",INDIRECT(CONCATENATE("Table!",ADDRESS($AJ98,MATCH(C$1,INDIRECT("Table!A" &amp; $AN98):INDIRECT("Table!" &amp; $AQ$108 &amp; $AN98),0))))/1024)</f>
        <v>87.494179687499994</v>
      </c>
      <c r="D98" s="22">
        <f ca="1">IF(ISERROR(MATCH(D$1,INDIRECT("Table!A"&amp;$AN98):INDIRECT("Table!" &amp; $AQ$108 &amp; $AN98),0)),"",INDIRECT(CONCATENATE("Table!",ADDRESS($AJ98,MATCH(D$1,INDIRECT("Table!A" &amp; $AN98):INDIRECT("Table!" &amp; $AQ$108 &amp; $AN98),0))))/1024)</f>
        <v>88.119843750000001</v>
      </c>
      <c r="E98" s="22">
        <f ca="1">IF(ISERROR(MATCH(E$1,INDIRECT("Table!A"&amp;$AN98):INDIRECT("Table!" &amp; $AQ$108 &amp; $AN98),0)),"",INDIRECT(CONCATENATE("Table!",ADDRESS($AJ98,MATCH(E$1,INDIRECT("Table!A" &amp; $AN98):INDIRECT("Table!" &amp; $AQ$108 &amp; $AN98),0))))/1024)</f>
        <v>271.538203125</v>
      </c>
      <c r="F98" s="22">
        <f ca="1">IF(ISERROR(MATCH(F$1,INDIRECT("Table!A"&amp;$AN98):INDIRECT("Table!" &amp; $AQ$108 &amp; $AN98),0)),"",INDIRECT(CONCATENATE("Table!",ADDRESS($AJ98,MATCH(F$1,INDIRECT("Table!A" &amp; $AN98):INDIRECT("Table!" &amp; $AQ$108 &amp; $AN98),0))))/1024)</f>
        <v>231.49570312500001</v>
      </c>
      <c r="G98" s="22">
        <f ca="1">IF(ISERROR(MATCH(G$1,INDIRECT("Table!A"&amp;$AN98):INDIRECT("Table!" &amp; $AQ$108 &amp; $AN98),0)),"",INDIRECT(CONCATENATE("Table!",ADDRESS($AJ98,MATCH(G$1,INDIRECT("Table!A" &amp; $AN98):INDIRECT("Table!" &amp; $AQ$108 &amp; $AN98),0))))/1024)</f>
        <v>440.3687109375</v>
      </c>
      <c r="H98" s="22">
        <f ca="1">IF(ISERROR(MATCH(H$1,INDIRECT("Table!A"&amp;$AN98):INDIRECT("Table!" &amp; $AQ$108 &amp; $AN98),0)),"",INDIRECT(CONCATENATE("Table!",ADDRESS($AJ98,MATCH(H$1,INDIRECT("Table!A" &amp; $AN98):INDIRECT("Table!" &amp; $AQ$108 &amp; $AN98),0))))/1024)</f>
        <v>109.26070312499999</v>
      </c>
      <c r="K98" s="272"/>
      <c r="L98" s="22">
        <f ca="1">IF(ISERROR(MATCH(L$1,INDIRECT("Table!A"&amp;$AN98):INDIRECT("Table!" &amp; $AQ$108 &amp; $AN98),0)),"",INDIRECT(CONCATENATE("Table!",ADDRESS($AJ98,MATCH(L$1,INDIRECT("Table!A" &amp; $AN98):INDIRECT("Table!" &amp; $AQ$108 &amp; $AN98),0))))/1024)</f>
        <v>264.49124999999998</v>
      </c>
      <c r="M98" s="22">
        <f ca="1">IF(ISERROR(MATCH(M$1,INDIRECT("Table!A"&amp;$AN98):INDIRECT("Table!" &amp; $AQ$108 &amp; $AN98),0)),"",INDIRECT(CONCATENATE("Table!",ADDRESS($AJ98,MATCH(M$1,INDIRECT("Table!A" &amp; $AN98):INDIRECT("Table!" &amp; $AQ$108 &amp; $AN98),0))))/1024)</f>
        <v>323.30367187499996</v>
      </c>
      <c r="N98" s="22">
        <f ca="1">IF(ISERROR(MATCH(N$1,INDIRECT("Table!A"&amp;$AN98):INDIRECT("Table!" &amp; $AQ$108 &amp; $AN98),0)),"",INDIRECT(CONCATENATE("Table!",ADDRESS($AJ98,MATCH(N$1,INDIRECT("Table!A" &amp; $AN98):INDIRECT("Table!" &amp; $AQ$108 &amp; $AN98),0))))/1024)</f>
        <v>121.378828125</v>
      </c>
      <c r="O98" s="22">
        <f ca="1">IF(ISERROR(MATCH(O$1,INDIRECT("Table!A"&amp;$AN98):INDIRECT("Table!" &amp; $AQ$108 &amp; $AN98),0)),"",INDIRECT(CONCATENATE("Table!",ADDRESS($AJ98,MATCH(O$1,INDIRECT("Table!A" &amp; $AN98):INDIRECT("Table!" &amp; $AQ$108 &amp; $AN98),0))))/1024)</f>
        <v>252.96585937500001</v>
      </c>
      <c r="P98" s="22"/>
      <c r="Q98" s="272"/>
      <c r="R98" s="272"/>
      <c r="S98" s="595"/>
      <c r="U98" s="22"/>
      <c r="V98" s="595"/>
      <c r="W98" s="595"/>
      <c r="X98" s="595"/>
      <c r="Y98" s="595"/>
      <c r="Z98" s="595"/>
      <c r="AA98" s="595"/>
      <c r="AB98" s="595"/>
      <c r="AC98" s="595"/>
      <c r="AD98" s="595"/>
      <c r="AE98" s="595"/>
      <c r="AF98" s="595"/>
      <c r="AG98" s="595"/>
      <c r="AH98" s="595"/>
      <c r="AI98" s="595"/>
      <c r="AJ98" s="22">
        <f>MATCH($A98,Table!$A:$A,0)+$AL$2-1</f>
        <v>1283</v>
      </c>
      <c r="AK98" s="257"/>
      <c r="AL98" s="257"/>
      <c r="AM98" s="257"/>
      <c r="AN98" s="22">
        <f>MATCH($A98,Table!$A:$A,0)+$AP$2-1</f>
        <v>1275</v>
      </c>
      <c r="AO98" s="257"/>
      <c r="AP98" s="257"/>
      <c r="AQ98" s="973" t="s">
        <v>302</v>
      </c>
      <c r="AR98" s="699">
        <f t="shared" ca="1" si="23"/>
        <v>2376.0745312499998</v>
      </c>
      <c r="AS98" s="699">
        <f t="shared" ca="1" si="22"/>
        <v>3.6881249999996726</v>
      </c>
    </row>
    <row r="99" spans="1:45" x14ac:dyDescent="0.25">
      <c r="A99" s="4">
        <v>41326</v>
      </c>
      <c r="B99" s="22">
        <f ca="1">IF(ISERROR(MATCH(B$1,INDIRECT("Table!A"&amp;$AN99):INDIRECT("Table!" &amp; $AQ$108 &amp; $AN99),0)),"",INDIRECT(CONCATENATE("Table!",ADDRESS($AJ99,MATCH(B$1,INDIRECT("Table!A" &amp; $AN99):INDIRECT("Table!" &amp; $AQ$108 &amp; $AN99),0))))/1024)</f>
        <v>185.65757812499999</v>
      </c>
      <c r="C99" s="22">
        <f ca="1">IF(ISERROR(MATCH(C$1,INDIRECT("Table!A"&amp;$AN99):INDIRECT("Table!" &amp; $AQ$108 &amp; $AN99),0)),"",INDIRECT(CONCATENATE("Table!",ADDRESS($AJ99,MATCH(C$1,INDIRECT("Table!A" &amp; $AN99):INDIRECT("Table!" &amp; $AQ$108 &amp; $AN99),0))))/1024)</f>
        <v>87.494179687499994</v>
      </c>
      <c r="D99" s="22">
        <f ca="1">IF(ISERROR(MATCH(D$1,INDIRECT("Table!A"&amp;$AN99):INDIRECT("Table!" &amp; $AQ$108 &amp; $AN99),0)),"",INDIRECT(CONCATENATE("Table!",ADDRESS($AJ99,MATCH(D$1,INDIRECT("Table!A" &amp; $AN99):INDIRECT("Table!" &amp; $AQ$108 &amp; $AN99),0))))/1024)</f>
        <v>88.119843750000001</v>
      </c>
      <c r="E99" s="22">
        <f ca="1">IF(ISERROR(MATCH(E$1,INDIRECT("Table!A"&amp;$AN99):INDIRECT("Table!" &amp; $AQ$108 &amp; $AN99),0)),"",INDIRECT(CONCATENATE("Table!",ADDRESS($AJ99,MATCH(E$1,INDIRECT("Table!A" &amp; $AN99):INDIRECT("Table!" &amp; $AQ$108 &amp; $AN99),0))))/1024)</f>
        <v>270.12222656249997</v>
      </c>
      <c r="F99" s="22">
        <f ca="1">IF(ISERROR(MATCH(F$1,INDIRECT("Table!A"&amp;$AN99):INDIRECT("Table!" &amp; $AQ$108 &amp; $AN99),0)),"",INDIRECT(CONCATENATE("Table!",ADDRESS($AJ99,MATCH(F$1,INDIRECT("Table!A" &amp; $AN99):INDIRECT("Table!" &amp; $AQ$108 &amp; $AN99),0))))/1024)</f>
        <v>231.49570312500001</v>
      </c>
      <c r="G99" s="22">
        <f ca="1">IF(ISERROR(MATCH(G$1,INDIRECT("Table!A"&amp;$AN99):INDIRECT("Table!" &amp; $AQ$108 &amp; $AN99),0)),"",INDIRECT(CONCATENATE("Table!",ADDRESS($AJ99,MATCH(G$1,INDIRECT("Table!A" &amp; $AN99):INDIRECT("Table!" &amp; $AQ$108 &amp; $AN99),0))))/1024)</f>
        <v>438.95273437499998</v>
      </c>
      <c r="H99" s="22">
        <f ca="1">IF(ISERROR(MATCH(H$1,INDIRECT("Table!A"&amp;$AN99):INDIRECT("Table!" &amp; $AQ$108 &amp; $AN99),0)),"",INDIRECT(CONCATENATE("Table!",ADDRESS($AJ99,MATCH(H$1,INDIRECT("Table!A" &amp; $AN99):INDIRECT("Table!" &amp; $AQ$108 &amp; $AN99),0))))/1024)</f>
        <v>108.40453124999999</v>
      </c>
      <c r="K99" s="272"/>
      <c r="L99" s="22">
        <f ca="1">IF(ISERROR(MATCH(L$1,INDIRECT("Table!A"&amp;$AN99):INDIRECT("Table!" &amp; $AQ$108 &amp; $AN99),0)),"",INDIRECT(CONCATENATE("Table!",ADDRESS($AJ99,MATCH(L$1,INDIRECT("Table!A" &amp; $AN99):INDIRECT("Table!" &amp; $AQ$108 &amp; $AN99),0))))/1024)</f>
        <v>264.49124999999998</v>
      </c>
      <c r="M99" s="22">
        <f ca="1">IF(ISERROR(MATCH(M$1,INDIRECT("Table!A"&amp;$AN99):INDIRECT("Table!" &amp; $AQ$108 &amp; $AN99),0)),"",INDIRECT(CONCATENATE("Table!",ADDRESS($AJ99,MATCH(M$1,INDIRECT("Table!A" &amp; $AN99):INDIRECT("Table!" &amp; $AQ$108 &amp; $AN99),0))))/1024)</f>
        <v>323.30367187499996</v>
      </c>
      <c r="N99" s="22">
        <f ca="1">IF(ISERROR(MATCH(N$1,INDIRECT("Table!A"&amp;$AN99):INDIRECT("Table!" &amp; $AQ$108 &amp; $AN99),0)),"",INDIRECT(CONCATENATE("Table!",ADDRESS($AJ99,MATCH(N$1,INDIRECT("Table!A" &amp; $AN99):INDIRECT("Table!" &amp; $AQ$108 &amp; $AN99),0))))/1024)</f>
        <v>121.378828125</v>
      </c>
      <c r="O99" s="22">
        <f ca="1">IF(ISERROR(MATCH(O$1,INDIRECT("Table!A"&amp;$AN99):INDIRECT("Table!" &amp; $AQ$108 &amp; $AN99),0)),"",INDIRECT(CONCATENATE("Table!",ADDRESS($AJ99,MATCH(O$1,INDIRECT("Table!A" &amp; $AN99):INDIRECT("Table!" &amp; $AQ$108 &amp; $AN99),0))))/1024)</f>
        <v>252.96585937500001</v>
      </c>
      <c r="P99" s="22"/>
      <c r="Q99" s="272"/>
      <c r="R99" s="272"/>
      <c r="S99" s="595"/>
      <c r="U99" s="22"/>
      <c r="V99" s="595"/>
      <c r="W99" s="595"/>
      <c r="X99" s="595"/>
      <c r="Y99" s="595"/>
      <c r="Z99" s="595"/>
      <c r="AA99" s="595"/>
      <c r="AB99" s="595"/>
      <c r="AC99" s="595"/>
      <c r="AD99" s="595"/>
      <c r="AE99" s="595"/>
      <c r="AF99" s="595"/>
      <c r="AG99" s="595"/>
      <c r="AH99" s="595"/>
      <c r="AI99" s="595"/>
      <c r="AJ99" s="22">
        <f>MATCH($A99,Table!$A:$A,0)+$AL$2-1</f>
        <v>1295</v>
      </c>
      <c r="AK99" s="256"/>
      <c r="AL99" s="256"/>
      <c r="AM99" s="256"/>
      <c r="AN99" s="22">
        <f>MATCH($A99,Table!$A:$A,0)+$AP$2-1</f>
        <v>1287</v>
      </c>
      <c r="AO99" s="256"/>
      <c r="AP99" s="256"/>
      <c r="AQ99" s="973" t="s">
        <v>302</v>
      </c>
      <c r="AR99" s="699">
        <f t="shared" ca="1" si="23"/>
        <v>2372.3864062500002</v>
      </c>
      <c r="AS99" s="699">
        <f t="shared" ca="1" si="22"/>
        <v>0</v>
      </c>
    </row>
    <row r="100" spans="1:45" x14ac:dyDescent="0.25">
      <c r="A100" s="4">
        <v>41323</v>
      </c>
      <c r="B100" s="22">
        <f ca="1">IF(ISERROR(MATCH(B$1,INDIRECT("Table!A"&amp;$AN100):INDIRECT("Table!" &amp; $AQ$108 &amp; $AN100),0)),"",INDIRECT(CONCATENATE("Table!",ADDRESS($AJ100,MATCH(B$1,INDIRECT("Table!A" &amp; $AN100):INDIRECT("Table!" &amp; $AQ$108 &amp; $AN100),0))))/1024)</f>
        <v>185.65757812499999</v>
      </c>
      <c r="C100" s="22">
        <f ca="1">IF(ISERROR(MATCH(C$1,INDIRECT("Table!A"&amp;$AN100):INDIRECT("Table!" &amp; $AQ$108 &amp; $AN100),0)),"",INDIRECT(CONCATENATE("Table!",ADDRESS($AJ100,MATCH(C$1,INDIRECT("Table!A" &amp; $AN100):INDIRECT("Table!" &amp; $AQ$108 &amp; $AN100),0))))/1024)</f>
        <v>87.494179687499994</v>
      </c>
      <c r="D100" s="22">
        <f ca="1">IF(ISERROR(MATCH(D$1,INDIRECT("Table!A"&amp;$AN100):INDIRECT("Table!" &amp; $AQ$108 &amp; $AN100),0)),"",INDIRECT(CONCATENATE("Table!",ADDRESS($AJ100,MATCH(D$1,INDIRECT("Table!A" &amp; $AN100):INDIRECT("Table!" &amp; $AQ$108 &amp; $AN100),0))))/1024)</f>
        <v>88.119843750000001</v>
      </c>
      <c r="E100" s="22">
        <f ca="1">IF(ISERROR(MATCH(E$1,INDIRECT("Table!A"&amp;$AN100):INDIRECT("Table!" &amp; $AQ$108 &amp; $AN100),0)),"",INDIRECT(CONCATENATE("Table!",ADDRESS($AJ100,MATCH(E$1,INDIRECT("Table!A" &amp; $AN100):INDIRECT("Table!" &amp; $AQ$108 &amp; $AN100),0))))/1024)</f>
        <v>270.12222656249997</v>
      </c>
      <c r="F100" s="22">
        <f ca="1">IF(ISERROR(MATCH(F$1,INDIRECT("Table!A"&amp;$AN100):INDIRECT("Table!" &amp; $AQ$108 &amp; $AN100),0)),"",INDIRECT(CONCATENATE("Table!",ADDRESS($AJ100,MATCH(F$1,INDIRECT("Table!A" &amp; $AN100):INDIRECT("Table!" &amp; $AQ$108 &amp; $AN100),0))))/1024)</f>
        <v>231.49570312500001</v>
      </c>
      <c r="G100" s="22">
        <f ca="1">IF(ISERROR(MATCH(G$1,INDIRECT("Table!A"&amp;$AN100):INDIRECT("Table!" &amp; $AQ$108 &amp; $AN100),0)),"",INDIRECT(CONCATENATE("Table!",ADDRESS($AJ100,MATCH(G$1,INDIRECT("Table!A" &amp; $AN100):INDIRECT("Table!" &amp; $AQ$108 &amp; $AN100),0))))/1024)</f>
        <v>438.95273437499998</v>
      </c>
      <c r="H100" s="22">
        <f ca="1">IF(ISERROR(MATCH(H$1,INDIRECT("Table!A"&amp;$AN100):INDIRECT("Table!" &amp; $AQ$108 &amp; $AN100),0)),"",INDIRECT(CONCATENATE("Table!",ADDRESS($AJ100,MATCH(H$1,INDIRECT("Table!A" &amp; $AN100):INDIRECT("Table!" &amp; $AQ$108 &amp; $AN100),0))))/1024)</f>
        <v>108.40453124999999</v>
      </c>
      <c r="K100" s="272"/>
      <c r="L100" s="22">
        <f ca="1">IF(ISERROR(MATCH(L$1,INDIRECT("Table!A"&amp;$AN100):INDIRECT("Table!" &amp; $AQ$108 &amp; $AN100),0)),"",INDIRECT(CONCATENATE("Table!",ADDRESS($AJ100,MATCH(L$1,INDIRECT("Table!A" &amp; $AN100):INDIRECT("Table!" &amp; $AQ$108 &amp; $AN100),0))))/1024)</f>
        <v>264.49124999999998</v>
      </c>
      <c r="M100" s="22">
        <f ca="1">IF(ISERROR(MATCH(M$1,INDIRECT("Table!A"&amp;$AN100):INDIRECT("Table!" &amp; $AQ$108 &amp; $AN100),0)),"",INDIRECT(CONCATENATE("Table!",ADDRESS($AJ100,MATCH(M$1,INDIRECT("Table!A" &amp; $AN100):INDIRECT("Table!" &amp; $AQ$108 &amp; $AN100),0))))/1024)</f>
        <v>323.30367187499996</v>
      </c>
      <c r="N100" s="22">
        <f ca="1">IF(ISERROR(MATCH(N$1,INDIRECT("Table!A"&amp;$AN100):INDIRECT("Table!" &amp; $AQ$108 &amp; $AN100),0)),"",INDIRECT(CONCATENATE("Table!",ADDRESS($AJ100,MATCH(N$1,INDIRECT("Table!A" &amp; $AN100):INDIRECT("Table!" &amp; $AQ$108 &amp; $AN100),0))))/1024)</f>
        <v>121.378828125</v>
      </c>
      <c r="O100" s="22">
        <f ca="1">IF(ISERROR(MATCH(O$1,INDIRECT("Table!A"&amp;$AN100):INDIRECT("Table!" &amp; $AQ$108 &amp; $AN100),0)),"",INDIRECT(CONCATENATE("Table!",ADDRESS($AJ100,MATCH(O$1,INDIRECT("Table!A" &amp; $AN100):INDIRECT("Table!" &amp; $AQ$108 &amp; $AN100),0))))/1024)</f>
        <v>252.96585937500001</v>
      </c>
      <c r="P100" s="22"/>
      <c r="Q100" s="272"/>
      <c r="R100" s="272"/>
      <c r="S100" s="595"/>
      <c r="U100" s="22"/>
      <c r="V100" s="595"/>
      <c r="W100" s="595"/>
      <c r="X100" s="595"/>
      <c r="Y100" s="595"/>
      <c r="Z100" s="595"/>
      <c r="AA100" s="595"/>
      <c r="AB100" s="595"/>
      <c r="AC100" s="595"/>
      <c r="AD100" s="595"/>
      <c r="AE100" s="595"/>
      <c r="AF100" s="595"/>
      <c r="AG100" s="595"/>
      <c r="AH100" s="595"/>
      <c r="AI100" s="595"/>
      <c r="AJ100" s="22">
        <f>MATCH($A100,Table!$A:$A,0)+$AL$2-1</f>
        <v>1307</v>
      </c>
      <c r="AK100" s="255"/>
      <c r="AL100" s="255"/>
      <c r="AM100" s="255"/>
      <c r="AN100" s="22">
        <f>MATCH($A100,Table!$A:$A,0)+$AP$2-1</f>
        <v>1299</v>
      </c>
      <c r="AO100" s="255"/>
      <c r="AP100" s="255"/>
      <c r="AQ100" s="973" t="s">
        <v>302</v>
      </c>
      <c r="AR100" s="699">
        <f t="shared" ca="1" si="23"/>
        <v>2372.3864062500002</v>
      </c>
      <c r="AS100" s="699">
        <f t="shared" ca="1" si="22"/>
        <v>3.9844921875001091</v>
      </c>
    </row>
    <row r="101" spans="1:45" x14ac:dyDescent="0.25">
      <c r="A101" s="4">
        <v>41310</v>
      </c>
      <c r="B101" s="22">
        <f ca="1">IF(ISERROR(MATCH(B$1,INDIRECT("Table!A"&amp;$AN101):INDIRECT("Table!" &amp; $AQ$108 &amp; $AN101),0)),"",INDIRECT(CONCATENATE("Table!",ADDRESS($AJ101,MATCH(B$1,INDIRECT("Table!A" &amp; $AN101):INDIRECT("Table!" &amp; $AQ$108 &amp; $AN101),0))))/1024)</f>
        <v>185.03191406249999</v>
      </c>
      <c r="C101" s="22">
        <f ca="1">IF(ISERROR(MATCH(C$1,INDIRECT("Table!A"&amp;$AN101):INDIRECT("Table!" &amp; $AQ$108 &amp; $AN101),0)),"",INDIRECT(CONCATENATE("Table!",ADDRESS($AJ101,MATCH(C$1,INDIRECT("Table!A" &amp; $AN101):INDIRECT("Table!" &amp; $AQ$108 &amp; $AN101),0))))/1024)</f>
        <v>88.021054687499998</v>
      </c>
      <c r="D101" s="22">
        <f ca="1">IF(ISERROR(MATCH(D$1,INDIRECT("Table!A"&amp;$AN101):INDIRECT("Table!" &amp; $AQ$108 &amp; $AN101),0)),"",INDIRECT(CONCATENATE("Table!",ADDRESS($AJ101,MATCH(D$1,INDIRECT("Table!A" &amp; $AN101):INDIRECT("Table!" &amp; $AQ$108 &amp; $AN101),0))))/1024)</f>
        <v>88.646718749999991</v>
      </c>
      <c r="E101" s="22">
        <f ca="1">IF(ISERROR(MATCH(E$1,INDIRECT("Table!A"&amp;$AN101):INDIRECT("Table!" &amp; $AQ$108 &amp; $AN101),0)),"",INDIRECT(CONCATENATE("Table!",ADDRESS($AJ101,MATCH(E$1,INDIRECT("Table!A" &amp; $AN101):INDIRECT("Table!" &amp; $AQ$108 &amp; $AN101),0))))/1024)</f>
        <v>269.99050781249997</v>
      </c>
      <c r="F101" s="22">
        <f ca="1">IF(ISERROR(MATCH(F$1,INDIRECT("Table!A"&amp;$AN101):INDIRECT("Table!" &amp; $AQ$108 &amp; $AN101),0)),"",INDIRECT(CONCATENATE("Table!",ADDRESS($AJ101,MATCH(F$1,INDIRECT("Table!A" &amp; $AN101):INDIRECT("Table!" &amp; $AQ$108 &amp; $AN101),0))))/1024)</f>
        <v>231.49570312500001</v>
      </c>
      <c r="G101" s="22">
        <f ca="1">IF(ISERROR(MATCH(G$1,INDIRECT("Table!A"&amp;$AN101):INDIRECT("Table!" &amp; $AQ$108 &amp; $AN101),0)),"",INDIRECT(CONCATENATE("Table!",ADDRESS($AJ101,MATCH(G$1,INDIRECT("Table!A" &amp; $AN101):INDIRECT("Table!" &amp; $AQ$108 &amp; $AN101),0))))/1024)</f>
        <v>437.63554687499999</v>
      </c>
      <c r="H101" s="22">
        <f ca="1">IF(ISERROR(MATCH(H$1,INDIRECT("Table!A"&amp;$AN101):INDIRECT("Table!" &amp; $AQ$108 &amp; $AN101),0)),"",INDIRECT(CONCATENATE("Table!",ADDRESS($AJ101,MATCH(H$1,INDIRECT("Table!A" &amp; $AN101):INDIRECT("Table!" &amp; $AQ$108 &amp; $AN101),0))))/1024)</f>
        <v>108.14109374999998</v>
      </c>
      <c r="K101" s="272"/>
      <c r="L101" s="22">
        <f ca="1">IF(ISERROR(MATCH(L$1,INDIRECT("Table!A"&amp;$AN101):INDIRECT("Table!" &amp; $AQ$108 &amp; $AN101),0)),"",INDIRECT(CONCATENATE("Table!",ADDRESS($AJ101,MATCH(L$1,INDIRECT("Table!A" &amp; $AN101):INDIRECT("Table!" &amp; $AQ$108 &amp; $AN101),0))))/1024)</f>
        <v>264.49124999999998</v>
      </c>
      <c r="M101" s="22">
        <f ca="1">IF(ISERROR(MATCH(M$1,INDIRECT("Table!A"&amp;$AN101):INDIRECT("Table!" &amp; $AQ$108 &amp; $AN101),0)),"",INDIRECT(CONCATENATE("Table!",ADDRESS($AJ101,MATCH(M$1,INDIRECT("Table!A" &amp; $AN101):INDIRECT("Table!" &amp; $AQ$108 &amp; $AN101),0))))/1024)</f>
        <v>321.65718749999996</v>
      </c>
      <c r="N101" s="22">
        <f ca="1">IF(ISERROR(MATCH(N$1,INDIRECT("Table!A"&amp;$AN101):INDIRECT("Table!" &amp; $AQ$108 &amp; $AN101),0)),"",INDIRECT(CONCATENATE("Table!",ADDRESS($AJ101,MATCH(N$1,INDIRECT("Table!A" &amp; $AN101):INDIRECT("Table!" &amp; $AQ$108 &amp; $AN101),0))))/1024)</f>
        <v>121.378828125</v>
      </c>
      <c r="O101" s="22">
        <f ca="1">IF(ISERROR(MATCH(O$1,INDIRECT("Table!A"&amp;$AN101):INDIRECT("Table!" &amp; $AQ$108 &amp; $AN101),0)),"",INDIRECT(CONCATENATE("Table!",ADDRESS($AJ101,MATCH(O$1,INDIRECT("Table!A" &amp; $AN101):INDIRECT("Table!" &amp; $AQ$108 &amp; $AN101),0))))/1024)</f>
        <v>251.91210937499997</v>
      </c>
      <c r="P101" s="22"/>
      <c r="Q101" s="272"/>
      <c r="R101" s="272"/>
      <c r="S101" s="595"/>
      <c r="U101" s="22"/>
      <c r="V101" s="595"/>
      <c r="W101" s="595"/>
      <c r="X101" s="595"/>
      <c r="Y101" s="595"/>
      <c r="Z101" s="595"/>
      <c r="AA101" s="595"/>
      <c r="AB101" s="595"/>
      <c r="AC101" s="595"/>
      <c r="AD101" s="595"/>
      <c r="AE101" s="595"/>
      <c r="AF101" s="595"/>
      <c r="AG101" s="595"/>
      <c r="AH101" s="595"/>
      <c r="AI101" s="595"/>
      <c r="AJ101" s="22">
        <f>MATCH($A101,Table!$A:$A,0)+$AL$2-1</f>
        <v>1319</v>
      </c>
      <c r="AK101" s="254"/>
      <c r="AL101" s="254"/>
      <c r="AM101" s="254"/>
      <c r="AN101" s="22">
        <f>MATCH($A101,Table!$A:$A,0)+$AP$2-1</f>
        <v>1311</v>
      </c>
      <c r="AO101" s="254"/>
      <c r="AP101" s="254"/>
      <c r="AQ101" s="973" t="s">
        <v>302</v>
      </c>
      <c r="AR101" s="699">
        <f t="shared" ca="1" si="23"/>
        <v>2368.4019140625001</v>
      </c>
      <c r="AS101" s="699">
        <f t="shared" ca="1" si="22"/>
        <v>8.1665625000000546</v>
      </c>
    </row>
    <row r="102" spans="1:45" x14ac:dyDescent="0.25">
      <c r="A102" s="4">
        <v>41304</v>
      </c>
      <c r="B102" s="22">
        <f ca="1">IF(ISERROR(MATCH(B$1,INDIRECT("Table!A"&amp;$AN102):INDIRECT("Table!" &amp; $AQ$108 &amp; $AN102),0)),"",INDIRECT(CONCATENATE("Table!",ADDRESS($AJ102,MATCH(B$1,INDIRECT("Table!A" &amp; $AN102):INDIRECT("Table!" &amp; $AQ$108 &amp; $AN102),0))))/1024)</f>
        <v>185.03191406249999</v>
      </c>
      <c r="C102" s="22">
        <f ca="1">IF(ISERROR(MATCH(C$1,INDIRECT("Table!A"&amp;$AN102):INDIRECT("Table!" &amp; $AQ$108 &amp; $AN102),0)),"",INDIRECT(CONCATENATE("Table!",ADDRESS($AJ102,MATCH(C$1,INDIRECT("Table!A" &amp; $AN102):INDIRECT("Table!" &amp; $AQ$108 &amp; $AN102),0))))/1024)</f>
        <v>87.922265624999994</v>
      </c>
      <c r="D102" s="22">
        <f ca="1">IF(ISERROR(MATCH(D$1,INDIRECT("Table!A"&amp;$AN102):INDIRECT("Table!" &amp; $AQ$108 &amp; $AN102),0)),"",INDIRECT(CONCATENATE("Table!",ADDRESS($AJ102,MATCH(D$1,INDIRECT("Table!A" &amp; $AN102):INDIRECT("Table!" &amp; $AQ$108 &amp; $AN102),0))))/1024)</f>
        <v>88.547929687500002</v>
      </c>
      <c r="E102" s="22">
        <f ca="1">IF(ISERROR(MATCH(E$1,INDIRECT("Table!A"&amp;$AN102):INDIRECT("Table!" &amp; $AQ$108 &amp; $AN102),0)),"",INDIRECT(CONCATENATE("Table!",ADDRESS($AJ102,MATCH(E$1,INDIRECT("Table!A" &amp; $AN102):INDIRECT("Table!" &amp; $AQ$108 &amp; $AN102),0))))/1024)</f>
        <v>269.99050781249997</v>
      </c>
      <c r="F102" s="22">
        <f ca="1">IF(ISERROR(MATCH(F$1,INDIRECT("Table!A"&amp;$AN102):INDIRECT("Table!" &amp; $AQ$108 &amp; $AN102),0)),"",INDIRECT(CONCATENATE("Table!",ADDRESS($AJ102,MATCH(F$1,INDIRECT("Table!A" &amp; $AN102):INDIRECT("Table!" &amp; $AQ$108 &amp; $AN102),0))))/1024)</f>
        <v>230.96882812499999</v>
      </c>
      <c r="G102" s="22">
        <f ca="1">IF(ISERROR(MATCH(G$1,INDIRECT("Table!A"&amp;$AN102):INDIRECT("Table!" &amp; $AQ$108 &amp; $AN102),0)),"",INDIRECT(CONCATENATE("Table!",ADDRESS($AJ102,MATCH(G$1,INDIRECT("Table!A" &amp; $AN102):INDIRECT("Table!" &amp; $AQ$108 &amp; $AN102),0))))/1024)</f>
        <v>437.43796874999998</v>
      </c>
      <c r="H102" s="22">
        <f ca="1">IF(ISERROR(MATCH(H$1,INDIRECT("Table!A"&amp;$AN102):INDIRECT("Table!" &amp; $AQ$108 &amp; $AN102),0)),"",INDIRECT(CONCATENATE("Table!",ADDRESS($AJ102,MATCH(H$1,INDIRECT("Table!A" &amp; $AN102):INDIRECT("Table!" &amp; $AQ$108 &amp; $AN102),0))))/1024)</f>
        <v>106.42875000000001</v>
      </c>
      <c r="K102" s="272"/>
      <c r="L102" s="22">
        <f ca="1">IF(ISERROR(MATCH(L$1,INDIRECT("Table!A"&amp;$AN102):INDIRECT("Table!" &amp; $AQ$108 &amp; $AN102),0)),"",INDIRECT(CONCATENATE("Table!",ADDRESS($AJ102,MATCH(L$1,INDIRECT("Table!A" &amp; $AN102):INDIRECT("Table!" &amp; $AQ$108 &amp; $AN102),0))))/1024)</f>
        <v>264.49124999999998</v>
      </c>
      <c r="M102" s="22">
        <f ca="1">IF(ISERROR(MATCH(M$1,INDIRECT("Table!A"&amp;$AN102):INDIRECT("Table!" &amp; $AQ$108 &amp; $AN102),0)),"",INDIRECT(CONCATENATE("Table!",ADDRESS($AJ102,MATCH(M$1,INDIRECT("Table!A" &amp; $AN102):INDIRECT("Table!" &amp; $AQ$108 &amp; $AN102),0))))/1024)</f>
        <v>321.59132812499996</v>
      </c>
      <c r="N102" s="22">
        <f ca="1">IF(ISERROR(MATCH(N$1,INDIRECT("Table!A"&amp;$AN102):INDIRECT("Table!" &amp; $AQ$108 &amp; $AN102),0)),"",INDIRECT(CONCATENATE("Table!",ADDRESS($AJ102,MATCH(N$1,INDIRECT("Table!A" &amp; $AN102):INDIRECT("Table!" &amp; $AQ$108 &amp; $AN102),0))))/1024)</f>
        <v>121.378828125</v>
      </c>
      <c r="O102" s="22">
        <f ca="1">IF(ISERROR(MATCH(O$1,INDIRECT("Table!A"&amp;$AN102):INDIRECT("Table!" &amp; $AQ$108 &amp; $AN102),0)),"",INDIRECT(CONCATENATE("Table!",ADDRESS($AJ102,MATCH(O$1,INDIRECT("Table!A" &amp; $AN102):INDIRECT("Table!" &amp; $AQ$108 &amp; $AN102),0))))/1024)</f>
        <v>246.44578125000001</v>
      </c>
      <c r="P102" s="22"/>
      <c r="Q102" s="272"/>
      <c r="R102" s="272"/>
      <c r="S102" s="595"/>
      <c r="U102" s="22"/>
      <c r="V102" s="595"/>
      <c r="W102" s="595"/>
      <c r="X102" s="595"/>
      <c r="Y102" s="595"/>
      <c r="Z102" s="595"/>
      <c r="AA102" s="595"/>
      <c r="AB102" s="595"/>
      <c r="AC102" s="595"/>
      <c r="AD102" s="595"/>
      <c r="AE102" s="595"/>
      <c r="AF102" s="595"/>
      <c r="AG102" s="595"/>
      <c r="AH102" s="595"/>
      <c r="AI102" s="595"/>
      <c r="AJ102" s="22">
        <f>MATCH($A102,Table!$A:$A,0)+$AL$2-1</f>
        <v>1331</v>
      </c>
      <c r="AK102" s="248"/>
      <c r="AL102" s="248"/>
      <c r="AM102" s="248"/>
      <c r="AN102" s="22">
        <f>MATCH($A102,Table!$A:$A,0)+$AP$2-1</f>
        <v>1323</v>
      </c>
      <c r="AO102" s="248"/>
      <c r="AP102" s="248"/>
      <c r="AQ102" s="973" t="s">
        <v>302</v>
      </c>
      <c r="AR102" s="699">
        <f t="shared" ca="1" si="23"/>
        <v>2360.2353515625</v>
      </c>
      <c r="AS102" s="699">
        <f t="shared" ca="1" si="22"/>
        <v>37.967929687500146</v>
      </c>
    </row>
    <row r="103" spans="1:45" x14ac:dyDescent="0.25">
      <c r="A103" s="4">
        <v>41297</v>
      </c>
      <c r="B103" s="22">
        <f ca="1">IF(ISERROR(MATCH(B$1,INDIRECT("Table!A"&amp;$AN103):INDIRECT("Table!" &amp; $AQ$108 &amp; $AN103),0)),"",INDIRECT(CONCATENATE("Table!",ADDRESS($AJ103,MATCH(B$1,INDIRECT("Table!A" &amp; $AN103):INDIRECT("Table!" &amp; $AQ$108 &amp; $AN103),0))))/1024)</f>
        <v>184.90019531249999</v>
      </c>
      <c r="C103" s="22">
        <f ca="1">IF(ISERROR(MATCH(C$1,INDIRECT("Table!A"&amp;$AN103):INDIRECT("Table!" &amp; $AQ$108 &amp; $AN103),0)),"",INDIRECT(CONCATENATE("Table!",ADDRESS($AJ103,MATCH(C$1,INDIRECT("Table!A" &amp; $AN103):INDIRECT("Table!" &amp; $AQ$108 &amp; $AN103),0))))/1024)</f>
        <v>87.527109374999995</v>
      </c>
      <c r="D103" s="22">
        <f ca="1">IF(ISERROR(MATCH(D$1,INDIRECT("Table!A"&amp;$AN103):INDIRECT("Table!" &amp; $AQ$108 &amp; $AN103),0)),"",INDIRECT(CONCATENATE("Table!",ADDRESS($AJ103,MATCH(D$1,INDIRECT("Table!A" &amp; $AN103):INDIRECT("Table!" &amp; $AQ$108 &amp; $AN103),0))))/1024)</f>
        <v>88.152773437500002</v>
      </c>
      <c r="E103" s="22">
        <f ca="1">IF(ISERROR(MATCH(E$1,INDIRECT("Table!A"&amp;$AN103):INDIRECT("Table!" &amp; $AQ$108 &amp; $AN103),0)),"",INDIRECT(CONCATENATE("Table!",ADDRESS($AJ103,MATCH(E$1,INDIRECT("Table!A" &amp; $AN103):INDIRECT("Table!" &amp; $AQ$108 &amp; $AN103),0))))/1024)</f>
        <v>269.99050781249997</v>
      </c>
      <c r="F103" s="22">
        <f ca="1">IF(ISERROR(MATCH(F$1,INDIRECT("Table!A"&amp;$AN103):INDIRECT("Table!" &amp; $AQ$108 &amp; $AN103),0)),"",INDIRECT(CONCATENATE("Table!",ADDRESS($AJ103,MATCH(F$1,INDIRECT("Table!A" &amp; $AN103):INDIRECT("Table!" &amp; $AQ$108 &amp; $AN103),0))))/1024)</f>
        <v>230.96882812499999</v>
      </c>
      <c r="G103" s="22">
        <f ca="1">IF(ISERROR(MATCH(G$1,INDIRECT("Table!A"&amp;$AN103):INDIRECT("Table!" &amp; $AQ$108 &amp; $AN103),0)),"",INDIRECT(CONCATENATE("Table!",ADDRESS($AJ103,MATCH(G$1,INDIRECT("Table!A" &amp; $AN103):INDIRECT("Table!" &amp; $AQ$108 &amp; $AN103),0))))/1024)</f>
        <v>436.77937499999996</v>
      </c>
      <c r="H103" s="22">
        <f ca="1">IF(ISERROR(MATCH(H$1,INDIRECT("Table!A"&amp;$AN103):INDIRECT("Table!" &amp; $AQ$108 &amp; $AN103),0)),"",INDIRECT(CONCATENATE("Table!",ADDRESS($AJ103,MATCH(H$1,INDIRECT("Table!A" &amp; $AN103):INDIRECT("Table!" &amp; $AQ$108 &amp; $AN103),0))))/1024)</f>
        <v>100.10624999999999</v>
      </c>
      <c r="K103" s="272"/>
      <c r="L103" s="22">
        <f ca="1">IF(ISERROR(MATCH(L$1,INDIRECT("Table!A"&amp;$AN103):INDIRECT("Table!" &amp; $AQ$108 &amp; $AN103),0)),"",INDIRECT(CONCATENATE("Table!",ADDRESS($AJ103,MATCH(L$1,INDIRECT("Table!A" &amp; $AN103):INDIRECT("Table!" &amp; $AQ$108 &amp; $AN103),0))))/1024)</f>
        <v>261.33</v>
      </c>
      <c r="M103" s="22">
        <f ca="1">IF(ISERROR(MATCH(M$1,INDIRECT("Table!A"&amp;$AN103):INDIRECT("Table!" &amp; $AQ$108 &amp; $AN103),0)),"",INDIRECT(CONCATENATE("Table!",ADDRESS($AJ103,MATCH(M$1,INDIRECT("Table!A" &amp; $AN103):INDIRECT("Table!" &amp; $AQ$108 &amp; $AN103),0))))/1024)</f>
        <v>319.91191406249999</v>
      </c>
      <c r="N103" s="22">
        <f ca="1">IF(ISERROR(MATCH(N$1,INDIRECT("Table!A"&amp;$AN103):INDIRECT("Table!" &amp; $AQ$108 &amp; $AN103),0)),"",INDIRECT(CONCATENATE("Table!",ADDRESS($AJ103,MATCH(N$1,INDIRECT("Table!A" &amp; $AN103):INDIRECT("Table!" &amp; $AQ$108 &amp; $AN103),0))))/1024)</f>
        <v>121.378828125</v>
      </c>
      <c r="O103" s="22">
        <f ca="1">IF(ISERROR(MATCH(O$1,INDIRECT("Table!A"&amp;$AN103):INDIRECT("Table!" &amp; $AQ$103 &amp; $AN103),0)),"",INDIRECT(CONCATENATE("Table!",ADDRESS($AJ103,MATCH(O$1,INDIRECT("Table!A" &amp; $AN103):INDIRECT("Table!" &amp; $AQ$103 &amp; $AN103),0))))/1024)</f>
        <v>221.22164062499999</v>
      </c>
      <c r="P103" s="22"/>
      <c r="Q103" s="272"/>
      <c r="R103" s="272"/>
      <c r="S103" s="595"/>
      <c r="U103" s="22"/>
      <c r="V103" s="595"/>
      <c r="W103" s="595"/>
      <c r="X103" s="595"/>
      <c r="Y103" s="595"/>
      <c r="Z103" s="595"/>
      <c r="AA103" s="595"/>
      <c r="AB103" s="595"/>
      <c r="AC103" s="595"/>
      <c r="AD103" s="595"/>
      <c r="AE103" s="595"/>
      <c r="AF103" s="595"/>
      <c r="AG103" s="595"/>
      <c r="AH103" s="595"/>
      <c r="AI103" s="595"/>
      <c r="AJ103" s="22">
        <f>MATCH($A103,Table!$A:$A,0)+$AL$2-1</f>
        <v>1343</v>
      </c>
      <c r="AK103" s="252"/>
      <c r="AL103" s="252"/>
      <c r="AM103" s="252"/>
      <c r="AN103" s="22">
        <f>MATCH($A103,Table!$A:$A,0)+$AP$2-1</f>
        <v>1335</v>
      </c>
      <c r="AO103" s="252"/>
      <c r="AP103" s="252"/>
      <c r="AQ103" s="973" t="s">
        <v>302</v>
      </c>
      <c r="AR103" s="699">
        <f t="shared" ca="1" si="23"/>
        <v>2322.2674218749999</v>
      </c>
      <c r="AS103" s="699">
        <f t="shared" ca="1" si="22"/>
        <v>5.2358203124999818</v>
      </c>
    </row>
    <row r="104" spans="1:45" x14ac:dyDescent="0.25">
      <c r="A104" s="4">
        <v>41296</v>
      </c>
      <c r="B104" s="22">
        <f ca="1">IF(ISERROR(MATCH(B$1,INDIRECT("Table!A"&amp;$AN104):INDIRECT("Table!" &amp; $AQ$108 &amp; $AN104),0)),"",INDIRECT(CONCATENATE("Table!",ADDRESS($AJ104,MATCH(B$1,INDIRECT("Table!A" &amp; $AN104):INDIRECT("Table!" &amp; $AQ$108 &amp; $AN104),0))))/1024)</f>
        <v>184.90019531249999</v>
      </c>
      <c r="C104" s="22">
        <f ca="1">IF(ISERROR(MATCH(C$1,INDIRECT("Table!A"&amp;$AN104):INDIRECT("Table!" &amp; $AQ$108 &amp; $AN104),0)),"",INDIRECT(CONCATENATE("Table!",ADDRESS($AJ104,MATCH(C$1,INDIRECT("Table!A" &amp; $AN104):INDIRECT("Table!" &amp; $AQ$108 &amp; $AN104),0))))/1024)</f>
        <v>87.527109374999995</v>
      </c>
      <c r="D104" s="22">
        <f ca="1">IF(ISERROR(MATCH(D$1,INDIRECT("Table!A"&amp;$AN104):INDIRECT("Table!" &amp; $AQ$108 &amp; $AN104),0)),"",INDIRECT(CONCATENATE("Table!",ADDRESS($AJ104,MATCH(D$1,INDIRECT("Table!A" &amp; $AN104):INDIRECT("Table!" &amp; $AQ$108 &amp; $AN104),0))))/1024)</f>
        <v>88.152773437500002</v>
      </c>
      <c r="E104" s="22">
        <f ca="1">IF(ISERROR(MATCH(E$1,INDIRECT("Table!A"&amp;$AN104):INDIRECT("Table!" &amp; $AQ$108 &amp; $AN104),0)),"",INDIRECT(CONCATENATE("Table!",ADDRESS($AJ104,MATCH(E$1,INDIRECT("Table!A" &amp; $AN104):INDIRECT("Table!" &amp; $AQ$108 &amp; $AN104),0))))/1024)</f>
        <v>269.99050781249997</v>
      </c>
      <c r="F104" s="22">
        <f ca="1">IF(ISERROR(MATCH(F$1,INDIRECT("Table!A"&amp;$AN104):INDIRECT("Table!" &amp; $AQ$108 &amp; $AN104),0)),"",INDIRECT(CONCATENATE("Table!",ADDRESS($AJ104,MATCH(F$1,INDIRECT("Table!A" &amp; $AN104):INDIRECT("Table!" &amp; $AQ$108 &amp; $AN104),0))))/1024)</f>
        <v>230.96882812499999</v>
      </c>
      <c r="G104" s="22">
        <f ca="1">IF(ISERROR(MATCH(G$1,INDIRECT("Table!A"&amp;$AN104):INDIRECT("Table!" &amp; $AQ$108 &amp; $AN104),0)),"",INDIRECT(CONCATENATE("Table!",ADDRESS($AJ104,MATCH(G$1,INDIRECT("Table!A" &amp; $AN104):INDIRECT("Table!" &amp; $AQ$108 &amp; $AN104),0))))/1024)</f>
        <v>436.77937499999996</v>
      </c>
      <c r="H104" s="22">
        <f ca="1">IF(ISERROR(MATCH(H$1,INDIRECT("Table!A"&amp;$AN104):INDIRECT("Table!" &amp; $AQ$108 &amp; $AN104),0)),"",INDIRECT(CONCATENATE("Table!",ADDRESS($AJ104,MATCH(H$1,INDIRECT("Table!A" &amp; $AN104):INDIRECT("Table!" &amp; $AQ$108 &amp; $AN104),0))))/1024)</f>
        <v>100.10624999999999</v>
      </c>
      <c r="K104" s="272"/>
      <c r="L104" s="22">
        <f ca="1">IF(ISERROR(MATCH(L$1,INDIRECT("Table!A"&amp;$AN104):INDIRECT("Table!" &amp; $AQ$108 &amp; $AN104),0)),"",INDIRECT(CONCATENATE("Table!",ADDRESS($AJ104,MATCH(L$1,INDIRECT("Table!A" &amp; $AN104):INDIRECT("Table!" &amp; $AQ$108 &amp; $AN104),0))))/1024)</f>
        <v>261.33</v>
      </c>
      <c r="M104" s="22">
        <f ca="1">IF(ISERROR(MATCH(M$1,INDIRECT("Table!A"&amp;$AN104):INDIRECT("Table!" &amp; $AQ$108 &amp; $AN104),0)),"",INDIRECT(CONCATENATE("Table!",ADDRESS($AJ104,MATCH(M$1,INDIRECT("Table!A" &amp; $AN104):INDIRECT("Table!" &amp; $AQ$108 &amp; $AN104),0))))/1024)</f>
        <v>314.67609375000001</v>
      </c>
      <c r="N104" s="22">
        <f ca="1">IF(ISERROR(MATCH(N$1,INDIRECT("Table!A"&amp;$AN104):INDIRECT("Table!" &amp; $AQ$108 &amp; $AN104),0)),"",INDIRECT(CONCATENATE("Table!",ADDRESS($AJ104,MATCH(N$1,INDIRECT("Table!A" &amp; $AN104):INDIRECT("Table!" &amp; $AQ$108 &amp; $AN104),0))))/1024)</f>
        <v>121.378828125</v>
      </c>
      <c r="O104" s="22">
        <f ca="1">IF(ISERROR(MATCH(O$1,INDIRECT("Table!A"&amp;$AN104):INDIRECT("Table!" &amp; $AQ$108 &amp; $AN104),0)),"",INDIRECT(CONCATENATE("Table!",ADDRESS($AJ104,MATCH(O$1,INDIRECT("Table!A" &amp; $AN104):INDIRECT("Table!" &amp; $AQ$108 &amp; $AN104),0))))/1024)</f>
        <v>221.22164062499999</v>
      </c>
      <c r="P104" s="22"/>
      <c r="Q104" s="272"/>
      <c r="R104" s="272"/>
      <c r="S104" s="595"/>
      <c r="U104" s="22"/>
      <c r="V104" s="595"/>
      <c r="W104" s="595"/>
      <c r="X104" s="595"/>
      <c r="Y104" s="595"/>
      <c r="Z104" s="595"/>
      <c r="AA104" s="595"/>
      <c r="AB104" s="595"/>
      <c r="AC104" s="595"/>
      <c r="AD104" s="595"/>
      <c r="AE104" s="595"/>
      <c r="AF104" s="595"/>
      <c r="AG104" s="595"/>
      <c r="AH104" s="595"/>
      <c r="AI104" s="595"/>
      <c r="AJ104" s="22">
        <f>MATCH($A104,Table!$A:$A,0)+$AL$2-1</f>
        <v>1355</v>
      </c>
      <c r="AK104" s="247"/>
      <c r="AL104" s="247"/>
      <c r="AM104" s="247"/>
      <c r="AN104" s="22">
        <f>MATCH($A104,Table!$A:$A,0)+$AP$2-1</f>
        <v>1347</v>
      </c>
      <c r="AO104" s="247"/>
      <c r="AP104" s="247"/>
      <c r="AQ104" s="973" t="s">
        <v>302</v>
      </c>
      <c r="AR104" s="699">
        <f t="shared" ca="1" si="23"/>
        <v>2317.0316015624999</v>
      </c>
      <c r="AS104" s="699">
        <f t="shared" ca="1" si="22"/>
        <v>-1.6794140625002001</v>
      </c>
    </row>
    <row r="105" spans="1:45" x14ac:dyDescent="0.25">
      <c r="A105" s="4">
        <v>41292</v>
      </c>
      <c r="B105" s="22">
        <f ca="1">IF(ISERROR(MATCH(B$1,INDIRECT("Table!A"&amp;$AN105):INDIRECT("Table!" &amp; $AQ$108 &amp; $AN105),0)),"",INDIRECT(CONCATENATE("Table!",ADDRESS($AJ105,MATCH(B$1,INDIRECT("Table!A" &amp; $AN105):INDIRECT("Table!" &amp; $AQ$108 &amp; $AN105),0))))/1024)</f>
        <v>185.06484374999999</v>
      </c>
      <c r="C105" s="22">
        <f ca="1">IF(ISERROR(MATCH(C$1,INDIRECT("Table!A"&amp;$AN105):INDIRECT("Table!" &amp; $AQ$108 &amp; $AN105),0)),"",INDIRECT(CONCATENATE("Table!",ADDRESS($AJ105,MATCH(C$1,INDIRECT("Table!A" &amp; $AN105):INDIRECT("Table!" &amp; $AQ$108 &amp; $AN105),0))))/1024)</f>
        <v>88.284492187499993</v>
      </c>
      <c r="D105" s="22">
        <f ca="1">IF(ISERROR(MATCH(D$1,INDIRECT("Table!A"&amp;$AN105):INDIRECT("Table!" &amp; $AQ$108 &amp; $AN105),0)),"",INDIRECT(CONCATENATE("Table!",ADDRESS($AJ105,MATCH(D$1,INDIRECT("Table!A" &amp; $AN105):INDIRECT("Table!" &amp; $AQ$108 &amp; $AN105),0))))/1024)</f>
        <v>88.91015625</v>
      </c>
      <c r="E105" s="22">
        <f ca="1">IF(ISERROR(MATCH(E$1,INDIRECT("Table!A"&amp;$AN105):INDIRECT("Table!" &amp; $AQ$108 &amp; $AN105),0)),"",INDIRECT(CONCATENATE("Table!",ADDRESS($AJ105,MATCH(E$1,INDIRECT("Table!A" &amp; $AN105):INDIRECT("Table!" &amp; $AQ$108 &amp; $AN105),0))))/1024)</f>
        <v>269.99050781249997</v>
      </c>
      <c r="F105" s="22">
        <f ca="1">IF(ISERROR(MATCH(F$1,INDIRECT("Table!A"&amp;$AN105):INDIRECT("Table!" &amp; $AQ$108 &amp; $AN105),0)),"",INDIRECT(CONCATENATE("Table!",ADDRESS($AJ105,MATCH(F$1,INDIRECT("Table!A" &amp; $AN105):INDIRECT("Table!" &amp; $AQ$108 &amp; $AN105),0))))/1024)</f>
        <v>230.96882812499999</v>
      </c>
      <c r="G105" s="22">
        <f ca="1">IF(ISERROR(MATCH(G$1,INDIRECT("Table!A"&amp;$AN105):INDIRECT("Table!" &amp; $AQ$108 &amp; $AN105),0)),"",INDIRECT(CONCATENATE("Table!",ADDRESS($AJ105,MATCH(G$1,INDIRECT("Table!A" &amp; $AN105):INDIRECT("Table!" &amp; $AQ$108 &amp; $AN105),0))))/1024)</f>
        <v>436.77937499999996</v>
      </c>
      <c r="H105" s="22">
        <f ca="1">IF(ISERROR(MATCH(H$1,INDIRECT("Table!A"&amp;$AN105):INDIRECT("Table!" &amp; $AQ$108 &amp; $AN105),0)),"",INDIRECT(CONCATENATE("Table!",ADDRESS($AJ105,MATCH(H$1,INDIRECT("Table!A" &amp; $AN105):INDIRECT("Table!" &amp; $AQ$108 &amp; $AN105),0))))/1024)</f>
        <v>100.10624999999999</v>
      </c>
      <c r="K105" s="272"/>
      <c r="L105" s="22">
        <f ca="1">IF(ISERROR(MATCH(L$1,INDIRECT("Table!A"&amp;$AN105):INDIRECT("Table!" &amp; $AQ$108 &amp; $AN105),0)),"",INDIRECT(CONCATENATE("Table!",ADDRESS($AJ105,MATCH(L$1,INDIRECT("Table!A" &amp; $AN105):INDIRECT("Table!" &amp; $AQ$108 &amp; $AN105),0))))/1024)</f>
        <v>261.33</v>
      </c>
      <c r="M105" s="22">
        <f ca="1">IF(ISERROR(MATCH(M$1,INDIRECT("Table!A"&amp;$AN105):INDIRECT("Table!" &amp; $AQ$108 &amp; $AN105),0)),"",INDIRECT(CONCATENATE("Table!",ADDRESS($AJ105,MATCH(M$1,INDIRECT("Table!A" &amp; $AN105):INDIRECT("Table!" &amp; $AQ$108 &amp; $AN105),0))))/1024)</f>
        <v>314.67609375000001</v>
      </c>
      <c r="N105" s="22">
        <f ca="1">IF(ISERROR(MATCH(N$1,INDIRECT("Table!A"&amp;$AN105):INDIRECT("Table!" &amp; $AQ$108 &amp; $AN105),0)),"",INDIRECT(CONCATENATE("Table!",ADDRESS($AJ105,MATCH(N$1,INDIRECT("Table!A" &amp; $AN105):INDIRECT("Table!" &amp; $AQ$108 &amp; $AN105),0))))/1024)</f>
        <v>121.378828125</v>
      </c>
      <c r="O105" s="22">
        <f ca="1">IF(ISERROR(MATCH(O$1,INDIRECT("Table!A"&amp;$AN105):INDIRECT("Table!" &amp; $AQ$108 &amp; $AN105),0)),"",INDIRECT(CONCATENATE("Table!",ADDRESS($AJ105,MATCH(O$1,INDIRECT("Table!A" &amp; $AN105):INDIRECT("Table!" &amp; $AQ$108 &amp; $AN105),0))))/1024)</f>
        <v>221.22164062499999</v>
      </c>
      <c r="P105" s="22"/>
      <c r="Q105" s="272"/>
      <c r="R105" s="272"/>
      <c r="S105" s="595"/>
      <c r="U105" s="22"/>
      <c r="V105" s="595"/>
      <c r="W105" s="595"/>
      <c r="X105" s="595"/>
      <c r="Y105" s="595"/>
      <c r="Z105" s="595"/>
      <c r="AA105" s="595"/>
      <c r="AB105" s="595"/>
      <c r="AC105" s="595"/>
      <c r="AD105" s="595"/>
      <c r="AE105" s="595"/>
      <c r="AF105" s="595"/>
      <c r="AG105" s="595"/>
      <c r="AH105" s="595"/>
      <c r="AI105" s="595"/>
      <c r="AJ105" s="22">
        <f>MATCH($A105,Table!$A:$A,0)+$AL$2-1</f>
        <v>1367</v>
      </c>
      <c r="AK105" s="246"/>
      <c r="AL105" s="246"/>
      <c r="AM105" s="246"/>
      <c r="AN105" s="22">
        <f>MATCH($A105,Table!$A:$A,0)+$AP$2-1</f>
        <v>1359</v>
      </c>
      <c r="AO105" s="246"/>
      <c r="AP105" s="246"/>
      <c r="AQ105" s="973" t="s">
        <v>302</v>
      </c>
      <c r="AR105" s="699">
        <f t="shared" ca="1" si="23"/>
        <v>2318.7110156250001</v>
      </c>
      <c r="AS105" s="699">
        <f t="shared" ref="AS105:AS106" ca="1" si="24">AR105-AR106</f>
        <v>0</v>
      </c>
    </row>
    <row r="106" spans="1:45" x14ac:dyDescent="0.25">
      <c r="A106" s="4">
        <v>41289</v>
      </c>
      <c r="B106" s="22">
        <f ca="1">IF(ISERROR(MATCH(B$1,INDIRECT("Table!A"&amp;$AN106):INDIRECT("Table!" &amp; $AQ$108 &amp; $AN106),0)),"",INDIRECT(CONCATENATE("Table!",ADDRESS($AJ106,MATCH(B$1,INDIRECT("Table!A" &amp; $AN106):INDIRECT("Table!" &amp; $AQ$108 &amp; $AN106),0))))/1024)</f>
        <v>185.06484374999999</v>
      </c>
      <c r="C106" s="22">
        <f ca="1">IF(ISERROR(MATCH(C$1,INDIRECT("Table!A"&amp;$AN106):INDIRECT("Table!" &amp; $AQ$108 &amp; $AN106),0)),"",INDIRECT(CONCATENATE("Table!",ADDRESS($AJ106,MATCH(C$1,INDIRECT("Table!A" &amp; $AN106):INDIRECT("Table!" &amp; $AQ$108 &amp; $AN106),0))))/1024)</f>
        <v>88.284492187499993</v>
      </c>
      <c r="D106" s="22">
        <f ca="1">IF(ISERROR(MATCH(D$1,INDIRECT("Table!A"&amp;$AN106):INDIRECT("Table!" &amp; $AQ$108 &amp; $AN106),0)),"",INDIRECT(CONCATENATE("Table!",ADDRESS($AJ106,MATCH(D$1,INDIRECT("Table!A" &amp; $AN106):INDIRECT("Table!" &amp; $AQ$108 &amp; $AN106),0))))/1024)</f>
        <v>88.91015625</v>
      </c>
      <c r="E106" s="22">
        <f ca="1">IF(ISERROR(MATCH(E$1,INDIRECT("Table!A"&amp;$AN106):INDIRECT("Table!" &amp; $AQ$108 &amp; $AN106),0)),"",INDIRECT(CONCATENATE("Table!",ADDRESS($AJ106,MATCH(E$1,INDIRECT("Table!A" &amp; $AN106):INDIRECT("Table!" &amp; $AQ$108 &amp; $AN106),0))))/1024)</f>
        <v>269.99050781249997</v>
      </c>
      <c r="F106" s="22">
        <f ca="1">IF(ISERROR(MATCH(F$1,INDIRECT("Table!A"&amp;$AN106):INDIRECT("Table!" &amp; $AQ$108 &amp; $AN106),0)),"",INDIRECT(CONCATENATE("Table!",ADDRESS($AJ106,MATCH(F$1,INDIRECT("Table!A" &amp; $AN106):INDIRECT("Table!" &amp; $AQ$108 &amp; $AN106),0))))/1024)</f>
        <v>230.96882812499999</v>
      </c>
      <c r="G106" s="22">
        <f ca="1">IF(ISERROR(MATCH(G$1,INDIRECT("Table!A"&amp;$AN106):INDIRECT("Table!" &amp; $AQ$108 &amp; $AN106),0)),"",INDIRECT(CONCATENATE("Table!",ADDRESS($AJ106,MATCH(G$1,INDIRECT("Table!A" &amp; $AN106):INDIRECT("Table!" &amp; $AQ$108 &amp; $AN106),0))))/1024)</f>
        <v>436.77937499999996</v>
      </c>
      <c r="H106" s="22">
        <f ca="1">IF(ISERROR(MATCH(H$1,INDIRECT("Table!A"&amp;$AN106):INDIRECT("Table!" &amp; $AQ$108 &amp; $AN106),0)),"",INDIRECT(CONCATENATE("Table!",ADDRESS($AJ106,MATCH(H$1,INDIRECT("Table!A" &amp; $AN106):INDIRECT("Table!" &amp; $AQ$108 &amp; $AN106),0))))/1024)</f>
        <v>100.10624999999999</v>
      </c>
      <c r="K106" s="272"/>
      <c r="L106" s="22">
        <f ca="1">IF(ISERROR(MATCH(L$1,INDIRECT("Table!A"&amp;$AN106):INDIRECT("Table!" &amp; $AQ$108 &amp; $AN106),0)),"",INDIRECT(CONCATENATE("Table!",ADDRESS($AJ106,MATCH(L$1,INDIRECT("Table!A" &amp; $AN106):INDIRECT("Table!" &amp; $AQ$108 &amp; $AN106),0))))/1024)</f>
        <v>261.33</v>
      </c>
      <c r="M106" s="22">
        <f ca="1">IF(ISERROR(MATCH(M$1,INDIRECT("Table!A"&amp;$AN106):INDIRECT("Table!" &amp; $AQ$108 &amp; $AN106),0)),"",INDIRECT(CONCATENATE("Table!",ADDRESS($AJ106,MATCH(M$1,INDIRECT("Table!A" &amp; $AN106):INDIRECT("Table!" &amp; $AQ$108 &amp; $AN106),0))))/1024)</f>
        <v>314.67609375000001</v>
      </c>
      <c r="N106" s="22">
        <f ca="1">IF(ISERROR(MATCH(N$1,INDIRECT("Table!A"&amp;$AN106):INDIRECT("Table!" &amp; $AQ$108 &amp; $AN106),0)),"",INDIRECT(CONCATENATE("Table!",ADDRESS($AJ106,MATCH(N$1,INDIRECT("Table!A" &amp; $AN106):INDIRECT("Table!" &amp; $AQ$108 &amp; $AN106),0))))/1024)</f>
        <v>121.378828125</v>
      </c>
      <c r="O106" s="22">
        <f ca="1">IF(ISERROR(MATCH(O$1,INDIRECT("Table!A"&amp;$AN106):INDIRECT("Table!" &amp; $AQ$108 &amp; $AN106),0)),"",INDIRECT(CONCATENATE("Table!",ADDRESS($AJ106,MATCH(O$1,INDIRECT("Table!A" &amp; $AN106):INDIRECT("Table!" &amp; $AQ$108 &amp; $AN106),0))))/1024)</f>
        <v>221.22164062499999</v>
      </c>
      <c r="P106" s="22"/>
      <c r="Q106" s="272"/>
      <c r="R106" s="272"/>
      <c r="S106" s="595"/>
      <c r="U106" s="22"/>
      <c r="V106" s="595"/>
      <c r="W106" s="595"/>
      <c r="X106" s="595"/>
      <c r="Y106" s="595"/>
      <c r="Z106" s="595"/>
      <c r="AA106" s="595"/>
      <c r="AB106" s="595"/>
      <c r="AC106" s="595"/>
      <c r="AD106" s="595"/>
      <c r="AE106" s="595"/>
      <c r="AF106" s="595"/>
      <c r="AG106" s="595"/>
      <c r="AH106" s="595"/>
      <c r="AI106" s="595"/>
      <c r="AJ106" s="22">
        <f>MATCH($A106,Table!$A:$A,0)+$AL$2-1</f>
        <v>1379</v>
      </c>
      <c r="AK106" s="246"/>
      <c r="AL106" s="246"/>
      <c r="AM106" s="246"/>
      <c r="AN106" s="22">
        <f>MATCH($A106,Table!$A:$A,0)+$AP$2-1</f>
        <v>1371</v>
      </c>
      <c r="AO106" s="246"/>
      <c r="AP106" s="246"/>
      <c r="AQ106" s="973" t="s">
        <v>302</v>
      </c>
      <c r="AR106" s="699">
        <f t="shared" ca="1" si="23"/>
        <v>2318.7110156250001</v>
      </c>
      <c r="AS106" s="699">
        <f t="shared" ca="1" si="24"/>
        <v>1.9757812500001819</v>
      </c>
    </row>
    <row r="107" spans="1:45" x14ac:dyDescent="0.25">
      <c r="A107" s="4">
        <v>41285</v>
      </c>
      <c r="B107" s="22">
        <f ca="1">IF(ISERROR(MATCH(B$1,INDIRECT("Table!A"&amp;$AN107):INDIRECT("Table!" &amp; $AQ$108 &amp; $AN107),0)),"",INDIRECT(CONCATENATE("Table!",ADDRESS($AJ107,MATCH(B$1,INDIRECT("Table!A" &amp; $AN107):INDIRECT("Table!" &amp; $AQ$108 &amp; $AN107),0))))/1024)</f>
        <v>181.179140625</v>
      </c>
      <c r="C107" s="22">
        <f ca="1">IF(ISERROR(MATCH(C$1,INDIRECT("Table!A"&amp;$AN107):INDIRECT("Table!" &amp; $AQ$108 &amp; $AN107),0)),"",INDIRECT(CONCATENATE("Table!",ADDRESS($AJ107,MATCH(C$1,INDIRECT("Table!A" &amp; $AN107):INDIRECT("Table!" &amp; $AQ$108 &amp; $AN107),0))))/1024)</f>
        <v>88.976015625000002</v>
      </c>
      <c r="D107" s="22">
        <f ca="1">IF(ISERROR(MATCH(D$1,INDIRECT("Table!A"&amp;$AN107):INDIRECT("Table!" &amp; $AQ$108 &amp; $AN107),0)),"",INDIRECT(CONCATENATE("Table!",ADDRESS($AJ107,MATCH(D$1,INDIRECT("Table!A" &amp; $AN107):INDIRECT("Table!" &amp; $AQ$108 &amp; $AN107),0))))/1024)</f>
        <v>89.469960937499991</v>
      </c>
      <c r="E107" s="22">
        <f ca="1">IF(ISERROR(MATCH(E$1,INDIRECT("Table!A"&amp;$AN107):INDIRECT("Table!" &amp; $AQ$108 &amp; $AN107),0)),"",INDIRECT(CONCATENATE("Table!",ADDRESS($AJ107,MATCH(E$1,INDIRECT("Table!A" &amp; $AN107):INDIRECT("Table!" &amp; $AQ$108 &amp; $AN107),0))))/1024)</f>
        <v>270.38566406249998</v>
      </c>
      <c r="F107" s="22">
        <f ca="1">IF(ISERROR(MATCH(F$1,INDIRECT("Table!A"&amp;$AN107):INDIRECT("Table!" &amp; $AQ$108 &amp; $AN107),0)),"",INDIRECT(CONCATENATE("Table!",ADDRESS($AJ107,MATCH(F$1,INDIRECT("Table!A" &amp; $AN107):INDIRECT("Table!" &amp; $AQ$108 &amp; $AN107),0))))/1024)</f>
        <v>230.96882812499999</v>
      </c>
      <c r="G107" s="22">
        <f ca="1">IF(ISERROR(MATCH(G$1,INDIRECT("Table!A"&amp;$AN107):INDIRECT("Table!" &amp; $AQ$108 &amp; $AN107),0)),"",INDIRECT(CONCATENATE("Table!",ADDRESS($AJ107,MATCH(G$1,INDIRECT("Table!A" &amp; $AN107):INDIRECT("Table!" &amp; $AQ$108 &amp; $AN107),0))))/1024)</f>
        <v>436.81230468749999</v>
      </c>
      <c r="H107" s="22">
        <f ca="1">IF(ISERROR(MATCH(H$1,INDIRECT("Table!A"&amp;$AN107):INDIRECT("Table!" &amp; $AQ$108 &amp; $AN107),0)),"",INDIRECT(CONCATENATE("Table!",ADDRESS($AJ107,MATCH(H$1,INDIRECT("Table!A" &amp; $AN107):INDIRECT("Table!" &amp; $AQ$108 &amp; $AN107),0))))/1024)</f>
        <v>100.10624999999999</v>
      </c>
      <c r="K107" s="272"/>
      <c r="L107" s="22">
        <f ca="1">IF(ISERROR(MATCH(L$1,INDIRECT("Table!A"&amp;$AN107):INDIRECT("Table!" &amp; $AQ$108 &amp; $AN107),0)),"",INDIRECT(CONCATENATE("Table!",ADDRESS($AJ107,MATCH(L$1,INDIRECT("Table!A" &amp; $AN107):INDIRECT("Table!" &amp; $AQ$108 &amp; $AN107),0))))/1024)</f>
        <v>261.52757812499999</v>
      </c>
      <c r="M107" s="22">
        <f ca="1">IF(ISERROR(MATCH(M$1,INDIRECT("Table!A"&amp;$AN107):INDIRECT("Table!" &amp; $AQ$108 &amp; $AN107),0)),"",INDIRECT(CONCATENATE("Table!",ADDRESS($AJ107,MATCH(M$1,INDIRECT("Table!A" &amp; $AN107):INDIRECT("Table!" &amp; $AQ$108 &amp; $AN107),0))))/1024)</f>
        <v>314.70902343749998</v>
      </c>
      <c r="N107" s="22">
        <f ca="1">IF(ISERROR(MATCH(N$1,INDIRECT("Table!A"&amp;$AN107):INDIRECT("Table!" &amp; $AQ$108 &amp; $AN107),0)),"",INDIRECT(CONCATENATE("Table!",ADDRESS($AJ107,MATCH(N$1,INDIRECT("Table!A" &amp; $AN107):INDIRECT("Table!" &amp; $AQ$108 &amp; $AN107),0))))/1024)</f>
        <v>121.378828125</v>
      </c>
      <c r="O107" s="22">
        <f ca="1">IF(ISERROR(MATCH(O$1,INDIRECT("Table!A"&amp;$AN107):INDIRECT("Table!" &amp; $AQ$108 &amp; $AN107),0)),"",INDIRECT(CONCATENATE("Table!",ADDRESS($AJ107,MATCH(O$1,INDIRECT("Table!A" &amp; $AN107):INDIRECT("Table!" &amp; $AQ$108 &amp; $AN107),0))))/1024)</f>
        <v>221.22164062499999</v>
      </c>
      <c r="P107" s="22"/>
      <c r="Q107" s="272"/>
      <c r="R107" s="272"/>
      <c r="S107" s="595"/>
      <c r="U107" s="22"/>
      <c r="V107" s="595"/>
      <c r="W107" s="595"/>
      <c r="X107" s="595"/>
      <c r="Y107" s="595"/>
      <c r="Z107" s="595"/>
      <c r="AA107" s="595"/>
      <c r="AB107" s="595"/>
      <c r="AC107" s="595"/>
      <c r="AD107" s="595"/>
      <c r="AE107" s="595"/>
      <c r="AF107" s="595"/>
      <c r="AG107" s="595"/>
      <c r="AH107" s="595"/>
      <c r="AI107" s="595"/>
      <c r="AJ107" s="22">
        <f>MATCH($A107,Table!$A:$A,0)+$AL$2-1</f>
        <v>1391</v>
      </c>
      <c r="AK107" s="245"/>
      <c r="AL107" s="245"/>
      <c r="AM107" s="245"/>
      <c r="AN107" s="22">
        <f>MATCH($A107,Table!$A:$A,0)+$AP$2-1</f>
        <v>1383</v>
      </c>
      <c r="AO107" s="245"/>
      <c r="AP107" s="245"/>
      <c r="AQ107" s="973" t="s">
        <v>302</v>
      </c>
      <c r="AR107" s="699">
        <f t="shared" ca="1" si="23"/>
        <v>2316.7352343749999</v>
      </c>
      <c r="AS107" s="699">
        <f ca="1">AR107-AR108</f>
        <v>11.755898437500036</v>
      </c>
    </row>
    <row r="108" spans="1:45" x14ac:dyDescent="0.25">
      <c r="A108" s="4">
        <v>41283</v>
      </c>
      <c r="B108" s="22">
        <f ca="1">IF(ISERROR(MATCH(B$1,INDIRECT("Table!A"&amp;$AN108):INDIRECT("Table!" &amp; $AQ$108 &amp; $AN108),0)),"",INDIRECT(CONCATENATE("Table!",ADDRESS($AJ108,MATCH(B$1,INDIRECT("Table!A" &amp; $AN108):INDIRECT("Table!" &amp; $AQ$108 &amp; $AN108),0))))/1024)</f>
        <v>181.179140625</v>
      </c>
      <c r="C108" s="22">
        <f ca="1">IF(ISERROR(MATCH(C$1,INDIRECT("Table!A"&amp;$AN108):INDIRECT("Table!" &amp; $AQ$108 &amp; $AN108),0)),"",INDIRECT(CONCATENATE("Table!",ADDRESS($AJ108,MATCH(C$1,INDIRECT("Table!A" &amp; $AN108):INDIRECT("Table!" &amp; $AQ$108 &amp; $AN108),0))))/1024)</f>
        <v>88.976015625000002</v>
      </c>
      <c r="D108" s="22">
        <f ca="1">IF(ISERROR(MATCH(D$1,INDIRECT("Table!A"&amp;$AN108):INDIRECT("Table!" &amp; $AQ$108 &amp; $AN108),0)),"",INDIRECT(CONCATENATE("Table!",ADDRESS($AJ108,MATCH(D$1,INDIRECT("Table!A" &amp; $AN108):INDIRECT("Table!" &amp; $AQ$108 &amp; $AN108),0))))/1024)</f>
        <v>89.469960937499991</v>
      </c>
      <c r="E108" s="22">
        <f ca="1">IF(ISERROR(MATCH(E$1,INDIRECT("Table!A"&amp;$AN108):INDIRECT("Table!" &amp; $AQ$108 &amp; $AN108),0)),"",INDIRECT(CONCATENATE("Table!",ADDRESS($AJ108,MATCH(E$1,INDIRECT("Table!A" &amp; $AN108):INDIRECT("Table!" &amp; $AQ$108 &amp; $AN108),0))))/1024)</f>
        <v>270.38566406249998</v>
      </c>
      <c r="F108" s="22">
        <f ca="1">IF(ISERROR(MATCH(F$1,INDIRECT("Table!A"&amp;$AN108):INDIRECT("Table!" &amp; $AQ$108 &amp; $AN108),0)),"",INDIRECT(CONCATENATE("Table!",ADDRESS($AJ108,MATCH(F$1,INDIRECT("Table!A" &amp; $AN108):INDIRECT("Table!" &amp; $AQ$108 &amp; $AN108),0))))/1024)</f>
        <v>230.96882812499999</v>
      </c>
      <c r="G108" s="22">
        <f ca="1">IF(ISERROR(MATCH(G$1,INDIRECT("Table!A"&amp;$AN108):INDIRECT("Table!" &amp; $AQ$108 &amp; $AN108),0)),"",INDIRECT(CONCATENATE("Table!",ADDRESS($AJ108,MATCH(G$1,INDIRECT("Table!A" &amp; $AN108):INDIRECT("Table!" &amp; $AQ$108 &amp; $AN108),0))))/1024)</f>
        <v>425.05640625000001</v>
      </c>
      <c r="H108" s="22">
        <f ca="1">IF(ISERROR(MATCH(H$1,INDIRECT("Table!A"&amp;$AN108):INDIRECT("Table!" &amp; $AQ$108 &amp; $AN108),0)),"",INDIRECT(CONCATENATE("Table!",ADDRESS($AJ108,MATCH(H$1,INDIRECT("Table!A" &amp; $AN108):INDIRECT("Table!" &amp; $AQ$108 &amp; $AN108),0))))/1024)</f>
        <v>100.10624999999999</v>
      </c>
      <c r="K108" s="272"/>
      <c r="L108" s="22">
        <f ca="1">IF(ISERROR(MATCH(L$1,INDIRECT("Table!A"&amp;$AN108):INDIRECT("Table!" &amp; $AQ$108 &amp; $AN108),0)),"",INDIRECT(CONCATENATE("Table!",ADDRESS($AJ108,MATCH(L$1,INDIRECT("Table!A" &amp; $AN108):INDIRECT("Table!" &amp; $AQ$108 &amp; $AN108),0))))/1024)</f>
        <v>261.52757812499999</v>
      </c>
      <c r="M108" s="22">
        <f ca="1">IF(ISERROR(MATCH(M$1,INDIRECT("Table!A"&amp;$AN108):INDIRECT("Table!" &amp; $AQ$108 &amp; $AN108),0)),"",INDIRECT(CONCATENATE("Table!",ADDRESS($AJ108,MATCH(M$1,INDIRECT("Table!A" &amp; $AN108):INDIRECT("Table!" &amp; $AQ$108 &amp; $AN108),0))))/1024)</f>
        <v>314.70902343749998</v>
      </c>
      <c r="N108" s="22">
        <f ca="1">IF(ISERROR(MATCH(N$1,INDIRECT("Table!A"&amp;$AN108):INDIRECT("Table!" &amp; $AQ$108 &amp; $AN108),0)),"",INDIRECT(CONCATENATE("Table!",ADDRESS($AJ108,MATCH(N$1,INDIRECT("Table!A" &amp; $AN108):INDIRECT("Table!" &amp; $AQ$108 &amp; $AN108),0))))/1024)</f>
        <v>121.378828125</v>
      </c>
      <c r="O108" s="22">
        <f ca="1">IF(ISERROR(MATCH(O$1,INDIRECT("Table!A"&amp;$AN108):INDIRECT("Table!" &amp; $AQ$108 &amp; $AN108),0)),"",INDIRECT(CONCATENATE("Table!",ADDRESS($AJ108,MATCH(O$1,INDIRECT("Table!A" &amp; $AN108):INDIRECT("Table!" &amp; $AQ$108 &amp; $AN108),0))))/1024)</f>
        <v>221.22164062499999</v>
      </c>
      <c r="P108" s="22"/>
      <c r="Q108" s="272"/>
      <c r="R108" s="272"/>
      <c r="S108" s="595"/>
      <c r="U108" s="22"/>
      <c r="V108" s="595"/>
      <c r="W108" s="595"/>
      <c r="X108" s="595"/>
      <c r="Y108" s="595"/>
      <c r="Z108" s="595"/>
      <c r="AA108" s="595"/>
      <c r="AB108" s="595"/>
      <c r="AC108" s="595"/>
      <c r="AD108" s="595"/>
      <c r="AE108" s="595"/>
      <c r="AF108" s="595"/>
      <c r="AG108" s="595"/>
      <c r="AH108" s="595"/>
      <c r="AI108" s="595"/>
      <c r="AJ108" s="22">
        <f>MATCH($A108,Table!$A:$A,0)+$AL$2-1</f>
        <v>1403</v>
      </c>
      <c r="AK108" s="244"/>
      <c r="AL108" s="244"/>
      <c r="AM108" s="244"/>
      <c r="AN108" s="22">
        <f>MATCH($A108,Table!$A:$A,0)+$AP$2-1</f>
        <v>1395</v>
      </c>
      <c r="AO108" s="244"/>
      <c r="AP108" s="244"/>
      <c r="AQ108" s="973" t="s">
        <v>302</v>
      </c>
      <c r="AR108" s="699">
        <f t="shared" ca="1" si="23"/>
        <v>2304.9793359374999</v>
      </c>
    </row>
    <row r="109" spans="1:45" x14ac:dyDescent="0.25">
      <c r="B109" s="22" t="str">
        <f ca="1">IF(ISERROR(MATCH(B$1,INDIRECT("Table!A"&amp;$AM109):INDIRECT("Table!" &amp; $AO$275 &amp; $AM109),0)),"",INDIRECT(CONCATENATE("Table!",ADDRESS(#REF!,MATCH(B$1,INDIRECT("Table!A" &amp; $AM109):INDIRECT("Table!" &amp; $AO$275 &amp; $AM109),0))))/1024)</f>
        <v/>
      </c>
      <c r="C109" s="22" t="str">
        <f ca="1">IF(ISERROR(MATCH(C$1,INDIRECT("Table!A"&amp;$AM109):INDIRECT("Table!" &amp; $AO$275 &amp; $AM109),0)),"",INDIRECT(CONCATENATE("Table!",ADDRESS(#REF!,MATCH(C$1,INDIRECT("Table!A" &amp; $AM109):INDIRECT("Table!" &amp; $AO$275 &amp; $AM109),0))))/1024)</f>
        <v/>
      </c>
      <c r="D109" s="22" t="str">
        <f ca="1">IF(ISERROR(MATCH(D$1,INDIRECT("Table!A"&amp;$AM109):INDIRECT("Table!" &amp; $AO$275 &amp; $AM109),0)),"",INDIRECT(CONCATENATE("Table!",ADDRESS(#REF!,MATCH(D$1,INDIRECT("Table!A" &amp; $AM109):INDIRECT("Table!" &amp; $AO$275 &amp; $AM109),0))))/1024)</f>
        <v/>
      </c>
      <c r="E109" s="22" t="str">
        <f ca="1">IF(ISERROR(MATCH(E$1,INDIRECT("Table!A"&amp;$AM109):INDIRECT("Table!" &amp; $AO$275 &amp; $AM109),0)),"",INDIRECT(CONCATENATE("Table!",ADDRESS(#REF!,MATCH(E$1,INDIRECT("Table!A" &amp; $AM109):INDIRECT("Table!" &amp; $AO$275 &amp; $AM109),0))))/1024)</f>
        <v/>
      </c>
      <c r="F109" s="22" t="str">
        <f ca="1">IF(ISERROR(MATCH(F$1,INDIRECT("Table!A"&amp;$AM109):INDIRECT("Table!" &amp; $AO$275 &amp; $AM109),0)),"",INDIRECT(CONCATENATE("Table!",ADDRESS(#REF!,MATCH(F$1,INDIRECT("Table!A" &amp; $AM109):INDIRECT("Table!" &amp; $AO$275 &amp; $AM109),0))))/1024)</f>
        <v/>
      </c>
      <c r="G109" s="22" t="str">
        <f ca="1">IF(ISERROR(MATCH(G$1,INDIRECT("Table!A"&amp;$AM109):INDIRECT("Table!" &amp; $AO$275 &amp; $AM109),0)),"",INDIRECT(CONCATENATE("Table!",ADDRESS(#REF!,MATCH(G$1,INDIRECT("Table!A" &amp; $AM109):INDIRECT("Table!" &amp; $AO$275 &amp; $AM109),0))))/1024)</f>
        <v/>
      </c>
      <c r="H109" s="22" t="str">
        <f ca="1">IF(ISERROR(MATCH(H$1,INDIRECT("Table!A"&amp;$AM109):INDIRECT("Table!" &amp; $AO$275 &amp; $AM109),0)),"",INDIRECT(CONCATENATE("Table!",ADDRESS(#REF!,MATCH(H$1,INDIRECT("Table!A" &amp; $AM109):INDIRECT("Table!" &amp; $AO$275 &amp; $AM109),0))))/1024)</f>
        <v/>
      </c>
      <c r="K109" s="22" t="str">
        <f ca="1">IF(ISERROR(MATCH(L$1,INDIRECT("Table!A"&amp;$AM109):INDIRECT("Table!" &amp; $AO$275 &amp; $AM109),0)),"",INDIRECT(CONCATENATE("Table!",ADDRESS(#REF!,MATCH(L$1,INDIRECT("Table!A" &amp; $AM109):INDIRECT("Table!" &amp; $AO$275 &amp; $AM109),0))))/1024)</f>
        <v/>
      </c>
      <c r="L109" s="22" t="str">
        <f ca="1">IF(ISERROR(MATCH(M$1,INDIRECT("Table!A"&amp;$AM109):INDIRECT("Table!" &amp; $AO$275 &amp; $AM109),0)),"",INDIRECT(CONCATENATE("Table!",ADDRESS(#REF!,MATCH(M$1,INDIRECT("Table!A" &amp; $AM109):INDIRECT("Table!" &amp; $AO$275 &amp; $AM109),0))))/1024)</f>
        <v/>
      </c>
      <c r="M109" s="22" t="str">
        <f ca="1">IF(ISERROR(MATCH(N$1,INDIRECT("Table!A"&amp;$AM109):INDIRECT("Table!" &amp; $AO$275 &amp; $AM109),0)),"",INDIRECT(CONCATENATE("Table!",ADDRESS(#REF!,MATCH(N$1,INDIRECT("Table!A" &amp; $AM109):INDIRECT("Table!" &amp; $AO$275 &amp; $AM109),0))))/1024)</f>
        <v/>
      </c>
      <c r="N109" s="22" t="str">
        <f ca="1">IF(ISERROR(MATCH(O$1,INDIRECT("Table!A"&amp;$AM109):INDIRECT("Table!" &amp; $AO$275 &amp; $AM109),0)),"",INDIRECT(CONCATENATE("Table!",ADDRESS(#REF!,MATCH(O$1,INDIRECT("Table!A" &amp; $AM109):INDIRECT("Table!" &amp; $AO$275 &amp; $AM109),0))))/1024)</f>
        <v/>
      </c>
      <c r="O109" s="22"/>
      <c r="P109" s="272"/>
      <c r="Q109" s="22"/>
      <c r="R109" s="272"/>
      <c r="U109" s="243"/>
      <c r="AJ109" s="243"/>
      <c r="AK109" s="243"/>
      <c r="AL109" s="243"/>
      <c r="AM109" s="22"/>
      <c r="AN109" s="243"/>
      <c r="AO109" s="243"/>
      <c r="AP109" s="243"/>
    </row>
    <row r="110" spans="1:45" x14ac:dyDescent="0.25">
      <c r="B110" s="22" t="str">
        <f ca="1">IF(ISERROR(MATCH(B$1,INDIRECT("Table!A"&amp;$AL110):INDIRECT("Table!" &amp; $AO$275 &amp; $AL110),0)),"",INDIRECT(CONCATENATE("Table!",ADDRESS(#REF!,MATCH(B$1,INDIRECT("Table!A" &amp; $AL110):INDIRECT("Table!" &amp; $AO$275 &amp; $AL110),0))))/1024)</f>
        <v/>
      </c>
      <c r="C110" s="22" t="str">
        <f ca="1">IF(ISERROR(MATCH(C$1,INDIRECT("Table!A"&amp;$AL110):INDIRECT("Table!" &amp; $AO$275 &amp; $AL110),0)),"",INDIRECT(CONCATENATE("Table!",ADDRESS(#REF!,MATCH(C$1,INDIRECT("Table!A" &amp; $AL110):INDIRECT("Table!" &amp; $AO$275 &amp; $AL110),0))))/1024)</f>
        <v/>
      </c>
      <c r="D110" s="22" t="str">
        <f ca="1">IF(ISERROR(MATCH(D$1,INDIRECT("Table!A"&amp;$AL110):INDIRECT("Table!" &amp; $AO$275 &amp; $AL110),0)),"",INDIRECT(CONCATENATE("Table!",ADDRESS(#REF!,MATCH(D$1,INDIRECT("Table!A" &amp; $AL110):INDIRECT("Table!" &amp; $AO$275 &amp; $AL110),0))))/1024)</f>
        <v/>
      </c>
      <c r="E110" s="22" t="str">
        <f ca="1">IF(ISERROR(MATCH(E$1,INDIRECT("Table!A"&amp;$AL110):INDIRECT("Table!" &amp; $AO$275 &amp; $AL110),0)),"",INDIRECT(CONCATENATE("Table!",ADDRESS(#REF!,MATCH(E$1,INDIRECT("Table!A" &amp; $AL110):INDIRECT("Table!" &amp; $AO$275 &amp; $AL110),0))))/1024)</f>
        <v/>
      </c>
      <c r="F110" s="22" t="str">
        <f ca="1">IF(ISERROR(MATCH(F$1,INDIRECT("Table!A"&amp;$AL110):INDIRECT("Table!" &amp; $AO$275 &amp; $AL110),0)),"",INDIRECT(CONCATENATE("Table!",ADDRESS(#REF!,MATCH(F$1,INDIRECT("Table!A" &amp; $AL110):INDIRECT("Table!" &amp; $AO$275 &amp; $AL110),0))))/1024)</f>
        <v/>
      </c>
      <c r="G110" s="22" t="str">
        <f ca="1">IF(ISERROR(MATCH(G$1,INDIRECT("Table!A"&amp;$AL110):INDIRECT("Table!" &amp; $AO$275 &amp; $AL110),0)),"",INDIRECT(CONCATENATE("Table!",ADDRESS(#REF!,MATCH(G$1,INDIRECT("Table!A" &amp; $AL110):INDIRECT("Table!" &amp; $AO$275 &amp; $AL110),0))))/1024)</f>
        <v/>
      </c>
      <c r="H110" s="22" t="str">
        <f ca="1">IF(ISERROR(MATCH(H$1,INDIRECT("Table!A"&amp;$AL110):INDIRECT("Table!" &amp; $AO$275 &amp; $AL110),0)),"",INDIRECT(CONCATENATE("Table!",ADDRESS(#REF!,MATCH(H$1,INDIRECT("Table!A" &amp; $AL110):INDIRECT("Table!" &amp; $AO$275 &amp; $AL110),0))))/1024)</f>
        <v/>
      </c>
      <c r="K110" s="22" t="str">
        <f ca="1">IF(ISERROR(MATCH(L$1,INDIRECT("Table!A"&amp;$AL110):INDIRECT("Table!" &amp; $AO$275 &amp; $AL110),0)),"",INDIRECT(CONCATENATE("Table!",ADDRESS(#REF!,MATCH(L$1,INDIRECT("Table!A" &amp; $AL110):INDIRECT("Table!" &amp; $AO$275 &amp; $AL110),0))))/1024)</f>
        <v/>
      </c>
      <c r="L110" s="22" t="str">
        <f ca="1">IF(ISERROR(MATCH(M$1,INDIRECT("Table!A"&amp;$AL110):INDIRECT("Table!" &amp; $AO$275 &amp; $AL110),0)),"",INDIRECT(CONCATENATE("Table!",ADDRESS(#REF!,MATCH(M$1,INDIRECT("Table!A" &amp; $AL110):INDIRECT("Table!" &amp; $AO$275 &amp; $AL110),0))))/1024)</f>
        <v/>
      </c>
      <c r="M110" s="22" t="str">
        <f ca="1">IF(ISERROR(MATCH(N$1,INDIRECT("Table!A"&amp;$AL110):INDIRECT("Table!" &amp; $AO$275 &amp; $AL110),0)),"",INDIRECT(CONCATENATE("Table!",ADDRESS(#REF!,MATCH(N$1,INDIRECT("Table!A" &amp; $AL110):INDIRECT("Table!" &amp; $AO$275 &amp; $AL110),0))))/1024)</f>
        <v/>
      </c>
      <c r="N110" s="22" t="str">
        <f ca="1">IF(ISERROR(MATCH(O$1,INDIRECT("Table!A"&amp;$AL110):INDIRECT("Table!" &amp; $AO$275 &amp; $AL110),0)),"",INDIRECT(CONCATENATE("Table!",ADDRESS(#REF!,MATCH(O$1,INDIRECT("Table!A" &amp; $AL110):INDIRECT("Table!" &amp; $AO$275 &amp; $AL110),0))))/1024)</f>
        <v/>
      </c>
      <c r="O110" s="22"/>
      <c r="P110" s="272"/>
      <c r="Q110" s="22"/>
      <c r="R110" s="242"/>
      <c r="T110" s="595"/>
      <c r="U110" s="242"/>
      <c r="AJ110" s="242"/>
      <c r="AK110" s="242"/>
      <c r="AL110" s="22"/>
      <c r="AM110" s="242"/>
      <c r="AN110" s="242"/>
      <c r="AO110" s="242"/>
    </row>
    <row r="111" spans="1:45" x14ac:dyDescent="0.25">
      <c r="B111" s="22" t="str">
        <f ca="1">IF(ISERROR(MATCH(B$1,INDIRECT("Table!A"&amp;$AL111):INDIRECT("Table!" &amp; $AO$275 &amp; $AL111),0)),"",INDIRECT(CONCATENATE("Table!",ADDRESS(#REF!,MATCH(B$1,INDIRECT("Table!A" &amp; $AL111):INDIRECT("Table!" &amp; $AO$275 &amp; $AL111),0))))/1024)</f>
        <v/>
      </c>
      <c r="C111" s="22" t="str">
        <f ca="1">IF(ISERROR(MATCH(C$1,INDIRECT("Table!A"&amp;$AL111):INDIRECT("Table!" &amp; $AO$275 &amp; $AL111),0)),"",INDIRECT(CONCATENATE("Table!",ADDRESS(#REF!,MATCH(C$1,INDIRECT("Table!A" &amp; $AL111):INDIRECT("Table!" &amp; $AO$275 &amp; $AL111),0))))/1024)</f>
        <v/>
      </c>
      <c r="D111" s="22" t="str">
        <f ca="1">IF(ISERROR(MATCH(D$1,INDIRECT("Table!A"&amp;$AL111):INDIRECT("Table!" &amp; $AO$275 &amp; $AL111),0)),"",INDIRECT(CONCATENATE("Table!",ADDRESS(#REF!,MATCH(D$1,INDIRECT("Table!A" &amp; $AL111):INDIRECT("Table!" &amp; $AO$275 &amp; $AL111),0))))/1024)</f>
        <v/>
      </c>
      <c r="E111" s="22" t="str">
        <f ca="1">IF(ISERROR(MATCH(E$1,INDIRECT("Table!A"&amp;$AL111):INDIRECT("Table!" &amp; $AO$275 &amp; $AL111),0)),"",INDIRECT(CONCATENATE("Table!",ADDRESS(#REF!,MATCH(E$1,INDIRECT("Table!A" &amp; $AL111):INDIRECT("Table!" &amp; $AO$275 &amp; $AL111),0))))/1024)</f>
        <v/>
      </c>
      <c r="F111" s="592"/>
      <c r="G111" s="22" t="str">
        <f ca="1">IF(ISERROR(MATCH(G$1,INDIRECT("Table!A"&amp;$AL111):INDIRECT("Table!" &amp; $AO$275 &amp; $AL111),0)),"",INDIRECT(CONCATENATE("Table!",ADDRESS(#REF!,MATCH(G$1,INDIRECT("Table!A" &amp; $AL111):INDIRECT("Table!" &amp; $AO$275 &amp; $AL111),0))))/1024)</f>
        <v/>
      </c>
      <c r="H111" s="22" t="str">
        <f ca="1">IF(ISERROR(MATCH(H$1,INDIRECT("Table!A"&amp;$AL111):INDIRECT("Table!" &amp; $AO$275 &amp; $AL111),0)),"",INDIRECT(CONCATENATE("Table!",ADDRESS(#REF!,MATCH(H$1,INDIRECT("Table!A" &amp; $AL111):INDIRECT("Table!" &amp; $AO$275 &amp; $AL111),0))))/1024)</f>
        <v/>
      </c>
      <c r="K111" s="22" t="str">
        <f ca="1">IF(ISERROR(MATCH(L$1,INDIRECT("Table!A"&amp;$AL111):INDIRECT("Table!" &amp; $AO$275 &amp; $AL111),0)),"",INDIRECT(CONCATENATE("Table!",ADDRESS(#REF!,MATCH(L$1,INDIRECT("Table!A" &amp; $AL111):INDIRECT("Table!" &amp; $AO$275 &amp; $AL111),0))))/1024)</f>
        <v/>
      </c>
      <c r="L111" s="22" t="str">
        <f ca="1">IF(ISERROR(MATCH(M$1,INDIRECT("Table!A"&amp;$AL111):INDIRECT("Table!" &amp; $AO$275 &amp; $AL111),0)),"",INDIRECT(CONCATENATE("Table!",ADDRESS(#REF!,MATCH(M$1,INDIRECT("Table!A" &amp; $AL111):INDIRECT("Table!" &amp; $AO$275 &amp; $AL111),0))))/1024)</f>
        <v/>
      </c>
      <c r="M111" s="22" t="str">
        <f ca="1">IF(ISERROR(MATCH(N$1,INDIRECT("Table!A"&amp;$AL111):INDIRECT("Table!" &amp; $AO$275 &amp; $AL111),0)),"",INDIRECT(CONCATENATE("Table!",ADDRESS(#REF!,MATCH(N$1,INDIRECT("Table!A" &amp; $AL111):INDIRECT("Table!" &amp; $AO$275 &amp; $AL111),0))))/1024)</f>
        <v/>
      </c>
      <c r="N111" s="22" t="str">
        <f ca="1">IF(ISERROR(MATCH(O$1,INDIRECT("Table!A"&amp;$AL111):INDIRECT("Table!" &amp; $AO$275 &amp; $AL111),0)),"",INDIRECT(CONCATENATE("Table!",ADDRESS(#REF!,MATCH(O$1,INDIRECT("Table!A" &amp; $AL111):INDIRECT("Table!" &amp; $AO$275 &amp; $AL111),0))))/1024)</f>
        <v/>
      </c>
      <c r="O111" s="22"/>
      <c r="P111" s="272"/>
      <c r="Q111" s="22"/>
      <c r="R111" s="241"/>
      <c r="T111" s="595"/>
      <c r="U111" s="241"/>
      <c r="AJ111" s="241"/>
      <c r="AK111" s="241"/>
      <c r="AL111" s="22"/>
      <c r="AM111" s="241"/>
      <c r="AN111" s="241"/>
      <c r="AO111" s="241"/>
    </row>
    <row r="112" spans="1:45" x14ac:dyDescent="0.25">
      <c r="B112" s="22" t="str">
        <f ca="1">IF(ISERROR(MATCH(B$1,INDIRECT("Table!A"&amp;$AL112):INDIRECT("Table!" &amp; $AO$275 &amp; $AL112),0)),"",INDIRECT(CONCATENATE("Table!",ADDRESS(#REF!,MATCH(B$1,INDIRECT("Table!A" &amp; $AL112):INDIRECT("Table!" &amp; $AO$275 &amp; $AL112),0))))/1024)</f>
        <v/>
      </c>
      <c r="C112" s="22" t="str">
        <f ca="1">IF(ISERROR(MATCH(C$1,INDIRECT("Table!A"&amp;$AL112):INDIRECT("Table!" &amp; $AO$275 &amp; $AL112),0)),"",INDIRECT(CONCATENATE("Table!",ADDRESS(#REF!,MATCH(C$1,INDIRECT("Table!A" &amp; $AL112):INDIRECT("Table!" &amp; $AO$275 &amp; $AL112),0))))/1024)</f>
        <v/>
      </c>
      <c r="D112" s="22" t="str">
        <f ca="1">IF(ISERROR(MATCH(D$1,INDIRECT("Table!A"&amp;$AL112):INDIRECT("Table!" &amp; $AO$275 &amp; $AL112),0)),"",INDIRECT(CONCATENATE("Table!",ADDRESS(#REF!,MATCH(D$1,INDIRECT("Table!A" &amp; $AL112):INDIRECT("Table!" &amp; $AO$275 &amp; $AL112),0))))/1024)</f>
        <v/>
      </c>
      <c r="E112" s="22" t="str">
        <f ca="1">IF(ISERROR(MATCH(E$1,INDIRECT("Table!A"&amp;$AL112):INDIRECT("Table!" &amp; $AO$275 &amp; $AL112),0)),"",INDIRECT(CONCATENATE("Table!",ADDRESS(#REF!,MATCH(E$1,INDIRECT("Table!A" &amp; $AL112):INDIRECT("Table!" &amp; $AO$275 &amp; $AL112),0))))/1024)</f>
        <v/>
      </c>
      <c r="F112" s="592"/>
      <c r="G112" s="22" t="str">
        <f ca="1">IF(ISERROR(MATCH(G$1,INDIRECT("Table!A"&amp;$AL112):INDIRECT("Table!" &amp; $AO$275 &amp; $AL112),0)),"",INDIRECT(CONCATENATE("Table!",ADDRESS(#REF!,MATCH(G$1,INDIRECT("Table!A" &amp; $AL112):INDIRECT("Table!" &amp; $AO$275 &amp; $AL112),0))))/1024)</f>
        <v/>
      </c>
      <c r="H112" s="22" t="str">
        <f ca="1">IF(ISERROR(MATCH(H$1,INDIRECT("Table!A"&amp;$AL112):INDIRECT("Table!" &amp; $AO$275 &amp; $AL112),0)),"",INDIRECT(CONCATENATE("Table!",ADDRESS(#REF!,MATCH(H$1,INDIRECT("Table!A" &amp; $AL112):INDIRECT("Table!" &amp; $AO$275 &amp; $AL112),0))))/1024)</f>
        <v/>
      </c>
      <c r="J112" s="592"/>
      <c r="K112" s="22" t="str">
        <f ca="1">IF(ISERROR(MATCH(L$1,INDIRECT("Table!A"&amp;$AL112):INDIRECT("Table!" &amp; $AO$275 &amp; $AL112),0)),"",INDIRECT(CONCATENATE("Table!",ADDRESS(#REF!,MATCH(L$1,INDIRECT("Table!A" &amp; $AL112):INDIRECT("Table!" &amp; $AO$275 &amp; $AL112),0))))/1024)</f>
        <v/>
      </c>
      <c r="L112" s="22" t="str">
        <f ca="1">IF(ISERROR(MATCH(M$1,INDIRECT("Table!A"&amp;$AL112):INDIRECT("Table!" &amp; $AO$275 &amp; $AL112),0)),"",INDIRECT(CONCATENATE("Table!",ADDRESS(#REF!,MATCH(M$1,INDIRECT("Table!A" &amp; $AL112):INDIRECT("Table!" &amp; $AO$275 &amp; $AL112),0))))/1024)</f>
        <v/>
      </c>
      <c r="M112" s="22" t="str">
        <f ca="1">IF(ISERROR(MATCH(N$1,INDIRECT("Table!A"&amp;$AL112):INDIRECT("Table!" &amp; $AO$275 &amp; $AL112),0)),"",INDIRECT(CONCATENATE("Table!",ADDRESS(#REF!,MATCH(N$1,INDIRECT("Table!A" &amp; $AL112):INDIRECT("Table!" &amp; $AO$275 &amp; $AL112),0))))/1024)</f>
        <v/>
      </c>
      <c r="N112" s="22" t="str">
        <f ca="1">IF(ISERROR(MATCH(O$1,INDIRECT("Table!A"&amp;$AL112):INDIRECT("Table!" &amp; $AO$275 &amp; $AL112),0)),"",INDIRECT(CONCATENATE("Table!",ADDRESS(#REF!,MATCH(O$1,INDIRECT("Table!A" &amp; $AL112):INDIRECT("Table!" &amp; $AO$275 &amp; $AL112),0))))/1024)</f>
        <v/>
      </c>
      <c r="O112" s="22"/>
      <c r="P112" s="272"/>
      <c r="Q112" s="22"/>
      <c r="R112" s="240"/>
      <c r="T112" s="595"/>
      <c r="U112" s="240"/>
      <c r="AJ112" s="240"/>
      <c r="AK112" s="240"/>
      <c r="AL112" s="22"/>
      <c r="AM112" s="240"/>
      <c r="AN112" s="240"/>
      <c r="AO112" s="240"/>
    </row>
    <row r="113" spans="2:41" x14ac:dyDescent="0.25">
      <c r="B113" s="22" t="str">
        <f ca="1">IF(ISERROR(MATCH(B$1,INDIRECT("Table!A"&amp;$AL113):INDIRECT("Table!" &amp; $AO$275 &amp; $AL113),0)),"",INDIRECT(CONCATENATE("Table!",ADDRESS(#REF!,MATCH(B$1,INDIRECT("Table!A" &amp; $AL113):INDIRECT("Table!" &amp; $AO$275 &amp; $AL113),0))))/1024)</f>
        <v/>
      </c>
      <c r="C113" s="22" t="str">
        <f ca="1">IF(ISERROR(MATCH(C$1,INDIRECT("Table!A"&amp;$AL113):INDIRECT("Table!" &amp; $AO$275 &amp; $AL113),0)),"",INDIRECT(CONCATENATE("Table!",ADDRESS(#REF!,MATCH(C$1,INDIRECT("Table!A" &amp; $AL113):INDIRECT("Table!" &amp; $AO$275 &amp; $AL113),0))))/1024)</f>
        <v/>
      </c>
      <c r="D113" s="22" t="str">
        <f ca="1">IF(ISERROR(MATCH(D$1,INDIRECT("Table!A"&amp;$AL113):INDIRECT("Table!" &amp; $AO$275 &amp; $AL113),0)),"",INDIRECT(CONCATENATE("Table!",ADDRESS(#REF!,MATCH(D$1,INDIRECT("Table!A" &amp; $AL113):INDIRECT("Table!" &amp; $AO$275 &amp; $AL113),0))))/1024)</f>
        <v/>
      </c>
      <c r="E113" s="22" t="str">
        <f ca="1">IF(ISERROR(MATCH(E$1,INDIRECT("Table!A"&amp;$AL113):INDIRECT("Table!" &amp; $AO$275 &amp; $AL113),0)),"",INDIRECT(CONCATENATE("Table!",ADDRESS(#REF!,MATCH(E$1,INDIRECT("Table!A" &amp; $AL113):INDIRECT("Table!" &amp; $AO$275 &amp; $AL113),0))))/1024)</f>
        <v/>
      </c>
      <c r="F113" s="592"/>
      <c r="G113" s="22" t="str">
        <f ca="1">IF(ISERROR(MATCH(G$1,INDIRECT("Table!A"&amp;$AL113):INDIRECT("Table!" &amp; $AO$275 &amp; $AL113),0)),"",INDIRECT(CONCATENATE("Table!",ADDRESS(#REF!,MATCH(G$1,INDIRECT("Table!A" &amp; $AL113):INDIRECT("Table!" &amp; $AO$275 &amp; $AL113),0))))/1024)</f>
        <v/>
      </c>
      <c r="H113" s="22" t="str">
        <f ca="1">IF(ISERROR(MATCH(H$1,INDIRECT("Table!A"&amp;$AL113):INDIRECT("Table!" &amp; $AO$275 &amp; $AL113),0)),"",INDIRECT(CONCATENATE("Table!",ADDRESS(#REF!,MATCH(H$1,INDIRECT("Table!A" &amp; $AL113):INDIRECT("Table!" &amp; $AO$275 &amp; $AL113),0))))/1024)</f>
        <v/>
      </c>
      <c r="J113" s="592"/>
      <c r="K113" s="22" t="str">
        <f ca="1">IF(ISERROR(MATCH(L$1,INDIRECT("Table!A"&amp;$AL113):INDIRECT("Table!" &amp; $AO$275 &amp; $AL113),0)),"",INDIRECT(CONCATENATE("Table!",ADDRESS(#REF!,MATCH(L$1,INDIRECT("Table!A" &amp; $AL113):INDIRECT("Table!" &amp; $AO$275 &amp; $AL113),0))))/1024)</f>
        <v/>
      </c>
      <c r="L113" s="22" t="str">
        <f ca="1">IF(ISERROR(MATCH(M$1,INDIRECT("Table!A"&amp;$AL113):INDIRECT("Table!" &amp; $AO$275 &amp; $AL113),0)),"",INDIRECT(CONCATENATE("Table!",ADDRESS(#REF!,MATCH(M$1,INDIRECT("Table!A" &amp; $AL113):INDIRECT("Table!" &amp; $AO$275 &amp; $AL113),0))))/1024)</f>
        <v/>
      </c>
      <c r="M113" s="22" t="str">
        <f ca="1">IF(ISERROR(MATCH(N$1,INDIRECT("Table!A"&amp;$AL113):INDIRECT("Table!" &amp; $AO$275 &amp; $AL113),0)),"",INDIRECT(CONCATENATE("Table!",ADDRESS(#REF!,MATCH(N$1,INDIRECT("Table!A" &amp; $AL113):INDIRECT("Table!" &amp; $AO$275 &amp; $AL113),0))))/1024)</f>
        <v/>
      </c>
      <c r="N113" s="22" t="str">
        <f ca="1">IF(ISERROR(MATCH(O$1,INDIRECT("Table!A"&amp;$AL113):INDIRECT("Table!" &amp; $AO$275 &amp; $AL113),0)),"",INDIRECT(CONCATENATE("Table!",ADDRESS(#REF!,MATCH(O$1,INDIRECT("Table!A" &amp; $AL113):INDIRECT("Table!" &amp; $AO$275 &amp; $AL113),0))))/1024)</f>
        <v/>
      </c>
      <c r="O113" s="22"/>
      <c r="P113" s="272"/>
      <c r="Q113" s="22"/>
      <c r="R113" s="239"/>
      <c r="T113" s="595"/>
      <c r="U113" s="239"/>
      <c r="AJ113" s="239"/>
      <c r="AK113" s="239"/>
      <c r="AL113" s="22"/>
      <c r="AM113" s="239"/>
      <c r="AN113" s="239"/>
      <c r="AO113" s="239"/>
    </row>
    <row r="114" spans="2:41" x14ac:dyDescent="0.25">
      <c r="B114" s="22" t="str">
        <f ca="1">IF(ISERROR(MATCH(B$1,INDIRECT("Table!A"&amp;$AL114):INDIRECT("Table!" &amp; $AO$275 &amp; $AL114),0)),"",INDIRECT(CONCATENATE("Table!",ADDRESS(#REF!,MATCH(B$1,INDIRECT("Table!A" &amp; $AL114):INDIRECT("Table!" &amp; $AO$275 &amp; $AL114),0))))/1024)</f>
        <v/>
      </c>
      <c r="C114" s="22" t="str">
        <f ca="1">IF(ISERROR(MATCH(C$1,INDIRECT("Table!A"&amp;$AL114):INDIRECT("Table!" &amp; $AO$275 &amp; $AL114),0)),"",INDIRECT(CONCATENATE("Table!",ADDRESS(#REF!,MATCH(C$1,INDIRECT("Table!A" &amp; $AL114):INDIRECT("Table!" &amp; $AO$275 &amp; $AL114),0))))/1024)</f>
        <v/>
      </c>
      <c r="D114" s="22" t="str">
        <f ca="1">IF(ISERROR(MATCH(D$1,INDIRECT("Table!A"&amp;$AL114):INDIRECT("Table!" &amp; $AO$275 &amp; $AL114),0)),"",INDIRECT(CONCATENATE("Table!",ADDRESS(#REF!,MATCH(D$1,INDIRECT("Table!A" &amp; $AL114):INDIRECT("Table!" &amp; $AO$275 &amp; $AL114),0))))/1024)</f>
        <v/>
      </c>
      <c r="E114" s="22" t="str">
        <f ca="1">IF(ISERROR(MATCH(E$1,INDIRECT("Table!A"&amp;$AL114):INDIRECT("Table!" &amp; $AO$275 &amp; $AL114),0)),"",INDIRECT(CONCATENATE("Table!",ADDRESS(#REF!,MATCH(E$1,INDIRECT("Table!A" &amp; $AL114):INDIRECT("Table!" &amp; $AO$275 &amp; $AL114),0))))/1024)</f>
        <v/>
      </c>
      <c r="F114" s="592"/>
      <c r="G114" s="22" t="str">
        <f ca="1">IF(ISERROR(MATCH(G$1,INDIRECT("Table!A"&amp;$AL114):INDIRECT("Table!" &amp; $AO$275 &amp; $AL114),0)),"",INDIRECT(CONCATENATE("Table!",ADDRESS(#REF!,MATCH(G$1,INDIRECT("Table!A" &amp; $AL114):INDIRECT("Table!" &amp; $AO$275 &amp; $AL114),0))))/1024)</f>
        <v/>
      </c>
      <c r="H114" s="22" t="str">
        <f ca="1">IF(ISERROR(MATCH(H$1,INDIRECT("Table!A"&amp;$AL114):INDIRECT("Table!" &amp; $AO$275 &amp; $AL114),0)),"",INDIRECT(CONCATENATE("Table!",ADDRESS(#REF!,MATCH(H$1,INDIRECT("Table!A" &amp; $AL114):INDIRECT("Table!" &amp; $AO$275 &amp; $AL114),0))))/1024)</f>
        <v/>
      </c>
      <c r="J114" s="592"/>
      <c r="K114" s="22" t="str">
        <f ca="1">IF(ISERROR(MATCH(L$1,INDIRECT("Table!A"&amp;$AL114):INDIRECT("Table!" &amp; $AO$275 &amp; $AL114),0)),"",INDIRECT(CONCATENATE("Table!",ADDRESS(#REF!,MATCH(L$1,INDIRECT("Table!A" &amp; $AL114):INDIRECT("Table!" &amp; $AO$275 &amp; $AL114),0))))/1024)</f>
        <v/>
      </c>
      <c r="L114" s="22" t="str">
        <f ca="1">IF(ISERROR(MATCH(M$1,INDIRECT("Table!A"&amp;$AL114):INDIRECT("Table!" &amp; $AO$275 &amp; $AL114),0)),"",INDIRECT(CONCATENATE("Table!",ADDRESS(#REF!,MATCH(M$1,INDIRECT("Table!A" &amp; $AL114):INDIRECT("Table!" &amp; $AO$275 &amp; $AL114),0))))/1024)</f>
        <v/>
      </c>
      <c r="M114" s="22" t="str">
        <f ca="1">IF(ISERROR(MATCH(N$1,INDIRECT("Table!A"&amp;$AL114):INDIRECT("Table!" &amp; $AO$275 &amp; $AL114),0)),"",INDIRECT(CONCATENATE("Table!",ADDRESS(#REF!,MATCH(N$1,INDIRECT("Table!A" &amp; $AL114):INDIRECT("Table!" &amp; $AO$275 &amp; $AL114),0))))/1024)</f>
        <v/>
      </c>
      <c r="N114" s="22" t="str">
        <f ca="1">IF(ISERROR(MATCH(O$1,INDIRECT("Table!A"&amp;$AL114):INDIRECT("Table!" &amp; $AO$275 &amp; $AL114),0)),"",INDIRECT(CONCATENATE("Table!",ADDRESS(#REF!,MATCH(O$1,INDIRECT("Table!A" &amp; $AL114):INDIRECT("Table!" &amp; $AO$275 &amp; $AL114),0))))/1024)</f>
        <v/>
      </c>
      <c r="O114" s="22"/>
      <c r="P114" s="272"/>
      <c r="Q114" s="22"/>
      <c r="R114" s="238"/>
      <c r="T114" s="595"/>
      <c r="U114" s="238"/>
      <c r="AJ114" s="238"/>
      <c r="AK114" s="238"/>
      <c r="AL114" s="22"/>
      <c r="AM114" s="238"/>
      <c r="AN114" s="238"/>
      <c r="AO114" s="238"/>
    </row>
    <row r="115" spans="2:41" x14ac:dyDescent="0.25">
      <c r="B115" s="22" t="str">
        <f ca="1">IF(ISERROR(MATCH(B$1,INDIRECT("Table!A"&amp;$AL115):INDIRECT("Table!" &amp; $AO$275 &amp; $AL115),0)),"",INDIRECT(CONCATENATE("Table!",ADDRESS(#REF!,MATCH(B$1,INDIRECT("Table!A" &amp; $AL115):INDIRECT("Table!" &amp; $AO$275 &amp; $AL115),0))))/1024)</f>
        <v/>
      </c>
      <c r="C115" s="22" t="str">
        <f ca="1">IF(ISERROR(MATCH(C$1,INDIRECT("Table!A"&amp;$AL115):INDIRECT("Table!" &amp; $AO$275 &amp; $AL115),0)),"",INDIRECT(CONCATENATE("Table!",ADDRESS(#REF!,MATCH(C$1,INDIRECT("Table!A" &amp; $AL115):INDIRECT("Table!" &amp; $AO$275 &amp; $AL115),0))))/1024)</f>
        <v/>
      </c>
      <c r="D115" s="22" t="str">
        <f ca="1">IF(ISERROR(MATCH(D$1,INDIRECT("Table!A"&amp;$AL115):INDIRECT("Table!" &amp; $AO$275 &amp; $AL115),0)),"",INDIRECT(CONCATENATE("Table!",ADDRESS(#REF!,MATCH(D$1,INDIRECT("Table!A" &amp; $AL115):INDIRECT("Table!" &amp; $AO$275 &amp; $AL115),0))))/1024)</f>
        <v/>
      </c>
      <c r="E115" s="22" t="str">
        <f ca="1">IF(ISERROR(MATCH(E$1,INDIRECT("Table!A"&amp;$AL115):INDIRECT("Table!" &amp; $AO$275 &amp; $AL115),0)),"",INDIRECT(CONCATENATE("Table!",ADDRESS(#REF!,MATCH(E$1,INDIRECT("Table!A" &amp; $AL115):INDIRECT("Table!" &amp; $AO$275 &amp; $AL115),0))))/1024)</f>
        <v/>
      </c>
      <c r="F115" s="22" t="str">
        <f ca="1">IF(ISERROR(MATCH(F$1,INDIRECT("Table!A"&amp;$AL115):INDIRECT("Table!" &amp; $AO$275 &amp; $AL115),0)),"",INDIRECT(CONCATENATE("Table!",ADDRESS(#REF!,MATCH(F$1,INDIRECT("Table!A" &amp; $AL115):INDIRECT("Table!" &amp; $AO$275 &amp; $AL115),0))))/1024)</f>
        <v/>
      </c>
      <c r="G115" s="22" t="str">
        <f ca="1">IF(ISERROR(MATCH(G$1,INDIRECT("Table!A"&amp;$AL115):INDIRECT("Table!" &amp; $AO$275 &amp; $AL115),0)),"",INDIRECT(CONCATENATE("Table!",ADDRESS(#REF!,MATCH(G$1,INDIRECT("Table!A" &amp; $AL115):INDIRECT("Table!" &amp; $AO$275 &amp; $AL115),0))))/1024)</f>
        <v/>
      </c>
      <c r="H115" s="22" t="str">
        <f ca="1">IF(ISERROR(MATCH(H$1,INDIRECT("Table!A"&amp;$AL115):INDIRECT("Table!" &amp; $AO$275 &amp; $AL115),0)),"",INDIRECT(CONCATENATE("Table!",ADDRESS(#REF!,MATCH(H$1,INDIRECT("Table!A" &amp; $AL115):INDIRECT("Table!" &amp; $AO$275 &amp; $AL115),0))))/1024)</f>
        <v/>
      </c>
      <c r="J115" s="592"/>
      <c r="K115" s="22" t="str">
        <f ca="1">IF(ISERROR(MATCH(L$1,INDIRECT("Table!A"&amp;$AL115):INDIRECT("Table!" &amp; $AO$275 &amp; $AL115),0)),"",INDIRECT(CONCATENATE("Table!",ADDRESS(#REF!,MATCH(L$1,INDIRECT("Table!A" &amp; $AL115):INDIRECT("Table!" &amp; $AO$275 &amp; $AL115),0))))/1024)</f>
        <v/>
      </c>
      <c r="L115" s="22" t="str">
        <f ca="1">IF(ISERROR(MATCH(M$1,INDIRECT("Table!A"&amp;$AL115):INDIRECT("Table!" &amp; $AO$275 &amp; $AL115),0)),"",INDIRECT(CONCATENATE("Table!",ADDRESS(#REF!,MATCH(M$1,INDIRECT("Table!A" &amp; $AL115):INDIRECT("Table!" &amp; $AO$275 &amp; $AL115),0))))/1024)</f>
        <v/>
      </c>
      <c r="M115" s="22" t="str">
        <f ca="1">IF(ISERROR(MATCH(N$1,INDIRECT("Table!A"&amp;$AL115):INDIRECT("Table!" &amp; $AO$275 &amp; $AL115),0)),"",INDIRECT(CONCATENATE("Table!",ADDRESS(#REF!,MATCH(N$1,INDIRECT("Table!A" &amp; $AL115):INDIRECT("Table!" &amp; $AO$275 &amp; $AL115),0))))/1024)</f>
        <v/>
      </c>
      <c r="N115" s="22" t="str">
        <f ca="1">IF(ISERROR(MATCH(O$1,INDIRECT("Table!A"&amp;$AL115):INDIRECT("Table!" &amp; $AO$275 &amp; $AL115),0)),"",INDIRECT(CONCATENATE("Table!",ADDRESS(#REF!,MATCH(O$1,INDIRECT("Table!A" &amp; $AL115):INDIRECT("Table!" &amp; $AO$275 &amp; $AL115),0))))/1024)</f>
        <v/>
      </c>
      <c r="O115" s="22"/>
      <c r="P115" s="272"/>
      <c r="Q115" s="22"/>
      <c r="R115" s="220"/>
      <c r="T115" s="595"/>
      <c r="U115" s="220"/>
      <c r="AJ115" s="220"/>
      <c r="AK115" s="220"/>
      <c r="AL115" s="22"/>
      <c r="AM115" s="220"/>
      <c r="AN115" s="220"/>
      <c r="AO115" s="220"/>
    </row>
    <row r="116" spans="2:41" x14ac:dyDescent="0.25">
      <c r="B116" s="22" t="str">
        <f ca="1">IF(ISERROR(MATCH(B$1,INDIRECT("Table!A"&amp;$AL116):INDIRECT("Table!" &amp; $AO$275 &amp; $AL116),0)),"",INDIRECT(CONCATENATE("Table!",ADDRESS(#REF!,MATCH(B$1,INDIRECT("Table!A" &amp; $AL116):INDIRECT("Table!" &amp; $AO$275 &amp; $AL116),0))))/1024)</f>
        <v/>
      </c>
      <c r="C116" s="22" t="str">
        <f ca="1">IF(ISERROR(MATCH(C$1,INDIRECT("Table!A"&amp;$AL116):INDIRECT("Table!" &amp; $AO$275 &amp; $AL116),0)),"",INDIRECT(CONCATENATE("Table!",ADDRESS(#REF!,MATCH(C$1,INDIRECT("Table!A" &amp; $AL116):INDIRECT("Table!" &amp; $AO$275 &amp; $AL116),0))))/1024)</f>
        <v/>
      </c>
      <c r="D116" s="22" t="str">
        <f ca="1">IF(ISERROR(MATCH(D$1,INDIRECT("Table!A"&amp;$AL116):INDIRECT("Table!" &amp; $AO$275 &amp; $AL116),0)),"",INDIRECT(CONCATENATE("Table!",ADDRESS(#REF!,MATCH(D$1,INDIRECT("Table!A" &amp; $AL116):INDIRECT("Table!" &amp; $AO$275 &amp; $AL116),0))))/1024)</f>
        <v/>
      </c>
      <c r="E116" s="22" t="str">
        <f ca="1">IF(ISERROR(MATCH(E$1,INDIRECT("Table!A"&amp;$AL116):INDIRECT("Table!" &amp; $AO$275 &amp; $AL116),0)),"",INDIRECT(CONCATENATE("Table!",ADDRESS(#REF!,MATCH(E$1,INDIRECT("Table!A" &amp; $AL116):INDIRECT("Table!" &amp; $AO$275 &amp; $AL116),0))))/1024)</f>
        <v/>
      </c>
      <c r="F116" s="22" t="str">
        <f ca="1">IF(ISERROR(MATCH(F$1,INDIRECT("Table!A"&amp;$AL116):INDIRECT("Table!" &amp; $AO$275 &amp; $AL116),0)),"",INDIRECT(CONCATENATE("Table!",ADDRESS(#REF!,MATCH(F$1,INDIRECT("Table!A" &amp; $AL116):INDIRECT("Table!" &amp; $AO$275 &amp; $AL116),0))))/1024)</f>
        <v/>
      </c>
      <c r="G116" s="22" t="str">
        <f ca="1">IF(ISERROR(MATCH(G$1,INDIRECT("Table!A"&amp;$AL116):INDIRECT("Table!" &amp; $AO$275 &amp; $AL116),0)),"",INDIRECT(CONCATENATE("Table!",ADDRESS(#REF!,MATCH(G$1,INDIRECT("Table!A" &amp; $AL116):INDIRECT("Table!" &amp; $AO$275 &amp; $AL116),0))))/1024)</f>
        <v/>
      </c>
      <c r="H116" s="22" t="str">
        <f ca="1">IF(ISERROR(MATCH(H$1,INDIRECT("Table!A"&amp;$AL116):INDIRECT("Table!" &amp; $AO$275 &amp; $AL116),0)),"",INDIRECT(CONCATENATE("Table!",ADDRESS(#REF!,MATCH(H$1,INDIRECT("Table!A" &amp; $AL116):INDIRECT("Table!" &amp; $AO$275 &amp; $AL116),0))))/1024)</f>
        <v/>
      </c>
      <c r="K116" s="22" t="str">
        <f ca="1">IF(ISERROR(MATCH(L$1,INDIRECT("Table!A"&amp;$AL116):INDIRECT("Table!" &amp; $AO$275 &amp; $AL116),0)),"",INDIRECT(CONCATENATE("Table!",ADDRESS(#REF!,MATCH(L$1,INDIRECT("Table!A" &amp; $AL116):INDIRECT("Table!" &amp; $AO$275 &amp; $AL116),0))))/1024)</f>
        <v/>
      </c>
      <c r="L116" s="22" t="str">
        <f ca="1">IF(ISERROR(MATCH(M$1,INDIRECT("Table!A"&amp;$AL116):INDIRECT("Table!" &amp; $AO$275 &amp; $AL116),0)),"",INDIRECT(CONCATENATE("Table!",ADDRESS(#REF!,MATCH(M$1,INDIRECT("Table!A" &amp; $AL116):INDIRECT("Table!" &amp; $AO$275 &amp; $AL116),0))))/1024)</f>
        <v/>
      </c>
      <c r="M116" s="22" t="str">
        <f ca="1">IF(ISERROR(MATCH(N$1,INDIRECT("Table!A"&amp;$AL116):INDIRECT("Table!" &amp; $AO$275 &amp; $AL116),0)),"",INDIRECT(CONCATENATE("Table!",ADDRESS(#REF!,MATCH(N$1,INDIRECT("Table!A" &amp; $AL116):INDIRECT("Table!" &amp; $AO$275 &amp; $AL116),0))))/1024)</f>
        <v/>
      </c>
      <c r="N116" s="22" t="str">
        <f ca="1">IF(ISERROR(MATCH(O$1,INDIRECT("Table!A"&amp;$AL116):INDIRECT("Table!" &amp; $AO$275 &amp; $AL116),0)),"",INDIRECT(CONCATENATE("Table!",ADDRESS(#REF!,MATCH(O$1,INDIRECT("Table!A" &amp; $AL116):INDIRECT("Table!" &amp; $AO$275 &amp; $AL116),0))))/1024)</f>
        <v/>
      </c>
      <c r="O116" s="22"/>
      <c r="P116" s="272"/>
      <c r="Q116" s="22"/>
      <c r="R116" s="219"/>
      <c r="T116" s="595"/>
      <c r="U116" s="219"/>
      <c r="AJ116" s="219"/>
      <c r="AK116" s="219"/>
      <c r="AL116" s="22"/>
      <c r="AM116" s="219"/>
      <c r="AN116" s="219"/>
      <c r="AO116" s="27"/>
    </row>
    <row r="117" spans="2:41" x14ac:dyDescent="0.25">
      <c r="B117" s="22" t="str">
        <f ca="1">IF(ISERROR(MATCH(B$1,INDIRECT("Table!A"&amp;$AL117):INDIRECT("Table!" &amp; $AO$275 &amp; $AL117),0)),"",INDIRECT(CONCATENATE("Table!",ADDRESS(#REF!,MATCH(B$1,INDIRECT("Table!A" &amp; $AL117):INDIRECT("Table!" &amp; $AO$275 &amp; $AL117),0))))/1024)</f>
        <v/>
      </c>
      <c r="C117" s="22" t="str">
        <f ca="1">IF(ISERROR(MATCH(C$1,INDIRECT("Table!A"&amp;$AL117):INDIRECT("Table!" &amp; $AO$275 &amp; $AL117),0)),"",INDIRECT(CONCATENATE("Table!",ADDRESS(#REF!,MATCH(C$1,INDIRECT("Table!A" &amp; $AL117):INDIRECT("Table!" &amp; $AO$275 &amp; $AL117),0))))/1024)</f>
        <v/>
      </c>
      <c r="D117" s="22" t="str">
        <f ca="1">IF(ISERROR(MATCH(D$1,INDIRECT("Table!A"&amp;$AL117):INDIRECT("Table!" &amp; $AO$275 &amp; $AL117),0)),"",INDIRECT(CONCATENATE("Table!",ADDRESS(#REF!,MATCH(D$1,INDIRECT("Table!A" &amp; $AL117):INDIRECT("Table!" &amp; $AO$275 &amp; $AL117),0))))/1024)</f>
        <v/>
      </c>
      <c r="E117" s="22" t="str">
        <f ca="1">IF(ISERROR(MATCH(E$1,INDIRECT("Table!A"&amp;$AL117):INDIRECT("Table!" &amp; $AO$275 &amp; $AL117),0)),"",INDIRECT(CONCATENATE("Table!",ADDRESS(#REF!,MATCH(E$1,INDIRECT("Table!A" &amp; $AL117):INDIRECT("Table!" &amp; $AO$275 &amp; $AL117),0))))/1024)</f>
        <v/>
      </c>
      <c r="F117" s="22" t="str">
        <f ca="1">IF(ISERROR(MATCH(F$1,INDIRECT("Table!A"&amp;$AL117):INDIRECT("Table!" &amp; $AO$275 &amp; $AL117),0)),"",INDIRECT(CONCATENATE("Table!",ADDRESS(#REF!,MATCH(F$1,INDIRECT("Table!A" &amp; $AL117):INDIRECT("Table!" &amp; $AO$275 &amp; $AL117),0))))/1024)</f>
        <v/>
      </c>
      <c r="G117" s="22" t="str">
        <f ca="1">IF(ISERROR(MATCH(G$1,INDIRECT("Table!A"&amp;$AL117):INDIRECT("Table!" &amp; $AO$275 &amp; $AL117),0)),"",INDIRECT(CONCATENATE("Table!",ADDRESS(#REF!,MATCH(G$1,INDIRECT("Table!A" &amp; $AL117):INDIRECT("Table!" &amp; $AO$275 &amp; $AL117),0))))/1024)</f>
        <v/>
      </c>
      <c r="H117" s="22" t="str">
        <f ca="1">IF(ISERROR(MATCH(H$1,INDIRECT("Table!A"&amp;$AL117):INDIRECT("Table!" &amp; $AO$275 &amp; $AL117),0)),"",INDIRECT(CONCATENATE("Table!",ADDRESS(#REF!,MATCH(H$1,INDIRECT("Table!A" &amp; $AL117):INDIRECT("Table!" &amp; $AO$275 &amp; $AL117),0))))/1024)</f>
        <v/>
      </c>
      <c r="K117" s="22" t="str">
        <f ca="1">IF(ISERROR(MATCH(L$1,INDIRECT("Table!A"&amp;$AL117):INDIRECT("Table!" &amp; $AO$275 &amp; $AL117),0)),"",INDIRECT(CONCATENATE("Table!",ADDRESS(#REF!,MATCH(L$1,INDIRECT("Table!A" &amp; $AL117):INDIRECT("Table!" &amp; $AO$275 &amp; $AL117),0))))/1024)</f>
        <v/>
      </c>
      <c r="L117" s="22" t="str">
        <f ca="1">IF(ISERROR(MATCH(M$1,INDIRECT("Table!A"&amp;$AL117):INDIRECT("Table!" &amp; $AO$275 &amp; $AL117),0)),"",INDIRECT(CONCATENATE("Table!",ADDRESS(#REF!,MATCH(M$1,INDIRECT("Table!A" &amp; $AL117):INDIRECT("Table!" &amp; $AO$275 &amp; $AL117),0))))/1024)</f>
        <v/>
      </c>
      <c r="M117" s="22" t="str">
        <f ca="1">IF(ISERROR(MATCH(N$1,INDIRECT("Table!A"&amp;$AL117):INDIRECT("Table!" &amp; $AO$275 &amp; $AL117),0)),"",INDIRECT(CONCATENATE("Table!",ADDRESS(#REF!,MATCH(N$1,INDIRECT("Table!A" &amp; $AL117):INDIRECT("Table!" &amp; $AO$275 &amp; $AL117),0))))/1024)</f>
        <v/>
      </c>
      <c r="N117" s="22" t="str">
        <f ca="1">IF(ISERROR(MATCH(O$1,INDIRECT("Table!A"&amp;$AL117):INDIRECT("Table!" &amp; $AO$275 &amp; $AL117),0)),"",INDIRECT(CONCATENATE("Table!",ADDRESS(#REF!,MATCH(O$1,INDIRECT("Table!A" &amp; $AL117):INDIRECT("Table!" &amp; $AO$275 &amp; $AL117),0))))/1024)</f>
        <v/>
      </c>
      <c r="O117" s="22"/>
      <c r="P117" s="272"/>
      <c r="Q117" s="22"/>
      <c r="R117" s="218"/>
      <c r="T117" s="595"/>
      <c r="U117" s="218"/>
      <c r="AJ117" s="218"/>
      <c r="AK117" s="218"/>
      <c r="AL117" s="22"/>
      <c r="AM117" s="218"/>
      <c r="AN117" s="218"/>
      <c r="AO117" s="27"/>
    </row>
    <row r="118" spans="2:41" x14ac:dyDescent="0.25">
      <c r="B118" s="22" t="str">
        <f ca="1">IF(ISERROR(MATCH(B$1,INDIRECT("Table!A"&amp;$AL118):INDIRECT("Table!" &amp; $AO$275 &amp; $AL118),0)),"",INDIRECT(CONCATENATE("Table!",ADDRESS(#REF!,MATCH(B$1,INDIRECT("Table!A" &amp; $AL118):INDIRECT("Table!" &amp; $AO$275 &amp; $AL118),0))))/1024)</f>
        <v/>
      </c>
      <c r="C118" s="22" t="str">
        <f ca="1">IF(ISERROR(MATCH(C$1,INDIRECT("Table!A"&amp;$AL118):INDIRECT("Table!" &amp; $AO$275 &amp; $AL118),0)),"",INDIRECT(CONCATENATE("Table!",ADDRESS(#REF!,MATCH(C$1,INDIRECT("Table!A" &amp; $AL118):INDIRECT("Table!" &amp; $AO$275 &amp; $AL118),0))))/1024)</f>
        <v/>
      </c>
      <c r="D118" s="22" t="str">
        <f ca="1">IF(ISERROR(MATCH(D$1,INDIRECT("Table!A"&amp;$AL118):INDIRECT("Table!" &amp; $AO$275 &amp; $AL118),0)),"",INDIRECT(CONCATENATE("Table!",ADDRESS(#REF!,MATCH(D$1,INDIRECT("Table!A" &amp; $AL118):INDIRECT("Table!" &amp; $AO$275 &amp; $AL118),0))))/1024)</f>
        <v/>
      </c>
      <c r="E118" s="22" t="str">
        <f ca="1">IF(ISERROR(MATCH(E$1,INDIRECT("Table!A"&amp;$AL118):INDIRECT("Table!" &amp; $AO$275 &amp; $AL118),0)),"",INDIRECT(CONCATENATE("Table!",ADDRESS(#REF!,MATCH(E$1,INDIRECT("Table!A" &amp; $AL118):INDIRECT("Table!" &amp; $AO$275 &amp; $AL118),0))))/1024)</f>
        <v/>
      </c>
      <c r="F118" s="22" t="str">
        <f ca="1">IF(ISERROR(MATCH(F$1,INDIRECT("Table!A"&amp;$AL118):INDIRECT("Table!" &amp; $AO$275 &amp; $AL118),0)),"",INDIRECT(CONCATENATE("Table!",ADDRESS(#REF!,MATCH(F$1,INDIRECT("Table!A" &amp; $AL118):INDIRECT("Table!" &amp; $AO$275 &amp; $AL118),0))))/1024)</f>
        <v/>
      </c>
      <c r="G118" s="22" t="str">
        <f ca="1">IF(ISERROR(MATCH(G$1,INDIRECT("Table!A"&amp;$AL118):INDIRECT("Table!" &amp; $AO$275 &amp; $AL118),0)),"",INDIRECT(CONCATENATE("Table!",ADDRESS(#REF!,MATCH(G$1,INDIRECT("Table!A" &amp; $AL118):INDIRECT("Table!" &amp; $AO$275 &amp; $AL118),0))))/1024)</f>
        <v/>
      </c>
      <c r="H118" s="22" t="str">
        <f ca="1">IF(ISERROR(MATCH(H$1,INDIRECT("Table!A"&amp;$AL118):INDIRECT("Table!" &amp; $AO$275 &amp; $AL118),0)),"",INDIRECT(CONCATENATE("Table!",ADDRESS(#REF!,MATCH(H$1,INDIRECT("Table!A" &amp; $AL118):INDIRECT("Table!" &amp; $AO$275 &amp; $AL118),0))))/1024)</f>
        <v/>
      </c>
      <c r="K118" s="22" t="str">
        <f ca="1">IF(ISERROR(MATCH(L$1,INDIRECT("Table!A"&amp;$AL118):INDIRECT("Table!" &amp; $AO$275 &amp; $AL118),0)),"",INDIRECT(CONCATENATE("Table!",ADDRESS(#REF!,MATCH(L$1,INDIRECT("Table!A" &amp; $AL118):INDIRECT("Table!" &amp; $AO$275 &amp; $AL118),0))))/1024)</f>
        <v/>
      </c>
      <c r="L118" s="22" t="str">
        <f ca="1">IF(ISERROR(MATCH(M$1,INDIRECT("Table!A"&amp;$AL118):INDIRECT("Table!" &amp; $AO$275 &amp; $AL118),0)),"",INDIRECT(CONCATENATE("Table!",ADDRESS(#REF!,MATCH(M$1,INDIRECT("Table!A" &amp; $AL118):INDIRECT("Table!" &amp; $AO$275 &amp; $AL118),0))))/1024)</f>
        <v/>
      </c>
      <c r="M118" s="22" t="str">
        <f ca="1">IF(ISERROR(MATCH(N$1,INDIRECT("Table!A"&amp;$AL118):INDIRECT("Table!" &amp; $AO$275 &amp; $AL118),0)),"",INDIRECT(CONCATENATE("Table!",ADDRESS(#REF!,MATCH(N$1,INDIRECT("Table!A" &amp; $AL118):INDIRECT("Table!" &amp; $AO$275 &amp; $AL118),0))))/1024)</f>
        <v/>
      </c>
      <c r="N118" s="22" t="str">
        <f ca="1">IF(ISERROR(MATCH(O$1,INDIRECT("Table!A"&amp;$AL118):INDIRECT("Table!" &amp; $AO$275 &amp; $AL118),0)),"",INDIRECT(CONCATENATE("Table!",ADDRESS(#REF!,MATCH(O$1,INDIRECT("Table!A" &amp; $AL118):INDIRECT("Table!" &amp; $AO$275 &amp; $AL118),0))))/1024)</f>
        <v/>
      </c>
      <c r="O118" s="22"/>
      <c r="P118" s="272"/>
      <c r="Q118" s="22"/>
      <c r="R118" s="217"/>
      <c r="T118" s="595"/>
      <c r="U118" s="217"/>
      <c r="AJ118" s="217"/>
      <c r="AK118" s="217"/>
      <c r="AL118" s="22"/>
      <c r="AM118" s="217"/>
      <c r="AN118" s="217"/>
      <c r="AO118" s="27"/>
    </row>
    <row r="119" spans="2:41" x14ac:dyDescent="0.25">
      <c r="B119" s="22" t="str">
        <f ca="1">IF(ISERROR(MATCH(B$1,INDIRECT("Table!A"&amp;$AL119):INDIRECT("Table!" &amp; $AO$275 &amp; $AL119),0)),"",INDIRECT(CONCATENATE("Table!",ADDRESS(#REF!,MATCH(B$1,INDIRECT("Table!A" &amp; $AL119):INDIRECT("Table!" &amp; $AO$275 &amp; $AL119),0))))/1024)</f>
        <v/>
      </c>
      <c r="C119" s="22" t="str">
        <f ca="1">IF(ISERROR(MATCH(C$1,INDIRECT("Table!A"&amp;$AL119):INDIRECT("Table!" &amp; $AO$275 &amp; $AL119),0)),"",INDIRECT(CONCATENATE("Table!",ADDRESS(#REF!,MATCH(C$1,INDIRECT("Table!A" &amp; $AL119):INDIRECT("Table!" &amp; $AO$275 &amp; $AL119),0))))/1024)</f>
        <v/>
      </c>
      <c r="D119" s="22" t="str">
        <f ca="1">IF(ISERROR(MATCH(D$1,INDIRECT("Table!A"&amp;$AL119):INDIRECT("Table!" &amp; $AO$275 &amp; $AL119),0)),"",INDIRECT(CONCATENATE("Table!",ADDRESS(#REF!,MATCH(D$1,INDIRECT("Table!A" &amp; $AL119):INDIRECT("Table!" &amp; $AO$275 &amp; $AL119),0))))/1024)</f>
        <v/>
      </c>
      <c r="E119" s="22" t="str">
        <f ca="1">IF(ISERROR(MATCH(E$1,INDIRECT("Table!A"&amp;$AL119):INDIRECT("Table!" &amp; $AO$275 &amp; $AL119),0)),"",INDIRECT(CONCATENATE("Table!",ADDRESS(#REF!,MATCH(E$1,INDIRECT("Table!A" &amp; $AL119):INDIRECT("Table!" &amp; $AO$275 &amp; $AL119),0))))/1024)</f>
        <v/>
      </c>
      <c r="F119" s="22" t="str">
        <f ca="1">IF(ISERROR(MATCH(F$1,INDIRECT("Table!A"&amp;$AL119):INDIRECT("Table!" &amp; $AO$275 &amp; $AL119),0)),"",INDIRECT(CONCATENATE("Table!",ADDRESS(#REF!,MATCH(F$1,INDIRECT("Table!A" &amp; $AL119):INDIRECT("Table!" &amp; $AO$275 &amp; $AL119),0))))/1024)</f>
        <v/>
      </c>
      <c r="G119" s="22" t="str">
        <f ca="1">IF(ISERROR(MATCH(G$1,INDIRECT("Table!A"&amp;$AL119):INDIRECT("Table!" &amp; $AO$275 &amp; $AL119),0)),"",INDIRECT(CONCATENATE("Table!",ADDRESS(#REF!,MATCH(G$1,INDIRECT("Table!A" &amp; $AL119):INDIRECT("Table!" &amp; $AO$275 &amp; $AL119),0))))/1024)</f>
        <v/>
      </c>
      <c r="H119" s="22" t="str">
        <f ca="1">IF(ISERROR(MATCH(H$1,INDIRECT("Table!A"&amp;$AL119):INDIRECT("Table!" &amp; $AO$275 &amp; $AL119),0)),"",INDIRECT(CONCATENATE("Table!",ADDRESS(#REF!,MATCH(H$1,INDIRECT("Table!A" &amp; $AL119):INDIRECT("Table!" &amp; $AO$275 &amp; $AL119),0))))/1024)</f>
        <v/>
      </c>
      <c r="K119" s="22" t="str">
        <f ca="1">IF(ISERROR(MATCH(L$1,INDIRECT("Table!A"&amp;$AL119):INDIRECT("Table!" &amp; $AO$275 &amp; $AL119),0)),"",INDIRECT(CONCATENATE("Table!",ADDRESS(#REF!,MATCH(L$1,INDIRECT("Table!A" &amp; $AL119):INDIRECT("Table!" &amp; $AO$275 &amp; $AL119),0))))/1024)</f>
        <v/>
      </c>
      <c r="L119" s="22" t="str">
        <f ca="1">IF(ISERROR(MATCH(M$1,INDIRECT("Table!A"&amp;$AL119):INDIRECT("Table!" &amp; $AO$275 &amp; $AL119),0)),"",INDIRECT(CONCATENATE("Table!",ADDRESS(#REF!,MATCH(M$1,INDIRECT("Table!A" &amp; $AL119):INDIRECT("Table!" &amp; $AO$275 &amp; $AL119),0))))/1024)</f>
        <v/>
      </c>
      <c r="M119" s="22" t="str">
        <f ca="1">IF(ISERROR(MATCH(N$1,INDIRECT("Table!A"&amp;$AL119):INDIRECT("Table!" &amp; $AO$275 &amp; $AL119),0)),"",INDIRECT(CONCATENATE("Table!",ADDRESS(#REF!,MATCH(N$1,INDIRECT("Table!A" &amp; $AL119):INDIRECT("Table!" &amp; $AO$275 &amp; $AL119),0))))/1024)</f>
        <v/>
      </c>
      <c r="N119" s="22" t="str">
        <f ca="1">IF(ISERROR(MATCH(O$1,INDIRECT("Table!A"&amp;$AL119):INDIRECT("Table!" &amp; $AO$275 &amp; $AL119),0)),"",INDIRECT(CONCATENATE("Table!",ADDRESS(#REF!,MATCH(O$1,INDIRECT("Table!A" &amp; $AL119):INDIRECT("Table!" &amp; $AO$275 &amp; $AL119),0))))/1024)</f>
        <v/>
      </c>
      <c r="O119" s="22"/>
      <c r="P119" s="272"/>
      <c r="Q119" s="22"/>
      <c r="R119" s="216"/>
      <c r="T119" s="595"/>
      <c r="U119" s="216"/>
      <c r="AJ119" s="216"/>
      <c r="AK119" s="216"/>
      <c r="AL119" s="22"/>
      <c r="AM119" s="216"/>
      <c r="AN119" s="216"/>
      <c r="AO119" s="27"/>
    </row>
    <row r="120" spans="2:41" x14ac:dyDescent="0.25">
      <c r="B120" s="22" t="str">
        <f ca="1">IF(ISERROR(MATCH(B$1,INDIRECT("Table!A"&amp;$AL120):INDIRECT("Table!" &amp; $AO$275 &amp; $AL120),0)),"",INDIRECT(CONCATENATE("Table!",ADDRESS(#REF!,MATCH(B$1,INDIRECT("Table!A" &amp; $AL120):INDIRECT("Table!" &amp; $AO$275 &amp; $AL120),0))))/1024)</f>
        <v/>
      </c>
      <c r="C120" s="22" t="str">
        <f ca="1">IF(ISERROR(MATCH(C$1,INDIRECT("Table!A"&amp;$AL120):INDIRECT("Table!" &amp; $AO$275 &amp; $AL120),0)),"",INDIRECT(CONCATENATE("Table!",ADDRESS(#REF!,MATCH(C$1,INDIRECT("Table!A" &amp; $AL120):INDIRECT("Table!" &amp; $AO$275 &amp; $AL120),0))))/1024)</f>
        <v/>
      </c>
      <c r="D120" s="22" t="str">
        <f ca="1">IF(ISERROR(MATCH(D$1,INDIRECT("Table!A"&amp;$AL120):INDIRECT("Table!" &amp; $AO$275 &amp; $AL120),0)),"",INDIRECT(CONCATENATE("Table!",ADDRESS(#REF!,MATCH(D$1,INDIRECT("Table!A" &amp; $AL120):INDIRECT("Table!" &amp; $AO$275 &amp; $AL120),0))))/1024)</f>
        <v/>
      </c>
      <c r="E120" s="22" t="str">
        <f ca="1">IF(ISERROR(MATCH(E$1,INDIRECT("Table!A"&amp;$AL120):INDIRECT("Table!" &amp; $AO$275 &amp; $AL120),0)),"",INDIRECT(CONCATENATE("Table!",ADDRESS(#REF!,MATCH(E$1,INDIRECT("Table!A" &amp; $AL120):INDIRECT("Table!" &amp; $AO$275 &amp; $AL120),0))))/1024)</f>
        <v/>
      </c>
      <c r="F120" s="22" t="str">
        <f ca="1">IF(ISERROR(MATCH(F$1,INDIRECT("Table!A"&amp;$AL120):INDIRECT("Table!" &amp; $AO$275 &amp; $AL120),0)),"",INDIRECT(CONCATENATE("Table!",ADDRESS(#REF!,MATCH(F$1,INDIRECT("Table!A" &amp; $AL120):INDIRECT("Table!" &amp; $AO$275 &amp; $AL120),0))))/1024)</f>
        <v/>
      </c>
      <c r="G120" s="22" t="str">
        <f ca="1">IF(ISERROR(MATCH(G$1,INDIRECT("Table!A"&amp;$AL120):INDIRECT("Table!" &amp; $AO$275 &amp; $AL120),0)),"",INDIRECT(CONCATENATE("Table!",ADDRESS(#REF!,MATCH(G$1,INDIRECT("Table!A" &amp; $AL120):INDIRECT("Table!" &amp; $AO$275 &amp; $AL120),0))))/1024)</f>
        <v/>
      </c>
      <c r="H120" s="22" t="str">
        <f ca="1">IF(ISERROR(MATCH(H$1,INDIRECT("Table!A"&amp;$AL120):INDIRECT("Table!" &amp; $AO$275 &amp; $AL120),0)),"",INDIRECT(CONCATENATE("Table!",ADDRESS(#REF!,MATCH(H$1,INDIRECT("Table!A" &amp; $AL120):INDIRECT("Table!" &amp; $AO$275 &amp; $AL120),0))))/1024)</f>
        <v/>
      </c>
      <c r="K120" s="22" t="str">
        <f ca="1">IF(ISERROR(MATCH(L$1,INDIRECT("Table!A"&amp;$AL120):INDIRECT("Table!" &amp; $AO$275 &amp; $AL120),0)),"",INDIRECT(CONCATENATE("Table!",ADDRESS(#REF!,MATCH(L$1,INDIRECT("Table!A" &amp; $AL120):INDIRECT("Table!" &amp; $AO$275 &amp; $AL120),0))))/1024)</f>
        <v/>
      </c>
      <c r="L120" s="22" t="str">
        <f ca="1">IF(ISERROR(MATCH(M$1,INDIRECT("Table!A"&amp;$AL120):INDIRECT("Table!" &amp; $AO$275 &amp; $AL120),0)),"",INDIRECT(CONCATENATE("Table!",ADDRESS(#REF!,MATCH(M$1,INDIRECT("Table!A" &amp; $AL120):INDIRECT("Table!" &amp; $AO$275 &amp; $AL120),0))))/1024)</f>
        <v/>
      </c>
      <c r="M120" s="22" t="str">
        <f ca="1">IF(ISERROR(MATCH(N$1,INDIRECT("Table!A"&amp;$AL120):INDIRECT("Table!" &amp; $AO$275 &amp; $AL120),0)),"",INDIRECT(CONCATENATE("Table!",ADDRESS(#REF!,MATCH(N$1,INDIRECT("Table!A" &amp; $AL120):INDIRECT("Table!" &amp; $AO$275 &amp; $AL120),0))))/1024)</f>
        <v/>
      </c>
      <c r="N120" s="22" t="str">
        <f ca="1">IF(ISERROR(MATCH(O$1,INDIRECT("Table!A"&amp;$AL120):INDIRECT("Table!" &amp; $AO$275 &amp; $AL120),0)),"",INDIRECT(CONCATENATE("Table!",ADDRESS(#REF!,MATCH(O$1,INDIRECT("Table!A" &amp; $AL120):INDIRECT("Table!" &amp; $AO$275 &amp; $AL120),0))))/1024)</f>
        <v/>
      </c>
      <c r="O120" s="22"/>
      <c r="P120" s="272"/>
      <c r="Q120" s="22"/>
      <c r="R120" s="215"/>
      <c r="T120" s="595"/>
      <c r="U120" s="215"/>
      <c r="AJ120" s="215"/>
      <c r="AK120" s="215"/>
      <c r="AL120" s="22"/>
      <c r="AM120" s="215"/>
      <c r="AN120" s="215"/>
      <c r="AO120" s="27"/>
    </row>
    <row r="121" spans="2:41" x14ac:dyDescent="0.25">
      <c r="B121" s="22" t="str">
        <f ca="1">IF(ISERROR(MATCH(B$1,INDIRECT("Table!A"&amp;$AL121):INDIRECT("Table!" &amp; $AO$275 &amp; $AL121),0)),"",INDIRECT(CONCATENATE("Table!",ADDRESS(#REF!,MATCH(B$1,INDIRECT("Table!A" &amp; $AL121):INDIRECT("Table!" &amp; $AO$275 &amp; $AL121),0))))/1024)</f>
        <v/>
      </c>
      <c r="C121" s="22" t="str">
        <f ca="1">IF(ISERROR(MATCH(C$1,INDIRECT("Table!A"&amp;$AL121):INDIRECT("Table!" &amp; $AO$275 &amp; $AL121),0)),"",INDIRECT(CONCATENATE("Table!",ADDRESS(#REF!,MATCH(C$1,INDIRECT("Table!A" &amp; $AL121):INDIRECT("Table!" &amp; $AO$275 &amp; $AL121),0))))/1024)</f>
        <v/>
      </c>
      <c r="D121" s="22" t="str">
        <f ca="1">IF(ISERROR(MATCH(D$1,INDIRECT("Table!A"&amp;$AL121):INDIRECT("Table!" &amp; $AO$275 &amp; $AL121),0)),"",INDIRECT(CONCATENATE("Table!",ADDRESS(#REF!,MATCH(D$1,INDIRECT("Table!A" &amp; $AL121):INDIRECT("Table!" &amp; $AO$275 &amp; $AL121),0))))/1024)</f>
        <v/>
      </c>
      <c r="E121" s="22" t="str">
        <f ca="1">IF(ISERROR(MATCH(E$1,INDIRECT("Table!A"&amp;$AL121):INDIRECT("Table!" &amp; $AO$275 &amp; $AL121),0)),"",INDIRECT(CONCATENATE("Table!",ADDRESS(#REF!,MATCH(E$1,INDIRECT("Table!A" &amp; $AL121):INDIRECT("Table!" &amp; $AO$275 &amp; $AL121),0))))/1024)</f>
        <v/>
      </c>
      <c r="F121" s="22" t="str">
        <f ca="1">IF(ISERROR(MATCH(F$1,INDIRECT("Table!A"&amp;$AL121):INDIRECT("Table!" &amp; $AO$275 &amp; $AL121),0)),"",INDIRECT(CONCATENATE("Table!",ADDRESS(#REF!,MATCH(F$1,INDIRECT("Table!A" &amp; $AL121):INDIRECT("Table!" &amp; $AO$275 &amp; $AL121),0))))/1024)</f>
        <v/>
      </c>
      <c r="G121" s="22" t="str">
        <f ca="1">IF(ISERROR(MATCH(G$1,INDIRECT("Table!A"&amp;$AL121):INDIRECT("Table!" &amp; $AO$275 &amp; $AL121),0)),"",INDIRECT(CONCATENATE("Table!",ADDRESS(#REF!,MATCH(G$1,INDIRECT("Table!A" &amp; $AL121):INDIRECT("Table!" &amp; $AO$275 &amp; $AL121),0))))/1024)</f>
        <v/>
      </c>
      <c r="H121" s="22" t="str">
        <f ca="1">IF(ISERROR(MATCH(H$1,INDIRECT("Table!A"&amp;$AL121):INDIRECT("Table!" &amp; $AO$275 &amp; $AL121),0)),"",INDIRECT(CONCATENATE("Table!",ADDRESS(#REF!,MATCH(H$1,INDIRECT("Table!A" &amp; $AL121):INDIRECT("Table!" &amp; $AO$275 &amp; $AL121),0))))/1024)</f>
        <v/>
      </c>
      <c r="K121" s="22" t="str">
        <f ca="1">IF(ISERROR(MATCH(L$1,INDIRECT("Table!A"&amp;$AL121):INDIRECT("Table!" &amp; $AO$275 &amp; $AL121),0)),"",INDIRECT(CONCATENATE("Table!",ADDRESS(#REF!,MATCH(L$1,INDIRECT("Table!A" &amp; $AL121):INDIRECT("Table!" &amp; $AO$275 &amp; $AL121),0))))/1024)</f>
        <v/>
      </c>
      <c r="L121" s="22" t="str">
        <f ca="1">IF(ISERROR(MATCH(M$1,INDIRECT("Table!A"&amp;$AL121):INDIRECT("Table!" &amp; $AO$275 &amp; $AL121),0)),"",INDIRECT(CONCATENATE("Table!",ADDRESS(#REF!,MATCH(M$1,INDIRECT("Table!A" &amp; $AL121):INDIRECT("Table!" &amp; $AO$275 &amp; $AL121),0))))/1024)</f>
        <v/>
      </c>
      <c r="M121" s="22" t="str">
        <f ca="1">IF(ISERROR(MATCH(N$1,INDIRECT("Table!A"&amp;$AL121):INDIRECT("Table!" &amp; $AO$275 &amp; $AL121),0)),"",INDIRECT(CONCATENATE("Table!",ADDRESS(#REF!,MATCH(N$1,INDIRECT("Table!A" &amp; $AL121):INDIRECT("Table!" &amp; $AO$275 &amp; $AL121),0))))/1024)</f>
        <v/>
      </c>
      <c r="N121" s="22" t="str">
        <f ca="1">IF(ISERROR(MATCH(O$1,INDIRECT("Table!A"&amp;$AL121):INDIRECT("Table!" &amp; $AO$275 &amp; $AL121),0)),"",INDIRECT(CONCATENATE("Table!",ADDRESS(#REF!,MATCH(O$1,INDIRECT("Table!A" &amp; $AL121):INDIRECT("Table!" &amp; $AO$275 &amp; $AL121),0))))/1024)</f>
        <v/>
      </c>
      <c r="O121" s="22"/>
      <c r="P121" s="272"/>
      <c r="Q121" s="22"/>
      <c r="R121" s="214"/>
      <c r="T121" s="595"/>
      <c r="U121" s="214"/>
      <c r="AJ121" s="214"/>
      <c r="AK121" s="214"/>
      <c r="AL121" s="22"/>
      <c r="AM121" s="214"/>
      <c r="AN121" s="214"/>
      <c r="AO121" s="27"/>
    </row>
    <row r="122" spans="2:41" x14ac:dyDescent="0.25">
      <c r="B122" s="22" t="str">
        <f ca="1">IF(ISERROR(MATCH(B$1,INDIRECT("Table!A"&amp;$AL122):INDIRECT("Table!" &amp; $AO$275 &amp; $AL122),0)),"",INDIRECT(CONCATENATE("Table!",ADDRESS(#REF!,MATCH(B$1,INDIRECT("Table!A" &amp; $AL122):INDIRECT("Table!" &amp; $AO$275 &amp; $AL122),0))))/1024)</f>
        <v/>
      </c>
      <c r="C122" s="22" t="str">
        <f ca="1">IF(ISERROR(MATCH(C$1,INDIRECT("Table!A"&amp;$AL122):INDIRECT("Table!" &amp; $AO$275 &amp; $AL122),0)),"",INDIRECT(CONCATENATE("Table!",ADDRESS(#REF!,MATCH(C$1,INDIRECT("Table!A" &amp; $AL122):INDIRECT("Table!" &amp; $AO$275 &amp; $AL122),0))))/1024)</f>
        <v/>
      </c>
      <c r="D122" s="22" t="str">
        <f ca="1">IF(ISERROR(MATCH(D$1,INDIRECT("Table!A"&amp;$AL122):INDIRECT("Table!" &amp; $AO$275 &amp; $AL122),0)),"",INDIRECT(CONCATENATE("Table!",ADDRESS(#REF!,MATCH(D$1,INDIRECT("Table!A" &amp; $AL122):INDIRECT("Table!" &amp; $AO$275 &amp; $AL122),0))))/1024)</f>
        <v/>
      </c>
      <c r="E122" s="22" t="str">
        <f ca="1">IF(ISERROR(MATCH(E$1,INDIRECT("Table!A"&amp;$AL122):INDIRECT("Table!" &amp; $AO$275 &amp; $AL122),0)),"",INDIRECT(CONCATENATE("Table!",ADDRESS(#REF!,MATCH(E$1,INDIRECT("Table!A" &amp; $AL122):INDIRECT("Table!" &amp; $AO$275 &amp; $AL122),0))))/1024)</f>
        <v/>
      </c>
      <c r="F122" s="22" t="str">
        <f ca="1">IF(ISERROR(MATCH(F$1,INDIRECT("Table!A"&amp;$AL122):INDIRECT("Table!" &amp; $AO$275 &amp; $AL122),0)),"",INDIRECT(CONCATENATE("Table!",ADDRESS(#REF!,MATCH(F$1,INDIRECT("Table!A" &amp; $AL122):INDIRECT("Table!" &amp; $AO$275 &amp; $AL122),0))))/1024)</f>
        <v/>
      </c>
      <c r="G122" s="22" t="str">
        <f ca="1">IF(ISERROR(MATCH(G$1,INDIRECT("Table!A"&amp;$AL122):INDIRECT("Table!" &amp; $AO$275 &amp; $AL122),0)),"",INDIRECT(CONCATENATE("Table!",ADDRESS(#REF!,MATCH(G$1,INDIRECT("Table!A" &amp; $AL122):INDIRECT("Table!" &amp; $AO$275 &amp; $AL122),0))))/1024)</f>
        <v/>
      </c>
      <c r="H122" s="22" t="str">
        <f ca="1">IF(ISERROR(MATCH(H$1,INDIRECT("Table!A"&amp;$AL122):INDIRECT("Table!" &amp; $AO$275 &amp; $AL122),0)),"",INDIRECT(CONCATENATE("Table!",ADDRESS(#REF!,MATCH(H$1,INDIRECT("Table!A" &amp; $AL122):INDIRECT("Table!" &amp; $AO$275 &amp; $AL122),0))))/1024)</f>
        <v/>
      </c>
      <c r="K122" s="22" t="str">
        <f ca="1">IF(ISERROR(MATCH(L$1,INDIRECT("Table!A"&amp;$AL122):INDIRECT("Table!" &amp; $AO$275 &amp; $AL122),0)),"",INDIRECT(CONCATENATE("Table!",ADDRESS(#REF!,MATCH(L$1,INDIRECT("Table!A" &amp; $AL122):INDIRECT("Table!" &amp; $AO$275 &amp; $AL122),0))))/1024)</f>
        <v/>
      </c>
      <c r="L122" s="22" t="str">
        <f ca="1">IF(ISERROR(MATCH(M$1,INDIRECT("Table!A"&amp;$AL122):INDIRECT("Table!" &amp; $AO$275 &amp; $AL122),0)),"",INDIRECT(CONCATENATE("Table!",ADDRESS(#REF!,MATCH(M$1,INDIRECT("Table!A" &amp; $AL122):INDIRECT("Table!" &amp; $AO$275 &amp; $AL122),0))))/1024)</f>
        <v/>
      </c>
      <c r="M122" s="22" t="str">
        <f ca="1">IF(ISERROR(MATCH(N$1,INDIRECT("Table!A"&amp;$AL122):INDIRECT("Table!" &amp; $AO$275 &amp; $AL122),0)),"",INDIRECT(CONCATENATE("Table!",ADDRESS(#REF!,MATCH(N$1,INDIRECT("Table!A" &amp; $AL122):INDIRECT("Table!" &amp; $AO$275 &amp; $AL122),0))))/1024)</f>
        <v/>
      </c>
      <c r="N122" s="22" t="str">
        <f ca="1">IF(ISERROR(MATCH(O$1,INDIRECT("Table!A"&amp;$AL122):INDIRECT("Table!" &amp; $AO$275 &amp; $AL122),0)),"",INDIRECT(CONCATENATE("Table!",ADDRESS(#REF!,MATCH(O$1,INDIRECT("Table!A" &amp; $AL122):INDIRECT("Table!" &amp; $AO$275 &amp; $AL122),0))))/1024)</f>
        <v/>
      </c>
      <c r="O122" s="22"/>
      <c r="P122" s="272"/>
      <c r="Q122" s="22"/>
      <c r="R122" s="213"/>
      <c r="T122" s="595"/>
      <c r="U122" s="213"/>
      <c r="AJ122" s="213"/>
      <c r="AK122" s="213"/>
      <c r="AL122" s="22"/>
      <c r="AM122" s="213"/>
      <c r="AN122" s="213"/>
      <c r="AO122" s="27"/>
    </row>
    <row r="123" spans="2:41" x14ac:dyDescent="0.25">
      <c r="B123" s="22" t="str">
        <f ca="1">IF(ISERROR(MATCH(B$1,INDIRECT("Table!A"&amp;$AL123):INDIRECT("Table!" &amp; $AO$275 &amp; $AL123),0)),"",INDIRECT(CONCATENATE("Table!",ADDRESS(#REF!,MATCH(B$1,INDIRECT("Table!A" &amp; $AL123):INDIRECT("Table!" &amp; $AO$275 &amp; $AL123),0))))/1024)</f>
        <v/>
      </c>
      <c r="C123" s="22" t="str">
        <f ca="1">IF(ISERROR(MATCH(C$1,INDIRECT("Table!A"&amp;$AL123):INDIRECT("Table!" &amp; $AO$275 &amp; $AL123),0)),"",INDIRECT(CONCATENATE("Table!",ADDRESS(#REF!,MATCH(C$1,INDIRECT("Table!A" &amp; $AL123):INDIRECT("Table!" &amp; $AO$275 &amp; $AL123),0))))/1024)</f>
        <v/>
      </c>
      <c r="D123" s="22" t="str">
        <f ca="1">IF(ISERROR(MATCH(D$1,INDIRECT("Table!A"&amp;$AL123):INDIRECT("Table!" &amp; $AO$275 &amp; $AL123),0)),"",INDIRECT(CONCATENATE("Table!",ADDRESS(#REF!,MATCH(D$1,INDIRECT("Table!A" &amp; $AL123):INDIRECT("Table!" &amp; $AO$275 &amp; $AL123),0))))/1024)</f>
        <v/>
      </c>
      <c r="E123" s="22" t="str">
        <f ca="1">IF(ISERROR(MATCH(E$1,INDIRECT("Table!A"&amp;$AL123):INDIRECT("Table!" &amp; $AO$275 &amp; $AL123),0)),"",INDIRECT(CONCATENATE("Table!",ADDRESS(#REF!,MATCH(E$1,INDIRECT("Table!A" &amp; $AL123):INDIRECT("Table!" &amp; $AO$275 &amp; $AL123),0))))/1024)</f>
        <v/>
      </c>
      <c r="F123" s="22" t="str">
        <f ca="1">IF(ISERROR(MATCH(F$1,INDIRECT("Table!A"&amp;$AL123):INDIRECT("Table!" &amp; $AO$275 &amp; $AL123),0)),"",INDIRECT(CONCATENATE("Table!",ADDRESS(#REF!,MATCH(F$1,INDIRECT("Table!A" &amp; $AL123):INDIRECT("Table!" &amp; $AO$275 &amp; $AL123),0))))/1024)</f>
        <v/>
      </c>
      <c r="G123" s="22" t="str">
        <f ca="1">IF(ISERROR(MATCH(G$1,INDIRECT("Table!A"&amp;$AL123):INDIRECT("Table!" &amp; $AO$275 &amp; $AL123),0)),"",INDIRECT(CONCATENATE("Table!",ADDRESS(#REF!,MATCH(G$1,INDIRECT("Table!A" &amp; $AL123):INDIRECT("Table!" &amp; $AO$275 &amp; $AL123),0))))/1024)</f>
        <v/>
      </c>
      <c r="H123" s="22" t="str">
        <f ca="1">IF(ISERROR(MATCH(H$1,INDIRECT("Table!A"&amp;$AL123):INDIRECT("Table!" &amp; $AO$275 &amp; $AL123),0)),"",INDIRECT(CONCATENATE("Table!",ADDRESS(#REF!,MATCH(H$1,INDIRECT("Table!A" &amp; $AL123):INDIRECT("Table!" &amp; $AO$275 &amp; $AL123),0))))/1024)</f>
        <v/>
      </c>
      <c r="K123" s="22" t="str">
        <f ca="1">IF(ISERROR(MATCH(L$1,INDIRECT("Table!A"&amp;$AL123):INDIRECT("Table!" &amp; $AO$275 &amp; $AL123),0)),"",INDIRECT(CONCATENATE("Table!",ADDRESS(#REF!,MATCH(L$1,INDIRECT("Table!A" &amp; $AL123):INDIRECT("Table!" &amp; $AO$275 &amp; $AL123),0))))/1024)</f>
        <v/>
      </c>
      <c r="L123" s="22" t="str">
        <f ca="1">IF(ISERROR(MATCH(M$1,INDIRECT("Table!A"&amp;$AL123):INDIRECT("Table!" &amp; $AO$275 &amp; $AL123),0)),"",INDIRECT(CONCATENATE("Table!",ADDRESS(#REF!,MATCH(M$1,INDIRECT("Table!A" &amp; $AL123):INDIRECT("Table!" &amp; $AO$275 &amp; $AL123),0))))/1024)</f>
        <v/>
      </c>
      <c r="M123" s="22" t="str">
        <f ca="1">IF(ISERROR(MATCH(N$1,INDIRECT("Table!A"&amp;$AL123):INDIRECT("Table!" &amp; $AO$275 &amp; $AL123),0)),"",INDIRECT(CONCATENATE("Table!",ADDRESS(#REF!,MATCH(N$1,INDIRECT("Table!A" &amp; $AL123):INDIRECT("Table!" &amp; $AO$275 &amp; $AL123),0))))/1024)</f>
        <v/>
      </c>
      <c r="N123" s="22" t="str">
        <f ca="1">IF(ISERROR(MATCH(O$1,INDIRECT("Table!A"&amp;$AL123):INDIRECT("Table!" &amp; $AO$275 &amp; $AL123),0)),"",INDIRECT(CONCATENATE("Table!",ADDRESS(#REF!,MATCH(O$1,INDIRECT("Table!A" &amp; $AL123):INDIRECT("Table!" &amp; $AO$275 &amp; $AL123),0))))/1024)</f>
        <v/>
      </c>
      <c r="O123" s="22"/>
      <c r="P123" s="272"/>
      <c r="Q123" s="22"/>
      <c r="R123" s="212"/>
      <c r="T123" s="595"/>
      <c r="U123" s="212"/>
      <c r="AJ123" s="212"/>
      <c r="AK123" s="212"/>
      <c r="AL123" s="22"/>
      <c r="AM123" s="212"/>
      <c r="AN123" s="212"/>
      <c r="AO123" s="27"/>
    </row>
    <row r="124" spans="2:41" x14ac:dyDescent="0.25">
      <c r="B124" s="22" t="str">
        <f ca="1">IF(ISERROR(MATCH(B$1,INDIRECT("Table!A"&amp;$AL124):INDIRECT("Table!" &amp; $AO$275 &amp; $AL124),0)),"",INDIRECT(CONCATENATE("Table!",ADDRESS(#REF!,MATCH(B$1,INDIRECT("Table!A" &amp; $AL124):INDIRECT("Table!" &amp; $AO$275 &amp; $AL124),0))))/1024)</f>
        <v/>
      </c>
      <c r="C124" s="22" t="str">
        <f ca="1">IF(ISERROR(MATCH(C$1,INDIRECT("Table!A"&amp;$AL124):INDIRECT("Table!" &amp; $AO$275 &amp; $AL124),0)),"",INDIRECT(CONCATENATE("Table!",ADDRESS(#REF!,MATCH(C$1,INDIRECT("Table!A" &amp; $AL124):INDIRECT("Table!" &amp; $AO$275 &amp; $AL124),0))))/1024)</f>
        <v/>
      </c>
      <c r="D124" s="22" t="str">
        <f ca="1">IF(ISERROR(MATCH(D$1,INDIRECT("Table!A"&amp;$AL124):INDIRECT("Table!" &amp; $AO$275 &amp; $AL124),0)),"",INDIRECT(CONCATENATE("Table!",ADDRESS(#REF!,MATCH(D$1,INDIRECT("Table!A" &amp; $AL124):INDIRECT("Table!" &amp; $AO$275 &amp; $AL124),0))))/1024)</f>
        <v/>
      </c>
      <c r="E124" s="22" t="str">
        <f ca="1">IF(ISERROR(MATCH(E$1,INDIRECT("Table!A"&amp;$AL124):INDIRECT("Table!" &amp; $AO$275 &amp; $AL124),0)),"",INDIRECT(CONCATENATE("Table!",ADDRESS(#REF!,MATCH(E$1,INDIRECT("Table!A" &amp; $AL124):INDIRECT("Table!" &amp; $AO$275 &amp; $AL124),0))))/1024)</f>
        <v/>
      </c>
      <c r="F124" s="22" t="str">
        <f ca="1">IF(ISERROR(MATCH(F$1,INDIRECT("Table!A"&amp;$AL124):INDIRECT("Table!" &amp; $AO$275 &amp; $AL124),0)),"",INDIRECT(CONCATENATE("Table!",ADDRESS(#REF!,MATCH(F$1,INDIRECT("Table!A" &amp; $AL124):INDIRECT("Table!" &amp; $AO$275 &amp; $AL124),0))))/1024)</f>
        <v/>
      </c>
      <c r="G124" s="22" t="str">
        <f ca="1">IF(ISERROR(MATCH(G$1,INDIRECT("Table!A"&amp;$AL124):INDIRECT("Table!" &amp; $AO$275 &amp; $AL124),0)),"",INDIRECT(CONCATENATE("Table!",ADDRESS(#REF!,MATCH(G$1,INDIRECT("Table!A" &amp; $AL124):INDIRECT("Table!" &amp; $AO$275 &amp; $AL124),0))))/1024)</f>
        <v/>
      </c>
      <c r="H124" s="22" t="str">
        <f ca="1">IF(ISERROR(MATCH(H$1,INDIRECT("Table!A"&amp;$AL124):INDIRECT("Table!" &amp; $AO$275 &amp; $AL124),0)),"",INDIRECT(CONCATENATE("Table!",ADDRESS(#REF!,MATCH(H$1,INDIRECT("Table!A" &amp; $AL124):INDIRECT("Table!" &amp; $AO$275 &amp; $AL124),0))))/1024)</f>
        <v/>
      </c>
      <c r="K124" s="22" t="str">
        <f ca="1">IF(ISERROR(MATCH(L$1,INDIRECT("Table!A"&amp;$AL124):INDIRECT("Table!" &amp; $AO$275 &amp; $AL124),0)),"",INDIRECT(CONCATENATE("Table!",ADDRESS(#REF!,MATCH(L$1,INDIRECT("Table!A" &amp; $AL124):INDIRECT("Table!" &amp; $AO$275 &amp; $AL124),0))))/1024)</f>
        <v/>
      </c>
      <c r="L124" s="22" t="str">
        <f ca="1">IF(ISERROR(MATCH(M$1,INDIRECT("Table!A"&amp;$AL124):INDIRECT("Table!" &amp; $AO$275 &amp; $AL124),0)),"",INDIRECT(CONCATENATE("Table!",ADDRESS(#REF!,MATCH(M$1,INDIRECT("Table!A" &amp; $AL124):INDIRECT("Table!" &amp; $AO$275 &amp; $AL124),0))))/1024)</f>
        <v/>
      </c>
      <c r="M124" s="22" t="str">
        <f ca="1">IF(ISERROR(MATCH(N$1,INDIRECT("Table!A"&amp;$AL124):INDIRECT("Table!" &amp; $AO$275 &amp; $AL124),0)),"",INDIRECT(CONCATENATE("Table!",ADDRESS(#REF!,MATCH(N$1,INDIRECT("Table!A" &amp; $AL124):INDIRECT("Table!" &amp; $AO$275 &amp; $AL124),0))))/1024)</f>
        <v/>
      </c>
      <c r="N124" s="22" t="str">
        <f ca="1">IF(ISERROR(MATCH(O$1,INDIRECT("Table!A"&amp;$AL124):INDIRECT("Table!" &amp; $AO$275 &amp; $AL124),0)),"",INDIRECT(CONCATENATE("Table!",ADDRESS(#REF!,MATCH(O$1,INDIRECT("Table!A" &amp; $AL124):INDIRECT("Table!" &amp; $AO$275 &amp; $AL124),0))))/1024)</f>
        <v/>
      </c>
      <c r="O124" s="22"/>
      <c r="P124" s="272"/>
      <c r="Q124" s="22"/>
      <c r="R124" s="211"/>
      <c r="T124" s="595"/>
      <c r="U124" s="211"/>
      <c r="AJ124" s="211"/>
      <c r="AK124" s="211"/>
      <c r="AL124" s="22"/>
      <c r="AM124" s="211"/>
      <c r="AN124" s="211"/>
      <c r="AO124" s="27"/>
    </row>
    <row r="125" spans="2:41" x14ac:dyDescent="0.25">
      <c r="B125" s="22" t="str">
        <f ca="1">IF(ISERROR(MATCH(B$1,INDIRECT("Table!A"&amp;$AL125):INDIRECT("Table!" &amp; $AO$275 &amp; $AL125),0)),"",INDIRECT(CONCATENATE("Table!",ADDRESS(#REF!,MATCH(B$1,INDIRECT("Table!A" &amp; $AL125):INDIRECT("Table!" &amp; $AO$275 &amp; $AL125),0))))/1024)</f>
        <v/>
      </c>
      <c r="C125" s="22" t="str">
        <f ca="1">IF(ISERROR(MATCH(C$1,INDIRECT("Table!A"&amp;$AL125):INDIRECT("Table!" &amp; $AO$275 &amp; $AL125),0)),"",INDIRECT(CONCATENATE("Table!",ADDRESS(#REF!,MATCH(C$1,INDIRECT("Table!A" &amp; $AL125):INDIRECT("Table!" &amp; $AO$275 &amp; $AL125),0))))/1024)</f>
        <v/>
      </c>
      <c r="D125" s="22" t="str">
        <f ca="1">IF(ISERROR(MATCH(D$1,INDIRECT("Table!A"&amp;$AL125):INDIRECT("Table!" &amp; $AO$275 &amp; $AL125),0)),"",INDIRECT(CONCATENATE("Table!",ADDRESS(#REF!,MATCH(D$1,INDIRECT("Table!A" &amp; $AL125):INDIRECT("Table!" &amp; $AO$275 &amp; $AL125),0))))/1024)</f>
        <v/>
      </c>
      <c r="E125" s="22" t="str">
        <f ca="1">IF(ISERROR(MATCH(E$1,INDIRECT("Table!A"&amp;$AL125):INDIRECT("Table!" &amp; $AO$275 &amp; $AL125),0)),"",INDIRECT(CONCATENATE("Table!",ADDRESS(#REF!,MATCH(E$1,INDIRECT("Table!A" &amp; $AL125):INDIRECT("Table!" &amp; $AO$275 &amp; $AL125),0))))/1024)</f>
        <v/>
      </c>
      <c r="F125" s="22" t="str">
        <f ca="1">IF(ISERROR(MATCH(F$1,INDIRECT("Table!A"&amp;$AL125):INDIRECT("Table!" &amp; $AO$275 &amp; $AL125),0)),"",INDIRECT(CONCATENATE("Table!",ADDRESS(#REF!,MATCH(F$1,INDIRECT("Table!A" &amp; $AL125):INDIRECT("Table!" &amp; $AO$275 &amp; $AL125),0))))/1024)</f>
        <v/>
      </c>
      <c r="G125" s="22" t="str">
        <f ca="1">IF(ISERROR(MATCH(G$1,INDIRECT("Table!A"&amp;$AL125):INDIRECT("Table!" &amp; $AO$275 &amp; $AL125),0)),"",INDIRECT(CONCATENATE("Table!",ADDRESS(#REF!,MATCH(G$1,INDIRECT("Table!A" &amp; $AL125):INDIRECT("Table!" &amp; $AO$275 &amp; $AL125),0))))/1024)</f>
        <v/>
      </c>
      <c r="H125" s="22" t="str">
        <f ca="1">IF(ISERROR(MATCH(H$1,INDIRECT("Table!A"&amp;$AL125):INDIRECT("Table!" &amp; $AO$275 &amp; $AL125),0)),"",INDIRECT(CONCATENATE("Table!",ADDRESS(#REF!,MATCH(H$1,INDIRECT("Table!A" &amp; $AL125):INDIRECT("Table!" &amp; $AO$275 &amp; $AL125),0))))/1024)</f>
        <v/>
      </c>
      <c r="K125" s="22" t="str">
        <f ca="1">IF(ISERROR(MATCH(L$1,INDIRECT("Table!A"&amp;$AL125):INDIRECT("Table!" &amp; $AO$275 &amp; $AL125),0)),"",INDIRECT(CONCATENATE("Table!",ADDRESS(#REF!,MATCH(L$1,INDIRECT("Table!A" &amp; $AL125):INDIRECT("Table!" &amp; $AO$275 &amp; $AL125),0))))/1024)</f>
        <v/>
      </c>
      <c r="L125" s="22" t="str">
        <f ca="1">IF(ISERROR(MATCH(M$1,INDIRECT("Table!A"&amp;$AL125):INDIRECT("Table!" &amp; $AO$275 &amp; $AL125),0)),"",INDIRECT(CONCATENATE("Table!",ADDRESS(#REF!,MATCH(M$1,INDIRECT("Table!A" &amp; $AL125):INDIRECT("Table!" &amp; $AO$275 &amp; $AL125),0))))/1024)</f>
        <v/>
      </c>
      <c r="M125" s="22" t="str">
        <f ca="1">IF(ISERROR(MATCH(N$1,INDIRECT("Table!A"&amp;$AL125):INDIRECT("Table!" &amp; $AO$275 &amp; $AL125),0)),"",INDIRECT(CONCATENATE("Table!",ADDRESS(#REF!,MATCH(N$1,INDIRECT("Table!A" &amp; $AL125):INDIRECT("Table!" &amp; $AO$275 &amp; $AL125),0))))/1024)</f>
        <v/>
      </c>
      <c r="N125" s="22" t="str">
        <f ca="1">IF(ISERROR(MATCH(O$1,INDIRECT("Table!A"&amp;$AL125):INDIRECT("Table!" &amp; $AO$275 &amp; $AL125),0)),"",INDIRECT(CONCATENATE("Table!",ADDRESS(#REF!,MATCH(O$1,INDIRECT("Table!A" &amp; $AL125):INDIRECT("Table!" &amp; $AO$275 &amp; $AL125),0))))/1024)</f>
        <v/>
      </c>
      <c r="O125" s="22"/>
      <c r="P125" s="272"/>
      <c r="Q125" s="22"/>
      <c r="R125" s="210"/>
      <c r="T125" s="595"/>
      <c r="U125" s="210"/>
      <c r="AJ125" s="210"/>
      <c r="AK125" s="210"/>
      <c r="AL125" s="22"/>
      <c r="AM125" s="210"/>
      <c r="AN125" s="210"/>
      <c r="AO125" s="27"/>
    </row>
    <row r="126" spans="2:41" x14ac:dyDescent="0.25">
      <c r="B126" s="22" t="str">
        <f ca="1">IF(ISERROR(MATCH(B$1,INDIRECT("Table!A"&amp;$AL126):INDIRECT("Table!" &amp; $AO$275 &amp; $AL126),0)),"",INDIRECT(CONCATENATE("Table!",ADDRESS(#REF!,MATCH(B$1,INDIRECT("Table!A" &amp; $AL126):INDIRECT("Table!" &amp; $AO$275 &amp; $AL126),0))))/1024)</f>
        <v/>
      </c>
      <c r="C126" s="22" t="str">
        <f ca="1">IF(ISERROR(MATCH(C$1,INDIRECT("Table!A"&amp;$AL126):INDIRECT("Table!" &amp; $AO$275 &amp; $AL126),0)),"",INDIRECT(CONCATENATE("Table!",ADDRESS(#REF!,MATCH(C$1,INDIRECT("Table!A" &amp; $AL126):INDIRECT("Table!" &amp; $AO$275 &amp; $AL126),0))))/1024)</f>
        <v/>
      </c>
      <c r="D126" s="22" t="str">
        <f ca="1">IF(ISERROR(MATCH(D$1,INDIRECT("Table!A"&amp;$AL126):INDIRECT("Table!" &amp; $AO$275 &amp; $AL126),0)),"",INDIRECT(CONCATENATE("Table!",ADDRESS(#REF!,MATCH(D$1,INDIRECT("Table!A" &amp; $AL126):INDIRECT("Table!" &amp; $AO$275 &amp; $AL126),0))))/1024)</f>
        <v/>
      </c>
      <c r="E126" s="22" t="str">
        <f ca="1">IF(ISERROR(MATCH(E$1,INDIRECT("Table!A"&amp;$AL126):INDIRECT("Table!" &amp; $AO$275 &amp; $AL126),0)),"",INDIRECT(CONCATENATE("Table!",ADDRESS(#REF!,MATCH(E$1,INDIRECT("Table!A" &amp; $AL126):INDIRECT("Table!" &amp; $AO$275 &amp; $AL126),0))))/1024)</f>
        <v/>
      </c>
      <c r="F126" s="22" t="str">
        <f ca="1">IF(ISERROR(MATCH(F$1,INDIRECT("Table!A"&amp;$AL126):INDIRECT("Table!" &amp; $AO$275 &amp; $AL126),0)),"",INDIRECT(CONCATENATE("Table!",ADDRESS(#REF!,MATCH(F$1,INDIRECT("Table!A" &amp; $AL126):INDIRECT("Table!" &amp; $AO$275 &amp; $AL126),0))))/1024)</f>
        <v/>
      </c>
      <c r="G126" s="22" t="str">
        <f ca="1">IF(ISERROR(MATCH(G$1,INDIRECT("Table!A"&amp;$AL126):INDIRECT("Table!" &amp; $AO$275 &amp; $AL126),0)),"",INDIRECT(CONCATENATE("Table!",ADDRESS(#REF!,MATCH(G$1,INDIRECT("Table!A" &amp; $AL126):INDIRECT("Table!" &amp; $AO$275 &amp; $AL126),0))))/1024)</f>
        <v/>
      </c>
      <c r="H126" s="22" t="str">
        <f ca="1">IF(ISERROR(MATCH(H$1,INDIRECT("Table!A"&amp;$AL126):INDIRECT("Table!" &amp; $AO$275 &amp; $AL126),0)),"",INDIRECT(CONCATENATE("Table!",ADDRESS(#REF!,MATCH(H$1,INDIRECT("Table!A" &amp; $AL126):INDIRECT("Table!" &amp; $AO$275 &amp; $AL126),0))))/1024)</f>
        <v/>
      </c>
      <c r="K126" s="22" t="str">
        <f ca="1">IF(ISERROR(MATCH(L$1,INDIRECT("Table!A"&amp;$AL126):INDIRECT("Table!" &amp; $AO$275 &amp; $AL126),0)),"",INDIRECT(CONCATENATE("Table!",ADDRESS(#REF!,MATCH(L$1,INDIRECT("Table!A" &amp; $AL126):INDIRECT("Table!" &amp; $AO$275 &amp; $AL126),0))))/1024)</f>
        <v/>
      </c>
      <c r="L126" s="22" t="str">
        <f ca="1">IF(ISERROR(MATCH(M$1,INDIRECT("Table!A"&amp;$AL126):INDIRECT("Table!" &amp; $AO$275 &amp; $AL126),0)),"",INDIRECT(CONCATENATE("Table!",ADDRESS(#REF!,MATCH(M$1,INDIRECT("Table!A" &amp; $AL126):INDIRECT("Table!" &amp; $AO$275 &amp; $AL126),0))))/1024)</f>
        <v/>
      </c>
      <c r="M126" s="22" t="str">
        <f ca="1">IF(ISERROR(MATCH(N$1,INDIRECT("Table!A"&amp;$AL126):INDIRECT("Table!" &amp; $AO$275 &amp; $AL126),0)),"",INDIRECT(CONCATENATE("Table!",ADDRESS(#REF!,MATCH(N$1,INDIRECT("Table!A" &amp; $AL126):INDIRECT("Table!" &amp; $AO$275 &amp; $AL126),0))))/1024)</f>
        <v/>
      </c>
      <c r="N126" s="22" t="str">
        <f ca="1">IF(ISERROR(MATCH(O$1,INDIRECT("Table!A"&amp;$AL126):INDIRECT("Table!" &amp; $AO$275 &amp; $AL126),0)),"",INDIRECT(CONCATENATE("Table!",ADDRESS(#REF!,MATCH(O$1,INDIRECT("Table!A" &amp; $AL126):INDIRECT("Table!" &amp; $AO$275 &amp; $AL126),0))))/1024)</f>
        <v/>
      </c>
      <c r="O126" s="22"/>
      <c r="P126" s="272"/>
      <c r="Q126" s="22"/>
      <c r="R126" s="209"/>
      <c r="T126" s="595"/>
      <c r="U126" s="209"/>
      <c r="AJ126" s="209"/>
      <c r="AK126" s="209"/>
      <c r="AL126" s="22"/>
      <c r="AM126" s="209"/>
      <c r="AN126" s="209"/>
      <c r="AO126" s="29"/>
    </row>
    <row r="127" spans="2:41" x14ac:dyDescent="0.25">
      <c r="N127" s="22"/>
      <c r="O127" s="22"/>
      <c r="P127" s="272"/>
      <c r="Q127" s="22"/>
      <c r="R127" s="208"/>
      <c r="T127" s="595"/>
      <c r="U127" s="208"/>
      <c r="AJ127" s="208"/>
      <c r="AK127" s="208"/>
      <c r="AL127" s="22"/>
      <c r="AM127" s="208"/>
      <c r="AN127" s="208"/>
      <c r="AO127" s="29"/>
    </row>
    <row r="128" spans="2:41" x14ac:dyDescent="0.25">
      <c r="B128" s="22" t="str">
        <f ca="1">IF(ISERROR(MATCH(B$1,INDIRECT("Table!A"&amp;$AL128):INDIRECT("Table!" &amp; $AO$275 &amp; $AL128),0)),"",INDIRECT(CONCATENATE("Table!",ADDRESS(#REF!,MATCH(B$1,INDIRECT("Table!A" &amp; $AL128):INDIRECT("Table!" &amp; $AO$275 &amp; $AL128),0))))/1024)</f>
        <v/>
      </c>
      <c r="C128" s="22" t="str">
        <f ca="1">IF(ISERROR(MATCH(C$1,INDIRECT("Table!A"&amp;$AL128):INDIRECT("Table!" &amp; $AO$275 &amp; $AL128),0)),"",INDIRECT(CONCATENATE("Table!",ADDRESS(#REF!,MATCH(C$1,INDIRECT("Table!A" &amp; $AL128):INDIRECT("Table!" &amp; $AO$275 &amp; $AL128),0))))/1024)</f>
        <v/>
      </c>
      <c r="D128" s="22" t="str">
        <f ca="1">IF(ISERROR(MATCH(D$1,INDIRECT("Table!A"&amp;$AL128):INDIRECT("Table!" &amp; $AO$275 &amp; $AL128),0)),"",INDIRECT(CONCATENATE("Table!",ADDRESS(#REF!,MATCH(D$1,INDIRECT("Table!A" &amp; $AL128):INDIRECT("Table!" &amp; $AO$275 &amp; $AL128),0))))/1024)</f>
        <v/>
      </c>
      <c r="E128" s="22" t="str">
        <f ca="1">IF(ISERROR(MATCH(E$1,INDIRECT("Table!A"&amp;$AL128):INDIRECT("Table!" &amp; $AO$275 &amp; $AL128),0)),"",INDIRECT(CONCATENATE("Table!",ADDRESS(#REF!,MATCH(E$1,INDIRECT("Table!A" &amp; $AL128):INDIRECT("Table!" &amp; $AO$275 &amp; $AL128),0))))/1024)</f>
        <v/>
      </c>
      <c r="F128" s="22" t="str">
        <f ca="1">IF(ISERROR(MATCH(F$1,INDIRECT("Table!A"&amp;$AL128):INDIRECT("Table!" &amp; $AO$275 &amp; $AL128),0)),"",INDIRECT(CONCATENATE("Table!",ADDRESS(#REF!,MATCH(F$1,INDIRECT("Table!A" &amp; $AL128):INDIRECT("Table!" &amp; $AO$275 &amp; $AL128),0))))/1024)</f>
        <v/>
      </c>
      <c r="G128" s="22" t="str">
        <f ca="1">IF(ISERROR(MATCH(G$1,INDIRECT("Table!A"&amp;$AL128):INDIRECT("Table!" &amp; $AO$275 &amp; $AL128),0)),"",INDIRECT(CONCATENATE("Table!",ADDRESS(#REF!,MATCH(G$1,INDIRECT("Table!A" &amp; $AL128):INDIRECT("Table!" &amp; $AO$275 &amp; $AL128),0))))/1024)</f>
        <v/>
      </c>
      <c r="H128" s="22" t="str">
        <f ca="1">IF(ISERROR(MATCH(H$1,INDIRECT("Table!A"&amp;$AL128):INDIRECT("Table!" &amp; $AO$275 &amp; $AL128),0)),"",INDIRECT(CONCATENATE("Table!",ADDRESS(#REF!,MATCH(H$1,INDIRECT("Table!A" &amp; $AL128):INDIRECT("Table!" &amp; $AO$275 &amp; $AL128),0))))/1024)</f>
        <v/>
      </c>
      <c r="K128" s="22" t="str">
        <f ca="1">IF(ISERROR(MATCH(L$1,INDIRECT("Table!A"&amp;$AL128):INDIRECT("Table!" &amp; $AO$275 &amp; $AL128),0)),"",INDIRECT(CONCATENATE("Table!",ADDRESS(#REF!,MATCH(L$1,INDIRECT("Table!A" &amp; $AL128):INDIRECT("Table!" &amp; $AO$275 &amp; $AL128),0))))/1024)</f>
        <v/>
      </c>
      <c r="L128" s="22" t="str">
        <f ca="1">IF(ISERROR(MATCH(M$1,INDIRECT("Table!A"&amp;$AL128):INDIRECT("Table!" &amp; $AO$275 &amp; $AL128),0)),"",INDIRECT(CONCATENATE("Table!",ADDRESS(#REF!,MATCH(M$1,INDIRECT("Table!A" &amp; $AL128):INDIRECT("Table!" &amp; $AO$275 &amp; $AL128),0))))/1024)</f>
        <v/>
      </c>
      <c r="M128" s="22" t="str">
        <f ca="1">IF(ISERROR(MATCH(N$1,INDIRECT("Table!A"&amp;$AL128):INDIRECT("Table!" &amp; $AO$275 &amp; $AL128),0)),"",INDIRECT(CONCATENATE("Table!",ADDRESS(#REF!,MATCH(N$1,INDIRECT("Table!A" &amp; $AL128):INDIRECT("Table!" &amp; $AO$275 &amp; $AL128),0))))/1024)</f>
        <v/>
      </c>
      <c r="N128" s="22" t="str">
        <f ca="1">IF(ISERROR(MATCH(O$1,INDIRECT("Table!A"&amp;$AL128):INDIRECT("Table!" &amp; $AO$275 &amp; $AL128),0)),"",INDIRECT(CONCATENATE("Table!",ADDRESS(#REF!,MATCH(O$1,INDIRECT("Table!A" &amp; $AL128):INDIRECT("Table!" &amp; $AO$275 &amp; $AL128),0))))/1024)</f>
        <v/>
      </c>
      <c r="O128" s="22"/>
      <c r="P128" s="272"/>
      <c r="Q128" s="22"/>
      <c r="R128" s="207"/>
      <c r="T128" s="595"/>
      <c r="U128" s="207"/>
      <c r="AJ128" s="207"/>
      <c r="AK128" s="207"/>
      <c r="AL128" s="22"/>
      <c r="AM128" s="207"/>
      <c r="AN128" s="207"/>
      <c r="AO128" s="29"/>
    </row>
    <row r="129" spans="2:41" x14ac:dyDescent="0.25">
      <c r="B129" s="22" t="str">
        <f ca="1">IF(ISERROR(MATCH(B$1,INDIRECT("Table!A"&amp;$AL129):INDIRECT("Table!" &amp; $AO$275 &amp; $AL129),0)),"",INDIRECT(CONCATENATE("Table!",ADDRESS(#REF!,MATCH(B$1,INDIRECT("Table!A" &amp; $AL129):INDIRECT("Table!" &amp; $AO$275 &amp; $AL129),0))))/1024)</f>
        <v/>
      </c>
      <c r="C129" s="22" t="str">
        <f ca="1">IF(ISERROR(MATCH(C$1,INDIRECT("Table!A"&amp;$AL129):INDIRECT("Table!" &amp; $AO$275 &amp; $AL129),0)),"",INDIRECT(CONCATENATE("Table!",ADDRESS(#REF!,MATCH(C$1,INDIRECT("Table!A" &amp; $AL129):INDIRECT("Table!" &amp; $AO$275 &amp; $AL129),0))))/1024)</f>
        <v/>
      </c>
      <c r="D129" s="22" t="str">
        <f ca="1">IF(ISERROR(MATCH(D$1,INDIRECT("Table!A"&amp;$AL129):INDIRECT("Table!" &amp; $AO$275 &amp; $AL129),0)),"",INDIRECT(CONCATENATE("Table!",ADDRESS(#REF!,MATCH(D$1,INDIRECT("Table!A" &amp; $AL129):INDIRECT("Table!" &amp; $AO$275 &amp; $AL129),0))))/1024)</f>
        <v/>
      </c>
      <c r="E129" s="22" t="str">
        <f ca="1">IF(ISERROR(MATCH(E$1,INDIRECT("Table!A"&amp;$AL129):INDIRECT("Table!" &amp; $AO$275 &amp; $AL129),0)),"",INDIRECT(CONCATENATE("Table!",ADDRESS(#REF!,MATCH(E$1,INDIRECT("Table!A" &amp; $AL129):INDIRECT("Table!" &amp; $AO$275 &amp; $AL129),0))))/1024)</f>
        <v/>
      </c>
      <c r="F129" s="22" t="str">
        <f ca="1">IF(ISERROR(MATCH(F$1,INDIRECT("Table!A"&amp;$AL129):INDIRECT("Table!" &amp; $AO$275 &amp; $AL129),0)),"",INDIRECT(CONCATENATE("Table!",ADDRESS(#REF!,MATCH(F$1,INDIRECT("Table!A" &amp; $AL129):INDIRECT("Table!" &amp; $AO$275 &amp; $AL129),0))))/1024)</f>
        <v/>
      </c>
      <c r="G129" s="22" t="str">
        <f ca="1">IF(ISERROR(MATCH(G$1,INDIRECT("Table!A"&amp;$AL129):INDIRECT("Table!" &amp; $AO$275 &amp; $AL129),0)),"",INDIRECT(CONCATENATE("Table!",ADDRESS(#REF!,MATCH(G$1,INDIRECT("Table!A" &amp; $AL129):INDIRECT("Table!" &amp; $AO$275 &amp; $AL129),0))))/1024)</f>
        <v/>
      </c>
      <c r="H129" s="22" t="str">
        <f ca="1">IF(ISERROR(MATCH(H$1,INDIRECT("Table!A"&amp;$AL129):INDIRECT("Table!" &amp; $AO$275 &amp; $AL129),0)),"",INDIRECT(CONCATENATE("Table!",ADDRESS(#REF!,MATCH(H$1,INDIRECT("Table!A" &amp; $AL129):INDIRECT("Table!" &amp; $AO$275 &amp; $AL129),0))))/1024)</f>
        <v/>
      </c>
      <c r="K129" s="22" t="str">
        <f ca="1">IF(ISERROR(MATCH(L$1,INDIRECT("Table!A"&amp;$AL129):INDIRECT("Table!" &amp; $AO$275 &amp; $AL129),0)),"",INDIRECT(CONCATENATE("Table!",ADDRESS(#REF!,MATCH(L$1,INDIRECT("Table!A" &amp; $AL129):INDIRECT("Table!" &amp; $AO$275 &amp; $AL129),0))))/1024)</f>
        <v/>
      </c>
      <c r="L129" s="22" t="str">
        <f ca="1">IF(ISERROR(MATCH(M$1,INDIRECT("Table!A"&amp;$AL129):INDIRECT("Table!" &amp; $AO$275 &amp; $AL129),0)),"",INDIRECT(CONCATENATE("Table!",ADDRESS(#REF!,MATCH(M$1,INDIRECT("Table!A" &amp; $AL129):INDIRECT("Table!" &amp; $AO$275 &amp; $AL129),0))))/1024)</f>
        <v/>
      </c>
      <c r="M129" s="22" t="str">
        <f ca="1">IF(ISERROR(MATCH(N$1,INDIRECT("Table!A"&amp;$AL129):INDIRECT("Table!" &amp; $AO$275 &amp; $AL129),0)),"",INDIRECT(CONCATENATE("Table!",ADDRESS(#REF!,MATCH(N$1,INDIRECT("Table!A" &amp; $AL129):INDIRECT("Table!" &amp; $AO$275 &amp; $AL129),0))))/1024)</f>
        <v/>
      </c>
      <c r="N129" s="22" t="str">
        <f ca="1">IF(ISERROR(MATCH(O$1,INDIRECT("Table!A"&amp;$AL129):INDIRECT("Table!" &amp; $AO$275 &amp; $AL129),0)),"",INDIRECT(CONCATENATE("Table!",ADDRESS(#REF!,MATCH(O$1,INDIRECT("Table!A" &amp; $AL129):INDIRECT("Table!" &amp; $AO$275 &amp; $AL129),0))))/1024)</f>
        <v/>
      </c>
      <c r="O129" s="22"/>
      <c r="P129" s="272"/>
      <c r="Q129" s="22"/>
      <c r="R129" s="206"/>
      <c r="T129" s="595"/>
      <c r="U129" s="206"/>
      <c r="AJ129" s="206"/>
      <c r="AK129" s="206"/>
      <c r="AL129" s="22"/>
      <c r="AM129" s="206"/>
      <c r="AN129" s="206"/>
      <c r="AO129" s="29"/>
    </row>
    <row r="130" spans="2:41" x14ac:dyDescent="0.25">
      <c r="B130" s="22" t="str">
        <f ca="1">IF(ISERROR(MATCH(B$1,INDIRECT("Table!A"&amp;$AL130):INDIRECT("Table!" &amp; $AO$275 &amp; $AL130),0)),"",INDIRECT(CONCATENATE("Table!",ADDRESS(#REF!,MATCH(B$1,INDIRECT("Table!A" &amp; $AL130):INDIRECT("Table!" &amp; $AO$275 &amp; $AL130),0))))/1024)</f>
        <v/>
      </c>
      <c r="C130" s="22" t="str">
        <f ca="1">IF(ISERROR(MATCH(C$1,INDIRECT("Table!A"&amp;$AL130):INDIRECT("Table!" &amp; $AO$275 &amp; $AL130),0)),"",INDIRECT(CONCATENATE("Table!",ADDRESS(#REF!,MATCH(C$1,INDIRECT("Table!A" &amp; $AL130):INDIRECT("Table!" &amp; $AO$275 &amp; $AL130),0))))/1024)</f>
        <v/>
      </c>
      <c r="D130" s="22" t="str">
        <f ca="1">IF(ISERROR(MATCH(D$1,INDIRECT("Table!A"&amp;$AL130):INDIRECT("Table!" &amp; $AO$275 &amp; $AL130),0)),"",INDIRECT(CONCATENATE("Table!",ADDRESS(#REF!,MATCH(D$1,INDIRECT("Table!A" &amp; $AL130):INDIRECT("Table!" &amp; $AO$275 &amp; $AL130),0))))/1024)</f>
        <v/>
      </c>
      <c r="E130" s="22" t="str">
        <f ca="1">IF(ISERROR(MATCH(E$1,INDIRECT("Table!A"&amp;$AL130):INDIRECT("Table!" &amp; $AO$275 &amp; $AL130),0)),"",INDIRECT(CONCATENATE("Table!",ADDRESS(#REF!,MATCH(E$1,INDIRECT("Table!A" &amp; $AL130):INDIRECT("Table!" &amp; $AO$275 &amp; $AL130),0))))/1024)</f>
        <v/>
      </c>
      <c r="F130" s="22" t="str">
        <f ca="1">IF(ISERROR(MATCH(F$1,INDIRECT("Table!A"&amp;$AL130):INDIRECT("Table!" &amp; $AO$275 &amp; $AL130),0)),"",INDIRECT(CONCATENATE("Table!",ADDRESS(#REF!,MATCH(F$1,INDIRECT("Table!A" &amp; $AL130):INDIRECT("Table!" &amp; $AO$275 &amp; $AL130),0))))/1024)</f>
        <v/>
      </c>
      <c r="G130" s="22" t="str">
        <f ca="1">IF(ISERROR(MATCH(G$1,INDIRECT("Table!A"&amp;$AL130):INDIRECT("Table!" &amp; $AO$275 &amp; $AL130),0)),"",INDIRECT(CONCATENATE("Table!",ADDRESS(#REF!,MATCH(G$1,INDIRECT("Table!A" &amp; $AL130):INDIRECT("Table!" &amp; $AO$275 &amp; $AL130),0))))/1024)</f>
        <v/>
      </c>
      <c r="H130" s="22" t="str">
        <f ca="1">IF(ISERROR(MATCH(H$1,INDIRECT("Table!A"&amp;$AL130):INDIRECT("Table!" &amp; $AO$275 &amp; $AL130),0)),"",INDIRECT(CONCATENATE("Table!",ADDRESS(#REF!,MATCH(H$1,INDIRECT("Table!A" &amp; $AL130):INDIRECT("Table!" &amp; $AO$275 &amp; $AL130),0))))/1024)</f>
        <v/>
      </c>
      <c r="K130" s="22" t="str">
        <f ca="1">IF(ISERROR(MATCH(L$1,INDIRECT("Table!A"&amp;$AL130):INDIRECT("Table!" &amp; $AO$275 &amp; $AL130),0)),"",INDIRECT(CONCATENATE("Table!",ADDRESS(#REF!,MATCH(L$1,INDIRECT("Table!A" &amp; $AL130):INDIRECT("Table!" &amp; $AO$275 &amp; $AL130),0))))/1024)</f>
        <v/>
      </c>
      <c r="L130" s="22" t="str">
        <f ca="1">IF(ISERROR(MATCH(M$1,INDIRECT("Table!A"&amp;$AL130):INDIRECT("Table!" &amp; $AO$275 &amp; $AL130),0)),"",INDIRECT(CONCATENATE("Table!",ADDRESS(#REF!,MATCH(M$1,INDIRECT("Table!A" &amp; $AL130):INDIRECT("Table!" &amp; $AO$275 &amp; $AL130),0))))/1024)</f>
        <v/>
      </c>
      <c r="M130" s="22" t="str">
        <f ca="1">IF(ISERROR(MATCH(N$1,INDIRECT("Table!A"&amp;$AL130):INDIRECT("Table!" &amp; $AO$275 &amp; $AL130),0)),"",INDIRECT(CONCATENATE("Table!",ADDRESS(#REF!,MATCH(N$1,INDIRECT("Table!A" &amp; $AL130):INDIRECT("Table!" &amp; $AO$275 &amp; $AL130),0))))/1024)</f>
        <v/>
      </c>
      <c r="N130" s="22" t="str">
        <f ca="1">IF(ISERROR(MATCH(O$1,INDIRECT("Table!A"&amp;$AL130):INDIRECT("Table!" &amp; $AO$275 &amp; $AL130),0)),"",INDIRECT(CONCATENATE("Table!",ADDRESS(#REF!,MATCH(O$1,INDIRECT("Table!A" &amp; $AL130):INDIRECT("Table!" &amp; $AO$275 &amp; $AL130),0))))/1024)</f>
        <v/>
      </c>
      <c r="O130" s="22"/>
      <c r="P130" s="272"/>
      <c r="Q130" s="22"/>
      <c r="R130" s="205"/>
      <c r="T130" s="595"/>
      <c r="U130" s="205"/>
      <c r="AJ130" s="205"/>
      <c r="AK130" s="205"/>
      <c r="AL130" s="22"/>
      <c r="AM130" s="205"/>
      <c r="AN130" s="205"/>
      <c r="AO130" s="29"/>
    </row>
    <row r="131" spans="2:41" x14ac:dyDescent="0.25">
      <c r="B131" s="22" t="str">
        <f ca="1">IF(ISERROR(MATCH(B$1,INDIRECT("Table!A"&amp;$AL131):INDIRECT("Table!" &amp; $AO$275 &amp; $AL131),0)),"",INDIRECT(CONCATENATE("Table!",ADDRESS(#REF!,MATCH(B$1,INDIRECT("Table!A" &amp; $AL131):INDIRECT("Table!" &amp; $AO$275 &amp; $AL131),0))))/1024)</f>
        <v/>
      </c>
      <c r="C131" s="22" t="str">
        <f ca="1">IF(ISERROR(MATCH(C$1,INDIRECT("Table!A"&amp;$AL131):INDIRECT("Table!" &amp; $AO$275 &amp; $AL131),0)),"",INDIRECT(CONCATENATE("Table!",ADDRESS(#REF!,MATCH(C$1,INDIRECT("Table!A" &amp; $AL131):INDIRECT("Table!" &amp; $AO$275 &amp; $AL131),0))))/1024)</f>
        <v/>
      </c>
      <c r="D131" s="22" t="str">
        <f ca="1">IF(ISERROR(MATCH(D$1,INDIRECT("Table!A"&amp;$AL131):INDIRECT("Table!" &amp; $AO$275 &amp; $AL131),0)),"",INDIRECT(CONCATENATE("Table!",ADDRESS(#REF!,MATCH(D$1,INDIRECT("Table!A" &amp; $AL131):INDIRECT("Table!" &amp; $AO$275 &amp; $AL131),0))))/1024)</f>
        <v/>
      </c>
      <c r="E131" s="22" t="str">
        <f ca="1">IF(ISERROR(MATCH(E$1,INDIRECT("Table!A"&amp;$AL131):INDIRECT("Table!" &amp; $AO$275 &amp; $AL131),0)),"",INDIRECT(CONCATENATE("Table!",ADDRESS(#REF!,MATCH(E$1,INDIRECT("Table!A" &amp; $AL131):INDIRECT("Table!" &amp; $AO$275 &amp; $AL131),0))))/1024)</f>
        <v/>
      </c>
      <c r="F131" s="22" t="str">
        <f ca="1">IF(ISERROR(MATCH(F$1,INDIRECT("Table!A"&amp;$AL131):INDIRECT("Table!" &amp; $AO$275 &amp; $AL131),0)),"",INDIRECT(CONCATENATE("Table!",ADDRESS(#REF!,MATCH(F$1,INDIRECT("Table!A" &amp; $AL131):INDIRECT("Table!" &amp; $AO$275 &amp; $AL131),0))))/1024)</f>
        <v/>
      </c>
      <c r="G131" s="22" t="str">
        <f ca="1">IF(ISERROR(MATCH(G$1,INDIRECT("Table!A"&amp;$AL131):INDIRECT("Table!" &amp; $AO$275 &amp; $AL131),0)),"",INDIRECT(CONCATENATE("Table!",ADDRESS(#REF!,MATCH(G$1,INDIRECT("Table!A" &amp; $AL131):INDIRECT("Table!" &amp; $AO$275 &amp; $AL131),0))))/1024)</f>
        <v/>
      </c>
      <c r="H131" s="22" t="str">
        <f ca="1">IF(ISERROR(MATCH(H$1,INDIRECT("Table!A"&amp;$AL131):INDIRECT("Table!" &amp; $AO$275 &amp; $AL131),0)),"",INDIRECT(CONCATENATE("Table!",ADDRESS(#REF!,MATCH(H$1,INDIRECT("Table!A" &amp; $AL131):INDIRECT("Table!" &amp; $AO$275 &amp; $AL131),0))))/1024)</f>
        <v/>
      </c>
      <c r="K131" s="22" t="str">
        <f ca="1">IF(ISERROR(MATCH(L$1,INDIRECT("Table!A"&amp;$AL131):INDIRECT("Table!" &amp; $AO$275 &amp; $AL131),0)),"",INDIRECT(CONCATENATE("Table!",ADDRESS(#REF!,MATCH(L$1,INDIRECT("Table!A" &amp; $AL131):INDIRECT("Table!" &amp; $AO$275 &amp; $AL131),0))))/1024)</f>
        <v/>
      </c>
      <c r="L131" s="22" t="str">
        <f ca="1">IF(ISERROR(MATCH(M$1,INDIRECT("Table!A"&amp;$AL131):INDIRECT("Table!" &amp; $AO$275 &amp; $AL131),0)),"",INDIRECT(CONCATENATE("Table!",ADDRESS(#REF!,MATCH(M$1,INDIRECT("Table!A" &amp; $AL131):INDIRECT("Table!" &amp; $AO$275 &amp; $AL131),0))))/1024)</f>
        <v/>
      </c>
      <c r="M131" s="22" t="str">
        <f ca="1">IF(ISERROR(MATCH(N$1,INDIRECT("Table!A"&amp;$AL131):INDIRECT("Table!" &amp; $AO$275 &amp; $AL131),0)),"",INDIRECT(CONCATENATE("Table!",ADDRESS(#REF!,MATCH(N$1,INDIRECT("Table!A" &amp; $AL131):INDIRECT("Table!" &amp; $AO$275 &amp; $AL131),0))))/1024)</f>
        <v/>
      </c>
      <c r="N131" s="22" t="str">
        <f ca="1">IF(ISERROR(MATCH(O$1,INDIRECT("Table!A"&amp;$AL131):INDIRECT("Table!" &amp; $AO$275 &amp; $AL131),0)),"",INDIRECT(CONCATENATE("Table!",ADDRESS(#REF!,MATCH(O$1,INDIRECT("Table!A" &amp; $AL131):INDIRECT("Table!" &amp; $AO$275 &amp; $AL131),0))))/1024)</f>
        <v/>
      </c>
      <c r="O131" s="22"/>
      <c r="P131" s="272"/>
      <c r="Q131" s="22"/>
      <c r="R131" s="204"/>
      <c r="T131" s="595"/>
      <c r="U131" s="204"/>
      <c r="AJ131" s="204"/>
      <c r="AK131" s="204"/>
      <c r="AL131" s="22"/>
      <c r="AM131" s="204"/>
      <c r="AN131" s="204"/>
      <c r="AO131" s="29"/>
    </row>
    <row r="132" spans="2:41" x14ac:dyDescent="0.25">
      <c r="B132" s="22" t="str">
        <f ca="1">IF(ISERROR(MATCH(B$1,INDIRECT("Table!A"&amp;$AL132):INDIRECT("Table!" &amp; $AO$275 &amp; $AL132),0)),"",INDIRECT(CONCATENATE("Table!",ADDRESS(#REF!,MATCH(B$1,INDIRECT("Table!A" &amp; $AL132):INDIRECT("Table!" &amp; $AO$275 &amp; $AL132),0))))/1024)</f>
        <v/>
      </c>
      <c r="C132" s="22" t="str">
        <f ca="1">IF(ISERROR(MATCH(C$1,INDIRECT("Table!A"&amp;$AL132):INDIRECT("Table!" &amp; $AO$275 &amp; $AL132),0)),"",INDIRECT(CONCATENATE("Table!",ADDRESS(#REF!,MATCH(C$1,INDIRECT("Table!A" &amp; $AL132):INDIRECT("Table!" &amp; $AO$275 &amp; $AL132),0))))/1024)</f>
        <v/>
      </c>
      <c r="D132" s="22" t="str">
        <f ca="1">IF(ISERROR(MATCH(D$1,INDIRECT("Table!A"&amp;$AL132):INDIRECT("Table!" &amp; $AO$275 &amp; $AL132),0)),"",INDIRECT(CONCATENATE("Table!",ADDRESS(#REF!,MATCH(D$1,INDIRECT("Table!A" &amp; $AL132):INDIRECT("Table!" &amp; $AO$275 &amp; $AL132),0))))/1024)</f>
        <v/>
      </c>
      <c r="E132" s="22" t="str">
        <f ca="1">IF(ISERROR(MATCH(E$1,INDIRECT("Table!A"&amp;$AL132):INDIRECT("Table!" &amp; $AO$275 &amp; $AL132),0)),"",INDIRECT(CONCATENATE("Table!",ADDRESS(#REF!,MATCH(E$1,INDIRECT("Table!A" &amp; $AL132):INDIRECT("Table!" &amp; $AO$275 &amp; $AL132),0))))/1024)</f>
        <v/>
      </c>
      <c r="F132" s="22" t="str">
        <f ca="1">IF(ISERROR(MATCH(F$1,INDIRECT("Table!A"&amp;$AL132):INDIRECT("Table!" &amp; $AO$275 &amp; $AL132),0)),"",INDIRECT(CONCATENATE("Table!",ADDRESS(#REF!,MATCH(F$1,INDIRECT("Table!A" &amp; $AL132):INDIRECT("Table!" &amp; $AO$275 &amp; $AL132),0))))/1024)</f>
        <v/>
      </c>
      <c r="G132" s="22" t="str">
        <f ca="1">IF(ISERROR(MATCH(G$1,INDIRECT("Table!A"&amp;$AL132):INDIRECT("Table!" &amp; $AO$275 &amp; $AL132),0)),"",INDIRECT(CONCATENATE("Table!",ADDRESS(#REF!,MATCH(G$1,INDIRECT("Table!A" &amp; $AL132):INDIRECT("Table!" &amp; $AO$275 &amp; $AL132),0))))/1024)</f>
        <v/>
      </c>
      <c r="H132" s="22" t="str">
        <f ca="1">IF(ISERROR(MATCH(H$1,INDIRECT("Table!A"&amp;$AL132):INDIRECT("Table!" &amp; $AO$275 &amp; $AL132),0)),"",INDIRECT(CONCATENATE("Table!",ADDRESS(#REF!,MATCH(H$1,INDIRECT("Table!A" &amp; $AL132):INDIRECT("Table!" &amp; $AO$275 &amp; $AL132),0))))/1024)</f>
        <v/>
      </c>
      <c r="K132" s="22" t="str">
        <f ca="1">IF(ISERROR(MATCH(L$1,INDIRECT("Table!A"&amp;$AL132):INDIRECT("Table!" &amp; $AO$275 &amp; $AL132),0)),"",INDIRECT(CONCATENATE("Table!",ADDRESS(#REF!,MATCH(L$1,INDIRECT("Table!A" &amp; $AL132):INDIRECT("Table!" &amp; $AO$275 &amp; $AL132),0))))/1024)</f>
        <v/>
      </c>
      <c r="L132" s="22" t="str">
        <f ca="1">IF(ISERROR(MATCH(M$1,INDIRECT("Table!A"&amp;$AL132):INDIRECT("Table!" &amp; $AO$275 &amp; $AL132),0)),"",INDIRECT(CONCATENATE("Table!",ADDRESS(#REF!,MATCH(M$1,INDIRECT("Table!A" &amp; $AL132):INDIRECT("Table!" &amp; $AO$275 &amp; $AL132),0))))/1024)</f>
        <v/>
      </c>
      <c r="M132" s="22" t="str">
        <f ca="1">IF(ISERROR(MATCH(N$1,INDIRECT("Table!A"&amp;$AL132):INDIRECT("Table!" &amp; $AO$275 &amp; $AL132),0)),"",INDIRECT(CONCATENATE("Table!",ADDRESS(#REF!,MATCH(N$1,INDIRECT("Table!A" &amp; $AL132):INDIRECT("Table!" &amp; $AO$275 &amp; $AL132),0))))/1024)</f>
        <v/>
      </c>
      <c r="N132" s="22" t="str">
        <f ca="1">IF(ISERROR(MATCH(O$1,INDIRECT("Table!A"&amp;$AL132):INDIRECT("Table!" &amp; $AO$275 &amp; $AL132),0)),"",INDIRECT(CONCATENATE("Table!",ADDRESS(#REF!,MATCH(O$1,INDIRECT("Table!A" &amp; $AL132):INDIRECT("Table!" &amp; $AO$275 &amp; $AL132),0))))/1024)</f>
        <v/>
      </c>
      <c r="O132" s="22"/>
      <c r="P132" s="272"/>
      <c r="Q132" s="22"/>
      <c r="R132" s="203"/>
      <c r="T132" s="595"/>
      <c r="U132" s="203"/>
      <c r="AJ132" s="203"/>
      <c r="AK132" s="203"/>
      <c r="AL132" s="22"/>
      <c r="AM132" s="203"/>
      <c r="AN132" s="203"/>
      <c r="AO132" s="29"/>
    </row>
    <row r="133" spans="2:41" x14ac:dyDescent="0.25">
      <c r="B133" s="22" t="str">
        <f ca="1">IF(ISERROR(MATCH(B$1,INDIRECT("Table!A"&amp;$AL133):INDIRECT("Table!" &amp; $AO$275 &amp; $AL133),0)),"",INDIRECT(CONCATENATE("Table!",ADDRESS(#REF!,MATCH(B$1,INDIRECT("Table!A" &amp; $AL133):INDIRECT("Table!" &amp; $AO$275 &amp; $AL133),0))))/1024)</f>
        <v/>
      </c>
      <c r="C133" s="22" t="str">
        <f ca="1">IF(ISERROR(MATCH(C$1,INDIRECT("Table!A"&amp;$AL133):INDIRECT("Table!" &amp; $AO$275 &amp; $AL133),0)),"",INDIRECT(CONCATENATE("Table!",ADDRESS(#REF!,MATCH(C$1,INDIRECT("Table!A" &amp; $AL133):INDIRECT("Table!" &amp; $AO$275 &amp; $AL133),0))))/1024)</f>
        <v/>
      </c>
      <c r="D133" s="22" t="str">
        <f ca="1">IF(ISERROR(MATCH(D$1,INDIRECT("Table!A"&amp;$AL133):INDIRECT("Table!" &amp; $AO$275 &amp; $AL133),0)),"",INDIRECT(CONCATENATE("Table!",ADDRESS(#REF!,MATCH(D$1,INDIRECT("Table!A" &amp; $AL133):INDIRECT("Table!" &amp; $AO$275 &amp; $AL133),0))))/1024)</f>
        <v/>
      </c>
      <c r="E133" s="22" t="str">
        <f ca="1">IF(ISERROR(MATCH(E$1,INDIRECT("Table!A"&amp;$AL133):INDIRECT("Table!" &amp; $AO$275 &amp; $AL133),0)),"",INDIRECT(CONCATENATE("Table!",ADDRESS(#REF!,MATCH(E$1,INDIRECT("Table!A" &amp; $AL133):INDIRECT("Table!" &amp; $AO$275 &amp; $AL133),0))))/1024)</f>
        <v/>
      </c>
      <c r="F133" s="22" t="str">
        <f ca="1">IF(ISERROR(MATCH(F$1,INDIRECT("Table!A"&amp;$AL133):INDIRECT("Table!" &amp; $AO$275 &amp; $AL133),0)),"",INDIRECT(CONCATENATE("Table!",ADDRESS(#REF!,MATCH(F$1,INDIRECT("Table!A" &amp; $AL133):INDIRECT("Table!" &amp; $AO$275 &amp; $AL133),0))))/1024)</f>
        <v/>
      </c>
      <c r="G133" s="22" t="str">
        <f ca="1">IF(ISERROR(MATCH(G$1,INDIRECT("Table!A"&amp;$AL133):INDIRECT("Table!" &amp; $AO$275 &amp; $AL133),0)),"",INDIRECT(CONCATENATE("Table!",ADDRESS(#REF!,MATCH(G$1,INDIRECT("Table!A" &amp; $AL133):INDIRECT("Table!" &amp; $AO$275 &amp; $AL133),0))))/1024)</f>
        <v/>
      </c>
      <c r="H133" s="22" t="str">
        <f ca="1">IF(ISERROR(MATCH(H$1,INDIRECT("Table!A"&amp;$AL133):INDIRECT("Table!" &amp; $AO$275 &amp; $AL133),0)),"",INDIRECT(CONCATENATE("Table!",ADDRESS(#REF!,MATCH(H$1,INDIRECT("Table!A" &amp; $AL133):INDIRECT("Table!" &amp; $AO$275 &amp; $AL133),0))))/1024)</f>
        <v/>
      </c>
      <c r="K133" s="22" t="str">
        <f ca="1">IF(ISERROR(MATCH(L$1,INDIRECT("Table!A"&amp;$AL133):INDIRECT("Table!" &amp; $AO$275 &amp; $AL133),0)),"",INDIRECT(CONCATENATE("Table!",ADDRESS(#REF!,MATCH(L$1,INDIRECT("Table!A" &amp; $AL133):INDIRECT("Table!" &amp; $AO$275 &amp; $AL133),0))))/1024)</f>
        <v/>
      </c>
      <c r="L133" s="22" t="str">
        <f ca="1">IF(ISERROR(MATCH(M$1,INDIRECT("Table!A"&amp;$AL133):INDIRECT("Table!" &amp; $AO$275 &amp; $AL133),0)),"",INDIRECT(CONCATENATE("Table!",ADDRESS(#REF!,MATCH(M$1,INDIRECT("Table!A" &amp; $AL133):INDIRECT("Table!" &amp; $AO$275 &amp; $AL133),0))))/1024)</f>
        <v/>
      </c>
      <c r="M133" s="22" t="str">
        <f ca="1">IF(ISERROR(MATCH(N$1,INDIRECT("Table!A"&amp;$AL133):INDIRECT("Table!" &amp; $AO$275 &amp; $AL133),0)),"",INDIRECT(CONCATENATE("Table!",ADDRESS(#REF!,MATCH(N$1,INDIRECT("Table!A" &amp; $AL133):INDIRECT("Table!" &amp; $AO$275 &amp; $AL133),0))))/1024)</f>
        <v/>
      </c>
      <c r="N133" s="22" t="str">
        <f ca="1">IF(ISERROR(MATCH(O$1,INDIRECT("Table!A"&amp;$AL133):INDIRECT("Table!" &amp; $AO$275 &amp; $AL133),0)),"",INDIRECT(CONCATENATE("Table!",ADDRESS(#REF!,MATCH(O$1,INDIRECT("Table!A" &amp; $AL133):INDIRECT("Table!" &amp; $AO$275 &amp; $AL133),0))))/1024)</f>
        <v/>
      </c>
      <c r="O133" s="22"/>
      <c r="P133" s="272"/>
      <c r="Q133" s="22"/>
      <c r="R133" s="202"/>
      <c r="T133" s="595"/>
      <c r="U133" s="202"/>
      <c r="AJ133" s="202"/>
      <c r="AK133" s="202"/>
      <c r="AL133" s="22"/>
      <c r="AM133" s="202"/>
      <c r="AN133" s="202"/>
      <c r="AO133" s="29"/>
    </row>
    <row r="134" spans="2:41" x14ac:dyDescent="0.25">
      <c r="B134" s="22" t="str">
        <f ca="1">IF(ISERROR(MATCH(B$1,INDIRECT("Table!A"&amp;$AL134):INDIRECT("Table!" &amp; $AO$275 &amp; $AL134),0)),"",INDIRECT(CONCATENATE("Table!",ADDRESS(#REF!,MATCH(B$1,INDIRECT("Table!A" &amp; $AL134):INDIRECT("Table!" &amp; $AO$275 &amp; $AL134),0))))/1024)</f>
        <v/>
      </c>
      <c r="C134" s="22" t="str">
        <f ca="1">IF(ISERROR(MATCH(C$1,INDIRECT("Table!A"&amp;$AL134):INDIRECT("Table!" &amp; $AO$275 &amp; $AL134),0)),"",INDIRECT(CONCATENATE("Table!",ADDRESS(#REF!,MATCH(C$1,INDIRECT("Table!A" &amp; $AL134):INDIRECT("Table!" &amp; $AO$275 &amp; $AL134),0))))/1024)</f>
        <v/>
      </c>
      <c r="D134" s="22" t="str">
        <f ca="1">IF(ISERROR(MATCH(D$1,INDIRECT("Table!A"&amp;$AL134):INDIRECT("Table!" &amp; $AO$275 &amp; $AL134),0)),"",INDIRECT(CONCATENATE("Table!",ADDRESS(#REF!,MATCH(D$1,INDIRECT("Table!A" &amp; $AL134):INDIRECT("Table!" &amp; $AO$275 &amp; $AL134),0))))/1024)</f>
        <v/>
      </c>
      <c r="E134" s="22" t="str">
        <f ca="1">IF(ISERROR(MATCH(E$1,INDIRECT("Table!A"&amp;$AL134):INDIRECT("Table!" &amp; $AO$275 &amp; $AL134),0)),"",INDIRECT(CONCATENATE("Table!",ADDRESS(#REF!,MATCH(E$1,INDIRECT("Table!A" &amp; $AL134):INDIRECT("Table!" &amp; $AO$275 &amp; $AL134),0))))/1024)</f>
        <v/>
      </c>
      <c r="F134" s="22" t="str">
        <f ca="1">IF(ISERROR(MATCH(F$1,INDIRECT("Table!A"&amp;$AL134):INDIRECT("Table!" &amp; $AO$275 &amp; $AL134),0)),"",INDIRECT(CONCATENATE("Table!",ADDRESS(#REF!,MATCH(F$1,INDIRECT("Table!A" &amp; $AL134):INDIRECT("Table!" &amp; $AO$275 &amp; $AL134),0))))/1024)</f>
        <v/>
      </c>
      <c r="G134" s="22" t="str">
        <f ca="1">IF(ISERROR(MATCH(G$1,INDIRECT("Table!A"&amp;$AL134):INDIRECT("Table!" &amp; $AO$275 &amp; $AL134),0)),"",INDIRECT(CONCATENATE("Table!",ADDRESS(#REF!,MATCH(G$1,INDIRECT("Table!A" &amp; $AL134):INDIRECT("Table!" &amp; $AO$275 &amp; $AL134),0))))/1024)</f>
        <v/>
      </c>
      <c r="H134" s="22" t="str">
        <f ca="1">IF(ISERROR(MATCH(H$1,INDIRECT("Table!A"&amp;$AL134):INDIRECT("Table!" &amp; $AO$275 &amp; $AL134),0)),"",INDIRECT(CONCATENATE("Table!",ADDRESS(#REF!,MATCH(H$1,INDIRECT("Table!A" &amp; $AL134):INDIRECT("Table!" &amp; $AO$275 &amp; $AL134),0))))/1024)</f>
        <v/>
      </c>
      <c r="K134" s="22" t="str">
        <f ca="1">IF(ISERROR(MATCH(L$1,INDIRECT("Table!A"&amp;$AL134):INDIRECT("Table!" &amp; $AO$275 &amp; $AL134),0)),"",INDIRECT(CONCATENATE("Table!",ADDRESS(#REF!,MATCH(L$1,INDIRECT("Table!A" &amp; $AL134):INDIRECT("Table!" &amp; $AO$275 &amp; $AL134),0))))/1024)</f>
        <v/>
      </c>
      <c r="L134" s="22" t="str">
        <f ca="1">IF(ISERROR(MATCH(M$1,INDIRECT("Table!A"&amp;$AL134):INDIRECT("Table!" &amp; $AO$275 &amp; $AL134),0)),"",INDIRECT(CONCATENATE("Table!",ADDRESS(#REF!,MATCH(M$1,INDIRECT("Table!A" &amp; $AL134):INDIRECT("Table!" &amp; $AO$275 &amp; $AL134),0))))/1024)</f>
        <v/>
      </c>
      <c r="M134" s="22" t="str">
        <f ca="1">IF(ISERROR(MATCH(N$1,INDIRECT("Table!A"&amp;$AL134):INDIRECT("Table!" &amp; $AO$275 &amp; $AL134),0)),"",INDIRECT(CONCATENATE("Table!",ADDRESS(#REF!,MATCH(N$1,INDIRECT("Table!A" &amp; $AL134):INDIRECT("Table!" &amp; $AO$275 &amp; $AL134),0))))/1024)</f>
        <v/>
      </c>
      <c r="N134" s="22" t="str">
        <f ca="1">IF(ISERROR(MATCH(O$1,INDIRECT("Table!A"&amp;$AL134):INDIRECT("Table!" &amp; $AO$275 &amp; $AL134),0)),"",INDIRECT(CONCATENATE("Table!",ADDRESS(#REF!,MATCH(O$1,INDIRECT("Table!A" &amp; $AL134):INDIRECT("Table!" &amp; $AO$275 &amp; $AL134),0))))/1024)</f>
        <v/>
      </c>
      <c r="O134" s="22"/>
      <c r="P134" s="272"/>
      <c r="Q134" s="22"/>
      <c r="R134" s="202"/>
      <c r="T134" s="595"/>
      <c r="U134" s="202"/>
      <c r="AJ134" s="202"/>
      <c r="AK134" s="202"/>
      <c r="AL134" s="22"/>
      <c r="AM134" s="202"/>
      <c r="AN134" s="202"/>
      <c r="AO134" s="29"/>
    </row>
    <row r="135" spans="2:41" x14ac:dyDescent="0.25">
      <c r="B135" s="22" t="str">
        <f ca="1">IF(ISERROR(MATCH(B$1,INDIRECT("Table!A"&amp;$AL135):INDIRECT("Table!" &amp; $AO$275 &amp; $AL135),0)),"",INDIRECT(CONCATENATE("Table!",ADDRESS(#REF!,MATCH(B$1,INDIRECT("Table!A" &amp; $AL135):INDIRECT("Table!" &amp; $AO$275 &amp; $AL135),0))))/1024)</f>
        <v/>
      </c>
      <c r="C135" s="22" t="str">
        <f ca="1">IF(ISERROR(MATCH(C$1,INDIRECT("Table!A"&amp;$AL135):INDIRECT("Table!" &amp; $AO$275 &amp; $AL135),0)),"",INDIRECT(CONCATENATE("Table!",ADDRESS(#REF!,MATCH(C$1,INDIRECT("Table!A" &amp; $AL135):INDIRECT("Table!" &amp; $AO$275 &amp; $AL135),0))))/1024)</f>
        <v/>
      </c>
      <c r="D135" s="22" t="str">
        <f ca="1">IF(ISERROR(MATCH(D$1,INDIRECT("Table!A"&amp;$AL135):INDIRECT("Table!" &amp; $AO$275 &amp; $AL135),0)),"",INDIRECT(CONCATENATE("Table!",ADDRESS(#REF!,MATCH(D$1,INDIRECT("Table!A" &amp; $AL135):INDIRECT("Table!" &amp; $AO$275 &amp; $AL135),0))))/1024)</f>
        <v/>
      </c>
      <c r="E135" s="22" t="str">
        <f ca="1">IF(ISERROR(MATCH(E$1,INDIRECT("Table!A"&amp;$AL135):INDIRECT("Table!" &amp; $AO$275 &amp; $AL135),0)),"",INDIRECT(CONCATENATE("Table!",ADDRESS(#REF!,MATCH(E$1,INDIRECT("Table!A" &amp; $AL135):INDIRECT("Table!" &amp; $AO$275 &amp; $AL135),0))))/1024)</f>
        <v/>
      </c>
      <c r="F135" s="22" t="str">
        <f ca="1">IF(ISERROR(MATCH(F$1,INDIRECT("Table!A"&amp;$AL135):INDIRECT("Table!" &amp; $AO$275 &amp; $AL135),0)),"",INDIRECT(CONCATENATE("Table!",ADDRESS(#REF!,MATCH(F$1,INDIRECT("Table!A" &amp; $AL135):INDIRECT("Table!" &amp; $AO$275 &amp; $AL135),0))))/1024)</f>
        <v/>
      </c>
      <c r="G135" s="22" t="str">
        <f ca="1">IF(ISERROR(MATCH(G$1,INDIRECT("Table!A"&amp;$AL135):INDIRECT("Table!" &amp; $AO$275 &amp; $AL135),0)),"",INDIRECT(CONCATENATE("Table!",ADDRESS(#REF!,MATCH(G$1,INDIRECT("Table!A" &amp; $AL135):INDIRECT("Table!" &amp; $AO$275 &amp; $AL135),0))))/1024)</f>
        <v/>
      </c>
      <c r="H135" s="22" t="str">
        <f ca="1">IF(ISERROR(MATCH(H$1,INDIRECT("Table!A"&amp;$AL135):INDIRECT("Table!" &amp; $AO$275 &amp; $AL135),0)),"",INDIRECT(CONCATENATE("Table!",ADDRESS(#REF!,MATCH(H$1,INDIRECT("Table!A" &amp; $AL135):INDIRECT("Table!" &amp; $AO$275 &amp; $AL135),0))))/1024)</f>
        <v/>
      </c>
      <c r="K135" s="22" t="str">
        <f ca="1">IF(ISERROR(MATCH(L$1,INDIRECT("Table!A"&amp;$AL135):INDIRECT("Table!" &amp; $AO$275 &amp; $AL135),0)),"",INDIRECT(CONCATENATE("Table!",ADDRESS(#REF!,MATCH(L$1,INDIRECT("Table!A" &amp; $AL135):INDIRECT("Table!" &amp; $AO$275 &amp; $AL135),0))))/1024)</f>
        <v/>
      </c>
      <c r="L135" s="22" t="str">
        <f ca="1">IF(ISERROR(MATCH(M$1,INDIRECT("Table!A"&amp;$AL135):INDIRECT("Table!" &amp; $AO$275 &amp; $AL135),0)),"",INDIRECT(CONCATENATE("Table!",ADDRESS(#REF!,MATCH(M$1,INDIRECT("Table!A" &amp; $AL135):INDIRECT("Table!" &amp; $AO$275 &amp; $AL135),0))))/1024)</f>
        <v/>
      </c>
      <c r="M135" s="22" t="str">
        <f ca="1">IF(ISERROR(MATCH(N$1,INDIRECT("Table!A"&amp;$AL135):INDIRECT("Table!" &amp; $AO$275 &amp; $AL135),0)),"",INDIRECT(CONCATENATE("Table!",ADDRESS(#REF!,MATCH(N$1,INDIRECT("Table!A" &amp; $AL135):INDIRECT("Table!" &amp; $AO$275 &amp; $AL135),0))))/1024)</f>
        <v/>
      </c>
      <c r="N135" s="22" t="str">
        <f ca="1">IF(ISERROR(MATCH(O$1,INDIRECT("Table!A"&amp;$AL135):INDIRECT("Table!" &amp; $AO$275 &amp; $AL135),0)),"",INDIRECT(CONCATENATE("Table!",ADDRESS(#REF!,MATCH(O$1,INDIRECT("Table!A" &amp; $AL135):INDIRECT("Table!" &amp; $AO$275 &amp; $AL135),0))))/1024)</f>
        <v/>
      </c>
      <c r="O135" s="22"/>
      <c r="P135" s="272"/>
      <c r="Q135" s="22"/>
      <c r="R135" s="200"/>
      <c r="T135" s="595"/>
      <c r="U135" s="200"/>
      <c r="AJ135" s="200"/>
      <c r="AK135" s="200"/>
      <c r="AL135" s="22"/>
      <c r="AM135" s="200"/>
      <c r="AN135" s="200"/>
      <c r="AO135" s="29"/>
    </row>
    <row r="136" spans="2:41" x14ac:dyDescent="0.25">
      <c r="B136" s="22" t="str">
        <f ca="1">IF(ISERROR(MATCH(B$1,INDIRECT("Table!A"&amp;$AL136):INDIRECT("Table!" &amp; $AO$275 &amp; $AL136),0)),"",INDIRECT(CONCATENATE("Table!",ADDRESS(#REF!,MATCH(B$1,INDIRECT("Table!A" &amp; $AL136):INDIRECT("Table!" &amp; $AO$275 &amp; $AL136),0))))/1024)</f>
        <v/>
      </c>
      <c r="C136" s="22" t="str">
        <f ca="1">IF(ISERROR(MATCH(C$1,INDIRECT("Table!A"&amp;$AL136):INDIRECT("Table!" &amp; $AO$275 &amp; $AL136),0)),"",INDIRECT(CONCATENATE("Table!",ADDRESS(#REF!,MATCH(C$1,INDIRECT("Table!A" &amp; $AL136):INDIRECT("Table!" &amp; $AO$275 &amp; $AL136),0))))/1024)</f>
        <v/>
      </c>
      <c r="D136" s="22" t="str">
        <f ca="1">IF(ISERROR(MATCH(D$1,INDIRECT("Table!A"&amp;$AL136):INDIRECT("Table!" &amp; $AO$275 &amp; $AL136),0)),"",INDIRECT(CONCATENATE("Table!",ADDRESS(#REF!,MATCH(D$1,INDIRECT("Table!A" &amp; $AL136):INDIRECT("Table!" &amp; $AO$275 &amp; $AL136),0))))/1024)</f>
        <v/>
      </c>
      <c r="E136" s="22" t="str">
        <f ca="1">IF(ISERROR(MATCH(E$1,INDIRECT("Table!A"&amp;$AL136):INDIRECT("Table!" &amp; $AO$275 &amp; $AL136),0)),"",INDIRECT(CONCATENATE("Table!",ADDRESS(#REF!,MATCH(E$1,INDIRECT("Table!A" &amp; $AL136):INDIRECT("Table!" &amp; $AO$275 &amp; $AL136),0))))/1024)</f>
        <v/>
      </c>
      <c r="F136" s="22" t="str">
        <f ca="1">IF(ISERROR(MATCH(F$1,INDIRECT("Table!A"&amp;$AL136):INDIRECT("Table!" &amp; $AO$275 &amp; $AL136),0)),"",INDIRECT(CONCATENATE("Table!",ADDRESS(#REF!,MATCH(F$1,INDIRECT("Table!A" &amp; $AL136):INDIRECT("Table!" &amp; $AO$275 &amp; $AL136),0))))/1024)</f>
        <v/>
      </c>
      <c r="G136" s="22" t="str">
        <f ca="1">IF(ISERROR(MATCH(G$1,INDIRECT("Table!A"&amp;$AL136):INDIRECT("Table!" &amp; $AO$275 &amp; $AL136),0)),"",INDIRECT(CONCATENATE("Table!",ADDRESS(#REF!,MATCH(G$1,INDIRECT("Table!A" &amp; $AL136):INDIRECT("Table!" &amp; $AO$275 &amp; $AL136),0))))/1024)</f>
        <v/>
      </c>
      <c r="H136" s="22" t="str">
        <f ca="1">IF(ISERROR(MATCH(H$1,INDIRECT("Table!A"&amp;$AL136):INDIRECT("Table!" &amp; $AO$275 &amp; $AL136),0)),"",INDIRECT(CONCATENATE("Table!",ADDRESS(#REF!,MATCH(H$1,INDIRECT("Table!A" &amp; $AL136):INDIRECT("Table!" &amp; $AO$275 &amp; $AL136),0))))/1024)</f>
        <v/>
      </c>
      <c r="K136" s="22" t="str">
        <f ca="1">IF(ISERROR(MATCH(L$1,INDIRECT("Table!A"&amp;$AL136):INDIRECT("Table!" &amp; $AO$275 &amp; $AL136),0)),"",INDIRECT(CONCATENATE("Table!",ADDRESS(#REF!,MATCH(L$1,INDIRECT("Table!A" &amp; $AL136):INDIRECT("Table!" &amp; $AO$275 &amp; $AL136),0))))/1024)</f>
        <v/>
      </c>
      <c r="L136" s="22" t="str">
        <f ca="1">IF(ISERROR(MATCH(M$1,INDIRECT("Table!A"&amp;$AL136):INDIRECT("Table!" &amp; $AO$275 &amp; $AL136),0)),"",INDIRECT(CONCATENATE("Table!",ADDRESS(#REF!,MATCH(M$1,INDIRECT("Table!A" &amp; $AL136):INDIRECT("Table!" &amp; $AO$275 &amp; $AL136),0))))/1024)</f>
        <v/>
      </c>
      <c r="M136" s="22" t="str">
        <f ca="1">IF(ISERROR(MATCH(N$1,INDIRECT("Table!A"&amp;$AL136):INDIRECT("Table!" &amp; $AO$275 &amp; $AL136),0)),"",INDIRECT(CONCATENATE("Table!",ADDRESS(#REF!,MATCH(N$1,INDIRECT("Table!A" &amp; $AL136):INDIRECT("Table!" &amp; $AO$275 &amp; $AL136),0))))/1024)</f>
        <v/>
      </c>
      <c r="N136" s="22" t="str">
        <f ca="1">IF(ISERROR(MATCH(O$1,INDIRECT("Table!A"&amp;$AL136):INDIRECT("Table!" &amp; $AO$275 &amp; $AL136),0)),"",INDIRECT(CONCATENATE("Table!",ADDRESS(#REF!,MATCH(O$1,INDIRECT("Table!A" &amp; $AL136):INDIRECT("Table!" &amp; $AO$275 &amp; $AL136),0))))/1024)</f>
        <v/>
      </c>
      <c r="O136" s="22"/>
      <c r="P136" s="272"/>
      <c r="Q136" s="22"/>
      <c r="R136" s="200"/>
      <c r="T136" s="595"/>
      <c r="U136" s="200"/>
      <c r="AJ136" s="200"/>
      <c r="AK136" s="200"/>
      <c r="AL136" s="22"/>
      <c r="AM136" s="200"/>
      <c r="AN136" s="200"/>
      <c r="AO136" s="29"/>
    </row>
    <row r="137" spans="2:41" x14ac:dyDescent="0.25">
      <c r="B137" s="22" t="str">
        <f ca="1">IF(ISERROR(MATCH(B$1,INDIRECT("Table!A"&amp;$AL137):INDIRECT("Table!" &amp; $AO$275 &amp; $AL137),0)),"",INDIRECT(CONCATENATE("Table!",ADDRESS(#REF!,MATCH(B$1,INDIRECT("Table!A" &amp; $AL137):INDIRECT("Table!" &amp; $AO$275 &amp; $AL137),0))))/1024)</f>
        <v/>
      </c>
      <c r="C137" s="22" t="str">
        <f ca="1">IF(ISERROR(MATCH(C$1,INDIRECT("Table!A"&amp;$AL137):INDIRECT("Table!" &amp; $AO$275 &amp; $AL137),0)),"",INDIRECT(CONCATENATE("Table!",ADDRESS(#REF!,MATCH(C$1,INDIRECT("Table!A" &amp; $AL137):INDIRECT("Table!" &amp; $AO$275 &amp; $AL137),0))))/1024)</f>
        <v/>
      </c>
      <c r="D137" s="22" t="str">
        <f ca="1">IF(ISERROR(MATCH(D$1,INDIRECT("Table!A"&amp;$AL137):INDIRECT("Table!" &amp; $AO$275 &amp; $AL137),0)),"",INDIRECT(CONCATENATE("Table!",ADDRESS(#REF!,MATCH(D$1,INDIRECT("Table!A" &amp; $AL137):INDIRECT("Table!" &amp; $AO$275 &amp; $AL137),0))))/1024)</f>
        <v/>
      </c>
      <c r="E137" s="22" t="str">
        <f ca="1">IF(ISERROR(MATCH(E$1,INDIRECT("Table!A"&amp;$AL137):INDIRECT("Table!" &amp; $AO$275 &amp; $AL137),0)),"",INDIRECT(CONCATENATE("Table!",ADDRESS(#REF!,MATCH(E$1,INDIRECT("Table!A" &amp; $AL137):INDIRECT("Table!" &amp; $AO$275 &amp; $AL137),0))))/1024)</f>
        <v/>
      </c>
      <c r="F137" s="22" t="str">
        <f ca="1">IF(ISERROR(MATCH(F$1,INDIRECT("Table!A"&amp;$AL137):INDIRECT("Table!" &amp; $AO$275 &amp; $AL137),0)),"",INDIRECT(CONCATENATE("Table!",ADDRESS(#REF!,MATCH(F$1,INDIRECT("Table!A" &amp; $AL137):INDIRECT("Table!" &amp; $AO$275 &amp; $AL137),0))))/1024)</f>
        <v/>
      </c>
      <c r="G137" s="22" t="str">
        <f ca="1">IF(ISERROR(MATCH(G$1,INDIRECT("Table!A"&amp;$AL137):INDIRECT("Table!" &amp; $AO$275 &amp; $AL137),0)),"",INDIRECT(CONCATENATE("Table!",ADDRESS(#REF!,MATCH(G$1,INDIRECT("Table!A" &amp; $AL137):INDIRECT("Table!" &amp; $AO$275 &amp; $AL137),0))))/1024)</f>
        <v/>
      </c>
      <c r="H137" s="22" t="str">
        <f ca="1">IF(ISERROR(MATCH(H$1,INDIRECT("Table!A"&amp;$AL137):INDIRECT("Table!" &amp; $AO$275 &amp; $AL137),0)),"",INDIRECT(CONCATENATE("Table!",ADDRESS(#REF!,MATCH(H$1,INDIRECT("Table!A" &amp; $AL137):INDIRECT("Table!" &amp; $AO$275 &amp; $AL137),0))))/1024)</f>
        <v/>
      </c>
      <c r="K137" s="22" t="str">
        <f ca="1">IF(ISERROR(MATCH(L$1,INDIRECT("Table!A"&amp;$AL137):INDIRECT("Table!" &amp; $AO$275 &amp; $AL137),0)),"",INDIRECT(CONCATENATE("Table!",ADDRESS(#REF!,MATCH(L$1,INDIRECT("Table!A" &amp; $AL137):INDIRECT("Table!" &amp; $AO$275 &amp; $AL137),0))))/1024)</f>
        <v/>
      </c>
      <c r="L137" s="22" t="str">
        <f ca="1">IF(ISERROR(MATCH(M$1,INDIRECT("Table!A"&amp;$AL137):INDIRECT("Table!" &amp; $AO$275 &amp; $AL137),0)),"",INDIRECT(CONCATENATE("Table!",ADDRESS(#REF!,MATCH(M$1,INDIRECT("Table!A" &amp; $AL137):INDIRECT("Table!" &amp; $AO$275 &amp; $AL137),0))))/1024)</f>
        <v/>
      </c>
      <c r="M137" s="22" t="str">
        <f ca="1">IF(ISERROR(MATCH(N$1,INDIRECT("Table!A"&amp;$AL137):INDIRECT("Table!" &amp; $AO$275 &amp; $AL137),0)),"",INDIRECT(CONCATENATE("Table!",ADDRESS(#REF!,MATCH(N$1,INDIRECT("Table!A" &amp; $AL137):INDIRECT("Table!" &amp; $AO$275 &amp; $AL137),0))))/1024)</f>
        <v/>
      </c>
      <c r="N137" s="22" t="str">
        <f ca="1">IF(ISERROR(MATCH(O$1,INDIRECT("Table!A"&amp;$AL137):INDIRECT("Table!" &amp; $AO$275 &amp; $AL137),0)),"",INDIRECT(CONCATENATE("Table!",ADDRESS(#REF!,MATCH(O$1,INDIRECT("Table!A" &amp; $AL137):INDIRECT("Table!" &amp; $AO$275 &amp; $AL137),0))))/1024)</f>
        <v/>
      </c>
      <c r="O137" s="22"/>
      <c r="P137" s="272"/>
      <c r="Q137" s="22"/>
      <c r="R137" s="200"/>
      <c r="T137" s="595"/>
      <c r="U137" s="200"/>
      <c r="AJ137" s="200"/>
      <c r="AK137" s="200"/>
      <c r="AL137" s="22"/>
      <c r="AM137" s="200"/>
      <c r="AN137" s="200"/>
      <c r="AO137" s="29"/>
    </row>
    <row r="138" spans="2:41" x14ac:dyDescent="0.25">
      <c r="B138" s="22" t="str">
        <f ca="1">IF(ISERROR(MATCH(B$1,INDIRECT("Table!A"&amp;$AL138):INDIRECT("Table!" &amp; $AO$275 &amp; $AL138),0)),"",INDIRECT(CONCATENATE("Table!",ADDRESS(#REF!,MATCH(B$1,INDIRECT("Table!A" &amp; $AL138):INDIRECT("Table!" &amp; $AO$275 &amp; $AL138),0))))/1024)</f>
        <v/>
      </c>
      <c r="C138" s="22" t="str">
        <f ca="1">IF(ISERROR(MATCH(C$1,INDIRECT("Table!A"&amp;$AL138):INDIRECT("Table!" &amp; $AO$275 &amp; $AL138),0)),"",INDIRECT(CONCATENATE("Table!",ADDRESS(#REF!,MATCH(C$1,INDIRECT("Table!A" &amp; $AL138):INDIRECT("Table!" &amp; $AO$275 &amp; $AL138),0))))/1024)</f>
        <v/>
      </c>
      <c r="D138" s="22" t="str">
        <f ca="1">IF(ISERROR(MATCH(D$1,INDIRECT("Table!A"&amp;$AL138):INDIRECT("Table!" &amp; $AO$275 &amp; $AL138),0)),"",INDIRECT(CONCATENATE("Table!",ADDRESS(#REF!,MATCH(D$1,INDIRECT("Table!A" &amp; $AL138):INDIRECT("Table!" &amp; $AO$275 &amp; $AL138),0))))/1024)</f>
        <v/>
      </c>
      <c r="E138" s="22" t="str">
        <f ca="1">IF(ISERROR(MATCH(E$1,INDIRECT("Table!A"&amp;$AL138):INDIRECT("Table!" &amp; $AO$275 &amp; $AL138),0)),"",INDIRECT(CONCATENATE("Table!",ADDRESS(#REF!,MATCH(E$1,INDIRECT("Table!A" &amp; $AL138):INDIRECT("Table!" &amp; $AO$275 &amp; $AL138),0))))/1024)</f>
        <v/>
      </c>
      <c r="F138" s="22" t="str">
        <f ca="1">IF(ISERROR(MATCH(F$1,INDIRECT("Table!A"&amp;$AL138):INDIRECT("Table!" &amp; $AO$275 &amp; $AL138),0)),"",INDIRECT(CONCATENATE("Table!",ADDRESS(#REF!,MATCH(F$1,INDIRECT("Table!A" &amp; $AL138):INDIRECT("Table!" &amp; $AO$275 &amp; $AL138),0))))/1024)</f>
        <v/>
      </c>
      <c r="G138" s="22" t="str">
        <f ca="1">IF(ISERROR(MATCH(G$1,INDIRECT("Table!A"&amp;$AL138):INDIRECT("Table!" &amp; $AO$275 &amp; $AL138),0)),"",INDIRECT(CONCATENATE("Table!",ADDRESS(#REF!,MATCH(G$1,INDIRECT("Table!A" &amp; $AL138):INDIRECT("Table!" &amp; $AO$275 &amp; $AL138),0))))/1024)</f>
        <v/>
      </c>
      <c r="H138" s="22" t="str">
        <f ca="1">IF(ISERROR(MATCH(H$1,INDIRECT("Table!A"&amp;$AL138):INDIRECT("Table!" &amp; $AO$275 &amp; $AL138),0)),"",INDIRECT(CONCATENATE("Table!",ADDRESS(#REF!,MATCH(H$1,INDIRECT("Table!A" &amp; $AL138):INDIRECT("Table!" &amp; $AO$275 &amp; $AL138),0))))/1024)</f>
        <v/>
      </c>
      <c r="K138" s="22" t="str">
        <f ca="1">IF(ISERROR(MATCH(L$1,INDIRECT("Table!A"&amp;$AL138):INDIRECT("Table!" &amp; $AO$275 &amp; $AL138),0)),"",INDIRECT(CONCATENATE("Table!",ADDRESS(#REF!,MATCH(L$1,INDIRECT("Table!A" &amp; $AL138):INDIRECT("Table!" &amp; $AO$275 &amp; $AL138),0))))/1024)</f>
        <v/>
      </c>
      <c r="L138" s="22" t="str">
        <f ca="1">IF(ISERROR(MATCH(M$1,INDIRECT("Table!A"&amp;$AL138):INDIRECT("Table!" &amp; $AO$275 &amp; $AL138),0)),"",INDIRECT(CONCATENATE("Table!",ADDRESS(#REF!,MATCH(M$1,INDIRECT("Table!A" &amp; $AL138):INDIRECT("Table!" &amp; $AO$275 &amp; $AL138),0))))/1024)</f>
        <v/>
      </c>
      <c r="M138" s="22" t="str">
        <f ca="1">IF(ISERROR(MATCH(N$1,INDIRECT("Table!A"&amp;$AL138):INDIRECT("Table!" &amp; $AO$275 &amp; $AL138),0)),"",INDIRECT(CONCATENATE("Table!",ADDRESS(#REF!,MATCH(N$1,INDIRECT("Table!A" &amp; $AL138):INDIRECT("Table!" &amp; $AO$275 &amp; $AL138),0))))/1024)</f>
        <v/>
      </c>
      <c r="N138" s="22" t="str">
        <f ca="1">IF(ISERROR(MATCH(O$1,INDIRECT("Table!A"&amp;$AL138):INDIRECT("Table!" &amp; $AO$275 &amp; $AL138),0)),"",INDIRECT(CONCATENATE("Table!",ADDRESS(#REF!,MATCH(O$1,INDIRECT("Table!A" &amp; $AL138):INDIRECT("Table!" &amp; $AO$275 &amp; $AL138),0))))/1024)</f>
        <v/>
      </c>
      <c r="O138" s="22"/>
      <c r="P138" s="272"/>
      <c r="Q138" s="22"/>
      <c r="R138" s="199"/>
      <c r="T138" s="595"/>
      <c r="U138" s="199"/>
      <c r="AJ138" s="199"/>
      <c r="AK138" s="199"/>
      <c r="AL138" s="22"/>
      <c r="AM138" s="199"/>
      <c r="AN138" s="199"/>
      <c r="AO138" s="29"/>
    </row>
    <row r="139" spans="2:41" x14ac:dyDescent="0.25">
      <c r="B139" s="22" t="str">
        <f ca="1">IF(ISERROR(MATCH(B$1,INDIRECT("Table!A"&amp;$AL139):INDIRECT("Table!" &amp; $AO$275 &amp; $AL139),0)),"",INDIRECT(CONCATENATE("Table!",ADDRESS(#REF!,MATCH(B$1,INDIRECT("Table!A" &amp; $AL139):INDIRECT("Table!" &amp; $AO$275 &amp; $AL139),0))))/1024)</f>
        <v/>
      </c>
      <c r="C139" s="22" t="str">
        <f ca="1">IF(ISERROR(MATCH(C$1,INDIRECT("Table!A"&amp;$AL139):INDIRECT("Table!" &amp; $AO$275 &amp; $AL139),0)),"",INDIRECT(CONCATENATE("Table!",ADDRESS(#REF!,MATCH(C$1,INDIRECT("Table!A" &amp; $AL139):INDIRECT("Table!" &amp; $AO$275 &amp; $AL139),0))))/1024)</f>
        <v/>
      </c>
      <c r="D139" s="22" t="str">
        <f ca="1">IF(ISERROR(MATCH(D$1,INDIRECT("Table!A"&amp;$AL139):INDIRECT("Table!" &amp; $AO$275 &amp; $AL139),0)),"",INDIRECT(CONCATENATE("Table!",ADDRESS(#REF!,MATCH(D$1,INDIRECT("Table!A" &amp; $AL139):INDIRECT("Table!" &amp; $AO$275 &amp; $AL139),0))))/1024)</f>
        <v/>
      </c>
      <c r="E139" s="22" t="str">
        <f ca="1">IF(ISERROR(MATCH(E$1,INDIRECT("Table!A"&amp;$AL139):INDIRECT("Table!" &amp; $AO$275 &amp; $AL139),0)),"",INDIRECT(CONCATENATE("Table!",ADDRESS(#REF!,MATCH(E$1,INDIRECT("Table!A" &amp; $AL139):INDIRECT("Table!" &amp; $AO$275 &amp; $AL139),0))))/1024)</f>
        <v/>
      </c>
      <c r="F139" s="22" t="str">
        <f ca="1">IF(ISERROR(MATCH(F$1,INDIRECT("Table!A"&amp;$AL139):INDIRECT("Table!" &amp; $AO$275 &amp; $AL139),0)),"",INDIRECT(CONCATENATE("Table!",ADDRESS(#REF!,MATCH(F$1,INDIRECT("Table!A" &amp; $AL139):INDIRECT("Table!" &amp; $AO$275 &amp; $AL139),0))))/1024)</f>
        <v/>
      </c>
      <c r="G139" s="22" t="str">
        <f ca="1">IF(ISERROR(MATCH(G$1,INDIRECT("Table!A"&amp;$AL139):INDIRECT("Table!" &amp; $AO$275 &amp; $AL139),0)),"",INDIRECT(CONCATENATE("Table!",ADDRESS(#REF!,MATCH(G$1,INDIRECT("Table!A" &amp; $AL139):INDIRECT("Table!" &amp; $AO$275 &amp; $AL139),0))))/1024)</f>
        <v/>
      </c>
      <c r="H139" s="22" t="str">
        <f ca="1">IF(ISERROR(MATCH(H$1,INDIRECT("Table!A"&amp;$AL139):INDIRECT("Table!" &amp; $AO$275 &amp; $AL139),0)),"",INDIRECT(CONCATENATE("Table!",ADDRESS(#REF!,MATCH(H$1,INDIRECT("Table!A" &amp; $AL139):INDIRECT("Table!" &amp; $AO$275 &amp; $AL139),0))))/1024)</f>
        <v/>
      </c>
      <c r="K139" s="22" t="str">
        <f ca="1">IF(ISERROR(MATCH(L$1,INDIRECT("Table!A"&amp;$AL139):INDIRECT("Table!" &amp; $AO$275 &amp; $AL139),0)),"",INDIRECT(CONCATENATE("Table!",ADDRESS(#REF!,MATCH(L$1,INDIRECT("Table!A" &amp; $AL139):INDIRECT("Table!" &amp; $AO$275 &amp; $AL139),0))))/1024)</f>
        <v/>
      </c>
      <c r="L139" s="22" t="str">
        <f ca="1">IF(ISERROR(MATCH(M$1,INDIRECT("Table!A"&amp;$AL139):INDIRECT("Table!" &amp; $AO$275 &amp; $AL139),0)),"",INDIRECT(CONCATENATE("Table!",ADDRESS(#REF!,MATCH(M$1,INDIRECT("Table!A" &amp; $AL139):INDIRECT("Table!" &amp; $AO$275 &amp; $AL139),0))))/1024)</f>
        <v/>
      </c>
      <c r="M139" s="22" t="str">
        <f ca="1">IF(ISERROR(MATCH(N$1,INDIRECT("Table!A"&amp;$AL139):INDIRECT("Table!" &amp; $AO$275 &amp; $AL139),0)),"",INDIRECT(CONCATENATE("Table!",ADDRESS(#REF!,MATCH(N$1,INDIRECT("Table!A" &amp; $AL139):INDIRECT("Table!" &amp; $AO$275 &amp; $AL139),0))))/1024)</f>
        <v/>
      </c>
      <c r="N139" s="22" t="str">
        <f ca="1">IF(ISERROR(MATCH(O$1,INDIRECT("Table!A"&amp;$AL139):INDIRECT("Table!" &amp; $AO$275 &amp; $AL139),0)),"",INDIRECT(CONCATENATE("Table!",ADDRESS(#REF!,MATCH(O$1,INDIRECT("Table!A" &amp; $AL139):INDIRECT("Table!" &amp; $AO$275 &amp; $AL139),0))))/1024)</f>
        <v/>
      </c>
      <c r="O139" s="22"/>
      <c r="P139" s="272"/>
      <c r="Q139" s="22"/>
      <c r="R139" s="198"/>
      <c r="T139" s="595"/>
      <c r="U139" s="198"/>
      <c r="AJ139" s="198"/>
      <c r="AK139" s="198"/>
      <c r="AL139" s="22"/>
      <c r="AM139" s="198"/>
      <c r="AN139" s="198"/>
      <c r="AO139" s="29"/>
    </row>
    <row r="140" spans="2:41" x14ac:dyDescent="0.25">
      <c r="B140" s="22" t="str">
        <f ca="1">IF(ISERROR(MATCH(B$1,INDIRECT("Table!A"&amp;$AL140):INDIRECT("Table!" &amp; $AO$275 &amp; $AL140),0)),"",INDIRECT(CONCATENATE("Table!",ADDRESS(#REF!,MATCH(B$1,INDIRECT("Table!A" &amp; $AL140):INDIRECT("Table!" &amp; $AO$275 &amp; $AL140),0))))/1024)</f>
        <v/>
      </c>
      <c r="C140" s="22" t="str">
        <f ca="1">IF(ISERROR(MATCH(C$1,INDIRECT("Table!A"&amp;$AL140):INDIRECT("Table!" &amp; $AO$275 &amp; $AL140),0)),"",INDIRECT(CONCATENATE("Table!",ADDRESS(#REF!,MATCH(C$1,INDIRECT("Table!A" &amp; $AL140):INDIRECT("Table!" &amp; $AO$275 &amp; $AL140),0))))/1024)</f>
        <v/>
      </c>
      <c r="D140" s="22" t="str">
        <f ca="1">IF(ISERROR(MATCH(D$1,INDIRECT("Table!A"&amp;$AL140):INDIRECT("Table!" &amp; $AO$275 &amp; $AL140),0)),"",INDIRECT(CONCATENATE("Table!",ADDRESS(#REF!,MATCH(D$1,INDIRECT("Table!A" &amp; $AL140):INDIRECT("Table!" &amp; $AO$275 &amp; $AL140),0))))/1024)</f>
        <v/>
      </c>
      <c r="E140" s="22" t="str">
        <f ca="1">IF(ISERROR(MATCH(E$1,INDIRECT("Table!A"&amp;$AL140):INDIRECT("Table!" &amp; $AO$275 &amp; $AL140),0)),"",INDIRECT(CONCATENATE("Table!",ADDRESS(#REF!,MATCH(E$1,INDIRECT("Table!A" &amp; $AL140):INDIRECT("Table!" &amp; $AO$275 &amp; $AL140),0))))/1024)</f>
        <v/>
      </c>
      <c r="F140" s="22" t="str">
        <f ca="1">IF(ISERROR(MATCH(F$1,INDIRECT("Table!A"&amp;$AL140):INDIRECT("Table!" &amp; $AO$275 &amp; $AL140),0)),"",INDIRECT(CONCATENATE("Table!",ADDRESS(#REF!,MATCH(F$1,INDIRECT("Table!A" &amp; $AL140):INDIRECT("Table!" &amp; $AO$275 &amp; $AL140),0))))/1024)</f>
        <v/>
      </c>
      <c r="G140" s="22" t="str">
        <f ca="1">IF(ISERROR(MATCH(G$1,INDIRECT("Table!A"&amp;$AL140):INDIRECT("Table!" &amp; $AO$275 &amp; $AL140),0)),"",INDIRECT(CONCATENATE("Table!",ADDRESS(#REF!,MATCH(G$1,INDIRECT("Table!A" &amp; $AL140):INDIRECT("Table!" &amp; $AO$275 &amp; $AL140),0))))/1024)</f>
        <v/>
      </c>
      <c r="H140" s="22" t="str">
        <f ca="1">IF(ISERROR(MATCH(H$1,INDIRECT("Table!A"&amp;$AL140):INDIRECT("Table!" &amp; $AO$275 &amp; $AL140),0)),"",INDIRECT(CONCATENATE("Table!",ADDRESS(#REF!,MATCH(H$1,INDIRECT("Table!A" &amp; $AL140):INDIRECT("Table!" &amp; $AO$275 &amp; $AL140),0))))/1024)</f>
        <v/>
      </c>
      <c r="K140" s="22" t="str">
        <f ca="1">IF(ISERROR(MATCH(L$1,INDIRECT("Table!A"&amp;$AL140):INDIRECT("Table!" &amp; $AO$275 &amp; $AL140),0)),"",INDIRECT(CONCATENATE("Table!",ADDRESS(#REF!,MATCH(L$1,INDIRECT("Table!A" &amp; $AL140):INDIRECT("Table!" &amp; $AO$275 &amp; $AL140),0))))/1024)</f>
        <v/>
      </c>
      <c r="L140" s="22" t="str">
        <f ca="1">IF(ISERROR(MATCH(M$1,INDIRECT("Table!A"&amp;$AL140):INDIRECT("Table!" &amp; $AO$275 &amp; $AL140),0)),"",INDIRECT(CONCATENATE("Table!",ADDRESS(#REF!,MATCH(M$1,INDIRECT("Table!A" &amp; $AL140):INDIRECT("Table!" &amp; $AO$275 &amp; $AL140),0))))/1024)</f>
        <v/>
      </c>
      <c r="M140" s="22" t="str">
        <f ca="1">IF(ISERROR(MATCH(N$1,INDIRECT("Table!A"&amp;$AL140):INDIRECT("Table!" &amp; $AO$275 &amp; $AL140),0)),"",INDIRECT(CONCATENATE("Table!",ADDRESS(#REF!,MATCH(N$1,INDIRECT("Table!A" &amp; $AL140):INDIRECT("Table!" &amp; $AO$275 &amp; $AL140),0))))/1024)</f>
        <v/>
      </c>
      <c r="N140" s="22" t="str">
        <f ca="1">IF(ISERROR(MATCH(O$1,INDIRECT("Table!A"&amp;$AL140):INDIRECT("Table!" &amp; $AO$275 &amp; $AL140),0)),"",INDIRECT(CONCATENATE("Table!",ADDRESS(#REF!,MATCH(O$1,INDIRECT("Table!A" &amp; $AL140):INDIRECT("Table!" &amp; $AO$275 &amp; $AL140),0))))/1024)</f>
        <v/>
      </c>
      <c r="O140" s="22"/>
      <c r="P140" s="272"/>
      <c r="Q140" s="22"/>
      <c r="R140" s="197"/>
      <c r="T140" s="595"/>
      <c r="U140" s="197"/>
      <c r="AJ140" s="197"/>
      <c r="AK140" s="197"/>
      <c r="AL140" s="22"/>
      <c r="AM140" s="197"/>
      <c r="AN140" s="197"/>
      <c r="AO140" s="29"/>
    </row>
    <row r="141" spans="2:41" x14ac:dyDescent="0.25">
      <c r="B141" s="22" t="str">
        <f ca="1">IF(ISERROR(MATCH(B$1,INDIRECT("Table!A"&amp;$AL141):INDIRECT("Table!" &amp; $AO$275 &amp; $AL141),0)),"",INDIRECT(CONCATENATE("Table!",ADDRESS(#REF!,MATCH(B$1,INDIRECT("Table!A" &amp; $AL141):INDIRECT("Table!" &amp; $AO$275 &amp; $AL141),0))))/1024)</f>
        <v/>
      </c>
      <c r="C141" s="22" t="str">
        <f ca="1">IF(ISERROR(MATCH(C$1,INDIRECT("Table!A"&amp;$AL141):INDIRECT("Table!" &amp; $AO$275 &amp; $AL141),0)),"",INDIRECT(CONCATENATE("Table!",ADDRESS(#REF!,MATCH(C$1,INDIRECT("Table!A" &amp; $AL141):INDIRECT("Table!" &amp; $AO$275 &amp; $AL141),0))))/1024)</f>
        <v/>
      </c>
      <c r="D141" s="22" t="str">
        <f ca="1">IF(ISERROR(MATCH(D$1,INDIRECT("Table!A"&amp;$AL141):INDIRECT("Table!" &amp; $AO$275 &amp; $AL141),0)),"",INDIRECT(CONCATENATE("Table!",ADDRESS(#REF!,MATCH(D$1,INDIRECT("Table!A" &amp; $AL141):INDIRECT("Table!" &amp; $AO$275 &amp; $AL141),0))))/1024)</f>
        <v/>
      </c>
      <c r="E141" s="22" t="str">
        <f ca="1">IF(ISERROR(MATCH(E$1,INDIRECT("Table!A"&amp;$AL141):INDIRECT("Table!" &amp; $AO$275 &amp; $AL141),0)),"",INDIRECT(CONCATENATE("Table!",ADDRESS(#REF!,MATCH(E$1,INDIRECT("Table!A" &amp; $AL141):INDIRECT("Table!" &amp; $AO$275 &amp; $AL141),0))))/1024)</f>
        <v/>
      </c>
      <c r="F141" s="22" t="str">
        <f ca="1">IF(ISERROR(MATCH(F$1,INDIRECT("Table!A"&amp;$AL141):INDIRECT("Table!" &amp; $AO$275 &amp; $AL141),0)),"",INDIRECT(CONCATENATE("Table!",ADDRESS(#REF!,MATCH(F$1,INDIRECT("Table!A" &amp; $AL141):INDIRECT("Table!" &amp; $AO$275 &amp; $AL141),0))))/1024)</f>
        <v/>
      </c>
      <c r="G141" s="22" t="str">
        <f ca="1">IF(ISERROR(MATCH(G$1,INDIRECT("Table!A"&amp;$AL141):INDIRECT("Table!" &amp; $AO$275 &amp; $AL141),0)),"",INDIRECT(CONCATENATE("Table!",ADDRESS(#REF!,MATCH(G$1,INDIRECT("Table!A" &amp; $AL141):INDIRECT("Table!" &amp; $AO$275 &amp; $AL141),0))))/1024)</f>
        <v/>
      </c>
      <c r="H141" s="22" t="str">
        <f ca="1">IF(ISERROR(MATCH(H$1,INDIRECT("Table!A"&amp;$AL141):INDIRECT("Table!" &amp; $AO$275 &amp; $AL141),0)),"",INDIRECT(CONCATENATE("Table!",ADDRESS(#REF!,MATCH(H$1,INDIRECT("Table!A" &amp; $AL141):INDIRECT("Table!" &amp; $AO$275 &amp; $AL141),0))))/1024)</f>
        <v/>
      </c>
      <c r="K141" s="22" t="str">
        <f ca="1">IF(ISERROR(MATCH(L$1,INDIRECT("Table!A"&amp;$AL141):INDIRECT("Table!" &amp; $AO$275 &amp; $AL141),0)),"",INDIRECT(CONCATENATE("Table!",ADDRESS(#REF!,MATCH(L$1,INDIRECT("Table!A" &amp; $AL141):INDIRECT("Table!" &amp; $AO$275 &amp; $AL141),0))))/1024)</f>
        <v/>
      </c>
      <c r="L141" s="22" t="str">
        <f ca="1">IF(ISERROR(MATCH(M$1,INDIRECT("Table!A"&amp;$AL141):INDIRECT("Table!" &amp; $AO$275 &amp; $AL141),0)),"",INDIRECT(CONCATENATE("Table!",ADDRESS(#REF!,MATCH(M$1,INDIRECT("Table!A" &amp; $AL141):INDIRECT("Table!" &amp; $AO$275 &amp; $AL141),0))))/1024)</f>
        <v/>
      </c>
      <c r="M141" s="22" t="str">
        <f ca="1">IF(ISERROR(MATCH(N$1,INDIRECT("Table!A"&amp;$AL141):INDIRECT("Table!" &amp; $AO$275 &amp; $AL141),0)),"",INDIRECT(CONCATENATE("Table!",ADDRESS(#REF!,MATCH(N$1,INDIRECT("Table!A" &amp; $AL141):INDIRECT("Table!" &amp; $AO$275 &amp; $AL141),0))))/1024)</f>
        <v/>
      </c>
      <c r="N141" s="22" t="str">
        <f ca="1">IF(ISERROR(MATCH(O$1,INDIRECT("Table!A"&amp;$AL141):INDIRECT("Table!" &amp; $AO$275 &amp; $AL141),0)),"",INDIRECT(CONCATENATE("Table!",ADDRESS(#REF!,MATCH(O$1,INDIRECT("Table!A" &amp; $AL141):INDIRECT("Table!" &amp; $AO$275 &amp; $AL141),0))))/1024)</f>
        <v/>
      </c>
      <c r="O141" s="22"/>
      <c r="P141" s="272"/>
      <c r="Q141" s="22"/>
      <c r="R141" s="196"/>
      <c r="T141" s="595"/>
      <c r="U141" s="196"/>
      <c r="AJ141" s="196"/>
      <c r="AK141" s="196"/>
      <c r="AL141" s="22"/>
      <c r="AM141" s="196"/>
      <c r="AN141" s="196"/>
      <c r="AO141" s="29"/>
    </row>
    <row r="142" spans="2:41" x14ac:dyDescent="0.25">
      <c r="B142" s="22" t="str">
        <f ca="1">IF(ISERROR(MATCH(B$1,INDIRECT("Table!A"&amp;$AL142):INDIRECT("Table!" &amp; $AO$275 &amp; $AL142),0)),"",INDIRECT(CONCATENATE("Table!",ADDRESS(#REF!,MATCH(B$1,INDIRECT("Table!A" &amp; $AL142):INDIRECT("Table!" &amp; $AO$275 &amp; $AL142),0))))/1024)</f>
        <v/>
      </c>
      <c r="C142" s="22" t="str">
        <f ca="1">IF(ISERROR(MATCH(C$1,INDIRECT("Table!A"&amp;$AL142):INDIRECT("Table!" &amp; $AO$275 &amp; $AL142),0)),"",INDIRECT(CONCATENATE("Table!",ADDRESS(#REF!,MATCH(C$1,INDIRECT("Table!A" &amp; $AL142):INDIRECT("Table!" &amp; $AO$275 &amp; $AL142),0))))/1024)</f>
        <v/>
      </c>
      <c r="D142" s="22" t="str">
        <f ca="1">IF(ISERROR(MATCH(D$1,INDIRECT("Table!A"&amp;$AL142):INDIRECT("Table!" &amp; $AO$275 &amp; $AL142),0)),"",INDIRECT(CONCATENATE("Table!",ADDRESS(#REF!,MATCH(D$1,INDIRECT("Table!A" &amp; $AL142):INDIRECT("Table!" &amp; $AO$275 &amp; $AL142),0))))/1024)</f>
        <v/>
      </c>
      <c r="E142" s="22" t="str">
        <f ca="1">IF(ISERROR(MATCH(E$1,INDIRECT("Table!A"&amp;$AL142):INDIRECT("Table!" &amp; $AO$275 &amp; $AL142),0)),"",INDIRECT(CONCATENATE("Table!",ADDRESS(#REF!,MATCH(E$1,INDIRECT("Table!A" &amp; $AL142):INDIRECT("Table!" &amp; $AO$275 &amp; $AL142),0))))/1024)</f>
        <v/>
      </c>
      <c r="F142" s="22" t="str">
        <f ca="1">IF(ISERROR(MATCH(F$1,INDIRECT("Table!A"&amp;$AL142):INDIRECT("Table!" &amp; $AO$275 &amp; $AL142),0)),"",INDIRECT(CONCATENATE("Table!",ADDRESS(#REF!,MATCH(F$1,INDIRECT("Table!A" &amp; $AL142):INDIRECT("Table!" &amp; $AO$275 &amp; $AL142),0))))/1024)</f>
        <v/>
      </c>
      <c r="G142" s="22" t="str">
        <f ca="1">IF(ISERROR(MATCH(G$1,INDIRECT("Table!A"&amp;$AL142):INDIRECT("Table!" &amp; $AO$275 &amp; $AL142),0)),"",INDIRECT(CONCATENATE("Table!",ADDRESS(#REF!,MATCH(G$1,INDIRECT("Table!A" &amp; $AL142):INDIRECT("Table!" &amp; $AO$275 &amp; $AL142),0))))/1024)</f>
        <v/>
      </c>
      <c r="H142" s="22" t="str">
        <f ca="1">IF(ISERROR(MATCH(H$1,INDIRECT("Table!A"&amp;$AL142):INDIRECT("Table!" &amp; $AO$275 &amp; $AL142),0)),"",INDIRECT(CONCATENATE("Table!",ADDRESS(#REF!,MATCH(H$1,INDIRECT("Table!A" &amp; $AL142):INDIRECT("Table!" &amp; $AO$275 &amp; $AL142),0))))/1024)</f>
        <v/>
      </c>
      <c r="K142" s="22" t="str">
        <f ca="1">IF(ISERROR(MATCH(L$1,INDIRECT("Table!A"&amp;$AL142):INDIRECT("Table!" &amp; $AO$275 &amp; $AL142),0)),"",INDIRECT(CONCATENATE("Table!",ADDRESS(#REF!,MATCH(L$1,INDIRECT("Table!A" &amp; $AL142):INDIRECT("Table!" &amp; $AO$275 &amp; $AL142),0))))/1024)</f>
        <v/>
      </c>
      <c r="L142" s="22" t="str">
        <f ca="1">IF(ISERROR(MATCH(M$1,INDIRECT("Table!A"&amp;$AL142):INDIRECT("Table!" &amp; $AO$275 &amp; $AL142),0)),"",INDIRECT(CONCATENATE("Table!",ADDRESS(#REF!,MATCH(M$1,INDIRECT("Table!A" &amp; $AL142):INDIRECT("Table!" &amp; $AO$275 &amp; $AL142),0))))/1024)</f>
        <v/>
      </c>
      <c r="M142" s="22" t="str">
        <f ca="1">IF(ISERROR(MATCH(N$1,INDIRECT("Table!A"&amp;$AL142):INDIRECT("Table!" &amp; $AO$275 &amp; $AL142),0)),"",INDIRECT(CONCATENATE("Table!",ADDRESS(#REF!,MATCH(N$1,INDIRECT("Table!A" &amp; $AL142):INDIRECT("Table!" &amp; $AO$275 &amp; $AL142),0))))/1024)</f>
        <v/>
      </c>
      <c r="N142" s="22" t="str">
        <f ca="1">IF(ISERROR(MATCH(O$1,INDIRECT("Table!A"&amp;$AL142):INDIRECT("Table!" &amp; $AO$275 &amp; $AL142),0)),"",INDIRECT(CONCATENATE("Table!",ADDRESS(#REF!,MATCH(O$1,INDIRECT("Table!A" &amp; $AL142):INDIRECT("Table!" &amp; $AO$275 &amp; $AL142),0))))/1024)</f>
        <v/>
      </c>
      <c r="O142" s="22"/>
      <c r="P142" s="272"/>
      <c r="Q142" s="22"/>
      <c r="R142" s="195"/>
      <c r="T142" s="595"/>
      <c r="U142" s="195"/>
      <c r="AJ142" s="195"/>
      <c r="AK142" s="195"/>
      <c r="AL142" s="22"/>
      <c r="AM142" s="195"/>
      <c r="AN142" s="195"/>
      <c r="AO142" s="29"/>
    </row>
    <row r="143" spans="2:41" x14ac:dyDescent="0.25">
      <c r="B143" s="22" t="str">
        <f ca="1">IF(ISERROR(MATCH(B$1,INDIRECT("Table!A"&amp;$AL143):INDIRECT("Table!" &amp; $AO$275 &amp; $AL143),0)),"",INDIRECT(CONCATENATE("Table!",ADDRESS(#REF!,MATCH(B$1,INDIRECT("Table!A" &amp; $AL143):INDIRECT("Table!" &amp; $AO$275 &amp; $AL143),0))))/1024)</f>
        <v/>
      </c>
      <c r="C143" s="22" t="str">
        <f ca="1">IF(ISERROR(MATCH(C$1,INDIRECT("Table!A"&amp;$AL143):INDIRECT("Table!" &amp; $AO$275 &amp; $AL143),0)),"",INDIRECT(CONCATENATE("Table!",ADDRESS(#REF!,MATCH(C$1,INDIRECT("Table!A" &amp; $AL143):INDIRECT("Table!" &amp; $AO$275 &amp; $AL143),0))))/1024)</f>
        <v/>
      </c>
      <c r="D143" s="22" t="str">
        <f ca="1">IF(ISERROR(MATCH(D$1,INDIRECT("Table!A"&amp;$AL143):INDIRECT("Table!" &amp; $AO$275 &amp; $AL143),0)),"",INDIRECT(CONCATENATE("Table!",ADDRESS(#REF!,MATCH(D$1,INDIRECT("Table!A" &amp; $AL143):INDIRECT("Table!" &amp; $AO$275 &amp; $AL143),0))))/1024)</f>
        <v/>
      </c>
      <c r="E143" s="22" t="str">
        <f ca="1">IF(ISERROR(MATCH(E$1,INDIRECT("Table!A"&amp;$AL143):INDIRECT("Table!" &amp; $AO$275 &amp; $AL143),0)),"",INDIRECT(CONCATENATE("Table!",ADDRESS(#REF!,MATCH(E$1,INDIRECT("Table!A" &amp; $AL143):INDIRECT("Table!" &amp; $AO$275 &amp; $AL143),0))))/1024)</f>
        <v/>
      </c>
      <c r="F143" s="22" t="str">
        <f ca="1">IF(ISERROR(MATCH(F$1,INDIRECT("Table!A"&amp;$AL143):INDIRECT("Table!" &amp; $AO$275 &amp; $AL143),0)),"",INDIRECT(CONCATENATE("Table!",ADDRESS(#REF!,MATCH(F$1,INDIRECT("Table!A" &amp; $AL143):INDIRECT("Table!" &amp; $AO$275 &amp; $AL143),0))))/1024)</f>
        <v/>
      </c>
      <c r="G143" s="22" t="str">
        <f ca="1">IF(ISERROR(MATCH(G$1,INDIRECT("Table!A"&amp;$AL143):INDIRECT("Table!" &amp; $AO$275 &amp; $AL143),0)),"",INDIRECT(CONCATENATE("Table!",ADDRESS(#REF!,MATCH(G$1,INDIRECT("Table!A" &amp; $AL143):INDIRECT("Table!" &amp; $AO$275 &amp; $AL143),0))))/1024)</f>
        <v/>
      </c>
      <c r="H143" s="22" t="str">
        <f ca="1">IF(ISERROR(MATCH(H$1,INDIRECT("Table!A"&amp;$AL143):INDIRECT("Table!" &amp; $AO$275 &amp; $AL143),0)),"",INDIRECT(CONCATENATE("Table!",ADDRESS(#REF!,MATCH(H$1,INDIRECT("Table!A" &amp; $AL143):INDIRECT("Table!" &amp; $AO$275 &amp; $AL143),0))))/1024)</f>
        <v/>
      </c>
      <c r="K143" s="22" t="str">
        <f ca="1">IF(ISERROR(MATCH(L$1,INDIRECT("Table!A"&amp;$AL143):INDIRECT("Table!" &amp; $AO$275 &amp; $AL143),0)),"",INDIRECT(CONCATENATE("Table!",ADDRESS(#REF!,MATCH(L$1,INDIRECT("Table!A" &amp; $AL143):INDIRECT("Table!" &amp; $AO$275 &amp; $AL143),0))))/1024)</f>
        <v/>
      </c>
      <c r="L143" s="22" t="str">
        <f ca="1">IF(ISERROR(MATCH(M$1,INDIRECT("Table!A"&amp;$AL143):INDIRECT("Table!" &amp; $AO$275 &amp; $AL143),0)),"",INDIRECT(CONCATENATE("Table!",ADDRESS(#REF!,MATCH(M$1,INDIRECT("Table!A" &amp; $AL143):INDIRECT("Table!" &amp; $AO$275 &amp; $AL143),0))))/1024)</f>
        <v/>
      </c>
      <c r="M143" s="22" t="str">
        <f ca="1">IF(ISERROR(MATCH(N$1,INDIRECT("Table!A"&amp;$AL143):INDIRECT("Table!" &amp; $AO$275 &amp; $AL143),0)),"",INDIRECT(CONCATENATE("Table!",ADDRESS(#REF!,MATCH(N$1,INDIRECT("Table!A" &amp; $AL143):INDIRECT("Table!" &amp; $AO$275 &amp; $AL143),0))))/1024)</f>
        <v/>
      </c>
      <c r="N143" s="22" t="str">
        <f ca="1">IF(ISERROR(MATCH(O$1,INDIRECT("Table!A"&amp;$AL143):INDIRECT("Table!" &amp; $AO$275 &amp; $AL143),0)),"",INDIRECT(CONCATENATE("Table!",ADDRESS(#REF!,MATCH(O$1,INDIRECT("Table!A" &amp; $AL143):INDIRECT("Table!" &amp; $AO$275 &amp; $AL143),0))))/1024)</f>
        <v/>
      </c>
      <c r="O143" s="22"/>
      <c r="P143" s="272"/>
      <c r="Q143" s="22"/>
      <c r="R143" s="195"/>
      <c r="T143" s="595"/>
      <c r="U143" s="195"/>
      <c r="AJ143" s="195"/>
      <c r="AK143" s="195"/>
      <c r="AL143" s="22"/>
      <c r="AM143" s="195"/>
      <c r="AN143" s="195"/>
      <c r="AO143" s="29"/>
    </row>
    <row r="144" spans="2:41" x14ac:dyDescent="0.25">
      <c r="B144" s="22" t="str">
        <f ca="1">IF(ISERROR(MATCH(B$1,INDIRECT("Table!A"&amp;$AL144):INDIRECT("Table!" &amp; $AO$275 &amp; $AL144),0)),"",INDIRECT(CONCATENATE("Table!",ADDRESS(#REF!,MATCH(B$1,INDIRECT("Table!A" &amp; $AL144):INDIRECT("Table!" &amp; $AO$275 &amp; $AL144),0))))/1024)</f>
        <v/>
      </c>
      <c r="C144" s="22" t="str">
        <f ca="1">IF(ISERROR(MATCH(C$1,INDIRECT("Table!A"&amp;$AL144):INDIRECT("Table!" &amp; $AO$275 &amp; $AL144),0)),"",INDIRECT(CONCATENATE("Table!",ADDRESS(#REF!,MATCH(C$1,INDIRECT("Table!A" &amp; $AL144):INDIRECT("Table!" &amp; $AO$275 &amp; $AL144),0))))/1024)</f>
        <v/>
      </c>
      <c r="D144" s="22" t="str">
        <f ca="1">IF(ISERROR(MATCH(D$1,INDIRECT("Table!A"&amp;$AL144):INDIRECT("Table!" &amp; $AO$275 &amp; $AL144),0)),"",INDIRECT(CONCATENATE("Table!",ADDRESS(#REF!,MATCH(D$1,INDIRECT("Table!A" &amp; $AL144):INDIRECT("Table!" &amp; $AO$275 &amp; $AL144),0))))/1024)</f>
        <v/>
      </c>
      <c r="E144" s="22" t="str">
        <f ca="1">IF(ISERROR(MATCH(E$1,INDIRECT("Table!A"&amp;$AL144):INDIRECT("Table!" &amp; $AO$275 &amp; $AL144),0)),"",INDIRECT(CONCATENATE("Table!",ADDRESS(#REF!,MATCH(E$1,INDIRECT("Table!A" &amp; $AL144):INDIRECT("Table!" &amp; $AO$275 &amp; $AL144),0))))/1024)</f>
        <v/>
      </c>
      <c r="F144" s="22" t="str">
        <f ca="1">IF(ISERROR(MATCH(F$1,INDIRECT("Table!A"&amp;$AL144):INDIRECT("Table!" &amp; $AO$275 &amp; $AL144),0)),"",INDIRECT(CONCATENATE("Table!",ADDRESS(#REF!,MATCH(F$1,INDIRECT("Table!A" &amp; $AL144):INDIRECT("Table!" &amp; $AO$275 &amp; $AL144),0))))/1024)</f>
        <v/>
      </c>
      <c r="G144" s="22" t="str">
        <f ca="1">IF(ISERROR(MATCH(G$1,INDIRECT("Table!A"&amp;$AL144):INDIRECT("Table!" &amp; $AO$275 &amp; $AL144),0)),"",INDIRECT(CONCATENATE("Table!",ADDRESS(#REF!,MATCH(G$1,INDIRECT("Table!A" &amp; $AL144):INDIRECT("Table!" &amp; $AO$275 &amp; $AL144),0))))/1024)</f>
        <v/>
      </c>
      <c r="H144" s="22" t="str">
        <f ca="1">IF(ISERROR(MATCH(H$1,INDIRECT("Table!A"&amp;$AL144):INDIRECT("Table!" &amp; $AO$275 &amp; $AL144),0)),"",INDIRECT(CONCATENATE("Table!",ADDRESS(#REF!,MATCH(H$1,INDIRECT("Table!A" &amp; $AL144):INDIRECT("Table!" &amp; $AO$275 &amp; $AL144),0))))/1024)</f>
        <v/>
      </c>
      <c r="K144" s="22" t="str">
        <f ca="1">IF(ISERROR(MATCH(L$1,INDIRECT("Table!A"&amp;$AL144):INDIRECT("Table!" &amp; $AO$275 &amp; $AL144),0)),"",INDIRECT(CONCATENATE("Table!",ADDRESS(#REF!,MATCH(L$1,INDIRECT("Table!A" &amp; $AL144):INDIRECT("Table!" &amp; $AO$275 &amp; $AL144),0))))/1024)</f>
        <v/>
      </c>
      <c r="L144" s="22" t="str">
        <f ca="1">IF(ISERROR(MATCH(M$1,INDIRECT("Table!A"&amp;$AL144):INDIRECT("Table!" &amp; $AO$275 &amp; $AL144),0)),"",INDIRECT(CONCATENATE("Table!",ADDRESS(#REF!,MATCH(M$1,INDIRECT("Table!A" &amp; $AL144):INDIRECT("Table!" &amp; $AO$275 &amp; $AL144),0))))/1024)</f>
        <v/>
      </c>
      <c r="M144" s="22" t="str">
        <f ca="1">IF(ISERROR(MATCH(N$1,INDIRECT("Table!A"&amp;$AL144):INDIRECT("Table!" &amp; $AO$275 &amp; $AL144),0)),"",INDIRECT(CONCATENATE("Table!",ADDRESS(#REF!,MATCH(N$1,INDIRECT("Table!A" &amp; $AL144):INDIRECT("Table!" &amp; $AO$275 &amp; $AL144),0))))/1024)</f>
        <v/>
      </c>
      <c r="N144" s="22" t="str">
        <f ca="1">IF(ISERROR(MATCH(O$1,INDIRECT("Table!A"&amp;$AL144):INDIRECT("Table!" &amp; $AO$275 &amp; $AL144),0)),"",INDIRECT(CONCATENATE("Table!",ADDRESS(#REF!,MATCH(O$1,INDIRECT("Table!A" &amp; $AL144):INDIRECT("Table!" &amp; $AO$275 &amp; $AL144),0))))/1024)</f>
        <v/>
      </c>
      <c r="O144" s="22"/>
      <c r="P144" s="272"/>
      <c r="Q144" s="22"/>
      <c r="R144" s="194"/>
      <c r="T144" s="595"/>
      <c r="U144" s="194"/>
      <c r="AJ144" s="194"/>
      <c r="AK144" s="194"/>
      <c r="AL144" s="22"/>
      <c r="AM144" s="194"/>
      <c r="AN144" s="194"/>
      <c r="AO144" s="29"/>
    </row>
    <row r="145" spans="2:41" x14ac:dyDescent="0.25">
      <c r="B145" s="22" t="str">
        <f ca="1">IF(ISERROR(MATCH(B$1,INDIRECT("Table!A"&amp;$AL145):INDIRECT("Table!" &amp; $AO$275 &amp; $AL145),0)),"",INDIRECT(CONCATENATE("Table!",ADDRESS(#REF!,MATCH(B$1,INDIRECT("Table!A" &amp; $AL145):INDIRECT("Table!" &amp; $AO$275 &amp; $AL145),0))))/1024)</f>
        <v/>
      </c>
      <c r="C145" s="22" t="str">
        <f ca="1">IF(ISERROR(MATCH(C$1,INDIRECT("Table!A"&amp;$AL145):INDIRECT("Table!" &amp; $AO$275 &amp; $AL145),0)),"",INDIRECT(CONCATENATE("Table!",ADDRESS(#REF!,MATCH(C$1,INDIRECT("Table!A" &amp; $AL145):INDIRECT("Table!" &amp; $AO$275 &amp; $AL145),0))))/1024)</f>
        <v/>
      </c>
      <c r="D145" s="22" t="str">
        <f ca="1">IF(ISERROR(MATCH(D$1,INDIRECT("Table!A"&amp;$AL145):INDIRECT("Table!" &amp; $AO$275 &amp; $AL145),0)),"",INDIRECT(CONCATENATE("Table!",ADDRESS(#REF!,MATCH(D$1,INDIRECT("Table!A" &amp; $AL145):INDIRECT("Table!" &amp; $AO$275 &amp; $AL145),0))))/1024)</f>
        <v/>
      </c>
      <c r="E145" s="22" t="str">
        <f ca="1">IF(ISERROR(MATCH(E$1,INDIRECT("Table!A"&amp;$AL145):INDIRECT("Table!" &amp; $AO$275 &amp; $AL145),0)),"",INDIRECT(CONCATENATE("Table!",ADDRESS(#REF!,MATCH(E$1,INDIRECT("Table!A" &amp; $AL145):INDIRECT("Table!" &amp; $AO$275 &amp; $AL145),0))))/1024)</f>
        <v/>
      </c>
      <c r="F145" s="22" t="str">
        <f ca="1">IF(ISERROR(MATCH(F$1,INDIRECT("Table!A"&amp;$AL145):INDIRECT("Table!" &amp; $AO$275 &amp; $AL145),0)),"",INDIRECT(CONCATENATE("Table!",ADDRESS(#REF!,MATCH(F$1,INDIRECT("Table!A" &amp; $AL145):INDIRECT("Table!" &amp; $AO$275 &amp; $AL145),0))))/1024)</f>
        <v/>
      </c>
      <c r="G145" s="22" t="str">
        <f ca="1">IF(ISERROR(MATCH(G$1,INDIRECT("Table!A"&amp;$AL145):INDIRECT("Table!" &amp; $AO$275 &amp; $AL145),0)),"",INDIRECT(CONCATENATE("Table!",ADDRESS(#REF!,MATCH(G$1,INDIRECT("Table!A" &amp; $AL145):INDIRECT("Table!" &amp; $AO$275 &amp; $AL145),0))))/1024)</f>
        <v/>
      </c>
      <c r="H145" s="22" t="str">
        <f ca="1">IF(ISERROR(MATCH(H$1,INDIRECT("Table!A"&amp;$AL145):INDIRECT("Table!" &amp; $AO$275 &amp; $AL145),0)),"",INDIRECT(CONCATENATE("Table!",ADDRESS(#REF!,MATCH(H$1,INDIRECT("Table!A" &amp; $AL145):INDIRECT("Table!" &amp; $AO$275 &amp; $AL145),0))))/1024)</f>
        <v/>
      </c>
      <c r="K145" s="22" t="str">
        <f ca="1">IF(ISERROR(MATCH(L$1,INDIRECT("Table!A"&amp;$AL145):INDIRECT("Table!" &amp; $AO$275 &amp; $AL145),0)),"",INDIRECT(CONCATENATE("Table!",ADDRESS(#REF!,MATCH(L$1,INDIRECT("Table!A" &amp; $AL145):INDIRECT("Table!" &amp; $AO$275 &amp; $AL145),0))))/1024)</f>
        <v/>
      </c>
      <c r="L145" s="22" t="str">
        <f ca="1">IF(ISERROR(MATCH(M$1,INDIRECT("Table!A"&amp;$AL145):INDIRECT("Table!" &amp; $AO$275 &amp; $AL145),0)),"",INDIRECT(CONCATENATE("Table!",ADDRESS(#REF!,MATCH(M$1,INDIRECT("Table!A" &amp; $AL145):INDIRECT("Table!" &amp; $AO$275 &amp; $AL145),0))))/1024)</f>
        <v/>
      </c>
      <c r="M145" s="22" t="str">
        <f ca="1">IF(ISERROR(MATCH(N$1,INDIRECT("Table!A"&amp;$AL145):INDIRECT("Table!" &amp; $AO$275 &amp; $AL145),0)),"",INDIRECT(CONCATENATE("Table!",ADDRESS(#REF!,MATCH(N$1,INDIRECT("Table!A" &amp; $AL145):INDIRECT("Table!" &amp; $AO$275 &amp; $AL145),0))))/1024)</f>
        <v/>
      </c>
      <c r="N145" s="22" t="str">
        <f ca="1">IF(ISERROR(MATCH(O$1,INDIRECT("Table!A"&amp;$AL145):INDIRECT("Table!" &amp; $AO$275 &amp; $AL145),0)),"",INDIRECT(CONCATENATE("Table!",ADDRESS(#REF!,MATCH(O$1,INDIRECT("Table!A" &amp; $AL145):INDIRECT("Table!" &amp; $AO$275 &amp; $AL145),0))))/1024)</f>
        <v/>
      </c>
      <c r="O145" s="22"/>
      <c r="P145" s="272"/>
      <c r="Q145" s="22"/>
      <c r="R145" s="193"/>
      <c r="T145" s="595"/>
      <c r="U145" s="193"/>
      <c r="AJ145" s="193"/>
      <c r="AK145" s="193"/>
      <c r="AL145" s="22"/>
      <c r="AM145" s="193"/>
      <c r="AN145" s="193"/>
      <c r="AO145" s="29"/>
    </row>
    <row r="146" spans="2:41" x14ac:dyDescent="0.25">
      <c r="B146" s="22" t="str">
        <f ca="1">IF(ISERROR(MATCH(B$1,INDIRECT("Table!A"&amp;$AL146):INDIRECT("Table!" &amp; $AO$275 &amp; $AL146),0)),"",INDIRECT(CONCATENATE("Table!",ADDRESS(#REF!,MATCH(B$1,INDIRECT("Table!A" &amp; $AL146):INDIRECT("Table!" &amp; $AO$275 &amp; $AL146),0))))/1024)</f>
        <v/>
      </c>
      <c r="C146" s="22" t="str">
        <f ca="1">IF(ISERROR(MATCH(C$1,INDIRECT("Table!A"&amp;$AL146):INDIRECT("Table!" &amp; $AO$275 &amp; $AL146),0)),"",INDIRECT(CONCATENATE("Table!",ADDRESS(#REF!,MATCH(C$1,INDIRECT("Table!A" &amp; $AL146):INDIRECT("Table!" &amp; $AO$275 &amp; $AL146),0))))/1024)</f>
        <v/>
      </c>
      <c r="D146" s="22" t="str">
        <f ca="1">IF(ISERROR(MATCH(D$1,INDIRECT("Table!A"&amp;$AL146):INDIRECT("Table!" &amp; $AO$275 &amp; $AL146),0)),"",INDIRECT(CONCATENATE("Table!",ADDRESS(#REF!,MATCH(D$1,INDIRECT("Table!A" &amp; $AL146):INDIRECT("Table!" &amp; $AO$275 &amp; $AL146),0))))/1024)</f>
        <v/>
      </c>
      <c r="E146" s="22" t="str">
        <f ca="1">IF(ISERROR(MATCH(E$1,INDIRECT("Table!A"&amp;$AL146):INDIRECT("Table!" &amp; $AO$275 &amp; $AL146),0)),"",INDIRECT(CONCATENATE("Table!",ADDRESS(#REF!,MATCH(E$1,INDIRECT("Table!A" &amp; $AL146):INDIRECT("Table!" &amp; $AO$275 &amp; $AL146),0))))/1024)</f>
        <v/>
      </c>
      <c r="F146" s="22" t="str">
        <f ca="1">IF(ISERROR(MATCH(F$1,INDIRECT("Table!A"&amp;$AL146):INDIRECT("Table!" &amp; $AO$275 &amp; $AL146),0)),"",INDIRECT(CONCATENATE("Table!",ADDRESS(#REF!,MATCH(F$1,INDIRECT("Table!A" &amp; $AL146):INDIRECT("Table!" &amp; $AO$275 &amp; $AL146),0))))/1024)</f>
        <v/>
      </c>
      <c r="G146" s="22" t="str">
        <f ca="1">IF(ISERROR(MATCH(G$1,INDIRECT("Table!A"&amp;$AL146):INDIRECT("Table!" &amp; $AO$275 &amp; $AL146),0)),"",INDIRECT(CONCATENATE("Table!",ADDRESS(#REF!,MATCH(G$1,INDIRECT("Table!A" &amp; $AL146):INDIRECT("Table!" &amp; $AO$275 &amp; $AL146),0))))/1024)</f>
        <v/>
      </c>
      <c r="H146" s="22" t="str">
        <f ca="1">IF(ISERROR(MATCH(H$1,INDIRECT("Table!A"&amp;$AL146):INDIRECT("Table!" &amp; $AO$275 &amp; $AL146),0)),"",INDIRECT(CONCATENATE("Table!",ADDRESS(#REF!,MATCH(H$1,INDIRECT("Table!A" &amp; $AL146):INDIRECT("Table!" &amp; $AO$275 &amp; $AL146),0))))/1024)</f>
        <v/>
      </c>
      <c r="K146" s="22" t="str">
        <f ca="1">IF(ISERROR(MATCH(L$1,INDIRECT("Table!A"&amp;$AL146):INDIRECT("Table!" &amp; $AO$275 &amp; $AL146),0)),"",INDIRECT(CONCATENATE("Table!",ADDRESS(#REF!,MATCH(L$1,INDIRECT("Table!A" &amp; $AL146):INDIRECT("Table!" &amp; $AO$275 &amp; $AL146),0))))/1024)</f>
        <v/>
      </c>
      <c r="L146" s="22" t="str">
        <f ca="1">IF(ISERROR(MATCH(M$1,INDIRECT("Table!A"&amp;$AL146):INDIRECT("Table!" &amp; $AO$275 &amp; $AL146),0)),"",INDIRECT(CONCATENATE("Table!",ADDRESS(#REF!,MATCH(M$1,INDIRECT("Table!A" &amp; $AL146):INDIRECT("Table!" &amp; $AO$275 &amp; $AL146),0))))/1024)</f>
        <v/>
      </c>
      <c r="M146" s="22" t="str">
        <f ca="1">IF(ISERROR(MATCH(N$1,INDIRECT("Table!A"&amp;$AL146):INDIRECT("Table!" &amp; $AO$275 &amp; $AL146),0)),"",INDIRECT(CONCATENATE("Table!",ADDRESS(#REF!,MATCH(N$1,INDIRECT("Table!A" &amp; $AL146):INDIRECT("Table!" &amp; $AO$275 &amp; $AL146),0))))/1024)</f>
        <v/>
      </c>
      <c r="N146" s="22" t="str">
        <f ca="1">IF(ISERROR(MATCH(O$1,INDIRECT("Table!A"&amp;$AL146):INDIRECT("Table!" &amp; $AO$275 &amp; $AL146),0)),"",INDIRECT(CONCATENATE("Table!",ADDRESS(#REF!,MATCH(O$1,INDIRECT("Table!A" &amp; $AL146):INDIRECT("Table!" &amp; $AO$275 &amp; $AL146),0))))/1024)</f>
        <v/>
      </c>
      <c r="O146" s="22"/>
      <c r="P146" s="272"/>
      <c r="Q146" s="22"/>
      <c r="R146" s="192"/>
      <c r="T146" s="595"/>
      <c r="U146" s="192"/>
      <c r="AJ146" s="192"/>
      <c r="AK146" s="192"/>
      <c r="AL146" s="22"/>
      <c r="AM146" s="192"/>
      <c r="AN146" s="192"/>
      <c r="AO146" s="29"/>
    </row>
    <row r="147" spans="2:41" x14ac:dyDescent="0.25">
      <c r="B147" s="22" t="str">
        <f ca="1">IF(ISERROR(MATCH(B$1,INDIRECT("Table!A"&amp;$AL147):INDIRECT("Table!" &amp; $AO$275 &amp; $AL147),0)),"",INDIRECT(CONCATENATE("Table!",ADDRESS(#REF!,MATCH(B$1,INDIRECT("Table!A" &amp; $AL147):INDIRECT("Table!" &amp; $AO$275 &amp; $AL147),0))))/1024)</f>
        <v/>
      </c>
      <c r="C147" s="22" t="str">
        <f ca="1">IF(ISERROR(MATCH(C$1,INDIRECT("Table!A"&amp;$AL147):INDIRECT("Table!" &amp; $AO$275 &amp; $AL147),0)),"",INDIRECT(CONCATENATE("Table!",ADDRESS(#REF!,MATCH(C$1,INDIRECT("Table!A" &amp; $AL147):INDIRECT("Table!" &amp; $AO$275 &amp; $AL147),0))))/1024)</f>
        <v/>
      </c>
      <c r="D147" s="22" t="str">
        <f ca="1">IF(ISERROR(MATCH(D$1,INDIRECT("Table!A"&amp;$AL147):INDIRECT("Table!" &amp; $AO$275 &amp; $AL147),0)),"",INDIRECT(CONCATENATE("Table!",ADDRESS(#REF!,MATCH(D$1,INDIRECT("Table!A" &amp; $AL147):INDIRECT("Table!" &amp; $AO$275 &amp; $AL147),0))))/1024)</f>
        <v/>
      </c>
      <c r="E147" s="22" t="str">
        <f ca="1">IF(ISERROR(MATCH(E$1,INDIRECT("Table!A"&amp;$AL147):INDIRECT("Table!" &amp; $AO$275 &amp; $AL147),0)),"",INDIRECT(CONCATENATE("Table!",ADDRESS(#REF!,MATCH(E$1,INDIRECT("Table!A" &amp; $AL147):INDIRECT("Table!" &amp; $AO$275 &amp; $AL147),0))))/1024)</f>
        <v/>
      </c>
      <c r="F147" s="22" t="str">
        <f ca="1">IF(ISERROR(MATCH(F$1,INDIRECT("Table!A"&amp;$AL147):INDIRECT("Table!" &amp; $AO$275 &amp; $AL147),0)),"",INDIRECT(CONCATENATE("Table!",ADDRESS(#REF!,MATCH(F$1,INDIRECT("Table!A" &amp; $AL147):INDIRECT("Table!" &amp; $AO$275 &amp; $AL147),0))))/1024)</f>
        <v/>
      </c>
      <c r="G147" s="22" t="str">
        <f ca="1">IF(ISERROR(MATCH(G$1,INDIRECT("Table!A"&amp;$AL147):INDIRECT("Table!" &amp; $AO$275 &amp; $AL147),0)),"",INDIRECT(CONCATENATE("Table!",ADDRESS(#REF!,MATCH(G$1,INDIRECT("Table!A" &amp; $AL147):INDIRECT("Table!" &amp; $AO$275 &amp; $AL147),0))))/1024)</f>
        <v/>
      </c>
      <c r="H147" s="22" t="str">
        <f ca="1">IF(ISERROR(MATCH(H$1,INDIRECT("Table!A"&amp;$AL147):INDIRECT("Table!" &amp; $AO$275 &amp; $AL147),0)),"",INDIRECT(CONCATENATE("Table!",ADDRESS(#REF!,MATCH(H$1,INDIRECT("Table!A" &amp; $AL147):INDIRECT("Table!" &amp; $AO$275 &amp; $AL147),0))))/1024)</f>
        <v/>
      </c>
      <c r="K147" s="22" t="str">
        <f ca="1">IF(ISERROR(MATCH(L$1,INDIRECT("Table!A"&amp;$AL147):INDIRECT("Table!" &amp; $AO$275 &amp; $AL147),0)),"",INDIRECT(CONCATENATE("Table!",ADDRESS(#REF!,MATCH(L$1,INDIRECT("Table!A" &amp; $AL147):INDIRECT("Table!" &amp; $AO$275 &amp; $AL147),0))))/1024)</f>
        <v/>
      </c>
      <c r="L147" s="22" t="str">
        <f ca="1">IF(ISERROR(MATCH(M$1,INDIRECT("Table!A"&amp;$AL147):INDIRECT("Table!" &amp; $AO$275 &amp; $AL147),0)),"",INDIRECT(CONCATENATE("Table!",ADDRESS(#REF!,MATCH(M$1,INDIRECT("Table!A" &amp; $AL147):INDIRECT("Table!" &amp; $AO$275 &amp; $AL147),0))))/1024)</f>
        <v/>
      </c>
      <c r="M147" s="22" t="str">
        <f ca="1">IF(ISERROR(MATCH(N$1,INDIRECT("Table!A"&amp;$AL147):INDIRECT("Table!" &amp; $AO$275 &amp; $AL147),0)),"",INDIRECT(CONCATENATE("Table!",ADDRESS(#REF!,MATCH(N$1,INDIRECT("Table!A" &amp; $AL147):INDIRECT("Table!" &amp; $AO$275 &amp; $AL147),0))))/1024)</f>
        <v/>
      </c>
      <c r="N147" s="22" t="str">
        <f ca="1">IF(ISERROR(MATCH(O$1,INDIRECT("Table!A"&amp;$AL147):INDIRECT("Table!" &amp; $AO$275 &amp; $AL147),0)),"",INDIRECT(CONCATENATE("Table!",ADDRESS(#REF!,MATCH(O$1,INDIRECT("Table!A" &amp; $AL147):INDIRECT("Table!" &amp; $AO$275 &amp; $AL147),0))))/1024)</f>
        <v/>
      </c>
      <c r="O147" s="22"/>
      <c r="P147" s="272"/>
      <c r="Q147" s="22"/>
      <c r="R147" s="191"/>
      <c r="T147" s="595"/>
      <c r="U147" s="191"/>
      <c r="AJ147" s="191"/>
      <c r="AK147" s="191"/>
      <c r="AL147" s="22"/>
      <c r="AM147" s="191"/>
      <c r="AN147" s="191"/>
      <c r="AO147" s="29"/>
    </row>
    <row r="148" spans="2:41" x14ac:dyDescent="0.25">
      <c r="B148" s="22" t="str">
        <f ca="1">IF(ISERROR(MATCH(B$1,INDIRECT("Table!A"&amp;$AL148):INDIRECT("Table!" &amp; $AO$275 &amp; $AL148),0)),"",INDIRECT(CONCATENATE("Table!",ADDRESS(#REF!,MATCH(B$1,INDIRECT("Table!A" &amp; $AL148):INDIRECT("Table!" &amp; $AO$275 &amp; $AL148),0))))/1024)</f>
        <v/>
      </c>
      <c r="C148" s="22" t="str">
        <f ca="1">IF(ISERROR(MATCH(C$1,INDIRECT("Table!A"&amp;$AL148):INDIRECT("Table!" &amp; $AO$275 &amp; $AL148),0)),"",INDIRECT(CONCATENATE("Table!",ADDRESS(#REF!,MATCH(C$1,INDIRECT("Table!A" &amp; $AL148):INDIRECT("Table!" &amp; $AO$275 &amp; $AL148),0))))/1024)</f>
        <v/>
      </c>
      <c r="D148" s="22" t="str">
        <f ca="1">IF(ISERROR(MATCH(D$1,INDIRECT("Table!A"&amp;$AL148):INDIRECT("Table!" &amp; $AO$275 &amp; $AL148),0)),"",INDIRECT(CONCATENATE("Table!",ADDRESS(#REF!,MATCH(D$1,INDIRECT("Table!A" &amp; $AL148):INDIRECT("Table!" &amp; $AO$275 &amp; $AL148),0))))/1024)</f>
        <v/>
      </c>
      <c r="E148" s="22" t="str">
        <f ca="1">IF(ISERROR(MATCH(E$1,INDIRECT("Table!A"&amp;$AL148):INDIRECT("Table!" &amp; $AO$275 &amp; $AL148),0)),"",INDIRECT(CONCATENATE("Table!",ADDRESS(#REF!,MATCH(E$1,INDIRECT("Table!A" &amp; $AL148):INDIRECT("Table!" &amp; $AO$275 &amp; $AL148),0))))/1024)</f>
        <v/>
      </c>
      <c r="F148" s="22" t="str">
        <f ca="1">IF(ISERROR(MATCH(F$1,INDIRECT("Table!A"&amp;$AL148):INDIRECT("Table!" &amp; $AO$275 &amp; $AL148),0)),"",INDIRECT(CONCATENATE("Table!",ADDRESS(#REF!,MATCH(F$1,INDIRECT("Table!A" &amp; $AL148):INDIRECT("Table!" &amp; $AO$275 &amp; $AL148),0))))/1024)</f>
        <v/>
      </c>
      <c r="G148" s="22" t="str">
        <f ca="1">IF(ISERROR(MATCH(G$1,INDIRECT("Table!A"&amp;$AL148):INDIRECT("Table!" &amp; $AO$275 &amp; $AL148),0)),"",INDIRECT(CONCATENATE("Table!",ADDRESS(#REF!,MATCH(G$1,INDIRECT("Table!A" &amp; $AL148):INDIRECT("Table!" &amp; $AO$275 &amp; $AL148),0))))/1024)</f>
        <v/>
      </c>
      <c r="H148" s="22" t="str">
        <f ca="1">IF(ISERROR(MATCH(H$1,INDIRECT("Table!A"&amp;$AL148):INDIRECT("Table!" &amp; $AO$275 &amp; $AL148),0)),"",INDIRECT(CONCATENATE("Table!",ADDRESS(#REF!,MATCH(H$1,INDIRECT("Table!A" &amp; $AL148):INDIRECT("Table!" &amp; $AO$275 &amp; $AL148),0))))/1024)</f>
        <v/>
      </c>
      <c r="K148" s="22" t="str">
        <f ca="1">IF(ISERROR(MATCH(L$1,INDIRECT("Table!A"&amp;$AL148):INDIRECT("Table!" &amp; $AO$275 &amp; $AL148),0)),"",INDIRECT(CONCATENATE("Table!",ADDRESS(#REF!,MATCH(L$1,INDIRECT("Table!A" &amp; $AL148):INDIRECT("Table!" &amp; $AO$275 &amp; $AL148),0))))/1024)</f>
        <v/>
      </c>
      <c r="L148" s="22" t="str">
        <f ca="1">IF(ISERROR(MATCH(M$1,INDIRECT("Table!A"&amp;$AL148):INDIRECT("Table!" &amp; $AO$275 &amp; $AL148),0)),"",INDIRECT(CONCATENATE("Table!",ADDRESS(#REF!,MATCH(M$1,INDIRECT("Table!A" &amp; $AL148):INDIRECT("Table!" &amp; $AO$275 &amp; $AL148),0))))/1024)</f>
        <v/>
      </c>
      <c r="M148" s="22" t="str">
        <f ca="1">IF(ISERROR(MATCH(N$1,INDIRECT("Table!A"&amp;$AL148):INDIRECT("Table!" &amp; $AO$275 &amp; $AL148),0)),"",INDIRECT(CONCATENATE("Table!",ADDRESS(#REF!,MATCH(N$1,INDIRECT("Table!A" &amp; $AL148):INDIRECT("Table!" &amp; $AO$275 &amp; $AL148),0))))/1024)</f>
        <v/>
      </c>
      <c r="N148" s="22" t="str">
        <f ca="1">IF(ISERROR(MATCH(O$1,INDIRECT("Table!A"&amp;$AL148):INDIRECT("Table!" &amp; $AO$275 &amp; $AL148),0)),"",INDIRECT(CONCATENATE("Table!",ADDRESS(#REF!,MATCH(O$1,INDIRECT("Table!A" &amp; $AL148):INDIRECT("Table!" &amp; $AO$275 &amp; $AL148),0))))/1024)</f>
        <v/>
      </c>
      <c r="O148" s="22"/>
      <c r="P148" s="272"/>
      <c r="Q148" s="22"/>
      <c r="R148" s="190"/>
      <c r="T148" s="595"/>
      <c r="U148" s="190"/>
      <c r="AJ148" s="190"/>
      <c r="AK148" s="190"/>
      <c r="AL148" s="22"/>
      <c r="AM148" s="190"/>
      <c r="AN148" s="190"/>
      <c r="AO148" s="29"/>
    </row>
    <row r="149" spans="2:41" x14ac:dyDescent="0.25">
      <c r="B149" s="22" t="str">
        <f ca="1">IF(ISERROR(MATCH(B$1,INDIRECT("Table!A"&amp;$AL149):INDIRECT("Table!" &amp; $AO$275 &amp; $AL149),0)),"",INDIRECT(CONCATENATE("Table!",ADDRESS(#REF!,MATCH(B$1,INDIRECT("Table!A" &amp; $AL149):INDIRECT("Table!" &amp; $AO$275 &amp; $AL149),0))))/1024)</f>
        <v/>
      </c>
      <c r="C149" s="22" t="str">
        <f ca="1">IF(ISERROR(MATCH(C$1,INDIRECT("Table!A"&amp;$AL149):INDIRECT("Table!" &amp; $AO$275 &amp; $AL149),0)),"",INDIRECT(CONCATENATE("Table!",ADDRESS(#REF!,MATCH(C$1,INDIRECT("Table!A" &amp; $AL149):INDIRECT("Table!" &amp; $AO$275 &amp; $AL149),0))))/1024)</f>
        <v/>
      </c>
      <c r="D149" s="22" t="str">
        <f ca="1">IF(ISERROR(MATCH(D$1,INDIRECT("Table!A"&amp;$AL149):INDIRECT("Table!" &amp; $AO$275 &amp; $AL149),0)),"",INDIRECT(CONCATENATE("Table!",ADDRESS(#REF!,MATCH(D$1,INDIRECT("Table!A" &amp; $AL149):INDIRECT("Table!" &amp; $AO$275 &amp; $AL149),0))))/1024)</f>
        <v/>
      </c>
      <c r="E149" s="22" t="str">
        <f ca="1">IF(ISERROR(MATCH(E$1,INDIRECT("Table!A"&amp;$AL149):INDIRECT("Table!" &amp; $AO$275 &amp; $AL149),0)),"",INDIRECT(CONCATENATE("Table!",ADDRESS(#REF!,MATCH(E$1,INDIRECT("Table!A" &amp; $AL149):INDIRECT("Table!" &amp; $AO$275 &amp; $AL149),0))))/1024)</f>
        <v/>
      </c>
      <c r="F149" s="22" t="str">
        <f ca="1">IF(ISERROR(MATCH(F$1,INDIRECT("Table!A"&amp;$AL149):INDIRECT("Table!" &amp; $AO$275 &amp; $AL149),0)),"",INDIRECT(CONCATENATE("Table!",ADDRESS(#REF!,MATCH(F$1,INDIRECT("Table!A" &amp; $AL149):INDIRECT("Table!" &amp; $AO$275 &amp; $AL149),0))))/1024)</f>
        <v/>
      </c>
      <c r="G149" s="22" t="str">
        <f ca="1">IF(ISERROR(MATCH(G$1,INDIRECT("Table!A"&amp;$AL149):INDIRECT("Table!" &amp; $AO$275 &amp; $AL149),0)),"",INDIRECT(CONCATENATE("Table!",ADDRESS(#REF!,MATCH(G$1,INDIRECT("Table!A" &amp; $AL149):INDIRECT("Table!" &amp; $AO$275 &amp; $AL149),0))))/1024)</f>
        <v/>
      </c>
      <c r="H149" s="22" t="str">
        <f ca="1">IF(ISERROR(MATCH(H$1,INDIRECT("Table!A"&amp;$AL149):INDIRECT("Table!" &amp; $AO$275 &amp; $AL149),0)),"",INDIRECT(CONCATENATE("Table!",ADDRESS(#REF!,MATCH(H$1,INDIRECT("Table!A" &amp; $AL149):INDIRECT("Table!" &amp; $AO$275 &amp; $AL149),0))))/1024)</f>
        <v/>
      </c>
      <c r="K149" s="22" t="str">
        <f ca="1">IF(ISERROR(MATCH(L$1,INDIRECT("Table!A"&amp;$AL149):INDIRECT("Table!" &amp; $AO$275 &amp; $AL149),0)),"",INDIRECT(CONCATENATE("Table!",ADDRESS(#REF!,MATCH(L$1,INDIRECT("Table!A" &amp; $AL149):INDIRECT("Table!" &amp; $AO$275 &amp; $AL149),0))))/1024)</f>
        <v/>
      </c>
      <c r="L149" s="22" t="str">
        <f ca="1">IF(ISERROR(MATCH(M$1,INDIRECT("Table!A"&amp;$AL149):INDIRECT("Table!" &amp; $AO$275 &amp; $AL149),0)),"",INDIRECT(CONCATENATE("Table!",ADDRESS(#REF!,MATCH(M$1,INDIRECT("Table!A" &amp; $AL149):INDIRECT("Table!" &amp; $AO$275 &amp; $AL149),0))))/1024)</f>
        <v/>
      </c>
      <c r="M149" s="22" t="str">
        <f ca="1">IF(ISERROR(MATCH(N$1,INDIRECT("Table!A"&amp;$AL149):INDIRECT("Table!" &amp; $AO$275 &amp; $AL149),0)),"",INDIRECT(CONCATENATE("Table!",ADDRESS(#REF!,MATCH(N$1,INDIRECT("Table!A" &amp; $AL149):INDIRECT("Table!" &amp; $AO$275 &amp; $AL149),0))))/1024)</f>
        <v/>
      </c>
      <c r="N149" s="22" t="str">
        <f ca="1">IF(ISERROR(MATCH(O$1,INDIRECT("Table!A"&amp;$AL149):INDIRECT("Table!" &amp; $AO$275 &amp; $AL149),0)),"",INDIRECT(CONCATENATE("Table!",ADDRESS(#REF!,MATCH(O$1,INDIRECT("Table!A" &amp; $AL149):INDIRECT("Table!" &amp; $AO$275 &amp; $AL149),0))))/1024)</f>
        <v/>
      </c>
      <c r="O149" s="22"/>
      <c r="P149" s="272"/>
      <c r="Q149" s="22"/>
      <c r="R149" s="189"/>
      <c r="T149" s="595"/>
      <c r="U149" s="189"/>
      <c r="AJ149" s="189"/>
      <c r="AK149" s="189"/>
      <c r="AL149" s="22"/>
      <c r="AM149" s="189"/>
      <c r="AN149" s="189"/>
      <c r="AO149" s="29"/>
    </row>
    <row r="150" spans="2:41" x14ac:dyDescent="0.25">
      <c r="B150" s="22" t="str">
        <f ca="1">IF(ISERROR(MATCH(B$1,INDIRECT("Table!A"&amp;$AL150):INDIRECT("Table!" &amp; $AO$275 &amp; $AL150),0)),"",INDIRECT(CONCATENATE("Table!",ADDRESS(#REF!,MATCH(B$1,INDIRECT("Table!A" &amp; $AL150):INDIRECT("Table!" &amp; $AO$275 &amp; $AL150),0))))/1024)</f>
        <v/>
      </c>
      <c r="C150" s="22" t="str">
        <f ca="1">IF(ISERROR(MATCH(C$1,INDIRECT("Table!A"&amp;$AL150):INDIRECT("Table!" &amp; $AO$275 &amp; $AL150),0)),"",INDIRECT(CONCATENATE("Table!",ADDRESS(#REF!,MATCH(C$1,INDIRECT("Table!A" &amp; $AL150):INDIRECT("Table!" &amp; $AO$275 &amp; $AL150),0))))/1024)</f>
        <v/>
      </c>
      <c r="D150" s="22" t="str">
        <f ca="1">IF(ISERROR(MATCH(D$1,INDIRECT("Table!A"&amp;$AL150):INDIRECT("Table!" &amp; $AO$275 &amp; $AL150),0)),"",INDIRECT(CONCATENATE("Table!",ADDRESS(#REF!,MATCH(D$1,INDIRECT("Table!A" &amp; $AL150):INDIRECT("Table!" &amp; $AO$275 &amp; $AL150),0))))/1024)</f>
        <v/>
      </c>
      <c r="E150" s="22" t="str">
        <f ca="1">IF(ISERROR(MATCH(E$1,INDIRECT("Table!A"&amp;$AL150):INDIRECT("Table!" &amp; $AO$275 &amp; $AL150),0)),"",INDIRECT(CONCATENATE("Table!",ADDRESS(#REF!,MATCH(E$1,INDIRECT("Table!A" &amp; $AL150):INDIRECT("Table!" &amp; $AO$275 &amp; $AL150),0))))/1024)</f>
        <v/>
      </c>
      <c r="F150" s="22" t="str">
        <f ca="1">IF(ISERROR(MATCH(F$1,INDIRECT("Table!A"&amp;$AL150):INDIRECT("Table!" &amp; $AO$275 &amp; $AL150),0)),"",INDIRECT(CONCATENATE("Table!",ADDRESS(#REF!,MATCH(F$1,INDIRECT("Table!A" &amp; $AL150):INDIRECT("Table!" &amp; $AO$275 &amp; $AL150),0))))/1024)</f>
        <v/>
      </c>
      <c r="G150" s="22" t="str">
        <f ca="1">IF(ISERROR(MATCH(G$1,INDIRECT("Table!A"&amp;$AL150):INDIRECT("Table!" &amp; $AO$275 &amp; $AL150),0)),"",INDIRECT(CONCATENATE("Table!",ADDRESS(#REF!,MATCH(G$1,INDIRECT("Table!A" &amp; $AL150):INDIRECT("Table!" &amp; $AO$275 &amp; $AL150),0))))/1024)</f>
        <v/>
      </c>
      <c r="H150" s="22" t="str">
        <f ca="1">IF(ISERROR(MATCH(H$1,INDIRECT("Table!A"&amp;$AL150):INDIRECT("Table!" &amp; $AO$275 &amp; $AL150),0)),"",INDIRECT(CONCATENATE("Table!",ADDRESS(#REF!,MATCH(H$1,INDIRECT("Table!A" &amp; $AL150):INDIRECT("Table!" &amp; $AO$275 &amp; $AL150),0))))/1024)</f>
        <v/>
      </c>
      <c r="K150" s="22" t="str">
        <f ca="1">IF(ISERROR(MATCH(L$1,INDIRECT("Table!A"&amp;$AL150):INDIRECT("Table!" &amp; $AO$275 &amp; $AL150),0)),"",INDIRECT(CONCATENATE("Table!",ADDRESS(#REF!,MATCH(L$1,INDIRECT("Table!A" &amp; $AL150):INDIRECT("Table!" &amp; $AO$275 &amp; $AL150),0))))/1024)</f>
        <v/>
      </c>
      <c r="L150" s="22" t="str">
        <f ca="1">IF(ISERROR(MATCH(M$1,INDIRECT("Table!A"&amp;$AL150):INDIRECT("Table!" &amp; $AO$275 &amp; $AL150),0)),"",INDIRECT(CONCATENATE("Table!",ADDRESS(#REF!,MATCH(M$1,INDIRECT("Table!A" &amp; $AL150):INDIRECT("Table!" &amp; $AO$275 &amp; $AL150),0))))/1024)</f>
        <v/>
      </c>
      <c r="M150" s="22" t="str">
        <f ca="1">IF(ISERROR(MATCH(N$1,INDIRECT("Table!A"&amp;$AL150):INDIRECT("Table!" &amp; $AO$275 &amp; $AL150),0)),"",INDIRECT(CONCATENATE("Table!",ADDRESS(#REF!,MATCH(N$1,INDIRECT("Table!A" &amp; $AL150):INDIRECT("Table!" &amp; $AO$275 &amp; $AL150),0))))/1024)</f>
        <v/>
      </c>
      <c r="N150" s="22" t="str">
        <f ca="1">IF(ISERROR(MATCH(O$1,INDIRECT("Table!A"&amp;$AL150):INDIRECT("Table!" &amp; $AO$275 &amp; $AL150),0)),"",INDIRECT(CONCATENATE("Table!",ADDRESS(#REF!,MATCH(O$1,INDIRECT("Table!A" &amp; $AL150):INDIRECT("Table!" &amp; $AO$275 &amp; $AL150),0))))/1024)</f>
        <v/>
      </c>
      <c r="O150" s="22"/>
      <c r="P150" s="272"/>
      <c r="Q150" s="22"/>
      <c r="R150" s="188"/>
      <c r="T150" s="595"/>
      <c r="U150" s="188"/>
      <c r="AJ150" s="188"/>
      <c r="AK150" s="188"/>
      <c r="AL150" s="22"/>
      <c r="AM150" s="188"/>
      <c r="AN150" s="188"/>
      <c r="AO150" s="29"/>
    </row>
    <row r="151" spans="2:41" x14ac:dyDescent="0.25">
      <c r="B151" s="22" t="str">
        <f ca="1">IF(ISERROR(MATCH(B$1,INDIRECT("Table!A"&amp;$AL151):INDIRECT("Table!" &amp; $AO$275 &amp; $AL151),0)),"",INDIRECT(CONCATENATE("Table!",ADDRESS(#REF!,MATCH(B$1,INDIRECT("Table!A" &amp; $AL151):INDIRECT("Table!" &amp; $AO$275 &amp; $AL151),0))))/1024)</f>
        <v/>
      </c>
      <c r="C151" s="22" t="str">
        <f ca="1">IF(ISERROR(MATCH(C$1,INDIRECT("Table!A"&amp;$AL151):INDIRECT("Table!" &amp; $AO$275 &amp; $AL151),0)),"",INDIRECT(CONCATENATE("Table!",ADDRESS(#REF!,MATCH(C$1,INDIRECT("Table!A" &amp; $AL151):INDIRECT("Table!" &amp; $AO$275 &amp; $AL151),0))))/1024)</f>
        <v/>
      </c>
      <c r="D151" s="22" t="str">
        <f ca="1">IF(ISERROR(MATCH(D$1,INDIRECT("Table!A"&amp;$AL151):INDIRECT("Table!" &amp; $AO$275 &amp; $AL151),0)),"",INDIRECT(CONCATENATE("Table!",ADDRESS(#REF!,MATCH(D$1,INDIRECT("Table!A" &amp; $AL151):INDIRECT("Table!" &amp; $AO$275 &amp; $AL151),0))))/1024)</f>
        <v/>
      </c>
      <c r="E151" s="22" t="str">
        <f ca="1">IF(ISERROR(MATCH(E$1,INDIRECT("Table!A"&amp;$AL151):INDIRECT("Table!" &amp; $AO$275 &amp; $AL151),0)),"",INDIRECT(CONCATENATE("Table!",ADDRESS(#REF!,MATCH(E$1,INDIRECT("Table!A" &amp; $AL151):INDIRECT("Table!" &amp; $AO$275 &amp; $AL151),0))))/1024)</f>
        <v/>
      </c>
      <c r="F151" s="22" t="str">
        <f ca="1">IF(ISERROR(MATCH(F$1,INDIRECT("Table!A"&amp;$AL151):INDIRECT("Table!" &amp; $AO$275 &amp; $AL151),0)),"",INDIRECT(CONCATENATE("Table!",ADDRESS(#REF!,MATCH(F$1,INDIRECT("Table!A" &amp; $AL151):INDIRECT("Table!" &amp; $AO$275 &amp; $AL151),0))))/1024)</f>
        <v/>
      </c>
      <c r="G151" s="22" t="str">
        <f ca="1">IF(ISERROR(MATCH(G$1,INDIRECT("Table!A"&amp;$AL151):INDIRECT("Table!" &amp; $AO$275 &amp; $AL151),0)),"",INDIRECT(CONCATENATE("Table!",ADDRESS(#REF!,MATCH(G$1,INDIRECT("Table!A" &amp; $AL151):INDIRECT("Table!" &amp; $AO$275 &amp; $AL151),0))))/1024)</f>
        <v/>
      </c>
      <c r="H151" s="22" t="str">
        <f ca="1">IF(ISERROR(MATCH(H$1,INDIRECT("Table!A"&amp;$AL151):INDIRECT("Table!" &amp; $AO$275 &amp; $AL151),0)),"",INDIRECT(CONCATENATE("Table!",ADDRESS(#REF!,MATCH(H$1,INDIRECT("Table!A" &amp; $AL151):INDIRECT("Table!" &amp; $AO$275 &amp; $AL151),0))))/1024)</f>
        <v/>
      </c>
      <c r="K151" s="22" t="str">
        <f ca="1">IF(ISERROR(MATCH(L$1,INDIRECT("Table!A"&amp;$AL151):INDIRECT("Table!" &amp; $AO$275 &amp; $AL151),0)),"",INDIRECT(CONCATENATE("Table!",ADDRESS(#REF!,MATCH(L$1,INDIRECT("Table!A" &amp; $AL151):INDIRECT("Table!" &amp; $AO$275 &amp; $AL151),0))))/1024)</f>
        <v/>
      </c>
      <c r="L151" s="22" t="str">
        <f ca="1">IF(ISERROR(MATCH(M$1,INDIRECT("Table!A"&amp;$AL151):INDIRECT("Table!" &amp; $AO$275 &amp; $AL151),0)),"",INDIRECT(CONCATENATE("Table!",ADDRESS(#REF!,MATCH(M$1,INDIRECT("Table!A" &amp; $AL151):INDIRECT("Table!" &amp; $AO$275 &amp; $AL151),0))))/1024)</f>
        <v/>
      </c>
      <c r="M151" s="22" t="str">
        <f ca="1">IF(ISERROR(MATCH(N$1,INDIRECT("Table!A"&amp;$AL151):INDIRECT("Table!" &amp; $AO$275 &amp; $AL151),0)),"",INDIRECT(CONCATENATE("Table!",ADDRESS(#REF!,MATCH(N$1,INDIRECT("Table!A" &amp; $AL151):INDIRECT("Table!" &amp; $AO$275 &amp; $AL151),0))))/1024)</f>
        <v/>
      </c>
      <c r="N151" s="22" t="str">
        <f ca="1">IF(ISERROR(MATCH(O$1,INDIRECT("Table!A"&amp;$AL151):INDIRECT("Table!" &amp; $AO$275 &amp; $AL151),0)),"",INDIRECT(CONCATENATE("Table!",ADDRESS(#REF!,MATCH(O$1,INDIRECT("Table!A" &amp; $AL151):INDIRECT("Table!" &amp; $AO$275 &amp; $AL151),0))))/1024)</f>
        <v/>
      </c>
      <c r="O151" s="22"/>
      <c r="P151" s="272"/>
      <c r="Q151" s="22"/>
      <c r="R151" s="187"/>
      <c r="T151" s="595"/>
      <c r="U151" s="187"/>
      <c r="AJ151" s="187"/>
      <c r="AK151" s="187"/>
      <c r="AL151" s="22"/>
      <c r="AM151" s="187"/>
      <c r="AN151" s="187"/>
      <c r="AO151" s="29"/>
    </row>
    <row r="152" spans="2:41" x14ac:dyDescent="0.25">
      <c r="B152" s="22" t="str">
        <f ca="1">IF(ISERROR(MATCH(B$1,INDIRECT("Table!A"&amp;$AL152):INDIRECT("Table!" &amp; $AO$275 &amp; $AL152),0)),"",INDIRECT(CONCATENATE("Table!",ADDRESS(#REF!,MATCH(B$1,INDIRECT("Table!A" &amp; $AL152):INDIRECT("Table!" &amp; $AO$275 &amp; $AL152),0))))/1024)</f>
        <v/>
      </c>
      <c r="C152" s="22" t="str">
        <f ca="1">IF(ISERROR(MATCH(C$1,INDIRECT("Table!A"&amp;$AL152):INDIRECT("Table!" &amp; $AO$275 &amp; $AL152),0)),"",INDIRECT(CONCATENATE("Table!",ADDRESS(#REF!,MATCH(C$1,INDIRECT("Table!A" &amp; $AL152):INDIRECT("Table!" &amp; $AO$275 &amp; $AL152),0))))/1024)</f>
        <v/>
      </c>
      <c r="D152" s="22" t="str">
        <f ca="1">IF(ISERROR(MATCH(D$1,INDIRECT("Table!A"&amp;$AL152):INDIRECT("Table!" &amp; $AO$275 &amp; $AL152),0)),"",INDIRECT(CONCATENATE("Table!",ADDRESS(#REF!,MATCH(D$1,INDIRECT("Table!A" &amp; $AL152):INDIRECT("Table!" &amp; $AO$275 &amp; $AL152),0))))/1024)</f>
        <v/>
      </c>
      <c r="E152" s="22" t="str">
        <f ca="1">IF(ISERROR(MATCH(E$1,INDIRECT("Table!A"&amp;$AL152):INDIRECT("Table!" &amp; $AO$275 &amp; $AL152),0)),"",INDIRECT(CONCATENATE("Table!",ADDRESS(#REF!,MATCH(E$1,INDIRECT("Table!A" &amp; $AL152):INDIRECT("Table!" &amp; $AO$275 &amp; $AL152),0))))/1024)</f>
        <v/>
      </c>
      <c r="F152" s="22" t="str">
        <f ca="1">IF(ISERROR(MATCH(F$1,INDIRECT("Table!A"&amp;$AL152):INDIRECT("Table!" &amp; $AO$275 &amp; $AL152),0)),"",INDIRECT(CONCATENATE("Table!",ADDRESS(#REF!,MATCH(F$1,INDIRECT("Table!A" &amp; $AL152):INDIRECT("Table!" &amp; $AO$275 &amp; $AL152),0))))/1024)</f>
        <v/>
      </c>
      <c r="G152" s="22" t="str">
        <f ca="1">IF(ISERROR(MATCH(G$1,INDIRECT("Table!A"&amp;$AL152):INDIRECT("Table!" &amp; $AO$275 &amp; $AL152),0)),"",INDIRECT(CONCATENATE("Table!",ADDRESS(#REF!,MATCH(G$1,INDIRECT("Table!A" &amp; $AL152):INDIRECT("Table!" &amp; $AO$275 &amp; $AL152),0))))/1024)</f>
        <v/>
      </c>
      <c r="H152" s="22" t="str">
        <f ca="1">IF(ISERROR(MATCH(H$1,INDIRECT("Table!A"&amp;$AL152):INDIRECT("Table!" &amp; $AO$275 &amp; $AL152),0)),"",INDIRECT(CONCATENATE("Table!",ADDRESS(#REF!,MATCH(H$1,INDIRECT("Table!A" &amp; $AL152):INDIRECT("Table!" &amp; $AO$275 &amp; $AL152),0))))/1024)</f>
        <v/>
      </c>
      <c r="K152" s="22" t="str">
        <f ca="1">IF(ISERROR(MATCH(L$1,INDIRECT("Table!A"&amp;$AL152):INDIRECT("Table!" &amp; $AO$275 &amp; $AL152),0)),"",INDIRECT(CONCATENATE("Table!",ADDRESS(#REF!,MATCH(L$1,INDIRECT("Table!A" &amp; $AL152):INDIRECT("Table!" &amp; $AO$275 &amp; $AL152),0))))/1024)</f>
        <v/>
      </c>
      <c r="L152" s="22" t="str">
        <f ca="1">IF(ISERROR(MATCH(M$1,INDIRECT("Table!A"&amp;$AL152):INDIRECT("Table!" &amp; $AO$275 &amp; $AL152),0)),"",INDIRECT(CONCATENATE("Table!",ADDRESS(#REF!,MATCH(M$1,INDIRECT("Table!A" &amp; $AL152):INDIRECT("Table!" &amp; $AO$275 &amp; $AL152),0))))/1024)</f>
        <v/>
      </c>
      <c r="M152" s="22" t="str">
        <f ca="1">IF(ISERROR(MATCH(N$1,INDIRECT("Table!A"&amp;$AL152):INDIRECT("Table!" &amp; $AO$275 &amp; $AL152),0)),"",INDIRECT(CONCATENATE("Table!",ADDRESS(#REF!,MATCH(N$1,INDIRECT("Table!A" &amp; $AL152):INDIRECT("Table!" &amp; $AO$275 &amp; $AL152),0))))/1024)</f>
        <v/>
      </c>
      <c r="N152" s="22" t="str">
        <f ca="1">IF(ISERROR(MATCH(O$1,INDIRECT("Table!A"&amp;$AL152):INDIRECT("Table!" &amp; $AO$275 &amp; $AL152),0)),"",INDIRECT(CONCATENATE("Table!",ADDRESS(#REF!,MATCH(O$1,INDIRECT("Table!A" &amp; $AL152):INDIRECT("Table!" &amp; $AO$275 &amp; $AL152),0))))/1024)</f>
        <v/>
      </c>
      <c r="O152" s="22"/>
      <c r="P152" s="272"/>
      <c r="Q152" s="22"/>
      <c r="R152" s="187"/>
      <c r="T152" s="595"/>
      <c r="U152" s="187"/>
      <c r="AJ152" s="187"/>
      <c r="AK152" s="187"/>
      <c r="AL152" s="22"/>
      <c r="AM152" s="187"/>
      <c r="AN152" s="187"/>
      <c r="AO152" s="29"/>
    </row>
    <row r="153" spans="2:41" x14ac:dyDescent="0.25">
      <c r="B153" s="22" t="str">
        <f ca="1">IF(ISERROR(MATCH(B$1,INDIRECT("Table!A"&amp;$AL153):INDIRECT("Table!" &amp; $AO$275 &amp; $AL153),0)),"",INDIRECT(CONCATENATE("Table!",ADDRESS(#REF!,MATCH(B$1,INDIRECT("Table!A" &amp; $AL153):INDIRECT("Table!" &amp; $AO$275 &amp; $AL153),0))))/1024)</f>
        <v/>
      </c>
      <c r="C153" s="22" t="str">
        <f ca="1">IF(ISERROR(MATCH(C$1,INDIRECT("Table!A"&amp;$AL153):INDIRECT("Table!" &amp; $AO$275 &amp; $AL153),0)),"",INDIRECT(CONCATENATE("Table!",ADDRESS(#REF!,MATCH(C$1,INDIRECT("Table!A" &amp; $AL153):INDIRECT("Table!" &amp; $AO$275 &amp; $AL153),0))))/1024)</f>
        <v/>
      </c>
      <c r="D153" s="22" t="str">
        <f ca="1">IF(ISERROR(MATCH(D$1,INDIRECT("Table!A"&amp;$AL153):INDIRECT("Table!" &amp; $AO$275 &amp; $AL153),0)),"",INDIRECT(CONCATENATE("Table!",ADDRESS(#REF!,MATCH(D$1,INDIRECT("Table!A" &amp; $AL153):INDIRECT("Table!" &amp; $AO$275 &amp; $AL153),0))))/1024)</f>
        <v/>
      </c>
      <c r="E153" s="22" t="str">
        <f ca="1">IF(ISERROR(MATCH(E$1,INDIRECT("Table!A"&amp;$AL153):INDIRECT("Table!" &amp; $AO$275 &amp; $AL153),0)),"",INDIRECT(CONCATENATE("Table!",ADDRESS(#REF!,MATCH(E$1,INDIRECT("Table!A" &amp; $AL153):INDIRECT("Table!" &amp; $AO$275 &amp; $AL153),0))))/1024)</f>
        <v/>
      </c>
      <c r="F153" s="22" t="str">
        <f ca="1">IF(ISERROR(MATCH(F$1,INDIRECT("Table!A"&amp;$AL153):INDIRECT("Table!" &amp; $AO$275 &amp; $AL153),0)),"",INDIRECT(CONCATENATE("Table!",ADDRESS(#REF!,MATCH(F$1,INDIRECT("Table!A" &amp; $AL153):INDIRECT("Table!" &amp; $AO$275 &amp; $AL153),0))))/1024)</f>
        <v/>
      </c>
      <c r="G153" s="22" t="str">
        <f ca="1">IF(ISERROR(MATCH(G$1,INDIRECT("Table!A"&amp;$AL153):INDIRECT("Table!" &amp; $AO$275 &amp; $AL153),0)),"",INDIRECT(CONCATENATE("Table!",ADDRESS(#REF!,MATCH(G$1,INDIRECT("Table!A" &amp; $AL153):INDIRECT("Table!" &amp; $AO$275 &amp; $AL153),0))))/1024)</f>
        <v/>
      </c>
      <c r="H153" s="22" t="str">
        <f ca="1">IF(ISERROR(MATCH(H$1,INDIRECT("Table!A"&amp;$AL153):INDIRECT("Table!" &amp; $AO$275 &amp; $AL153),0)),"",INDIRECT(CONCATENATE("Table!",ADDRESS(#REF!,MATCH(H$1,INDIRECT("Table!A" &amp; $AL153):INDIRECT("Table!" &amp; $AO$275 &amp; $AL153),0))))/1024)</f>
        <v/>
      </c>
      <c r="K153" s="22" t="str">
        <f ca="1">IF(ISERROR(MATCH(L$1,INDIRECT("Table!A"&amp;$AL153):INDIRECT("Table!" &amp; $AO$275 &amp; $AL153),0)),"",INDIRECT(CONCATENATE("Table!",ADDRESS(#REF!,MATCH(L$1,INDIRECT("Table!A" &amp; $AL153):INDIRECT("Table!" &amp; $AO$275 &amp; $AL153),0))))/1024)</f>
        <v/>
      </c>
      <c r="L153" s="22" t="str">
        <f ca="1">IF(ISERROR(MATCH(M$1,INDIRECT("Table!A"&amp;$AL153):INDIRECT("Table!" &amp; $AO$275 &amp; $AL153),0)),"",INDIRECT(CONCATENATE("Table!",ADDRESS(#REF!,MATCH(M$1,INDIRECT("Table!A" &amp; $AL153):INDIRECT("Table!" &amp; $AO$275 &amp; $AL153),0))))/1024)</f>
        <v/>
      </c>
      <c r="M153" s="22" t="str">
        <f ca="1">IF(ISERROR(MATCH(N$1,INDIRECT("Table!A"&amp;$AL153):INDIRECT("Table!" &amp; $AO$275 &amp; $AL153),0)),"",INDIRECT(CONCATENATE("Table!",ADDRESS(#REF!,MATCH(N$1,INDIRECT("Table!A" &amp; $AL153):INDIRECT("Table!" &amp; $AO$275 &amp; $AL153),0))))/1024)</f>
        <v/>
      </c>
      <c r="N153" s="22" t="str">
        <f ca="1">IF(ISERROR(MATCH(O$1,INDIRECT("Table!A"&amp;$AL153):INDIRECT("Table!" &amp; $AO$275 &amp; $AL153),0)),"",INDIRECT(CONCATENATE("Table!",ADDRESS(#REF!,MATCH(O$1,INDIRECT("Table!A" &amp; $AL153):INDIRECT("Table!" &amp; $AO$275 &amp; $AL153),0))))/1024)</f>
        <v/>
      </c>
      <c r="O153" s="22"/>
      <c r="P153" s="272"/>
      <c r="Q153" s="22"/>
      <c r="R153" s="186"/>
      <c r="T153" s="595"/>
      <c r="U153" s="186"/>
      <c r="AJ153" s="186"/>
      <c r="AK153" s="186"/>
      <c r="AL153" s="22"/>
      <c r="AM153" s="186"/>
      <c r="AN153" s="186"/>
      <c r="AO153" s="29"/>
    </row>
    <row r="154" spans="2:41" x14ac:dyDescent="0.25">
      <c r="B154" s="22" t="str">
        <f ca="1">IF(ISERROR(MATCH(B$1,INDIRECT("Table!A"&amp;$AL154):INDIRECT("Table!" &amp; $AO$275 &amp; $AL154),0)),"",INDIRECT(CONCATENATE("Table!",ADDRESS(#REF!,MATCH(B$1,INDIRECT("Table!A" &amp; $AL154):INDIRECT("Table!" &amp; $AO$275 &amp; $AL154),0))))/1024)</f>
        <v/>
      </c>
      <c r="C154" s="22" t="str">
        <f ca="1">IF(ISERROR(MATCH(C$1,INDIRECT("Table!A"&amp;$AL154):INDIRECT("Table!" &amp; $AO$275 &amp; $AL154),0)),"",INDIRECT(CONCATENATE("Table!",ADDRESS(#REF!,MATCH(C$1,INDIRECT("Table!A" &amp; $AL154):INDIRECT("Table!" &amp; $AO$275 &amp; $AL154),0))))/1024)</f>
        <v/>
      </c>
      <c r="D154" s="22" t="str">
        <f ca="1">IF(ISERROR(MATCH(D$1,INDIRECT("Table!A"&amp;$AL154):INDIRECT("Table!" &amp; $AO$275 &amp; $AL154),0)),"",INDIRECT(CONCATENATE("Table!",ADDRESS(#REF!,MATCH(D$1,INDIRECT("Table!A" &amp; $AL154):INDIRECT("Table!" &amp; $AO$275 &amp; $AL154),0))))/1024)</f>
        <v/>
      </c>
      <c r="E154" s="22" t="str">
        <f ca="1">IF(ISERROR(MATCH(E$1,INDIRECT("Table!A"&amp;$AL154):INDIRECT("Table!" &amp; $AO$275 &amp; $AL154),0)),"",INDIRECT(CONCATENATE("Table!",ADDRESS(#REF!,MATCH(E$1,INDIRECT("Table!A" &amp; $AL154):INDIRECT("Table!" &amp; $AO$275 &amp; $AL154),0))))/1024)</f>
        <v/>
      </c>
      <c r="F154" s="22" t="str">
        <f ca="1">IF(ISERROR(MATCH(F$1,INDIRECT("Table!A"&amp;$AL154):INDIRECT("Table!" &amp; $AO$275 &amp; $AL154),0)),"",INDIRECT(CONCATENATE("Table!",ADDRESS(#REF!,MATCH(F$1,INDIRECT("Table!A" &amp; $AL154):INDIRECT("Table!" &amp; $AO$275 &amp; $AL154),0))))/1024)</f>
        <v/>
      </c>
      <c r="G154" s="22" t="str">
        <f ca="1">IF(ISERROR(MATCH(G$1,INDIRECT("Table!A"&amp;$AL154):INDIRECT("Table!" &amp; $AO$275 &amp; $AL154),0)),"",INDIRECT(CONCATENATE("Table!",ADDRESS(#REF!,MATCH(G$1,INDIRECT("Table!A" &amp; $AL154):INDIRECT("Table!" &amp; $AO$275 &amp; $AL154),0))))/1024)</f>
        <v/>
      </c>
      <c r="H154" s="22" t="str">
        <f ca="1">IF(ISERROR(MATCH(H$1,INDIRECT("Table!A"&amp;$AL154):INDIRECT("Table!" &amp; $AO$275 &amp; $AL154),0)),"",INDIRECT(CONCATENATE("Table!",ADDRESS(#REF!,MATCH(H$1,INDIRECT("Table!A" &amp; $AL154):INDIRECT("Table!" &amp; $AO$275 &amp; $AL154),0))))/1024)</f>
        <v/>
      </c>
      <c r="K154" s="22" t="str">
        <f ca="1">IF(ISERROR(MATCH(L$1,INDIRECT("Table!A"&amp;$AL154):INDIRECT("Table!" &amp; $AO$275 &amp; $AL154),0)),"",INDIRECT(CONCATENATE("Table!",ADDRESS(#REF!,MATCH(L$1,INDIRECT("Table!A" &amp; $AL154):INDIRECT("Table!" &amp; $AO$275 &amp; $AL154),0))))/1024)</f>
        <v/>
      </c>
      <c r="L154" s="22" t="str">
        <f ca="1">IF(ISERROR(MATCH(M$1,INDIRECT("Table!A"&amp;$AL154):INDIRECT("Table!" &amp; $AO$275 &amp; $AL154),0)),"",INDIRECT(CONCATENATE("Table!",ADDRESS(#REF!,MATCH(M$1,INDIRECT("Table!A" &amp; $AL154):INDIRECT("Table!" &amp; $AO$275 &amp; $AL154),0))))/1024)</f>
        <v/>
      </c>
      <c r="M154" s="22" t="str">
        <f ca="1">IF(ISERROR(MATCH(N$1,INDIRECT("Table!A"&amp;$AL154):INDIRECT("Table!" &amp; $AO$275 &amp; $AL154),0)),"",INDIRECT(CONCATENATE("Table!",ADDRESS(#REF!,MATCH(N$1,INDIRECT("Table!A" &amp; $AL154):INDIRECT("Table!" &amp; $AO$275 &amp; $AL154),0))))/1024)</f>
        <v/>
      </c>
      <c r="N154" s="22" t="str">
        <f ca="1">IF(ISERROR(MATCH(O$1,INDIRECT("Table!A"&amp;$AL154):INDIRECT("Table!" &amp; $AO$275 &amp; $AL154),0)),"",INDIRECT(CONCATENATE("Table!",ADDRESS(#REF!,MATCH(O$1,INDIRECT("Table!A" &amp; $AL154):INDIRECT("Table!" &amp; $AO$275 &amp; $AL154),0))))/1024)</f>
        <v/>
      </c>
      <c r="O154" s="22"/>
      <c r="P154" s="272"/>
      <c r="Q154" s="22"/>
      <c r="R154" s="185"/>
      <c r="T154" s="595"/>
      <c r="U154" s="185"/>
      <c r="AJ154" s="185"/>
      <c r="AK154" s="185"/>
      <c r="AL154" s="22"/>
      <c r="AM154" s="185"/>
      <c r="AN154" s="185"/>
      <c r="AO154" s="29"/>
    </row>
    <row r="155" spans="2:41" x14ac:dyDescent="0.25">
      <c r="B155" s="22" t="str">
        <f ca="1">IF(ISERROR(MATCH(B$1,INDIRECT("Table!A"&amp;$AL155):INDIRECT("Table!" &amp; $AO$275 &amp; $AL155),0)),"",INDIRECT(CONCATENATE("Table!",ADDRESS(#REF!,MATCH(B$1,INDIRECT("Table!A" &amp; $AL155):INDIRECT("Table!" &amp; $AO$275 &amp; $AL155),0))))/1024)</f>
        <v/>
      </c>
      <c r="C155" s="22" t="str">
        <f ca="1">IF(ISERROR(MATCH(C$1,INDIRECT("Table!A"&amp;$AL155):INDIRECT("Table!" &amp; $AO$275 &amp; $AL155),0)),"",INDIRECT(CONCATENATE("Table!",ADDRESS(#REF!,MATCH(C$1,INDIRECT("Table!A" &amp; $AL155):INDIRECT("Table!" &amp; $AO$275 &amp; $AL155),0))))/1024)</f>
        <v/>
      </c>
      <c r="D155" s="22" t="str">
        <f ca="1">IF(ISERROR(MATCH(D$1,INDIRECT("Table!A"&amp;$AL155):INDIRECT("Table!" &amp; $AO$275 &amp; $AL155),0)),"",INDIRECT(CONCATENATE("Table!",ADDRESS(#REF!,MATCH(D$1,INDIRECT("Table!A" &amp; $AL155):INDIRECT("Table!" &amp; $AO$275 &amp; $AL155),0))))/1024)</f>
        <v/>
      </c>
      <c r="E155" s="22" t="str">
        <f ca="1">IF(ISERROR(MATCH(E$1,INDIRECT("Table!A"&amp;$AL155):INDIRECT("Table!" &amp; $AO$275 &amp; $AL155),0)),"",INDIRECT(CONCATENATE("Table!",ADDRESS(#REF!,MATCH(E$1,INDIRECT("Table!A" &amp; $AL155):INDIRECT("Table!" &amp; $AO$275 &amp; $AL155),0))))/1024)</f>
        <v/>
      </c>
      <c r="F155" s="22" t="str">
        <f ca="1">IF(ISERROR(MATCH(F$1,INDIRECT("Table!A"&amp;$AL155):INDIRECT("Table!" &amp; $AO$275 &amp; $AL155),0)),"",INDIRECT(CONCATENATE("Table!",ADDRESS(#REF!,MATCH(F$1,INDIRECT("Table!A" &amp; $AL155):INDIRECT("Table!" &amp; $AO$275 &amp; $AL155),0))))/1024)</f>
        <v/>
      </c>
      <c r="G155" s="22" t="str">
        <f ca="1">IF(ISERROR(MATCH(G$1,INDIRECT("Table!A"&amp;$AL155):INDIRECT("Table!" &amp; $AO$275 &amp; $AL155),0)),"",INDIRECT(CONCATENATE("Table!",ADDRESS(#REF!,MATCH(G$1,INDIRECT("Table!A" &amp; $AL155):INDIRECT("Table!" &amp; $AO$275 &amp; $AL155),0))))/1024)</f>
        <v/>
      </c>
      <c r="H155" s="22" t="str">
        <f ca="1">IF(ISERROR(MATCH(H$1,INDIRECT("Table!A"&amp;$AL155):INDIRECT("Table!" &amp; $AO$275 &amp; $AL155),0)),"",INDIRECT(CONCATENATE("Table!",ADDRESS(#REF!,MATCH(H$1,INDIRECT("Table!A" &amp; $AL155):INDIRECT("Table!" &amp; $AO$275 &amp; $AL155),0))))/1024)</f>
        <v/>
      </c>
      <c r="K155" s="22" t="str">
        <f ca="1">IF(ISERROR(MATCH(L$1,INDIRECT("Table!A"&amp;$AL155):INDIRECT("Table!" &amp; $AO$275 &amp; $AL155),0)),"",INDIRECT(CONCATENATE("Table!",ADDRESS(#REF!,MATCH(L$1,INDIRECT("Table!A" &amp; $AL155):INDIRECT("Table!" &amp; $AO$275 &amp; $AL155),0))))/1024)</f>
        <v/>
      </c>
      <c r="L155" s="22" t="str">
        <f ca="1">IF(ISERROR(MATCH(M$1,INDIRECT("Table!A"&amp;$AL155):INDIRECT("Table!" &amp; $AO$275 &amp; $AL155),0)),"",INDIRECT(CONCATENATE("Table!",ADDRESS(#REF!,MATCH(M$1,INDIRECT("Table!A" &amp; $AL155):INDIRECT("Table!" &amp; $AO$275 &amp; $AL155),0))))/1024)</f>
        <v/>
      </c>
      <c r="M155" s="22" t="str">
        <f ca="1">IF(ISERROR(MATCH(N$1,INDIRECT("Table!A"&amp;$AL155):INDIRECT("Table!" &amp; $AO$275 &amp; $AL155),0)),"",INDIRECT(CONCATENATE("Table!",ADDRESS(#REF!,MATCH(N$1,INDIRECT("Table!A" &amp; $AL155):INDIRECT("Table!" &amp; $AO$275 &amp; $AL155),0))))/1024)</f>
        <v/>
      </c>
      <c r="N155" s="22" t="str">
        <f ca="1">IF(ISERROR(MATCH(O$1,INDIRECT("Table!A"&amp;$AL155):INDIRECT("Table!" &amp; $AO$275 &amp; $AL155),0)),"",INDIRECT(CONCATENATE("Table!",ADDRESS(#REF!,MATCH(O$1,INDIRECT("Table!A" &amp; $AL155):INDIRECT("Table!" &amp; $AO$275 &amp; $AL155),0))))/1024)</f>
        <v/>
      </c>
      <c r="O155" s="22"/>
      <c r="P155" s="272"/>
      <c r="Q155" s="22"/>
      <c r="R155" s="185"/>
      <c r="T155" s="595"/>
      <c r="U155" s="185"/>
      <c r="AJ155" s="185"/>
      <c r="AK155" s="185"/>
      <c r="AL155" s="22"/>
      <c r="AM155" s="185"/>
      <c r="AN155" s="185"/>
      <c r="AO155" s="29"/>
    </row>
    <row r="156" spans="2:41" x14ac:dyDescent="0.25">
      <c r="B156" s="22" t="str">
        <f ca="1">IF(ISERROR(MATCH(B$1,INDIRECT("Table!A"&amp;$AL156):INDIRECT("Table!" &amp; $AO$275 &amp; $AL156),0)),"",INDIRECT(CONCATENATE("Table!",ADDRESS(#REF!,MATCH(B$1,INDIRECT("Table!A" &amp; $AL156):INDIRECT("Table!" &amp; $AO$275 &amp; $AL156),0))))/1024)</f>
        <v/>
      </c>
      <c r="C156" s="22" t="str">
        <f ca="1">IF(ISERROR(MATCH(C$1,INDIRECT("Table!A"&amp;$AL156):INDIRECT("Table!" &amp; $AO$275 &amp; $AL156),0)),"",INDIRECT(CONCATENATE("Table!",ADDRESS(#REF!,MATCH(C$1,INDIRECT("Table!A" &amp; $AL156):INDIRECT("Table!" &amp; $AO$275 &amp; $AL156),0))))/1024)</f>
        <v/>
      </c>
      <c r="D156" s="22" t="str">
        <f ca="1">IF(ISERROR(MATCH(D$1,INDIRECT("Table!A"&amp;$AL156):INDIRECT("Table!" &amp; $AO$275 &amp; $AL156),0)),"",INDIRECT(CONCATENATE("Table!",ADDRESS(#REF!,MATCH(D$1,INDIRECT("Table!A" &amp; $AL156):INDIRECT("Table!" &amp; $AO$275 &amp; $AL156),0))))/1024)</f>
        <v/>
      </c>
      <c r="E156" s="22" t="str">
        <f ca="1">IF(ISERROR(MATCH(E$1,INDIRECT("Table!A"&amp;$AL156):INDIRECT("Table!" &amp; $AO$275 &amp; $AL156),0)),"",INDIRECT(CONCATENATE("Table!",ADDRESS(#REF!,MATCH(E$1,INDIRECT("Table!A" &amp; $AL156):INDIRECT("Table!" &amp; $AO$275 &amp; $AL156),0))))/1024)</f>
        <v/>
      </c>
      <c r="F156" s="22" t="str">
        <f ca="1">IF(ISERROR(MATCH(F$1,INDIRECT("Table!A"&amp;$AL156):INDIRECT("Table!" &amp; $AO$275 &amp; $AL156),0)),"",INDIRECT(CONCATENATE("Table!",ADDRESS(#REF!,MATCH(F$1,INDIRECT("Table!A" &amp; $AL156):INDIRECT("Table!" &amp; $AO$275 &amp; $AL156),0))))/1024)</f>
        <v/>
      </c>
      <c r="G156" s="22" t="str">
        <f ca="1">IF(ISERROR(MATCH(G$1,INDIRECT("Table!A"&amp;$AL156):INDIRECT("Table!" &amp; $AO$275 &amp; $AL156),0)),"",INDIRECT(CONCATENATE("Table!",ADDRESS(#REF!,MATCH(G$1,INDIRECT("Table!A" &amp; $AL156):INDIRECT("Table!" &amp; $AO$275 &amp; $AL156),0))))/1024)</f>
        <v/>
      </c>
      <c r="H156" s="22" t="str">
        <f ca="1">IF(ISERROR(MATCH(H$1,INDIRECT("Table!A"&amp;$AL156):INDIRECT("Table!" &amp; $AO$275 &amp; $AL156),0)),"",INDIRECT(CONCATENATE("Table!",ADDRESS(#REF!,MATCH(H$1,INDIRECT("Table!A" &amp; $AL156):INDIRECT("Table!" &amp; $AO$275 &amp; $AL156),0))))/1024)</f>
        <v/>
      </c>
      <c r="K156" s="22" t="str">
        <f ca="1">IF(ISERROR(MATCH(L$1,INDIRECT("Table!A"&amp;$AL156):INDIRECT("Table!" &amp; $AO$275 &amp; $AL156),0)),"",INDIRECT(CONCATENATE("Table!",ADDRESS(#REF!,MATCH(L$1,INDIRECT("Table!A" &amp; $AL156):INDIRECT("Table!" &amp; $AO$275 &amp; $AL156),0))))/1024)</f>
        <v/>
      </c>
      <c r="L156" s="22" t="str">
        <f ca="1">IF(ISERROR(MATCH(M$1,INDIRECT("Table!A"&amp;$AL156):INDIRECT("Table!" &amp; $AO$275 &amp; $AL156),0)),"",INDIRECT(CONCATENATE("Table!",ADDRESS(#REF!,MATCH(M$1,INDIRECT("Table!A" &amp; $AL156):INDIRECT("Table!" &amp; $AO$275 &amp; $AL156),0))))/1024)</f>
        <v/>
      </c>
      <c r="M156" s="22" t="str">
        <f ca="1">IF(ISERROR(MATCH(N$1,INDIRECT("Table!A"&amp;$AL156):INDIRECT("Table!" &amp; $AO$275 &amp; $AL156),0)),"",INDIRECT(CONCATENATE("Table!",ADDRESS(#REF!,MATCH(N$1,INDIRECT("Table!A" &amp; $AL156):INDIRECT("Table!" &amp; $AO$275 &amp; $AL156),0))))/1024)</f>
        <v/>
      </c>
      <c r="N156" s="22" t="str">
        <f ca="1">IF(ISERROR(MATCH(O$1,INDIRECT("Table!A"&amp;$AL156):INDIRECT("Table!" &amp; $AO$275 &amp; $AL156),0)),"",INDIRECT(CONCATENATE("Table!",ADDRESS(#REF!,MATCH(O$1,INDIRECT("Table!A" &amp; $AL156):INDIRECT("Table!" &amp; $AO$275 &amp; $AL156),0))))/1024)</f>
        <v/>
      </c>
      <c r="O156" s="22"/>
      <c r="P156" s="272"/>
      <c r="Q156" s="22"/>
      <c r="R156" s="184"/>
      <c r="T156" s="595"/>
      <c r="U156" s="184"/>
      <c r="AJ156" s="184"/>
      <c r="AK156" s="184"/>
      <c r="AL156" s="22"/>
      <c r="AM156" s="184"/>
      <c r="AN156" s="184"/>
      <c r="AO156" s="29"/>
    </row>
    <row r="157" spans="2:41" x14ac:dyDescent="0.25">
      <c r="B157" s="22" t="str">
        <f ca="1">IF(ISERROR(MATCH(B$1,INDIRECT("Table!A"&amp;$AL157):INDIRECT("Table!" &amp; $AO$275 &amp; $AL157),0)),"",INDIRECT(CONCATENATE("Table!",ADDRESS(#REF!,MATCH(B$1,INDIRECT("Table!A" &amp; $AL157):INDIRECT("Table!" &amp; $AO$275 &amp; $AL157),0))))/1024)</f>
        <v/>
      </c>
      <c r="C157" s="22" t="str">
        <f ca="1">IF(ISERROR(MATCH(C$1,INDIRECT("Table!A"&amp;$AL157):INDIRECT("Table!" &amp; $AO$275 &amp; $AL157),0)),"",INDIRECT(CONCATENATE("Table!",ADDRESS(#REF!,MATCH(C$1,INDIRECT("Table!A" &amp; $AL157):INDIRECT("Table!" &amp; $AO$275 &amp; $AL157),0))))/1024)</f>
        <v/>
      </c>
      <c r="D157" s="22" t="str">
        <f ca="1">IF(ISERROR(MATCH(D$1,INDIRECT("Table!A"&amp;$AL157):INDIRECT("Table!" &amp; $AO$275 &amp; $AL157),0)),"",INDIRECT(CONCATENATE("Table!",ADDRESS(#REF!,MATCH(D$1,INDIRECT("Table!A" &amp; $AL157):INDIRECT("Table!" &amp; $AO$275 &amp; $AL157),0))))/1024)</f>
        <v/>
      </c>
      <c r="E157" s="22" t="str">
        <f ca="1">IF(ISERROR(MATCH(E$1,INDIRECT("Table!A"&amp;$AL157):INDIRECT("Table!" &amp; $AO$275 &amp; $AL157),0)),"",INDIRECT(CONCATENATE("Table!",ADDRESS(#REF!,MATCH(E$1,INDIRECT("Table!A" &amp; $AL157):INDIRECT("Table!" &amp; $AO$275 &amp; $AL157),0))))/1024)</f>
        <v/>
      </c>
      <c r="F157" s="22" t="str">
        <f ca="1">IF(ISERROR(MATCH(F$1,INDIRECT("Table!A"&amp;$AL157):INDIRECT("Table!" &amp; $AO$275 &amp; $AL157),0)),"",INDIRECT(CONCATENATE("Table!",ADDRESS(#REF!,MATCH(F$1,INDIRECT("Table!A" &amp; $AL157):INDIRECT("Table!" &amp; $AO$275 &amp; $AL157),0))))/1024)</f>
        <v/>
      </c>
      <c r="G157" s="22" t="str">
        <f ca="1">IF(ISERROR(MATCH(G$1,INDIRECT("Table!A"&amp;$AL157):INDIRECT("Table!" &amp; $AO$275 &amp; $AL157),0)),"",INDIRECT(CONCATENATE("Table!",ADDRESS(#REF!,MATCH(G$1,INDIRECT("Table!A" &amp; $AL157):INDIRECT("Table!" &amp; $AO$275 &amp; $AL157),0))))/1024)</f>
        <v/>
      </c>
      <c r="H157" s="22" t="str">
        <f ca="1">IF(ISERROR(MATCH(H$1,INDIRECT("Table!A"&amp;$AL157):INDIRECT("Table!" &amp; $AO$275 &amp; $AL157),0)),"",INDIRECT(CONCATENATE("Table!",ADDRESS(#REF!,MATCH(H$1,INDIRECT("Table!A" &amp; $AL157):INDIRECT("Table!" &amp; $AO$275 &amp; $AL157),0))))/1024)</f>
        <v/>
      </c>
      <c r="K157" s="22" t="str">
        <f ca="1">IF(ISERROR(MATCH(L$1,INDIRECT("Table!A"&amp;$AL157):INDIRECT("Table!" &amp; $AO$275 &amp; $AL157),0)),"",INDIRECT(CONCATENATE("Table!",ADDRESS(#REF!,MATCH(L$1,INDIRECT("Table!A" &amp; $AL157):INDIRECT("Table!" &amp; $AO$275 &amp; $AL157),0))))/1024)</f>
        <v/>
      </c>
      <c r="L157" s="22" t="str">
        <f ca="1">IF(ISERROR(MATCH(M$1,INDIRECT("Table!A"&amp;$AL157):INDIRECT("Table!" &amp; $AO$275 &amp; $AL157),0)),"",INDIRECT(CONCATENATE("Table!",ADDRESS(#REF!,MATCH(M$1,INDIRECT("Table!A" &amp; $AL157):INDIRECT("Table!" &amp; $AO$275 &amp; $AL157),0))))/1024)</f>
        <v/>
      </c>
      <c r="M157" s="22" t="str">
        <f ca="1">IF(ISERROR(MATCH(N$1,INDIRECT("Table!A"&amp;$AL157):INDIRECT("Table!" &amp; $AO$275 &amp; $AL157),0)),"",INDIRECT(CONCATENATE("Table!",ADDRESS(#REF!,MATCH(N$1,INDIRECT("Table!A" &amp; $AL157):INDIRECT("Table!" &amp; $AO$275 &amp; $AL157),0))))/1024)</f>
        <v/>
      </c>
      <c r="N157" s="22" t="str">
        <f ca="1">IF(ISERROR(MATCH(O$1,INDIRECT("Table!A"&amp;$AL157):INDIRECT("Table!" &amp; $AO$275 &amp; $AL157),0)),"",INDIRECT(CONCATENATE("Table!",ADDRESS(#REF!,MATCH(O$1,INDIRECT("Table!A" &amp; $AL157):INDIRECT("Table!" &amp; $AO$275 &amp; $AL157),0))))/1024)</f>
        <v/>
      </c>
      <c r="O157" s="22"/>
      <c r="P157" s="272"/>
      <c r="Q157" s="22"/>
      <c r="R157" s="183"/>
      <c r="T157" s="595"/>
      <c r="U157" s="183"/>
      <c r="AJ157" s="183"/>
      <c r="AK157" s="183"/>
      <c r="AL157" s="22"/>
      <c r="AM157" s="183"/>
      <c r="AN157" s="183"/>
      <c r="AO157" s="29"/>
    </row>
    <row r="158" spans="2:41" x14ac:dyDescent="0.25">
      <c r="B158" s="22" t="str">
        <f ca="1">IF(ISERROR(MATCH(B$1,INDIRECT("Table!A"&amp;$AL158):INDIRECT("Table!" &amp; $AO$275 &amp; $AL158),0)),"",INDIRECT(CONCATENATE("Table!",ADDRESS(#REF!,MATCH(B$1,INDIRECT("Table!A" &amp; $AL158):INDIRECT("Table!" &amp; $AO$275 &amp; $AL158),0))))/1024)</f>
        <v/>
      </c>
      <c r="C158" s="22" t="str">
        <f ca="1">IF(ISERROR(MATCH(C$1,INDIRECT("Table!A"&amp;$AL158):INDIRECT("Table!" &amp; $AO$275 &amp; $AL158),0)),"",INDIRECT(CONCATENATE("Table!",ADDRESS(#REF!,MATCH(C$1,INDIRECT("Table!A" &amp; $AL158):INDIRECT("Table!" &amp; $AO$275 &amp; $AL158),0))))/1024)</f>
        <v/>
      </c>
      <c r="D158" s="22" t="str">
        <f ca="1">IF(ISERROR(MATCH(D$1,INDIRECT("Table!A"&amp;$AL158):INDIRECT("Table!" &amp; $AO$275 &amp; $AL158),0)),"",INDIRECT(CONCATENATE("Table!",ADDRESS(#REF!,MATCH(D$1,INDIRECT("Table!A" &amp; $AL158):INDIRECT("Table!" &amp; $AO$275 &amp; $AL158),0))))/1024)</f>
        <v/>
      </c>
      <c r="E158" s="22" t="str">
        <f ca="1">IF(ISERROR(MATCH(E$1,INDIRECT("Table!A"&amp;$AL158):INDIRECT("Table!" &amp; $AO$275 &amp; $AL158),0)),"",INDIRECT(CONCATENATE("Table!",ADDRESS(#REF!,MATCH(E$1,INDIRECT("Table!A" &amp; $AL158):INDIRECT("Table!" &amp; $AO$275 &amp; $AL158),0))))/1024)</f>
        <v/>
      </c>
      <c r="F158" s="22" t="str">
        <f ca="1">IF(ISERROR(MATCH(F$1,INDIRECT("Table!A"&amp;$AL158):INDIRECT("Table!" &amp; $AO$275 &amp; $AL158),0)),"",INDIRECT(CONCATENATE("Table!",ADDRESS(#REF!,MATCH(F$1,INDIRECT("Table!A" &amp; $AL158):INDIRECT("Table!" &amp; $AO$275 &amp; $AL158),0))))/1024)</f>
        <v/>
      </c>
      <c r="G158" s="22" t="str">
        <f ca="1">IF(ISERROR(MATCH(G$1,INDIRECT("Table!A"&amp;$AL158):INDIRECT("Table!" &amp; $AO$275 &amp; $AL158),0)),"",INDIRECT(CONCATENATE("Table!",ADDRESS(#REF!,MATCH(G$1,INDIRECT("Table!A" &amp; $AL158):INDIRECT("Table!" &amp; $AO$275 &amp; $AL158),0))))/1024)</f>
        <v/>
      </c>
      <c r="H158" s="22" t="str">
        <f ca="1">IF(ISERROR(MATCH(H$1,INDIRECT("Table!A"&amp;$AL158):INDIRECT("Table!" &amp; $AO$275 &amp; $AL158),0)),"",INDIRECT(CONCATENATE("Table!",ADDRESS(#REF!,MATCH(H$1,INDIRECT("Table!A" &amp; $AL158):INDIRECT("Table!" &amp; $AO$275 &amp; $AL158),0))))/1024)</f>
        <v/>
      </c>
      <c r="K158" s="22" t="str">
        <f ca="1">IF(ISERROR(MATCH(L$1,INDIRECT("Table!A"&amp;$AL158):INDIRECT("Table!" &amp; $AO$275 &amp; $AL158),0)),"",INDIRECT(CONCATENATE("Table!",ADDRESS(#REF!,MATCH(L$1,INDIRECT("Table!A" &amp; $AL158):INDIRECT("Table!" &amp; $AO$275 &amp; $AL158),0))))/1024)</f>
        <v/>
      </c>
      <c r="L158" s="22" t="str">
        <f ca="1">IF(ISERROR(MATCH(M$1,INDIRECT("Table!A"&amp;$AL158):INDIRECT("Table!" &amp; $AO$275 &amp; $AL158),0)),"",INDIRECT(CONCATENATE("Table!",ADDRESS(#REF!,MATCH(M$1,INDIRECT("Table!A" &amp; $AL158):INDIRECT("Table!" &amp; $AO$275 &amp; $AL158),0))))/1024)</f>
        <v/>
      </c>
      <c r="M158" s="22" t="str">
        <f ca="1">IF(ISERROR(MATCH(N$1,INDIRECT("Table!A"&amp;$AL158):INDIRECT("Table!" &amp; $AO$275 &amp; $AL158),0)),"",INDIRECT(CONCATENATE("Table!",ADDRESS(#REF!,MATCH(N$1,INDIRECT("Table!A" &amp; $AL158):INDIRECT("Table!" &amp; $AO$275 &amp; $AL158),0))))/1024)</f>
        <v/>
      </c>
      <c r="N158" s="22" t="str">
        <f ca="1">IF(ISERROR(MATCH(O$1,INDIRECT("Table!A"&amp;$AL158):INDIRECT("Table!" &amp; $AO$275 &amp; $AL158),0)),"",INDIRECT(CONCATENATE("Table!",ADDRESS(#REF!,MATCH(O$1,INDIRECT("Table!A" &amp; $AL158):INDIRECT("Table!" &amp; $AO$275 &amp; $AL158),0))))/1024)</f>
        <v/>
      </c>
      <c r="O158" s="22"/>
      <c r="P158" s="272"/>
      <c r="Q158" s="22"/>
      <c r="R158" s="182"/>
      <c r="T158" s="595"/>
      <c r="U158" s="182"/>
      <c r="AJ158" s="182"/>
      <c r="AK158" s="182"/>
      <c r="AL158" s="22"/>
      <c r="AM158" s="182"/>
      <c r="AN158" s="182"/>
      <c r="AO158" s="29"/>
    </row>
    <row r="159" spans="2:41" x14ac:dyDescent="0.25">
      <c r="B159" s="22" t="str">
        <f ca="1">IF(ISERROR(MATCH(B$1,INDIRECT("Table!A"&amp;$AL159):INDIRECT("Table!" &amp; $AO$275 &amp; $AL159),0)),"",INDIRECT(CONCATENATE("Table!",ADDRESS(#REF!,MATCH(B$1,INDIRECT("Table!A" &amp; $AL159):INDIRECT("Table!" &amp; $AO$275 &amp; $AL159),0))))/1024)</f>
        <v/>
      </c>
      <c r="C159" s="22" t="str">
        <f ca="1">IF(ISERROR(MATCH(C$1,INDIRECT("Table!A"&amp;$AL159):INDIRECT("Table!" &amp; $AO$275 &amp; $AL159),0)),"",INDIRECT(CONCATENATE("Table!",ADDRESS(#REF!,MATCH(C$1,INDIRECT("Table!A" &amp; $AL159):INDIRECT("Table!" &amp; $AO$275 &amp; $AL159),0))))/1024)</f>
        <v/>
      </c>
      <c r="D159" s="22" t="str">
        <f ca="1">IF(ISERROR(MATCH(D$1,INDIRECT("Table!A"&amp;$AL159):INDIRECT("Table!" &amp; $AO$275 &amp; $AL159),0)),"",INDIRECT(CONCATENATE("Table!",ADDRESS(#REF!,MATCH(D$1,INDIRECT("Table!A" &amp; $AL159):INDIRECT("Table!" &amp; $AO$275 &amp; $AL159),0))))/1024)</f>
        <v/>
      </c>
      <c r="E159" s="22" t="str">
        <f ca="1">IF(ISERROR(MATCH(E$1,INDIRECT("Table!A"&amp;$AL159):INDIRECT("Table!" &amp; $AO$275 &amp; $AL159),0)),"",INDIRECT(CONCATENATE("Table!",ADDRESS(#REF!,MATCH(E$1,INDIRECT("Table!A" &amp; $AL159):INDIRECT("Table!" &amp; $AO$275 &amp; $AL159),0))))/1024)</f>
        <v/>
      </c>
      <c r="F159" s="22" t="str">
        <f ca="1">IF(ISERROR(MATCH(F$1,INDIRECT("Table!A"&amp;$AL159):INDIRECT("Table!" &amp; $AO$275 &amp; $AL159),0)),"",INDIRECT(CONCATENATE("Table!",ADDRESS(#REF!,MATCH(F$1,INDIRECT("Table!A" &amp; $AL159):INDIRECT("Table!" &amp; $AO$275 &amp; $AL159),0))))/1024)</f>
        <v/>
      </c>
      <c r="G159" s="22" t="str">
        <f ca="1">IF(ISERROR(MATCH(G$1,INDIRECT("Table!A"&amp;$AL159):INDIRECT("Table!" &amp; $AO$275 &amp; $AL159),0)),"",INDIRECT(CONCATENATE("Table!",ADDRESS(#REF!,MATCH(G$1,INDIRECT("Table!A" &amp; $AL159):INDIRECT("Table!" &amp; $AO$275 &amp; $AL159),0))))/1024)</f>
        <v/>
      </c>
      <c r="H159" s="22" t="str">
        <f ca="1">IF(ISERROR(MATCH(H$1,INDIRECT("Table!A"&amp;$AL159):INDIRECT("Table!" &amp; $AO$275 &amp; $AL159),0)),"",INDIRECT(CONCATENATE("Table!",ADDRESS(#REF!,MATCH(H$1,INDIRECT("Table!A" &amp; $AL159):INDIRECT("Table!" &amp; $AO$275 &amp; $AL159),0))))/1024)</f>
        <v/>
      </c>
      <c r="K159" s="22" t="str">
        <f ca="1">IF(ISERROR(MATCH(L$1,INDIRECT("Table!A"&amp;$AL159):INDIRECT("Table!" &amp; $AO$275 &amp; $AL159),0)),"",INDIRECT(CONCATENATE("Table!",ADDRESS(#REF!,MATCH(L$1,INDIRECT("Table!A" &amp; $AL159):INDIRECT("Table!" &amp; $AO$275 &amp; $AL159),0))))/1024)</f>
        <v/>
      </c>
      <c r="L159" s="22" t="str">
        <f ca="1">IF(ISERROR(MATCH(M$1,INDIRECT("Table!A"&amp;$AL159):INDIRECT("Table!" &amp; $AO$275 &amp; $AL159),0)),"",INDIRECT(CONCATENATE("Table!",ADDRESS(#REF!,MATCH(M$1,INDIRECT("Table!A" &amp; $AL159):INDIRECT("Table!" &amp; $AO$275 &amp; $AL159),0))))/1024)</f>
        <v/>
      </c>
      <c r="M159" s="22" t="str">
        <f ca="1">IF(ISERROR(MATCH(N$1,INDIRECT("Table!A"&amp;$AL159):INDIRECT("Table!" &amp; $AO$275 &amp; $AL159),0)),"",INDIRECT(CONCATENATE("Table!",ADDRESS(#REF!,MATCH(N$1,INDIRECT("Table!A" &amp; $AL159):INDIRECT("Table!" &amp; $AO$275 &amp; $AL159),0))))/1024)</f>
        <v/>
      </c>
      <c r="N159" s="22" t="str">
        <f ca="1">IF(ISERROR(MATCH(O$1,INDIRECT("Table!A"&amp;$AL159):INDIRECT("Table!" &amp; $AO$275 &amp; $AL159),0)),"",INDIRECT(CONCATENATE("Table!",ADDRESS(#REF!,MATCH(O$1,INDIRECT("Table!A" &amp; $AL159):INDIRECT("Table!" &amp; $AO$275 &amp; $AL159),0))))/1024)</f>
        <v/>
      </c>
      <c r="O159" s="22"/>
      <c r="P159" s="272"/>
      <c r="Q159" s="22"/>
      <c r="R159" s="181"/>
      <c r="T159" s="595"/>
      <c r="U159" s="181"/>
      <c r="AJ159" s="181"/>
      <c r="AK159" s="181"/>
      <c r="AL159" s="22"/>
      <c r="AM159" s="181"/>
      <c r="AN159" s="181"/>
      <c r="AO159" s="29"/>
    </row>
    <row r="160" spans="2:41" x14ac:dyDescent="0.25">
      <c r="B160" s="22" t="str">
        <f ca="1">IF(ISERROR(MATCH(B$1,INDIRECT("Table!A"&amp;$AL160):INDIRECT("Table!" &amp; $AO$275 &amp; $AL160),0)),"",INDIRECT(CONCATENATE("Table!",ADDRESS(#REF!,MATCH(B$1,INDIRECT("Table!A" &amp; $AL160):INDIRECT("Table!" &amp; $AO$275 &amp; $AL160),0))))/1024)</f>
        <v/>
      </c>
      <c r="C160" s="22" t="str">
        <f ca="1">IF(ISERROR(MATCH(C$1,INDIRECT("Table!A"&amp;$AL160):INDIRECT("Table!" &amp; $AO$275 &amp; $AL160),0)),"",INDIRECT(CONCATENATE("Table!",ADDRESS(#REF!,MATCH(C$1,INDIRECT("Table!A" &amp; $AL160):INDIRECT("Table!" &amp; $AO$275 &amp; $AL160),0))))/1024)</f>
        <v/>
      </c>
      <c r="D160" s="22" t="str">
        <f ca="1">IF(ISERROR(MATCH(D$1,INDIRECT("Table!A"&amp;$AL160):INDIRECT("Table!" &amp; $AO$275 &amp; $AL160),0)),"",INDIRECT(CONCATENATE("Table!",ADDRESS(#REF!,MATCH(D$1,INDIRECT("Table!A" &amp; $AL160):INDIRECT("Table!" &amp; $AO$275 &amp; $AL160),0))))/1024)</f>
        <v/>
      </c>
      <c r="E160" s="22" t="str">
        <f ca="1">IF(ISERROR(MATCH(E$1,INDIRECT("Table!A"&amp;$AL160):INDIRECT("Table!" &amp; $AO$275 &amp; $AL160),0)),"",INDIRECT(CONCATENATE("Table!",ADDRESS(#REF!,MATCH(E$1,INDIRECT("Table!A" &amp; $AL160):INDIRECT("Table!" &amp; $AO$275 &amp; $AL160),0))))/1024)</f>
        <v/>
      </c>
      <c r="F160" s="22" t="str">
        <f ca="1">IF(ISERROR(MATCH(F$1,INDIRECT("Table!A"&amp;$AL160):INDIRECT("Table!" &amp; $AO$275 &amp; $AL160),0)),"",INDIRECT(CONCATENATE("Table!",ADDRESS(#REF!,MATCH(F$1,INDIRECT("Table!A" &amp; $AL160):INDIRECT("Table!" &amp; $AO$275 &amp; $AL160),0))))/1024)</f>
        <v/>
      </c>
      <c r="G160" s="22" t="str">
        <f ca="1">IF(ISERROR(MATCH(G$1,INDIRECT("Table!A"&amp;$AL160):INDIRECT("Table!" &amp; $AO$275 &amp; $AL160),0)),"",INDIRECT(CONCATENATE("Table!",ADDRESS(#REF!,MATCH(G$1,INDIRECT("Table!A" &amp; $AL160):INDIRECT("Table!" &amp; $AO$275 &amp; $AL160),0))))/1024)</f>
        <v/>
      </c>
      <c r="H160" s="22" t="str">
        <f ca="1">IF(ISERROR(MATCH(H$1,INDIRECT("Table!A"&amp;$AL160):INDIRECT("Table!" &amp; $AO$275 &amp; $AL160),0)),"",INDIRECT(CONCATENATE("Table!",ADDRESS(#REF!,MATCH(H$1,INDIRECT("Table!A" &amp; $AL160):INDIRECT("Table!" &amp; $AO$275 &amp; $AL160),0))))/1024)</f>
        <v/>
      </c>
      <c r="K160" s="22" t="str">
        <f ca="1">IF(ISERROR(MATCH(L$1,INDIRECT("Table!A"&amp;$AL160):INDIRECT("Table!" &amp; $AO$275 &amp; $AL160),0)),"",INDIRECT(CONCATENATE("Table!",ADDRESS(#REF!,MATCH(L$1,INDIRECT("Table!A" &amp; $AL160):INDIRECT("Table!" &amp; $AO$275 &amp; $AL160),0))))/1024)</f>
        <v/>
      </c>
      <c r="L160" s="22" t="str">
        <f ca="1">IF(ISERROR(MATCH(M$1,INDIRECT("Table!A"&amp;$AL160):INDIRECT("Table!" &amp; $AO$275 &amp; $AL160),0)),"",INDIRECT(CONCATENATE("Table!",ADDRESS(#REF!,MATCH(M$1,INDIRECT("Table!A" &amp; $AL160):INDIRECT("Table!" &amp; $AO$275 &amp; $AL160),0))))/1024)</f>
        <v/>
      </c>
      <c r="M160" s="22" t="str">
        <f ca="1">IF(ISERROR(MATCH(N$1,INDIRECT("Table!A"&amp;$AL160):INDIRECT("Table!" &amp; $AO$275 &amp; $AL160),0)),"",INDIRECT(CONCATENATE("Table!",ADDRESS(#REF!,MATCH(N$1,INDIRECT("Table!A" &amp; $AL160):INDIRECT("Table!" &amp; $AO$275 &amp; $AL160),0))))/1024)</f>
        <v/>
      </c>
      <c r="N160" s="22" t="str">
        <f ca="1">IF(ISERROR(MATCH(O$1,INDIRECT("Table!A"&amp;$AL160):INDIRECT("Table!" &amp; $AO$275 &amp; $AL160),0)),"",INDIRECT(CONCATENATE("Table!",ADDRESS(#REF!,MATCH(O$1,INDIRECT("Table!A" &amp; $AL160):INDIRECT("Table!" &amp; $AO$275 &amp; $AL160),0))))/1024)</f>
        <v/>
      </c>
      <c r="O160" s="22"/>
      <c r="P160" s="272"/>
      <c r="Q160" s="22"/>
      <c r="R160" s="180"/>
      <c r="T160" s="595"/>
      <c r="U160" s="180"/>
      <c r="AJ160" s="180"/>
      <c r="AK160" s="180"/>
      <c r="AL160" s="22"/>
      <c r="AM160" s="180"/>
      <c r="AN160" s="180"/>
      <c r="AO160" s="29"/>
    </row>
    <row r="161" spans="2:41" x14ac:dyDescent="0.25">
      <c r="B161" s="22" t="str">
        <f ca="1">IF(ISERROR(MATCH(B$1,INDIRECT("Table!A"&amp;$AL161):INDIRECT("Table!" &amp; $AO$275 &amp; $AL161),0)),"",INDIRECT(CONCATENATE("Table!",ADDRESS(#REF!,MATCH(B$1,INDIRECT("Table!A" &amp; $AL161):INDIRECT("Table!" &amp; $AO$275 &amp; $AL161),0))))/1024)</f>
        <v/>
      </c>
      <c r="C161" s="22" t="str">
        <f ca="1">IF(ISERROR(MATCH(C$1,INDIRECT("Table!A"&amp;$AL161):INDIRECT("Table!" &amp; $AO$275 &amp; $AL161),0)),"",INDIRECT(CONCATENATE("Table!",ADDRESS(#REF!,MATCH(C$1,INDIRECT("Table!A" &amp; $AL161):INDIRECT("Table!" &amp; $AO$275 &amp; $AL161),0))))/1024)</f>
        <v/>
      </c>
      <c r="D161" s="22" t="str">
        <f ca="1">IF(ISERROR(MATCH(D$1,INDIRECT("Table!A"&amp;$AL161):INDIRECT("Table!" &amp; $AO$275 &amp; $AL161),0)),"",INDIRECT(CONCATENATE("Table!",ADDRESS(#REF!,MATCH(D$1,INDIRECT("Table!A" &amp; $AL161):INDIRECT("Table!" &amp; $AO$275 &amp; $AL161),0))))/1024)</f>
        <v/>
      </c>
      <c r="E161" s="22" t="str">
        <f ca="1">IF(ISERROR(MATCH(E$1,INDIRECT("Table!A"&amp;$AL161):INDIRECT("Table!" &amp; $AO$275 &amp; $AL161),0)),"",INDIRECT(CONCATENATE("Table!",ADDRESS(#REF!,MATCH(E$1,INDIRECT("Table!A" &amp; $AL161):INDIRECT("Table!" &amp; $AO$275 &amp; $AL161),0))))/1024)</f>
        <v/>
      </c>
      <c r="F161" s="22" t="str">
        <f ca="1">IF(ISERROR(MATCH(F$1,INDIRECT("Table!A"&amp;$AL161):INDIRECT("Table!" &amp; $AO$275 &amp; $AL161),0)),"",INDIRECT(CONCATENATE("Table!",ADDRESS(#REF!,MATCH(F$1,INDIRECT("Table!A" &amp; $AL161):INDIRECT("Table!" &amp; $AO$275 &amp; $AL161),0))))/1024)</f>
        <v/>
      </c>
      <c r="G161" s="22" t="str">
        <f ca="1">IF(ISERROR(MATCH(G$1,INDIRECT("Table!A"&amp;$AL161):INDIRECT("Table!" &amp; $AO$275 &amp; $AL161),0)),"",INDIRECT(CONCATENATE("Table!",ADDRESS(#REF!,MATCH(G$1,INDIRECT("Table!A" &amp; $AL161):INDIRECT("Table!" &amp; $AO$275 &amp; $AL161),0))))/1024)</f>
        <v/>
      </c>
      <c r="H161" s="22" t="str">
        <f ca="1">IF(ISERROR(MATCH(H$1,INDIRECT("Table!A"&amp;$AL161):INDIRECT("Table!" &amp; $AO$275 &amp; $AL161),0)),"",INDIRECT(CONCATENATE("Table!",ADDRESS(#REF!,MATCH(H$1,INDIRECT("Table!A" &amp; $AL161):INDIRECT("Table!" &amp; $AO$275 &amp; $AL161),0))))/1024)</f>
        <v/>
      </c>
      <c r="K161" s="22" t="str">
        <f ca="1">IF(ISERROR(MATCH(L$1,INDIRECT("Table!A"&amp;$AL161):INDIRECT("Table!" &amp; $AO$275 &amp; $AL161),0)),"",INDIRECT(CONCATENATE("Table!",ADDRESS(#REF!,MATCH(L$1,INDIRECT("Table!A" &amp; $AL161):INDIRECT("Table!" &amp; $AO$275 &amp; $AL161),0))))/1024)</f>
        <v/>
      </c>
      <c r="L161" s="22" t="str">
        <f ca="1">IF(ISERROR(MATCH(M$1,INDIRECT("Table!A"&amp;$AL161):INDIRECT("Table!" &amp; $AO$275 &amp; $AL161),0)),"",INDIRECT(CONCATENATE("Table!",ADDRESS(#REF!,MATCH(M$1,INDIRECT("Table!A" &amp; $AL161):INDIRECT("Table!" &amp; $AO$275 &amp; $AL161),0))))/1024)</f>
        <v/>
      </c>
      <c r="M161" s="22" t="str">
        <f ca="1">IF(ISERROR(MATCH(N$1,INDIRECT("Table!A"&amp;$AL161):INDIRECT("Table!" &amp; $AO$275 &amp; $AL161),0)),"",INDIRECT(CONCATENATE("Table!",ADDRESS(#REF!,MATCH(N$1,INDIRECT("Table!A" &amp; $AL161):INDIRECT("Table!" &amp; $AO$275 &amp; $AL161),0))))/1024)</f>
        <v/>
      </c>
      <c r="N161" s="22" t="str">
        <f ca="1">IF(ISERROR(MATCH(O$1,INDIRECT("Table!A"&amp;$AL161):INDIRECT("Table!" &amp; $AO$275 &amp; $AL161),0)),"",INDIRECT(CONCATENATE("Table!",ADDRESS(#REF!,MATCH(O$1,INDIRECT("Table!A" &amp; $AL161):INDIRECT("Table!" &amp; $AO$275 &amp; $AL161),0))))/1024)</f>
        <v/>
      </c>
      <c r="O161" s="22"/>
      <c r="P161" s="272"/>
      <c r="Q161" s="22"/>
      <c r="R161" s="179"/>
      <c r="T161" s="595"/>
      <c r="U161" s="179"/>
      <c r="AJ161" s="179"/>
      <c r="AK161" s="179"/>
      <c r="AL161" s="22"/>
      <c r="AM161" s="179"/>
      <c r="AN161" s="179"/>
      <c r="AO161" s="29"/>
    </row>
    <row r="162" spans="2:41" x14ac:dyDescent="0.25">
      <c r="B162" s="22" t="str">
        <f ca="1">IF(ISERROR(MATCH(B$1,INDIRECT("Table!A"&amp;$AL162):INDIRECT("Table!" &amp; $AO$275 &amp; $AL162),0)),"",INDIRECT(CONCATENATE("Table!",ADDRESS(#REF!,MATCH(B$1,INDIRECT("Table!A" &amp; $AL162):INDIRECT("Table!" &amp; $AO$275 &amp; $AL162),0))))/1024)</f>
        <v/>
      </c>
      <c r="C162" s="22" t="str">
        <f ca="1">IF(ISERROR(MATCH(C$1,INDIRECT("Table!A"&amp;$AL162):INDIRECT("Table!" &amp; $AO$275 &amp; $AL162),0)),"",INDIRECT(CONCATENATE("Table!",ADDRESS(#REF!,MATCH(C$1,INDIRECT("Table!A" &amp; $AL162):INDIRECT("Table!" &amp; $AO$275 &amp; $AL162),0))))/1024)</f>
        <v/>
      </c>
      <c r="D162" s="22" t="str">
        <f ca="1">IF(ISERROR(MATCH(D$1,INDIRECT("Table!A"&amp;$AL162):INDIRECT("Table!" &amp; $AO$275 &amp; $AL162),0)),"",INDIRECT(CONCATENATE("Table!",ADDRESS(#REF!,MATCH(D$1,INDIRECT("Table!A" &amp; $AL162):INDIRECT("Table!" &amp; $AO$275 &amp; $AL162),0))))/1024)</f>
        <v/>
      </c>
      <c r="E162" s="22" t="str">
        <f ca="1">IF(ISERROR(MATCH(E$1,INDIRECT("Table!A"&amp;$AL162):INDIRECT("Table!" &amp; $AO$275 &amp; $AL162),0)),"",INDIRECT(CONCATENATE("Table!",ADDRESS(#REF!,MATCH(E$1,INDIRECT("Table!A" &amp; $AL162):INDIRECT("Table!" &amp; $AO$275 &amp; $AL162),0))))/1024)</f>
        <v/>
      </c>
      <c r="F162" s="22" t="str">
        <f ca="1">IF(ISERROR(MATCH(F$1,INDIRECT("Table!A"&amp;$AL162):INDIRECT("Table!" &amp; $AO$275 &amp; $AL162),0)),"",INDIRECT(CONCATENATE("Table!",ADDRESS(#REF!,MATCH(F$1,INDIRECT("Table!A" &amp; $AL162):INDIRECT("Table!" &amp; $AO$275 &amp; $AL162),0))))/1024)</f>
        <v/>
      </c>
      <c r="G162" s="22" t="str">
        <f ca="1">IF(ISERROR(MATCH(G$1,INDIRECT("Table!A"&amp;$AL162):INDIRECT("Table!" &amp; $AO$275 &amp; $AL162),0)),"",INDIRECT(CONCATENATE("Table!",ADDRESS(#REF!,MATCH(G$1,INDIRECT("Table!A" &amp; $AL162):INDIRECT("Table!" &amp; $AO$275 &amp; $AL162),0))))/1024)</f>
        <v/>
      </c>
      <c r="H162" s="22" t="str">
        <f ca="1">IF(ISERROR(MATCH(H$1,INDIRECT("Table!A"&amp;$AL162):INDIRECT("Table!" &amp; $AO$275 &amp; $AL162),0)),"",INDIRECT(CONCATENATE("Table!",ADDRESS(#REF!,MATCH(H$1,INDIRECT("Table!A" &amp; $AL162):INDIRECT("Table!" &amp; $AO$275 &amp; $AL162),0))))/1024)</f>
        <v/>
      </c>
      <c r="K162" s="22" t="str">
        <f ca="1">IF(ISERROR(MATCH(L$1,INDIRECT("Table!A"&amp;$AL162):INDIRECT("Table!" &amp; $AO$275 &amp; $AL162),0)),"",INDIRECT(CONCATENATE("Table!",ADDRESS(#REF!,MATCH(L$1,INDIRECT("Table!A" &amp; $AL162):INDIRECT("Table!" &amp; $AO$275 &amp; $AL162),0))))/1024)</f>
        <v/>
      </c>
      <c r="L162" s="22" t="str">
        <f ca="1">IF(ISERROR(MATCH(M$1,INDIRECT("Table!A"&amp;$AL162):INDIRECT("Table!" &amp; $AO$275 &amp; $AL162),0)),"",INDIRECT(CONCATENATE("Table!",ADDRESS(#REF!,MATCH(M$1,INDIRECT("Table!A" &amp; $AL162):INDIRECT("Table!" &amp; $AO$275 &amp; $AL162),0))))/1024)</f>
        <v/>
      </c>
      <c r="M162" s="22" t="str">
        <f ca="1">IF(ISERROR(MATCH(N$1,INDIRECT("Table!A"&amp;$AL162):INDIRECT("Table!" &amp; $AO$275 &amp; $AL162),0)),"",INDIRECT(CONCATENATE("Table!",ADDRESS(#REF!,MATCH(N$1,INDIRECT("Table!A" &amp; $AL162):INDIRECT("Table!" &amp; $AO$275 &amp; $AL162),0))))/1024)</f>
        <v/>
      </c>
      <c r="N162" s="22" t="str">
        <f ca="1">IF(ISERROR(MATCH(O$1,INDIRECT("Table!A"&amp;$AL162):INDIRECT("Table!" &amp; $AO$275 &amp; $AL162),0)),"",INDIRECT(CONCATENATE("Table!",ADDRESS(#REF!,MATCH(O$1,INDIRECT("Table!A" &amp; $AL162):INDIRECT("Table!" &amp; $AO$275 &amp; $AL162),0))))/1024)</f>
        <v/>
      </c>
      <c r="O162" s="22"/>
      <c r="P162" s="272"/>
      <c r="Q162" s="22"/>
      <c r="R162" s="179"/>
      <c r="T162" s="595"/>
      <c r="U162" s="179"/>
      <c r="AJ162" s="179"/>
      <c r="AK162" s="179"/>
      <c r="AL162" s="22"/>
      <c r="AM162" s="179"/>
      <c r="AN162" s="179"/>
      <c r="AO162" s="29"/>
    </row>
    <row r="163" spans="2:41" x14ac:dyDescent="0.25">
      <c r="B163" s="22" t="str">
        <f ca="1">IF(ISERROR(MATCH(B$1,INDIRECT("Table!A"&amp;$AL163):INDIRECT("Table!" &amp; $AO$275 &amp; $AL163),0)),"",INDIRECT(CONCATENATE("Table!",ADDRESS(#REF!,MATCH(B$1,INDIRECT("Table!A" &amp; $AL163):INDIRECT("Table!" &amp; $AO$275 &amp; $AL163),0))))/1024)</f>
        <v/>
      </c>
      <c r="C163" s="22" t="str">
        <f ca="1">IF(ISERROR(MATCH(C$1,INDIRECT("Table!A"&amp;$AL163):INDIRECT("Table!" &amp; $AO$275 &amp; $AL163),0)),"",INDIRECT(CONCATENATE("Table!",ADDRESS(#REF!,MATCH(C$1,INDIRECT("Table!A" &amp; $AL163):INDIRECT("Table!" &amp; $AO$275 &amp; $AL163),0))))/1024)</f>
        <v/>
      </c>
      <c r="D163" s="22" t="str">
        <f ca="1">IF(ISERROR(MATCH(D$1,INDIRECT("Table!A"&amp;$AL163):INDIRECT("Table!" &amp; $AO$275 &amp; $AL163),0)),"",INDIRECT(CONCATENATE("Table!",ADDRESS(#REF!,MATCH(D$1,INDIRECT("Table!A" &amp; $AL163):INDIRECT("Table!" &amp; $AO$275 &amp; $AL163),0))))/1024)</f>
        <v/>
      </c>
      <c r="E163" s="22" t="str">
        <f ca="1">IF(ISERROR(MATCH(E$1,INDIRECT("Table!A"&amp;$AL163):INDIRECT("Table!" &amp; $AO$275 &amp; $AL163),0)),"",INDIRECT(CONCATENATE("Table!",ADDRESS(#REF!,MATCH(E$1,INDIRECT("Table!A" &amp; $AL163):INDIRECT("Table!" &amp; $AO$275 &amp; $AL163),0))))/1024)</f>
        <v/>
      </c>
      <c r="F163" s="22" t="str">
        <f ca="1">IF(ISERROR(MATCH(F$1,INDIRECT("Table!A"&amp;$AL163):INDIRECT("Table!" &amp; $AO$275 &amp; $AL163),0)),"",INDIRECT(CONCATENATE("Table!",ADDRESS(#REF!,MATCH(F$1,INDIRECT("Table!A" &amp; $AL163):INDIRECT("Table!" &amp; $AO$275 &amp; $AL163),0))))/1024)</f>
        <v/>
      </c>
      <c r="G163" s="22" t="str">
        <f ca="1">IF(ISERROR(MATCH(G$1,INDIRECT("Table!A"&amp;$AL163):INDIRECT("Table!" &amp; $AO$275 &amp; $AL163),0)),"",INDIRECT(CONCATENATE("Table!",ADDRESS(#REF!,MATCH(G$1,INDIRECT("Table!A" &amp; $AL163):INDIRECT("Table!" &amp; $AO$275 &amp; $AL163),0))))/1024)</f>
        <v/>
      </c>
      <c r="H163" s="22" t="str">
        <f ca="1">IF(ISERROR(MATCH(H$1,INDIRECT("Table!A"&amp;$AL163):INDIRECT("Table!" &amp; $AO$275 &amp; $AL163),0)),"",INDIRECT(CONCATENATE("Table!",ADDRESS(#REF!,MATCH(H$1,INDIRECT("Table!A" &amp; $AL163):INDIRECT("Table!" &amp; $AO$275 &amp; $AL163),0))))/1024)</f>
        <v/>
      </c>
      <c r="K163" s="22" t="str">
        <f ca="1">IF(ISERROR(MATCH(L$1,INDIRECT("Table!A"&amp;$AL163):INDIRECT("Table!" &amp; $AO$275 &amp; $AL163),0)),"",INDIRECT(CONCATENATE("Table!",ADDRESS(#REF!,MATCH(L$1,INDIRECT("Table!A" &amp; $AL163):INDIRECT("Table!" &amp; $AO$275 &amp; $AL163),0))))/1024)</f>
        <v/>
      </c>
      <c r="L163" s="22" t="str">
        <f ca="1">IF(ISERROR(MATCH(M$1,INDIRECT("Table!A"&amp;$AL163):INDIRECT("Table!" &amp; $AO$275 &amp; $AL163),0)),"",INDIRECT(CONCATENATE("Table!",ADDRESS(#REF!,MATCH(M$1,INDIRECT("Table!A" &amp; $AL163):INDIRECT("Table!" &amp; $AO$275 &amp; $AL163),0))))/1024)</f>
        <v/>
      </c>
      <c r="M163" s="22" t="str">
        <f ca="1">IF(ISERROR(MATCH(N$1,INDIRECT("Table!A"&amp;$AL163):INDIRECT("Table!" &amp; $AO$275 &amp; $AL163),0)),"",INDIRECT(CONCATENATE("Table!",ADDRESS(#REF!,MATCH(N$1,INDIRECT("Table!A" &amp; $AL163):INDIRECT("Table!" &amp; $AO$275 &amp; $AL163),0))))/1024)</f>
        <v/>
      </c>
      <c r="N163" s="22" t="str">
        <f ca="1">IF(ISERROR(MATCH(O$1,INDIRECT("Table!A"&amp;$AL163):INDIRECT("Table!" &amp; $AO$275 &amp; $AL163),0)),"",INDIRECT(CONCATENATE("Table!",ADDRESS(#REF!,MATCH(O$1,INDIRECT("Table!A" &amp; $AL163):INDIRECT("Table!" &amp; $AO$275 &amp; $AL163),0))))/1024)</f>
        <v/>
      </c>
      <c r="O163" s="22"/>
      <c r="P163" s="272"/>
      <c r="Q163" s="22"/>
      <c r="R163" s="179"/>
      <c r="T163" s="595"/>
      <c r="U163" s="179"/>
      <c r="AJ163" s="179"/>
      <c r="AK163" s="179"/>
      <c r="AL163" s="22"/>
      <c r="AM163" s="179"/>
      <c r="AN163" s="179"/>
      <c r="AO163" s="29"/>
    </row>
    <row r="164" spans="2:41" x14ac:dyDescent="0.25">
      <c r="B164" s="22" t="str">
        <f ca="1">IF(ISERROR(MATCH(B$1,INDIRECT("Table!A"&amp;$AL164):INDIRECT("Table!" &amp; $AO$275 &amp; $AL164),0)),"",INDIRECT(CONCATENATE("Table!",ADDRESS(#REF!,MATCH(B$1,INDIRECT("Table!A" &amp; $AL164):INDIRECT("Table!" &amp; $AO$275 &amp; $AL164),0))))/1024)</f>
        <v/>
      </c>
      <c r="C164" s="22" t="str">
        <f ca="1">IF(ISERROR(MATCH(C$1,INDIRECT("Table!A"&amp;$AL164):INDIRECT("Table!" &amp; $AO$275 &amp; $AL164),0)),"",INDIRECT(CONCATENATE("Table!",ADDRESS(#REF!,MATCH(C$1,INDIRECT("Table!A" &amp; $AL164):INDIRECT("Table!" &amp; $AO$275 &amp; $AL164),0))))/1024)</f>
        <v/>
      </c>
      <c r="D164" s="22" t="str">
        <f ca="1">IF(ISERROR(MATCH(D$1,INDIRECT("Table!A"&amp;$AL164):INDIRECT("Table!" &amp; $AO$275 &amp; $AL164),0)),"",INDIRECT(CONCATENATE("Table!",ADDRESS(#REF!,MATCH(D$1,INDIRECT("Table!A" &amp; $AL164):INDIRECT("Table!" &amp; $AO$275 &amp; $AL164),0))))/1024)</f>
        <v/>
      </c>
      <c r="E164" s="22" t="str">
        <f ca="1">IF(ISERROR(MATCH(E$1,INDIRECT("Table!A"&amp;$AL164):INDIRECT("Table!" &amp; $AO$275 &amp; $AL164),0)),"",INDIRECT(CONCATENATE("Table!",ADDRESS(#REF!,MATCH(E$1,INDIRECT("Table!A" &amp; $AL164):INDIRECT("Table!" &amp; $AO$275 &amp; $AL164),0))))/1024)</f>
        <v/>
      </c>
      <c r="F164" s="22" t="str">
        <f ca="1">IF(ISERROR(MATCH(F$1,INDIRECT("Table!A"&amp;$AL164):INDIRECT("Table!" &amp; $AO$275 &amp; $AL164),0)),"",INDIRECT(CONCATENATE("Table!",ADDRESS(#REF!,MATCH(F$1,INDIRECT("Table!A" &amp; $AL164):INDIRECT("Table!" &amp; $AO$275 &amp; $AL164),0))))/1024)</f>
        <v/>
      </c>
      <c r="G164" s="22" t="str">
        <f ca="1">IF(ISERROR(MATCH(G$1,INDIRECT("Table!A"&amp;$AL164):INDIRECT("Table!" &amp; $AO$275 &amp; $AL164),0)),"",INDIRECT(CONCATENATE("Table!",ADDRESS(#REF!,MATCH(G$1,INDIRECT("Table!A" &amp; $AL164):INDIRECT("Table!" &amp; $AO$275 &amp; $AL164),0))))/1024)</f>
        <v/>
      </c>
      <c r="H164" s="22" t="str">
        <f ca="1">IF(ISERROR(MATCH(H$1,INDIRECT("Table!A"&amp;$AL164):INDIRECT("Table!" &amp; $AO$275 &amp; $AL164),0)),"",INDIRECT(CONCATENATE("Table!",ADDRESS(#REF!,MATCH(H$1,INDIRECT("Table!A" &amp; $AL164):INDIRECT("Table!" &amp; $AO$275 &amp; $AL164),0))))/1024)</f>
        <v/>
      </c>
      <c r="K164" s="22" t="str">
        <f ca="1">IF(ISERROR(MATCH(L$1,INDIRECT("Table!A"&amp;$AL164):INDIRECT("Table!" &amp; $AO$275 &amp; $AL164),0)),"",INDIRECT(CONCATENATE("Table!",ADDRESS(#REF!,MATCH(L$1,INDIRECT("Table!A" &amp; $AL164):INDIRECT("Table!" &amp; $AO$275 &amp; $AL164),0))))/1024)</f>
        <v/>
      </c>
      <c r="L164" s="22" t="str">
        <f ca="1">IF(ISERROR(MATCH(M$1,INDIRECT("Table!A"&amp;$AL164):INDIRECT("Table!" &amp; $AO$275 &amp; $AL164),0)),"",INDIRECT(CONCATENATE("Table!",ADDRESS(#REF!,MATCH(M$1,INDIRECT("Table!A" &amp; $AL164):INDIRECT("Table!" &amp; $AO$275 &amp; $AL164),0))))/1024)</f>
        <v/>
      </c>
      <c r="M164" s="22" t="str">
        <f ca="1">IF(ISERROR(MATCH(N$1,INDIRECT("Table!A"&amp;$AL164):INDIRECT("Table!" &amp; $AO$275 &amp; $AL164),0)),"",INDIRECT(CONCATENATE("Table!",ADDRESS(#REF!,MATCH(N$1,INDIRECT("Table!A" &amp; $AL164):INDIRECT("Table!" &amp; $AO$275 &amp; $AL164),0))))/1024)</f>
        <v/>
      </c>
      <c r="N164" s="22" t="str">
        <f ca="1">IF(ISERROR(MATCH(O$1,INDIRECT("Table!A"&amp;$AL164):INDIRECT("Table!" &amp; $AO$275 &amp; $AL164),0)),"",INDIRECT(CONCATENATE("Table!",ADDRESS(#REF!,MATCH(O$1,INDIRECT("Table!A" &amp; $AL164):INDIRECT("Table!" &amp; $AO$275 &amp; $AL164),0))))/1024)</f>
        <v/>
      </c>
      <c r="O164" s="22"/>
      <c r="P164" s="272"/>
      <c r="Q164" s="22"/>
      <c r="R164" s="178"/>
      <c r="T164" s="595"/>
      <c r="U164" s="178"/>
      <c r="AJ164" s="178"/>
      <c r="AK164" s="178"/>
      <c r="AL164" s="22"/>
      <c r="AM164" s="178"/>
      <c r="AN164" s="178"/>
      <c r="AO164" s="29"/>
    </row>
    <row r="165" spans="2:41" x14ac:dyDescent="0.25">
      <c r="B165" s="22" t="str">
        <f ca="1">IF(ISERROR(MATCH(B$1,INDIRECT("Table!A"&amp;$AL165):INDIRECT("Table!" &amp; $AO$275 &amp; $AL165),0)),"",INDIRECT(CONCATENATE("Table!",ADDRESS(#REF!,MATCH(B$1,INDIRECT("Table!A" &amp; $AL165):INDIRECT("Table!" &amp; $AO$275 &amp; $AL165),0))))/1024)</f>
        <v/>
      </c>
      <c r="C165" s="22" t="str">
        <f ca="1">IF(ISERROR(MATCH(C$1,INDIRECT("Table!A"&amp;$AL165):INDIRECT("Table!" &amp; $AO$275 &amp; $AL165),0)),"",INDIRECT(CONCATENATE("Table!",ADDRESS(#REF!,MATCH(C$1,INDIRECT("Table!A" &amp; $AL165):INDIRECT("Table!" &amp; $AO$275 &amp; $AL165),0))))/1024)</f>
        <v/>
      </c>
      <c r="D165" s="22" t="str">
        <f ca="1">IF(ISERROR(MATCH(D$1,INDIRECT("Table!A"&amp;$AL165):INDIRECT("Table!" &amp; $AO$275 &amp; $AL165),0)),"",INDIRECT(CONCATENATE("Table!",ADDRESS(#REF!,MATCH(D$1,INDIRECT("Table!A" &amp; $AL165):INDIRECT("Table!" &amp; $AO$275 &amp; $AL165),0))))/1024)</f>
        <v/>
      </c>
      <c r="E165" s="22" t="str">
        <f ca="1">IF(ISERROR(MATCH(E$1,INDIRECT("Table!A"&amp;$AL165):INDIRECT("Table!" &amp; $AO$275 &amp; $AL165),0)),"",INDIRECT(CONCATENATE("Table!",ADDRESS(#REF!,MATCH(E$1,INDIRECT("Table!A" &amp; $AL165):INDIRECT("Table!" &amp; $AO$275 &amp; $AL165),0))))/1024)</f>
        <v/>
      </c>
      <c r="F165" s="22" t="str">
        <f ca="1">IF(ISERROR(MATCH(F$1,INDIRECT("Table!A"&amp;$AL165):INDIRECT("Table!" &amp; $AO$275 &amp; $AL165),0)),"",INDIRECT(CONCATENATE("Table!",ADDRESS(#REF!,MATCH(F$1,INDIRECT("Table!A" &amp; $AL165):INDIRECT("Table!" &amp; $AO$275 &amp; $AL165),0))))/1024)</f>
        <v/>
      </c>
      <c r="G165" s="22" t="str">
        <f ca="1">IF(ISERROR(MATCH(G$1,INDIRECT("Table!A"&amp;$AL165):INDIRECT("Table!" &amp; $AO$275 &amp; $AL165),0)),"",INDIRECT(CONCATENATE("Table!",ADDRESS(#REF!,MATCH(G$1,INDIRECT("Table!A" &amp; $AL165):INDIRECT("Table!" &amp; $AO$275 &amp; $AL165),0))))/1024)</f>
        <v/>
      </c>
      <c r="H165" s="22" t="str">
        <f ca="1">IF(ISERROR(MATCH(H$1,INDIRECT("Table!A"&amp;$AL165):INDIRECT("Table!" &amp; $AO$275 &amp; $AL165),0)),"",INDIRECT(CONCATENATE("Table!",ADDRESS(#REF!,MATCH(H$1,INDIRECT("Table!A" &amp; $AL165):INDIRECT("Table!" &amp; $AO$275 &amp; $AL165),0))))/1024)</f>
        <v/>
      </c>
      <c r="K165" s="22" t="str">
        <f ca="1">IF(ISERROR(MATCH(L$1,INDIRECT("Table!A"&amp;$AL165):INDIRECT("Table!" &amp; $AO$275 &amp; $AL165),0)),"",INDIRECT(CONCATENATE("Table!",ADDRESS(#REF!,MATCH(L$1,INDIRECT("Table!A" &amp; $AL165):INDIRECT("Table!" &amp; $AO$275 &amp; $AL165),0))))/1024)</f>
        <v/>
      </c>
      <c r="L165" s="22" t="str">
        <f ca="1">IF(ISERROR(MATCH(M$1,INDIRECT("Table!A"&amp;$AL165):INDIRECT("Table!" &amp; $AO$275 &amp; $AL165),0)),"",INDIRECT(CONCATENATE("Table!",ADDRESS(#REF!,MATCH(M$1,INDIRECT("Table!A" &amp; $AL165):INDIRECT("Table!" &amp; $AO$275 &amp; $AL165),0))))/1024)</f>
        <v/>
      </c>
      <c r="M165" s="22" t="str">
        <f ca="1">IF(ISERROR(MATCH(N$1,INDIRECT("Table!A"&amp;$AL165):INDIRECT("Table!" &amp; $AO$275 &amp; $AL165),0)),"",INDIRECT(CONCATENATE("Table!",ADDRESS(#REF!,MATCH(N$1,INDIRECT("Table!A" &amp; $AL165):INDIRECT("Table!" &amp; $AO$275 &amp; $AL165),0))))/1024)</f>
        <v/>
      </c>
      <c r="N165" s="22" t="str">
        <f ca="1">IF(ISERROR(MATCH(O$1,INDIRECT("Table!A"&amp;$AL165):INDIRECT("Table!" &amp; $AO$275 &amp; $AL165),0)),"",INDIRECT(CONCATENATE("Table!",ADDRESS(#REF!,MATCH(O$1,INDIRECT("Table!A" &amp; $AL165):INDIRECT("Table!" &amp; $AO$275 &amp; $AL165),0))))/1024)</f>
        <v/>
      </c>
      <c r="O165" s="22"/>
      <c r="P165" s="272"/>
      <c r="Q165" s="22"/>
      <c r="R165" s="177"/>
      <c r="T165" s="595"/>
      <c r="U165" s="177"/>
      <c r="AJ165" s="177"/>
      <c r="AK165" s="177"/>
      <c r="AL165" s="22"/>
      <c r="AM165" s="177"/>
      <c r="AN165" s="177"/>
      <c r="AO165" s="29"/>
    </row>
    <row r="166" spans="2:41" x14ac:dyDescent="0.25">
      <c r="B166" s="22" t="str">
        <f ca="1">IF(ISERROR(MATCH(B$1,INDIRECT("Table!A"&amp;$AL166):INDIRECT("Table!" &amp; $AO$275 &amp; $AL166),0)),"",INDIRECT(CONCATENATE("Table!",ADDRESS(#REF!,MATCH(B$1,INDIRECT("Table!A" &amp; $AL166):INDIRECT("Table!" &amp; $AO$275 &amp; $AL166),0))))/1024)</f>
        <v/>
      </c>
      <c r="C166" s="22" t="str">
        <f ca="1">IF(ISERROR(MATCH(C$1,INDIRECT("Table!A"&amp;$AL166):INDIRECT("Table!" &amp; $AO$275 &amp; $AL166),0)),"",INDIRECT(CONCATENATE("Table!",ADDRESS(#REF!,MATCH(C$1,INDIRECT("Table!A" &amp; $AL166):INDIRECT("Table!" &amp; $AO$275 &amp; $AL166),0))))/1024)</f>
        <v/>
      </c>
      <c r="D166" s="22" t="str">
        <f ca="1">IF(ISERROR(MATCH(D$1,INDIRECT("Table!A"&amp;$AL166):INDIRECT("Table!" &amp; $AO$275 &amp; $AL166),0)),"",INDIRECT(CONCATENATE("Table!",ADDRESS(#REF!,MATCH(D$1,INDIRECT("Table!A" &amp; $AL166):INDIRECT("Table!" &amp; $AO$275 &amp; $AL166),0))))/1024)</f>
        <v/>
      </c>
      <c r="E166" s="22" t="str">
        <f ca="1">IF(ISERROR(MATCH(E$1,INDIRECT("Table!A"&amp;$AL166):INDIRECT("Table!" &amp; $AO$275 &amp; $AL166),0)),"",INDIRECT(CONCATENATE("Table!",ADDRESS(#REF!,MATCH(E$1,INDIRECT("Table!A" &amp; $AL166):INDIRECT("Table!" &amp; $AO$275 &amp; $AL166),0))))/1024)</f>
        <v/>
      </c>
      <c r="F166" s="22" t="str">
        <f ca="1">IF(ISERROR(MATCH(F$1,INDIRECT("Table!A"&amp;$AL166):INDIRECT("Table!" &amp; $AO$275 &amp; $AL166),0)),"",INDIRECT(CONCATENATE("Table!",ADDRESS(#REF!,MATCH(F$1,INDIRECT("Table!A" &amp; $AL166):INDIRECT("Table!" &amp; $AO$275 &amp; $AL166),0))))/1024)</f>
        <v/>
      </c>
      <c r="G166" s="22" t="str">
        <f ca="1">IF(ISERROR(MATCH(G$1,INDIRECT("Table!A"&amp;$AL166):INDIRECT("Table!" &amp; $AO$275 &amp; $AL166),0)),"",INDIRECT(CONCATENATE("Table!",ADDRESS(#REF!,MATCH(G$1,INDIRECT("Table!A" &amp; $AL166):INDIRECT("Table!" &amp; $AO$275 &amp; $AL166),0))))/1024)</f>
        <v/>
      </c>
      <c r="H166" s="22" t="str">
        <f ca="1">IF(ISERROR(MATCH(H$1,INDIRECT("Table!A"&amp;$AL166):INDIRECT("Table!" &amp; $AO$275 &amp; $AL166),0)),"",INDIRECT(CONCATENATE("Table!",ADDRESS(#REF!,MATCH(H$1,INDIRECT("Table!A" &amp; $AL166):INDIRECT("Table!" &amp; $AO$275 &amp; $AL166),0))))/1024)</f>
        <v/>
      </c>
      <c r="K166" s="22" t="str">
        <f ca="1">IF(ISERROR(MATCH(L$1,INDIRECT("Table!A"&amp;$AL166):INDIRECT("Table!" &amp; $AO$275 &amp; $AL166),0)),"",INDIRECT(CONCATENATE("Table!",ADDRESS(#REF!,MATCH(L$1,INDIRECT("Table!A" &amp; $AL166):INDIRECT("Table!" &amp; $AO$275 &amp; $AL166),0))))/1024)</f>
        <v/>
      </c>
      <c r="L166" s="22" t="str">
        <f ca="1">IF(ISERROR(MATCH(M$1,INDIRECT("Table!A"&amp;$AL166):INDIRECT("Table!" &amp; $AO$275 &amp; $AL166),0)),"",INDIRECT(CONCATENATE("Table!",ADDRESS(#REF!,MATCH(M$1,INDIRECT("Table!A" &amp; $AL166):INDIRECT("Table!" &amp; $AO$275 &amp; $AL166),0))))/1024)</f>
        <v/>
      </c>
      <c r="M166" s="22" t="str">
        <f ca="1">IF(ISERROR(MATCH(N$1,INDIRECT("Table!A"&amp;$AL166):INDIRECT("Table!" &amp; $AO$275 &amp; $AL166),0)),"",INDIRECT(CONCATENATE("Table!",ADDRESS(#REF!,MATCH(N$1,INDIRECT("Table!A" &amp; $AL166):INDIRECT("Table!" &amp; $AO$275 &amp; $AL166),0))))/1024)</f>
        <v/>
      </c>
      <c r="N166" s="22" t="str">
        <f ca="1">IF(ISERROR(MATCH(O$1,INDIRECT("Table!A"&amp;$AL166):INDIRECT("Table!" &amp; $AO$275 &amp; $AL166),0)),"",INDIRECT(CONCATENATE("Table!",ADDRESS(#REF!,MATCH(O$1,INDIRECT("Table!A" &amp; $AL166):INDIRECT("Table!" &amp; $AO$275 &amp; $AL166),0))))/1024)</f>
        <v/>
      </c>
      <c r="O166" s="22"/>
      <c r="P166" s="272"/>
      <c r="Q166" s="22"/>
      <c r="R166" s="176"/>
      <c r="T166" s="595"/>
      <c r="U166" s="176"/>
      <c r="AJ166" s="176"/>
      <c r="AK166" s="176"/>
      <c r="AL166" s="22"/>
      <c r="AM166" s="176"/>
      <c r="AN166" s="176"/>
      <c r="AO166" s="29"/>
    </row>
    <row r="167" spans="2:41" x14ac:dyDescent="0.25">
      <c r="B167" s="22" t="str">
        <f ca="1">IF(ISERROR(MATCH(B$1,INDIRECT("Table!A"&amp;$AL167):INDIRECT("Table!" &amp; $AO$275 &amp; $AL167),0)),"",INDIRECT(CONCATENATE("Table!",ADDRESS(#REF!,MATCH(B$1,INDIRECT("Table!A" &amp; $AL167):INDIRECT("Table!" &amp; $AO$275 &amp; $AL167),0))))/1024)</f>
        <v/>
      </c>
      <c r="C167" s="22" t="str">
        <f ca="1">IF(ISERROR(MATCH(C$1,INDIRECT("Table!A"&amp;$AL167):INDIRECT("Table!" &amp; $AO$275 &amp; $AL167),0)),"",INDIRECT(CONCATENATE("Table!",ADDRESS(#REF!,MATCH(C$1,INDIRECT("Table!A" &amp; $AL167):INDIRECT("Table!" &amp; $AO$275 &amp; $AL167),0))))/1024)</f>
        <v/>
      </c>
      <c r="D167" s="22" t="str">
        <f ca="1">IF(ISERROR(MATCH(D$1,INDIRECT("Table!A"&amp;$AL167):INDIRECT("Table!" &amp; $AO$275 &amp; $AL167),0)),"",INDIRECT(CONCATENATE("Table!",ADDRESS(#REF!,MATCH(D$1,INDIRECT("Table!A" &amp; $AL167):INDIRECT("Table!" &amp; $AO$275 &amp; $AL167),0))))/1024)</f>
        <v/>
      </c>
      <c r="E167" s="22" t="str">
        <f ca="1">IF(ISERROR(MATCH(E$1,INDIRECT("Table!A"&amp;$AL167):INDIRECT("Table!" &amp; $AO$275 &amp; $AL167),0)),"",INDIRECT(CONCATENATE("Table!",ADDRESS(#REF!,MATCH(E$1,INDIRECT("Table!A" &amp; $AL167):INDIRECT("Table!" &amp; $AO$275 &amp; $AL167),0))))/1024)</f>
        <v/>
      </c>
      <c r="F167" s="22" t="str">
        <f ca="1">IF(ISERROR(MATCH(F$1,INDIRECT("Table!A"&amp;$AL167):INDIRECT("Table!" &amp; $AO$275 &amp; $AL167),0)),"",INDIRECT(CONCATENATE("Table!",ADDRESS(#REF!,MATCH(F$1,INDIRECT("Table!A" &amp; $AL167):INDIRECT("Table!" &amp; $AO$275 &amp; $AL167),0))))/1024)</f>
        <v/>
      </c>
      <c r="G167" s="22" t="str">
        <f ca="1">IF(ISERROR(MATCH(G$1,INDIRECT("Table!A"&amp;$AL167):INDIRECT("Table!" &amp; $AO$275 &amp; $AL167),0)),"",INDIRECT(CONCATENATE("Table!",ADDRESS(#REF!,MATCH(G$1,INDIRECT("Table!A" &amp; $AL167):INDIRECT("Table!" &amp; $AO$275 &amp; $AL167),0))))/1024)</f>
        <v/>
      </c>
      <c r="H167" s="22" t="str">
        <f ca="1">IF(ISERROR(MATCH(H$1,INDIRECT("Table!A"&amp;$AL167):INDIRECT("Table!" &amp; $AO$275 &amp; $AL167),0)),"",INDIRECT(CONCATENATE("Table!",ADDRESS(#REF!,MATCH(H$1,INDIRECT("Table!A" &amp; $AL167):INDIRECT("Table!" &amp; $AO$275 &amp; $AL167),0))))/1024)</f>
        <v/>
      </c>
      <c r="K167" s="22" t="str">
        <f ca="1">IF(ISERROR(MATCH(L$1,INDIRECT("Table!A"&amp;$AL167):INDIRECT("Table!" &amp; $AO$275 &amp; $AL167),0)),"",INDIRECT(CONCATENATE("Table!",ADDRESS(#REF!,MATCH(L$1,INDIRECT("Table!A" &amp; $AL167):INDIRECT("Table!" &amp; $AO$275 &amp; $AL167),0))))/1024)</f>
        <v/>
      </c>
      <c r="L167" s="22" t="str">
        <f ca="1">IF(ISERROR(MATCH(M$1,INDIRECT("Table!A"&amp;$AL167):INDIRECT("Table!" &amp; $AO$275 &amp; $AL167),0)),"",INDIRECT(CONCATENATE("Table!",ADDRESS(#REF!,MATCH(M$1,INDIRECT("Table!A" &amp; $AL167):INDIRECT("Table!" &amp; $AO$275 &amp; $AL167),0))))/1024)</f>
        <v/>
      </c>
      <c r="M167" s="22" t="str">
        <f ca="1">IF(ISERROR(MATCH(N$1,INDIRECT("Table!A"&amp;$AL167):INDIRECT("Table!" &amp; $AO$275 &amp; $AL167),0)),"",INDIRECT(CONCATENATE("Table!",ADDRESS(#REF!,MATCH(N$1,INDIRECT("Table!A" &amp; $AL167):INDIRECT("Table!" &amp; $AO$275 &amp; $AL167),0))))/1024)</f>
        <v/>
      </c>
      <c r="N167" s="22" t="str">
        <f ca="1">IF(ISERROR(MATCH(O$1,INDIRECT("Table!A"&amp;$AL167):INDIRECT("Table!" &amp; $AO$275 &amp; $AL167),0)),"",INDIRECT(CONCATENATE("Table!",ADDRESS(#REF!,MATCH(O$1,INDIRECT("Table!A" &amp; $AL167):INDIRECT("Table!" &amp; $AO$275 &amp; $AL167),0))))/1024)</f>
        <v/>
      </c>
      <c r="O167" s="22"/>
      <c r="P167" s="272"/>
      <c r="Q167" s="22"/>
      <c r="R167" s="175"/>
      <c r="T167" s="595"/>
      <c r="U167" s="175"/>
      <c r="AJ167" s="175"/>
      <c r="AK167" s="175"/>
      <c r="AL167" s="22"/>
      <c r="AM167" s="175"/>
      <c r="AN167" s="175"/>
      <c r="AO167" s="29"/>
    </row>
    <row r="168" spans="2:41" x14ac:dyDescent="0.25">
      <c r="B168" s="22" t="str">
        <f ca="1">IF(ISERROR(MATCH(B$1,INDIRECT("Table!A"&amp;$AL168):INDIRECT("Table!" &amp; $AO$275 &amp; $AL168),0)),"",INDIRECT(CONCATENATE("Table!",ADDRESS(#REF!,MATCH(B$1,INDIRECT("Table!A" &amp; $AL168):INDIRECT("Table!" &amp; $AO$275 &amp; $AL168),0))))/1024)</f>
        <v/>
      </c>
      <c r="C168" s="22" t="str">
        <f ca="1">IF(ISERROR(MATCH(C$1,INDIRECT("Table!A"&amp;$AL168):INDIRECT("Table!" &amp; $AO$275 &amp; $AL168),0)),"",INDIRECT(CONCATENATE("Table!",ADDRESS(#REF!,MATCH(C$1,INDIRECT("Table!A" &amp; $AL168):INDIRECT("Table!" &amp; $AO$275 &amp; $AL168),0))))/1024)</f>
        <v/>
      </c>
      <c r="D168" s="22" t="str">
        <f ca="1">IF(ISERROR(MATCH(D$1,INDIRECT("Table!A"&amp;$AL168):INDIRECT("Table!" &amp; $AO$275 &amp; $AL168),0)),"",INDIRECT(CONCATENATE("Table!",ADDRESS(#REF!,MATCH(D$1,INDIRECT("Table!A" &amp; $AL168):INDIRECT("Table!" &amp; $AO$275 &amp; $AL168),0))))/1024)</f>
        <v/>
      </c>
      <c r="E168" s="22" t="str">
        <f ca="1">IF(ISERROR(MATCH(E$1,INDIRECT("Table!A"&amp;$AL168):INDIRECT("Table!" &amp; $AO$275 &amp; $AL168),0)),"",INDIRECT(CONCATENATE("Table!",ADDRESS(#REF!,MATCH(E$1,INDIRECT("Table!A" &amp; $AL168):INDIRECT("Table!" &amp; $AO$275 &amp; $AL168),0))))/1024)</f>
        <v/>
      </c>
      <c r="F168" s="22" t="str">
        <f ca="1">IF(ISERROR(MATCH(F$1,INDIRECT("Table!A"&amp;$AL168):INDIRECT("Table!" &amp; $AO$275 &amp; $AL168),0)),"",INDIRECT(CONCATENATE("Table!",ADDRESS(#REF!,MATCH(F$1,INDIRECT("Table!A" &amp; $AL168):INDIRECT("Table!" &amp; $AO$275 &amp; $AL168),0))))/1024)</f>
        <v/>
      </c>
      <c r="G168" s="22" t="str">
        <f ca="1">IF(ISERROR(MATCH(G$1,INDIRECT("Table!A"&amp;$AL168):INDIRECT("Table!" &amp; $AO$275 &amp; $AL168),0)),"",INDIRECT(CONCATENATE("Table!",ADDRESS(#REF!,MATCH(G$1,INDIRECT("Table!A" &amp; $AL168):INDIRECT("Table!" &amp; $AO$275 &amp; $AL168),0))))/1024)</f>
        <v/>
      </c>
      <c r="H168" s="22" t="str">
        <f ca="1">IF(ISERROR(MATCH(H$1,INDIRECT("Table!A"&amp;$AL168):INDIRECT("Table!" &amp; $AO$275 &amp; $AL168),0)),"",INDIRECT(CONCATENATE("Table!",ADDRESS(#REF!,MATCH(H$1,INDIRECT("Table!A" &amp; $AL168):INDIRECT("Table!" &amp; $AO$275 &amp; $AL168),0))))/1024)</f>
        <v/>
      </c>
      <c r="K168" s="22" t="str">
        <f ca="1">IF(ISERROR(MATCH(L$1,INDIRECT("Table!A"&amp;$AL168):INDIRECT("Table!" &amp; $AO$275 &amp; $AL168),0)),"",INDIRECT(CONCATENATE("Table!",ADDRESS(#REF!,MATCH(L$1,INDIRECT("Table!A" &amp; $AL168):INDIRECT("Table!" &amp; $AO$275 &amp; $AL168),0))))/1024)</f>
        <v/>
      </c>
      <c r="L168" s="22" t="str">
        <f ca="1">IF(ISERROR(MATCH(M$1,INDIRECT("Table!A"&amp;$AL168):INDIRECT("Table!" &amp; $AO$275 &amp; $AL168),0)),"",INDIRECT(CONCATENATE("Table!",ADDRESS(#REF!,MATCH(M$1,INDIRECT("Table!A" &amp; $AL168):INDIRECT("Table!" &amp; $AO$275 &amp; $AL168),0))))/1024)</f>
        <v/>
      </c>
      <c r="M168" s="22" t="str">
        <f ca="1">IF(ISERROR(MATCH(N$1,INDIRECT("Table!A"&amp;$AL168):INDIRECT("Table!" &amp; $AO$275 &amp; $AL168),0)),"",INDIRECT(CONCATENATE("Table!",ADDRESS(#REF!,MATCH(N$1,INDIRECT("Table!A" &amp; $AL168):INDIRECT("Table!" &amp; $AO$275 &amp; $AL168),0))))/1024)</f>
        <v/>
      </c>
      <c r="N168" s="22" t="str">
        <f ca="1">IF(ISERROR(MATCH(O$1,INDIRECT("Table!A"&amp;$AL168):INDIRECT("Table!" &amp; $AO$275 &amp; $AL168),0)),"",INDIRECT(CONCATENATE("Table!",ADDRESS(#REF!,MATCH(O$1,INDIRECT("Table!A" &amp; $AL168):INDIRECT("Table!" &amp; $AO$275 &amp; $AL168),0))))/1024)</f>
        <v/>
      </c>
      <c r="O168" s="22"/>
      <c r="P168" s="272"/>
      <c r="Q168" s="22"/>
      <c r="R168" s="174"/>
      <c r="T168" s="595"/>
      <c r="U168" s="174"/>
      <c r="AJ168" s="174"/>
      <c r="AK168" s="174"/>
      <c r="AL168" s="22"/>
      <c r="AM168" s="174"/>
      <c r="AN168" s="174"/>
      <c r="AO168" s="29"/>
    </row>
    <row r="169" spans="2:41" x14ac:dyDescent="0.25">
      <c r="B169" s="22" t="str">
        <f ca="1">IF(ISERROR(MATCH(B$1,INDIRECT("Table!A"&amp;$AL169):INDIRECT("Table!" &amp; $AO$275 &amp; $AL169),0)),"",INDIRECT(CONCATENATE("Table!",ADDRESS(#REF!,MATCH(B$1,INDIRECT("Table!A" &amp; $AL169):INDIRECT("Table!" &amp; $AO$275 &amp; $AL169),0))))/1024)</f>
        <v/>
      </c>
      <c r="C169" s="22" t="str">
        <f ca="1">IF(ISERROR(MATCH(C$1,INDIRECT("Table!A"&amp;$AL169):INDIRECT("Table!" &amp; $AO$275 &amp; $AL169),0)),"",INDIRECT(CONCATENATE("Table!",ADDRESS(#REF!,MATCH(C$1,INDIRECT("Table!A" &amp; $AL169):INDIRECT("Table!" &amp; $AO$275 &amp; $AL169),0))))/1024)</f>
        <v/>
      </c>
      <c r="D169" s="22" t="str">
        <f ca="1">IF(ISERROR(MATCH(D$1,INDIRECT("Table!A"&amp;$AL169):INDIRECT("Table!" &amp; $AO$275 &amp; $AL169),0)),"",INDIRECT(CONCATENATE("Table!",ADDRESS(#REF!,MATCH(D$1,INDIRECT("Table!A" &amp; $AL169):INDIRECT("Table!" &amp; $AO$275 &amp; $AL169),0))))/1024)</f>
        <v/>
      </c>
      <c r="E169" s="22" t="str">
        <f ca="1">IF(ISERROR(MATCH(E$1,INDIRECT("Table!A"&amp;$AL169):INDIRECT("Table!" &amp; $AO$275 &amp; $AL169),0)),"",INDIRECT(CONCATENATE("Table!",ADDRESS(#REF!,MATCH(E$1,INDIRECT("Table!A" &amp; $AL169):INDIRECT("Table!" &amp; $AO$275 &amp; $AL169),0))))/1024)</f>
        <v/>
      </c>
      <c r="F169" s="22" t="str">
        <f ca="1">IF(ISERROR(MATCH(F$1,INDIRECT("Table!A"&amp;$AL169):INDIRECT("Table!" &amp; $AO$275 &amp; $AL169),0)),"",INDIRECT(CONCATENATE("Table!",ADDRESS(#REF!,MATCH(F$1,INDIRECT("Table!A" &amp; $AL169):INDIRECT("Table!" &amp; $AO$275 &amp; $AL169),0))))/1024)</f>
        <v/>
      </c>
      <c r="G169" s="22" t="str">
        <f ca="1">IF(ISERROR(MATCH(G$1,INDIRECT("Table!A"&amp;$AL169):INDIRECT("Table!" &amp; $AO$275 &amp; $AL169),0)),"",INDIRECT(CONCATENATE("Table!",ADDRESS(#REF!,MATCH(G$1,INDIRECT("Table!A" &amp; $AL169):INDIRECT("Table!" &amp; $AO$275 &amp; $AL169),0))))/1024)</f>
        <v/>
      </c>
      <c r="H169" s="22" t="str">
        <f ca="1">IF(ISERROR(MATCH(H$1,INDIRECT("Table!A"&amp;$AL169):INDIRECT("Table!" &amp; $AO$275 &amp; $AL169),0)),"",INDIRECT(CONCATENATE("Table!",ADDRESS(#REF!,MATCH(H$1,INDIRECT("Table!A" &amp; $AL169):INDIRECT("Table!" &amp; $AO$275 &amp; $AL169),0))))/1024)</f>
        <v/>
      </c>
      <c r="K169" s="22" t="str">
        <f ca="1">IF(ISERROR(MATCH(L$1,INDIRECT("Table!A"&amp;$AL169):INDIRECT("Table!" &amp; $AO$275 &amp; $AL169),0)),"",INDIRECT(CONCATENATE("Table!",ADDRESS(#REF!,MATCH(L$1,INDIRECT("Table!A" &amp; $AL169):INDIRECT("Table!" &amp; $AO$275 &amp; $AL169),0))))/1024)</f>
        <v/>
      </c>
      <c r="L169" s="22" t="str">
        <f ca="1">IF(ISERROR(MATCH(M$1,INDIRECT("Table!A"&amp;$AL169):INDIRECT("Table!" &amp; $AO$275 &amp; $AL169),0)),"",INDIRECT(CONCATENATE("Table!",ADDRESS(#REF!,MATCH(M$1,INDIRECT("Table!A" &amp; $AL169):INDIRECT("Table!" &amp; $AO$275 &amp; $AL169),0))))/1024)</f>
        <v/>
      </c>
      <c r="M169" s="22" t="str">
        <f ca="1">IF(ISERROR(MATCH(N$1,INDIRECT("Table!A"&amp;$AL169):INDIRECT("Table!" &amp; $AO$275 &amp; $AL169),0)),"",INDIRECT(CONCATENATE("Table!",ADDRESS(#REF!,MATCH(N$1,INDIRECT("Table!A" &amp; $AL169):INDIRECT("Table!" &amp; $AO$275 &amp; $AL169),0))))/1024)</f>
        <v/>
      </c>
      <c r="N169" s="22" t="str">
        <f ca="1">IF(ISERROR(MATCH(O$1,INDIRECT("Table!A"&amp;$AL169):INDIRECT("Table!" &amp; $AO$275 &amp; $AL169),0)),"",INDIRECT(CONCATENATE("Table!",ADDRESS(#REF!,MATCH(O$1,INDIRECT("Table!A" &amp; $AL169):INDIRECT("Table!" &amp; $AO$275 &amp; $AL169),0))))/1024)</f>
        <v/>
      </c>
      <c r="O169" s="22"/>
      <c r="P169" s="272"/>
      <c r="Q169" s="22"/>
      <c r="R169" s="174"/>
      <c r="T169" s="595"/>
      <c r="U169" s="174"/>
      <c r="AJ169" s="174"/>
      <c r="AK169" s="174"/>
      <c r="AL169" s="22"/>
      <c r="AM169" s="174"/>
      <c r="AN169" s="174"/>
      <c r="AO169" s="29"/>
    </row>
    <row r="170" spans="2:41" x14ac:dyDescent="0.25">
      <c r="B170" s="22" t="str">
        <f ca="1">IF(ISERROR(MATCH(B$1,INDIRECT("Table!A"&amp;$AL170):INDIRECT("Table!" &amp; $AO$275 &amp; $AL170),0)),"",INDIRECT(CONCATENATE("Table!",ADDRESS(#REF!,MATCH(B$1,INDIRECT("Table!A" &amp; $AL170):INDIRECT("Table!" &amp; $AO$275 &amp; $AL170),0))))/1024)</f>
        <v/>
      </c>
      <c r="C170" s="22" t="str">
        <f ca="1">IF(ISERROR(MATCH(C$1,INDIRECT("Table!A"&amp;$AL170):INDIRECT("Table!" &amp; $AO$275 &amp; $AL170),0)),"",INDIRECT(CONCATENATE("Table!",ADDRESS(#REF!,MATCH(C$1,INDIRECT("Table!A" &amp; $AL170):INDIRECT("Table!" &amp; $AO$275 &amp; $AL170),0))))/1024)</f>
        <v/>
      </c>
      <c r="D170" s="22" t="str">
        <f ca="1">IF(ISERROR(MATCH(D$1,INDIRECT("Table!A"&amp;$AL170):INDIRECT("Table!" &amp; $AO$275 &amp; $AL170),0)),"",INDIRECT(CONCATENATE("Table!",ADDRESS(#REF!,MATCH(D$1,INDIRECT("Table!A" &amp; $AL170):INDIRECT("Table!" &amp; $AO$275 &amp; $AL170),0))))/1024)</f>
        <v/>
      </c>
      <c r="E170" s="22" t="str">
        <f ca="1">IF(ISERROR(MATCH(E$1,INDIRECT("Table!A"&amp;$AL170):INDIRECT("Table!" &amp; $AO$275 &amp; $AL170),0)),"",INDIRECT(CONCATENATE("Table!",ADDRESS(#REF!,MATCH(E$1,INDIRECT("Table!A" &amp; $AL170):INDIRECT("Table!" &amp; $AO$275 &amp; $AL170),0))))/1024)</f>
        <v/>
      </c>
      <c r="F170" s="22" t="str">
        <f ca="1">IF(ISERROR(MATCH(F$1,INDIRECT("Table!A"&amp;$AL170):INDIRECT("Table!" &amp; $AO$275 &amp; $AL170),0)),"",INDIRECT(CONCATENATE("Table!",ADDRESS(#REF!,MATCH(F$1,INDIRECT("Table!A" &amp; $AL170):INDIRECT("Table!" &amp; $AO$275 &amp; $AL170),0))))/1024)</f>
        <v/>
      </c>
      <c r="G170" s="22" t="str">
        <f ca="1">IF(ISERROR(MATCH(G$1,INDIRECT("Table!A"&amp;$AL170):INDIRECT("Table!" &amp; $AO$275 &amp; $AL170),0)),"",INDIRECT(CONCATENATE("Table!",ADDRESS(#REF!,MATCH(G$1,INDIRECT("Table!A" &amp; $AL170):INDIRECT("Table!" &amp; $AO$275 &amp; $AL170),0))))/1024)</f>
        <v/>
      </c>
      <c r="H170" s="22" t="str">
        <f ca="1">IF(ISERROR(MATCH(H$1,INDIRECT("Table!A"&amp;$AL170):INDIRECT("Table!" &amp; $AO$275 &amp; $AL170),0)),"",INDIRECT(CONCATENATE("Table!",ADDRESS(#REF!,MATCH(H$1,INDIRECT("Table!A" &amp; $AL170):INDIRECT("Table!" &amp; $AO$275 &amp; $AL170),0))))/1024)</f>
        <v/>
      </c>
      <c r="K170" s="22" t="str">
        <f ca="1">IF(ISERROR(MATCH(L$1,INDIRECT("Table!A"&amp;$AL170):INDIRECT("Table!" &amp; $AO$275 &amp; $AL170),0)),"",INDIRECT(CONCATENATE("Table!",ADDRESS(#REF!,MATCH(L$1,INDIRECT("Table!A" &amp; $AL170):INDIRECT("Table!" &amp; $AO$275 &amp; $AL170),0))))/1024)</f>
        <v/>
      </c>
      <c r="L170" s="22" t="str">
        <f ca="1">IF(ISERROR(MATCH(M$1,INDIRECT("Table!A"&amp;$AL170):INDIRECT("Table!" &amp; $AO$275 &amp; $AL170),0)),"",INDIRECT(CONCATENATE("Table!",ADDRESS(#REF!,MATCH(M$1,INDIRECT("Table!A" &amp; $AL170):INDIRECT("Table!" &amp; $AO$275 &amp; $AL170),0))))/1024)</f>
        <v/>
      </c>
      <c r="M170" s="22" t="str">
        <f ca="1">IF(ISERROR(MATCH(N$1,INDIRECT("Table!A"&amp;$AL170):INDIRECT("Table!" &amp; $AO$275 &amp; $AL170),0)),"",INDIRECT(CONCATENATE("Table!",ADDRESS(#REF!,MATCH(N$1,INDIRECT("Table!A" &amp; $AL170):INDIRECT("Table!" &amp; $AO$275 &amp; $AL170),0))))/1024)</f>
        <v/>
      </c>
      <c r="N170" s="22" t="str">
        <f ca="1">IF(ISERROR(MATCH(O$1,INDIRECT("Table!A"&amp;$AL170):INDIRECT("Table!" &amp; $AO$275 &amp; $AL170),0)),"",INDIRECT(CONCATENATE("Table!",ADDRESS(#REF!,MATCH(O$1,INDIRECT("Table!A" &amp; $AL170):INDIRECT("Table!" &amp; $AO$275 &amp; $AL170),0))))/1024)</f>
        <v/>
      </c>
      <c r="O170" s="22"/>
      <c r="P170" s="272"/>
      <c r="Q170" s="22"/>
      <c r="R170" s="173"/>
      <c r="T170" s="595"/>
      <c r="U170" s="173"/>
      <c r="AJ170" s="173"/>
      <c r="AK170" s="173"/>
      <c r="AL170" s="22"/>
      <c r="AM170" s="173"/>
      <c r="AN170" s="173"/>
      <c r="AO170" s="29"/>
    </row>
    <row r="171" spans="2:41" x14ac:dyDescent="0.25">
      <c r="B171" s="22" t="str">
        <f ca="1">IF(ISERROR(MATCH(B$1,INDIRECT("Table!A"&amp;$AL171):INDIRECT("Table!" &amp; $AO$275 &amp; $AL171),0)),"",INDIRECT(CONCATENATE("Table!",ADDRESS(#REF!,MATCH(B$1,INDIRECT("Table!A" &amp; $AL171):INDIRECT("Table!" &amp; $AO$275 &amp; $AL171),0))))/1024)</f>
        <v/>
      </c>
      <c r="C171" s="22" t="str">
        <f ca="1">IF(ISERROR(MATCH(C$1,INDIRECT("Table!A"&amp;$AL171):INDIRECT("Table!" &amp; $AO$275 &amp; $AL171),0)),"",INDIRECT(CONCATENATE("Table!",ADDRESS(#REF!,MATCH(C$1,INDIRECT("Table!A" &amp; $AL171):INDIRECT("Table!" &amp; $AO$275 &amp; $AL171),0))))/1024)</f>
        <v/>
      </c>
      <c r="D171" s="22" t="str">
        <f ca="1">IF(ISERROR(MATCH(D$1,INDIRECT("Table!A"&amp;$AL171):INDIRECT("Table!" &amp; $AO$275 &amp; $AL171),0)),"",INDIRECT(CONCATENATE("Table!",ADDRESS(#REF!,MATCH(D$1,INDIRECT("Table!A" &amp; $AL171):INDIRECT("Table!" &amp; $AO$275 &amp; $AL171),0))))/1024)</f>
        <v/>
      </c>
      <c r="E171" s="22" t="str">
        <f ca="1">IF(ISERROR(MATCH(E$1,INDIRECT("Table!A"&amp;$AL171):INDIRECT("Table!" &amp; $AO$275 &amp; $AL171),0)),"",INDIRECT(CONCATENATE("Table!",ADDRESS(#REF!,MATCH(E$1,INDIRECT("Table!A" &amp; $AL171):INDIRECT("Table!" &amp; $AO$275 &amp; $AL171),0))))/1024)</f>
        <v/>
      </c>
      <c r="F171" s="22" t="str">
        <f ca="1">IF(ISERROR(MATCH(F$1,INDIRECT("Table!A"&amp;$AL171):INDIRECT("Table!" &amp; $AO$275 &amp; $AL171),0)),"",INDIRECT(CONCATENATE("Table!",ADDRESS(#REF!,MATCH(F$1,INDIRECT("Table!A" &amp; $AL171):INDIRECT("Table!" &amp; $AO$275 &amp; $AL171),0))))/1024)</f>
        <v/>
      </c>
      <c r="G171" s="22" t="str">
        <f ca="1">IF(ISERROR(MATCH(G$1,INDIRECT("Table!A"&amp;$AL171):INDIRECT("Table!" &amp; $AO$275 &amp; $AL171),0)),"",INDIRECT(CONCATENATE("Table!",ADDRESS(#REF!,MATCH(G$1,INDIRECT("Table!A" &amp; $AL171):INDIRECT("Table!" &amp; $AO$275 &amp; $AL171),0))))/1024)</f>
        <v/>
      </c>
      <c r="H171" s="22" t="str">
        <f ca="1">IF(ISERROR(MATCH(H$1,INDIRECT("Table!A"&amp;$AL171):INDIRECT("Table!" &amp; $AO$275 &amp; $AL171),0)),"",INDIRECT(CONCATENATE("Table!",ADDRESS(#REF!,MATCH(H$1,INDIRECT("Table!A" &amp; $AL171):INDIRECT("Table!" &amp; $AO$275 &amp; $AL171),0))))/1024)</f>
        <v/>
      </c>
      <c r="K171" s="22" t="str">
        <f ca="1">IF(ISERROR(MATCH(L$1,INDIRECT("Table!A"&amp;$AL171):INDIRECT("Table!" &amp; $AO$275 &amp; $AL171),0)),"",INDIRECT(CONCATENATE("Table!",ADDRESS(#REF!,MATCH(L$1,INDIRECT("Table!A" &amp; $AL171):INDIRECT("Table!" &amp; $AO$275 &amp; $AL171),0))))/1024)</f>
        <v/>
      </c>
      <c r="L171" s="22" t="str">
        <f ca="1">IF(ISERROR(MATCH(M$1,INDIRECT("Table!A"&amp;$AL171):INDIRECT("Table!" &amp; $AO$275 &amp; $AL171),0)),"",INDIRECT(CONCATENATE("Table!",ADDRESS(#REF!,MATCH(M$1,INDIRECT("Table!A" &amp; $AL171):INDIRECT("Table!" &amp; $AO$275 &amp; $AL171),0))))/1024)</f>
        <v/>
      </c>
      <c r="M171" s="22" t="str">
        <f ca="1">IF(ISERROR(MATCH(N$1,INDIRECT("Table!A"&amp;$AL171):INDIRECT("Table!" &amp; $AO$275 &amp; $AL171),0)),"",INDIRECT(CONCATENATE("Table!",ADDRESS(#REF!,MATCH(N$1,INDIRECT("Table!A" &amp; $AL171):INDIRECT("Table!" &amp; $AO$275 &amp; $AL171),0))))/1024)</f>
        <v/>
      </c>
      <c r="N171" s="22" t="str">
        <f ca="1">IF(ISERROR(MATCH(O$1,INDIRECT("Table!A"&amp;$AL171):INDIRECT("Table!" &amp; $AO$275 &amp; $AL171),0)),"",INDIRECT(CONCATENATE("Table!",ADDRESS(#REF!,MATCH(O$1,INDIRECT("Table!A" &amp; $AL171):INDIRECT("Table!" &amp; $AO$275 &amp; $AL171),0))))/1024)</f>
        <v/>
      </c>
      <c r="O171" s="22"/>
      <c r="P171" s="272"/>
      <c r="Q171" s="22"/>
      <c r="R171" s="172"/>
      <c r="T171" s="595"/>
      <c r="U171" s="172"/>
      <c r="AJ171" s="172"/>
      <c r="AK171" s="172"/>
      <c r="AL171" s="22"/>
      <c r="AM171" s="172"/>
      <c r="AN171" s="172"/>
      <c r="AO171" s="29"/>
    </row>
    <row r="172" spans="2:41" x14ac:dyDescent="0.25">
      <c r="B172" s="22" t="str">
        <f ca="1">IF(ISERROR(MATCH(B$1,INDIRECT("Table!A"&amp;$AL172):INDIRECT("Table!" &amp; $AO$275 &amp; $AL172),0)),"",INDIRECT(CONCATENATE("Table!",ADDRESS(#REF!,MATCH(B$1,INDIRECT("Table!A" &amp; $AL172):INDIRECT("Table!" &amp; $AO$275 &amp; $AL172),0))))/1024)</f>
        <v/>
      </c>
      <c r="C172" s="22" t="str">
        <f ca="1">IF(ISERROR(MATCH(C$1,INDIRECT("Table!A"&amp;$AL172):INDIRECT("Table!" &amp; $AO$275 &amp; $AL172),0)),"",INDIRECT(CONCATENATE("Table!",ADDRESS(#REF!,MATCH(C$1,INDIRECT("Table!A" &amp; $AL172):INDIRECT("Table!" &amp; $AO$275 &amp; $AL172),0))))/1024)</f>
        <v/>
      </c>
      <c r="D172" s="22" t="str">
        <f ca="1">IF(ISERROR(MATCH(D$1,INDIRECT("Table!A"&amp;$AL172):INDIRECT("Table!" &amp; $AO$275 &amp; $AL172),0)),"",INDIRECT(CONCATENATE("Table!",ADDRESS(#REF!,MATCH(D$1,INDIRECT("Table!A" &amp; $AL172):INDIRECT("Table!" &amp; $AO$275 &amp; $AL172),0))))/1024)</f>
        <v/>
      </c>
      <c r="E172" s="22" t="str">
        <f ca="1">IF(ISERROR(MATCH(E$1,INDIRECT("Table!A"&amp;$AL172):INDIRECT("Table!" &amp; $AO$275 &amp; $AL172),0)),"",INDIRECT(CONCATENATE("Table!",ADDRESS(#REF!,MATCH(E$1,INDIRECT("Table!A" &amp; $AL172):INDIRECT("Table!" &amp; $AO$275 &amp; $AL172),0))))/1024)</f>
        <v/>
      </c>
      <c r="F172" s="22" t="str">
        <f ca="1">IF(ISERROR(MATCH(F$1,INDIRECT("Table!A"&amp;$AL172):INDIRECT("Table!" &amp; $AO$275 &amp; $AL172),0)),"",INDIRECT(CONCATENATE("Table!",ADDRESS(#REF!,MATCH(F$1,INDIRECT("Table!A" &amp; $AL172):INDIRECT("Table!" &amp; $AO$275 &amp; $AL172),0))))/1024)</f>
        <v/>
      </c>
      <c r="G172" s="22" t="str">
        <f ca="1">IF(ISERROR(MATCH(G$1,INDIRECT("Table!A"&amp;$AL172):INDIRECT("Table!" &amp; $AO$275 &amp; $AL172),0)),"",INDIRECT(CONCATENATE("Table!",ADDRESS(#REF!,MATCH(G$1,INDIRECT("Table!A" &amp; $AL172):INDIRECT("Table!" &amp; $AO$275 &amp; $AL172),0))))/1024)</f>
        <v/>
      </c>
      <c r="H172" s="22" t="str">
        <f ca="1">IF(ISERROR(MATCH(H$1,INDIRECT("Table!A"&amp;$AL172):INDIRECT("Table!" &amp; $AO$275 &amp; $AL172),0)),"",INDIRECT(CONCATENATE("Table!",ADDRESS(#REF!,MATCH(H$1,INDIRECT("Table!A" &amp; $AL172):INDIRECT("Table!" &amp; $AO$275 &amp; $AL172),0))))/1024)</f>
        <v/>
      </c>
      <c r="K172" s="22" t="str">
        <f ca="1">IF(ISERROR(MATCH(L$1,INDIRECT("Table!A"&amp;$AL172):INDIRECT("Table!" &amp; $AO$275 &amp; $AL172),0)),"",INDIRECT(CONCATENATE("Table!",ADDRESS(#REF!,MATCH(L$1,INDIRECT("Table!A" &amp; $AL172):INDIRECT("Table!" &amp; $AO$275 &amp; $AL172),0))))/1024)</f>
        <v/>
      </c>
      <c r="L172" s="22" t="str">
        <f ca="1">IF(ISERROR(MATCH(M$1,INDIRECT("Table!A"&amp;$AL172):INDIRECT("Table!" &amp; $AO$275 &amp; $AL172),0)),"",INDIRECT(CONCATENATE("Table!",ADDRESS(#REF!,MATCH(M$1,INDIRECT("Table!A" &amp; $AL172):INDIRECT("Table!" &amp; $AO$275 &amp; $AL172),0))))/1024)</f>
        <v/>
      </c>
      <c r="M172" s="22" t="str">
        <f ca="1">IF(ISERROR(MATCH(N$1,INDIRECT("Table!A"&amp;$AL172):INDIRECT("Table!" &amp; $AO$275 &amp; $AL172),0)),"",INDIRECT(CONCATENATE("Table!",ADDRESS(#REF!,MATCH(N$1,INDIRECT("Table!A" &amp; $AL172):INDIRECT("Table!" &amp; $AO$275 &amp; $AL172),0))))/1024)</f>
        <v/>
      </c>
      <c r="N172" s="22" t="str">
        <f ca="1">IF(ISERROR(MATCH(O$1,INDIRECT("Table!A"&amp;$AL172):INDIRECT("Table!" &amp; $AO$275 &amp; $AL172),0)),"",INDIRECT(CONCATENATE("Table!",ADDRESS(#REF!,MATCH(O$1,INDIRECT("Table!A" &amp; $AL172):INDIRECT("Table!" &amp; $AO$275 &amp; $AL172),0))))/1024)</f>
        <v/>
      </c>
      <c r="O172" s="22"/>
      <c r="P172" s="272"/>
      <c r="Q172" s="22"/>
      <c r="R172" s="172"/>
      <c r="T172" s="595"/>
      <c r="U172" s="172"/>
      <c r="AJ172" s="172"/>
      <c r="AK172" s="172"/>
      <c r="AL172" s="22"/>
      <c r="AM172" s="172"/>
      <c r="AN172" s="172"/>
      <c r="AO172" s="29"/>
    </row>
    <row r="173" spans="2:41" x14ac:dyDescent="0.25">
      <c r="B173" s="22" t="str">
        <f ca="1">IF(ISERROR(MATCH(B$1,INDIRECT("Table!A"&amp;$AL173):INDIRECT("Table!" &amp; $AO$275 &amp; $AL173),0)),"",INDIRECT(CONCATENATE("Table!",ADDRESS(#REF!,MATCH(B$1,INDIRECT("Table!A" &amp; $AL173):INDIRECT("Table!" &amp; $AO$275 &amp; $AL173),0))))/1024)</f>
        <v/>
      </c>
      <c r="C173" s="22" t="str">
        <f ca="1">IF(ISERROR(MATCH(C$1,INDIRECT("Table!A"&amp;$AL173):INDIRECT("Table!" &amp; $AO$275 &amp; $AL173),0)),"",INDIRECT(CONCATENATE("Table!",ADDRESS(#REF!,MATCH(C$1,INDIRECT("Table!A" &amp; $AL173):INDIRECT("Table!" &amp; $AO$275 &amp; $AL173),0))))/1024)</f>
        <v/>
      </c>
      <c r="D173" s="22" t="str">
        <f ca="1">IF(ISERROR(MATCH(D$1,INDIRECT("Table!A"&amp;$AL173):INDIRECT("Table!" &amp; $AO$275 &amp; $AL173),0)),"",INDIRECT(CONCATENATE("Table!",ADDRESS(#REF!,MATCH(D$1,INDIRECT("Table!A" &amp; $AL173):INDIRECT("Table!" &amp; $AO$275 &amp; $AL173),0))))/1024)</f>
        <v/>
      </c>
      <c r="E173" s="22" t="str">
        <f ca="1">IF(ISERROR(MATCH(E$1,INDIRECT("Table!A"&amp;$AL173):INDIRECT("Table!" &amp; $AO$275 &amp; $AL173),0)),"",INDIRECT(CONCATENATE("Table!",ADDRESS(#REF!,MATCH(E$1,INDIRECT("Table!A" &amp; $AL173):INDIRECT("Table!" &amp; $AO$275 &amp; $AL173),0))))/1024)</f>
        <v/>
      </c>
      <c r="F173" s="22" t="str">
        <f ca="1">IF(ISERROR(MATCH(F$1,INDIRECT("Table!A"&amp;$AL173):INDIRECT("Table!" &amp; $AO$275 &amp; $AL173),0)),"",INDIRECT(CONCATENATE("Table!",ADDRESS(#REF!,MATCH(F$1,INDIRECT("Table!A" &amp; $AL173):INDIRECT("Table!" &amp; $AO$275 &amp; $AL173),0))))/1024)</f>
        <v/>
      </c>
      <c r="G173" s="22" t="str">
        <f ca="1">IF(ISERROR(MATCH(G$1,INDIRECT("Table!A"&amp;$AL173):INDIRECT("Table!" &amp; $AO$275 &amp; $AL173),0)),"",INDIRECT(CONCATENATE("Table!",ADDRESS(#REF!,MATCH(G$1,INDIRECT("Table!A" &amp; $AL173):INDIRECT("Table!" &amp; $AO$275 &amp; $AL173),0))))/1024)</f>
        <v/>
      </c>
      <c r="H173" s="22" t="str">
        <f ca="1">IF(ISERROR(MATCH(H$1,INDIRECT("Table!A"&amp;$AL173):INDIRECT("Table!" &amp; $AO$275 &amp; $AL173),0)),"",INDIRECT(CONCATENATE("Table!",ADDRESS(#REF!,MATCH(H$1,INDIRECT("Table!A" &amp; $AL173):INDIRECT("Table!" &amp; $AO$275 &amp; $AL173),0))))/1024)</f>
        <v/>
      </c>
      <c r="K173" s="22" t="str">
        <f ca="1">IF(ISERROR(MATCH(L$1,INDIRECT("Table!A"&amp;$AL173):INDIRECT("Table!" &amp; $AO$275 &amp; $AL173),0)),"",INDIRECT(CONCATENATE("Table!",ADDRESS(#REF!,MATCH(L$1,INDIRECT("Table!A" &amp; $AL173):INDIRECT("Table!" &amp; $AO$275 &amp; $AL173),0))))/1024)</f>
        <v/>
      </c>
      <c r="L173" s="22" t="str">
        <f ca="1">IF(ISERROR(MATCH(M$1,INDIRECT("Table!A"&amp;$AL173):INDIRECT("Table!" &amp; $AO$275 &amp; $AL173),0)),"",INDIRECT(CONCATENATE("Table!",ADDRESS(#REF!,MATCH(M$1,INDIRECT("Table!A" &amp; $AL173):INDIRECT("Table!" &amp; $AO$275 &amp; $AL173),0))))/1024)</f>
        <v/>
      </c>
      <c r="M173" s="22" t="str">
        <f ca="1">IF(ISERROR(MATCH(N$1,INDIRECT("Table!A"&amp;$AL173):INDIRECT("Table!" &amp; $AO$275 &amp; $AL173),0)),"",INDIRECT(CONCATENATE("Table!",ADDRESS(#REF!,MATCH(N$1,INDIRECT("Table!A" &amp; $AL173):INDIRECT("Table!" &amp; $AO$275 &amp; $AL173),0))))/1024)</f>
        <v/>
      </c>
      <c r="N173" s="22" t="str">
        <f ca="1">IF(ISERROR(MATCH(O$1,INDIRECT("Table!A"&amp;$AL173):INDIRECT("Table!" &amp; $AO$275 &amp; $AL173),0)),"",INDIRECT(CONCATENATE("Table!",ADDRESS(#REF!,MATCH(O$1,INDIRECT("Table!A" &amp; $AL173):INDIRECT("Table!" &amp; $AO$275 &amp; $AL173),0))))/1024)</f>
        <v/>
      </c>
      <c r="O173" s="22"/>
      <c r="P173" s="272"/>
      <c r="Q173" s="22"/>
      <c r="R173" s="171"/>
      <c r="T173" s="595"/>
      <c r="U173" s="171"/>
      <c r="AJ173" s="171"/>
      <c r="AK173" s="171"/>
      <c r="AL173" s="22"/>
      <c r="AM173" s="171"/>
      <c r="AN173" s="171"/>
      <c r="AO173" s="29"/>
    </row>
    <row r="174" spans="2:41" x14ac:dyDescent="0.25">
      <c r="B174" s="22" t="str">
        <f ca="1">IF(ISERROR(MATCH(B$1,INDIRECT("Table!A"&amp;$AL174):INDIRECT("Table!" &amp; $AO$275 &amp; $AL174),0)),"",INDIRECT(CONCATENATE("Table!",ADDRESS(#REF!,MATCH(B$1,INDIRECT("Table!A" &amp; $AL174):INDIRECT("Table!" &amp; $AO$275 &amp; $AL174),0))))/1024)</f>
        <v/>
      </c>
      <c r="C174" s="22" t="str">
        <f ca="1">IF(ISERROR(MATCH(C$1,INDIRECT("Table!A"&amp;$AL174):INDIRECT("Table!" &amp; $AO$275 &amp; $AL174),0)),"",INDIRECT(CONCATENATE("Table!",ADDRESS(#REF!,MATCH(C$1,INDIRECT("Table!A" &amp; $AL174):INDIRECT("Table!" &amp; $AO$275 &amp; $AL174),0))))/1024)</f>
        <v/>
      </c>
      <c r="D174" s="22" t="str">
        <f ca="1">IF(ISERROR(MATCH(D$1,INDIRECT("Table!A"&amp;$AL174):INDIRECT("Table!" &amp; $AO$275 &amp; $AL174),0)),"",INDIRECT(CONCATENATE("Table!",ADDRESS(#REF!,MATCH(D$1,INDIRECT("Table!A" &amp; $AL174):INDIRECT("Table!" &amp; $AO$275 &amp; $AL174),0))))/1024)</f>
        <v/>
      </c>
      <c r="E174" s="22" t="str">
        <f ca="1">IF(ISERROR(MATCH(E$1,INDIRECT("Table!A"&amp;$AL174):INDIRECT("Table!" &amp; $AO$275 &amp; $AL174),0)),"",INDIRECT(CONCATENATE("Table!",ADDRESS(#REF!,MATCH(E$1,INDIRECT("Table!A" &amp; $AL174):INDIRECT("Table!" &amp; $AO$275 &amp; $AL174),0))))/1024)</f>
        <v/>
      </c>
      <c r="F174" s="22" t="str">
        <f ca="1">IF(ISERROR(MATCH(F$1,INDIRECT("Table!A"&amp;$AL174):INDIRECT("Table!" &amp; $AO$275 &amp; $AL174),0)),"",INDIRECT(CONCATENATE("Table!",ADDRESS(#REF!,MATCH(F$1,INDIRECT("Table!A" &amp; $AL174):INDIRECT("Table!" &amp; $AO$275 &amp; $AL174),0))))/1024)</f>
        <v/>
      </c>
      <c r="G174" s="22" t="str">
        <f ca="1">IF(ISERROR(MATCH(G$1,INDIRECT("Table!A"&amp;$AL174):INDIRECT("Table!" &amp; $AO$275 &amp; $AL174),0)),"",INDIRECT(CONCATENATE("Table!",ADDRESS(#REF!,MATCH(G$1,INDIRECT("Table!A" &amp; $AL174):INDIRECT("Table!" &amp; $AO$275 &amp; $AL174),0))))/1024)</f>
        <v/>
      </c>
      <c r="H174" s="22" t="str">
        <f ca="1">IF(ISERROR(MATCH(H$1,INDIRECT("Table!A"&amp;$AL174):INDIRECT("Table!" &amp; $AO$275 &amp; $AL174),0)),"",INDIRECT(CONCATENATE("Table!",ADDRESS(#REF!,MATCH(H$1,INDIRECT("Table!A" &amp; $AL174):INDIRECT("Table!" &amp; $AO$275 &amp; $AL174),0))))/1024)</f>
        <v/>
      </c>
      <c r="K174" s="22" t="str">
        <f ca="1">IF(ISERROR(MATCH(L$1,INDIRECT("Table!A"&amp;$AL174):INDIRECT("Table!" &amp; $AO$275 &amp; $AL174),0)),"",INDIRECT(CONCATENATE("Table!",ADDRESS(#REF!,MATCH(L$1,INDIRECT("Table!A" &amp; $AL174):INDIRECT("Table!" &amp; $AO$275 &amp; $AL174),0))))/1024)</f>
        <v/>
      </c>
      <c r="L174" s="22" t="str">
        <f ca="1">IF(ISERROR(MATCH(M$1,INDIRECT("Table!A"&amp;$AL174):INDIRECT("Table!" &amp; $AO$275 &amp; $AL174),0)),"",INDIRECT(CONCATENATE("Table!",ADDRESS(#REF!,MATCH(M$1,INDIRECT("Table!A" &amp; $AL174):INDIRECT("Table!" &amp; $AO$275 &amp; $AL174),0))))/1024)</f>
        <v/>
      </c>
      <c r="M174" s="22" t="str">
        <f ca="1">IF(ISERROR(MATCH(N$1,INDIRECT("Table!A"&amp;$AL174):INDIRECT("Table!" &amp; $AO$275 &amp; $AL174),0)),"",INDIRECT(CONCATENATE("Table!",ADDRESS(#REF!,MATCH(N$1,INDIRECT("Table!A" &amp; $AL174):INDIRECT("Table!" &amp; $AO$275 &amp; $AL174),0))))/1024)</f>
        <v/>
      </c>
      <c r="N174" s="22" t="str">
        <f ca="1">IF(ISERROR(MATCH(O$1,INDIRECT("Table!A"&amp;$AL174):INDIRECT("Table!" &amp; $AO$275 &amp; $AL174),0)),"",INDIRECT(CONCATENATE("Table!",ADDRESS(#REF!,MATCH(O$1,INDIRECT("Table!A" &amp; $AL174):INDIRECT("Table!" &amp; $AO$275 &amp; $AL174),0))))/1024)</f>
        <v/>
      </c>
      <c r="O174" s="22"/>
      <c r="P174" s="272"/>
      <c r="Q174" s="22"/>
      <c r="R174" s="170"/>
      <c r="T174" s="595"/>
      <c r="U174" s="170"/>
      <c r="AJ174" s="170"/>
      <c r="AK174" s="170"/>
      <c r="AL174" s="22"/>
      <c r="AM174" s="170"/>
      <c r="AN174" s="170"/>
      <c r="AO174" s="29"/>
    </row>
    <row r="175" spans="2:41" x14ac:dyDescent="0.25">
      <c r="B175" s="22" t="str">
        <f ca="1">IF(ISERROR(MATCH(B$1,INDIRECT("Table!A"&amp;$AL175):INDIRECT("Table!" &amp; $AO$275 &amp; $AL175),0)),"",INDIRECT(CONCATENATE("Table!",ADDRESS(#REF!,MATCH(B$1,INDIRECT("Table!A" &amp; $AL175):INDIRECT("Table!" &amp; $AO$275 &amp; $AL175),0))))/1024)</f>
        <v/>
      </c>
      <c r="C175" s="22" t="str">
        <f ca="1">IF(ISERROR(MATCH(C$1,INDIRECT("Table!A"&amp;$AL175):INDIRECT("Table!" &amp; $AO$275 &amp; $AL175),0)),"",INDIRECT(CONCATENATE("Table!",ADDRESS(#REF!,MATCH(C$1,INDIRECT("Table!A" &amp; $AL175):INDIRECT("Table!" &amp; $AO$275 &amp; $AL175),0))))/1024)</f>
        <v/>
      </c>
      <c r="D175" s="22" t="str">
        <f ca="1">IF(ISERROR(MATCH(D$1,INDIRECT("Table!A"&amp;$AL175):INDIRECT("Table!" &amp; $AO$275 &amp; $AL175),0)),"",INDIRECT(CONCATENATE("Table!",ADDRESS(#REF!,MATCH(D$1,INDIRECT("Table!A" &amp; $AL175):INDIRECT("Table!" &amp; $AO$275 &amp; $AL175),0))))/1024)</f>
        <v/>
      </c>
      <c r="E175" s="22" t="str">
        <f ca="1">IF(ISERROR(MATCH(E$1,INDIRECT("Table!A"&amp;$AL175):INDIRECT("Table!" &amp; $AO$275 &amp; $AL175),0)),"",INDIRECT(CONCATENATE("Table!",ADDRESS(#REF!,MATCH(E$1,INDIRECT("Table!A" &amp; $AL175):INDIRECT("Table!" &amp; $AO$275 &amp; $AL175),0))))/1024)</f>
        <v/>
      </c>
      <c r="F175" s="22" t="str">
        <f ca="1">IF(ISERROR(MATCH(F$1,INDIRECT("Table!A"&amp;$AL175):INDIRECT("Table!" &amp; $AO$275 &amp; $AL175),0)),"",INDIRECT(CONCATENATE("Table!",ADDRESS(#REF!,MATCH(F$1,INDIRECT("Table!A" &amp; $AL175):INDIRECT("Table!" &amp; $AO$275 &amp; $AL175),0))))/1024)</f>
        <v/>
      </c>
      <c r="G175" s="22" t="str">
        <f ca="1">IF(ISERROR(MATCH(G$1,INDIRECT("Table!A"&amp;$AL175):INDIRECT("Table!" &amp; $AO$275 &amp; $AL175),0)),"",INDIRECT(CONCATENATE("Table!",ADDRESS(#REF!,MATCH(G$1,INDIRECT("Table!A" &amp; $AL175):INDIRECT("Table!" &amp; $AO$275 &amp; $AL175),0))))/1024)</f>
        <v/>
      </c>
      <c r="H175" s="22" t="str">
        <f ca="1">IF(ISERROR(MATCH(H$1,INDIRECT("Table!A"&amp;$AL175):INDIRECT("Table!" &amp; $AO$275 &amp; $AL175),0)),"",INDIRECT(CONCATENATE("Table!",ADDRESS(#REF!,MATCH(H$1,INDIRECT("Table!A" &amp; $AL175):INDIRECT("Table!" &amp; $AO$275 &amp; $AL175),0))))/1024)</f>
        <v/>
      </c>
      <c r="K175" s="22" t="str">
        <f ca="1">IF(ISERROR(MATCH(L$1,INDIRECT("Table!A"&amp;$AL175):INDIRECT("Table!" &amp; $AO$275 &amp; $AL175),0)),"",INDIRECT(CONCATENATE("Table!",ADDRESS(#REF!,MATCH(L$1,INDIRECT("Table!A" &amp; $AL175):INDIRECT("Table!" &amp; $AO$275 &amp; $AL175),0))))/1024)</f>
        <v/>
      </c>
      <c r="L175" s="22" t="str">
        <f ca="1">IF(ISERROR(MATCH(M$1,INDIRECT("Table!A"&amp;$AL175):INDIRECT("Table!" &amp; $AO$275 &amp; $AL175),0)),"",INDIRECT(CONCATENATE("Table!",ADDRESS(#REF!,MATCH(M$1,INDIRECT("Table!A" &amp; $AL175):INDIRECT("Table!" &amp; $AO$275 &amp; $AL175),0))))/1024)</f>
        <v/>
      </c>
      <c r="M175" s="22" t="str">
        <f ca="1">IF(ISERROR(MATCH(N$1,INDIRECT("Table!A"&amp;$AL175):INDIRECT("Table!" &amp; $AO$275 &amp; $AL175),0)),"",INDIRECT(CONCATENATE("Table!",ADDRESS(#REF!,MATCH(N$1,INDIRECT("Table!A" &amp; $AL175):INDIRECT("Table!" &amp; $AO$275 &amp; $AL175),0))))/1024)</f>
        <v/>
      </c>
      <c r="N175" s="22" t="str">
        <f ca="1">IF(ISERROR(MATCH(O$1,INDIRECT("Table!A"&amp;$AL175):INDIRECT("Table!" &amp; $AO$275 &amp; $AL175),0)),"",INDIRECT(CONCATENATE("Table!",ADDRESS(#REF!,MATCH(O$1,INDIRECT("Table!A" &amp; $AL175):INDIRECT("Table!" &amp; $AO$275 &amp; $AL175),0))))/1024)</f>
        <v/>
      </c>
      <c r="O175" s="22"/>
      <c r="P175" s="272"/>
      <c r="Q175" s="22"/>
      <c r="R175" s="169"/>
      <c r="T175" s="595"/>
      <c r="U175" s="169"/>
      <c r="AJ175" s="169"/>
      <c r="AK175" s="169"/>
      <c r="AL175" s="22"/>
      <c r="AM175" s="169"/>
      <c r="AN175" s="169"/>
      <c r="AO175" s="29"/>
    </row>
    <row r="176" spans="2:41" x14ac:dyDescent="0.25">
      <c r="B176" s="22" t="str">
        <f ca="1">IF(ISERROR(MATCH(B$1,INDIRECT("Table!A"&amp;$AL176):INDIRECT("Table!" &amp; $AO$275 &amp; $AL176),0)),"",INDIRECT(CONCATENATE("Table!",ADDRESS(#REF!,MATCH(B$1,INDIRECT("Table!A" &amp; $AL176):INDIRECT("Table!" &amp; $AO$275 &amp; $AL176),0))))/1024)</f>
        <v/>
      </c>
      <c r="C176" s="22" t="str">
        <f ca="1">IF(ISERROR(MATCH(C$1,INDIRECT("Table!A"&amp;$AL176):INDIRECT("Table!" &amp; $AO$275 &amp; $AL176),0)),"",INDIRECT(CONCATENATE("Table!",ADDRESS(#REF!,MATCH(C$1,INDIRECT("Table!A" &amp; $AL176):INDIRECT("Table!" &amp; $AO$275 &amp; $AL176),0))))/1024)</f>
        <v/>
      </c>
      <c r="D176" s="22" t="str">
        <f ca="1">IF(ISERROR(MATCH(D$1,INDIRECT("Table!A"&amp;$AL176):INDIRECT("Table!" &amp; $AO$275 &amp; $AL176),0)),"",INDIRECT(CONCATENATE("Table!",ADDRESS(#REF!,MATCH(D$1,INDIRECT("Table!A" &amp; $AL176):INDIRECT("Table!" &amp; $AO$275 &amp; $AL176),0))))/1024)</f>
        <v/>
      </c>
      <c r="E176" s="22" t="str">
        <f ca="1">IF(ISERROR(MATCH(E$1,INDIRECT("Table!A"&amp;$AL176):INDIRECT("Table!" &amp; $AO$275 &amp; $AL176),0)),"",INDIRECT(CONCATENATE("Table!",ADDRESS(#REF!,MATCH(E$1,INDIRECT("Table!A" &amp; $AL176):INDIRECT("Table!" &amp; $AO$275 &amp; $AL176),0))))/1024)</f>
        <v/>
      </c>
      <c r="F176" s="22" t="str">
        <f ca="1">IF(ISERROR(MATCH(F$1,INDIRECT("Table!A"&amp;$AL176):INDIRECT("Table!" &amp; $AO$275 &amp; $AL176),0)),"",INDIRECT(CONCATENATE("Table!",ADDRESS(#REF!,MATCH(F$1,INDIRECT("Table!A" &amp; $AL176):INDIRECT("Table!" &amp; $AO$275 &amp; $AL176),0))))/1024)</f>
        <v/>
      </c>
      <c r="G176" s="22" t="str">
        <f ca="1">IF(ISERROR(MATCH(G$1,INDIRECT("Table!A"&amp;$AL176):INDIRECT("Table!" &amp; $AO$275 &amp; $AL176),0)),"",INDIRECT(CONCATENATE("Table!",ADDRESS(#REF!,MATCH(G$1,INDIRECT("Table!A" &amp; $AL176):INDIRECT("Table!" &amp; $AO$275 &amp; $AL176),0))))/1024)</f>
        <v/>
      </c>
      <c r="H176" s="22" t="str">
        <f ca="1">IF(ISERROR(MATCH(H$1,INDIRECT("Table!A"&amp;$AL176):INDIRECT("Table!" &amp; $AO$275 &amp; $AL176),0)),"",INDIRECT(CONCATENATE("Table!",ADDRESS(#REF!,MATCH(H$1,INDIRECT("Table!A" &amp; $AL176):INDIRECT("Table!" &amp; $AO$275 &amp; $AL176),0))))/1024)</f>
        <v/>
      </c>
      <c r="K176" s="22" t="str">
        <f ca="1">IF(ISERROR(MATCH(L$1,INDIRECT("Table!A"&amp;$AL176):INDIRECT("Table!" &amp; $AO$275 &amp; $AL176),0)),"",INDIRECT(CONCATENATE("Table!",ADDRESS(#REF!,MATCH(L$1,INDIRECT("Table!A" &amp; $AL176):INDIRECT("Table!" &amp; $AO$275 &amp; $AL176),0))))/1024)</f>
        <v/>
      </c>
      <c r="L176" s="22" t="str">
        <f ca="1">IF(ISERROR(MATCH(M$1,INDIRECT("Table!A"&amp;$AL176):INDIRECT("Table!" &amp; $AO$275 &amp; $AL176),0)),"",INDIRECT(CONCATENATE("Table!",ADDRESS(#REF!,MATCH(M$1,INDIRECT("Table!A" &amp; $AL176):INDIRECT("Table!" &amp; $AO$275 &amp; $AL176),0))))/1024)</f>
        <v/>
      </c>
      <c r="M176" s="22" t="str">
        <f ca="1">IF(ISERROR(MATCH(N$1,INDIRECT("Table!A"&amp;$AL176):INDIRECT("Table!" &amp; $AO$275 &amp; $AL176),0)),"",INDIRECT(CONCATENATE("Table!",ADDRESS(#REF!,MATCH(N$1,INDIRECT("Table!A" &amp; $AL176):INDIRECT("Table!" &amp; $AO$275 &amp; $AL176),0))))/1024)</f>
        <v/>
      </c>
      <c r="N176" s="22" t="str">
        <f ca="1">IF(ISERROR(MATCH(O$1,INDIRECT("Table!A"&amp;$AL176):INDIRECT("Table!" &amp; $AO$275 &amp; $AL176),0)),"",INDIRECT(CONCATENATE("Table!",ADDRESS(#REF!,MATCH(O$1,INDIRECT("Table!A" &amp; $AL176):INDIRECT("Table!" &amp; $AO$275 &amp; $AL176),0))))/1024)</f>
        <v/>
      </c>
      <c r="O176" s="22"/>
      <c r="P176" s="272"/>
      <c r="Q176" s="22"/>
      <c r="R176" s="168"/>
      <c r="T176" s="595"/>
      <c r="U176" s="168"/>
      <c r="AJ176" s="168"/>
      <c r="AK176" s="168"/>
      <c r="AL176" s="22"/>
      <c r="AM176" s="168"/>
      <c r="AN176" s="168"/>
      <c r="AO176" s="29"/>
    </row>
    <row r="177" spans="2:41" x14ac:dyDescent="0.25">
      <c r="B177" s="22" t="str">
        <f ca="1">IF(ISERROR(MATCH(B$1,INDIRECT("Table!A"&amp;$AL177):INDIRECT("Table!" &amp; $AO$275 &amp; $AL177),0)),"",INDIRECT(CONCATENATE("Table!",ADDRESS(#REF!,MATCH(B$1,INDIRECT("Table!A" &amp; $AL177):INDIRECT("Table!" &amp; $AO$275 &amp; $AL177),0))))/1024)</f>
        <v/>
      </c>
      <c r="C177" s="22" t="str">
        <f ca="1">IF(ISERROR(MATCH(C$1,INDIRECT("Table!A"&amp;$AL177):INDIRECT("Table!" &amp; $AO$275 &amp; $AL177),0)),"",INDIRECT(CONCATENATE("Table!",ADDRESS(#REF!,MATCH(C$1,INDIRECT("Table!A" &amp; $AL177):INDIRECT("Table!" &amp; $AO$275 &amp; $AL177),0))))/1024)</f>
        <v/>
      </c>
      <c r="D177" s="22" t="str">
        <f ca="1">IF(ISERROR(MATCH(D$1,INDIRECT("Table!A"&amp;$AL177):INDIRECT("Table!" &amp; $AO$275 &amp; $AL177),0)),"",INDIRECT(CONCATENATE("Table!",ADDRESS(#REF!,MATCH(D$1,INDIRECT("Table!A" &amp; $AL177):INDIRECT("Table!" &amp; $AO$275 &amp; $AL177),0))))/1024)</f>
        <v/>
      </c>
      <c r="E177" s="22" t="str">
        <f ca="1">IF(ISERROR(MATCH(E$1,INDIRECT("Table!A"&amp;$AL177):INDIRECT("Table!" &amp; $AO$275 &amp; $AL177),0)),"",INDIRECT(CONCATENATE("Table!",ADDRESS(#REF!,MATCH(E$1,INDIRECT("Table!A" &amp; $AL177):INDIRECT("Table!" &amp; $AO$275 &amp; $AL177),0))))/1024)</f>
        <v/>
      </c>
      <c r="F177" s="22" t="str">
        <f ca="1">IF(ISERROR(MATCH(F$1,INDIRECT("Table!A"&amp;$AL177):INDIRECT("Table!" &amp; $AO$275 &amp; $AL177),0)),"",INDIRECT(CONCATENATE("Table!",ADDRESS(#REF!,MATCH(F$1,INDIRECT("Table!A" &amp; $AL177):INDIRECT("Table!" &amp; $AO$275 &amp; $AL177),0))))/1024)</f>
        <v/>
      </c>
      <c r="G177" s="22" t="str">
        <f ca="1">IF(ISERROR(MATCH(G$1,INDIRECT("Table!A"&amp;$AL177):INDIRECT("Table!" &amp; $AO$275 &amp; $AL177),0)),"",INDIRECT(CONCATENATE("Table!",ADDRESS(#REF!,MATCH(G$1,INDIRECT("Table!A" &amp; $AL177):INDIRECT("Table!" &amp; $AO$275 &amp; $AL177),0))))/1024)</f>
        <v/>
      </c>
      <c r="H177" s="22" t="str">
        <f ca="1">IF(ISERROR(MATCH(H$1,INDIRECT("Table!A"&amp;$AL177):INDIRECT("Table!" &amp; $AO$275 &amp; $AL177),0)),"",INDIRECT(CONCATENATE("Table!",ADDRESS(#REF!,MATCH(H$1,INDIRECT("Table!A" &amp; $AL177):INDIRECT("Table!" &amp; $AO$275 &amp; $AL177),0))))/1024)</f>
        <v/>
      </c>
      <c r="K177" s="22" t="str">
        <f ca="1">IF(ISERROR(MATCH(L$1,INDIRECT("Table!A"&amp;$AL177):INDIRECT("Table!" &amp; $AO$275 &amp; $AL177),0)),"",INDIRECT(CONCATENATE("Table!",ADDRESS(#REF!,MATCH(L$1,INDIRECT("Table!A" &amp; $AL177):INDIRECT("Table!" &amp; $AO$275 &amp; $AL177),0))))/1024)</f>
        <v/>
      </c>
      <c r="L177" s="22" t="str">
        <f ca="1">IF(ISERROR(MATCH(M$1,INDIRECT("Table!A"&amp;$AL177):INDIRECT("Table!" &amp; $AO$275 &amp; $AL177),0)),"",INDIRECT(CONCATENATE("Table!",ADDRESS(#REF!,MATCH(M$1,INDIRECT("Table!A" &amp; $AL177):INDIRECT("Table!" &amp; $AO$275 &amp; $AL177),0))))/1024)</f>
        <v/>
      </c>
      <c r="M177" s="22" t="str">
        <f ca="1">IF(ISERROR(MATCH(N$1,INDIRECT("Table!A"&amp;$AL177):INDIRECT("Table!" &amp; $AO$275 &amp; $AL177),0)),"",INDIRECT(CONCATENATE("Table!",ADDRESS(#REF!,MATCH(N$1,INDIRECT("Table!A" &amp; $AL177):INDIRECT("Table!" &amp; $AO$275 &amp; $AL177),0))))/1024)</f>
        <v/>
      </c>
      <c r="N177" s="22" t="str">
        <f ca="1">IF(ISERROR(MATCH(O$1,INDIRECT("Table!A"&amp;$AL177):INDIRECT("Table!" &amp; $AO$275 &amp; $AL177),0)),"",INDIRECT(CONCATENATE("Table!",ADDRESS(#REF!,MATCH(O$1,INDIRECT("Table!A" &amp; $AL177):INDIRECT("Table!" &amp; $AO$275 &amp; $AL177),0))))/1024)</f>
        <v/>
      </c>
      <c r="O177" s="22"/>
      <c r="P177" s="272"/>
      <c r="Q177" s="22"/>
      <c r="R177" s="167"/>
      <c r="T177" s="595"/>
      <c r="U177" s="167"/>
      <c r="AJ177" s="167"/>
      <c r="AK177" s="167"/>
      <c r="AL177" s="22"/>
      <c r="AM177" s="167"/>
      <c r="AN177" s="167"/>
      <c r="AO177" s="29"/>
    </row>
    <row r="178" spans="2:41" x14ac:dyDescent="0.25">
      <c r="B178" s="22" t="str">
        <f ca="1">IF(ISERROR(MATCH(B$1,INDIRECT("Table!A"&amp;$AL178):INDIRECT("Table!" &amp; $AO$275 &amp; $AL178),0)),"",INDIRECT(CONCATENATE("Table!",ADDRESS(#REF!,MATCH(B$1,INDIRECT("Table!A" &amp; $AL178):INDIRECT("Table!" &amp; $AO$275 &amp; $AL178),0))))/1024)</f>
        <v/>
      </c>
      <c r="C178" s="22" t="str">
        <f ca="1">IF(ISERROR(MATCH(C$1,INDIRECT("Table!A"&amp;$AL178):INDIRECT("Table!" &amp; $AO$275 &amp; $AL178),0)),"",INDIRECT(CONCATENATE("Table!",ADDRESS(#REF!,MATCH(C$1,INDIRECT("Table!A" &amp; $AL178):INDIRECT("Table!" &amp; $AO$275 &amp; $AL178),0))))/1024)</f>
        <v/>
      </c>
      <c r="D178" s="22" t="str">
        <f ca="1">IF(ISERROR(MATCH(D$1,INDIRECT("Table!A"&amp;$AL178):INDIRECT("Table!" &amp; $AO$275 &amp; $AL178),0)),"",INDIRECT(CONCATENATE("Table!",ADDRESS(#REF!,MATCH(D$1,INDIRECT("Table!A" &amp; $AL178):INDIRECT("Table!" &amp; $AO$275 &amp; $AL178),0))))/1024)</f>
        <v/>
      </c>
      <c r="E178" s="22" t="str">
        <f ca="1">IF(ISERROR(MATCH(E$1,INDIRECT("Table!A"&amp;$AL178):INDIRECT("Table!" &amp; $AO$275 &amp; $AL178),0)),"",INDIRECT(CONCATENATE("Table!",ADDRESS(#REF!,MATCH(E$1,INDIRECT("Table!A" &amp; $AL178):INDIRECT("Table!" &amp; $AO$275 &amp; $AL178),0))))/1024)</f>
        <v/>
      </c>
      <c r="F178" s="22" t="str">
        <f ca="1">IF(ISERROR(MATCH(F$1,INDIRECT("Table!A"&amp;$AL178):INDIRECT("Table!" &amp; $AO$275 &amp; $AL178),0)),"",INDIRECT(CONCATENATE("Table!",ADDRESS(#REF!,MATCH(F$1,INDIRECT("Table!A" &amp; $AL178):INDIRECT("Table!" &amp; $AO$275 &amp; $AL178),0))))/1024)</f>
        <v/>
      </c>
      <c r="G178" s="22" t="str">
        <f ca="1">IF(ISERROR(MATCH(G$1,INDIRECT("Table!A"&amp;$AL178):INDIRECT("Table!" &amp; $AO$275 &amp; $AL178),0)),"",INDIRECT(CONCATENATE("Table!",ADDRESS(#REF!,MATCH(G$1,INDIRECT("Table!A" &amp; $AL178):INDIRECT("Table!" &amp; $AO$275 &amp; $AL178),0))))/1024)</f>
        <v/>
      </c>
      <c r="H178" s="22" t="str">
        <f ca="1">IF(ISERROR(MATCH(H$1,INDIRECT("Table!A"&amp;$AL178):INDIRECT("Table!" &amp; $AO$275 &amp; $AL178),0)),"",INDIRECT(CONCATENATE("Table!",ADDRESS(#REF!,MATCH(H$1,INDIRECT("Table!A" &amp; $AL178):INDIRECT("Table!" &amp; $AO$275 &amp; $AL178),0))))/1024)</f>
        <v/>
      </c>
      <c r="K178" s="22" t="str">
        <f ca="1">IF(ISERROR(MATCH(L$1,INDIRECT("Table!A"&amp;$AL178):INDIRECT("Table!" &amp; $AO$275 &amp; $AL178),0)),"",INDIRECT(CONCATENATE("Table!",ADDRESS(#REF!,MATCH(L$1,INDIRECT("Table!A" &amp; $AL178):INDIRECT("Table!" &amp; $AO$275 &amp; $AL178),0))))/1024)</f>
        <v/>
      </c>
      <c r="L178" s="22" t="str">
        <f ca="1">IF(ISERROR(MATCH(M$1,INDIRECT("Table!A"&amp;$AL178):INDIRECT("Table!" &amp; $AO$275 &amp; $AL178),0)),"",INDIRECT(CONCATENATE("Table!",ADDRESS(#REF!,MATCH(M$1,INDIRECT("Table!A" &amp; $AL178):INDIRECT("Table!" &amp; $AO$275 &amp; $AL178),0))))/1024)</f>
        <v/>
      </c>
      <c r="M178" s="22" t="str">
        <f ca="1">IF(ISERROR(MATCH(N$1,INDIRECT("Table!A"&amp;$AL178):INDIRECT("Table!" &amp; $AO$275 &amp; $AL178),0)),"",INDIRECT(CONCATENATE("Table!",ADDRESS(#REF!,MATCH(N$1,INDIRECT("Table!A" &amp; $AL178):INDIRECT("Table!" &amp; $AO$275 &amp; $AL178),0))))/1024)</f>
        <v/>
      </c>
      <c r="N178" s="22" t="str">
        <f ca="1">IF(ISERROR(MATCH(O$1,INDIRECT("Table!A"&amp;$AL178):INDIRECT("Table!" &amp; $AO$275 &amp; $AL178),0)),"",INDIRECT(CONCATENATE("Table!",ADDRESS(#REF!,MATCH(O$1,INDIRECT("Table!A" &amp; $AL178):INDIRECT("Table!" &amp; $AO$275 &amp; $AL178),0))))/1024)</f>
        <v/>
      </c>
      <c r="O178" s="22"/>
      <c r="P178" s="272"/>
      <c r="Q178" s="22"/>
      <c r="R178" s="166"/>
      <c r="T178" s="595"/>
      <c r="U178" s="166"/>
      <c r="AJ178" s="166"/>
      <c r="AK178" s="166"/>
      <c r="AL178" s="22"/>
      <c r="AM178" s="166"/>
      <c r="AN178" s="166"/>
      <c r="AO178" s="29"/>
    </row>
    <row r="179" spans="2:41" x14ac:dyDescent="0.25">
      <c r="B179" s="22" t="str">
        <f ca="1">IF(ISERROR(MATCH(B$1,INDIRECT("Table!A"&amp;$AL179):INDIRECT("Table!" &amp; $AO$275 &amp; $AL179),0)),"",INDIRECT(CONCATENATE("Table!",ADDRESS(#REF!,MATCH(B$1,INDIRECT("Table!A" &amp; $AL179):INDIRECT("Table!" &amp; $AO$275 &amp; $AL179),0))))/1024)</f>
        <v/>
      </c>
      <c r="C179" s="22" t="str">
        <f ca="1">IF(ISERROR(MATCH(C$1,INDIRECT("Table!A"&amp;$AL179):INDIRECT("Table!" &amp; $AO$275 &amp; $AL179),0)),"",INDIRECT(CONCATENATE("Table!",ADDRESS(#REF!,MATCH(C$1,INDIRECT("Table!A" &amp; $AL179):INDIRECT("Table!" &amp; $AO$275 &amp; $AL179),0))))/1024)</f>
        <v/>
      </c>
      <c r="D179" s="22" t="str">
        <f ca="1">IF(ISERROR(MATCH(D$1,INDIRECT("Table!A"&amp;$AL179):INDIRECT("Table!" &amp; $AO$275 &amp; $AL179),0)),"",INDIRECT(CONCATENATE("Table!",ADDRESS(#REF!,MATCH(D$1,INDIRECT("Table!A" &amp; $AL179):INDIRECT("Table!" &amp; $AO$275 &amp; $AL179),0))))/1024)</f>
        <v/>
      </c>
      <c r="E179" s="22" t="str">
        <f ca="1">IF(ISERROR(MATCH(E$1,INDIRECT("Table!A"&amp;$AL179):INDIRECT("Table!" &amp; $AO$275 &amp; $AL179),0)),"",INDIRECT(CONCATENATE("Table!",ADDRESS(#REF!,MATCH(E$1,INDIRECT("Table!A" &amp; $AL179):INDIRECT("Table!" &amp; $AO$275 &amp; $AL179),0))))/1024)</f>
        <v/>
      </c>
      <c r="F179" s="22" t="str">
        <f ca="1">IF(ISERROR(MATCH(F$1,INDIRECT("Table!A"&amp;$AL179):INDIRECT("Table!" &amp; $AO$275 &amp; $AL179),0)),"",INDIRECT(CONCATENATE("Table!",ADDRESS(#REF!,MATCH(F$1,INDIRECT("Table!A" &amp; $AL179):INDIRECT("Table!" &amp; $AO$275 &amp; $AL179),0))))/1024)</f>
        <v/>
      </c>
      <c r="G179" s="22" t="str">
        <f ca="1">IF(ISERROR(MATCH(G$1,INDIRECT("Table!A"&amp;$AL179):INDIRECT("Table!" &amp; $AO$275 &amp; $AL179),0)),"",INDIRECT(CONCATENATE("Table!",ADDRESS(#REF!,MATCH(G$1,INDIRECT("Table!A" &amp; $AL179):INDIRECT("Table!" &amp; $AO$275 &amp; $AL179),0))))/1024)</f>
        <v/>
      </c>
      <c r="H179" s="22" t="str">
        <f ca="1">IF(ISERROR(MATCH(H$1,INDIRECT("Table!A"&amp;$AL179):INDIRECT("Table!" &amp; $AO$275 &amp; $AL179),0)),"",INDIRECT(CONCATENATE("Table!",ADDRESS(#REF!,MATCH(H$1,INDIRECT("Table!A" &amp; $AL179):INDIRECT("Table!" &amp; $AO$275 &amp; $AL179),0))))/1024)</f>
        <v/>
      </c>
      <c r="K179" s="22" t="str">
        <f ca="1">IF(ISERROR(MATCH(L$1,INDIRECT("Table!A"&amp;$AL179):INDIRECT("Table!" &amp; $AO$275 &amp; $AL179),0)),"",INDIRECT(CONCATENATE("Table!",ADDRESS(#REF!,MATCH(L$1,INDIRECT("Table!A" &amp; $AL179):INDIRECT("Table!" &amp; $AO$275 &amp; $AL179),0))))/1024)</f>
        <v/>
      </c>
      <c r="L179" s="22" t="str">
        <f ca="1">IF(ISERROR(MATCH(M$1,INDIRECT("Table!A"&amp;$AL179):INDIRECT("Table!" &amp; $AO$275 &amp; $AL179),0)),"",INDIRECT(CONCATENATE("Table!",ADDRESS(#REF!,MATCH(M$1,INDIRECT("Table!A" &amp; $AL179):INDIRECT("Table!" &amp; $AO$275 &amp; $AL179),0))))/1024)</f>
        <v/>
      </c>
      <c r="M179" s="22" t="str">
        <f ca="1">IF(ISERROR(MATCH(N$1,INDIRECT("Table!A"&amp;$AL179):INDIRECT("Table!" &amp; $AO$275 &amp; $AL179),0)),"",INDIRECT(CONCATENATE("Table!",ADDRESS(#REF!,MATCH(N$1,INDIRECT("Table!A" &amp; $AL179):INDIRECT("Table!" &amp; $AO$275 &amp; $AL179),0))))/1024)</f>
        <v/>
      </c>
      <c r="N179" s="22" t="str">
        <f ca="1">IF(ISERROR(MATCH(O$1,INDIRECT("Table!A"&amp;$AL179):INDIRECT("Table!" &amp; $AO$275 &amp; $AL179),0)),"",INDIRECT(CONCATENATE("Table!",ADDRESS(#REF!,MATCH(O$1,INDIRECT("Table!A" &amp; $AL179):INDIRECT("Table!" &amp; $AO$275 &amp; $AL179),0))))/1024)</f>
        <v/>
      </c>
      <c r="O179" s="22"/>
      <c r="P179" s="272"/>
      <c r="Q179" s="22"/>
      <c r="R179" s="165"/>
      <c r="T179" s="595"/>
      <c r="U179" s="165"/>
      <c r="AJ179" s="165"/>
      <c r="AK179" s="165"/>
      <c r="AL179" s="22"/>
      <c r="AM179" s="165"/>
      <c r="AN179" s="165"/>
      <c r="AO179" s="29"/>
    </row>
    <row r="180" spans="2:41" x14ac:dyDescent="0.25">
      <c r="B180" s="22" t="str">
        <f ca="1">IF(ISERROR(MATCH(B$1,INDIRECT("Table!A"&amp;$AL180):INDIRECT("Table!" &amp; $AO$275 &amp; $AL180),0)),"",INDIRECT(CONCATENATE("Table!",ADDRESS(#REF!,MATCH(B$1,INDIRECT("Table!A" &amp; $AL180):INDIRECT("Table!" &amp; $AO$275 &amp; $AL180),0))))/1024)</f>
        <v/>
      </c>
      <c r="C180" s="22" t="str">
        <f ca="1">IF(ISERROR(MATCH(C$1,INDIRECT("Table!A"&amp;$AL180):INDIRECT("Table!" &amp; $AO$275 &amp; $AL180),0)),"",INDIRECT(CONCATENATE("Table!",ADDRESS(#REF!,MATCH(C$1,INDIRECT("Table!A" &amp; $AL180):INDIRECT("Table!" &amp; $AO$275 &amp; $AL180),0))))/1024)</f>
        <v/>
      </c>
      <c r="D180" s="22" t="str">
        <f ca="1">IF(ISERROR(MATCH(D$1,INDIRECT("Table!A"&amp;$AL180):INDIRECT("Table!" &amp; $AO$275 &amp; $AL180),0)),"",INDIRECT(CONCATENATE("Table!",ADDRESS(#REF!,MATCH(D$1,INDIRECT("Table!A" &amp; $AL180):INDIRECT("Table!" &amp; $AO$275 &amp; $AL180),0))))/1024)</f>
        <v/>
      </c>
      <c r="E180" s="22" t="str">
        <f ca="1">IF(ISERROR(MATCH(E$1,INDIRECT("Table!A"&amp;$AL180):INDIRECT("Table!" &amp; $AO$275 &amp; $AL180),0)),"",INDIRECT(CONCATENATE("Table!",ADDRESS(#REF!,MATCH(E$1,INDIRECT("Table!A" &amp; $AL180):INDIRECT("Table!" &amp; $AO$275 &amp; $AL180),0))))/1024)</f>
        <v/>
      </c>
      <c r="F180" s="22" t="str">
        <f ca="1">IF(ISERROR(MATCH(F$1,INDIRECT("Table!A"&amp;$AL180):INDIRECT("Table!" &amp; $AO$275 &amp; $AL180),0)),"",INDIRECT(CONCATENATE("Table!",ADDRESS(#REF!,MATCH(F$1,INDIRECT("Table!A" &amp; $AL180):INDIRECT("Table!" &amp; $AO$275 &amp; $AL180),0))))/1024)</f>
        <v/>
      </c>
      <c r="G180" s="22" t="str">
        <f ca="1">IF(ISERROR(MATCH(G$1,INDIRECT("Table!A"&amp;$AL180):INDIRECT("Table!" &amp; $AO$275 &amp; $AL180),0)),"",INDIRECT(CONCATENATE("Table!",ADDRESS(#REF!,MATCH(G$1,INDIRECT("Table!A" &amp; $AL180):INDIRECT("Table!" &amp; $AO$275 &amp; $AL180),0))))/1024)</f>
        <v/>
      </c>
      <c r="H180" s="22" t="str">
        <f ca="1">IF(ISERROR(MATCH(H$1,INDIRECT("Table!A"&amp;$AL180):INDIRECT("Table!" &amp; $AO$275 &amp; $AL180),0)),"",INDIRECT(CONCATENATE("Table!",ADDRESS(#REF!,MATCH(H$1,INDIRECT("Table!A" &amp; $AL180):INDIRECT("Table!" &amp; $AO$275 &amp; $AL180),0))))/1024)</f>
        <v/>
      </c>
      <c r="K180" s="22" t="str">
        <f ca="1">IF(ISERROR(MATCH(L$1,INDIRECT("Table!A"&amp;$AL180):INDIRECT("Table!" &amp; $AO$275 &amp; $AL180),0)),"",INDIRECT(CONCATENATE("Table!",ADDRESS(#REF!,MATCH(L$1,INDIRECT("Table!A" &amp; $AL180):INDIRECT("Table!" &amp; $AO$275 &amp; $AL180),0))))/1024)</f>
        <v/>
      </c>
      <c r="L180" s="22" t="str">
        <f ca="1">IF(ISERROR(MATCH(M$1,INDIRECT("Table!A"&amp;$AL180):INDIRECT("Table!" &amp; $AO$275 &amp; $AL180),0)),"",INDIRECT(CONCATENATE("Table!",ADDRESS(#REF!,MATCH(M$1,INDIRECT("Table!A" &amp; $AL180):INDIRECT("Table!" &amp; $AO$275 &amp; $AL180),0))))/1024)</f>
        <v/>
      </c>
      <c r="M180" s="22" t="str">
        <f ca="1">IF(ISERROR(MATCH(N$1,INDIRECT("Table!A"&amp;$AL180):INDIRECT("Table!" &amp; $AO$275 &amp; $AL180),0)),"",INDIRECT(CONCATENATE("Table!",ADDRESS(#REF!,MATCH(N$1,INDIRECT("Table!A" &amp; $AL180):INDIRECT("Table!" &amp; $AO$275 &amp; $AL180),0))))/1024)</f>
        <v/>
      </c>
      <c r="N180" s="22" t="str">
        <f ca="1">IF(ISERROR(MATCH(O$1,INDIRECT("Table!A"&amp;$AL180):INDIRECT("Table!" &amp; $AO$275 &amp; $AL180),0)),"",INDIRECT(CONCATENATE("Table!",ADDRESS(#REF!,MATCH(O$1,INDIRECT("Table!A" &amp; $AL180):INDIRECT("Table!" &amp; $AO$275 &amp; $AL180),0))))/1024)</f>
        <v/>
      </c>
      <c r="O180" s="22"/>
      <c r="P180" s="272"/>
      <c r="Q180" s="22"/>
      <c r="R180" s="163"/>
      <c r="T180" s="595"/>
      <c r="U180" s="163"/>
      <c r="AJ180" s="163"/>
      <c r="AK180" s="163"/>
      <c r="AL180" s="22"/>
      <c r="AM180" s="163"/>
      <c r="AN180" s="163"/>
      <c r="AO180" s="29"/>
    </row>
    <row r="181" spans="2:41" x14ac:dyDescent="0.25">
      <c r="B181" s="22" t="str">
        <f ca="1">IF(ISERROR(MATCH(B$1,INDIRECT("Table!A"&amp;$AL181):INDIRECT("Table!" &amp; $AO$275 &amp; $AL181),0)),"",INDIRECT(CONCATENATE("Table!",ADDRESS(#REF!,MATCH(B$1,INDIRECT("Table!A" &amp; $AL181):INDIRECT("Table!" &amp; $AO$275 &amp; $AL181),0))))/1024)</f>
        <v/>
      </c>
      <c r="C181" s="22" t="str">
        <f ca="1">IF(ISERROR(MATCH(C$1,INDIRECT("Table!A"&amp;$AL181):INDIRECT("Table!" &amp; $AO$275 &amp; $AL181),0)),"",INDIRECT(CONCATENATE("Table!",ADDRESS(#REF!,MATCH(C$1,INDIRECT("Table!A" &amp; $AL181):INDIRECT("Table!" &amp; $AO$275 &amp; $AL181),0))))/1024)</f>
        <v/>
      </c>
      <c r="D181" s="22" t="str">
        <f ca="1">IF(ISERROR(MATCH(D$1,INDIRECT("Table!A"&amp;$AL181):INDIRECT("Table!" &amp; $AO$275 &amp; $AL181),0)),"",INDIRECT(CONCATENATE("Table!",ADDRESS(#REF!,MATCH(D$1,INDIRECT("Table!A" &amp; $AL181):INDIRECT("Table!" &amp; $AO$275 &amp; $AL181),0))))/1024)</f>
        <v/>
      </c>
      <c r="E181" s="22" t="str">
        <f ca="1">IF(ISERROR(MATCH(E$1,INDIRECT("Table!A"&amp;$AL181):INDIRECT("Table!" &amp; $AO$275 &amp; $AL181),0)),"",INDIRECT(CONCATENATE("Table!",ADDRESS(#REF!,MATCH(E$1,INDIRECT("Table!A" &amp; $AL181):INDIRECT("Table!" &amp; $AO$275 &amp; $AL181),0))))/1024)</f>
        <v/>
      </c>
      <c r="F181" s="22" t="str">
        <f ca="1">IF(ISERROR(MATCH(F$1,INDIRECT("Table!A"&amp;$AL181):INDIRECT("Table!" &amp; $AO$275 &amp; $AL181),0)),"",INDIRECT(CONCATENATE("Table!",ADDRESS(#REF!,MATCH(F$1,INDIRECT("Table!A" &amp; $AL181):INDIRECT("Table!" &amp; $AO$275 &amp; $AL181),0))))/1024)</f>
        <v/>
      </c>
      <c r="G181" s="22" t="str">
        <f ca="1">IF(ISERROR(MATCH(G$1,INDIRECT("Table!A"&amp;$AL181):INDIRECT("Table!" &amp; $AO$275 &amp; $AL181),0)),"",INDIRECT(CONCATENATE("Table!",ADDRESS(#REF!,MATCH(G$1,INDIRECT("Table!A" &amp; $AL181):INDIRECT("Table!" &amp; $AO$275 &amp; $AL181),0))))/1024)</f>
        <v/>
      </c>
      <c r="H181" s="22" t="str">
        <f ca="1">IF(ISERROR(MATCH(H$1,INDIRECT("Table!A"&amp;$AL181):INDIRECT("Table!" &amp; $AO$275 &amp; $AL181),0)),"",INDIRECT(CONCATENATE("Table!",ADDRESS(#REF!,MATCH(H$1,INDIRECT("Table!A" &amp; $AL181):INDIRECT("Table!" &amp; $AO$275 &amp; $AL181),0))))/1024)</f>
        <v/>
      </c>
      <c r="K181" s="22" t="str">
        <f ca="1">IF(ISERROR(MATCH(L$1,INDIRECT("Table!A"&amp;$AL181):INDIRECT("Table!" &amp; $AO$275 &amp; $AL181),0)),"",INDIRECT(CONCATENATE("Table!",ADDRESS(#REF!,MATCH(L$1,INDIRECT("Table!A" &amp; $AL181):INDIRECT("Table!" &amp; $AO$275 &amp; $AL181),0))))/1024)</f>
        <v/>
      </c>
      <c r="L181" s="22" t="str">
        <f ca="1">IF(ISERROR(MATCH(M$1,INDIRECT("Table!A"&amp;$AL181):INDIRECT("Table!" &amp; $AO$275 &amp; $AL181),0)),"",INDIRECT(CONCATENATE("Table!",ADDRESS(#REF!,MATCH(M$1,INDIRECT("Table!A" &amp; $AL181):INDIRECT("Table!" &amp; $AO$275 &amp; $AL181),0))))/1024)</f>
        <v/>
      </c>
      <c r="M181" s="22" t="str">
        <f ca="1">IF(ISERROR(MATCH(N$1,INDIRECT("Table!A"&amp;$AL181):INDIRECT("Table!" &amp; $AO$275 &amp; $AL181),0)),"",INDIRECT(CONCATENATE("Table!",ADDRESS(#REF!,MATCH(N$1,INDIRECT("Table!A" &amp; $AL181):INDIRECT("Table!" &amp; $AO$275 &amp; $AL181),0))))/1024)</f>
        <v/>
      </c>
      <c r="N181" s="22" t="str">
        <f ca="1">IF(ISERROR(MATCH(O$1,INDIRECT("Table!A"&amp;$AL181):INDIRECT("Table!" &amp; $AO$275 &amp; $AL181),0)),"",INDIRECT(CONCATENATE("Table!",ADDRESS(#REF!,MATCH(O$1,INDIRECT("Table!A" &amp; $AL181):INDIRECT("Table!" &amp; $AO$275 &amp; $AL181),0))))/1024)</f>
        <v/>
      </c>
      <c r="O181" s="22"/>
      <c r="P181" s="272"/>
      <c r="Q181" s="22"/>
      <c r="R181" s="124"/>
      <c r="T181" s="595"/>
      <c r="U181" s="124"/>
      <c r="AJ181" s="124"/>
      <c r="AK181" s="124"/>
      <c r="AL181" s="22"/>
      <c r="AM181" s="124"/>
      <c r="AN181" s="124"/>
      <c r="AO181" s="29"/>
    </row>
    <row r="182" spans="2:41" x14ac:dyDescent="0.25">
      <c r="B182" s="22" t="str">
        <f ca="1">IF(ISERROR(MATCH(B$1,INDIRECT("Table!A"&amp;$AL182):INDIRECT("Table!" &amp; $AO$275 &amp; $AL182),0)),"",INDIRECT(CONCATENATE("Table!",ADDRESS(#REF!,MATCH(B$1,INDIRECT("Table!A" &amp; $AL182):INDIRECT("Table!" &amp; $AO$275 &amp; $AL182),0))))/1024)</f>
        <v/>
      </c>
      <c r="C182" s="22" t="str">
        <f ca="1">IF(ISERROR(MATCH(C$1,INDIRECT("Table!A"&amp;$AL182):INDIRECT("Table!" &amp; $AO$275 &amp; $AL182),0)),"",INDIRECT(CONCATENATE("Table!",ADDRESS(#REF!,MATCH(C$1,INDIRECT("Table!A" &amp; $AL182):INDIRECT("Table!" &amp; $AO$275 &amp; $AL182),0))))/1024)</f>
        <v/>
      </c>
      <c r="D182" s="22" t="str">
        <f ca="1">IF(ISERROR(MATCH(D$1,INDIRECT("Table!A"&amp;$AL182):INDIRECT("Table!" &amp; $AO$275 &amp; $AL182),0)),"",INDIRECT(CONCATENATE("Table!",ADDRESS(#REF!,MATCH(D$1,INDIRECT("Table!A" &amp; $AL182):INDIRECT("Table!" &amp; $AO$275 &amp; $AL182),0))))/1024)</f>
        <v/>
      </c>
      <c r="E182" s="22" t="str">
        <f ca="1">IF(ISERROR(MATCH(E$1,INDIRECT("Table!A"&amp;$AL182):INDIRECT("Table!" &amp; $AO$275 &amp; $AL182),0)),"",INDIRECT(CONCATENATE("Table!",ADDRESS(#REF!,MATCH(E$1,INDIRECT("Table!A" &amp; $AL182):INDIRECT("Table!" &amp; $AO$275 &amp; $AL182),0))))/1024)</f>
        <v/>
      </c>
      <c r="F182" s="22" t="str">
        <f ca="1">IF(ISERROR(MATCH(F$1,INDIRECT("Table!A"&amp;$AL182):INDIRECT("Table!" &amp; $AO$275 &amp; $AL182),0)),"",INDIRECT(CONCATENATE("Table!",ADDRESS(#REF!,MATCH(F$1,INDIRECT("Table!A" &amp; $AL182):INDIRECT("Table!" &amp; $AO$275 &amp; $AL182),0))))/1024)</f>
        <v/>
      </c>
      <c r="G182" s="22" t="str">
        <f ca="1">IF(ISERROR(MATCH(G$1,INDIRECT("Table!A"&amp;$AL182):INDIRECT("Table!" &amp; $AO$275 &amp; $AL182),0)),"",INDIRECT(CONCATENATE("Table!",ADDRESS(#REF!,MATCH(G$1,INDIRECT("Table!A" &amp; $AL182):INDIRECT("Table!" &amp; $AO$275 &amp; $AL182),0))))/1024)</f>
        <v/>
      </c>
      <c r="H182" s="22" t="str">
        <f ca="1">IF(ISERROR(MATCH(H$1,INDIRECT("Table!A"&amp;$AL182):INDIRECT("Table!" &amp; $AO$275 &amp; $AL182),0)),"",INDIRECT(CONCATENATE("Table!",ADDRESS(#REF!,MATCH(H$1,INDIRECT("Table!A" &amp; $AL182):INDIRECT("Table!" &amp; $AO$275 &amp; $AL182),0))))/1024)</f>
        <v/>
      </c>
      <c r="K182" s="22" t="str">
        <f ca="1">IF(ISERROR(MATCH(L$1,INDIRECT("Table!A"&amp;$AL182):INDIRECT("Table!" &amp; $AO$275 &amp; $AL182),0)),"",INDIRECT(CONCATENATE("Table!",ADDRESS(#REF!,MATCH(L$1,INDIRECT("Table!A" &amp; $AL182):INDIRECT("Table!" &amp; $AO$275 &amp; $AL182),0))))/1024)</f>
        <v/>
      </c>
      <c r="L182" s="22" t="str">
        <f ca="1">IF(ISERROR(MATCH(M$1,INDIRECT("Table!A"&amp;$AL182):INDIRECT("Table!" &amp; $AO$275 &amp; $AL182),0)),"",INDIRECT(CONCATENATE("Table!",ADDRESS(#REF!,MATCH(M$1,INDIRECT("Table!A" &amp; $AL182):INDIRECT("Table!" &amp; $AO$275 &amp; $AL182),0))))/1024)</f>
        <v/>
      </c>
      <c r="M182" s="22" t="str">
        <f ca="1">IF(ISERROR(MATCH(N$1,INDIRECT("Table!A"&amp;$AL182):INDIRECT("Table!" &amp; $AO$275 &amp; $AL182),0)),"",INDIRECT(CONCATENATE("Table!",ADDRESS(#REF!,MATCH(N$1,INDIRECT("Table!A" &amp; $AL182):INDIRECT("Table!" &amp; $AO$275 &amp; $AL182),0))))/1024)</f>
        <v/>
      </c>
      <c r="N182" s="22" t="str">
        <f ca="1">IF(ISERROR(MATCH(O$1,INDIRECT("Table!A"&amp;$AL182):INDIRECT("Table!" &amp; $AO$275 &amp; $AL182),0)),"",INDIRECT(CONCATENATE("Table!",ADDRESS(#REF!,MATCH(O$1,INDIRECT("Table!A" &amp; $AL182):INDIRECT("Table!" &amp; $AO$275 &amp; $AL182),0))))/1024)</f>
        <v/>
      </c>
      <c r="O182" s="22"/>
      <c r="P182" s="272"/>
      <c r="Q182" s="22"/>
      <c r="R182" s="162"/>
      <c r="T182" s="595"/>
      <c r="U182" s="162"/>
      <c r="AJ182" s="162"/>
      <c r="AK182" s="162"/>
      <c r="AL182" s="22"/>
      <c r="AM182" s="162"/>
      <c r="AN182" s="162"/>
      <c r="AO182" s="29"/>
    </row>
    <row r="183" spans="2:41" x14ac:dyDescent="0.25">
      <c r="B183" s="22" t="str">
        <f ca="1">IF(ISERROR(MATCH(B$1,INDIRECT("Table!A"&amp;$AL183):INDIRECT("Table!" &amp; $AO$275 &amp; $AL183),0)),"",INDIRECT(CONCATENATE("Table!",ADDRESS(#REF!,MATCH(B$1,INDIRECT("Table!A" &amp; $AL183):INDIRECT("Table!" &amp; $AO$275 &amp; $AL183),0))))/1024)</f>
        <v/>
      </c>
      <c r="C183" s="22" t="str">
        <f ca="1">IF(ISERROR(MATCH(C$1,INDIRECT("Table!A"&amp;$AL183):INDIRECT("Table!" &amp; $AO$275 &amp; $AL183),0)),"",INDIRECT(CONCATENATE("Table!",ADDRESS(#REF!,MATCH(C$1,INDIRECT("Table!A" &amp; $AL183):INDIRECT("Table!" &amp; $AO$275 &amp; $AL183),0))))/1024)</f>
        <v/>
      </c>
      <c r="D183" s="22" t="str">
        <f ca="1">IF(ISERROR(MATCH(D$1,INDIRECT("Table!A"&amp;$AL183):INDIRECT("Table!" &amp; $AO$275 &amp; $AL183),0)),"",INDIRECT(CONCATENATE("Table!",ADDRESS(#REF!,MATCH(D$1,INDIRECT("Table!A" &amp; $AL183):INDIRECT("Table!" &amp; $AO$275 &amp; $AL183),0))))/1024)</f>
        <v/>
      </c>
      <c r="E183" s="22" t="str">
        <f ca="1">IF(ISERROR(MATCH(E$1,INDIRECT("Table!A"&amp;$AL183):INDIRECT("Table!" &amp; $AO$275 &amp; $AL183),0)),"",INDIRECT(CONCATENATE("Table!",ADDRESS(#REF!,MATCH(E$1,INDIRECT("Table!A" &amp; $AL183):INDIRECT("Table!" &amp; $AO$275 &amp; $AL183),0))))/1024)</f>
        <v/>
      </c>
      <c r="F183" s="22" t="str">
        <f ca="1">IF(ISERROR(MATCH(F$1,INDIRECT("Table!A"&amp;$AL183):INDIRECT("Table!" &amp; $AO$275 &amp; $AL183),0)),"",INDIRECT(CONCATENATE("Table!",ADDRESS(#REF!,MATCH(F$1,INDIRECT("Table!A" &amp; $AL183):INDIRECT("Table!" &amp; $AO$275 &amp; $AL183),0))))/1024)</f>
        <v/>
      </c>
      <c r="G183" s="22" t="str">
        <f ca="1">IF(ISERROR(MATCH(G$1,INDIRECT("Table!A"&amp;$AL183):INDIRECT("Table!" &amp; $AO$275 &amp; $AL183),0)),"",INDIRECT(CONCATENATE("Table!",ADDRESS(#REF!,MATCH(G$1,INDIRECT("Table!A" &amp; $AL183):INDIRECT("Table!" &amp; $AO$275 &amp; $AL183),0))))/1024)</f>
        <v/>
      </c>
      <c r="H183" s="22" t="str">
        <f ca="1">IF(ISERROR(MATCH(H$1,INDIRECT("Table!A"&amp;$AL183):INDIRECT("Table!" &amp; $AO$275 &amp; $AL183),0)),"",INDIRECT(CONCATENATE("Table!",ADDRESS(#REF!,MATCH(H$1,INDIRECT("Table!A" &amp; $AL183):INDIRECT("Table!" &amp; $AO$275 &amp; $AL183),0))))/1024)</f>
        <v/>
      </c>
      <c r="K183" s="22" t="str">
        <f ca="1">IF(ISERROR(MATCH(L$1,INDIRECT("Table!A"&amp;$AL183):INDIRECT("Table!" &amp; $AO$275 &amp; $AL183),0)),"",INDIRECT(CONCATENATE("Table!",ADDRESS(#REF!,MATCH(L$1,INDIRECT("Table!A" &amp; $AL183):INDIRECT("Table!" &amp; $AO$275 &amp; $AL183),0))))/1024)</f>
        <v/>
      </c>
      <c r="L183" s="22" t="str">
        <f ca="1">IF(ISERROR(MATCH(M$1,INDIRECT("Table!A"&amp;$AL183):INDIRECT("Table!" &amp; $AO$275 &amp; $AL183),0)),"",INDIRECT(CONCATENATE("Table!",ADDRESS(#REF!,MATCH(M$1,INDIRECT("Table!A" &amp; $AL183):INDIRECT("Table!" &amp; $AO$275 &amp; $AL183),0))))/1024)</f>
        <v/>
      </c>
      <c r="M183" s="22" t="str">
        <f ca="1">IF(ISERROR(MATCH(N$1,INDIRECT("Table!A"&amp;$AL183):INDIRECT("Table!" &amp; $AO$275 &amp; $AL183),0)),"",INDIRECT(CONCATENATE("Table!",ADDRESS(#REF!,MATCH(N$1,INDIRECT("Table!A" &amp; $AL183):INDIRECT("Table!" &amp; $AO$275 &amp; $AL183),0))))/1024)</f>
        <v/>
      </c>
      <c r="N183" s="22" t="str">
        <f ca="1">IF(ISERROR(MATCH(O$1,INDIRECT("Table!A"&amp;$AL183):INDIRECT("Table!" &amp; $AO$275 &amp; $AL183),0)),"",INDIRECT(CONCATENATE("Table!",ADDRESS(#REF!,MATCH(O$1,INDIRECT("Table!A" &amp; $AL183):INDIRECT("Table!" &amp; $AO$275 &amp; $AL183),0))))/1024)</f>
        <v/>
      </c>
      <c r="O183" s="22"/>
      <c r="P183" s="272"/>
      <c r="Q183" s="22"/>
      <c r="R183" s="161"/>
      <c r="T183" s="595"/>
      <c r="U183" s="161"/>
      <c r="AJ183" s="161"/>
      <c r="AK183" s="161"/>
      <c r="AL183" s="22"/>
      <c r="AM183" s="161"/>
      <c r="AN183" s="161"/>
      <c r="AO183" s="29"/>
    </row>
    <row r="184" spans="2:41" x14ac:dyDescent="0.25">
      <c r="B184" s="22" t="str">
        <f ca="1">IF(ISERROR(MATCH(B$1,INDIRECT("Table!A"&amp;$AL184):INDIRECT("Table!" &amp; $AO$275 &amp; $AL184),0)),"",INDIRECT(CONCATENATE("Table!",ADDRESS(#REF!,MATCH(B$1,INDIRECT("Table!A" &amp; $AL184):INDIRECT("Table!" &amp; $AO$275 &amp; $AL184),0))))/1024)</f>
        <v/>
      </c>
      <c r="C184" s="22" t="str">
        <f ca="1">IF(ISERROR(MATCH(C$1,INDIRECT("Table!A"&amp;$AL184):INDIRECT("Table!" &amp; $AO$275 &amp; $AL184),0)),"",INDIRECT(CONCATENATE("Table!",ADDRESS(#REF!,MATCH(C$1,INDIRECT("Table!A" &amp; $AL184):INDIRECT("Table!" &amp; $AO$275 &amp; $AL184),0))))/1024)</f>
        <v/>
      </c>
      <c r="D184" s="22" t="str">
        <f ca="1">IF(ISERROR(MATCH(D$1,INDIRECT("Table!A"&amp;$AL184):INDIRECT("Table!" &amp; $AO$275 &amp; $AL184),0)),"",INDIRECT(CONCATENATE("Table!",ADDRESS(#REF!,MATCH(D$1,INDIRECT("Table!A" &amp; $AL184):INDIRECT("Table!" &amp; $AO$275 &amp; $AL184),0))))/1024)</f>
        <v/>
      </c>
      <c r="E184" s="22" t="str">
        <f ca="1">IF(ISERROR(MATCH(E$1,INDIRECT("Table!A"&amp;$AL184):INDIRECT("Table!" &amp; $AO$275 &amp; $AL184),0)),"",INDIRECT(CONCATENATE("Table!",ADDRESS(#REF!,MATCH(E$1,INDIRECT("Table!A" &amp; $AL184):INDIRECT("Table!" &amp; $AO$275 &amp; $AL184),0))))/1024)</f>
        <v/>
      </c>
      <c r="F184" s="22" t="str">
        <f ca="1">IF(ISERROR(MATCH(F$1,INDIRECT("Table!A"&amp;$AL184):INDIRECT("Table!" &amp; $AO$275 &amp; $AL184),0)),"",INDIRECT(CONCATENATE("Table!",ADDRESS(#REF!,MATCH(F$1,INDIRECT("Table!A" &amp; $AL184):INDIRECT("Table!" &amp; $AO$275 &amp; $AL184),0))))/1024)</f>
        <v/>
      </c>
      <c r="G184" s="22" t="str">
        <f ca="1">IF(ISERROR(MATCH(G$1,INDIRECT("Table!A"&amp;$AL184):INDIRECT("Table!" &amp; $AO$275 &amp; $AL184),0)),"",INDIRECT(CONCATENATE("Table!",ADDRESS(#REF!,MATCH(G$1,INDIRECT("Table!A" &amp; $AL184):INDIRECT("Table!" &amp; $AO$275 &amp; $AL184),0))))/1024)</f>
        <v/>
      </c>
      <c r="H184" s="22" t="str">
        <f ca="1">IF(ISERROR(MATCH(H$1,INDIRECT("Table!A"&amp;$AL184):INDIRECT("Table!" &amp; $AO$275 &amp; $AL184),0)),"",INDIRECT(CONCATENATE("Table!",ADDRESS(#REF!,MATCH(H$1,INDIRECT("Table!A" &amp; $AL184):INDIRECT("Table!" &amp; $AO$275 &amp; $AL184),0))))/1024)</f>
        <v/>
      </c>
      <c r="K184" s="22" t="str">
        <f ca="1">IF(ISERROR(MATCH(L$1,INDIRECT("Table!A"&amp;$AL184):INDIRECT("Table!" &amp; $AO$275 &amp; $AL184),0)),"",INDIRECT(CONCATENATE("Table!",ADDRESS(#REF!,MATCH(L$1,INDIRECT("Table!A" &amp; $AL184):INDIRECT("Table!" &amp; $AO$275 &amp; $AL184),0))))/1024)</f>
        <v/>
      </c>
      <c r="L184" s="22" t="str">
        <f ca="1">IF(ISERROR(MATCH(M$1,INDIRECT("Table!A"&amp;$AL184):INDIRECT("Table!" &amp; $AO$275 &amp; $AL184),0)),"",INDIRECT(CONCATENATE("Table!",ADDRESS(#REF!,MATCH(M$1,INDIRECT("Table!A" &amp; $AL184):INDIRECT("Table!" &amp; $AO$275 &amp; $AL184),0))))/1024)</f>
        <v/>
      </c>
      <c r="M184" s="22" t="str">
        <f ca="1">IF(ISERROR(MATCH(N$1,INDIRECT("Table!A"&amp;$AL184):INDIRECT("Table!" &amp; $AO$275 &amp; $AL184),0)),"",INDIRECT(CONCATENATE("Table!",ADDRESS(#REF!,MATCH(N$1,INDIRECT("Table!A" &amp; $AL184):INDIRECT("Table!" &amp; $AO$275 &amp; $AL184),0))))/1024)</f>
        <v/>
      </c>
      <c r="N184" s="22" t="str">
        <f ca="1">IF(ISERROR(MATCH(O$1,INDIRECT("Table!A"&amp;$AL184):INDIRECT("Table!" &amp; $AO$275 &amp; $AL184),0)),"",INDIRECT(CONCATENATE("Table!",ADDRESS(#REF!,MATCH(O$1,INDIRECT("Table!A" &amp; $AL184):INDIRECT("Table!" &amp; $AO$275 &amp; $AL184),0))))/1024)</f>
        <v/>
      </c>
      <c r="O184" s="22"/>
      <c r="P184" s="272"/>
      <c r="Q184" s="22"/>
      <c r="R184" s="160"/>
      <c r="T184" s="595"/>
      <c r="U184" s="160"/>
      <c r="AJ184" s="160"/>
      <c r="AK184" s="160"/>
      <c r="AL184" s="22"/>
      <c r="AM184" s="160"/>
      <c r="AN184" s="160"/>
      <c r="AO184" s="29"/>
    </row>
    <row r="185" spans="2:41" x14ac:dyDescent="0.25">
      <c r="B185" s="22" t="str">
        <f ca="1">IF(ISERROR(MATCH(B$1,INDIRECT("Table!A"&amp;$AL185):INDIRECT("Table!" &amp; $AO$275 &amp; $AL185),0)),"",INDIRECT(CONCATENATE("Table!",ADDRESS(#REF!,MATCH(B$1,INDIRECT("Table!A" &amp; $AL185):INDIRECT("Table!" &amp; $AO$275 &amp; $AL185),0))))/1024)</f>
        <v/>
      </c>
      <c r="C185" s="22" t="str">
        <f ca="1">IF(ISERROR(MATCH(C$1,INDIRECT("Table!A"&amp;$AL185):INDIRECT("Table!" &amp; $AO$275 &amp; $AL185),0)),"",INDIRECT(CONCATENATE("Table!",ADDRESS(#REF!,MATCH(C$1,INDIRECT("Table!A" &amp; $AL185):INDIRECT("Table!" &amp; $AO$275 &amp; $AL185),0))))/1024)</f>
        <v/>
      </c>
      <c r="D185" s="22" t="str">
        <f ca="1">IF(ISERROR(MATCH(D$1,INDIRECT("Table!A"&amp;$AL185):INDIRECT("Table!" &amp; $AO$275 &amp; $AL185),0)),"",INDIRECT(CONCATENATE("Table!",ADDRESS(#REF!,MATCH(D$1,INDIRECT("Table!A" &amp; $AL185):INDIRECT("Table!" &amp; $AO$275 &amp; $AL185),0))))/1024)</f>
        <v/>
      </c>
      <c r="E185" s="22" t="str">
        <f ca="1">IF(ISERROR(MATCH(E$1,INDIRECT("Table!A"&amp;$AL185):INDIRECT("Table!" &amp; $AO$275 &amp; $AL185),0)),"",INDIRECT(CONCATENATE("Table!",ADDRESS(#REF!,MATCH(E$1,INDIRECT("Table!A" &amp; $AL185):INDIRECT("Table!" &amp; $AO$275 &amp; $AL185),0))))/1024)</f>
        <v/>
      </c>
      <c r="F185" s="22" t="str">
        <f ca="1">IF(ISERROR(MATCH(F$1,INDIRECT("Table!A"&amp;$AL185):INDIRECT("Table!" &amp; $AO$275 &amp; $AL185),0)),"",INDIRECT(CONCATENATE("Table!",ADDRESS(#REF!,MATCH(F$1,INDIRECT("Table!A" &amp; $AL185):INDIRECT("Table!" &amp; $AO$275 &amp; $AL185),0))))/1024)</f>
        <v/>
      </c>
      <c r="G185" s="22" t="str">
        <f ca="1">IF(ISERROR(MATCH(G$1,INDIRECT("Table!A"&amp;$AL185):INDIRECT("Table!" &amp; $AO$275 &amp; $AL185),0)),"",INDIRECT(CONCATENATE("Table!",ADDRESS(#REF!,MATCH(G$1,INDIRECT("Table!A" &amp; $AL185):INDIRECT("Table!" &amp; $AO$275 &amp; $AL185),0))))/1024)</f>
        <v/>
      </c>
      <c r="H185" s="22" t="str">
        <f ca="1">IF(ISERROR(MATCH(H$1,INDIRECT("Table!A"&amp;$AL185):INDIRECT("Table!" &amp; $AO$275 &amp; $AL185),0)),"",INDIRECT(CONCATENATE("Table!",ADDRESS(#REF!,MATCH(H$1,INDIRECT("Table!A" &amp; $AL185):INDIRECT("Table!" &amp; $AO$275 &amp; $AL185),0))))/1024)</f>
        <v/>
      </c>
      <c r="K185" s="22" t="str">
        <f ca="1">IF(ISERROR(MATCH(L$1,INDIRECT("Table!A"&amp;$AL185):INDIRECT("Table!" &amp; $AO$275 &amp; $AL185),0)),"",INDIRECT(CONCATENATE("Table!",ADDRESS(#REF!,MATCH(L$1,INDIRECT("Table!A" &amp; $AL185):INDIRECT("Table!" &amp; $AO$275 &amp; $AL185),0))))/1024)</f>
        <v/>
      </c>
      <c r="L185" s="22" t="str">
        <f ca="1">IF(ISERROR(MATCH(M$1,INDIRECT("Table!A"&amp;$AL185):INDIRECT("Table!" &amp; $AO$275 &amp; $AL185),0)),"",INDIRECT(CONCATENATE("Table!",ADDRESS(#REF!,MATCH(M$1,INDIRECT("Table!A" &amp; $AL185):INDIRECT("Table!" &amp; $AO$275 &amp; $AL185),0))))/1024)</f>
        <v/>
      </c>
      <c r="M185" s="22" t="str">
        <f ca="1">IF(ISERROR(MATCH(N$1,INDIRECT("Table!A"&amp;$AL185):INDIRECT("Table!" &amp; $AO$275 &amp; $AL185),0)),"",INDIRECT(CONCATENATE("Table!",ADDRESS(#REF!,MATCH(N$1,INDIRECT("Table!A" &amp; $AL185):INDIRECT("Table!" &amp; $AO$275 &amp; $AL185),0))))/1024)</f>
        <v/>
      </c>
      <c r="N185" s="22" t="str">
        <f ca="1">IF(ISERROR(MATCH(O$1,INDIRECT("Table!A"&amp;$AL185):INDIRECT("Table!" &amp; $AO$275 &amp; $AL185),0)),"",INDIRECT(CONCATENATE("Table!",ADDRESS(#REF!,MATCH(O$1,INDIRECT("Table!A" &amp; $AL185):INDIRECT("Table!" &amp; $AO$275 &amp; $AL185),0))))/1024)</f>
        <v/>
      </c>
      <c r="O185" s="22"/>
      <c r="P185" s="272"/>
      <c r="Q185" s="22"/>
      <c r="R185" s="159"/>
      <c r="T185" s="595"/>
      <c r="U185" s="159"/>
      <c r="AJ185" s="159"/>
      <c r="AK185" s="159"/>
      <c r="AL185" s="22"/>
      <c r="AM185" s="159"/>
      <c r="AN185" s="159"/>
      <c r="AO185" s="29"/>
    </row>
    <row r="186" spans="2:41" x14ac:dyDescent="0.25">
      <c r="B186" s="22" t="str">
        <f ca="1">IF(ISERROR(MATCH(B$1,INDIRECT("Table!A"&amp;$AL186):INDIRECT("Table!" &amp; $AO$275 &amp; $AL186),0)),"",INDIRECT(CONCATENATE("Table!",ADDRESS(#REF!,MATCH(B$1,INDIRECT("Table!A" &amp; $AL186):INDIRECT("Table!" &amp; $AO$275 &amp; $AL186),0))))/1024)</f>
        <v/>
      </c>
      <c r="C186" s="22" t="str">
        <f ca="1">IF(ISERROR(MATCH(C$1,INDIRECT("Table!A"&amp;$AL186):INDIRECT("Table!" &amp; $AO$275 &amp; $AL186),0)),"",INDIRECT(CONCATENATE("Table!",ADDRESS(#REF!,MATCH(C$1,INDIRECT("Table!A" &amp; $AL186):INDIRECT("Table!" &amp; $AO$275 &amp; $AL186),0))))/1024)</f>
        <v/>
      </c>
      <c r="D186" s="22" t="str">
        <f ca="1">IF(ISERROR(MATCH(D$1,INDIRECT("Table!A"&amp;$AL186):INDIRECT("Table!" &amp; $AO$275 &amp; $AL186),0)),"",INDIRECT(CONCATENATE("Table!",ADDRESS(#REF!,MATCH(D$1,INDIRECT("Table!A" &amp; $AL186):INDIRECT("Table!" &amp; $AO$275 &amp; $AL186),0))))/1024)</f>
        <v/>
      </c>
      <c r="E186" s="22" t="str">
        <f ca="1">IF(ISERROR(MATCH(E$1,INDIRECT("Table!A"&amp;$AL186):INDIRECT("Table!" &amp; $AO$275 &amp; $AL186),0)),"",INDIRECT(CONCATENATE("Table!",ADDRESS(#REF!,MATCH(E$1,INDIRECT("Table!A" &amp; $AL186):INDIRECT("Table!" &amp; $AO$275 &amp; $AL186),0))))/1024)</f>
        <v/>
      </c>
      <c r="F186" s="22" t="str">
        <f ca="1">IF(ISERROR(MATCH(F$1,INDIRECT("Table!A"&amp;$AL186):INDIRECT("Table!" &amp; $AO$275 &amp; $AL186),0)),"",INDIRECT(CONCATENATE("Table!",ADDRESS(#REF!,MATCH(F$1,INDIRECT("Table!A" &amp; $AL186):INDIRECT("Table!" &amp; $AO$275 &amp; $AL186),0))))/1024)</f>
        <v/>
      </c>
      <c r="G186" s="22" t="str">
        <f ca="1">IF(ISERROR(MATCH(G$1,INDIRECT("Table!A"&amp;$AL186):INDIRECT("Table!" &amp; $AO$275 &amp; $AL186),0)),"",INDIRECT(CONCATENATE("Table!",ADDRESS(#REF!,MATCH(G$1,INDIRECT("Table!A" &amp; $AL186):INDIRECT("Table!" &amp; $AO$275 &amp; $AL186),0))))/1024)</f>
        <v/>
      </c>
      <c r="H186" s="22" t="str">
        <f ca="1">IF(ISERROR(MATCH(H$1,INDIRECT("Table!A"&amp;$AL186):INDIRECT("Table!" &amp; $AO$275 &amp; $AL186),0)),"",INDIRECT(CONCATENATE("Table!",ADDRESS(#REF!,MATCH(H$1,INDIRECT("Table!A" &amp; $AL186):INDIRECT("Table!" &amp; $AO$275 &amp; $AL186),0))))/1024)</f>
        <v/>
      </c>
      <c r="K186" s="22" t="str">
        <f ca="1">IF(ISERROR(MATCH(L$1,INDIRECT("Table!A"&amp;$AL186):INDIRECT("Table!" &amp; $AO$275 &amp; $AL186),0)),"",INDIRECT(CONCATENATE("Table!",ADDRESS(#REF!,MATCH(L$1,INDIRECT("Table!A" &amp; $AL186):INDIRECT("Table!" &amp; $AO$275 &amp; $AL186),0))))/1024)</f>
        <v/>
      </c>
      <c r="L186" s="22" t="str">
        <f ca="1">IF(ISERROR(MATCH(M$1,INDIRECT("Table!A"&amp;$AL186):INDIRECT("Table!" &amp; $AO$275 &amp; $AL186),0)),"",INDIRECT(CONCATENATE("Table!",ADDRESS(#REF!,MATCH(M$1,INDIRECT("Table!A" &amp; $AL186):INDIRECT("Table!" &amp; $AO$275 &amp; $AL186),0))))/1024)</f>
        <v/>
      </c>
      <c r="M186" s="22" t="str">
        <f ca="1">IF(ISERROR(MATCH(N$1,INDIRECT("Table!A"&amp;$AL186):INDIRECT("Table!" &amp; $AO$275 &amp; $AL186),0)),"",INDIRECT(CONCATENATE("Table!",ADDRESS(#REF!,MATCH(N$1,INDIRECT("Table!A" &amp; $AL186):INDIRECT("Table!" &amp; $AO$275 &amp; $AL186),0))))/1024)</f>
        <v/>
      </c>
      <c r="N186" s="22" t="str">
        <f ca="1">IF(ISERROR(MATCH(O$1,INDIRECT("Table!A"&amp;$AL186):INDIRECT("Table!" &amp; $AO$275 &amp; $AL186),0)),"",INDIRECT(CONCATENATE("Table!",ADDRESS(#REF!,MATCH(O$1,INDIRECT("Table!A" &amp; $AL186):INDIRECT("Table!" &amp; $AO$275 &amp; $AL186),0))))/1024)</f>
        <v/>
      </c>
      <c r="O186" s="22"/>
      <c r="P186" s="272"/>
      <c r="Q186" s="22"/>
      <c r="R186" s="158"/>
      <c r="T186" s="595"/>
      <c r="U186" s="158"/>
      <c r="AJ186" s="158"/>
      <c r="AK186" s="158"/>
      <c r="AL186" s="22"/>
      <c r="AM186" s="158"/>
      <c r="AN186" s="158"/>
      <c r="AO186" s="29"/>
    </row>
    <row r="187" spans="2:41" x14ac:dyDescent="0.25">
      <c r="B187" s="22" t="str">
        <f ca="1">IF(ISERROR(MATCH(B$1,INDIRECT("Table!A"&amp;$AL187):INDIRECT("Table!" &amp; $AO$275 &amp; $AL187),0)),"",INDIRECT(CONCATENATE("Table!",ADDRESS(#REF!,MATCH(B$1,INDIRECT("Table!A" &amp; $AL187):INDIRECT("Table!" &amp; $AO$275 &amp; $AL187),0))))/1024)</f>
        <v/>
      </c>
      <c r="C187" s="22" t="str">
        <f ca="1">IF(ISERROR(MATCH(C$1,INDIRECT("Table!A"&amp;$AL187):INDIRECT("Table!" &amp; $AO$275 &amp; $AL187),0)),"",INDIRECT(CONCATENATE("Table!",ADDRESS(#REF!,MATCH(C$1,INDIRECT("Table!A" &amp; $AL187):INDIRECT("Table!" &amp; $AO$275 &amp; $AL187),0))))/1024)</f>
        <v/>
      </c>
      <c r="D187" s="22" t="str">
        <f ca="1">IF(ISERROR(MATCH(D$1,INDIRECT("Table!A"&amp;$AL187):INDIRECT("Table!" &amp; $AO$275 &amp; $AL187),0)),"",INDIRECT(CONCATENATE("Table!",ADDRESS(#REF!,MATCH(D$1,INDIRECT("Table!A" &amp; $AL187):INDIRECT("Table!" &amp; $AO$275 &amp; $AL187),0))))/1024)</f>
        <v/>
      </c>
      <c r="E187" s="22" t="str">
        <f ca="1">IF(ISERROR(MATCH(E$1,INDIRECT("Table!A"&amp;$AL187):INDIRECT("Table!" &amp; $AO$275 &amp; $AL187),0)),"",INDIRECT(CONCATENATE("Table!",ADDRESS(#REF!,MATCH(E$1,INDIRECT("Table!A" &amp; $AL187):INDIRECT("Table!" &amp; $AO$275 &amp; $AL187),0))))/1024)</f>
        <v/>
      </c>
      <c r="F187" s="22" t="str">
        <f ca="1">IF(ISERROR(MATCH(F$1,INDIRECT("Table!A"&amp;$AL187):INDIRECT("Table!" &amp; $AO$275 &amp; $AL187),0)),"",INDIRECT(CONCATENATE("Table!",ADDRESS(#REF!,MATCH(F$1,INDIRECT("Table!A" &amp; $AL187):INDIRECT("Table!" &amp; $AO$275 &amp; $AL187),0))))/1024)</f>
        <v/>
      </c>
      <c r="G187" s="22" t="str">
        <f ca="1">IF(ISERROR(MATCH(G$1,INDIRECT("Table!A"&amp;$AL187):INDIRECT("Table!" &amp; $AO$275 &amp; $AL187),0)),"",INDIRECT(CONCATENATE("Table!",ADDRESS(#REF!,MATCH(G$1,INDIRECT("Table!A" &amp; $AL187):INDIRECT("Table!" &amp; $AO$275 &amp; $AL187),0))))/1024)</f>
        <v/>
      </c>
      <c r="H187" s="22" t="str">
        <f ca="1">IF(ISERROR(MATCH(H$1,INDIRECT("Table!A"&amp;$AL187):INDIRECT("Table!" &amp; $AO$275 &amp; $AL187),0)),"",INDIRECT(CONCATENATE("Table!",ADDRESS(#REF!,MATCH(H$1,INDIRECT("Table!A" &amp; $AL187):INDIRECT("Table!" &amp; $AO$275 &amp; $AL187),0))))/1024)</f>
        <v/>
      </c>
      <c r="K187" s="22" t="str">
        <f ca="1">IF(ISERROR(MATCH(L$1,INDIRECT("Table!A"&amp;$AL187):INDIRECT("Table!" &amp; $AO$275 &amp; $AL187),0)),"",INDIRECT(CONCATENATE("Table!",ADDRESS(#REF!,MATCH(L$1,INDIRECT("Table!A" &amp; $AL187):INDIRECT("Table!" &amp; $AO$275 &amp; $AL187),0))))/1024)</f>
        <v/>
      </c>
      <c r="L187" s="22" t="str">
        <f ca="1">IF(ISERROR(MATCH(M$1,INDIRECT("Table!A"&amp;$AL187):INDIRECT("Table!" &amp; $AO$275 &amp; $AL187),0)),"",INDIRECT(CONCATENATE("Table!",ADDRESS(#REF!,MATCH(M$1,INDIRECT("Table!A" &amp; $AL187):INDIRECT("Table!" &amp; $AO$275 &amp; $AL187),0))))/1024)</f>
        <v/>
      </c>
      <c r="M187" s="22" t="str">
        <f ca="1">IF(ISERROR(MATCH(N$1,INDIRECT("Table!A"&amp;$AL187):INDIRECT("Table!" &amp; $AO$275 &amp; $AL187),0)),"",INDIRECT(CONCATENATE("Table!",ADDRESS(#REF!,MATCH(N$1,INDIRECT("Table!A" &amp; $AL187):INDIRECT("Table!" &amp; $AO$275 &amp; $AL187),0))))/1024)</f>
        <v/>
      </c>
      <c r="N187" s="22" t="str">
        <f ca="1">IF(ISERROR(MATCH(O$1,INDIRECT("Table!A"&amp;$AL187):INDIRECT("Table!" &amp; $AO$275 &amp; $AL187),0)),"",INDIRECT(CONCATENATE("Table!",ADDRESS(#REF!,MATCH(O$1,INDIRECT("Table!A" &amp; $AL187):INDIRECT("Table!" &amp; $AO$275 &amp; $AL187),0))))/1024)</f>
        <v/>
      </c>
      <c r="O187" s="22"/>
      <c r="P187" s="272"/>
      <c r="Q187" s="22"/>
      <c r="R187" s="157"/>
      <c r="T187" s="595"/>
      <c r="U187" s="157"/>
      <c r="AJ187" s="157"/>
      <c r="AK187" s="157"/>
      <c r="AL187" s="22"/>
      <c r="AM187" s="157"/>
      <c r="AN187" s="157"/>
      <c r="AO187" s="29"/>
    </row>
    <row r="188" spans="2:41" x14ac:dyDescent="0.25">
      <c r="B188" s="22" t="str">
        <f ca="1">IF(ISERROR(MATCH(B$1,INDIRECT("Table!A"&amp;$AL188):INDIRECT("Table!" &amp; $AO$275 &amp; $AL188),0)),"",INDIRECT(CONCATENATE("Table!",ADDRESS(#REF!,MATCH(B$1,INDIRECT("Table!A" &amp; $AL188):INDIRECT("Table!" &amp; $AO$275 &amp; $AL188),0))))/1024)</f>
        <v/>
      </c>
      <c r="C188" s="22" t="str">
        <f ca="1">IF(ISERROR(MATCH(C$1,INDIRECT("Table!A"&amp;$AL188):INDIRECT("Table!" &amp; $AO$275 &amp; $AL188),0)),"",INDIRECT(CONCATENATE("Table!",ADDRESS(#REF!,MATCH(C$1,INDIRECT("Table!A" &amp; $AL188):INDIRECT("Table!" &amp; $AO$275 &amp; $AL188),0))))/1024)</f>
        <v/>
      </c>
      <c r="D188" s="22" t="str">
        <f ca="1">IF(ISERROR(MATCH(D$1,INDIRECT("Table!A"&amp;$AL188):INDIRECT("Table!" &amp; $AO$275 &amp; $AL188),0)),"",INDIRECT(CONCATENATE("Table!",ADDRESS(#REF!,MATCH(D$1,INDIRECT("Table!A" &amp; $AL188):INDIRECT("Table!" &amp; $AO$275 &amp; $AL188),0))))/1024)</f>
        <v/>
      </c>
      <c r="E188" s="22" t="str">
        <f ca="1">IF(ISERROR(MATCH(E$1,INDIRECT("Table!A"&amp;$AL188):INDIRECT("Table!" &amp; $AO$275 &amp; $AL188),0)),"",INDIRECT(CONCATENATE("Table!",ADDRESS(#REF!,MATCH(E$1,INDIRECT("Table!A" &amp; $AL188):INDIRECT("Table!" &amp; $AO$275 &amp; $AL188),0))))/1024)</f>
        <v/>
      </c>
      <c r="F188" s="22" t="str">
        <f ca="1">IF(ISERROR(MATCH(F$1,INDIRECT("Table!A"&amp;$AL188):INDIRECT("Table!" &amp; $AO$275 &amp; $AL188),0)),"",INDIRECT(CONCATENATE("Table!",ADDRESS(#REF!,MATCH(F$1,INDIRECT("Table!A" &amp; $AL188):INDIRECT("Table!" &amp; $AO$275 &amp; $AL188),0))))/1024)</f>
        <v/>
      </c>
      <c r="G188" s="22" t="str">
        <f ca="1">IF(ISERROR(MATCH(G$1,INDIRECT("Table!A"&amp;$AL188):INDIRECT("Table!" &amp; $AO$275 &amp; $AL188),0)),"",INDIRECT(CONCATENATE("Table!",ADDRESS(#REF!,MATCH(G$1,INDIRECT("Table!A" &amp; $AL188):INDIRECT("Table!" &amp; $AO$275 &amp; $AL188),0))))/1024)</f>
        <v/>
      </c>
      <c r="H188" s="22" t="str">
        <f ca="1">IF(ISERROR(MATCH(H$1,INDIRECT("Table!A"&amp;$AL188):INDIRECT("Table!" &amp; $AO$275 &amp; $AL188),0)),"",INDIRECT(CONCATENATE("Table!",ADDRESS(#REF!,MATCH(H$1,INDIRECT("Table!A" &amp; $AL188):INDIRECT("Table!" &amp; $AO$275 &amp; $AL188),0))))/1024)</f>
        <v/>
      </c>
      <c r="K188" s="22" t="str">
        <f ca="1">IF(ISERROR(MATCH(L$1,INDIRECT("Table!A"&amp;$AL188):INDIRECT("Table!" &amp; $AO$275 &amp; $AL188),0)),"",INDIRECT(CONCATENATE("Table!",ADDRESS(#REF!,MATCH(L$1,INDIRECT("Table!A" &amp; $AL188):INDIRECT("Table!" &amp; $AO$275 &amp; $AL188),0))))/1024)</f>
        <v/>
      </c>
      <c r="L188" s="22" t="str">
        <f ca="1">IF(ISERROR(MATCH(M$1,INDIRECT("Table!A"&amp;$AL188):INDIRECT("Table!" &amp; $AO$275 &amp; $AL188),0)),"",INDIRECT(CONCATENATE("Table!",ADDRESS(#REF!,MATCH(M$1,INDIRECT("Table!A" &amp; $AL188):INDIRECT("Table!" &amp; $AO$275 &amp; $AL188),0))))/1024)</f>
        <v/>
      </c>
      <c r="M188" s="22" t="str">
        <f ca="1">IF(ISERROR(MATCH(N$1,INDIRECT("Table!A"&amp;$AL188):INDIRECT("Table!" &amp; $AO$275 &amp; $AL188),0)),"",INDIRECT(CONCATENATE("Table!",ADDRESS(#REF!,MATCH(N$1,INDIRECT("Table!A" &amp; $AL188):INDIRECT("Table!" &amp; $AO$275 &amp; $AL188),0))))/1024)</f>
        <v/>
      </c>
      <c r="N188" s="22" t="str">
        <f ca="1">IF(ISERROR(MATCH(O$1,INDIRECT("Table!A"&amp;$AL188):INDIRECT("Table!" &amp; $AO$275 &amp; $AL188),0)),"",INDIRECT(CONCATENATE("Table!",ADDRESS(#REF!,MATCH(O$1,INDIRECT("Table!A" &amp; $AL188):INDIRECT("Table!" &amp; $AO$275 &amp; $AL188),0))))/1024)</f>
        <v/>
      </c>
      <c r="O188" s="22"/>
      <c r="P188" s="272"/>
      <c r="Q188" s="22"/>
      <c r="R188" s="156"/>
      <c r="T188" s="595"/>
      <c r="U188" s="156"/>
      <c r="AJ188" s="156"/>
      <c r="AK188" s="156"/>
      <c r="AL188" s="22"/>
      <c r="AM188" s="156"/>
      <c r="AN188" s="156"/>
      <c r="AO188" s="29"/>
    </row>
    <row r="189" spans="2:41" x14ac:dyDescent="0.25">
      <c r="B189" s="22" t="str">
        <f ca="1">IF(ISERROR(MATCH(B$1,INDIRECT("Table!A"&amp;$AL189):INDIRECT("Table!" &amp; $AO$275 &amp; $AL189),0)),"",INDIRECT(CONCATENATE("Table!",ADDRESS(#REF!,MATCH(B$1,INDIRECT("Table!A" &amp; $AL189):INDIRECT("Table!" &amp; $AO$275 &amp; $AL189),0))))/1024)</f>
        <v/>
      </c>
      <c r="C189" s="22" t="str">
        <f ca="1">IF(ISERROR(MATCH(C$1,INDIRECT("Table!A"&amp;$AL189):INDIRECT("Table!" &amp; $AO$275 &amp; $AL189),0)),"",INDIRECT(CONCATENATE("Table!",ADDRESS(#REF!,MATCH(C$1,INDIRECT("Table!A" &amp; $AL189):INDIRECT("Table!" &amp; $AO$275 &amp; $AL189),0))))/1024)</f>
        <v/>
      </c>
      <c r="D189" s="22" t="str">
        <f ca="1">IF(ISERROR(MATCH(D$1,INDIRECT("Table!A"&amp;$AL189):INDIRECT("Table!" &amp; $AO$275 &amp; $AL189),0)),"",INDIRECT(CONCATENATE("Table!",ADDRESS(#REF!,MATCH(D$1,INDIRECT("Table!A" &amp; $AL189):INDIRECT("Table!" &amp; $AO$275 &amp; $AL189),0))))/1024)</f>
        <v/>
      </c>
      <c r="E189" s="22" t="str">
        <f ca="1">IF(ISERROR(MATCH(E$1,INDIRECT("Table!A"&amp;$AL189):INDIRECT("Table!" &amp; $AO$275 &amp; $AL189),0)),"",INDIRECT(CONCATENATE("Table!",ADDRESS(#REF!,MATCH(E$1,INDIRECT("Table!A" &amp; $AL189):INDIRECT("Table!" &amp; $AO$275 &amp; $AL189),0))))/1024)</f>
        <v/>
      </c>
      <c r="F189" s="22" t="str">
        <f ca="1">IF(ISERROR(MATCH(F$1,INDIRECT("Table!A"&amp;$AL189):INDIRECT("Table!" &amp; $AO$275 &amp; $AL189),0)),"",INDIRECT(CONCATENATE("Table!",ADDRESS(#REF!,MATCH(F$1,INDIRECT("Table!A" &amp; $AL189):INDIRECT("Table!" &amp; $AO$275 &amp; $AL189),0))))/1024)</f>
        <v/>
      </c>
      <c r="G189" s="22" t="str">
        <f ca="1">IF(ISERROR(MATCH(G$1,INDIRECT("Table!A"&amp;$AL189):INDIRECT("Table!" &amp; $AO$275 &amp; $AL189),0)),"",INDIRECT(CONCATENATE("Table!",ADDRESS(#REF!,MATCH(G$1,INDIRECT("Table!A" &amp; $AL189):INDIRECT("Table!" &amp; $AO$275 &amp; $AL189),0))))/1024)</f>
        <v/>
      </c>
      <c r="H189" s="22" t="str">
        <f ca="1">IF(ISERROR(MATCH(H$1,INDIRECT("Table!A"&amp;$AL189):INDIRECT("Table!" &amp; $AO$275 &amp; $AL189),0)),"",INDIRECT(CONCATENATE("Table!",ADDRESS(#REF!,MATCH(H$1,INDIRECT("Table!A" &amp; $AL189):INDIRECT("Table!" &amp; $AO$275 &amp; $AL189),0))))/1024)</f>
        <v/>
      </c>
      <c r="K189" s="22" t="str">
        <f ca="1">IF(ISERROR(MATCH(L$1,INDIRECT("Table!A"&amp;$AL189):INDIRECT("Table!" &amp; $AO$275 &amp; $AL189),0)),"",INDIRECT(CONCATENATE("Table!",ADDRESS(#REF!,MATCH(L$1,INDIRECT("Table!A" &amp; $AL189):INDIRECT("Table!" &amp; $AO$275 &amp; $AL189),0))))/1024)</f>
        <v/>
      </c>
      <c r="L189" s="22" t="str">
        <f ca="1">IF(ISERROR(MATCH(M$1,INDIRECT("Table!A"&amp;$AL189):INDIRECT("Table!" &amp; $AO$275 &amp; $AL189),0)),"",INDIRECT(CONCATENATE("Table!",ADDRESS(#REF!,MATCH(M$1,INDIRECT("Table!A" &amp; $AL189):INDIRECT("Table!" &amp; $AO$275 &amp; $AL189),0))))/1024)</f>
        <v/>
      </c>
      <c r="M189" s="22" t="str">
        <f ca="1">IF(ISERROR(MATCH(N$1,INDIRECT("Table!A"&amp;$AL189):INDIRECT("Table!" &amp; $AO$275 &amp; $AL189),0)),"",INDIRECT(CONCATENATE("Table!",ADDRESS(#REF!,MATCH(N$1,INDIRECT("Table!A" &amp; $AL189):INDIRECT("Table!" &amp; $AO$275 &amp; $AL189),0))))/1024)</f>
        <v/>
      </c>
      <c r="N189" s="22" t="str">
        <f ca="1">IF(ISERROR(MATCH(O$1,INDIRECT("Table!A"&amp;$AL189):INDIRECT("Table!" &amp; $AO$275 &amp; $AL189),0)),"",INDIRECT(CONCATENATE("Table!",ADDRESS(#REF!,MATCH(O$1,INDIRECT("Table!A" &amp; $AL189):INDIRECT("Table!" &amp; $AO$275 &amp; $AL189),0))))/1024)</f>
        <v/>
      </c>
      <c r="O189" s="22"/>
      <c r="P189" s="272"/>
      <c r="Q189" s="22"/>
      <c r="R189" s="155"/>
      <c r="T189" s="595"/>
      <c r="U189" s="155"/>
      <c r="AJ189" s="155"/>
      <c r="AK189" s="155"/>
      <c r="AL189" s="22"/>
      <c r="AM189" s="155"/>
      <c r="AN189" s="155"/>
      <c r="AO189" s="29"/>
    </row>
    <row r="190" spans="2:41" x14ac:dyDescent="0.25">
      <c r="B190" s="22" t="str">
        <f ca="1">IF(ISERROR(MATCH(B$1,INDIRECT("Table!A"&amp;$AL190):INDIRECT("Table!" &amp; $AO$275 &amp; $AL190),0)),"",INDIRECT(CONCATENATE("Table!",ADDRESS(#REF!,MATCH(B$1,INDIRECT("Table!A" &amp; $AL190):INDIRECT("Table!" &amp; $AO$275 &amp; $AL190),0))))/1024)</f>
        <v/>
      </c>
      <c r="C190" s="22" t="str">
        <f ca="1">IF(ISERROR(MATCH(C$1,INDIRECT("Table!A"&amp;$AL190):INDIRECT("Table!" &amp; $AO$275 &amp; $AL190),0)),"",INDIRECT(CONCATENATE("Table!",ADDRESS(#REF!,MATCH(C$1,INDIRECT("Table!A" &amp; $AL190):INDIRECT("Table!" &amp; $AO$275 &amp; $AL190),0))))/1024)</f>
        <v/>
      </c>
      <c r="D190" s="22" t="str">
        <f ca="1">IF(ISERROR(MATCH(D$1,INDIRECT("Table!A"&amp;$AL190):INDIRECT("Table!" &amp; $AO$275 &amp; $AL190),0)),"",INDIRECT(CONCATENATE("Table!",ADDRESS(#REF!,MATCH(D$1,INDIRECT("Table!A" &amp; $AL190):INDIRECT("Table!" &amp; $AO$275 &amp; $AL190),0))))/1024)</f>
        <v/>
      </c>
      <c r="E190" s="22" t="str">
        <f ca="1">IF(ISERROR(MATCH(E$1,INDIRECT("Table!A"&amp;$AL190):INDIRECT("Table!" &amp; $AO$275 &amp; $AL190),0)),"",INDIRECT(CONCATENATE("Table!",ADDRESS(#REF!,MATCH(E$1,INDIRECT("Table!A" &amp; $AL190):INDIRECT("Table!" &amp; $AO$275 &amp; $AL190),0))))/1024)</f>
        <v/>
      </c>
      <c r="F190" s="22" t="str">
        <f ca="1">IF(ISERROR(MATCH(F$1,INDIRECT("Table!A"&amp;$AL190):INDIRECT("Table!" &amp; $AO$275 &amp; $AL190),0)),"",INDIRECT(CONCATENATE("Table!",ADDRESS(#REF!,MATCH(F$1,INDIRECT("Table!A" &amp; $AL190):INDIRECT("Table!" &amp; $AO$275 &amp; $AL190),0))))/1024)</f>
        <v/>
      </c>
      <c r="G190" s="22" t="str">
        <f ca="1">IF(ISERROR(MATCH(G$1,INDIRECT("Table!A"&amp;$AL190):INDIRECT("Table!" &amp; $AO$275 &amp; $AL190),0)),"",INDIRECT(CONCATENATE("Table!",ADDRESS(#REF!,MATCH(G$1,INDIRECT("Table!A" &amp; $AL190):INDIRECT("Table!" &amp; $AO$275 &amp; $AL190),0))))/1024)</f>
        <v/>
      </c>
      <c r="H190" s="22" t="str">
        <f ca="1">IF(ISERROR(MATCH(H$1,INDIRECT("Table!A"&amp;$AL190):INDIRECT("Table!" &amp; $AO$275 &amp; $AL190),0)),"",INDIRECT(CONCATENATE("Table!",ADDRESS(#REF!,MATCH(H$1,INDIRECT("Table!A" &amp; $AL190):INDIRECT("Table!" &amp; $AO$275 &amp; $AL190),0))))/1024)</f>
        <v/>
      </c>
      <c r="K190" s="22" t="str">
        <f ca="1">IF(ISERROR(MATCH(L$1,INDIRECT("Table!A"&amp;$AL190):INDIRECT("Table!" &amp; $AO$275 &amp; $AL190),0)),"",INDIRECT(CONCATENATE("Table!",ADDRESS(#REF!,MATCH(L$1,INDIRECT("Table!A" &amp; $AL190):INDIRECT("Table!" &amp; $AO$275 &amp; $AL190),0))))/1024)</f>
        <v/>
      </c>
      <c r="L190" s="22" t="str">
        <f ca="1">IF(ISERROR(MATCH(M$1,INDIRECT("Table!A"&amp;$AL190):INDIRECT("Table!" &amp; $AO$275 &amp; $AL190),0)),"",INDIRECT(CONCATENATE("Table!",ADDRESS(#REF!,MATCH(M$1,INDIRECT("Table!A" &amp; $AL190):INDIRECT("Table!" &amp; $AO$275 &amp; $AL190),0))))/1024)</f>
        <v/>
      </c>
      <c r="M190" s="22" t="str">
        <f ca="1">IF(ISERROR(MATCH(N$1,INDIRECT("Table!A"&amp;$AL190):INDIRECT("Table!" &amp; $AO$275 &amp; $AL190),0)),"",INDIRECT(CONCATENATE("Table!",ADDRESS(#REF!,MATCH(N$1,INDIRECT("Table!A" &amp; $AL190):INDIRECT("Table!" &amp; $AO$275 &amp; $AL190),0))))/1024)</f>
        <v/>
      </c>
      <c r="N190" s="22" t="str">
        <f ca="1">IF(ISERROR(MATCH(O$1,INDIRECT("Table!A"&amp;$AL190):INDIRECT("Table!" &amp; $AO$275 &amp; $AL190),0)),"",INDIRECT(CONCATENATE("Table!",ADDRESS(#REF!,MATCH(O$1,INDIRECT("Table!A" &amp; $AL190):INDIRECT("Table!" &amp; $AO$275 &amp; $AL190),0))))/1024)</f>
        <v/>
      </c>
      <c r="O190" s="22"/>
      <c r="P190" s="272"/>
      <c r="Q190" s="22"/>
      <c r="R190" s="154"/>
      <c r="T190" s="595"/>
      <c r="U190" s="154"/>
      <c r="AJ190" s="154"/>
      <c r="AK190" s="154"/>
      <c r="AL190" s="22"/>
      <c r="AM190" s="154"/>
      <c r="AN190" s="154"/>
      <c r="AO190" s="29"/>
    </row>
    <row r="191" spans="2:41" x14ac:dyDescent="0.25">
      <c r="B191" s="22" t="str">
        <f ca="1">IF(ISERROR(MATCH(B$1,INDIRECT("Table!A"&amp;$AL191):INDIRECT("Table!" &amp; $AO$275 &amp; $AL191),0)),"",INDIRECT(CONCATENATE("Table!",ADDRESS(#REF!,MATCH(B$1,INDIRECT("Table!A" &amp; $AL191):INDIRECT("Table!" &amp; $AO$275 &amp; $AL191),0))))/1024)</f>
        <v/>
      </c>
      <c r="C191" s="22" t="str">
        <f ca="1">IF(ISERROR(MATCH(C$1,INDIRECT("Table!A"&amp;$AL191):INDIRECT("Table!" &amp; $AO$275 &amp; $AL191),0)),"",INDIRECT(CONCATENATE("Table!",ADDRESS(#REF!,MATCH(C$1,INDIRECT("Table!A" &amp; $AL191):INDIRECT("Table!" &amp; $AO$275 &amp; $AL191),0))))/1024)</f>
        <v/>
      </c>
      <c r="D191" s="22" t="str">
        <f ca="1">IF(ISERROR(MATCH(D$1,INDIRECT("Table!A"&amp;$AL191):INDIRECT("Table!" &amp; $AO$275 &amp; $AL191),0)),"",INDIRECT(CONCATENATE("Table!",ADDRESS(#REF!,MATCH(D$1,INDIRECT("Table!A" &amp; $AL191):INDIRECT("Table!" &amp; $AO$275 &amp; $AL191),0))))/1024)</f>
        <v/>
      </c>
      <c r="E191" s="22" t="str">
        <f ca="1">IF(ISERROR(MATCH(E$1,INDIRECT("Table!A"&amp;$AL191):INDIRECT("Table!" &amp; $AO$275 &amp; $AL191),0)),"",INDIRECT(CONCATENATE("Table!",ADDRESS(#REF!,MATCH(E$1,INDIRECT("Table!A" &amp; $AL191):INDIRECT("Table!" &amp; $AO$275 &amp; $AL191),0))))/1024)</f>
        <v/>
      </c>
      <c r="F191" s="22" t="str">
        <f ca="1">IF(ISERROR(MATCH(F$1,INDIRECT("Table!A"&amp;$AL191):INDIRECT("Table!" &amp; $AO$275 &amp; $AL191),0)),"",INDIRECT(CONCATENATE("Table!",ADDRESS(#REF!,MATCH(F$1,INDIRECT("Table!A" &amp; $AL191):INDIRECT("Table!" &amp; $AO$275 &amp; $AL191),0))))/1024)</f>
        <v/>
      </c>
      <c r="G191" s="22" t="str">
        <f ca="1">IF(ISERROR(MATCH(G$1,INDIRECT("Table!A"&amp;$AL191):INDIRECT("Table!" &amp; $AO$275 &amp; $AL191),0)),"",INDIRECT(CONCATENATE("Table!",ADDRESS(#REF!,MATCH(G$1,INDIRECT("Table!A" &amp; $AL191):INDIRECT("Table!" &amp; $AO$275 &amp; $AL191),0))))/1024)</f>
        <v/>
      </c>
      <c r="H191" s="22" t="str">
        <f ca="1">IF(ISERROR(MATCH(H$1,INDIRECT("Table!A"&amp;$AL191):INDIRECT("Table!" &amp; $AO$275 &amp; $AL191),0)),"",INDIRECT(CONCATENATE("Table!",ADDRESS(#REF!,MATCH(H$1,INDIRECT("Table!A" &amp; $AL191):INDIRECT("Table!" &amp; $AO$275 &amp; $AL191),0))))/1024)</f>
        <v/>
      </c>
      <c r="K191" s="22" t="str">
        <f ca="1">IF(ISERROR(MATCH(L$1,INDIRECT("Table!A"&amp;$AL191):INDIRECT("Table!" &amp; $AO$275 &amp; $AL191),0)),"",INDIRECT(CONCATENATE("Table!",ADDRESS(#REF!,MATCH(L$1,INDIRECT("Table!A" &amp; $AL191):INDIRECT("Table!" &amp; $AO$275 &amp; $AL191),0))))/1024)</f>
        <v/>
      </c>
      <c r="L191" s="22" t="str">
        <f ca="1">IF(ISERROR(MATCH(M$1,INDIRECT("Table!A"&amp;$AL191):INDIRECT("Table!" &amp; $AO$275 &amp; $AL191),0)),"",INDIRECT(CONCATENATE("Table!",ADDRESS(#REF!,MATCH(M$1,INDIRECT("Table!A" &amp; $AL191):INDIRECT("Table!" &amp; $AO$275 &amp; $AL191),0))))/1024)</f>
        <v/>
      </c>
      <c r="M191" s="22" t="str">
        <f ca="1">IF(ISERROR(MATCH(N$1,INDIRECT("Table!A"&amp;$AL191):INDIRECT("Table!" &amp; $AO$275 &amp; $AL191),0)),"",INDIRECT(CONCATENATE("Table!",ADDRESS(#REF!,MATCH(N$1,INDIRECT("Table!A" &amp; $AL191):INDIRECT("Table!" &amp; $AO$275 &amp; $AL191),0))))/1024)</f>
        <v/>
      </c>
      <c r="N191" s="22" t="str">
        <f ca="1">IF(ISERROR(MATCH(O$1,INDIRECT("Table!A"&amp;$AL191):INDIRECT("Table!" &amp; $AO$275 &amp; $AL191),0)),"",INDIRECT(CONCATENATE("Table!",ADDRESS(#REF!,MATCH(O$1,INDIRECT("Table!A" &amp; $AL191):INDIRECT("Table!" &amp; $AO$275 &amp; $AL191),0))))/1024)</f>
        <v/>
      </c>
      <c r="O191" s="22"/>
      <c r="P191" s="272"/>
      <c r="Q191" s="22"/>
      <c r="R191" s="153"/>
      <c r="T191" s="595"/>
      <c r="U191" s="153"/>
      <c r="AJ191" s="153"/>
      <c r="AK191" s="153"/>
      <c r="AL191" s="22"/>
      <c r="AM191" s="153"/>
      <c r="AN191" s="153"/>
      <c r="AO191" s="29"/>
    </row>
    <row r="192" spans="2:41" x14ac:dyDescent="0.25">
      <c r="B192" s="22" t="str">
        <f ca="1">IF(ISERROR(MATCH(B$1,INDIRECT("Table!A"&amp;$AL192):INDIRECT("Table!" &amp; $AO$275 &amp; $AL192),0)),"",INDIRECT(CONCATENATE("Table!",ADDRESS(#REF!,MATCH(B$1,INDIRECT("Table!A" &amp; $AL192):INDIRECT("Table!" &amp; $AO$275 &amp; $AL192),0))))/1024)</f>
        <v/>
      </c>
      <c r="C192" s="22" t="str">
        <f ca="1">IF(ISERROR(MATCH(C$1,INDIRECT("Table!A"&amp;$AL192):INDIRECT("Table!" &amp; $AO$275 &amp; $AL192),0)),"",INDIRECT(CONCATENATE("Table!",ADDRESS(#REF!,MATCH(C$1,INDIRECT("Table!A" &amp; $AL192):INDIRECT("Table!" &amp; $AO$275 &amp; $AL192),0))))/1024)</f>
        <v/>
      </c>
      <c r="D192" s="22" t="str">
        <f ca="1">IF(ISERROR(MATCH(D$1,INDIRECT("Table!A"&amp;$AL192):INDIRECT("Table!" &amp; $AO$275 &amp; $AL192),0)),"",INDIRECT(CONCATENATE("Table!",ADDRESS(#REF!,MATCH(D$1,INDIRECT("Table!A" &amp; $AL192):INDIRECT("Table!" &amp; $AO$275 &amp; $AL192),0))))/1024)</f>
        <v/>
      </c>
      <c r="E192" s="22" t="str">
        <f ca="1">IF(ISERROR(MATCH(E$1,INDIRECT("Table!A"&amp;$AL192):INDIRECT("Table!" &amp; $AO$275 &amp; $AL192),0)),"",INDIRECT(CONCATENATE("Table!",ADDRESS(#REF!,MATCH(E$1,INDIRECT("Table!A" &amp; $AL192):INDIRECT("Table!" &amp; $AO$275 &amp; $AL192),0))))/1024)</f>
        <v/>
      </c>
      <c r="F192" s="22" t="str">
        <f ca="1">IF(ISERROR(MATCH(F$1,INDIRECT("Table!A"&amp;$AL192):INDIRECT("Table!" &amp; $AO$275 &amp; $AL192),0)),"",INDIRECT(CONCATENATE("Table!",ADDRESS(#REF!,MATCH(F$1,INDIRECT("Table!A" &amp; $AL192):INDIRECT("Table!" &amp; $AO$275 &amp; $AL192),0))))/1024)</f>
        <v/>
      </c>
      <c r="G192" s="22" t="str">
        <f ca="1">IF(ISERROR(MATCH(G$1,INDIRECT("Table!A"&amp;$AL192):INDIRECT("Table!" &amp; $AO$275 &amp; $AL192),0)),"",INDIRECT(CONCATENATE("Table!",ADDRESS(#REF!,MATCH(G$1,INDIRECT("Table!A" &amp; $AL192):INDIRECT("Table!" &amp; $AO$275 &amp; $AL192),0))))/1024)</f>
        <v/>
      </c>
      <c r="H192" s="22" t="str">
        <f ca="1">IF(ISERROR(MATCH(H$1,INDIRECT("Table!A"&amp;$AL192):INDIRECT("Table!" &amp; $AO$275 &amp; $AL192),0)),"",INDIRECT(CONCATENATE("Table!",ADDRESS(#REF!,MATCH(H$1,INDIRECT("Table!A" &amp; $AL192):INDIRECT("Table!" &amp; $AO$275 &amp; $AL192),0))))/1024)</f>
        <v/>
      </c>
      <c r="K192" s="22" t="str">
        <f ca="1">IF(ISERROR(MATCH(L$1,INDIRECT("Table!A"&amp;$AL192):INDIRECT("Table!" &amp; $AO$275 &amp; $AL192),0)),"",INDIRECT(CONCATENATE("Table!",ADDRESS(#REF!,MATCH(L$1,INDIRECT("Table!A" &amp; $AL192):INDIRECT("Table!" &amp; $AO$275 &amp; $AL192),0))))/1024)</f>
        <v/>
      </c>
      <c r="L192" s="22" t="str">
        <f ca="1">IF(ISERROR(MATCH(M$1,INDIRECT("Table!A"&amp;$AL192):INDIRECT("Table!" &amp; $AO$275 &amp; $AL192),0)),"",INDIRECT(CONCATENATE("Table!",ADDRESS(#REF!,MATCH(M$1,INDIRECT("Table!A" &amp; $AL192):INDIRECT("Table!" &amp; $AO$275 &amp; $AL192),0))))/1024)</f>
        <v/>
      </c>
      <c r="M192" s="22" t="str">
        <f ca="1">IF(ISERROR(MATCH(N$1,INDIRECT("Table!A"&amp;$AL192):INDIRECT("Table!" &amp; $AO$275 &amp; $AL192),0)),"",INDIRECT(CONCATENATE("Table!",ADDRESS(#REF!,MATCH(N$1,INDIRECT("Table!A" &amp; $AL192):INDIRECT("Table!" &amp; $AO$275 &amp; $AL192),0))))/1024)</f>
        <v/>
      </c>
      <c r="N192" s="22" t="str">
        <f ca="1">IF(ISERROR(MATCH(O$1,INDIRECT("Table!A"&amp;$AL192):INDIRECT("Table!" &amp; $AO$275 &amp; $AL192),0)),"",INDIRECT(CONCATENATE("Table!",ADDRESS(#REF!,MATCH(O$1,INDIRECT("Table!A" &amp; $AL192):INDIRECT("Table!" &amp; $AO$275 &amp; $AL192),0))))/1024)</f>
        <v/>
      </c>
      <c r="O192" s="22"/>
      <c r="P192" s="272"/>
      <c r="Q192" s="22"/>
      <c r="R192" s="152"/>
      <c r="T192" s="595"/>
      <c r="U192" s="152"/>
      <c r="AJ192" s="152"/>
      <c r="AK192" s="152"/>
      <c r="AL192" s="22"/>
      <c r="AM192" s="152"/>
      <c r="AN192" s="152"/>
      <c r="AO192" s="152"/>
    </row>
    <row r="193" spans="2:41" x14ac:dyDescent="0.25">
      <c r="B193" s="22" t="str">
        <f ca="1">IF(ISERROR(MATCH(B$1,INDIRECT("Table!A"&amp;$AL193):INDIRECT("Table!" &amp; $AO$275 &amp; $AL193),0)),"",INDIRECT(CONCATENATE("Table!",ADDRESS(#REF!,MATCH(B$1,INDIRECT("Table!A" &amp; $AL193):INDIRECT("Table!" &amp; $AO$275 &amp; $AL193),0))))/1024)</f>
        <v/>
      </c>
      <c r="C193" s="22" t="str">
        <f ca="1">IF(ISERROR(MATCH(C$1,INDIRECT("Table!A"&amp;$AL193):INDIRECT("Table!" &amp; $AO$275 &amp; $AL193),0)),"",INDIRECT(CONCATENATE("Table!",ADDRESS(#REF!,MATCH(C$1,INDIRECT("Table!A" &amp; $AL193):INDIRECT("Table!" &amp; $AO$275 &amp; $AL193),0))))/1024)</f>
        <v/>
      </c>
      <c r="D193" s="22" t="str">
        <f ca="1">IF(ISERROR(MATCH(D$1,INDIRECT("Table!A"&amp;$AL193):INDIRECT("Table!" &amp; $AO$275 &amp; $AL193),0)),"",INDIRECT(CONCATENATE("Table!",ADDRESS(#REF!,MATCH(D$1,INDIRECT("Table!A" &amp; $AL193):INDIRECT("Table!" &amp; $AO$275 &amp; $AL193),0))))/1024)</f>
        <v/>
      </c>
      <c r="E193" s="22" t="str">
        <f ca="1">IF(ISERROR(MATCH(E$1,INDIRECT("Table!A"&amp;$AL193):INDIRECT("Table!" &amp; $AO$275 &amp; $AL193),0)),"",INDIRECT(CONCATENATE("Table!",ADDRESS(#REF!,MATCH(E$1,INDIRECT("Table!A" &amp; $AL193):INDIRECT("Table!" &amp; $AO$275 &amp; $AL193),0))))/1024)</f>
        <v/>
      </c>
      <c r="F193" s="22" t="str">
        <f ca="1">IF(ISERROR(MATCH(F$1,INDIRECT("Table!A"&amp;$AL193):INDIRECT("Table!" &amp; $AO$275 &amp; $AL193),0)),"",INDIRECT(CONCATENATE("Table!",ADDRESS(#REF!,MATCH(F$1,INDIRECT("Table!A" &amp; $AL193):INDIRECT("Table!" &amp; $AO$275 &amp; $AL193),0))))/1024)</f>
        <v/>
      </c>
      <c r="G193" s="22" t="str">
        <f ca="1">IF(ISERROR(MATCH(G$1,INDIRECT("Table!A"&amp;$AL193):INDIRECT("Table!" &amp; $AO$275 &amp; $AL193),0)),"",INDIRECT(CONCATENATE("Table!",ADDRESS(#REF!,MATCH(G$1,INDIRECT("Table!A" &amp; $AL193):INDIRECT("Table!" &amp; $AO$275 &amp; $AL193),0))))/1024)</f>
        <v/>
      </c>
      <c r="H193" s="22" t="str">
        <f ca="1">IF(ISERROR(MATCH(H$1,INDIRECT("Table!A"&amp;$AL193):INDIRECT("Table!" &amp; $AO$275 &amp; $AL193),0)),"",INDIRECT(CONCATENATE("Table!",ADDRESS(#REF!,MATCH(H$1,INDIRECT("Table!A" &amp; $AL193):INDIRECT("Table!" &amp; $AO$275 &amp; $AL193),0))))/1024)</f>
        <v/>
      </c>
      <c r="K193" s="22" t="str">
        <f ca="1">IF(ISERROR(MATCH(L$1,INDIRECT("Table!A"&amp;$AL193):INDIRECT("Table!" &amp; $AO$275 &amp; $AL193),0)),"",INDIRECT(CONCATENATE("Table!",ADDRESS(#REF!,MATCH(L$1,INDIRECT("Table!A" &amp; $AL193):INDIRECT("Table!" &amp; $AO$275 &amp; $AL193),0))))/1024)</f>
        <v/>
      </c>
      <c r="L193" s="22" t="str">
        <f ca="1">IF(ISERROR(MATCH(M$1,INDIRECT("Table!A"&amp;$AL193):INDIRECT("Table!" &amp; $AO$275 &amp; $AL193),0)),"",INDIRECT(CONCATENATE("Table!",ADDRESS(#REF!,MATCH(M$1,INDIRECT("Table!A" &amp; $AL193):INDIRECT("Table!" &amp; $AO$275 &amp; $AL193),0))))/1024)</f>
        <v/>
      </c>
      <c r="M193" s="22" t="str">
        <f ca="1">IF(ISERROR(MATCH(N$1,INDIRECT("Table!A"&amp;$AL193):INDIRECT("Table!" &amp; $AO$275 &amp; $AL193),0)),"",INDIRECT(CONCATENATE("Table!",ADDRESS(#REF!,MATCH(N$1,INDIRECT("Table!A" &amp; $AL193):INDIRECT("Table!" &amp; $AO$275 &amp; $AL193),0))))/1024)</f>
        <v/>
      </c>
      <c r="N193" s="22" t="str">
        <f ca="1">IF(ISERROR(MATCH(O$1,INDIRECT("Table!A"&amp;$AL193):INDIRECT("Table!" &amp; $AO$275 &amp; $AL193),0)),"",INDIRECT(CONCATENATE("Table!",ADDRESS(#REF!,MATCH(O$1,INDIRECT("Table!A" &amp; $AL193):INDIRECT("Table!" &amp; $AO$275 &amp; $AL193),0))))/1024)</f>
        <v/>
      </c>
      <c r="O193" s="22"/>
      <c r="P193" s="272"/>
      <c r="Q193" s="22"/>
      <c r="R193" s="151"/>
      <c r="T193" s="595"/>
      <c r="U193" s="151"/>
      <c r="AJ193" s="151"/>
      <c r="AK193" s="151"/>
      <c r="AL193" s="22"/>
      <c r="AM193" s="151"/>
      <c r="AN193" s="151"/>
      <c r="AO193" s="151"/>
    </row>
    <row r="194" spans="2:41" x14ac:dyDescent="0.25">
      <c r="B194" s="22" t="str">
        <f ca="1">IF(ISERROR(MATCH(B$1,INDIRECT("Table!A"&amp;$AL194):INDIRECT("Table!" &amp; $AO$275 &amp; $AL194),0)),"",INDIRECT(CONCATENATE("Table!",ADDRESS(#REF!,MATCH(B$1,INDIRECT("Table!A" &amp; $AL194):INDIRECT("Table!" &amp; $AO$275 &amp; $AL194),0))))/1024)</f>
        <v/>
      </c>
      <c r="C194" s="22" t="str">
        <f ca="1">IF(ISERROR(MATCH(C$1,INDIRECT("Table!A"&amp;$AL194):INDIRECT("Table!" &amp; $AO$275 &amp; $AL194),0)),"",INDIRECT(CONCATENATE("Table!",ADDRESS(#REF!,MATCH(C$1,INDIRECT("Table!A" &amp; $AL194):INDIRECT("Table!" &amp; $AO$275 &amp; $AL194),0))))/1024)</f>
        <v/>
      </c>
      <c r="D194" s="22" t="str">
        <f ca="1">IF(ISERROR(MATCH(D$1,INDIRECT("Table!A"&amp;$AL194):INDIRECT("Table!" &amp; $AO$275 &amp; $AL194),0)),"",INDIRECT(CONCATENATE("Table!",ADDRESS(#REF!,MATCH(D$1,INDIRECT("Table!A" &amp; $AL194):INDIRECT("Table!" &amp; $AO$275 &amp; $AL194),0))))/1024)</f>
        <v/>
      </c>
      <c r="E194" s="22" t="str">
        <f ca="1">IF(ISERROR(MATCH(E$1,INDIRECT("Table!A"&amp;$AL194):INDIRECT("Table!" &amp; $AO$275 &amp; $AL194),0)),"",INDIRECT(CONCATENATE("Table!",ADDRESS(#REF!,MATCH(E$1,INDIRECT("Table!A" &amp; $AL194):INDIRECT("Table!" &amp; $AO$275 &amp; $AL194),0))))/1024)</f>
        <v/>
      </c>
      <c r="F194" s="22" t="str">
        <f ca="1">IF(ISERROR(MATCH(F$1,INDIRECT("Table!A"&amp;$AL194):INDIRECT("Table!" &amp; $AO$275 &amp; $AL194),0)),"",INDIRECT(CONCATENATE("Table!",ADDRESS(#REF!,MATCH(F$1,INDIRECT("Table!A" &amp; $AL194):INDIRECT("Table!" &amp; $AO$275 &amp; $AL194),0))))/1024)</f>
        <v/>
      </c>
      <c r="G194" s="22" t="str">
        <f ca="1">IF(ISERROR(MATCH(G$1,INDIRECT("Table!A"&amp;$AL194):INDIRECT("Table!" &amp; $AO$275 &amp; $AL194),0)),"",INDIRECT(CONCATENATE("Table!",ADDRESS(#REF!,MATCH(G$1,INDIRECT("Table!A" &amp; $AL194):INDIRECT("Table!" &amp; $AO$275 &amp; $AL194),0))))/1024)</f>
        <v/>
      </c>
      <c r="H194" s="22" t="str">
        <f ca="1">IF(ISERROR(MATCH(H$1,INDIRECT("Table!A"&amp;$AL194):INDIRECT("Table!" &amp; $AO$275 &amp; $AL194),0)),"",INDIRECT(CONCATENATE("Table!",ADDRESS(#REF!,MATCH(H$1,INDIRECT("Table!A" &amp; $AL194):INDIRECT("Table!" &amp; $AO$275 &amp; $AL194),0))))/1024)</f>
        <v/>
      </c>
      <c r="K194" s="22" t="str">
        <f ca="1">IF(ISERROR(MATCH(L$1,INDIRECT("Table!A"&amp;$AL194):INDIRECT("Table!" &amp; $AO$275 &amp; $AL194),0)),"",INDIRECT(CONCATENATE("Table!",ADDRESS(#REF!,MATCH(L$1,INDIRECT("Table!A" &amp; $AL194):INDIRECT("Table!" &amp; $AO$275 &amp; $AL194),0))))/1024)</f>
        <v/>
      </c>
      <c r="L194" s="22" t="str">
        <f ca="1">IF(ISERROR(MATCH(M$1,INDIRECT("Table!A"&amp;$AL194):INDIRECT("Table!" &amp; $AO$275 &amp; $AL194),0)),"",INDIRECT(CONCATENATE("Table!",ADDRESS(#REF!,MATCH(M$1,INDIRECT("Table!A" &amp; $AL194):INDIRECT("Table!" &amp; $AO$275 &amp; $AL194),0))))/1024)</f>
        <v/>
      </c>
      <c r="M194" s="22" t="str">
        <f ca="1">IF(ISERROR(MATCH(N$1,INDIRECT("Table!A"&amp;$AL194):INDIRECT("Table!" &amp; $AO$275 &amp; $AL194),0)),"",INDIRECT(CONCATENATE("Table!",ADDRESS(#REF!,MATCH(N$1,INDIRECT("Table!A" &amp; $AL194):INDIRECT("Table!" &amp; $AO$275 &amp; $AL194),0))))/1024)</f>
        <v/>
      </c>
      <c r="N194" s="22" t="str">
        <f ca="1">IF(ISERROR(MATCH(O$1,INDIRECT("Table!A"&amp;$AL194):INDIRECT("Table!" &amp; $AO$275 &amp; $AL194),0)),"",INDIRECT(CONCATENATE("Table!",ADDRESS(#REF!,MATCH(O$1,INDIRECT("Table!A" &amp; $AL194):INDIRECT("Table!" &amp; $AO$275 &amp; $AL194),0))))/1024)</f>
        <v/>
      </c>
      <c r="O194" s="22"/>
      <c r="P194" s="272"/>
      <c r="Q194" s="22"/>
      <c r="R194" s="151"/>
      <c r="T194" s="595"/>
      <c r="U194" s="151"/>
      <c r="AJ194" s="151"/>
      <c r="AK194" s="151"/>
      <c r="AL194" s="22"/>
      <c r="AM194" s="151"/>
      <c r="AN194" s="151"/>
      <c r="AO194" s="151"/>
    </row>
    <row r="195" spans="2:41" x14ac:dyDescent="0.25">
      <c r="B195" s="22" t="str">
        <f ca="1">IF(ISERROR(MATCH(B$1,INDIRECT("Table!A"&amp;$AL195):INDIRECT("Table!" &amp; $AO$275 &amp; $AL195),0)),"",INDIRECT(CONCATENATE("Table!",ADDRESS(#REF!,MATCH(B$1,INDIRECT("Table!A" &amp; $AL195):INDIRECT("Table!" &amp; $AO$275 &amp; $AL195),0))))/1024)</f>
        <v/>
      </c>
      <c r="C195" s="22" t="str">
        <f ca="1">IF(ISERROR(MATCH(C$1,INDIRECT("Table!A"&amp;$AL195):INDIRECT("Table!" &amp; $AO$275 &amp; $AL195),0)),"",INDIRECT(CONCATENATE("Table!",ADDRESS(#REF!,MATCH(C$1,INDIRECT("Table!A" &amp; $AL195):INDIRECT("Table!" &amp; $AO$275 &amp; $AL195),0))))/1024)</f>
        <v/>
      </c>
      <c r="D195" s="22" t="str">
        <f ca="1">IF(ISERROR(MATCH(D$1,INDIRECT("Table!A"&amp;$AL195):INDIRECT("Table!" &amp; $AO$275 &amp; $AL195),0)),"",INDIRECT(CONCATENATE("Table!",ADDRESS(#REF!,MATCH(D$1,INDIRECT("Table!A" &amp; $AL195):INDIRECT("Table!" &amp; $AO$275 &amp; $AL195),0))))/1024)</f>
        <v/>
      </c>
      <c r="E195" s="22" t="str">
        <f ca="1">IF(ISERROR(MATCH(E$1,INDIRECT("Table!A"&amp;$AL195):INDIRECT("Table!" &amp; $AO$275 &amp; $AL195),0)),"",INDIRECT(CONCATENATE("Table!",ADDRESS(#REF!,MATCH(E$1,INDIRECT("Table!A" &amp; $AL195):INDIRECT("Table!" &amp; $AO$275 &amp; $AL195),0))))/1024)</f>
        <v/>
      </c>
      <c r="F195" s="22" t="str">
        <f ca="1">IF(ISERROR(MATCH(F$1,INDIRECT("Table!A"&amp;$AL195):INDIRECT("Table!" &amp; $AO$275 &amp; $AL195),0)),"",INDIRECT(CONCATENATE("Table!",ADDRESS(#REF!,MATCH(F$1,INDIRECT("Table!A" &amp; $AL195):INDIRECT("Table!" &amp; $AO$275 &amp; $AL195),0))))/1024)</f>
        <v/>
      </c>
      <c r="G195" s="22" t="str">
        <f ca="1">IF(ISERROR(MATCH(G$1,INDIRECT("Table!A"&amp;$AL195):INDIRECT("Table!" &amp; $AO$275 &amp; $AL195),0)),"",INDIRECT(CONCATENATE("Table!",ADDRESS(#REF!,MATCH(G$1,INDIRECT("Table!A" &amp; $AL195):INDIRECT("Table!" &amp; $AO$275 &amp; $AL195),0))))/1024)</f>
        <v/>
      </c>
      <c r="H195" s="22" t="str">
        <f ca="1">IF(ISERROR(MATCH(H$1,INDIRECT("Table!A"&amp;$AL195):INDIRECT("Table!" &amp; $AO$275 &amp; $AL195),0)),"",INDIRECT(CONCATENATE("Table!",ADDRESS(#REF!,MATCH(H$1,INDIRECT("Table!A" &amp; $AL195):INDIRECT("Table!" &amp; $AO$275 &amp; $AL195),0))))/1024)</f>
        <v/>
      </c>
      <c r="K195" s="22" t="str">
        <f ca="1">IF(ISERROR(MATCH(L$1,INDIRECT("Table!A"&amp;$AL195):INDIRECT("Table!" &amp; $AO$275 &amp; $AL195),0)),"",INDIRECT(CONCATENATE("Table!",ADDRESS(#REF!,MATCH(L$1,INDIRECT("Table!A" &amp; $AL195):INDIRECT("Table!" &amp; $AO$275 &amp; $AL195),0))))/1024)</f>
        <v/>
      </c>
      <c r="L195" s="22" t="str">
        <f ca="1">IF(ISERROR(MATCH(M$1,INDIRECT("Table!A"&amp;$AL195):INDIRECT("Table!" &amp; $AO$275 &amp; $AL195),0)),"",INDIRECT(CONCATENATE("Table!",ADDRESS(#REF!,MATCH(M$1,INDIRECT("Table!A" &amp; $AL195):INDIRECT("Table!" &amp; $AO$275 &amp; $AL195),0))))/1024)</f>
        <v/>
      </c>
      <c r="M195" s="22" t="str">
        <f ca="1">IF(ISERROR(MATCH(N$1,INDIRECT("Table!A"&amp;$AL195):INDIRECT("Table!" &amp; $AO$275 &amp; $AL195),0)),"",INDIRECT(CONCATENATE("Table!",ADDRESS(#REF!,MATCH(N$1,INDIRECT("Table!A" &amp; $AL195):INDIRECT("Table!" &amp; $AO$275 &amp; $AL195),0))))/1024)</f>
        <v/>
      </c>
      <c r="N195" s="22" t="str">
        <f ca="1">IF(ISERROR(MATCH(O$1,INDIRECT("Table!A"&amp;$AL195):INDIRECT("Table!" &amp; $AO$275 &amp; $AL195),0)),"",INDIRECT(CONCATENATE("Table!",ADDRESS(#REF!,MATCH(O$1,INDIRECT("Table!A" &amp; $AL195):INDIRECT("Table!" &amp; $AO$275 &amp; $AL195),0))))/1024)</f>
        <v/>
      </c>
      <c r="O195" s="22"/>
      <c r="P195" s="272"/>
      <c r="Q195" s="22"/>
      <c r="R195" s="150"/>
      <c r="T195" s="595"/>
      <c r="U195" s="150"/>
      <c r="AJ195" s="150"/>
      <c r="AK195" s="150"/>
      <c r="AL195" s="22"/>
      <c r="AM195" s="150"/>
      <c r="AN195" s="150"/>
      <c r="AO195" s="150"/>
    </row>
    <row r="196" spans="2:41" x14ac:dyDescent="0.25">
      <c r="B196" s="22" t="str">
        <f ca="1">IF(ISERROR(MATCH(B$1,INDIRECT("Table!A"&amp;$AL196):INDIRECT("Table!" &amp; $AO$275 &amp; $AL196),0)),"",INDIRECT(CONCATENATE("Table!",ADDRESS(#REF!,MATCH(B$1,INDIRECT("Table!A" &amp; $AL196):INDIRECT("Table!" &amp; $AO$275 &amp; $AL196),0))))/1024)</f>
        <v/>
      </c>
      <c r="C196" s="22" t="str">
        <f ca="1">IF(ISERROR(MATCH(C$1,INDIRECT("Table!A"&amp;$AL196):INDIRECT("Table!" &amp; $AO$275 &amp; $AL196),0)),"",INDIRECT(CONCATENATE("Table!",ADDRESS(#REF!,MATCH(C$1,INDIRECT("Table!A" &amp; $AL196):INDIRECT("Table!" &amp; $AO$275 &amp; $AL196),0))))/1024)</f>
        <v/>
      </c>
      <c r="D196" s="22" t="str">
        <f ca="1">IF(ISERROR(MATCH(D$1,INDIRECT("Table!A"&amp;$AL196):INDIRECT("Table!" &amp; $AO$275 &amp; $AL196),0)),"",INDIRECT(CONCATENATE("Table!",ADDRESS(#REF!,MATCH(D$1,INDIRECT("Table!A" &amp; $AL196):INDIRECT("Table!" &amp; $AO$275 &amp; $AL196),0))))/1024)</f>
        <v/>
      </c>
      <c r="E196" s="22" t="str">
        <f ca="1">IF(ISERROR(MATCH(E$1,INDIRECT("Table!A"&amp;$AL196):INDIRECT("Table!" &amp; $AO$275 &amp; $AL196),0)),"",INDIRECT(CONCATENATE("Table!",ADDRESS(#REF!,MATCH(E$1,INDIRECT("Table!A" &amp; $AL196):INDIRECT("Table!" &amp; $AO$275 &amp; $AL196),0))))/1024)</f>
        <v/>
      </c>
      <c r="F196" s="22" t="str">
        <f ca="1">IF(ISERROR(MATCH(F$1,INDIRECT("Table!A"&amp;$AL196):INDIRECT("Table!" &amp; $AO$275 &amp; $AL196),0)),"",INDIRECT(CONCATENATE("Table!",ADDRESS(#REF!,MATCH(F$1,INDIRECT("Table!A" &amp; $AL196):INDIRECT("Table!" &amp; $AO$275 &amp; $AL196),0))))/1024)</f>
        <v/>
      </c>
      <c r="G196" s="22" t="str">
        <f ca="1">IF(ISERROR(MATCH(G$1,INDIRECT("Table!A"&amp;$AL196):INDIRECT("Table!" &amp; $AO$275 &amp; $AL196),0)),"",INDIRECT(CONCATENATE("Table!",ADDRESS(#REF!,MATCH(G$1,INDIRECT("Table!A" &amp; $AL196):INDIRECT("Table!" &amp; $AO$275 &amp; $AL196),0))))/1024)</f>
        <v/>
      </c>
      <c r="H196" s="22" t="str">
        <f ca="1">IF(ISERROR(MATCH(H$1,INDIRECT("Table!A"&amp;$AL196):INDIRECT("Table!" &amp; $AO$275 &amp; $AL196),0)),"",INDIRECT(CONCATENATE("Table!",ADDRESS(#REF!,MATCH(H$1,INDIRECT("Table!A" &amp; $AL196):INDIRECT("Table!" &amp; $AO$275 &amp; $AL196),0))))/1024)</f>
        <v/>
      </c>
      <c r="K196" s="22" t="str">
        <f ca="1">IF(ISERROR(MATCH(L$1,INDIRECT("Table!A"&amp;$AL196):INDIRECT("Table!" &amp; $AO$275 &amp; $AL196),0)),"",INDIRECT(CONCATENATE("Table!",ADDRESS(#REF!,MATCH(L$1,INDIRECT("Table!A" &amp; $AL196):INDIRECT("Table!" &amp; $AO$275 &amp; $AL196),0))))/1024)</f>
        <v/>
      </c>
      <c r="L196" s="22" t="str">
        <f ca="1">IF(ISERROR(MATCH(M$1,INDIRECT("Table!A"&amp;$AL196):INDIRECT("Table!" &amp; $AO$275 &amp; $AL196),0)),"",INDIRECT(CONCATENATE("Table!",ADDRESS(#REF!,MATCH(M$1,INDIRECT("Table!A" &amp; $AL196):INDIRECT("Table!" &amp; $AO$275 &amp; $AL196),0))))/1024)</f>
        <v/>
      </c>
      <c r="M196" s="22" t="str">
        <f ca="1">IF(ISERROR(MATCH(N$1,INDIRECT("Table!A"&amp;$AL196):INDIRECT("Table!" &amp; $AO$275 &amp; $AL196),0)),"",INDIRECT(CONCATENATE("Table!",ADDRESS(#REF!,MATCH(N$1,INDIRECT("Table!A" &amp; $AL196):INDIRECT("Table!" &amp; $AO$275 &amp; $AL196),0))))/1024)</f>
        <v/>
      </c>
      <c r="N196" s="22" t="str">
        <f ca="1">IF(ISERROR(MATCH(O$1,INDIRECT("Table!A"&amp;$AL196):INDIRECT("Table!" &amp; $AO$275 &amp; $AL196),0)),"",INDIRECT(CONCATENATE("Table!",ADDRESS(#REF!,MATCH(O$1,INDIRECT("Table!A" &amp; $AL196):INDIRECT("Table!" &amp; $AO$275 &amp; $AL196),0))))/1024)</f>
        <v/>
      </c>
      <c r="O196" s="22"/>
      <c r="P196" s="272"/>
      <c r="Q196" s="22"/>
      <c r="R196" s="149"/>
      <c r="T196" s="595"/>
      <c r="U196" s="149"/>
      <c r="AJ196" s="149"/>
      <c r="AK196" s="149"/>
      <c r="AL196" s="22"/>
      <c r="AM196" s="149"/>
      <c r="AN196" s="149"/>
      <c r="AO196" s="149"/>
    </row>
    <row r="197" spans="2:41" x14ac:dyDescent="0.25">
      <c r="B197" s="22" t="str">
        <f ca="1">IF(ISERROR(MATCH(B$1,INDIRECT("Table!A"&amp;$AL197):INDIRECT("Table!" &amp; $AO$275 &amp; $AL197),0)),"",INDIRECT(CONCATENATE("Table!",ADDRESS(#REF!,MATCH(B$1,INDIRECT("Table!A" &amp; $AL197):INDIRECT("Table!" &amp; $AO$275 &amp; $AL197),0))))/1024)</f>
        <v/>
      </c>
      <c r="C197" s="22" t="str">
        <f ca="1">IF(ISERROR(MATCH(C$1,INDIRECT("Table!A"&amp;$AL197):INDIRECT("Table!" &amp; $AO$275 &amp; $AL197),0)),"",INDIRECT(CONCATENATE("Table!",ADDRESS(#REF!,MATCH(C$1,INDIRECT("Table!A" &amp; $AL197):INDIRECT("Table!" &amp; $AO$275 &amp; $AL197),0))))/1024)</f>
        <v/>
      </c>
      <c r="D197" s="22" t="str">
        <f ca="1">IF(ISERROR(MATCH(D$1,INDIRECT("Table!A"&amp;$AL197):INDIRECT("Table!" &amp; $AO$275 &amp; $AL197),0)),"",INDIRECT(CONCATENATE("Table!",ADDRESS(#REF!,MATCH(D$1,INDIRECT("Table!A" &amp; $AL197):INDIRECT("Table!" &amp; $AO$275 &amp; $AL197),0))))/1024)</f>
        <v/>
      </c>
      <c r="E197" s="22" t="str">
        <f ca="1">IF(ISERROR(MATCH(E$1,INDIRECT("Table!A"&amp;$AL197):INDIRECT("Table!" &amp; $AO$275 &amp; $AL197),0)),"",INDIRECT(CONCATENATE("Table!",ADDRESS(#REF!,MATCH(E$1,INDIRECT("Table!A" &amp; $AL197):INDIRECT("Table!" &amp; $AO$275 &amp; $AL197),0))))/1024)</f>
        <v/>
      </c>
      <c r="F197" s="22" t="str">
        <f ca="1">IF(ISERROR(MATCH(F$1,INDIRECT("Table!A"&amp;$AL197):INDIRECT("Table!" &amp; $AO$275 &amp; $AL197),0)),"",INDIRECT(CONCATENATE("Table!",ADDRESS(#REF!,MATCH(F$1,INDIRECT("Table!A" &amp; $AL197):INDIRECT("Table!" &amp; $AO$275 &amp; $AL197),0))))/1024)</f>
        <v/>
      </c>
      <c r="G197" s="22" t="str">
        <f ca="1">IF(ISERROR(MATCH(G$1,INDIRECT("Table!A"&amp;$AL197):INDIRECT("Table!" &amp; $AO$275 &amp; $AL197),0)),"",INDIRECT(CONCATENATE("Table!",ADDRESS(#REF!,MATCH(G$1,INDIRECT("Table!A" &amp; $AL197):INDIRECT("Table!" &amp; $AO$275 &amp; $AL197),0))))/1024)</f>
        <v/>
      </c>
      <c r="H197" s="22" t="str">
        <f ca="1">IF(ISERROR(MATCH(H$1,INDIRECT("Table!A"&amp;$AL197):INDIRECT("Table!" &amp; $AO$275 &amp; $AL197),0)),"",INDIRECT(CONCATENATE("Table!",ADDRESS(#REF!,MATCH(H$1,INDIRECT("Table!A" &amp; $AL197):INDIRECT("Table!" &amp; $AO$275 &amp; $AL197),0))))/1024)</f>
        <v/>
      </c>
      <c r="K197" s="22" t="str">
        <f ca="1">IF(ISERROR(MATCH(L$1,INDIRECT("Table!A"&amp;$AL197):INDIRECT("Table!" &amp; $AO$275 &amp; $AL197),0)),"",INDIRECT(CONCATENATE("Table!",ADDRESS(#REF!,MATCH(L$1,INDIRECT("Table!A" &amp; $AL197):INDIRECT("Table!" &amp; $AO$275 &amp; $AL197),0))))/1024)</f>
        <v/>
      </c>
      <c r="L197" s="22" t="str">
        <f ca="1">IF(ISERROR(MATCH(M$1,INDIRECT("Table!A"&amp;$AL197):INDIRECT("Table!" &amp; $AO$275 &amp; $AL197),0)),"",INDIRECT(CONCATENATE("Table!",ADDRESS(#REF!,MATCH(M$1,INDIRECT("Table!A" &amp; $AL197):INDIRECT("Table!" &amp; $AO$275 &amp; $AL197),0))))/1024)</f>
        <v/>
      </c>
      <c r="M197" s="22" t="str">
        <f ca="1">IF(ISERROR(MATCH(N$1,INDIRECT("Table!A"&amp;$AL197):INDIRECT("Table!" &amp; $AO$275 &amp; $AL197),0)),"",INDIRECT(CONCATENATE("Table!",ADDRESS(#REF!,MATCH(N$1,INDIRECT("Table!A" &amp; $AL197):INDIRECT("Table!" &amp; $AO$275 &amp; $AL197),0))))/1024)</f>
        <v/>
      </c>
      <c r="N197" s="22" t="str">
        <f ca="1">IF(ISERROR(MATCH(O$1,INDIRECT("Table!A"&amp;$AL197):INDIRECT("Table!" &amp; $AO$275 &amp; $AL197),0)),"",INDIRECT(CONCATENATE("Table!",ADDRESS(#REF!,MATCH(O$1,INDIRECT("Table!A" &amp; $AL197):INDIRECT("Table!" &amp; $AO$275 &amp; $AL197),0))))/1024)</f>
        <v/>
      </c>
      <c r="O197" s="22"/>
      <c r="P197" s="272"/>
      <c r="Q197" s="22"/>
      <c r="R197" s="148"/>
      <c r="T197" s="595"/>
      <c r="U197" s="148"/>
      <c r="AJ197" s="148"/>
      <c r="AK197" s="148"/>
      <c r="AL197" s="22"/>
      <c r="AM197" s="148"/>
      <c r="AN197" s="148"/>
      <c r="AO197" s="148"/>
    </row>
    <row r="198" spans="2:41" x14ac:dyDescent="0.25">
      <c r="B198" s="22" t="str">
        <f ca="1">IF(ISERROR(MATCH(B$1,INDIRECT("Table!A"&amp;$AL198):INDIRECT("Table!" &amp; $AO$275 &amp; $AL198),0)),"",INDIRECT(CONCATENATE("Table!",ADDRESS(#REF!,MATCH(B$1,INDIRECT("Table!A" &amp; $AL198):INDIRECT("Table!" &amp; $AO$275 &amp; $AL198),0))))/1024)</f>
        <v/>
      </c>
      <c r="C198" s="22" t="str">
        <f ca="1">IF(ISERROR(MATCH(C$1,INDIRECT("Table!A"&amp;$AL198):INDIRECT("Table!" &amp; $AO$275 &amp; $AL198),0)),"",INDIRECT(CONCATENATE("Table!",ADDRESS(#REF!,MATCH(C$1,INDIRECT("Table!A" &amp; $AL198):INDIRECT("Table!" &amp; $AO$275 &amp; $AL198),0))))/1024)</f>
        <v/>
      </c>
      <c r="D198" s="22" t="str">
        <f ca="1">IF(ISERROR(MATCH(D$1,INDIRECT("Table!A"&amp;$AL198):INDIRECT("Table!" &amp; $AO$275 &amp; $AL198),0)),"",INDIRECT(CONCATENATE("Table!",ADDRESS(#REF!,MATCH(D$1,INDIRECT("Table!A" &amp; $AL198):INDIRECT("Table!" &amp; $AO$275 &amp; $AL198),0))))/1024)</f>
        <v/>
      </c>
      <c r="E198" s="22" t="str">
        <f ca="1">IF(ISERROR(MATCH(E$1,INDIRECT("Table!A"&amp;$AL198):INDIRECT("Table!" &amp; $AO$275 &amp; $AL198),0)),"",INDIRECT(CONCATENATE("Table!",ADDRESS(#REF!,MATCH(E$1,INDIRECT("Table!A" &amp; $AL198):INDIRECT("Table!" &amp; $AO$275 &amp; $AL198),0))))/1024)</f>
        <v/>
      </c>
      <c r="F198" s="22" t="str">
        <f ca="1">IF(ISERROR(MATCH(F$1,INDIRECT("Table!A"&amp;$AL198):INDIRECT("Table!" &amp; $AO$275 &amp; $AL198),0)),"",INDIRECT(CONCATENATE("Table!",ADDRESS(#REF!,MATCH(F$1,INDIRECT("Table!A" &amp; $AL198):INDIRECT("Table!" &amp; $AO$275 &amp; $AL198),0))))/1024)</f>
        <v/>
      </c>
      <c r="G198" s="22" t="str">
        <f ca="1">IF(ISERROR(MATCH(G$1,INDIRECT("Table!A"&amp;$AL198):INDIRECT("Table!" &amp; $AO$275 &amp; $AL198),0)),"",INDIRECT(CONCATENATE("Table!",ADDRESS(#REF!,MATCH(G$1,INDIRECT("Table!A" &amp; $AL198):INDIRECT("Table!" &amp; $AO$275 &amp; $AL198),0))))/1024)</f>
        <v/>
      </c>
      <c r="H198" s="22" t="str">
        <f ca="1">IF(ISERROR(MATCH(H$1,INDIRECT("Table!A"&amp;$AL198):INDIRECT("Table!" &amp; $AO$275 &amp; $AL198),0)),"",INDIRECT(CONCATENATE("Table!",ADDRESS(#REF!,MATCH(H$1,INDIRECT("Table!A" &amp; $AL198):INDIRECT("Table!" &amp; $AO$275 &amp; $AL198),0))))/1024)</f>
        <v/>
      </c>
      <c r="K198" s="22" t="str">
        <f ca="1">IF(ISERROR(MATCH(L$1,INDIRECT("Table!A"&amp;$AL198):INDIRECT("Table!" &amp; $AO$275 &amp; $AL198),0)),"",INDIRECT(CONCATENATE("Table!",ADDRESS(#REF!,MATCH(L$1,INDIRECT("Table!A" &amp; $AL198):INDIRECT("Table!" &amp; $AO$275 &amp; $AL198),0))))/1024)</f>
        <v/>
      </c>
      <c r="L198" s="22" t="str">
        <f ca="1">IF(ISERROR(MATCH(M$1,INDIRECT("Table!A"&amp;$AL198):INDIRECT("Table!" &amp; $AO$275 &amp; $AL198),0)),"",INDIRECT(CONCATENATE("Table!",ADDRESS(#REF!,MATCH(M$1,INDIRECT("Table!A" &amp; $AL198):INDIRECT("Table!" &amp; $AO$275 &amp; $AL198),0))))/1024)</f>
        <v/>
      </c>
      <c r="M198" s="22" t="str">
        <f ca="1">IF(ISERROR(MATCH(N$1,INDIRECT("Table!A"&amp;$AL198):INDIRECT("Table!" &amp; $AO$275 &amp; $AL198),0)),"",INDIRECT(CONCATENATE("Table!",ADDRESS(#REF!,MATCH(N$1,INDIRECT("Table!A" &amp; $AL198):INDIRECT("Table!" &amp; $AO$275 &amp; $AL198),0))))/1024)</f>
        <v/>
      </c>
      <c r="N198" s="22" t="str">
        <f ca="1">IF(ISERROR(MATCH(O$1,INDIRECT("Table!A"&amp;$AL198):INDIRECT("Table!" &amp; $AO$275 &amp; $AL198),0)),"",INDIRECT(CONCATENATE("Table!",ADDRESS(#REF!,MATCH(O$1,INDIRECT("Table!A" &amp; $AL198):INDIRECT("Table!" &amp; $AO$275 &amp; $AL198),0))))/1024)</f>
        <v/>
      </c>
      <c r="O198" s="22"/>
      <c r="P198" s="272"/>
      <c r="Q198" s="22"/>
      <c r="R198" s="147"/>
      <c r="T198" s="595"/>
      <c r="U198" s="147"/>
      <c r="AJ198" s="147"/>
      <c r="AK198" s="147"/>
      <c r="AL198" s="22"/>
      <c r="AM198" s="147"/>
      <c r="AN198" s="147"/>
      <c r="AO198" s="147"/>
    </row>
    <row r="199" spans="2:41" x14ac:dyDescent="0.25">
      <c r="B199" s="22" t="str">
        <f ca="1">IF(ISERROR(MATCH(B$1,INDIRECT("Table!A"&amp;$AL199):INDIRECT("Table!" &amp; $AO$275 &amp; $AL199),0)),"",INDIRECT(CONCATENATE("Table!",ADDRESS(#REF!,MATCH(B$1,INDIRECT("Table!A" &amp; $AL199):INDIRECT("Table!" &amp; $AO$275 &amp; $AL199),0))))/1024)</f>
        <v/>
      </c>
      <c r="C199" s="22" t="str">
        <f ca="1">IF(ISERROR(MATCH(C$1,INDIRECT("Table!A"&amp;$AL199):INDIRECT("Table!" &amp; $AO$275 &amp; $AL199),0)),"",INDIRECT(CONCATENATE("Table!",ADDRESS(#REF!,MATCH(C$1,INDIRECT("Table!A" &amp; $AL199):INDIRECT("Table!" &amp; $AO$275 &amp; $AL199),0))))/1024)</f>
        <v/>
      </c>
      <c r="D199" s="22" t="str">
        <f ca="1">IF(ISERROR(MATCH(D$1,INDIRECT("Table!A"&amp;$AL199):INDIRECT("Table!" &amp; $AO$275 &amp; $AL199),0)),"",INDIRECT(CONCATENATE("Table!",ADDRESS(#REF!,MATCH(D$1,INDIRECT("Table!A" &amp; $AL199):INDIRECT("Table!" &amp; $AO$275 &amp; $AL199),0))))/1024)</f>
        <v/>
      </c>
      <c r="E199" s="22" t="str">
        <f ca="1">IF(ISERROR(MATCH(E$1,INDIRECT("Table!A"&amp;$AL199):INDIRECT("Table!" &amp; $AO$275 &amp; $AL199),0)),"",INDIRECT(CONCATENATE("Table!",ADDRESS(#REF!,MATCH(E$1,INDIRECT("Table!A" &amp; $AL199):INDIRECT("Table!" &amp; $AO$275 &amp; $AL199),0))))/1024)</f>
        <v/>
      </c>
      <c r="F199" s="22" t="str">
        <f ca="1">IF(ISERROR(MATCH(F$1,INDIRECT("Table!A"&amp;$AL199):INDIRECT("Table!" &amp; $AO$275 &amp; $AL199),0)),"",INDIRECT(CONCATENATE("Table!",ADDRESS(#REF!,MATCH(F$1,INDIRECT("Table!A" &amp; $AL199):INDIRECT("Table!" &amp; $AO$275 &amp; $AL199),0))))/1024)</f>
        <v/>
      </c>
      <c r="G199" s="22" t="str">
        <f ca="1">IF(ISERROR(MATCH(G$1,INDIRECT("Table!A"&amp;$AL199):INDIRECT("Table!" &amp; $AO$275 &amp; $AL199),0)),"",INDIRECT(CONCATENATE("Table!",ADDRESS(#REF!,MATCH(G$1,INDIRECT("Table!A" &amp; $AL199):INDIRECT("Table!" &amp; $AO$275 &amp; $AL199),0))))/1024)</f>
        <v/>
      </c>
      <c r="H199" s="22" t="str">
        <f ca="1">IF(ISERROR(MATCH(H$1,INDIRECT("Table!A"&amp;$AL199):INDIRECT("Table!" &amp; $AO$275 &amp; $AL199),0)),"",INDIRECT(CONCATENATE("Table!",ADDRESS(#REF!,MATCH(H$1,INDIRECT("Table!A" &amp; $AL199):INDIRECT("Table!" &amp; $AO$275 &amp; $AL199),0))))/1024)</f>
        <v/>
      </c>
      <c r="K199" s="22" t="str">
        <f ca="1">IF(ISERROR(MATCH(L$1,INDIRECT("Table!A"&amp;$AL199):INDIRECT("Table!" &amp; $AO$275 &amp; $AL199),0)),"",INDIRECT(CONCATENATE("Table!",ADDRESS(#REF!,MATCH(L$1,INDIRECT("Table!A" &amp; $AL199):INDIRECT("Table!" &amp; $AO$275 &amp; $AL199),0))))/1024)</f>
        <v/>
      </c>
      <c r="L199" s="22" t="str">
        <f ca="1">IF(ISERROR(MATCH(M$1,INDIRECT("Table!A"&amp;$AL199):INDIRECT("Table!" &amp; $AO$275 &amp; $AL199),0)),"",INDIRECT(CONCATENATE("Table!",ADDRESS(#REF!,MATCH(M$1,INDIRECT("Table!A" &amp; $AL199):INDIRECT("Table!" &amp; $AO$275 &amp; $AL199),0))))/1024)</f>
        <v/>
      </c>
      <c r="M199" s="22" t="str">
        <f ca="1">IF(ISERROR(MATCH(N$1,INDIRECT("Table!A"&amp;$AL199):INDIRECT("Table!" &amp; $AO$275 &amp; $AL199),0)),"",INDIRECT(CONCATENATE("Table!",ADDRESS(#REF!,MATCH(N$1,INDIRECT("Table!A" &amp; $AL199):INDIRECT("Table!" &amp; $AO$275 &amp; $AL199),0))))/1024)</f>
        <v/>
      </c>
      <c r="N199" s="22" t="str">
        <f ca="1">IF(ISERROR(MATCH(O$1,INDIRECT("Table!A"&amp;$AL199):INDIRECT("Table!" &amp; $AO$275 &amp; $AL199),0)),"",INDIRECT(CONCATENATE("Table!",ADDRESS(#REF!,MATCH(O$1,INDIRECT("Table!A" &amp; $AL199):INDIRECT("Table!" &amp; $AO$275 &amp; $AL199),0))))/1024)</f>
        <v/>
      </c>
      <c r="O199" s="22"/>
      <c r="P199" s="272"/>
      <c r="Q199" s="22"/>
      <c r="R199" s="146"/>
      <c r="T199" s="595"/>
      <c r="U199" s="146"/>
      <c r="AJ199" s="146"/>
      <c r="AK199" s="146"/>
      <c r="AL199" s="22"/>
      <c r="AM199" s="146"/>
      <c r="AN199" s="146"/>
      <c r="AO199" s="146"/>
    </row>
    <row r="200" spans="2:41" x14ac:dyDescent="0.25">
      <c r="B200" s="22" t="str">
        <f ca="1">IF(ISERROR(MATCH(B$1,INDIRECT("Table!A"&amp;$AL200):INDIRECT("Table!" &amp; $AO$275 &amp; $AL200),0)),"",INDIRECT(CONCATENATE("Table!",ADDRESS(#REF!,MATCH(B$1,INDIRECT("Table!A" &amp; $AL200):INDIRECT("Table!" &amp; $AO$275 &amp; $AL200),0))))/1024)</f>
        <v/>
      </c>
      <c r="C200" s="22" t="str">
        <f ca="1">IF(ISERROR(MATCH(C$1,INDIRECT("Table!A"&amp;$AL200):INDIRECT("Table!" &amp; $AO$275 &amp; $AL200),0)),"",INDIRECT(CONCATENATE("Table!",ADDRESS(#REF!,MATCH(C$1,INDIRECT("Table!A" &amp; $AL200):INDIRECT("Table!" &amp; $AO$275 &amp; $AL200),0))))/1024)</f>
        <v/>
      </c>
      <c r="D200" s="22" t="str">
        <f ca="1">IF(ISERROR(MATCH(D$1,INDIRECT("Table!A"&amp;$AL200):INDIRECT("Table!" &amp; $AO$275 &amp; $AL200),0)),"",INDIRECT(CONCATENATE("Table!",ADDRESS(#REF!,MATCH(D$1,INDIRECT("Table!A" &amp; $AL200):INDIRECT("Table!" &amp; $AO$275 &amp; $AL200),0))))/1024)</f>
        <v/>
      </c>
      <c r="E200" s="22" t="str">
        <f ca="1">IF(ISERROR(MATCH(E$1,INDIRECT("Table!A"&amp;$AL200):INDIRECT("Table!" &amp; $AO$275 &amp; $AL200),0)),"",INDIRECT(CONCATENATE("Table!",ADDRESS(#REF!,MATCH(E$1,INDIRECT("Table!A" &amp; $AL200):INDIRECT("Table!" &amp; $AO$275 &amp; $AL200),0))))/1024)</f>
        <v/>
      </c>
      <c r="F200" s="22" t="str">
        <f ca="1">IF(ISERROR(MATCH(F$1,INDIRECT("Table!A"&amp;$AL200):INDIRECT("Table!" &amp; $AO$275 &amp; $AL200),0)),"",INDIRECT(CONCATENATE("Table!",ADDRESS(#REF!,MATCH(F$1,INDIRECT("Table!A" &amp; $AL200):INDIRECT("Table!" &amp; $AO$275 &amp; $AL200),0))))/1024)</f>
        <v/>
      </c>
      <c r="G200" s="22" t="str">
        <f ca="1">IF(ISERROR(MATCH(G$1,INDIRECT("Table!A"&amp;$AL200):INDIRECT("Table!" &amp; $AO$275 &amp; $AL200),0)),"",INDIRECT(CONCATENATE("Table!",ADDRESS(#REF!,MATCH(G$1,INDIRECT("Table!A" &amp; $AL200):INDIRECT("Table!" &amp; $AO$275 &amp; $AL200),0))))/1024)</f>
        <v/>
      </c>
      <c r="H200" s="22" t="str">
        <f ca="1">IF(ISERROR(MATCH(H$1,INDIRECT("Table!A"&amp;$AL200):INDIRECT("Table!" &amp; $AO$275 &amp; $AL200),0)),"",INDIRECT(CONCATENATE("Table!",ADDRESS(#REF!,MATCH(H$1,INDIRECT("Table!A" &amp; $AL200):INDIRECT("Table!" &amp; $AO$275 &amp; $AL200),0))))/1024)</f>
        <v/>
      </c>
      <c r="K200" s="22" t="str">
        <f ca="1">IF(ISERROR(MATCH(L$1,INDIRECT("Table!A"&amp;$AL200):INDIRECT("Table!" &amp; $AO$275 &amp; $AL200),0)),"",INDIRECT(CONCATENATE("Table!",ADDRESS(#REF!,MATCH(L$1,INDIRECT("Table!A" &amp; $AL200):INDIRECT("Table!" &amp; $AO$275 &amp; $AL200),0))))/1024)</f>
        <v/>
      </c>
      <c r="L200" s="22" t="str">
        <f ca="1">IF(ISERROR(MATCH(M$1,INDIRECT("Table!A"&amp;$AL200):INDIRECT("Table!" &amp; $AO$275 &amp; $AL200),0)),"",INDIRECT(CONCATENATE("Table!",ADDRESS(#REF!,MATCH(M$1,INDIRECT("Table!A" &amp; $AL200):INDIRECT("Table!" &amp; $AO$275 &amp; $AL200),0))))/1024)</f>
        <v/>
      </c>
      <c r="M200" s="22" t="str">
        <f ca="1">IF(ISERROR(MATCH(N$1,INDIRECT("Table!A"&amp;$AL200):INDIRECT("Table!" &amp; $AO$275 &amp; $AL200),0)),"",INDIRECT(CONCATENATE("Table!",ADDRESS(#REF!,MATCH(N$1,INDIRECT("Table!A" &amp; $AL200):INDIRECT("Table!" &amp; $AO$275 &amp; $AL200),0))))/1024)</f>
        <v/>
      </c>
      <c r="N200" s="22" t="str">
        <f ca="1">IF(ISERROR(MATCH(O$1,INDIRECT("Table!A"&amp;$AL200):INDIRECT("Table!" &amp; $AO$275 &amp; $AL200),0)),"",INDIRECT(CONCATENATE("Table!",ADDRESS(#REF!,MATCH(O$1,INDIRECT("Table!A" &amp; $AL200):INDIRECT("Table!" &amp; $AO$275 &amp; $AL200),0))))/1024)</f>
        <v/>
      </c>
      <c r="O200" s="22"/>
      <c r="P200" s="272"/>
      <c r="Q200" s="22"/>
      <c r="R200" s="145"/>
      <c r="T200" s="595"/>
      <c r="U200" s="145"/>
      <c r="AJ200" s="145"/>
      <c r="AK200" s="145"/>
      <c r="AL200" s="22"/>
      <c r="AM200" s="145"/>
      <c r="AN200" s="145"/>
      <c r="AO200" s="145"/>
    </row>
    <row r="201" spans="2:41" x14ac:dyDescent="0.25">
      <c r="B201" s="22" t="str">
        <f ca="1">IF(ISERROR(MATCH(B$1,INDIRECT("Table!A"&amp;$AL201):INDIRECT("Table!" &amp; $AO$275 &amp; $AL201),0)),"",INDIRECT(CONCATENATE("Table!",ADDRESS(#REF!,MATCH(B$1,INDIRECT("Table!A" &amp; $AL201):INDIRECT("Table!" &amp; $AO$275 &amp; $AL201),0))))/1024)</f>
        <v/>
      </c>
      <c r="C201" s="22" t="str">
        <f ca="1">IF(ISERROR(MATCH(C$1,INDIRECT("Table!A"&amp;$AL201):INDIRECT("Table!" &amp; $AO$275 &amp; $AL201),0)),"",INDIRECT(CONCATENATE("Table!",ADDRESS(#REF!,MATCH(C$1,INDIRECT("Table!A" &amp; $AL201):INDIRECT("Table!" &amp; $AO$275 &amp; $AL201),0))))/1024)</f>
        <v/>
      </c>
      <c r="D201" s="22" t="str">
        <f ca="1">IF(ISERROR(MATCH(D$1,INDIRECT("Table!A"&amp;$AL201):INDIRECT("Table!" &amp; $AO$275 &amp; $AL201),0)),"",INDIRECT(CONCATENATE("Table!",ADDRESS(#REF!,MATCH(D$1,INDIRECT("Table!A" &amp; $AL201):INDIRECT("Table!" &amp; $AO$275 &amp; $AL201),0))))/1024)</f>
        <v/>
      </c>
      <c r="E201" s="22" t="str">
        <f ca="1">IF(ISERROR(MATCH(E$1,INDIRECT("Table!A"&amp;$AL201):INDIRECT("Table!" &amp; $AO$275 &amp; $AL201),0)),"",INDIRECT(CONCATENATE("Table!",ADDRESS(#REF!,MATCH(E$1,INDIRECT("Table!A" &amp; $AL201):INDIRECT("Table!" &amp; $AO$275 &amp; $AL201),0))))/1024)</f>
        <v/>
      </c>
      <c r="F201" s="22" t="str">
        <f ca="1">IF(ISERROR(MATCH(F$1,INDIRECT("Table!A"&amp;$AL201):INDIRECT("Table!" &amp; $AO$275 &amp; $AL201),0)),"",INDIRECT(CONCATENATE("Table!",ADDRESS(#REF!,MATCH(F$1,INDIRECT("Table!A" &amp; $AL201):INDIRECT("Table!" &amp; $AO$275 &amp; $AL201),0))))/1024)</f>
        <v/>
      </c>
      <c r="G201" s="22" t="str">
        <f ca="1">IF(ISERROR(MATCH(G$1,INDIRECT("Table!A"&amp;$AL201):INDIRECT("Table!" &amp; $AO$275 &amp; $AL201),0)),"",INDIRECT(CONCATENATE("Table!",ADDRESS(#REF!,MATCH(G$1,INDIRECT("Table!A" &amp; $AL201):INDIRECT("Table!" &amp; $AO$275 &amp; $AL201),0))))/1024)</f>
        <v/>
      </c>
      <c r="H201" s="22" t="str">
        <f ca="1">IF(ISERROR(MATCH(H$1,INDIRECT("Table!A"&amp;$AL201):INDIRECT("Table!" &amp; $AO$275 &amp; $AL201),0)),"",INDIRECT(CONCATENATE("Table!",ADDRESS(#REF!,MATCH(H$1,INDIRECT("Table!A" &amp; $AL201):INDIRECT("Table!" &amp; $AO$275 &amp; $AL201),0))))/1024)</f>
        <v/>
      </c>
      <c r="K201" s="22" t="str">
        <f ca="1">IF(ISERROR(MATCH(L$1,INDIRECT("Table!A"&amp;$AL201):INDIRECT("Table!" &amp; $AO$275 &amp; $AL201),0)),"",INDIRECT(CONCATENATE("Table!",ADDRESS(#REF!,MATCH(L$1,INDIRECT("Table!A" &amp; $AL201):INDIRECT("Table!" &amp; $AO$275 &amp; $AL201),0))))/1024)</f>
        <v/>
      </c>
      <c r="L201" s="22" t="str">
        <f ca="1">IF(ISERROR(MATCH(M$1,INDIRECT("Table!A"&amp;$AL201):INDIRECT("Table!" &amp; $AO$275 &amp; $AL201),0)),"",INDIRECT(CONCATENATE("Table!",ADDRESS(#REF!,MATCH(M$1,INDIRECT("Table!A" &amp; $AL201):INDIRECT("Table!" &amp; $AO$275 &amp; $AL201),0))))/1024)</f>
        <v/>
      </c>
      <c r="M201" s="22" t="str">
        <f ca="1">IF(ISERROR(MATCH(N$1,INDIRECT("Table!A"&amp;$AL201):INDIRECT("Table!" &amp; $AO$275 &amp; $AL201),0)),"",INDIRECT(CONCATENATE("Table!",ADDRESS(#REF!,MATCH(N$1,INDIRECT("Table!A" &amp; $AL201):INDIRECT("Table!" &amp; $AO$275 &amp; $AL201),0))))/1024)</f>
        <v/>
      </c>
      <c r="N201" s="22" t="str">
        <f ca="1">IF(ISERROR(MATCH(O$1,INDIRECT("Table!A"&amp;$AL201):INDIRECT("Table!" &amp; $AO$275 &amp; $AL201),0)),"",INDIRECT(CONCATENATE("Table!",ADDRESS(#REF!,MATCH(O$1,INDIRECT("Table!A" &amp; $AL201):INDIRECT("Table!" &amp; $AO$275 &amp; $AL201),0))))/1024)</f>
        <v/>
      </c>
      <c r="O201" s="22"/>
      <c r="P201" s="272"/>
      <c r="Q201" s="22"/>
      <c r="R201" s="144"/>
      <c r="T201" s="595"/>
      <c r="U201" s="144"/>
      <c r="AJ201" s="144"/>
      <c r="AK201" s="144"/>
      <c r="AL201" s="22"/>
      <c r="AM201" s="144"/>
      <c r="AN201" s="144"/>
      <c r="AO201" s="144"/>
    </row>
    <row r="202" spans="2:41" x14ac:dyDescent="0.25">
      <c r="B202" s="22" t="str">
        <f ca="1">IF(ISERROR(MATCH(B$1,INDIRECT("Table!A"&amp;$AL202):INDIRECT("Table!" &amp; $AO$275 &amp; $AL202),0)),"",INDIRECT(CONCATENATE("Table!",ADDRESS(#REF!,MATCH(B$1,INDIRECT("Table!A" &amp; $AL202):INDIRECT("Table!" &amp; $AO$275 &amp; $AL202),0))))/1024)</f>
        <v/>
      </c>
      <c r="C202" s="22" t="str">
        <f ca="1">IF(ISERROR(MATCH(C$1,INDIRECT("Table!A"&amp;$AL202):INDIRECT("Table!" &amp; $AO$275 &amp; $AL202),0)),"",INDIRECT(CONCATENATE("Table!",ADDRESS(#REF!,MATCH(C$1,INDIRECT("Table!A" &amp; $AL202):INDIRECT("Table!" &amp; $AO$275 &amp; $AL202),0))))/1024)</f>
        <v/>
      </c>
      <c r="D202" s="22" t="str">
        <f ca="1">IF(ISERROR(MATCH(D$1,INDIRECT("Table!A"&amp;$AL202):INDIRECT("Table!" &amp; $AO$275 &amp; $AL202),0)),"",INDIRECT(CONCATENATE("Table!",ADDRESS(#REF!,MATCH(D$1,INDIRECT("Table!A" &amp; $AL202):INDIRECT("Table!" &amp; $AO$275 &amp; $AL202),0))))/1024)</f>
        <v/>
      </c>
      <c r="E202" s="22" t="str">
        <f ca="1">IF(ISERROR(MATCH(E$1,INDIRECT("Table!A"&amp;$AL202):INDIRECT("Table!" &amp; $AO$275 &amp; $AL202),0)),"",INDIRECT(CONCATENATE("Table!",ADDRESS(#REF!,MATCH(E$1,INDIRECT("Table!A" &amp; $AL202):INDIRECT("Table!" &amp; $AO$275 &amp; $AL202),0))))/1024)</f>
        <v/>
      </c>
      <c r="F202" s="22" t="str">
        <f ca="1">IF(ISERROR(MATCH(F$1,INDIRECT("Table!A"&amp;$AL202):INDIRECT("Table!" &amp; $AO$275 &amp; $AL202),0)),"",INDIRECT(CONCATENATE("Table!",ADDRESS(#REF!,MATCH(F$1,INDIRECT("Table!A" &amp; $AL202):INDIRECT("Table!" &amp; $AO$275 &amp; $AL202),0))))/1024)</f>
        <v/>
      </c>
      <c r="G202" s="22" t="str">
        <f ca="1">IF(ISERROR(MATCH(G$1,INDIRECT("Table!A"&amp;$AL202):INDIRECT("Table!" &amp; $AO$275 &amp; $AL202),0)),"",INDIRECT(CONCATENATE("Table!",ADDRESS(#REF!,MATCH(G$1,INDIRECT("Table!A" &amp; $AL202):INDIRECT("Table!" &amp; $AO$275 &amp; $AL202),0))))/1024)</f>
        <v/>
      </c>
      <c r="H202" s="22" t="str">
        <f ca="1">IF(ISERROR(MATCH(H$1,INDIRECT("Table!A"&amp;$AL202):INDIRECT("Table!" &amp; $AO$275 &amp; $AL202),0)),"",INDIRECT(CONCATENATE("Table!",ADDRESS(#REF!,MATCH(H$1,INDIRECT("Table!A" &amp; $AL202):INDIRECT("Table!" &amp; $AO$275 &amp; $AL202),0))))/1024)</f>
        <v/>
      </c>
      <c r="K202" s="22" t="str">
        <f ca="1">IF(ISERROR(MATCH(L$1,INDIRECT("Table!A"&amp;$AL202):INDIRECT("Table!" &amp; $AO$275 &amp; $AL202),0)),"",INDIRECT(CONCATENATE("Table!",ADDRESS(#REF!,MATCH(L$1,INDIRECT("Table!A" &amp; $AL202):INDIRECT("Table!" &amp; $AO$275 &amp; $AL202),0))))/1024)</f>
        <v/>
      </c>
      <c r="L202" s="22" t="str">
        <f ca="1">IF(ISERROR(MATCH(M$1,INDIRECT("Table!A"&amp;$AL202):INDIRECT("Table!" &amp; $AO$275 &amp; $AL202),0)),"",INDIRECT(CONCATENATE("Table!",ADDRESS(#REF!,MATCH(M$1,INDIRECT("Table!A" &amp; $AL202):INDIRECT("Table!" &amp; $AO$275 &amp; $AL202),0))))/1024)</f>
        <v/>
      </c>
      <c r="M202" s="22" t="str">
        <f ca="1">IF(ISERROR(MATCH(N$1,INDIRECT("Table!A"&amp;$AL202):INDIRECT("Table!" &amp; $AO$275 &amp; $AL202),0)),"",INDIRECT(CONCATENATE("Table!",ADDRESS(#REF!,MATCH(N$1,INDIRECT("Table!A" &amp; $AL202):INDIRECT("Table!" &amp; $AO$275 &amp; $AL202),0))))/1024)</f>
        <v/>
      </c>
      <c r="N202" s="22" t="str">
        <f ca="1">IF(ISERROR(MATCH(O$1,INDIRECT("Table!A"&amp;$AL202):INDIRECT("Table!" &amp; $AO$275 &amp; $AL202),0)),"",INDIRECT(CONCATENATE("Table!",ADDRESS(#REF!,MATCH(O$1,INDIRECT("Table!A" &amp; $AL202):INDIRECT("Table!" &amp; $AO$275 &amp; $AL202),0))))/1024)</f>
        <v/>
      </c>
      <c r="O202" s="22"/>
      <c r="P202" s="272"/>
      <c r="Q202" s="22"/>
      <c r="R202" s="143"/>
      <c r="T202" s="595"/>
      <c r="U202" s="143"/>
      <c r="AJ202" s="143"/>
      <c r="AK202" s="143"/>
      <c r="AL202" s="22"/>
      <c r="AM202" s="143"/>
      <c r="AN202" s="143"/>
      <c r="AO202" s="143"/>
    </row>
    <row r="203" spans="2:41" x14ac:dyDescent="0.25">
      <c r="B203" s="22" t="str">
        <f ca="1">IF(ISERROR(MATCH(B$1,INDIRECT("Table!A"&amp;$AL203):INDIRECT("Table!" &amp; $AO$275 &amp; $AL203),0)),"",INDIRECT(CONCATENATE("Table!",ADDRESS(#REF!,MATCH(B$1,INDIRECT("Table!A" &amp; $AL203):INDIRECT("Table!" &amp; $AO$275 &amp; $AL203),0))))/1024)</f>
        <v/>
      </c>
      <c r="C203" s="22" t="str">
        <f ca="1">IF(ISERROR(MATCH(C$1,INDIRECT("Table!A"&amp;$AL203):INDIRECT("Table!" &amp; $AO$275 &amp; $AL203),0)),"",INDIRECT(CONCATENATE("Table!",ADDRESS(#REF!,MATCH(C$1,INDIRECT("Table!A" &amp; $AL203):INDIRECT("Table!" &amp; $AO$275 &amp; $AL203),0))))/1024)</f>
        <v/>
      </c>
      <c r="D203" s="22" t="str">
        <f ca="1">IF(ISERROR(MATCH(D$1,INDIRECT("Table!A"&amp;$AL203):INDIRECT("Table!" &amp; $AO$275 &amp; $AL203),0)),"",INDIRECT(CONCATENATE("Table!",ADDRESS(#REF!,MATCH(D$1,INDIRECT("Table!A" &amp; $AL203):INDIRECT("Table!" &amp; $AO$275 &amp; $AL203),0))))/1024)</f>
        <v/>
      </c>
      <c r="E203" s="22" t="str">
        <f ca="1">IF(ISERROR(MATCH(E$1,INDIRECT("Table!A"&amp;$AL203):INDIRECT("Table!" &amp; $AO$275 &amp; $AL203),0)),"",INDIRECT(CONCATENATE("Table!",ADDRESS(#REF!,MATCH(E$1,INDIRECT("Table!A" &amp; $AL203):INDIRECT("Table!" &amp; $AO$275 &amp; $AL203),0))))/1024)</f>
        <v/>
      </c>
      <c r="F203" s="22" t="str">
        <f ca="1">IF(ISERROR(MATCH(F$1,INDIRECT("Table!A"&amp;$AL203):INDIRECT("Table!" &amp; $AO$275 &amp; $AL203),0)),"",INDIRECT(CONCATENATE("Table!",ADDRESS(#REF!,MATCH(F$1,INDIRECT("Table!A" &amp; $AL203):INDIRECT("Table!" &amp; $AO$275 &amp; $AL203),0))))/1024)</f>
        <v/>
      </c>
      <c r="G203" s="22" t="str">
        <f ca="1">IF(ISERROR(MATCH(G$1,INDIRECT("Table!A"&amp;$AL203):INDIRECT("Table!" &amp; $AO$275 &amp; $AL203),0)),"",INDIRECT(CONCATENATE("Table!",ADDRESS(#REF!,MATCH(G$1,INDIRECT("Table!A" &amp; $AL203):INDIRECT("Table!" &amp; $AO$275 &amp; $AL203),0))))/1024)</f>
        <v/>
      </c>
      <c r="H203" s="22" t="str">
        <f ca="1">IF(ISERROR(MATCH(H$1,INDIRECT("Table!A"&amp;$AL203):INDIRECT("Table!" &amp; $AO$275 &amp; $AL203),0)),"",INDIRECT(CONCATENATE("Table!",ADDRESS(#REF!,MATCH(H$1,INDIRECT("Table!A" &amp; $AL203):INDIRECT("Table!" &amp; $AO$275 &amp; $AL203),0))))/1024)</f>
        <v/>
      </c>
      <c r="K203" s="22" t="str">
        <f ca="1">IF(ISERROR(MATCH(L$1,INDIRECT("Table!A"&amp;$AL203):INDIRECT("Table!" &amp; $AO$275 &amp; $AL203),0)),"",INDIRECT(CONCATENATE("Table!",ADDRESS(#REF!,MATCH(L$1,INDIRECT("Table!A" &amp; $AL203):INDIRECT("Table!" &amp; $AO$275 &amp; $AL203),0))))/1024)</f>
        <v/>
      </c>
      <c r="L203" s="22" t="str">
        <f ca="1">IF(ISERROR(MATCH(M$1,INDIRECT("Table!A"&amp;$AL203):INDIRECT("Table!" &amp; $AO$275 &amp; $AL203),0)),"",INDIRECT(CONCATENATE("Table!",ADDRESS(#REF!,MATCH(M$1,INDIRECT("Table!A" &amp; $AL203):INDIRECT("Table!" &amp; $AO$275 &amp; $AL203),0))))/1024)</f>
        <v/>
      </c>
      <c r="M203" s="22" t="str">
        <f ca="1">IF(ISERROR(MATCH(N$1,INDIRECT("Table!A"&amp;$AL203):INDIRECT("Table!" &amp; $AO$275 &amp; $AL203),0)),"",INDIRECT(CONCATENATE("Table!",ADDRESS(#REF!,MATCH(N$1,INDIRECT("Table!A" &amp; $AL203):INDIRECT("Table!" &amp; $AO$275 &amp; $AL203),0))))/1024)</f>
        <v/>
      </c>
      <c r="N203" s="22" t="str">
        <f ca="1">IF(ISERROR(MATCH(O$1,INDIRECT("Table!A"&amp;$AL203):INDIRECT("Table!" &amp; $AO$275 &amp; $AL203),0)),"",INDIRECT(CONCATENATE("Table!",ADDRESS(#REF!,MATCH(O$1,INDIRECT("Table!A" &amp; $AL203):INDIRECT("Table!" &amp; $AO$275 &amp; $AL203),0))))/1024)</f>
        <v/>
      </c>
      <c r="O203" s="22"/>
      <c r="P203" s="272"/>
      <c r="Q203" s="22"/>
      <c r="R203" s="142"/>
      <c r="T203" s="595"/>
      <c r="U203" s="142"/>
      <c r="AJ203" s="142"/>
      <c r="AK203" s="142"/>
      <c r="AL203" s="22"/>
      <c r="AM203" s="142"/>
      <c r="AN203" s="142"/>
      <c r="AO203" s="142"/>
    </row>
    <row r="204" spans="2:41" x14ac:dyDescent="0.25">
      <c r="B204" s="22" t="str">
        <f ca="1">IF(ISERROR(MATCH(B$1,INDIRECT("Table!A"&amp;$AL204):INDIRECT("Table!" &amp; $AO$275 &amp; $AL204),0)),"",INDIRECT(CONCATENATE("Table!",ADDRESS(#REF!,MATCH(B$1,INDIRECT("Table!A" &amp; $AL204):INDIRECT("Table!" &amp; $AO$275 &amp; $AL204),0))))/1024)</f>
        <v/>
      </c>
      <c r="C204" s="22" t="str">
        <f ca="1">IF(ISERROR(MATCH(C$1,INDIRECT("Table!A"&amp;$AL204):INDIRECT("Table!" &amp; $AO$275 &amp; $AL204),0)),"",INDIRECT(CONCATENATE("Table!",ADDRESS(#REF!,MATCH(C$1,INDIRECT("Table!A" &amp; $AL204):INDIRECT("Table!" &amp; $AO$275 &amp; $AL204),0))))/1024)</f>
        <v/>
      </c>
      <c r="D204" s="22" t="str">
        <f ca="1">IF(ISERROR(MATCH(D$1,INDIRECT("Table!A"&amp;$AL204):INDIRECT("Table!" &amp; $AO$275 &amp; $AL204),0)),"",INDIRECT(CONCATENATE("Table!",ADDRESS(#REF!,MATCH(D$1,INDIRECT("Table!A" &amp; $AL204):INDIRECT("Table!" &amp; $AO$275 &amp; $AL204),0))))/1024)</f>
        <v/>
      </c>
      <c r="E204" s="22" t="str">
        <f ca="1">IF(ISERROR(MATCH(E$1,INDIRECT("Table!A"&amp;$AL204):INDIRECT("Table!" &amp; $AO$275 &amp; $AL204),0)),"",INDIRECT(CONCATENATE("Table!",ADDRESS(#REF!,MATCH(E$1,INDIRECT("Table!A" &amp; $AL204):INDIRECT("Table!" &amp; $AO$275 &amp; $AL204),0))))/1024)</f>
        <v/>
      </c>
      <c r="F204" s="22" t="str">
        <f ca="1">IF(ISERROR(MATCH(F$1,INDIRECT("Table!A"&amp;$AL204):INDIRECT("Table!" &amp; $AO$275 &amp; $AL204),0)),"",INDIRECT(CONCATENATE("Table!",ADDRESS(#REF!,MATCH(F$1,INDIRECT("Table!A" &amp; $AL204):INDIRECT("Table!" &amp; $AO$275 &amp; $AL204),0))))/1024)</f>
        <v/>
      </c>
      <c r="G204" s="22" t="str">
        <f ca="1">IF(ISERROR(MATCH(G$1,INDIRECT("Table!A"&amp;$AL204):INDIRECT("Table!" &amp; $AO$275 &amp; $AL204),0)),"",INDIRECT(CONCATENATE("Table!",ADDRESS(#REF!,MATCH(G$1,INDIRECT("Table!A" &amp; $AL204):INDIRECT("Table!" &amp; $AO$275 &amp; $AL204),0))))/1024)</f>
        <v/>
      </c>
      <c r="H204" s="22" t="str">
        <f ca="1">IF(ISERROR(MATCH(H$1,INDIRECT("Table!A"&amp;$AL204):INDIRECT("Table!" &amp; $AO$275 &amp; $AL204),0)),"",INDIRECT(CONCATENATE("Table!",ADDRESS(#REF!,MATCH(H$1,INDIRECT("Table!A" &amp; $AL204):INDIRECT("Table!" &amp; $AO$275 &amp; $AL204),0))))/1024)</f>
        <v/>
      </c>
      <c r="K204" s="22" t="str">
        <f ca="1">IF(ISERROR(MATCH(L$1,INDIRECT("Table!A"&amp;$AL204):INDIRECT("Table!" &amp; $AO$275 &amp; $AL204),0)),"",INDIRECT(CONCATENATE("Table!",ADDRESS(#REF!,MATCH(L$1,INDIRECT("Table!A" &amp; $AL204):INDIRECT("Table!" &amp; $AO$275 &amp; $AL204),0))))/1024)</f>
        <v/>
      </c>
      <c r="L204" s="22" t="str">
        <f ca="1">IF(ISERROR(MATCH(M$1,INDIRECT("Table!A"&amp;$AL204):INDIRECT("Table!" &amp; $AO$275 &amp; $AL204),0)),"",INDIRECT(CONCATENATE("Table!",ADDRESS(#REF!,MATCH(M$1,INDIRECT("Table!A" &amp; $AL204):INDIRECT("Table!" &amp; $AO$275 &amp; $AL204),0))))/1024)</f>
        <v/>
      </c>
      <c r="M204" s="22" t="str">
        <f ca="1">IF(ISERROR(MATCH(N$1,INDIRECT("Table!A"&amp;$AL204):INDIRECT("Table!" &amp; $AO$275 &amp; $AL204),0)),"",INDIRECT(CONCATENATE("Table!",ADDRESS(#REF!,MATCH(N$1,INDIRECT("Table!A" &amp; $AL204):INDIRECT("Table!" &amp; $AO$275 &amp; $AL204),0))))/1024)</f>
        <v/>
      </c>
      <c r="N204" s="22" t="str">
        <f ca="1">IF(ISERROR(MATCH(O$1,INDIRECT("Table!A"&amp;$AL204):INDIRECT("Table!" &amp; $AO$275 &amp; $AL204),0)),"",INDIRECT(CONCATENATE("Table!",ADDRESS(#REF!,MATCH(O$1,INDIRECT("Table!A" &amp; $AL204):INDIRECT("Table!" &amp; $AO$275 &amp; $AL204),0))))/1024)</f>
        <v/>
      </c>
      <c r="O204" s="22"/>
      <c r="P204" s="272"/>
      <c r="Q204" s="22"/>
      <c r="R204" s="141"/>
      <c r="T204" s="595"/>
      <c r="U204" s="141"/>
      <c r="AJ204" s="141"/>
      <c r="AK204" s="141"/>
      <c r="AL204" s="22"/>
      <c r="AM204" s="141"/>
      <c r="AN204" s="141"/>
      <c r="AO204" s="141"/>
    </row>
    <row r="205" spans="2:41" x14ac:dyDescent="0.25">
      <c r="B205" s="22" t="str">
        <f ca="1">IF(ISERROR(MATCH(B$1,INDIRECT("Table!A"&amp;$AL205):INDIRECT("Table!" &amp; $AO$275 &amp; $AL205),0)),"",INDIRECT(CONCATENATE("Table!",ADDRESS(#REF!,MATCH(B$1,INDIRECT("Table!A" &amp; $AL205):INDIRECT("Table!" &amp; $AO$275 &amp; $AL205),0))))/1024)</f>
        <v/>
      </c>
      <c r="C205" s="22" t="str">
        <f ca="1">IF(ISERROR(MATCH(C$1,INDIRECT("Table!A"&amp;$AL205):INDIRECT("Table!" &amp; $AO$275 &amp; $AL205),0)),"",INDIRECT(CONCATENATE("Table!",ADDRESS(#REF!,MATCH(C$1,INDIRECT("Table!A" &amp; $AL205):INDIRECT("Table!" &amp; $AO$275 &amp; $AL205),0))))/1024)</f>
        <v/>
      </c>
      <c r="D205" s="22" t="str">
        <f ca="1">IF(ISERROR(MATCH(D$1,INDIRECT("Table!A"&amp;$AL205):INDIRECT("Table!" &amp; $AO$275 &amp; $AL205),0)),"",INDIRECT(CONCATENATE("Table!",ADDRESS(#REF!,MATCH(D$1,INDIRECT("Table!A" &amp; $AL205):INDIRECT("Table!" &amp; $AO$275 &amp; $AL205),0))))/1024)</f>
        <v/>
      </c>
      <c r="E205" s="22" t="str">
        <f ca="1">IF(ISERROR(MATCH(E$1,INDIRECT("Table!A"&amp;$AL205):INDIRECT("Table!" &amp; $AO$275 &amp; $AL205),0)),"",INDIRECT(CONCATENATE("Table!",ADDRESS(#REF!,MATCH(E$1,INDIRECT("Table!A" &amp; $AL205):INDIRECT("Table!" &amp; $AO$275 &amp; $AL205),0))))/1024)</f>
        <v/>
      </c>
      <c r="F205" s="22" t="str">
        <f ca="1">IF(ISERROR(MATCH(F$1,INDIRECT("Table!A"&amp;$AL205):INDIRECT("Table!" &amp; $AO$275 &amp; $AL205),0)),"",INDIRECT(CONCATENATE("Table!",ADDRESS(#REF!,MATCH(F$1,INDIRECT("Table!A" &amp; $AL205):INDIRECT("Table!" &amp; $AO$275 &amp; $AL205),0))))/1024)</f>
        <v/>
      </c>
      <c r="G205" s="22" t="str">
        <f ca="1">IF(ISERROR(MATCH(G$1,INDIRECT("Table!A"&amp;$AL205):INDIRECT("Table!" &amp; $AO$275 &amp; $AL205),0)),"",INDIRECT(CONCATENATE("Table!",ADDRESS(#REF!,MATCH(G$1,INDIRECT("Table!A" &amp; $AL205):INDIRECT("Table!" &amp; $AO$275 &amp; $AL205),0))))/1024)</f>
        <v/>
      </c>
      <c r="H205" s="22" t="str">
        <f ca="1">IF(ISERROR(MATCH(H$1,INDIRECT("Table!A"&amp;$AL205):INDIRECT("Table!" &amp; $AO$275 &amp; $AL205),0)),"",INDIRECT(CONCATENATE("Table!",ADDRESS(#REF!,MATCH(H$1,INDIRECT("Table!A" &amp; $AL205):INDIRECT("Table!" &amp; $AO$275 &amp; $AL205),0))))/1024)</f>
        <v/>
      </c>
      <c r="K205" s="22" t="str">
        <f ca="1">IF(ISERROR(MATCH(L$1,INDIRECT("Table!A"&amp;$AL205):INDIRECT("Table!" &amp; $AO$275 &amp; $AL205),0)),"",INDIRECT(CONCATENATE("Table!",ADDRESS(#REF!,MATCH(L$1,INDIRECT("Table!A" &amp; $AL205):INDIRECT("Table!" &amp; $AO$275 &amp; $AL205),0))))/1024)</f>
        <v/>
      </c>
      <c r="L205" s="22" t="str">
        <f ca="1">IF(ISERROR(MATCH(M$1,INDIRECT("Table!A"&amp;$AL205):INDIRECT("Table!" &amp; $AO$275 &amp; $AL205),0)),"",INDIRECT(CONCATENATE("Table!",ADDRESS(#REF!,MATCH(M$1,INDIRECT("Table!A" &amp; $AL205):INDIRECT("Table!" &amp; $AO$275 &amp; $AL205),0))))/1024)</f>
        <v/>
      </c>
      <c r="M205" s="22" t="str">
        <f ca="1">IF(ISERROR(MATCH(N$1,INDIRECT("Table!A"&amp;$AL205):INDIRECT("Table!" &amp; $AO$275 &amp; $AL205),0)),"",INDIRECT(CONCATENATE("Table!",ADDRESS(#REF!,MATCH(N$1,INDIRECT("Table!A" &amp; $AL205):INDIRECT("Table!" &amp; $AO$275 &amp; $AL205),0))))/1024)</f>
        <v/>
      </c>
      <c r="N205" s="22" t="str">
        <f ca="1">IF(ISERROR(MATCH(O$1,INDIRECT("Table!A"&amp;$AL205):INDIRECT("Table!" &amp; $AO$275 &amp; $AL205),0)),"",INDIRECT(CONCATENATE("Table!",ADDRESS(#REF!,MATCH(O$1,INDIRECT("Table!A" &amp; $AL205):INDIRECT("Table!" &amp; $AO$275 &amp; $AL205),0))))/1024)</f>
        <v/>
      </c>
      <c r="O205" s="22"/>
      <c r="P205" s="272"/>
      <c r="Q205" s="22"/>
      <c r="R205" s="140"/>
      <c r="T205" s="595"/>
      <c r="U205" s="140"/>
      <c r="AJ205" s="140"/>
      <c r="AK205" s="140"/>
      <c r="AL205" s="22"/>
      <c r="AM205" s="140"/>
      <c r="AN205" s="140"/>
      <c r="AO205" s="140"/>
    </row>
    <row r="206" spans="2:41" x14ac:dyDescent="0.25">
      <c r="B206" s="22" t="str">
        <f ca="1">IF(ISERROR(MATCH(B$1,INDIRECT("Table!A"&amp;$AL206):INDIRECT("Table!" &amp; $AO$275 &amp; $AL206),0)),"",INDIRECT(CONCATENATE("Table!",ADDRESS(#REF!,MATCH(B$1,INDIRECT("Table!A" &amp; $AL206):INDIRECT("Table!" &amp; $AO$275 &amp; $AL206),0))))/1024)</f>
        <v/>
      </c>
      <c r="C206" s="22" t="str">
        <f ca="1">IF(ISERROR(MATCH(C$1,INDIRECT("Table!A"&amp;$AL206):INDIRECT("Table!" &amp; $AO$275 &amp; $AL206),0)),"",INDIRECT(CONCATENATE("Table!",ADDRESS(#REF!,MATCH(C$1,INDIRECT("Table!A" &amp; $AL206):INDIRECT("Table!" &amp; $AO$275 &amp; $AL206),0))))/1024)</f>
        <v/>
      </c>
      <c r="D206" s="22" t="str">
        <f ca="1">IF(ISERROR(MATCH(D$1,INDIRECT("Table!A"&amp;$AL206):INDIRECT("Table!" &amp; $AO$275 &amp; $AL206),0)),"",INDIRECT(CONCATENATE("Table!",ADDRESS(#REF!,MATCH(D$1,INDIRECT("Table!A" &amp; $AL206):INDIRECT("Table!" &amp; $AO$275 &amp; $AL206),0))))/1024)</f>
        <v/>
      </c>
      <c r="E206" s="22" t="str">
        <f ca="1">IF(ISERROR(MATCH(E$1,INDIRECT("Table!A"&amp;$AL206):INDIRECT("Table!" &amp; $AO$275 &amp; $AL206),0)),"",INDIRECT(CONCATENATE("Table!",ADDRESS(#REF!,MATCH(E$1,INDIRECT("Table!A" &amp; $AL206):INDIRECT("Table!" &amp; $AO$275 &amp; $AL206),0))))/1024)</f>
        <v/>
      </c>
      <c r="F206" s="22" t="str">
        <f ca="1">IF(ISERROR(MATCH(F$1,INDIRECT("Table!A"&amp;$AL206):INDIRECT("Table!" &amp; $AO$275 &amp; $AL206),0)),"",INDIRECT(CONCATENATE("Table!",ADDRESS(#REF!,MATCH(F$1,INDIRECT("Table!A" &amp; $AL206):INDIRECT("Table!" &amp; $AO$275 &amp; $AL206),0))))/1024)</f>
        <v/>
      </c>
      <c r="G206" s="22" t="str">
        <f ca="1">IF(ISERROR(MATCH(G$1,INDIRECT("Table!A"&amp;$AL206):INDIRECT("Table!" &amp; $AO$275 &amp; $AL206),0)),"",INDIRECT(CONCATENATE("Table!",ADDRESS(#REF!,MATCH(G$1,INDIRECT("Table!A" &amp; $AL206):INDIRECT("Table!" &amp; $AO$275 &amp; $AL206),0))))/1024)</f>
        <v/>
      </c>
      <c r="H206" s="22" t="str">
        <f ca="1">IF(ISERROR(MATCH(H$1,INDIRECT("Table!A"&amp;$AL206):INDIRECT("Table!" &amp; $AO$275 &amp; $AL206),0)),"",INDIRECT(CONCATENATE("Table!",ADDRESS(#REF!,MATCH(H$1,INDIRECT("Table!A" &amp; $AL206):INDIRECT("Table!" &amp; $AO$275 &amp; $AL206),0))))/1024)</f>
        <v/>
      </c>
      <c r="K206" s="22" t="str">
        <f ca="1">IF(ISERROR(MATCH(L$1,INDIRECT("Table!A"&amp;$AL206):INDIRECT("Table!" &amp; $AO$275 &amp; $AL206),0)),"",INDIRECT(CONCATENATE("Table!",ADDRESS(#REF!,MATCH(L$1,INDIRECT("Table!A" &amp; $AL206):INDIRECT("Table!" &amp; $AO$275 &amp; $AL206),0))))/1024)</f>
        <v/>
      </c>
      <c r="L206" s="22" t="str">
        <f ca="1">IF(ISERROR(MATCH(M$1,INDIRECT("Table!A"&amp;$AL206):INDIRECT("Table!" &amp; $AO$275 &amp; $AL206),0)),"",INDIRECT(CONCATENATE("Table!",ADDRESS(#REF!,MATCH(M$1,INDIRECT("Table!A" &amp; $AL206):INDIRECT("Table!" &amp; $AO$275 &amp; $AL206),0))))/1024)</f>
        <v/>
      </c>
      <c r="M206" s="22" t="str">
        <f ca="1">IF(ISERROR(MATCH(N$1,INDIRECT("Table!A"&amp;$AL206):INDIRECT("Table!" &amp; $AO$275 &amp; $AL206),0)),"",INDIRECT(CONCATENATE("Table!",ADDRESS(#REF!,MATCH(N$1,INDIRECT("Table!A" &amp; $AL206):INDIRECT("Table!" &amp; $AO$275 &amp; $AL206),0))))/1024)</f>
        <v/>
      </c>
      <c r="N206" s="22" t="str">
        <f ca="1">IF(ISERROR(MATCH(O$1,INDIRECT("Table!A"&amp;$AL206):INDIRECT("Table!" &amp; $AO$275 &amp; $AL206),0)),"",INDIRECT(CONCATENATE("Table!",ADDRESS(#REF!,MATCH(O$1,INDIRECT("Table!A" &amp; $AL206):INDIRECT("Table!" &amp; $AO$275 &amp; $AL206),0))))/1024)</f>
        <v/>
      </c>
      <c r="O206" s="22"/>
      <c r="P206" s="272"/>
      <c r="Q206" s="22"/>
      <c r="R206" s="139"/>
      <c r="T206" s="595"/>
      <c r="U206" s="139"/>
      <c r="AJ206" s="139"/>
      <c r="AK206" s="139"/>
      <c r="AL206" s="22"/>
      <c r="AM206" s="139"/>
      <c r="AN206" s="139"/>
      <c r="AO206" s="139"/>
    </row>
    <row r="207" spans="2:41" x14ac:dyDescent="0.25">
      <c r="B207" s="22" t="str">
        <f ca="1">IF(ISERROR(MATCH(B$1,INDIRECT("Table!A"&amp;$AL207):INDIRECT("Table!" &amp; $AO$275 &amp; $AL207),0)),"",INDIRECT(CONCATENATE("Table!",ADDRESS(#REF!,MATCH(B$1,INDIRECT("Table!A" &amp; $AL207):INDIRECT("Table!" &amp; $AO$275 &amp; $AL207),0))))/1024)</f>
        <v/>
      </c>
      <c r="C207" s="22" t="str">
        <f ca="1">IF(ISERROR(MATCH(C$1,INDIRECT("Table!A"&amp;$AL207):INDIRECT("Table!" &amp; $AO$275 &amp; $AL207),0)),"",INDIRECT(CONCATENATE("Table!",ADDRESS(#REF!,MATCH(C$1,INDIRECT("Table!A" &amp; $AL207):INDIRECT("Table!" &amp; $AO$275 &amp; $AL207),0))))/1024)</f>
        <v/>
      </c>
      <c r="D207" s="22" t="str">
        <f ca="1">IF(ISERROR(MATCH(D$1,INDIRECT("Table!A"&amp;$AL207):INDIRECT("Table!" &amp; $AO$275 &amp; $AL207),0)),"",INDIRECT(CONCATENATE("Table!",ADDRESS(#REF!,MATCH(D$1,INDIRECT("Table!A" &amp; $AL207):INDIRECT("Table!" &amp; $AO$275 &amp; $AL207),0))))/1024)</f>
        <v/>
      </c>
      <c r="E207" s="22" t="str">
        <f ca="1">IF(ISERROR(MATCH(E$1,INDIRECT("Table!A"&amp;$AL207):INDIRECT("Table!" &amp; $AO$275 &amp; $AL207),0)),"",INDIRECT(CONCATENATE("Table!",ADDRESS(#REF!,MATCH(E$1,INDIRECT("Table!A" &amp; $AL207):INDIRECT("Table!" &amp; $AO$275 &amp; $AL207),0))))/1024)</f>
        <v/>
      </c>
      <c r="F207" s="22" t="str">
        <f ca="1">IF(ISERROR(MATCH(F$1,INDIRECT("Table!A"&amp;$AL207):INDIRECT("Table!" &amp; $AO$275 &amp; $AL207),0)),"",INDIRECT(CONCATENATE("Table!",ADDRESS(#REF!,MATCH(F$1,INDIRECT("Table!A" &amp; $AL207):INDIRECT("Table!" &amp; $AO$275 &amp; $AL207),0))))/1024)</f>
        <v/>
      </c>
      <c r="G207" s="22" t="str">
        <f ca="1">IF(ISERROR(MATCH(G$1,INDIRECT("Table!A"&amp;$AL207):INDIRECT("Table!" &amp; $AO$275 &amp; $AL207),0)),"",INDIRECT(CONCATENATE("Table!",ADDRESS(#REF!,MATCH(G$1,INDIRECT("Table!A" &amp; $AL207):INDIRECT("Table!" &amp; $AO$275 &amp; $AL207),0))))/1024)</f>
        <v/>
      </c>
      <c r="H207" s="22" t="str">
        <f ca="1">IF(ISERROR(MATCH(H$1,INDIRECT("Table!A"&amp;$AL207):INDIRECT("Table!" &amp; $AO$275 &amp; $AL207),0)),"",INDIRECT(CONCATENATE("Table!",ADDRESS(#REF!,MATCH(H$1,INDIRECT("Table!A" &amp; $AL207):INDIRECT("Table!" &amp; $AO$275 &amp; $AL207),0))))/1024)</f>
        <v/>
      </c>
      <c r="K207" s="22" t="str">
        <f ca="1">IF(ISERROR(MATCH(L$1,INDIRECT("Table!A"&amp;$AL207):INDIRECT("Table!" &amp; $AO$275 &amp; $AL207),0)),"",INDIRECT(CONCATENATE("Table!",ADDRESS(#REF!,MATCH(L$1,INDIRECT("Table!A" &amp; $AL207):INDIRECT("Table!" &amp; $AO$275 &amp; $AL207),0))))/1024)</f>
        <v/>
      </c>
      <c r="L207" s="22" t="str">
        <f ca="1">IF(ISERROR(MATCH(M$1,INDIRECT("Table!A"&amp;$AL207):INDIRECT("Table!" &amp; $AO$275 &amp; $AL207),0)),"",INDIRECT(CONCATENATE("Table!",ADDRESS(#REF!,MATCH(M$1,INDIRECT("Table!A" &amp; $AL207):INDIRECT("Table!" &amp; $AO$275 &amp; $AL207),0))))/1024)</f>
        <v/>
      </c>
      <c r="M207" s="22" t="str">
        <f ca="1">IF(ISERROR(MATCH(N$1,INDIRECT("Table!A"&amp;$AL207):INDIRECT("Table!" &amp; $AO$275 &amp; $AL207),0)),"",INDIRECT(CONCATENATE("Table!",ADDRESS(#REF!,MATCH(N$1,INDIRECT("Table!A" &amp; $AL207):INDIRECT("Table!" &amp; $AO$275 &amp; $AL207),0))))/1024)</f>
        <v/>
      </c>
      <c r="N207" s="22" t="str">
        <f ca="1">IF(ISERROR(MATCH(O$1,INDIRECT("Table!A"&amp;$AL207):INDIRECT("Table!" &amp; $AO$275 &amp; $AL207),0)),"",INDIRECT(CONCATENATE("Table!",ADDRESS(#REF!,MATCH(O$1,INDIRECT("Table!A" &amp; $AL207):INDIRECT("Table!" &amp; $AO$275 &amp; $AL207),0))))/1024)</f>
        <v/>
      </c>
      <c r="O207" s="22"/>
      <c r="P207" s="272"/>
      <c r="Q207" s="22"/>
      <c r="R207" s="138"/>
      <c r="T207" s="595"/>
      <c r="U207" s="138"/>
      <c r="AJ207" s="138"/>
      <c r="AK207" s="138"/>
      <c r="AL207" s="22"/>
      <c r="AM207" s="138"/>
      <c r="AN207" s="138"/>
      <c r="AO207" s="138"/>
    </row>
    <row r="208" spans="2:41" x14ac:dyDescent="0.25">
      <c r="B208" s="22" t="str">
        <f ca="1">IF(ISERROR(MATCH(B$1,INDIRECT("Table!A"&amp;$AL208):INDIRECT("Table!" &amp; $AO$275 &amp; $AL208),0)),"",INDIRECT(CONCATENATE("Table!",ADDRESS(#REF!,MATCH(B$1,INDIRECT("Table!A" &amp; $AL208):INDIRECT("Table!" &amp; $AO$275 &amp; $AL208),0))))/1024)</f>
        <v/>
      </c>
      <c r="C208" s="22" t="str">
        <f ca="1">IF(ISERROR(MATCH(C$1,INDIRECT("Table!A"&amp;$AL208):INDIRECT("Table!" &amp; $AO$275 &amp; $AL208),0)),"",INDIRECT(CONCATENATE("Table!",ADDRESS(#REF!,MATCH(C$1,INDIRECT("Table!A" &amp; $AL208):INDIRECT("Table!" &amp; $AO$275 &amp; $AL208),0))))/1024)</f>
        <v/>
      </c>
      <c r="D208" s="22" t="str">
        <f ca="1">IF(ISERROR(MATCH(D$1,INDIRECT("Table!A"&amp;$AL208):INDIRECT("Table!" &amp; $AO$275 &amp; $AL208),0)),"",INDIRECT(CONCATENATE("Table!",ADDRESS(#REF!,MATCH(D$1,INDIRECT("Table!A" &amp; $AL208):INDIRECT("Table!" &amp; $AO$275 &amp; $AL208),0))))/1024)</f>
        <v/>
      </c>
      <c r="E208" s="22" t="str">
        <f ca="1">IF(ISERROR(MATCH(E$1,INDIRECT("Table!A"&amp;$AL208):INDIRECT("Table!" &amp; $AO$275 &amp; $AL208),0)),"",INDIRECT(CONCATENATE("Table!",ADDRESS(#REF!,MATCH(E$1,INDIRECT("Table!A" &amp; $AL208):INDIRECT("Table!" &amp; $AO$275 &amp; $AL208),0))))/1024)</f>
        <v/>
      </c>
      <c r="F208" s="22" t="str">
        <f ca="1">IF(ISERROR(MATCH(F$1,INDIRECT("Table!A"&amp;$AL208):INDIRECT("Table!" &amp; $AO$275 &amp; $AL208),0)),"",INDIRECT(CONCATENATE("Table!",ADDRESS(#REF!,MATCH(F$1,INDIRECT("Table!A" &amp; $AL208):INDIRECT("Table!" &amp; $AO$275 &amp; $AL208),0))))/1024)</f>
        <v/>
      </c>
      <c r="G208" s="22" t="str">
        <f ca="1">IF(ISERROR(MATCH(G$1,INDIRECT("Table!A"&amp;$AL208):INDIRECT("Table!" &amp; $AO$275 &amp; $AL208),0)),"",INDIRECT(CONCATENATE("Table!",ADDRESS(#REF!,MATCH(G$1,INDIRECT("Table!A" &amp; $AL208):INDIRECT("Table!" &amp; $AO$275 &amp; $AL208),0))))/1024)</f>
        <v/>
      </c>
      <c r="H208" s="22" t="str">
        <f ca="1">IF(ISERROR(MATCH(H$1,INDIRECT("Table!A"&amp;$AL208):INDIRECT("Table!" &amp; $AO$275 &amp; $AL208),0)),"",INDIRECT(CONCATENATE("Table!",ADDRESS(#REF!,MATCH(H$1,INDIRECT("Table!A" &amp; $AL208):INDIRECT("Table!" &amp; $AO$275 &amp; $AL208),0))))/1024)</f>
        <v/>
      </c>
      <c r="K208" s="22" t="str">
        <f ca="1">IF(ISERROR(MATCH(L$1,INDIRECT("Table!A"&amp;$AL208):INDIRECT("Table!" &amp; $AO$275 &amp; $AL208),0)),"",INDIRECT(CONCATENATE("Table!",ADDRESS(#REF!,MATCH(L$1,INDIRECT("Table!A" &amp; $AL208):INDIRECT("Table!" &amp; $AO$275 &amp; $AL208),0))))/1024)</f>
        <v/>
      </c>
      <c r="L208" s="22" t="str">
        <f ca="1">IF(ISERROR(MATCH(M$1,INDIRECT("Table!A"&amp;$AL208):INDIRECT("Table!" &amp; $AO$275 &amp; $AL208),0)),"",INDIRECT(CONCATENATE("Table!",ADDRESS(#REF!,MATCH(M$1,INDIRECT("Table!A" &amp; $AL208):INDIRECT("Table!" &amp; $AO$275 &amp; $AL208),0))))/1024)</f>
        <v/>
      </c>
      <c r="M208" s="22" t="str">
        <f ca="1">IF(ISERROR(MATCH(N$1,INDIRECT("Table!A"&amp;$AL208):INDIRECT("Table!" &amp; $AO$275 &amp; $AL208),0)),"",INDIRECT(CONCATENATE("Table!",ADDRESS(#REF!,MATCH(N$1,INDIRECT("Table!A" &amp; $AL208):INDIRECT("Table!" &amp; $AO$275 &amp; $AL208),0))))/1024)</f>
        <v/>
      </c>
      <c r="N208" s="22" t="str">
        <f ca="1">IF(ISERROR(MATCH(O$1,INDIRECT("Table!A"&amp;$AL208):INDIRECT("Table!" &amp; $AO$275 &amp; $AL208),0)),"",INDIRECT(CONCATENATE("Table!",ADDRESS(#REF!,MATCH(O$1,INDIRECT("Table!A" &amp; $AL208):INDIRECT("Table!" &amp; $AO$275 &amp; $AL208),0))))/1024)</f>
        <v/>
      </c>
      <c r="O208" s="22"/>
      <c r="P208" s="272"/>
      <c r="Q208" s="22"/>
      <c r="R208" s="137"/>
      <c r="T208" s="595"/>
      <c r="U208" s="137"/>
      <c r="AJ208" s="137"/>
      <c r="AK208" s="137"/>
      <c r="AL208" s="22"/>
      <c r="AM208" s="137"/>
      <c r="AN208" s="137"/>
      <c r="AO208" s="137"/>
    </row>
    <row r="209" spans="2:41" x14ac:dyDescent="0.25">
      <c r="B209" s="22" t="str">
        <f ca="1">IF(ISERROR(MATCH(B$1,INDIRECT("Table!A"&amp;$AL209):INDIRECT("Table!" &amp; $AO$275 &amp; $AL209),0)),"",INDIRECT(CONCATENATE("Table!",ADDRESS(#REF!,MATCH(B$1,INDIRECT("Table!A" &amp; $AL209):INDIRECT("Table!" &amp; $AO$275 &amp; $AL209),0))))/1024)</f>
        <v/>
      </c>
      <c r="C209" s="22" t="str">
        <f ca="1">IF(ISERROR(MATCH(C$1,INDIRECT("Table!A"&amp;$AL209):INDIRECT("Table!" &amp; $AO$275 &amp; $AL209),0)),"",INDIRECT(CONCATENATE("Table!",ADDRESS(#REF!,MATCH(C$1,INDIRECT("Table!A" &amp; $AL209):INDIRECT("Table!" &amp; $AO$275 &amp; $AL209),0))))/1024)</f>
        <v/>
      </c>
      <c r="D209" s="22" t="str">
        <f ca="1">IF(ISERROR(MATCH(D$1,INDIRECT("Table!A"&amp;$AL209):INDIRECT("Table!" &amp; $AO$275 &amp; $AL209),0)),"",INDIRECT(CONCATENATE("Table!",ADDRESS(#REF!,MATCH(D$1,INDIRECT("Table!A" &amp; $AL209):INDIRECT("Table!" &amp; $AO$275 &amp; $AL209),0))))/1024)</f>
        <v/>
      </c>
      <c r="E209" s="22" t="str">
        <f ca="1">IF(ISERROR(MATCH(E$1,INDIRECT("Table!A"&amp;$AL209):INDIRECT("Table!" &amp; $AO$275 &amp; $AL209),0)),"",INDIRECT(CONCATENATE("Table!",ADDRESS(#REF!,MATCH(E$1,INDIRECT("Table!A" &amp; $AL209):INDIRECT("Table!" &amp; $AO$275 &amp; $AL209),0))))/1024)</f>
        <v/>
      </c>
      <c r="F209" s="22" t="str">
        <f ca="1">IF(ISERROR(MATCH(F$1,INDIRECT("Table!A"&amp;$AL209):INDIRECT("Table!" &amp; $AO$275 &amp; $AL209),0)),"",INDIRECT(CONCATENATE("Table!",ADDRESS(#REF!,MATCH(F$1,INDIRECT("Table!A" &amp; $AL209):INDIRECT("Table!" &amp; $AO$275 &amp; $AL209),0))))/1024)</f>
        <v/>
      </c>
      <c r="G209" s="22" t="str">
        <f ca="1">IF(ISERROR(MATCH(G$1,INDIRECT("Table!A"&amp;$AL209):INDIRECT("Table!" &amp; $AO$275 &amp; $AL209),0)),"",INDIRECT(CONCATENATE("Table!",ADDRESS(#REF!,MATCH(G$1,INDIRECT("Table!A" &amp; $AL209):INDIRECT("Table!" &amp; $AO$275 &amp; $AL209),0))))/1024)</f>
        <v/>
      </c>
      <c r="H209" s="22" t="str">
        <f ca="1">IF(ISERROR(MATCH(H$1,INDIRECT("Table!A"&amp;$AL209):INDIRECT("Table!" &amp; $AO$275 &amp; $AL209),0)),"",INDIRECT(CONCATENATE("Table!",ADDRESS(#REF!,MATCH(H$1,INDIRECT("Table!A" &amp; $AL209):INDIRECT("Table!" &amp; $AO$275 &amp; $AL209),0))))/1024)</f>
        <v/>
      </c>
      <c r="K209" s="22" t="str">
        <f ca="1">IF(ISERROR(MATCH(L$1,INDIRECT("Table!A"&amp;$AL209):INDIRECT("Table!" &amp; $AO$275 &amp; $AL209),0)),"",INDIRECT(CONCATENATE("Table!",ADDRESS(#REF!,MATCH(L$1,INDIRECT("Table!A" &amp; $AL209):INDIRECT("Table!" &amp; $AO$275 &amp; $AL209),0))))/1024)</f>
        <v/>
      </c>
      <c r="L209" s="22" t="str">
        <f ca="1">IF(ISERROR(MATCH(M$1,INDIRECT("Table!A"&amp;$AL209):INDIRECT("Table!" &amp; $AO$275 &amp; $AL209),0)),"",INDIRECT(CONCATENATE("Table!",ADDRESS(#REF!,MATCH(M$1,INDIRECT("Table!A" &amp; $AL209):INDIRECT("Table!" &amp; $AO$275 &amp; $AL209),0))))/1024)</f>
        <v/>
      </c>
      <c r="M209" s="22" t="str">
        <f ca="1">IF(ISERROR(MATCH(N$1,INDIRECT("Table!A"&amp;$AL209):INDIRECT("Table!" &amp; $AO$275 &amp; $AL209),0)),"",INDIRECT(CONCATENATE("Table!",ADDRESS(#REF!,MATCH(N$1,INDIRECT("Table!A" &amp; $AL209):INDIRECT("Table!" &amp; $AO$275 &amp; $AL209),0))))/1024)</f>
        <v/>
      </c>
      <c r="N209" s="22" t="str">
        <f ca="1">IF(ISERROR(MATCH(O$1,INDIRECT("Table!A"&amp;$AL209):INDIRECT("Table!" &amp; $AO$275 &amp; $AL209),0)),"",INDIRECT(CONCATENATE("Table!",ADDRESS(#REF!,MATCH(O$1,INDIRECT("Table!A" &amp; $AL209):INDIRECT("Table!" &amp; $AO$275 &amp; $AL209),0))))/1024)</f>
        <v/>
      </c>
      <c r="O209" s="22"/>
      <c r="P209" s="272"/>
      <c r="Q209" s="22"/>
      <c r="R209" s="136"/>
      <c r="T209" s="595"/>
      <c r="U209" s="136"/>
      <c r="AJ209" s="136"/>
      <c r="AK209" s="136"/>
      <c r="AL209" s="22"/>
      <c r="AM209" s="136"/>
      <c r="AN209" s="136"/>
      <c r="AO209" s="136"/>
    </row>
    <row r="210" spans="2:41" x14ac:dyDescent="0.25">
      <c r="B210" s="22" t="str">
        <f ca="1">IF(ISERROR(MATCH(B$1,INDIRECT("Table!A"&amp;$AL210):INDIRECT("Table!" &amp; $AO$275 &amp; $AL210),0)),"",INDIRECT(CONCATENATE("Table!",ADDRESS(#REF!,MATCH(B$1,INDIRECT("Table!A" &amp; $AL210):INDIRECT("Table!" &amp; $AO$275 &amp; $AL210),0))))/1024)</f>
        <v/>
      </c>
      <c r="C210" s="22" t="str">
        <f ca="1">IF(ISERROR(MATCH(C$1,INDIRECT("Table!A"&amp;$AL210):INDIRECT("Table!" &amp; $AO$275 &amp; $AL210),0)),"",INDIRECT(CONCATENATE("Table!",ADDRESS(#REF!,MATCH(C$1,INDIRECT("Table!A" &amp; $AL210):INDIRECT("Table!" &amp; $AO$275 &amp; $AL210),0))))/1024)</f>
        <v/>
      </c>
      <c r="D210" s="22" t="str">
        <f ca="1">IF(ISERROR(MATCH(D$1,INDIRECT("Table!A"&amp;$AL210):INDIRECT("Table!" &amp; $AO$275 &amp; $AL210),0)),"",INDIRECT(CONCATENATE("Table!",ADDRESS(#REF!,MATCH(D$1,INDIRECT("Table!A" &amp; $AL210):INDIRECT("Table!" &amp; $AO$275 &amp; $AL210),0))))/1024)</f>
        <v/>
      </c>
      <c r="E210" s="22" t="str">
        <f ca="1">IF(ISERROR(MATCH(E$1,INDIRECT("Table!A"&amp;$AL210):INDIRECT("Table!" &amp; $AO$275 &amp; $AL210),0)),"",INDIRECT(CONCATENATE("Table!",ADDRESS(#REF!,MATCH(E$1,INDIRECT("Table!A" &amp; $AL210):INDIRECT("Table!" &amp; $AO$275 &amp; $AL210),0))))/1024)</f>
        <v/>
      </c>
      <c r="F210" s="22" t="str">
        <f ca="1">IF(ISERROR(MATCH(F$1,INDIRECT("Table!A"&amp;$AL210):INDIRECT("Table!" &amp; $AO$275 &amp; $AL210),0)),"",INDIRECT(CONCATENATE("Table!",ADDRESS(#REF!,MATCH(F$1,INDIRECT("Table!A" &amp; $AL210):INDIRECT("Table!" &amp; $AO$275 &amp; $AL210),0))))/1024)</f>
        <v/>
      </c>
      <c r="G210" s="22" t="str">
        <f ca="1">IF(ISERROR(MATCH(G$1,INDIRECT("Table!A"&amp;$AL210):INDIRECT("Table!" &amp; $AO$275 &amp; $AL210),0)),"",INDIRECT(CONCATENATE("Table!",ADDRESS(#REF!,MATCH(G$1,INDIRECT("Table!A" &amp; $AL210):INDIRECT("Table!" &amp; $AO$275 &amp; $AL210),0))))/1024)</f>
        <v/>
      </c>
      <c r="H210" s="22" t="str">
        <f ca="1">IF(ISERROR(MATCH(H$1,INDIRECT("Table!A"&amp;$AL210):INDIRECT("Table!" &amp; $AO$275 &amp; $AL210),0)),"",INDIRECT(CONCATENATE("Table!",ADDRESS(#REF!,MATCH(H$1,INDIRECT("Table!A" &amp; $AL210):INDIRECT("Table!" &amp; $AO$275 &amp; $AL210),0))))/1024)</f>
        <v/>
      </c>
      <c r="K210" s="22" t="str">
        <f ca="1">IF(ISERROR(MATCH(L$1,INDIRECT("Table!A"&amp;$AL210):INDIRECT("Table!" &amp; $AO$275 &amp; $AL210),0)),"",INDIRECT(CONCATENATE("Table!",ADDRESS(#REF!,MATCH(L$1,INDIRECT("Table!A" &amp; $AL210):INDIRECT("Table!" &amp; $AO$275 &amp; $AL210),0))))/1024)</f>
        <v/>
      </c>
      <c r="L210" s="22" t="str">
        <f ca="1">IF(ISERROR(MATCH(M$1,INDIRECT("Table!A"&amp;$AL210):INDIRECT("Table!" &amp; $AO$275 &amp; $AL210),0)),"",INDIRECT(CONCATENATE("Table!",ADDRESS(#REF!,MATCH(M$1,INDIRECT("Table!A" &amp; $AL210):INDIRECT("Table!" &amp; $AO$275 &amp; $AL210),0))))/1024)</f>
        <v/>
      </c>
      <c r="M210" s="22" t="str">
        <f ca="1">IF(ISERROR(MATCH(N$1,INDIRECT("Table!A"&amp;$AL210):INDIRECT("Table!" &amp; $AO$275 &amp; $AL210),0)),"",INDIRECT(CONCATENATE("Table!",ADDRESS(#REF!,MATCH(N$1,INDIRECT("Table!A" &amp; $AL210):INDIRECT("Table!" &amp; $AO$275 &amp; $AL210),0))))/1024)</f>
        <v/>
      </c>
      <c r="N210" s="22" t="str">
        <f ca="1">IF(ISERROR(MATCH(O$1,INDIRECT("Table!A"&amp;$AL210):INDIRECT("Table!" &amp; $AO$275 &amp; $AL210),0)),"",INDIRECT(CONCATENATE("Table!",ADDRESS(#REF!,MATCH(O$1,INDIRECT("Table!A" &amp; $AL210):INDIRECT("Table!" &amp; $AO$275 &amp; $AL210),0))))/1024)</f>
        <v/>
      </c>
      <c r="O210" s="22"/>
      <c r="P210" s="272"/>
      <c r="Q210" s="22"/>
      <c r="R210" s="135"/>
      <c r="T210" s="595"/>
      <c r="U210" s="135"/>
      <c r="AJ210" s="135"/>
      <c r="AK210" s="135"/>
      <c r="AL210" s="22"/>
      <c r="AM210" s="135"/>
      <c r="AN210" s="135"/>
      <c r="AO210" s="135"/>
    </row>
    <row r="211" spans="2:41" x14ac:dyDescent="0.25">
      <c r="B211" s="22" t="str">
        <f ca="1">IF(ISERROR(MATCH(B$1,INDIRECT("Table!A"&amp;$AL211):INDIRECT("Table!" &amp; $AO$275 &amp; $AL211),0)),"",INDIRECT(CONCATENATE("Table!",ADDRESS(#REF!,MATCH(B$1,INDIRECT("Table!A" &amp; $AL211):INDIRECT("Table!" &amp; $AO$275 &amp; $AL211),0))))/1024)</f>
        <v/>
      </c>
      <c r="C211" s="22" t="str">
        <f ca="1">IF(ISERROR(MATCH(C$1,INDIRECT("Table!A"&amp;$AL211):INDIRECT("Table!" &amp; $AO$275 &amp; $AL211),0)),"",INDIRECT(CONCATENATE("Table!",ADDRESS(#REF!,MATCH(C$1,INDIRECT("Table!A" &amp; $AL211):INDIRECT("Table!" &amp; $AO$275 &amp; $AL211),0))))/1024)</f>
        <v/>
      </c>
      <c r="D211" s="22" t="str">
        <f ca="1">IF(ISERROR(MATCH(D$1,INDIRECT("Table!A"&amp;$AL211):INDIRECT("Table!" &amp; $AO$275 &amp; $AL211),0)),"",INDIRECT(CONCATENATE("Table!",ADDRESS(#REF!,MATCH(D$1,INDIRECT("Table!A" &amp; $AL211):INDIRECT("Table!" &amp; $AO$275 &amp; $AL211),0))))/1024)</f>
        <v/>
      </c>
      <c r="E211" s="22" t="str">
        <f ca="1">IF(ISERROR(MATCH(E$1,INDIRECT("Table!A"&amp;$AL211):INDIRECT("Table!" &amp; $AO$275 &amp; $AL211),0)),"",INDIRECT(CONCATENATE("Table!",ADDRESS(#REF!,MATCH(E$1,INDIRECT("Table!A" &amp; $AL211):INDIRECT("Table!" &amp; $AO$275 &amp; $AL211),0))))/1024)</f>
        <v/>
      </c>
      <c r="F211" s="22" t="str">
        <f ca="1">IF(ISERROR(MATCH(F$1,INDIRECT("Table!A"&amp;$AL211):INDIRECT("Table!" &amp; $AO$275 &amp; $AL211),0)),"",INDIRECT(CONCATENATE("Table!",ADDRESS(#REF!,MATCH(F$1,INDIRECT("Table!A" &amp; $AL211):INDIRECT("Table!" &amp; $AO$275 &amp; $AL211),0))))/1024)</f>
        <v/>
      </c>
      <c r="G211" s="22" t="str">
        <f ca="1">IF(ISERROR(MATCH(G$1,INDIRECT("Table!A"&amp;$AL211):INDIRECT("Table!" &amp; $AO$275 &amp; $AL211),0)),"",INDIRECT(CONCATENATE("Table!",ADDRESS(#REF!,MATCH(G$1,INDIRECT("Table!A" &amp; $AL211):INDIRECT("Table!" &amp; $AO$275 &amp; $AL211),0))))/1024)</f>
        <v/>
      </c>
      <c r="H211" s="22" t="str">
        <f ca="1">IF(ISERROR(MATCH(H$1,INDIRECT("Table!A"&amp;$AL211):INDIRECT("Table!" &amp; $AO$275 &amp; $AL211),0)),"",INDIRECT(CONCATENATE("Table!",ADDRESS(#REF!,MATCH(H$1,INDIRECT("Table!A" &amp; $AL211):INDIRECT("Table!" &amp; $AO$275 &amp; $AL211),0))))/1024)</f>
        <v/>
      </c>
      <c r="K211" s="22" t="str">
        <f ca="1">IF(ISERROR(MATCH(L$1,INDIRECT("Table!A"&amp;$AL211):INDIRECT("Table!" &amp; $AO$275 &amp; $AL211),0)),"",INDIRECT(CONCATENATE("Table!",ADDRESS(#REF!,MATCH(L$1,INDIRECT("Table!A" &amp; $AL211):INDIRECT("Table!" &amp; $AO$275 &amp; $AL211),0))))/1024)</f>
        <v/>
      </c>
      <c r="L211" s="22" t="str">
        <f ca="1">IF(ISERROR(MATCH(M$1,INDIRECT("Table!A"&amp;$AL211):INDIRECT("Table!" &amp; $AO$275 &amp; $AL211),0)),"",INDIRECT(CONCATENATE("Table!",ADDRESS(#REF!,MATCH(M$1,INDIRECT("Table!A" &amp; $AL211):INDIRECT("Table!" &amp; $AO$275 &amp; $AL211),0))))/1024)</f>
        <v/>
      </c>
      <c r="M211" s="22" t="str">
        <f ca="1">IF(ISERROR(MATCH(N$1,INDIRECT("Table!A"&amp;$AL211):INDIRECT("Table!" &amp; $AO$275 &amp; $AL211),0)),"",INDIRECT(CONCATENATE("Table!",ADDRESS(#REF!,MATCH(N$1,INDIRECT("Table!A" &amp; $AL211):INDIRECT("Table!" &amp; $AO$275 &amp; $AL211),0))))/1024)</f>
        <v/>
      </c>
      <c r="N211" s="22" t="str">
        <f ca="1">IF(ISERROR(MATCH(O$1,INDIRECT("Table!A"&amp;$AL211):INDIRECT("Table!" &amp; $AO$275 &amp; $AL211),0)),"",INDIRECT(CONCATENATE("Table!",ADDRESS(#REF!,MATCH(O$1,INDIRECT("Table!A" &amp; $AL211):INDIRECT("Table!" &amp; $AO$275 &amp; $AL211),0))))/1024)</f>
        <v/>
      </c>
      <c r="O211" s="22"/>
      <c r="P211" s="272"/>
      <c r="Q211" s="22"/>
      <c r="R211" s="134"/>
      <c r="T211" s="595"/>
      <c r="U211" s="134"/>
      <c r="AJ211" s="134"/>
      <c r="AK211" s="134"/>
      <c r="AL211" s="22"/>
      <c r="AM211" s="134"/>
      <c r="AN211" s="134"/>
      <c r="AO211" s="134"/>
    </row>
    <row r="212" spans="2:41" x14ac:dyDescent="0.25">
      <c r="B212" s="22" t="str">
        <f ca="1">IF(ISERROR(MATCH(B$1,INDIRECT("Table!A"&amp;$AL212):INDIRECT("Table!" &amp; $AO$275 &amp; $AL212),0)),"",INDIRECT(CONCATENATE("Table!",ADDRESS(#REF!,MATCH(B$1,INDIRECT("Table!A" &amp; $AL212):INDIRECT("Table!" &amp; $AO$275 &amp; $AL212),0))))/1024)</f>
        <v/>
      </c>
      <c r="C212" s="22" t="str">
        <f ca="1">IF(ISERROR(MATCH(C$1,INDIRECT("Table!A"&amp;$AL212):INDIRECT("Table!" &amp; $AO$275 &amp; $AL212),0)),"",INDIRECT(CONCATENATE("Table!",ADDRESS(#REF!,MATCH(C$1,INDIRECT("Table!A" &amp; $AL212):INDIRECT("Table!" &amp; $AO$275 &amp; $AL212),0))))/1024)</f>
        <v/>
      </c>
      <c r="D212" s="22" t="str">
        <f ca="1">IF(ISERROR(MATCH(D$1,INDIRECT("Table!A"&amp;$AL212):INDIRECT("Table!" &amp; $AO$275 &amp; $AL212),0)),"",INDIRECT(CONCATENATE("Table!",ADDRESS(#REF!,MATCH(D$1,INDIRECT("Table!A" &amp; $AL212):INDIRECT("Table!" &amp; $AO$275 &amp; $AL212),0))))/1024)</f>
        <v/>
      </c>
      <c r="E212" s="22" t="str">
        <f ca="1">IF(ISERROR(MATCH(E$1,INDIRECT("Table!A"&amp;$AL212):INDIRECT("Table!" &amp; $AO$275 &amp; $AL212),0)),"",INDIRECT(CONCATENATE("Table!",ADDRESS(#REF!,MATCH(E$1,INDIRECT("Table!A" &amp; $AL212):INDIRECT("Table!" &amp; $AO$275 &amp; $AL212),0))))/1024)</f>
        <v/>
      </c>
      <c r="F212" s="22" t="str">
        <f ca="1">IF(ISERROR(MATCH(F$1,INDIRECT("Table!A"&amp;$AL212):INDIRECT("Table!" &amp; $AO$275 &amp; $AL212),0)),"",INDIRECT(CONCATENATE("Table!",ADDRESS(#REF!,MATCH(F$1,INDIRECT("Table!A" &amp; $AL212):INDIRECT("Table!" &amp; $AO$275 &amp; $AL212),0))))/1024)</f>
        <v/>
      </c>
      <c r="G212" s="22" t="str">
        <f ca="1">IF(ISERROR(MATCH(G$1,INDIRECT("Table!A"&amp;$AL212):INDIRECT("Table!" &amp; $AO$275 &amp; $AL212),0)),"",INDIRECT(CONCATENATE("Table!",ADDRESS(#REF!,MATCH(G$1,INDIRECT("Table!A" &amp; $AL212):INDIRECT("Table!" &amp; $AO$275 &amp; $AL212),0))))/1024)</f>
        <v/>
      </c>
      <c r="H212" s="22" t="str">
        <f ca="1">IF(ISERROR(MATCH(H$1,INDIRECT("Table!A"&amp;$AL212):INDIRECT("Table!" &amp; $AO$275 &amp; $AL212),0)),"",INDIRECT(CONCATENATE("Table!",ADDRESS(#REF!,MATCH(H$1,INDIRECT("Table!A" &amp; $AL212):INDIRECT("Table!" &amp; $AO$275 &amp; $AL212),0))))/1024)</f>
        <v/>
      </c>
      <c r="K212" s="22" t="str">
        <f ca="1">IF(ISERROR(MATCH(L$1,INDIRECT("Table!A"&amp;$AL212):INDIRECT("Table!" &amp; $AO$275 &amp; $AL212),0)),"",INDIRECT(CONCATENATE("Table!",ADDRESS(#REF!,MATCH(L$1,INDIRECT("Table!A" &amp; $AL212):INDIRECT("Table!" &amp; $AO$275 &amp; $AL212),0))))/1024)</f>
        <v/>
      </c>
      <c r="L212" s="22" t="str">
        <f ca="1">IF(ISERROR(MATCH(M$1,INDIRECT("Table!A"&amp;$AL212):INDIRECT("Table!" &amp; $AO$275 &amp; $AL212),0)),"",INDIRECT(CONCATENATE("Table!",ADDRESS(#REF!,MATCH(M$1,INDIRECT("Table!A" &amp; $AL212):INDIRECT("Table!" &amp; $AO$275 &amp; $AL212),0))))/1024)</f>
        <v/>
      </c>
      <c r="M212" s="22" t="str">
        <f ca="1">IF(ISERROR(MATCH(N$1,INDIRECT("Table!A"&amp;$AL212):INDIRECT("Table!" &amp; $AO$275 &amp; $AL212),0)),"",INDIRECT(CONCATENATE("Table!",ADDRESS(#REF!,MATCH(N$1,INDIRECT("Table!A" &amp; $AL212):INDIRECT("Table!" &amp; $AO$275 &amp; $AL212),0))))/1024)</f>
        <v/>
      </c>
      <c r="N212" s="22" t="str">
        <f ca="1">IF(ISERROR(MATCH(O$1,INDIRECT("Table!A"&amp;$AL212):INDIRECT("Table!" &amp; $AO$275 &amp; $AL212),0)),"",INDIRECT(CONCATENATE("Table!",ADDRESS(#REF!,MATCH(O$1,INDIRECT("Table!A" &amp; $AL212):INDIRECT("Table!" &amp; $AO$275 &amp; $AL212),0))))/1024)</f>
        <v/>
      </c>
      <c r="O212" s="22"/>
      <c r="P212" s="272"/>
      <c r="Q212" s="22"/>
      <c r="R212" s="133"/>
      <c r="T212" s="595"/>
      <c r="U212" s="133"/>
      <c r="AJ212" s="133"/>
      <c r="AK212" s="133"/>
      <c r="AL212" s="22"/>
      <c r="AM212" s="133"/>
      <c r="AN212" s="133"/>
      <c r="AO212" s="133"/>
    </row>
    <row r="213" spans="2:41" x14ac:dyDescent="0.25">
      <c r="B213" s="22" t="str">
        <f ca="1">IF(ISERROR(MATCH(B$1,INDIRECT("Table!A"&amp;$AL213):INDIRECT("Table!" &amp; $AO$275 &amp; $AL213),0)),"",INDIRECT(CONCATENATE("Table!",ADDRESS(#REF!,MATCH(B$1,INDIRECT("Table!A" &amp; $AL213):INDIRECT("Table!" &amp; $AO$275 &amp; $AL213),0))))/1024)</f>
        <v/>
      </c>
      <c r="C213" s="22" t="str">
        <f ca="1">IF(ISERROR(MATCH(C$1,INDIRECT("Table!A"&amp;$AL213):INDIRECT("Table!" &amp; $AO$275 &amp; $AL213),0)),"",INDIRECT(CONCATENATE("Table!",ADDRESS(#REF!,MATCH(C$1,INDIRECT("Table!A" &amp; $AL213):INDIRECT("Table!" &amp; $AO$275 &amp; $AL213),0))))/1024)</f>
        <v/>
      </c>
      <c r="D213" s="22" t="str">
        <f ca="1">IF(ISERROR(MATCH(D$1,INDIRECT("Table!A"&amp;$AL213):INDIRECT("Table!" &amp; $AO$275 &amp; $AL213),0)),"",INDIRECT(CONCATENATE("Table!",ADDRESS(#REF!,MATCH(D$1,INDIRECT("Table!A" &amp; $AL213):INDIRECT("Table!" &amp; $AO$275 &amp; $AL213),0))))/1024)</f>
        <v/>
      </c>
      <c r="E213" s="22" t="str">
        <f ca="1">IF(ISERROR(MATCH(E$1,INDIRECT("Table!A"&amp;$AL213):INDIRECT("Table!" &amp; $AO$275 &amp; $AL213),0)),"",INDIRECT(CONCATENATE("Table!",ADDRESS(#REF!,MATCH(E$1,INDIRECT("Table!A" &amp; $AL213):INDIRECT("Table!" &amp; $AO$275 &amp; $AL213),0))))/1024)</f>
        <v/>
      </c>
      <c r="F213" s="22" t="str">
        <f ca="1">IF(ISERROR(MATCH(F$1,INDIRECT("Table!A"&amp;$AL213):INDIRECT("Table!" &amp; $AO$275 &amp; $AL213),0)),"",INDIRECT(CONCATENATE("Table!",ADDRESS(#REF!,MATCH(F$1,INDIRECT("Table!A" &amp; $AL213):INDIRECT("Table!" &amp; $AO$275 &amp; $AL213),0))))/1024)</f>
        <v/>
      </c>
      <c r="G213" s="22" t="str">
        <f ca="1">IF(ISERROR(MATCH(G$1,INDIRECT("Table!A"&amp;$AL213):INDIRECT("Table!" &amp; $AO$275 &amp; $AL213),0)),"",INDIRECT(CONCATENATE("Table!",ADDRESS(#REF!,MATCH(G$1,INDIRECT("Table!A" &amp; $AL213):INDIRECT("Table!" &amp; $AO$275 &amp; $AL213),0))))/1024)</f>
        <v/>
      </c>
      <c r="H213" s="22" t="str">
        <f ca="1">IF(ISERROR(MATCH(H$1,INDIRECT("Table!A"&amp;$AL213):INDIRECT("Table!" &amp; $AO$275 &amp; $AL213),0)),"",INDIRECT(CONCATENATE("Table!",ADDRESS(#REF!,MATCH(H$1,INDIRECT("Table!A" &amp; $AL213):INDIRECT("Table!" &amp; $AO$275 &amp; $AL213),0))))/1024)</f>
        <v/>
      </c>
      <c r="K213" s="22" t="str">
        <f ca="1">IF(ISERROR(MATCH(L$1,INDIRECT("Table!A"&amp;$AL213):INDIRECT("Table!" &amp; $AO$275 &amp; $AL213),0)),"",INDIRECT(CONCATENATE("Table!",ADDRESS(#REF!,MATCH(L$1,INDIRECT("Table!A" &amp; $AL213):INDIRECT("Table!" &amp; $AO$275 &amp; $AL213),0))))/1024)</f>
        <v/>
      </c>
      <c r="L213" s="22" t="str">
        <f ca="1">IF(ISERROR(MATCH(M$1,INDIRECT("Table!A"&amp;$AL213):INDIRECT("Table!" &amp; $AO$275 &amp; $AL213),0)),"",INDIRECT(CONCATENATE("Table!",ADDRESS(#REF!,MATCH(M$1,INDIRECT("Table!A" &amp; $AL213):INDIRECT("Table!" &amp; $AO$275 &amp; $AL213),0))))/1024)</f>
        <v/>
      </c>
      <c r="M213" s="22" t="str">
        <f ca="1">IF(ISERROR(MATCH(N$1,INDIRECT("Table!A"&amp;$AL213):INDIRECT("Table!" &amp; $AO$275 &amp; $AL213),0)),"",INDIRECT(CONCATENATE("Table!",ADDRESS(#REF!,MATCH(N$1,INDIRECT("Table!A" &amp; $AL213):INDIRECT("Table!" &amp; $AO$275 &amp; $AL213),0))))/1024)</f>
        <v/>
      </c>
      <c r="N213" s="22" t="str">
        <f ca="1">IF(ISERROR(MATCH(O$1,INDIRECT("Table!A"&amp;$AL213):INDIRECT("Table!" &amp; $AO$275 &amp; $AL213),0)),"",INDIRECT(CONCATENATE("Table!",ADDRESS(#REF!,MATCH(O$1,INDIRECT("Table!A" &amp; $AL213):INDIRECT("Table!" &amp; $AO$275 &amp; $AL213),0))))/1024)</f>
        <v/>
      </c>
      <c r="O213" s="22"/>
      <c r="P213" s="272"/>
      <c r="Q213" s="22"/>
      <c r="R213" s="132"/>
      <c r="T213" s="595"/>
      <c r="U213" s="132"/>
      <c r="AJ213" s="132"/>
      <c r="AK213" s="132"/>
      <c r="AL213" s="22"/>
      <c r="AM213" s="132"/>
      <c r="AN213" s="132"/>
      <c r="AO213" s="132"/>
    </row>
    <row r="214" spans="2:41" x14ac:dyDescent="0.25">
      <c r="B214" s="22" t="str">
        <f ca="1">IF(ISERROR(MATCH(B$1,INDIRECT("Table!A"&amp;$AL214):INDIRECT("Table!" &amp; $AO$275 &amp; $AL214),0)),"",INDIRECT(CONCATENATE("Table!",ADDRESS(#REF!,MATCH(B$1,INDIRECT("Table!A" &amp; $AL214):INDIRECT("Table!" &amp; $AO$275 &amp; $AL214),0))))/1024)</f>
        <v/>
      </c>
      <c r="C214" s="22" t="str">
        <f ca="1">IF(ISERROR(MATCH(C$1,INDIRECT("Table!A"&amp;$AL214):INDIRECT("Table!" &amp; $AO$275 &amp; $AL214),0)),"",INDIRECT(CONCATENATE("Table!",ADDRESS(#REF!,MATCH(C$1,INDIRECT("Table!A" &amp; $AL214):INDIRECT("Table!" &amp; $AO$275 &amp; $AL214),0))))/1024)</f>
        <v/>
      </c>
      <c r="D214" s="22" t="str">
        <f ca="1">IF(ISERROR(MATCH(D$1,INDIRECT("Table!A"&amp;$AL214):INDIRECT("Table!" &amp; $AO$275 &amp; $AL214),0)),"",INDIRECT(CONCATENATE("Table!",ADDRESS(#REF!,MATCH(D$1,INDIRECT("Table!A" &amp; $AL214):INDIRECT("Table!" &amp; $AO$275 &amp; $AL214),0))))/1024)</f>
        <v/>
      </c>
      <c r="E214" s="22" t="str">
        <f ca="1">IF(ISERROR(MATCH(E$1,INDIRECT("Table!A"&amp;$AL214):INDIRECT("Table!" &amp; $AO$275 &amp; $AL214),0)),"",INDIRECT(CONCATENATE("Table!",ADDRESS(#REF!,MATCH(E$1,INDIRECT("Table!A" &amp; $AL214):INDIRECT("Table!" &amp; $AO$275 &amp; $AL214),0))))/1024)</f>
        <v/>
      </c>
      <c r="F214" s="22" t="str">
        <f ca="1">IF(ISERROR(MATCH(F$1,INDIRECT("Table!A"&amp;$AL214):INDIRECT("Table!" &amp; $AO$275 &amp; $AL214),0)),"",INDIRECT(CONCATENATE("Table!",ADDRESS(#REF!,MATCH(F$1,INDIRECT("Table!A" &amp; $AL214):INDIRECT("Table!" &amp; $AO$275 &amp; $AL214),0))))/1024)</f>
        <v/>
      </c>
      <c r="G214" s="22" t="str">
        <f ca="1">IF(ISERROR(MATCH(G$1,INDIRECT("Table!A"&amp;$AL214):INDIRECT("Table!" &amp; $AO$275 &amp; $AL214),0)),"",INDIRECT(CONCATENATE("Table!",ADDRESS(#REF!,MATCH(G$1,INDIRECT("Table!A" &amp; $AL214):INDIRECT("Table!" &amp; $AO$275 &amp; $AL214),0))))/1024)</f>
        <v/>
      </c>
      <c r="H214" s="22" t="str">
        <f ca="1">IF(ISERROR(MATCH(H$1,INDIRECT("Table!A"&amp;$AL214):INDIRECT("Table!" &amp; $AO$275 &amp; $AL214),0)),"",INDIRECT(CONCATENATE("Table!",ADDRESS(#REF!,MATCH(H$1,INDIRECT("Table!A" &amp; $AL214):INDIRECT("Table!" &amp; $AO$275 &amp; $AL214),0))))/1024)</f>
        <v/>
      </c>
      <c r="K214" s="22" t="str">
        <f ca="1">IF(ISERROR(MATCH(L$1,INDIRECT("Table!A"&amp;$AL214):INDIRECT("Table!" &amp; $AO$275 &amp; $AL214),0)),"",INDIRECT(CONCATENATE("Table!",ADDRESS(#REF!,MATCH(L$1,INDIRECT("Table!A" &amp; $AL214):INDIRECT("Table!" &amp; $AO$275 &amp; $AL214),0))))/1024)</f>
        <v/>
      </c>
      <c r="L214" s="22" t="str">
        <f ca="1">IF(ISERROR(MATCH(M$1,INDIRECT("Table!A"&amp;$AL214):INDIRECT("Table!" &amp; $AO$275 &amp; $AL214),0)),"",INDIRECT(CONCATENATE("Table!",ADDRESS(#REF!,MATCH(M$1,INDIRECT("Table!A" &amp; $AL214):INDIRECT("Table!" &amp; $AO$275 &amp; $AL214),0))))/1024)</f>
        <v/>
      </c>
      <c r="M214" s="22" t="str">
        <f ca="1">IF(ISERROR(MATCH(N$1,INDIRECT("Table!A"&amp;$AL214):INDIRECT("Table!" &amp; $AO$275 &amp; $AL214),0)),"",INDIRECT(CONCATENATE("Table!",ADDRESS(#REF!,MATCH(N$1,INDIRECT("Table!A" &amp; $AL214):INDIRECT("Table!" &amp; $AO$275 &amp; $AL214),0))))/1024)</f>
        <v/>
      </c>
      <c r="N214" s="22" t="str">
        <f ca="1">IF(ISERROR(MATCH(O$1,INDIRECT("Table!A"&amp;$AL214):INDIRECT("Table!" &amp; $AO$275 &amp; $AL214),0)),"",INDIRECT(CONCATENATE("Table!",ADDRESS(#REF!,MATCH(O$1,INDIRECT("Table!A" &amp; $AL214):INDIRECT("Table!" &amp; $AO$275 &amp; $AL214),0))))/1024)</f>
        <v/>
      </c>
      <c r="O214" s="22"/>
      <c r="P214" s="272"/>
      <c r="Q214" s="22"/>
      <c r="R214" s="131"/>
      <c r="T214" s="595"/>
      <c r="U214" s="131"/>
      <c r="AJ214" s="131"/>
      <c r="AK214" s="131"/>
      <c r="AL214" s="22"/>
      <c r="AM214" s="131"/>
      <c r="AN214" s="131"/>
      <c r="AO214" s="131"/>
    </row>
    <row r="215" spans="2:41" x14ac:dyDescent="0.25">
      <c r="B215" s="22" t="str">
        <f ca="1">IF(ISERROR(MATCH(B$1,INDIRECT("Table!A"&amp;$AL215):INDIRECT("Table!" &amp; $AO$275 &amp; $AL215),0)),"",INDIRECT(CONCATENATE("Table!",ADDRESS(#REF!,MATCH(B$1,INDIRECT("Table!A" &amp; $AL215):INDIRECT("Table!" &amp; $AO$275 &amp; $AL215),0))))/1024)</f>
        <v/>
      </c>
      <c r="C215" s="22" t="str">
        <f ca="1">IF(ISERROR(MATCH(C$1,INDIRECT("Table!A"&amp;$AL215):INDIRECT("Table!" &amp; $AO$275 &amp; $AL215),0)),"",INDIRECT(CONCATENATE("Table!",ADDRESS(#REF!,MATCH(C$1,INDIRECT("Table!A" &amp; $AL215):INDIRECT("Table!" &amp; $AO$275 &amp; $AL215),0))))/1024)</f>
        <v/>
      </c>
      <c r="D215" s="22" t="str">
        <f ca="1">IF(ISERROR(MATCH(D$1,INDIRECT("Table!A"&amp;$AL215):INDIRECT("Table!" &amp; $AO$275 &amp; $AL215),0)),"",INDIRECT(CONCATENATE("Table!",ADDRESS(#REF!,MATCH(D$1,INDIRECT("Table!A" &amp; $AL215):INDIRECT("Table!" &amp; $AO$275 &amp; $AL215),0))))/1024)</f>
        <v/>
      </c>
      <c r="E215" s="22" t="str">
        <f ca="1">IF(ISERROR(MATCH(E$1,INDIRECT("Table!A"&amp;$AL215):INDIRECT("Table!" &amp; $AO$275 &amp; $AL215),0)),"",INDIRECT(CONCATENATE("Table!",ADDRESS(#REF!,MATCH(E$1,INDIRECT("Table!A" &amp; $AL215):INDIRECT("Table!" &amp; $AO$275 &amp; $AL215),0))))/1024)</f>
        <v/>
      </c>
      <c r="F215" s="22" t="str">
        <f ca="1">IF(ISERROR(MATCH(F$1,INDIRECT("Table!A"&amp;$AL215):INDIRECT("Table!" &amp; $AO$275 &amp; $AL215),0)),"",INDIRECT(CONCATENATE("Table!",ADDRESS(#REF!,MATCH(F$1,INDIRECT("Table!A" &amp; $AL215):INDIRECT("Table!" &amp; $AO$275 &amp; $AL215),0))))/1024)</f>
        <v/>
      </c>
      <c r="G215" s="22" t="str">
        <f ca="1">IF(ISERROR(MATCH(G$1,INDIRECT("Table!A"&amp;$AL215):INDIRECT("Table!" &amp; $AO$275 &amp; $AL215),0)),"",INDIRECT(CONCATENATE("Table!",ADDRESS(#REF!,MATCH(G$1,INDIRECT("Table!A" &amp; $AL215):INDIRECT("Table!" &amp; $AO$275 &amp; $AL215),0))))/1024)</f>
        <v/>
      </c>
      <c r="H215" s="22" t="str">
        <f ca="1">IF(ISERROR(MATCH(H$1,INDIRECT("Table!A"&amp;$AL215):INDIRECT("Table!" &amp; $AO$275 &amp; $AL215),0)),"",INDIRECT(CONCATENATE("Table!",ADDRESS(#REF!,MATCH(H$1,INDIRECT("Table!A" &amp; $AL215):INDIRECT("Table!" &amp; $AO$275 &amp; $AL215),0))))/1024)</f>
        <v/>
      </c>
      <c r="K215" s="22" t="str">
        <f ca="1">IF(ISERROR(MATCH(L$1,INDIRECT("Table!A"&amp;$AL215):INDIRECT("Table!" &amp; $AO$275 &amp; $AL215),0)),"",INDIRECT(CONCATENATE("Table!",ADDRESS(#REF!,MATCH(L$1,INDIRECT("Table!A" &amp; $AL215):INDIRECT("Table!" &amp; $AO$275 &amp; $AL215),0))))/1024)</f>
        <v/>
      </c>
      <c r="L215" s="22" t="str">
        <f ca="1">IF(ISERROR(MATCH(M$1,INDIRECT("Table!A"&amp;$AL215):INDIRECT("Table!" &amp; $AO$275 &amp; $AL215),0)),"",INDIRECT(CONCATENATE("Table!",ADDRESS(#REF!,MATCH(M$1,INDIRECT("Table!A" &amp; $AL215):INDIRECT("Table!" &amp; $AO$275 &amp; $AL215),0))))/1024)</f>
        <v/>
      </c>
      <c r="M215" s="22" t="str">
        <f ca="1">IF(ISERROR(MATCH(N$1,INDIRECT("Table!A"&amp;$AL215):INDIRECT("Table!" &amp; $AO$275 &amp; $AL215),0)),"",INDIRECT(CONCATENATE("Table!",ADDRESS(#REF!,MATCH(N$1,INDIRECT("Table!A" &amp; $AL215):INDIRECT("Table!" &amp; $AO$275 &amp; $AL215),0))))/1024)</f>
        <v/>
      </c>
      <c r="N215" s="22" t="str">
        <f ca="1">IF(ISERROR(MATCH(O$1,INDIRECT("Table!A"&amp;$AL215):INDIRECT("Table!" &amp; $AO$275 &amp; $AL215),0)),"",INDIRECT(CONCATENATE("Table!",ADDRESS(#REF!,MATCH(O$1,INDIRECT("Table!A" &amp; $AL215):INDIRECT("Table!" &amp; $AO$275 &amp; $AL215),0))))/1024)</f>
        <v/>
      </c>
      <c r="O215" s="22"/>
      <c r="P215" s="272"/>
      <c r="Q215" s="22"/>
      <c r="R215" s="130"/>
      <c r="T215" s="595"/>
      <c r="U215" s="130"/>
      <c r="AJ215" s="130"/>
      <c r="AK215" s="130"/>
      <c r="AL215" s="22"/>
      <c r="AM215" s="130"/>
      <c r="AN215" s="130"/>
      <c r="AO215" s="130"/>
    </row>
    <row r="216" spans="2:41" x14ac:dyDescent="0.25">
      <c r="B216" s="22" t="str">
        <f ca="1">IF(ISERROR(MATCH(B$1,INDIRECT("Table!A"&amp;$AL216):INDIRECT("Table!" &amp; $AO$275 &amp; $AL216),0)),"",INDIRECT(CONCATENATE("Table!",ADDRESS(#REF!,MATCH(B$1,INDIRECT("Table!A" &amp; $AL216):INDIRECT("Table!" &amp; $AO$275 &amp; $AL216),0))))/1024)</f>
        <v/>
      </c>
      <c r="C216" s="22" t="str">
        <f ca="1">IF(ISERROR(MATCH(C$1,INDIRECT("Table!A"&amp;$AL216):INDIRECT("Table!" &amp; $AO$275 &amp; $AL216),0)),"",INDIRECT(CONCATENATE("Table!",ADDRESS(#REF!,MATCH(C$1,INDIRECT("Table!A" &amp; $AL216):INDIRECT("Table!" &amp; $AO$275 &amp; $AL216),0))))/1024)</f>
        <v/>
      </c>
      <c r="D216" s="22" t="str">
        <f ca="1">IF(ISERROR(MATCH(D$1,INDIRECT("Table!A"&amp;$AL216):INDIRECT("Table!" &amp; $AO$275 &amp; $AL216),0)),"",INDIRECT(CONCATENATE("Table!",ADDRESS(#REF!,MATCH(D$1,INDIRECT("Table!A" &amp; $AL216):INDIRECT("Table!" &amp; $AO$275 &amp; $AL216),0))))/1024)</f>
        <v/>
      </c>
      <c r="E216" s="22" t="str">
        <f ca="1">IF(ISERROR(MATCH(E$1,INDIRECT("Table!A"&amp;$AL216):INDIRECT("Table!" &amp; $AO$275 &amp; $AL216),0)),"",INDIRECT(CONCATENATE("Table!",ADDRESS(#REF!,MATCH(E$1,INDIRECT("Table!A" &amp; $AL216):INDIRECT("Table!" &amp; $AO$275 &amp; $AL216),0))))/1024)</f>
        <v/>
      </c>
      <c r="F216" s="22" t="str">
        <f ca="1">IF(ISERROR(MATCH(F$1,INDIRECT("Table!A"&amp;$AL216):INDIRECT("Table!" &amp; $AO$275 &amp; $AL216),0)),"",INDIRECT(CONCATENATE("Table!",ADDRESS(#REF!,MATCH(F$1,INDIRECT("Table!A" &amp; $AL216):INDIRECT("Table!" &amp; $AO$275 &amp; $AL216),0))))/1024)</f>
        <v/>
      </c>
      <c r="G216" s="22" t="str">
        <f ca="1">IF(ISERROR(MATCH(G$1,INDIRECT("Table!A"&amp;$AL216):INDIRECT("Table!" &amp; $AO$275 &amp; $AL216),0)),"",INDIRECT(CONCATENATE("Table!",ADDRESS(#REF!,MATCH(G$1,INDIRECT("Table!A" &amp; $AL216):INDIRECT("Table!" &amp; $AO$275 &amp; $AL216),0))))/1024)</f>
        <v/>
      </c>
      <c r="H216" s="22" t="str">
        <f ca="1">IF(ISERROR(MATCH(H$1,INDIRECT("Table!A"&amp;$AL216):INDIRECT("Table!" &amp; $AO$275 &amp; $AL216),0)),"",INDIRECT(CONCATENATE("Table!",ADDRESS(#REF!,MATCH(H$1,INDIRECT("Table!A" &amp; $AL216):INDIRECT("Table!" &amp; $AO$275 &amp; $AL216),0))))/1024)</f>
        <v/>
      </c>
      <c r="K216" s="22" t="str">
        <f ca="1">IF(ISERROR(MATCH(L$1,INDIRECT("Table!A"&amp;$AL216):INDIRECT("Table!" &amp; $AO$275 &amp; $AL216),0)),"",INDIRECT(CONCATENATE("Table!",ADDRESS(#REF!,MATCH(L$1,INDIRECT("Table!A" &amp; $AL216):INDIRECT("Table!" &amp; $AO$275 &amp; $AL216),0))))/1024)</f>
        <v/>
      </c>
      <c r="L216" s="22" t="str">
        <f ca="1">IF(ISERROR(MATCH(M$1,INDIRECT("Table!A"&amp;$AL216):INDIRECT("Table!" &amp; $AO$275 &amp; $AL216),0)),"",INDIRECT(CONCATENATE("Table!",ADDRESS(#REF!,MATCH(M$1,INDIRECT("Table!A" &amp; $AL216):INDIRECT("Table!" &amp; $AO$275 &amp; $AL216),0))))/1024)</f>
        <v/>
      </c>
      <c r="M216" s="22" t="str">
        <f ca="1">IF(ISERROR(MATCH(N$1,INDIRECT("Table!A"&amp;$AL216):INDIRECT("Table!" &amp; $AO$275 &amp; $AL216),0)),"",INDIRECT(CONCATENATE("Table!",ADDRESS(#REF!,MATCH(N$1,INDIRECT("Table!A" &amp; $AL216):INDIRECT("Table!" &amp; $AO$275 &amp; $AL216),0))))/1024)</f>
        <v/>
      </c>
      <c r="N216" s="22" t="str">
        <f ca="1">IF(ISERROR(MATCH(O$1,INDIRECT("Table!A"&amp;$AL216):INDIRECT("Table!" &amp; $AO$275 &amp; $AL216),0)),"",INDIRECT(CONCATENATE("Table!",ADDRESS(#REF!,MATCH(O$1,INDIRECT("Table!A" &amp; $AL216):INDIRECT("Table!" &amp; $AO$275 &amp; $AL216),0))))/1024)</f>
        <v/>
      </c>
      <c r="O216" s="22"/>
      <c r="P216" s="272"/>
      <c r="Q216" s="22"/>
      <c r="R216" s="129"/>
      <c r="T216" s="595"/>
      <c r="U216" s="129"/>
      <c r="AJ216" s="129"/>
      <c r="AK216" s="129"/>
      <c r="AL216" s="22"/>
      <c r="AM216" s="129"/>
      <c r="AN216" s="129"/>
      <c r="AO216" s="129"/>
    </row>
    <row r="217" spans="2:41" x14ac:dyDescent="0.25">
      <c r="B217" s="22" t="str">
        <f ca="1">IF(ISERROR(MATCH(B$1,INDIRECT("Table!A"&amp;$AL217):INDIRECT("Table!" &amp; $AO$275 &amp; $AL217),0)),"",INDIRECT(CONCATENATE("Table!",ADDRESS(#REF!,MATCH(B$1,INDIRECT("Table!A" &amp; $AL217):INDIRECT("Table!" &amp; $AO$275 &amp; $AL217),0))))/1024)</f>
        <v/>
      </c>
      <c r="C217" s="22" t="str">
        <f ca="1">IF(ISERROR(MATCH(C$1,INDIRECT("Table!A"&amp;$AL217):INDIRECT("Table!" &amp; $AO$275 &amp; $AL217),0)),"",INDIRECT(CONCATENATE("Table!",ADDRESS(#REF!,MATCH(C$1,INDIRECT("Table!A" &amp; $AL217):INDIRECT("Table!" &amp; $AO$275 &amp; $AL217),0))))/1024)</f>
        <v/>
      </c>
      <c r="D217" s="22" t="str">
        <f ca="1">IF(ISERROR(MATCH(D$1,INDIRECT("Table!A"&amp;$AL217):INDIRECT("Table!" &amp; $AO$275 &amp; $AL217),0)),"",INDIRECT(CONCATENATE("Table!",ADDRESS(#REF!,MATCH(D$1,INDIRECT("Table!A" &amp; $AL217):INDIRECT("Table!" &amp; $AO$275 &amp; $AL217),0))))/1024)</f>
        <v/>
      </c>
      <c r="E217" s="22" t="str">
        <f ca="1">IF(ISERROR(MATCH(E$1,INDIRECT("Table!A"&amp;$AL217):INDIRECT("Table!" &amp; $AO$275 &amp; $AL217),0)),"",INDIRECT(CONCATENATE("Table!",ADDRESS(#REF!,MATCH(E$1,INDIRECT("Table!A" &amp; $AL217):INDIRECT("Table!" &amp; $AO$275 &amp; $AL217),0))))/1024)</f>
        <v/>
      </c>
      <c r="F217" s="22" t="str">
        <f ca="1">IF(ISERROR(MATCH(F$1,INDIRECT("Table!A"&amp;$AL217):INDIRECT("Table!" &amp; $AO$275 &amp; $AL217),0)),"",INDIRECT(CONCATENATE("Table!",ADDRESS(#REF!,MATCH(F$1,INDIRECT("Table!A" &amp; $AL217):INDIRECT("Table!" &amp; $AO$275 &amp; $AL217),0))))/1024)</f>
        <v/>
      </c>
      <c r="G217" s="22" t="str">
        <f ca="1">IF(ISERROR(MATCH(G$1,INDIRECT("Table!A"&amp;$AL217):INDIRECT("Table!" &amp; $AO$275 &amp; $AL217),0)),"",INDIRECT(CONCATENATE("Table!",ADDRESS(#REF!,MATCH(G$1,INDIRECT("Table!A" &amp; $AL217):INDIRECT("Table!" &amp; $AO$275 &amp; $AL217),0))))/1024)</f>
        <v/>
      </c>
      <c r="H217" s="22" t="str">
        <f ca="1">IF(ISERROR(MATCH(H$1,INDIRECT("Table!A"&amp;$AL217):INDIRECT("Table!" &amp; $AO$275 &amp; $AL217),0)),"",INDIRECT(CONCATENATE("Table!",ADDRESS(#REF!,MATCH(H$1,INDIRECT("Table!A" &amp; $AL217):INDIRECT("Table!" &amp; $AO$275 &amp; $AL217),0))))/1024)</f>
        <v/>
      </c>
      <c r="K217" s="22" t="str">
        <f ca="1">IF(ISERROR(MATCH(L$1,INDIRECT("Table!A"&amp;$AL217):INDIRECT("Table!" &amp; $AO$275 &amp; $AL217),0)),"",INDIRECT(CONCATENATE("Table!",ADDRESS(#REF!,MATCH(L$1,INDIRECT("Table!A" &amp; $AL217):INDIRECT("Table!" &amp; $AO$275 &amp; $AL217),0))))/1024)</f>
        <v/>
      </c>
      <c r="L217" s="22" t="str">
        <f ca="1">IF(ISERROR(MATCH(M$1,INDIRECT("Table!A"&amp;$AL217):INDIRECT("Table!" &amp; $AO$275 &amp; $AL217),0)),"",INDIRECT(CONCATENATE("Table!",ADDRESS(#REF!,MATCH(M$1,INDIRECT("Table!A" &amp; $AL217):INDIRECT("Table!" &amp; $AO$275 &amp; $AL217),0))))/1024)</f>
        <v/>
      </c>
      <c r="M217" s="22" t="str">
        <f ca="1">IF(ISERROR(MATCH(N$1,INDIRECT("Table!A"&amp;$AL217):INDIRECT("Table!" &amp; $AO$275 &amp; $AL217),0)),"",INDIRECT(CONCATENATE("Table!",ADDRESS(#REF!,MATCH(N$1,INDIRECT("Table!A" &amp; $AL217):INDIRECT("Table!" &amp; $AO$275 &amp; $AL217),0))))/1024)</f>
        <v/>
      </c>
      <c r="N217" s="22" t="str">
        <f ca="1">IF(ISERROR(MATCH(O$1,INDIRECT("Table!A"&amp;$AL217):INDIRECT("Table!" &amp; $AO$275 &amp; $AL217),0)),"",INDIRECT(CONCATENATE("Table!",ADDRESS(#REF!,MATCH(O$1,INDIRECT("Table!A" &amp; $AL217):INDIRECT("Table!" &amp; $AO$275 &amp; $AL217),0))))/1024)</f>
        <v/>
      </c>
      <c r="O217" s="22"/>
      <c r="P217" s="272"/>
      <c r="Q217" s="22"/>
      <c r="R217" s="128"/>
      <c r="T217" s="595"/>
      <c r="U217" s="128"/>
      <c r="AJ217" s="128"/>
      <c r="AK217" s="128"/>
      <c r="AL217" s="22"/>
      <c r="AM217" s="128"/>
      <c r="AN217" s="128"/>
      <c r="AO217" s="128"/>
    </row>
    <row r="218" spans="2:41" x14ac:dyDescent="0.25">
      <c r="B218" s="22" t="str">
        <f ca="1">IF(ISERROR(MATCH(B$1,INDIRECT("Table!A"&amp;$AL218):INDIRECT("Table!" &amp; $AO$275 &amp; $AL218),0)),"",INDIRECT(CONCATENATE("Table!",ADDRESS(#REF!,MATCH(B$1,INDIRECT("Table!A" &amp; $AL218):INDIRECT("Table!" &amp; $AO$275 &amp; $AL218),0))))/1024)</f>
        <v/>
      </c>
      <c r="C218" s="22" t="str">
        <f ca="1">IF(ISERROR(MATCH(C$1,INDIRECT("Table!A"&amp;$AL218):INDIRECT("Table!" &amp; $AO$275 &amp; $AL218),0)),"",INDIRECT(CONCATENATE("Table!",ADDRESS(#REF!,MATCH(C$1,INDIRECT("Table!A" &amp; $AL218):INDIRECT("Table!" &amp; $AO$275 &amp; $AL218),0))))/1024)</f>
        <v/>
      </c>
      <c r="D218" s="22" t="str">
        <f ca="1">IF(ISERROR(MATCH(D$1,INDIRECT("Table!A"&amp;$AL218):INDIRECT("Table!" &amp; $AO$275 &amp; $AL218),0)),"",INDIRECT(CONCATENATE("Table!",ADDRESS(#REF!,MATCH(D$1,INDIRECT("Table!A" &amp; $AL218):INDIRECT("Table!" &amp; $AO$275 &amp; $AL218),0))))/1024)</f>
        <v/>
      </c>
      <c r="E218" s="22" t="str">
        <f ca="1">IF(ISERROR(MATCH(E$1,INDIRECT("Table!A"&amp;$AL218):INDIRECT("Table!" &amp; $AO$275 &amp; $AL218),0)),"",INDIRECT(CONCATENATE("Table!",ADDRESS(#REF!,MATCH(E$1,INDIRECT("Table!A" &amp; $AL218):INDIRECT("Table!" &amp; $AO$275 &amp; $AL218),0))))/1024)</f>
        <v/>
      </c>
      <c r="F218" s="22" t="str">
        <f ca="1">IF(ISERROR(MATCH(F$1,INDIRECT("Table!A"&amp;$AL218):INDIRECT("Table!" &amp; $AO$275 &amp; $AL218),0)),"",INDIRECT(CONCATENATE("Table!",ADDRESS(#REF!,MATCH(F$1,INDIRECT("Table!A" &amp; $AL218):INDIRECT("Table!" &amp; $AO$275 &amp; $AL218),0))))/1024)</f>
        <v/>
      </c>
      <c r="G218" s="22" t="str">
        <f ca="1">IF(ISERROR(MATCH(G$1,INDIRECT("Table!A"&amp;$AL218):INDIRECT("Table!" &amp; $AO$275 &amp; $AL218),0)),"",INDIRECT(CONCATENATE("Table!",ADDRESS(#REF!,MATCH(G$1,INDIRECT("Table!A" &amp; $AL218):INDIRECT("Table!" &amp; $AO$275 &amp; $AL218),0))))/1024)</f>
        <v/>
      </c>
      <c r="H218" s="22" t="str">
        <f ca="1">IF(ISERROR(MATCH(H$1,INDIRECT("Table!A"&amp;$AL218):INDIRECT("Table!" &amp; $AO$275 &amp; $AL218),0)),"",INDIRECT(CONCATENATE("Table!",ADDRESS(#REF!,MATCH(H$1,INDIRECT("Table!A" &amp; $AL218):INDIRECT("Table!" &amp; $AO$275 &amp; $AL218),0))))/1024)</f>
        <v/>
      </c>
      <c r="K218" s="22" t="str">
        <f ca="1">IF(ISERROR(MATCH(L$1,INDIRECT("Table!A"&amp;$AL218):INDIRECT("Table!" &amp; $AO$275 &amp; $AL218),0)),"",INDIRECT(CONCATENATE("Table!",ADDRESS(#REF!,MATCH(L$1,INDIRECT("Table!A" &amp; $AL218):INDIRECT("Table!" &amp; $AO$275 &amp; $AL218),0))))/1024)</f>
        <v/>
      </c>
      <c r="L218" s="22" t="str">
        <f ca="1">IF(ISERROR(MATCH(M$1,INDIRECT("Table!A"&amp;$AL218):INDIRECT("Table!" &amp; $AO$275 &amp; $AL218),0)),"",INDIRECT(CONCATENATE("Table!",ADDRESS(#REF!,MATCH(M$1,INDIRECT("Table!A" &amp; $AL218):INDIRECT("Table!" &amp; $AO$275 &amp; $AL218),0))))/1024)</f>
        <v/>
      </c>
      <c r="M218" s="22" t="str">
        <f ca="1">IF(ISERROR(MATCH(N$1,INDIRECT("Table!A"&amp;$AL218):INDIRECT("Table!" &amp; $AO$275 &amp; $AL218),0)),"",INDIRECT(CONCATENATE("Table!",ADDRESS(#REF!,MATCH(N$1,INDIRECT("Table!A" &amp; $AL218):INDIRECT("Table!" &amp; $AO$275 &amp; $AL218),0))))/1024)</f>
        <v/>
      </c>
      <c r="N218" s="22" t="str">
        <f ca="1">IF(ISERROR(MATCH(O$1,INDIRECT("Table!A"&amp;$AL218):INDIRECT("Table!" &amp; $AO$275 &amp; $AL218),0)),"",INDIRECT(CONCATENATE("Table!",ADDRESS(#REF!,MATCH(O$1,INDIRECT("Table!A" &amp; $AL218):INDIRECT("Table!" &amp; $AO$275 &amp; $AL218),0))))/1024)</f>
        <v/>
      </c>
      <c r="O218" s="22"/>
      <c r="P218" s="272"/>
      <c r="Q218" s="22"/>
      <c r="R218" s="128"/>
      <c r="T218" s="595"/>
      <c r="U218" s="128"/>
      <c r="AJ218" s="128"/>
      <c r="AK218" s="128"/>
      <c r="AL218" s="22"/>
      <c r="AM218" s="128"/>
      <c r="AN218" s="128"/>
      <c r="AO218" s="128"/>
    </row>
    <row r="219" spans="2:41" x14ac:dyDescent="0.25">
      <c r="B219" s="22" t="str">
        <f ca="1">IF(ISERROR(MATCH(B$1,INDIRECT("Table!A"&amp;$AL219):INDIRECT("Table!" &amp; $AO$275 &amp; $AL219),0)),"",INDIRECT(CONCATENATE("Table!",ADDRESS(#REF!,MATCH(B$1,INDIRECT("Table!A" &amp; $AL219):INDIRECT("Table!" &amp; $AO$275 &amp; $AL219),0))))/1024)</f>
        <v/>
      </c>
      <c r="C219" s="22" t="str">
        <f ca="1">IF(ISERROR(MATCH(C$1,INDIRECT("Table!A"&amp;$AL219):INDIRECT("Table!" &amp; $AO$275 &amp; $AL219),0)),"",INDIRECT(CONCATENATE("Table!",ADDRESS(#REF!,MATCH(C$1,INDIRECT("Table!A" &amp; $AL219):INDIRECT("Table!" &amp; $AO$275 &amp; $AL219),0))))/1024)</f>
        <v/>
      </c>
      <c r="D219" s="22" t="str">
        <f ca="1">IF(ISERROR(MATCH(D$1,INDIRECT("Table!A"&amp;$AL219):INDIRECT("Table!" &amp; $AO$275 &amp; $AL219),0)),"",INDIRECT(CONCATENATE("Table!",ADDRESS(#REF!,MATCH(D$1,INDIRECT("Table!A" &amp; $AL219):INDIRECT("Table!" &amp; $AO$275 &amp; $AL219),0))))/1024)</f>
        <v/>
      </c>
      <c r="E219" s="22" t="str">
        <f ca="1">IF(ISERROR(MATCH(E$1,INDIRECT("Table!A"&amp;$AL219):INDIRECT("Table!" &amp; $AO$275 &amp; $AL219),0)),"",INDIRECT(CONCATENATE("Table!",ADDRESS(#REF!,MATCH(E$1,INDIRECT("Table!A" &amp; $AL219):INDIRECT("Table!" &amp; $AO$275 &amp; $AL219),0))))/1024)</f>
        <v/>
      </c>
      <c r="F219" s="22" t="str">
        <f ca="1">IF(ISERROR(MATCH(F$1,INDIRECT("Table!A"&amp;$AL219):INDIRECT("Table!" &amp; $AO$275 &amp; $AL219),0)),"",INDIRECT(CONCATENATE("Table!",ADDRESS(#REF!,MATCH(F$1,INDIRECT("Table!A" &amp; $AL219):INDIRECT("Table!" &amp; $AO$275 &amp; $AL219),0))))/1024)</f>
        <v/>
      </c>
      <c r="G219" s="22" t="str">
        <f ca="1">IF(ISERROR(MATCH(G$1,INDIRECT("Table!A"&amp;$AL219):INDIRECT("Table!" &amp; $AO$275 &amp; $AL219),0)),"",INDIRECT(CONCATENATE("Table!",ADDRESS(#REF!,MATCH(G$1,INDIRECT("Table!A" &amp; $AL219):INDIRECT("Table!" &amp; $AO$275 &amp; $AL219),0))))/1024)</f>
        <v/>
      </c>
      <c r="H219" s="22" t="str">
        <f ca="1">IF(ISERROR(MATCH(H$1,INDIRECT("Table!A"&amp;$AL219):INDIRECT("Table!" &amp; $AO$275 &amp; $AL219),0)),"",INDIRECT(CONCATENATE("Table!",ADDRESS(#REF!,MATCH(H$1,INDIRECT("Table!A" &amp; $AL219):INDIRECT("Table!" &amp; $AO$275 &amp; $AL219),0))))/1024)</f>
        <v/>
      </c>
      <c r="K219" s="22" t="str">
        <f ca="1">IF(ISERROR(MATCH(L$1,INDIRECT("Table!A"&amp;$AL219):INDIRECT("Table!" &amp; $AO$275 &amp; $AL219),0)),"",INDIRECT(CONCATENATE("Table!",ADDRESS(#REF!,MATCH(L$1,INDIRECT("Table!A" &amp; $AL219):INDIRECT("Table!" &amp; $AO$275 &amp; $AL219),0))))/1024)</f>
        <v/>
      </c>
      <c r="L219" s="22" t="str">
        <f ca="1">IF(ISERROR(MATCH(M$1,INDIRECT("Table!A"&amp;$AL219):INDIRECT("Table!" &amp; $AO$275 &amp; $AL219),0)),"",INDIRECT(CONCATENATE("Table!",ADDRESS(#REF!,MATCH(M$1,INDIRECT("Table!A" &amp; $AL219):INDIRECT("Table!" &amp; $AO$275 &amp; $AL219),0))))/1024)</f>
        <v/>
      </c>
      <c r="M219" s="22" t="str">
        <f ca="1">IF(ISERROR(MATCH(N$1,INDIRECT("Table!A"&amp;$AL219):INDIRECT("Table!" &amp; $AO$275 &amp; $AL219),0)),"",INDIRECT(CONCATENATE("Table!",ADDRESS(#REF!,MATCH(N$1,INDIRECT("Table!A" &amp; $AL219):INDIRECT("Table!" &amp; $AO$275 &amp; $AL219),0))))/1024)</f>
        <v/>
      </c>
      <c r="N219" s="22" t="str">
        <f ca="1">IF(ISERROR(MATCH(O$1,INDIRECT("Table!A"&amp;$AL219):INDIRECT("Table!" &amp; $AO$275 &amp; $AL219),0)),"",INDIRECT(CONCATENATE("Table!",ADDRESS(#REF!,MATCH(O$1,INDIRECT("Table!A" &amp; $AL219):INDIRECT("Table!" &amp; $AO$275 &amp; $AL219),0))))/1024)</f>
        <v/>
      </c>
      <c r="O219" s="22"/>
      <c r="P219" s="272"/>
      <c r="Q219" s="22"/>
      <c r="R219" s="128"/>
      <c r="T219" s="595"/>
      <c r="U219" s="128"/>
      <c r="AJ219" s="128"/>
      <c r="AK219" s="128"/>
      <c r="AL219" s="22"/>
      <c r="AM219" s="128"/>
      <c r="AN219" s="128"/>
      <c r="AO219" s="128"/>
    </row>
    <row r="220" spans="2:41" x14ac:dyDescent="0.25">
      <c r="B220" s="22" t="str">
        <f ca="1">IF(ISERROR(MATCH(B$1,INDIRECT("Table!A"&amp;$AL220):INDIRECT("Table!" &amp; $AO$275 &amp; $AL220),0)),"",INDIRECT(CONCATENATE("Table!",ADDRESS(#REF!,MATCH(B$1,INDIRECT("Table!A" &amp; $AL220):INDIRECT("Table!" &amp; $AO$275 &amp; $AL220),0))))/1024)</f>
        <v/>
      </c>
      <c r="C220" s="22" t="str">
        <f ca="1">IF(ISERROR(MATCH(C$1,INDIRECT("Table!A"&amp;$AL220):INDIRECT("Table!" &amp; $AO$275 &amp; $AL220),0)),"",INDIRECT(CONCATENATE("Table!",ADDRESS(#REF!,MATCH(C$1,INDIRECT("Table!A" &amp; $AL220):INDIRECT("Table!" &amp; $AO$275 &amp; $AL220),0))))/1024)</f>
        <v/>
      </c>
      <c r="D220" s="22" t="str">
        <f ca="1">IF(ISERROR(MATCH(D$1,INDIRECT("Table!A"&amp;$AL220):INDIRECT("Table!" &amp; $AO$275 &amp; $AL220),0)),"",INDIRECT(CONCATENATE("Table!",ADDRESS(#REF!,MATCH(D$1,INDIRECT("Table!A" &amp; $AL220):INDIRECT("Table!" &amp; $AO$275 &amp; $AL220),0))))/1024)</f>
        <v/>
      </c>
      <c r="E220" s="22" t="str">
        <f ca="1">IF(ISERROR(MATCH(E$1,INDIRECT("Table!A"&amp;$AL220):INDIRECT("Table!" &amp; $AO$275 &amp; $AL220),0)),"",INDIRECT(CONCATENATE("Table!",ADDRESS(#REF!,MATCH(E$1,INDIRECT("Table!A" &amp; $AL220):INDIRECT("Table!" &amp; $AO$275 &amp; $AL220),0))))/1024)</f>
        <v/>
      </c>
      <c r="F220" s="22" t="str">
        <f ca="1">IF(ISERROR(MATCH(F$1,INDIRECT("Table!A"&amp;$AL220):INDIRECT("Table!" &amp; $AO$275 &amp; $AL220),0)),"",INDIRECT(CONCATENATE("Table!",ADDRESS(#REF!,MATCH(F$1,INDIRECT("Table!A" &amp; $AL220):INDIRECT("Table!" &amp; $AO$275 &amp; $AL220),0))))/1024)</f>
        <v/>
      </c>
      <c r="G220" s="22" t="str">
        <f ca="1">IF(ISERROR(MATCH(G$1,INDIRECT("Table!A"&amp;$AL220):INDIRECT("Table!" &amp; $AO$275 &amp; $AL220),0)),"",INDIRECT(CONCATENATE("Table!",ADDRESS(#REF!,MATCH(G$1,INDIRECT("Table!A" &amp; $AL220):INDIRECT("Table!" &amp; $AO$275 &amp; $AL220),0))))/1024)</f>
        <v/>
      </c>
      <c r="H220" s="22" t="str">
        <f ca="1">IF(ISERROR(MATCH(H$1,INDIRECT("Table!A"&amp;$AL220):INDIRECT("Table!" &amp; $AO$275 &amp; $AL220),0)),"",INDIRECT(CONCATENATE("Table!",ADDRESS(#REF!,MATCH(H$1,INDIRECT("Table!A" &amp; $AL220):INDIRECT("Table!" &amp; $AO$275 &amp; $AL220),0))))/1024)</f>
        <v/>
      </c>
      <c r="K220" s="22" t="str">
        <f ca="1">IF(ISERROR(MATCH(L$1,INDIRECT("Table!A"&amp;$AL220):INDIRECT("Table!" &amp; $AO$275 &amp; $AL220),0)),"",INDIRECT(CONCATENATE("Table!",ADDRESS(#REF!,MATCH(L$1,INDIRECT("Table!A" &amp; $AL220):INDIRECT("Table!" &amp; $AO$275 &amp; $AL220),0))))/1024)</f>
        <v/>
      </c>
      <c r="L220" s="22" t="str">
        <f ca="1">IF(ISERROR(MATCH(M$1,INDIRECT("Table!A"&amp;$AL220):INDIRECT("Table!" &amp; $AO$275 &amp; $AL220),0)),"",INDIRECT(CONCATENATE("Table!",ADDRESS(#REF!,MATCH(M$1,INDIRECT("Table!A" &amp; $AL220):INDIRECT("Table!" &amp; $AO$275 &amp; $AL220),0))))/1024)</f>
        <v/>
      </c>
      <c r="M220" s="22" t="str">
        <f ca="1">IF(ISERROR(MATCH(N$1,INDIRECT("Table!A"&amp;$AL220):INDIRECT("Table!" &amp; $AO$275 &amp; $AL220),0)),"",INDIRECT(CONCATENATE("Table!",ADDRESS(#REF!,MATCH(N$1,INDIRECT("Table!A" &amp; $AL220):INDIRECT("Table!" &amp; $AO$275 &amp; $AL220),0))))/1024)</f>
        <v/>
      </c>
      <c r="N220" s="22" t="str">
        <f ca="1">IF(ISERROR(MATCH(O$1,INDIRECT("Table!A"&amp;$AL220):INDIRECT("Table!" &amp; $AO$275 &amp; $AL220),0)),"",INDIRECT(CONCATENATE("Table!",ADDRESS(#REF!,MATCH(O$1,INDIRECT("Table!A" &amp; $AL220):INDIRECT("Table!" &amp; $AO$275 &amp; $AL220),0))))/1024)</f>
        <v/>
      </c>
      <c r="O220" s="22"/>
      <c r="P220" s="272"/>
      <c r="Q220" s="22"/>
      <c r="R220" s="128"/>
      <c r="T220" s="595"/>
      <c r="U220" s="128"/>
      <c r="AJ220" s="128"/>
      <c r="AK220" s="128"/>
      <c r="AL220" s="22"/>
      <c r="AM220" s="128"/>
      <c r="AN220" s="128"/>
      <c r="AO220" s="128"/>
    </row>
    <row r="221" spans="2:41" x14ac:dyDescent="0.25">
      <c r="B221" s="22" t="str">
        <f ca="1">IF(ISERROR(MATCH(B$1,INDIRECT("Table!A"&amp;$AL221):INDIRECT("Table!" &amp; $AO$275 &amp; $AL221),0)),"",INDIRECT(CONCATENATE("Table!",ADDRESS(#REF!,MATCH(B$1,INDIRECT("Table!A" &amp; $AL221):INDIRECT("Table!" &amp; $AO$275 &amp; $AL221),0))))/1024)</f>
        <v/>
      </c>
      <c r="C221" s="22" t="str">
        <f ca="1">IF(ISERROR(MATCH(C$1,INDIRECT("Table!A"&amp;$AL221):INDIRECT("Table!" &amp; $AO$275 &amp; $AL221),0)),"",INDIRECT(CONCATENATE("Table!",ADDRESS(#REF!,MATCH(C$1,INDIRECT("Table!A" &amp; $AL221):INDIRECT("Table!" &amp; $AO$275 &amp; $AL221),0))))/1024)</f>
        <v/>
      </c>
      <c r="D221" s="22" t="str">
        <f ca="1">IF(ISERROR(MATCH(D$1,INDIRECT("Table!A"&amp;$AL221):INDIRECT("Table!" &amp; $AO$275 &amp; $AL221),0)),"",INDIRECT(CONCATENATE("Table!",ADDRESS(#REF!,MATCH(D$1,INDIRECT("Table!A" &amp; $AL221):INDIRECT("Table!" &amp; $AO$275 &amp; $AL221),0))))/1024)</f>
        <v/>
      </c>
      <c r="E221" s="22" t="str">
        <f ca="1">IF(ISERROR(MATCH(E$1,INDIRECT("Table!A"&amp;$AL221):INDIRECT("Table!" &amp; $AO$275 &amp; $AL221),0)),"",INDIRECT(CONCATENATE("Table!",ADDRESS(#REF!,MATCH(E$1,INDIRECT("Table!A" &amp; $AL221):INDIRECT("Table!" &amp; $AO$275 &amp; $AL221),0))))/1024)</f>
        <v/>
      </c>
      <c r="F221" s="22" t="str">
        <f ca="1">IF(ISERROR(MATCH(F$1,INDIRECT("Table!A"&amp;$AL221):INDIRECT("Table!" &amp; $AO$275 &amp; $AL221),0)),"",INDIRECT(CONCATENATE("Table!",ADDRESS(#REF!,MATCH(F$1,INDIRECT("Table!A" &amp; $AL221):INDIRECT("Table!" &amp; $AO$275 &amp; $AL221),0))))/1024)</f>
        <v/>
      </c>
      <c r="G221" s="22" t="str">
        <f ca="1">IF(ISERROR(MATCH(G$1,INDIRECT("Table!A"&amp;$AL221):INDIRECT("Table!" &amp; $AO$275 &amp; $AL221),0)),"",INDIRECT(CONCATENATE("Table!",ADDRESS(#REF!,MATCH(G$1,INDIRECT("Table!A" &amp; $AL221):INDIRECT("Table!" &amp; $AO$275 &amp; $AL221),0))))/1024)</f>
        <v/>
      </c>
      <c r="H221" s="22" t="str">
        <f ca="1">IF(ISERROR(MATCH(H$1,INDIRECT("Table!A"&amp;$AL221):INDIRECT("Table!" &amp; $AO$275 &amp; $AL221),0)),"",INDIRECT(CONCATENATE("Table!",ADDRESS(#REF!,MATCH(H$1,INDIRECT("Table!A" &amp; $AL221):INDIRECT("Table!" &amp; $AO$275 &amp; $AL221),0))))/1024)</f>
        <v/>
      </c>
      <c r="K221" s="22" t="str">
        <f ca="1">IF(ISERROR(MATCH(L$1,INDIRECT("Table!A"&amp;$AL221):INDIRECT("Table!" &amp; $AO$275 &amp; $AL221),0)),"",INDIRECT(CONCATENATE("Table!",ADDRESS(#REF!,MATCH(L$1,INDIRECT("Table!A" &amp; $AL221):INDIRECT("Table!" &amp; $AO$275 &amp; $AL221),0))))/1024)</f>
        <v/>
      </c>
      <c r="L221" s="22" t="str">
        <f ca="1">IF(ISERROR(MATCH(M$1,INDIRECT("Table!A"&amp;$AL221):INDIRECT("Table!" &amp; $AO$275 &amp; $AL221),0)),"",INDIRECT(CONCATENATE("Table!",ADDRESS(#REF!,MATCH(M$1,INDIRECT("Table!A" &amp; $AL221):INDIRECT("Table!" &amp; $AO$275 &amp; $AL221),0))))/1024)</f>
        <v/>
      </c>
      <c r="M221" s="22" t="str">
        <f ca="1">IF(ISERROR(MATCH(N$1,INDIRECT("Table!A"&amp;$AL221):INDIRECT("Table!" &amp; $AO$275 &amp; $AL221),0)),"",INDIRECT(CONCATENATE("Table!",ADDRESS(#REF!,MATCH(N$1,INDIRECT("Table!A" &amp; $AL221):INDIRECT("Table!" &amp; $AO$275 &amp; $AL221),0))))/1024)</f>
        <v/>
      </c>
      <c r="N221" s="22" t="str">
        <f ca="1">IF(ISERROR(MATCH(O$1,INDIRECT("Table!A"&amp;$AL221):INDIRECT("Table!" &amp; $AO$275 &amp; $AL221),0)),"",INDIRECT(CONCATENATE("Table!",ADDRESS(#REF!,MATCH(O$1,INDIRECT("Table!A" &amp; $AL221):INDIRECT("Table!" &amp; $AO$275 &amp; $AL221),0))))/1024)</f>
        <v/>
      </c>
      <c r="O221" s="22"/>
      <c r="P221" s="272"/>
      <c r="Q221" s="22"/>
      <c r="R221" s="88"/>
      <c r="T221" s="595"/>
      <c r="U221" s="88"/>
      <c r="AJ221" s="88"/>
      <c r="AK221" s="88"/>
      <c r="AL221" s="22"/>
      <c r="AM221" s="88"/>
      <c r="AN221" s="88"/>
      <c r="AO221" s="88"/>
    </row>
    <row r="222" spans="2:41" x14ac:dyDescent="0.25">
      <c r="B222" s="22" t="str">
        <f ca="1">IF(ISERROR(MATCH(B$1,INDIRECT("Table!A"&amp;$AL222):INDIRECT("Table!" &amp; $AO$275 &amp; $AL222),0)),"",INDIRECT(CONCATENATE("Table!",ADDRESS(#REF!,MATCH(B$1,INDIRECT("Table!A" &amp; $AL222):INDIRECT("Table!" &amp; $AO$275 &amp; $AL222),0))))/1024)</f>
        <v/>
      </c>
      <c r="C222" s="22" t="str">
        <f ca="1">IF(ISERROR(MATCH(C$1,INDIRECT("Table!A"&amp;$AL222):INDIRECT("Table!" &amp; $AO$275 &amp; $AL222),0)),"",INDIRECT(CONCATENATE("Table!",ADDRESS(#REF!,MATCH(C$1,INDIRECT("Table!A" &amp; $AL222):INDIRECT("Table!" &amp; $AO$275 &amp; $AL222),0))))/1024)</f>
        <v/>
      </c>
      <c r="D222" s="22" t="str">
        <f ca="1">IF(ISERROR(MATCH(D$1,INDIRECT("Table!A"&amp;$AL222):INDIRECT("Table!" &amp; $AO$275 &amp; $AL222),0)),"",INDIRECT(CONCATENATE("Table!",ADDRESS(#REF!,MATCH(D$1,INDIRECT("Table!A" &amp; $AL222):INDIRECT("Table!" &amp; $AO$275 &amp; $AL222),0))))/1024)</f>
        <v/>
      </c>
      <c r="E222" s="22" t="str">
        <f ca="1">IF(ISERROR(MATCH(E$1,INDIRECT("Table!A"&amp;$AL222):INDIRECT("Table!" &amp; $AO$275 &amp; $AL222),0)),"",INDIRECT(CONCATENATE("Table!",ADDRESS(#REF!,MATCH(E$1,INDIRECT("Table!A" &amp; $AL222):INDIRECT("Table!" &amp; $AO$275 &amp; $AL222),0))))/1024)</f>
        <v/>
      </c>
      <c r="F222" s="22" t="str">
        <f ca="1">IF(ISERROR(MATCH(F$1,INDIRECT("Table!A"&amp;$AL222):INDIRECT("Table!" &amp; $AO$275 &amp; $AL222),0)),"",INDIRECT(CONCATENATE("Table!",ADDRESS(#REF!,MATCH(F$1,INDIRECT("Table!A" &amp; $AL222):INDIRECT("Table!" &amp; $AO$275 &amp; $AL222),0))))/1024)</f>
        <v/>
      </c>
      <c r="G222" s="22" t="str">
        <f ca="1">IF(ISERROR(MATCH(G$1,INDIRECT("Table!A"&amp;$AL222):INDIRECT("Table!" &amp; $AO$275 &amp; $AL222),0)),"",INDIRECT(CONCATENATE("Table!",ADDRESS(#REF!,MATCH(G$1,INDIRECT("Table!A" &amp; $AL222):INDIRECT("Table!" &amp; $AO$275 &amp; $AL222),0))))/1024)</f>
        <v/>
      </c>
      <c r="H222" s="22" t="str">
        <f ca="1">IF(ISERROR(MATCH(H$1,INDIRECT("Table!A"&amp;$AL222):INDIRECT("Table!" &amp; $AO$275 &amp; $AL222),0)),"",INDIRECT(CONCATENATE("Table!",ADDRESS(#REF!,MATCH(H$1,INDIRECT("Table!A" &amp; $AL222):INDIRECT("Table!" &amp; $AO$275 &amp; $AL222),0))))/1024)</f>
        <v/>
      </c>
      <c r="K222" s="22" t="str">
        <f ca="1">IF(ISERROR(MATCH(L$1,INDIRECT("Table!A"&amp;$AL222):INDIRECT("Table!" &amp; $AO$275 &amp; $AL222),0)),"",INDIRECT(CONCATENATE("Table!",ADDRESS(#REF!,MATCH(L$1,INDIRECT("Table!A" &amp; $AL222):INDIRECT("Table!" &amp; $AO$275 &amp; $AL222),0))))/1024)</f>
        <v/>
      </c>
      <c r="L222" s="22" t="str">
        <f ca="1">IF(ISERROR(MATCH(M$1,INDIRECT("Table!A"&amp;$AL222):INDIRECT("Table!" &amp; $AO$275 &amp; $AL222),0)),"",INDIRECT(CONCATENATE("Table!",ADDRESS(#REF!,MATCH(M$1,INDIRECT("Table!A" &amp; $AL222):INDIRECT("Table!" &amp; $AO$275 &amp; $AL222),0))))/1024)</f>
        <v/>
      </c>
      <c r="M222" s="22" t="str">
        <f ca="1">IF(ISERROR(MATCH(N$1,INDIRECT("Table!A"&amp;$AL222):INDIRECT("Table!" &amp; $AO$275 &amp; $AL222),0)),"",INDIRECT(CONCATENATE("Table!",ADDRESS(#REF!,MATCH(N$1,INDIRECT("Table!A" &amp; $AL222):INDIRECT("Table!" &amp; $AO$275 &amp; $AL222),0))))/1024)</f>
        <v/>
      </c>
      <c r="N222" s="22" t="str">
        <f ca="1">IF(ISERROR(MATCH(O$1,INDIRECT("Table!A"&amp;$AL222):INDIRECT("Table!" &amp; $AO$275 &amp; $AL222),0)),"",INDIRECT(CONCATENATE("Table!",ADDRESS(#REF!,MATCH(O$1,INDIRECT("Table!A" &amp; $AL222):INDIRECT("Table!" &amp; $AO$275 &amp; $AL222),0))))/1024)</f>
        <v/>
      </c>
      <c r="O222" s="22"/>
      <c r="P222" s="272"/>
      <c r="Q222" s="22"/>
      <c r="R222" s="123"/>
      <c r="T222" s="595"/>
      <c r="U222" s="123"/>
      <c r="AJ222" s="123"/>
      <c r="AK222" s="123"/>
      <c r="AL222" s="22"/>
      <c r="AM222" s="123"/>
      <c r="AN222" s="123"/>
      <c r="AO222" s="123"/>
    </row>
    <row r="223" spans="2:41" x14ac:dyDescent="0.25">
      <c r="B223" s="22" t="str">
        <f ca="1">IF(ISERROR(MATCH(B$1,INDIRECT("Table!A"&amp;$AL223):INDIRECT("Table!" &amp; $AO$275 &amp; $AL223),0)),"",INDIRECT(CONCATENATE("Table!",ADDRESS(#REF!,MATCH(B$1,INDIRECT("Table!A" &amp; $AL223):INDIRECT("Table!" &amp; $AO$275 &amp; $AL223),0))))/1024)</f>
        <v/>
      </c>
      <c r="C223" s="22" t="str">
        <f ca="1">IF(ISERROR(MATCH(C$1,INDIRECT("Table!A"&amp;$AL223):INDIRECT("Table!" &amp; $AO$275 &amp; $AL223),0)),"",INDIRECT(CONCATENATE("Table!",ADDRESS(#REF!,MATCH(C$1,INDIRECT("Table!A" &amp; $AL223):INDIRECT("Table!" &amp; $AO$275 &amp; $AL223),0))))/1024)</f>
        <v/>
      </c>
      <c r="D223" s="22" t="str">
        <f ca="1">IF(ISERROR(MATCH(D$1,INDIRECT("Table!A"&amp;$AL223):INDIRECT("Table!" &amp; $AO$275 &amp; $AL223),0)),"",INDIRECT(CONCATENATE("Table!",ADDRESS(#REF!,MATCH(D$1,INDIRECT("Table!A" &amp; $AL223):INDIRECT("Table!" &amp; $AO$275 &amp; $AL223),0))))/1024)</f>
        <v/>
      </c>
      <c r="E223" s="22" t="str">
        <f ca="1">IF(ISERROR(MATCH(E$1,INDIRECT("Table!A"&amp;$AL223):INDIRECT("Table!" &amp; $AO$275 &amp; $AL223),0)),"",INDIRECT(CONCATENATE("Table!",ADDRESS(#REF!,MATCH(E$1,INDIRECT("Table!A" &amp; $AL223):INDIRECT("Table!" &amp; $AO$275 &amp; $AL223),0))))/1024)</f>
        <v/>
      </c>
      <c r="F223" s="22" t="str">
        <f ca="1">IF(ISERROR(MATCH(F$1,INDIRECT("Table!A"&amp;$AL223):INDIRECT("Table!" &amp; $AO$275 &amp; $AL223),0)),"",INDIRECT(CONCATENATE("Table!",ADDRESS(#REF!,MATCH(F$1,INDIRECT("Table!A" &amp; $AL223):INDIRECT("Table!" &amp; $AO$275 &amp; $AL223),0))))/1024)</f>
        <v/>
      </c>
      <c r="G223" s="22" t="str">
        <f ca="1">IF(ISERROR(MATCH(G$1,INDIRECT("Table!A"&amp;$AL223):INDIRECT("Table!" &amp; $AO$275 &amp; $AL223),0)),"",INDIRECT(CONCATENATE("Table!",ADDRESS(#REF!,MATCH(G$1,INDIRECT("Table!A" &amp; $AL223):INDIRECT("Table!" &amp; $AO$275 &amp; $AL223),0))))/1024)</f>
        <v/>
      </c>
      <c r="H223" s="22" t="str">
        <f ca="1">IF(ISERROR(MATCH(H$1,INDIRECT("Table!A"&amp;$AL223):INDIRECT("Table!" &amp; $AO$275 &amp; $AL223),0)),"",INDIRECT(CONCATENATE("Table!",ADDRESS(#REF!,MATCH(H$1,INDIRECT("Table!A" &amp; $AL223):INDIRECT("Table!" &amp; $AO$275 &amp; $AL223),0))))/1024)</f>
        <v/>
      </c>
      <c r="K223" s="22" t="str">
        <f ca="1">IF(ISERROR(MATCH(L$1,INDIRECT("Table!A"&amp;$AL223):INDIRECT("Table!" &amp; $AO$275 &amp; $AL223),0)),"",INDIRECT(CONCATENATE("Table!",ADDRESS(#REF!,MATCH(L$1,INDIRECT("Table!A" &amp; $AL223):INDIRECT("Table!" &amp; $AO$275 &amp; $AL223),0))))/1024)</f>
        <v/>
      </c>
      <c r="L223" s="22" t="str">
        <f ca="1">IF(ISERROR(MATCH(M$1,INDIRECT("Table!A"&amp;$AL223):INDIRECT("Table!" &amp; $AO$275 &amp; $AL223),0)),"",INDIRECT(CONCATENATE("Table!",ADDRESS(#REF!,MATCH(M$1,INDIRECT("Table!A" &amp; $AL223):INDIRECT("Table!" &amp; $AO$275 &amp; $AL223),0))))/1024)</f>
        <v/>
      </c>
      <c r="M223" s="22" t="str">
        <f ca="1">IF(ISERROR(MATCH(N$1,INDIRECT("Table!A"&amp;$AL223):INDIRECT("Table!" &amp; $AO$275 &amp; $AL223),0)),"",INDIRECT(CONCATENATE("Table!",ADDRESS(#REF!,MATCH(N$1,INDIRECT("Table!A" &amp; $AL223):INDIRECT("Table!" &amp; $AO$275 &amp; $AL223),0))))/1024)</f>
        <v/>
      </c>
      <c r="N223" s="22" t="str">
        <f ca="1">IF(ISERROR(MATCH(O$1,INDIRECT("Table!A"&amp;$AL223):INDIRECT("Table!" &amp; $AO$275 &amp; $AL223),0)),"",INDIRECT(CONCATENATE("Table!",ADDRESS(#REF!,MATCH(O$1,INDIRECT("Table!A" &amp; $AL223):INDIRECT("Table!" &amp; $AO$275 &amp; $AL223),0))))/1024)</f>
        <v/>
      </c>
      <c r="O223" s="22"/>
      <c r="P223" s="272"/>
      <c r="Q223" s="22"/>
      <c r="R223" s="122"/>
      <c r="T223" s="595"/>
      <c r="U223" s="122"/>
      <c r="AJ223" s="122"/>
      <c r="AK223" s="122"/>
      <c r="AL223" s="22"/>
      <c r="AM223" s="122"/>
      <c r="AN223" s="122"/>
      <c r="AO223" s="122"/>
    </row>
    <row r="224" spans="2:41" x14ac:dyDescent="0.25">
      <c r="B224" s="22" t="str">
        <f ca="1">IF(ISERROR(MATCH(B$1,INDIRECT("Table!A"&amp;$AL224):INDIRECT("Table!" &amp; $AO$275 &amp; $AL224),0)),"",INDIRECT(CONCATENATE("Table!",ADDRESS(#REF!,MATCH(B$1,INDIRECT("Table!A" &amp; $AL224):INDIRECT("Table!" &amp; $AO$275 &amp; $AL224),0))))/1024)</f>
        <v/>
      </c>
      <c r="C224" s="22" t="str">
        <f ca="1">IF(ISERROR(MATCH(C$1,INDIRECT("Table!A"&amp;$AL224):INDIRECT("Table!" &amp; $AO$275 &amp; $AL224),0)),"",INDIRECT(CONCATENATE("Table!",ADDRESS(#REF!,MATCH(C$1,INDIRECT("Table!A" &amp; $AL224):INDIRECT("Table!" &amp; $AO$275 &amp; $AL224),0))))/1024)</f>
        <v/>
      </c>
      <c r="D224" s="22" t="str">
        <f ca="1">IF(ISERROR(MATCH(D$1,INDIRECT("Table!A"&amp;$AL224):INDIRECT("Table!" &amp; $AO$275 &amp; $AL224),0)),"",INDIRECT(CONCATENATE("Table!",ADDRESS(#REF!,MATCH(D$1,INDIRECT("Table!A" &amp; $AL224):INDIRECT("Table!" &amp; $AO$275 &amp; $AL224),0))))/1024)</f>
        <v/>
      </c>
      <c r="E224" s="22" t="str">
        <f ca="1">IF(ISERROR(MATCH(E$1,INDIRECT("Table!A"&amp;$AL224):INDIRECT("Table!" &amp; $AO$275 &amp; $AL224),0)),"",INDIRECT(CONCATENATE("Table!",ADDRESS(#REF!,MATCH(E$1,INDIRECT("Table!A" &amp; $AL224):INDIRECT("Table!" &amp; $AO$275 &amp; $AL224),0))))/1024)</f>
        <v/>
      </c>
      <c r="F224" s="22" t="str">
        <f ca="1">IF(ISERROR(MATCH(F$1,INDIRECT("Table!A"&amp;$AL224):INDIRECT("Table!" &amp; $AO$275 &amp; $AL224),0)),"",INDIRECT(CONCATENATE("Table!",ADDRESS(#REF!,MATCH(F$1,INDIRECT("Table!A" &amp; $AL224):INDIRECT("Table!" &amp; $AO$275 &amp; $AL224),0))))/1024)</f>
        <v/>
      </c>
      <c r="G224" s="22" t="str">
        <f ca="1">IF(ISERROR(MATCH(G$1,INDIRECT("Table!A"&amp;$AL224):INDIRECT("Table!" &amp; $AO$275 &amp; $AL224),0)),"",INDIRECT(CONCATENATE("Table!",ADDRESS(#REF!,MATCH(G$1,INDIRECT("Table!A" &amp; $AL224):INDIRECT("Table!" &amp; $AO$275 &amp; $AL224),0))))/1024)</f>
        <v/>
      </c>
      <c r="H224" s="22" t="str">
        <f ca="1">IF(ISERROR(MATCH(H$1,INDIRECT("Table!A"&amp;$AL224):INDIRECT("Table!" &amp; $AO$275 &amp; $AL224),0)),"",INDIRECT(CONCATENATE("Table!",ADDRESS(#REF!,MATCH(H$1,INDIRECT("Table!A" &amp; $AL224):INDIRECT("Table!" &amp; $AO$275 &amp; $AL224),0))))/1024)</f>
        <v/>
      </c>
      <c r="K224" s="22" t="str">
        <f ca="1">IF(ISERROR(MATCH(L$1,INDIRECT("Table!A"&amp;$AL224):INDIRECT("Table!" &amp; $AO$275 &amp; $AL224),0)),"",INDIRECT(CONCATENATE("Table!",ADDRESS(#REF!,MATCH(L$1,INDIRECT("Table!A" &amp; $AL224):INDIRECT("Table!" &amp; $AO$275 &amp; $AL224),0))))/1024)</f>
        <v/>
      </c>
      <c r="L224" s="22" t="str">
        <f ca="1">IF(ISERROR(MATCH(M$1,INDIRECT("Table!A"&amp;$AL224):INDIRECT("Table!" &amp; $AO$275 &amp; $AL224),0)),"",INDIRECT(CONCATENATE("Table!",ADDRESS(#REF!,MATCH(M$1,INDIRECT("Table!A" &amp; $AL224):INDIRECT("Table!" &amp; $AO$275 &amp; $AL224),0))))/1024)</f>
        <v/>
      </c>
      <c r="M224" s="22" t="str">
        <f ca="1">IF(ISERROR(MATCH(N$1,INDIRECT("Table!A"&amp;$AL224):INDIRECT("Table!" &amp; $AO$275 &amp; $AL224),0)),"",INDIRECT(CONCATENATE("Table!",ADDRESS(#REF!,MATCH(N$1,INDIRECT("Table!A" &amp; $AL224):INDIRECT("Table!" &amp; $AO$275 &amp; $AL224),0))))/1024)</f>
        <v/>
      </c>
      <c r="N224" s="22" t="str">
        <f ca="1">IF(ISERROR(MATCH(O$1,INDIRECT("Table!A"&amp;$AL224):INDIRECT("Table!" &amp; $AO$275 &amp; $AL224),0)),"",INDIRECT(CONCATENATE("Table!",ADDRESS(#REF!,MATCH(O$1,INDIRECT("Table!A" &amp; $AL224):INDIRECT("Table!" &amp; $AO$275 &amp; $AL224),0))))/1024)</f>
        <v/>
      </c>
      <c r="O224" s="22"/>
      <c r="P224" s="272"/>
      <c r="Q224" s="22"/>
      <c r="R224" s="121"/>
      <c r="T224" s="595"/>
      <c r="U224" s="121"/>
      <c r="AJ224" s="121"/>
      <c r="AK224" s="121"/>
      <c r="AL224" s="22"/>
      <c r="AM224" s="121"/>
      <c r="AN224" s="121"/>
      <c r="AO224" s="121"/>
    </row>
    <row r="225" spans="2:41" x14ac:dyDescent="0.25">
      <c r="B225" s="22" t="str">
        <f ca="1">IF(ISERROR(MATCH(B$1,INDIRECT("Table!A"&amp;$AL225):INDIRECT("Table!" &amp; $AO$275 &amp; $AL225),0)),"",INDIRECT(CONCATENATE("Table!",ADDRESS(#REF!,MATCH(B$1,INDIRECT("Table!A" &amp; $AL225):INDIRECT("Table!" &amp; $AO$275 &amp; $AL225),0))))/1024)</f>
        <v/>
      </c>
      <c r="C225" s="22" t="str">
        <f ca="1">IF(ISERROR(MATCH(C$1,INDIRECT("Table!A"&amp;$AL225):INDIRECT("Table!" &amp; $AO$275 &amp; $AL225),0)),"",INDIRECT(CONCATENATE("Table!",ADDRESS(#REF!,MATCH(C$1,INDIRECT("Table!A" &amp; $AL225):INDIRECT("Table!" &amp; $AO$275 &amp; $AL225),0))))/1024)</f>
        <v/>
      </c>
      <c r="D225" s="22" t="str">
        <f ca="1">IF(ISERROR(MATCH(D$1,INDIRECT("Table!A"&amp;$AL225):INDIRECT("Table!" &amp; $AO$275 &amp; $AL225),0)),"",INDIRECT(CONCATENATE("Table!",ADDRESS(#REF!,MATCH(D$1,INDIRECT("Table!A" &amp; $AL225):INDIRECT("Table!" &amp; $AO$275 &amp; $AL225),0))))/1024)</f>
        <v/>
      </c>
      <c r="E225" s="22" t="str">
        <f ca="1">IF(ISERROR(MATCH(E$1,INDIRECT("Table!A"&amp;$AL225):INDIRECT("Table!" &amp; $AO$275 &amp; $AL225),0)),"",INDIRECT(CONCATENATE("Table!",ADDRESS(#REF!,MATCH(E$1,INDIRECT("Table!A" &amp; $AL225):INDIRECT("Table!" &amp; $AO$275 &amp; $AL225),0))))/1024)</f>
        <v/>
      </c>
      <c r="F225" s="22" t="str">
        <f ca="1">IF(ISERROR(MATCH(F$1,INDIRECT("Table!A"&amp;$AL225):INDIRECT("Table!" &amp; $AO$275 &amp; $AL225),0)),"",INDIRECT(CONCATENATE("Table!",ADDRESS(#REF!,MATCH(F$1,INDIRECT("Table!A" &amp; $AL225):INDIRECT("Table!" &amp; $AO$275 &amp; $AL225),0))))/1024)</f>
        <v/>
      </c>
      <c r="G225" s="22" t="str">
        <f ca="1">IF(ISERROR(MATCH(G$1,INDIRECT("Table!A"&amp;$AL225):INDIRECT("Table!" &amp; $AO$275 &amp; $AL225),0)),"",INDIRECT(CONCATENATE("Table!",ADDRESS(#REF!,MATCH(G$1,INDIRECT("Table!A" &amp; $AL225):INDIRECT("Table!" &amp; $AO$275 &amp; $AL225),0))))/1024)</f>
        <v/>
      </c>
      <c r="H225" s="22" t="str">
        <f ca="1">IF(ISERROR(MATCH(H$1,INDIRECT("Table!A"&amp;$AL225):INDIRECT("Table!" &amp; $AO$275 &amp; $AL225),0)),"",INDIRECT(CONCATENATE("Table!",ADDRESS(#REF!,MATCH(H$1,INDIRECT("Table!A" &amp; $AL225):INDIRECT("Table!" &amp; $AO$275 &amp; $AL225),0))))/1024)</f>
        <v/>
      </c>
      <c r="K225" s="22" t="str">
        <f ca="1">IF(ISERROR(MATCH(L$1,INDIRECT("Table!A"&amp;$AL225):INDIRECT("Table!" &amp; $AO$275 &amp; $AL225),0)),"",INDIRECT(CONCATENATE("Table!",ADDRESS(#REF!,MATCH(L$1,INDIRECT("Table!A" &amp; $AL225):INDIRECT("Table!" &amp; $AO$275 &amp; $AL225),0))))/1024)</f>
        <v/>
      </c>
      <c r="L225" s="22" t="str">
        <f ca="1">IF(ISERROR(MATCH(M$1,INDIRECT("Table!A"&amp;$AL225):INDIRECT("Table!" &amp; $AO$275 &amp; $AL225),0)),"",INDIRECT(CONCATENATE("Table!",ADDRESS(#REF!,MATCH(M$1,INDIRECT("Table!A" &amp; $AL225):INDIRECT("Table!" &amp; $AO$275 &amp; $AL225),0))))/1024)</f>
        <v/>
      </c>
      <c r="M225" s="22" t="str">
        <f ca="1">IF(ISERROR(MATCH(N$1,INDIRECT("Table!A"&amp;$AL225):INDIRECT("Table!" &amp; $AO$275 &amp; $AL225),0)),"",INDIRECT(CONCATENATE("Table!",ADDRESS(#REF!,MATCH(N$1,INDIRECT("Table!A" &amp; $AL225):INDIRECT("Table!" &amp; $AO$275 &amp; $AL225),0))))/1024)</f>
        <v/>
      </c>
      <c r="N225" s="22" t="str">
        <f ca="1">IF(ISERROR(MATCH(O$1,INDIRECT("Table!A"&amp;$AL225):INDIRECT("Table!" &amp; $AO$275 &amp; $AL225),0)),"",INDIRECT(CONCATENATE("Table!",ADDRESS(#REF!,MATCH(O$1,INDIRECT("Table!A" &amp; $AL225):INDIRECT("Table!" &amp; $AO$275 &amp; $AL225),0))))/1024)</f>
        <v/>
      </c>
      <c r="O225" s="22"/>
      <c r="P225" s="272"/>
      <c r="Q225" s="22"/>
      <c r="R225" s="120"/>
      <c r="T225" s="595"/>
      <c r="U225" s="120"/>
      <c r="AJ225" s="120"/>
      <c r="AK225" s="120"/>
      <c r="AL225" s="22"/>
      <c r="AM225" s="120"/>
      <c r="AN225" s="120"/>
      <c r="AO225" s="120"/>
    </row>
    <row r="226" spans="2:41" x14ac:dyDescent="0.25">
      <c r="B226" s="22" t="str">
        <f ca="1">IF(ISERROR(MATCH(B$1,INDIRECT("Table!A"&amp;$AL226):INDIRECT("Table!" &amp; $AO$275 &amp; $AL226),0)),"",INDIRECT(CONCATENATE("Table!",ADDRESS(#REF!,MATCH(B$1,INDIRECT("Table!A" &amp; $AL226):INDIRECT("Table!" &amp; $AO$275 &amp; $AL226),0))))/1024)</f>
        <v/>
      </c>
      <c r="C226" s="22" t="str">
        <f ca="1">IF(ISERROR(MATCH(C$1,INDIRECT("Table!A"&amp;$AL226):INDIRECT("Table!" &amp; $AO$275 &amp; $AL226),0)),"",INDIRECT(CONCATENATE("Table!",ADDRESS(#REF!,MATCH(C$1,INDIRECT("Table!A" &amp; $AL226):INDIRECT("Table!" &amp; $AO$275 &amp; $AL226),0))))/1024)</f>
        <v/>
      </c>
      <c r="D226" s="22" t="str">
        <f ca="1">IF(ISERROR(MATCH(D$1,INDIRECT("Table!A"&amp;$AL226):INDIRECT("Table!" &amp; $AO$275 &amp; $AL226),0)),"",INDIRECT(CONCATENATE("Table!",ADDRESS(#REF!,MATCH(D$1,INDIRECT("Table!A" &amp; $AL226):INDIRECT("Table!" &amp; $AO$275 &amp; $AL226),0))))/1024)</f>
        <v/>
      </c>
      <c r="E226" s="22" t="str">
        <f ca="1">IF(ISERROR(MATCH(E$1,INDIRECT("Table!A"&amp;$AL226):INDIRECT("Table!" &amp; $AO$275 &amp; $AL226),0)),"",INDIRECT(CONCATENATE("Table!",ADDRESS(#REF!,MATCH(E$1,INDIRECT("Table!A" &amp; $AL226):INDIRECT("Table!" &amp; $AO$275 &amp; $AL226),0))))/1024)</f>
        <v/>
      </c>
      <c r="F226" s="22" t="str">
        <f ca="1">IF(ISERROR(MATCH(F$1,INDIRECT("Table!A"&amp;$AL226):INDIRECT("Table!" &amp; $AO$275 &amp; $AL226),0)),"",INDIRECT(CONCATENATE("Table!",ADDRESS(#REF!,MATCH(F$1,INDIRECT("Table!A" &amp; $AL226):INDIRECT("Table!" &amp; $AO$275 &amp; $AL226),0))))/1024)</f>
        <v/>
      </c>
      <c r="G226" s="22" t="str">
        <f ca="1">IF(ISERROR(MATCH(G$1,INDIRECT("Table!A"&amp;$AL226):INDIRECT("Table!" &amp; $AO$275 &amp; $AL226),0)),"",INDIRECT(CONCATENATE("Table!",ADDRESS(#REF!,MATCH(G$1,INDIRECT("Table!A" &amp; $AL226):INDIRECT("Table!" &amp; $AO$275 &amp; $AL226),0))))/1024)</f>
        <v/>
      </c>
      <c r="H226" s="22" t="str">
        <f ca="1">IF(ISERROR(MATCH(H$1,INDIRECT("Table!A"&amp;$AL226):INDIRECT("Table!" &amp; $AO$275 &amp; $AL226),0)),"",INDIRECT(CONCATENATE("Table!",ADDRESS(#REF!,MATCH(H$1,INDIRECT("Table!A" &amp; $AL226):INDIRECT("Table!" &amp; $AO$275 &amp; $AL226),0))))/1024)</f>
        <v/>
      </c>
      <c r="K226" s="22" t="str">
        <f ca="1">IF(ISERROR(MATCH(L$1,INDIRECT("Table!A"&amp;$AL226):INDIRECT("Table!" &amp; $AO$275 &amp; $AL226),0)),"",INDIRECT(CONCATENATE("Table!",ADDRESS(#REF!,MATCH(L$1,INDIRECT("Table!A" &amp; $AL226):INDIRECT("Table!" &amp; $AO$275 &amp; $AL226),0))))/1024)</f>
        <v/>
      </c>
      <c r="L226" s="22" t="str">
        <f ca="1">IF(ISERROR(MATCH(M$1,INDIRECT("Table!A"&amp;$AL226):INDIRECT("Table!" &amp; $AO$275 &amp; $AL226),0)),"",INDIRECT(CONCATENATE("Table!",ADDRESS(#REF!,MATCH(M$1,INDIRECT("Table!A" &amp; $AL226):INDIRECT("Table!" &amp; $AO$275 &amp; $AL226),0))))/1024)</f>
        <v/>
      </c>
      <c r="M226" s="22" t="str">
        <f ca="1">IF(ISERROR(MATCH(N$1,INDIRECT("Table!A"&amp;$AL226):INDIRECT("Table!" &amp; $AO$275 &amp; $AL226),0)),"",INDIRECT(CONCATENATE("Table!",ADDRESS(#REF!,MATCH(N$1,INDIRECT("Table!A" &amp; $AL226):INDIRECT("Table!" &amp; $AO$275 &amp; $AL226),0))))/1024)</f>
        <v/>
      </c>
      <c r="N226" s="22" t="str">
        <f ca="1">IF(ISERROR(MATCH(O$1,INDIRECT("Table!A"&amp;$AL226):INDIRECT("Table!" &amp; $AO$275 &amp; $AL226),0)),"",INDIRECT(CONCATENATE("Table!",ADDRESS(#REF!,MATCH(O$1,INDIRECT("Table!A" &amp; $AL226):INDIRECT("Table!" &amp; $AO$275 &amp; $AL226),0))))/1024)</f>
        <v/>
      </c>
      <c r="O226" s="22"/>
      <c r="P226" s="272"/>
      <c r="Q226" s="22"/>
      <c r="R226" s="119"/>
      <c r="T226" s="595"/>
      <c r="U226" s="119"/>
      <c r="AJ226" s="119"/>
      <c r="AK226" s="119"/>
      <c r="AL226" s="22"/>
      <c r="AM226" s="119"/>
      <c r="AN226" s="119"/>
      <c r="AO226" s="119"/>
    </row>
    <row r="227" spans="2:41" x14ac:dyDescent="0.25">
      <c r="B227" s="22" t="str">
        <f ca="1">IF(ISERROR(MATCH(B$1,INDIRECT("Table!A"&amp;$AL227):INDIRECT("Table!" &amp; $AO$275 &amp; $AL227),0)),"",INDIRECT(CONCATENATE("Table!",ADDRESS(#REF!,MATCH(B$1,INDIRECT("Table!A" &amp; $AL227):INDIRECT("Table!" &amp; $AO$275 &amp; $AL227),0))))/1024)</f>
        <v/>
      </c>
      <c r="C227" s="22" t="str">
        <f ca="1">IF(ISERROR(MATCH(C$1,INDIRECT("Table!A"&amp;$AL227):INDIRECT("Table!" &amp; $AO$275 &amp; $AL227),0)),"",INDIRECT(CONCATENATE("Table!",ADDRESS(#REF!,MATCH(C$1,INDIRECT("Table!A" &amp; $AL227):INDIRECT("Table!" &amp; $AO$275 &amp; $AL227),0))))/1024)</f>
        <v/>
      </c>
      <c r="D227" s="22" t="str">
        <f ca="1">IF(ISERROR(MATCH(D$1,INDIRECT("Table!A"&amp;$AL227):INDIRECT("Table!" &amp; $AO$275 &amp; $AL227),0)),"",INDIRECT(CONCATENATE("Table!",ADDRESS(#REF!,MATCH(D$1,INDIRECT("Table!A" &amp; $AL227):INDIRECT("Table!" &amp; $AO$275 &amp; $AL227),0))))/1024)</f>
        <v/>
      </c>
      <c r="E227" s="22" t="str">
        <f ca="1">IF(ISERROR(MATCH(E$1,INDIRECT("Table!A"&amp;$AL227):INDIRECT("Table!" &amp; $AO$275 &amp; $AL227),0)),"",INDIRECT(CONCATENATE("Table!",ADDRESS(#REF!,MATCH(E$1,INDIRECT("Table!A" &amp; $AL227):INDIRECT("Table!" &amp; $AO$275 &amp; $AL227),0))))/1024)</f>
        <v/>
      </c>
      <c r="F227" s="22" t="str">
        <f ca="1">IF(ISERROR(MATCH(F$1,INDIRECT("Table!A"&amp;$AL227):INDIRECT("Table!" &amp; $AO$275 &amp; $AL227),0)),"",INDIRECT(CONCATENATE("Table!",ADDRESS(#REF!,MATCH(F$1,INDIRECT("Table!A" &amp; $AL227):INDIRECT("Table!" &amp; $AO$275 &amp; $AL227),0))))/1024)</f>
        <v/>
      </c>
      <c r="G227" s="22" t="str">
        <f ca="1">IF(ISERROR(MATCH(G$1,INDIRECT("Table!A"&amp;$AL227):INDIRECT("Table!" &amp; $AO$275 &amp; $AL227),0)),"",INDIRECT(CONCATENATE("Table!",ADDRESS(#REF!,MATCH(G$1,INDIRECT("Table!A" &amp; $AL227):INDIRECT("Table!" &amp; $AO$275 &amp; $AL227),0))))/1024)</f>
        <v/>
      </c>
      <c r="H227" s="22" t="str">
        <f ca="1">IF(ISERROR(MATCH(H$1,INDIRECT("Table!A"&amp;$AL227):INDIRECT("Table!" &amp; $AO$275 &amp; $AL227),0)),"",INDIRECT(CONCATENATE("Table!",ADDRESS(#REF!,MATCH(H$1,INDIRECT("Table!A" &amp; $AL227):INDIRECT("Table!" &amp; $AO$275 &amp; $AL227),0))))/1024)</f>
        <v/>
      </c>
      <c r="K227" s="22" t="str">
        <f ca="1">IF(ISERROR(MATCH(L$1,INDIRECT("Table!A"&amp;$AL227):INDIRECT("Table!" &amp; $AO$275 &amp; $AL227),0)),"",INDIRECT(CONCATENATE("Table!",ADDRESS(#REF!,MATCH(L$1,INDIRECT("Table!A" &amp; $AL227):INDIRECT("Table!" &amp; $AO$275 &amp; $AL227),0))))/1024)</f>
        <v/>
      </c>
      <c r="L227" s="22" t="str">
        <f ca="1">IF(ISERROR(MATCH(M$1,INDIRECT("Table!A"&amp;$AL227):INDIRECT("Table!" &amp; $AO$275 &amp; $AL227),0)),"",INDIRECT(CONCATENATE("Table!",ADDRESS(#REF!,MATCH(M$1,INDIRECT("Table!A" &amp; $AL227):INDIRECT("Table!" &amp; $AO$275 &amp; $AL227),0))))/1024)</f>
        <v/>
      </c>
      <c r="M227" s="22" t="str">
        <f ca="1">IF(ISERROR(MATCH(N$1,INDIRECT("Table!A"&amp;$AL227):INDIRECT("Table!" &amp; $AO$275 &amp; $AL227),0)),"",INDIRECT(CONCATENATE("Table!",ADDRESS(#REF!,MATCH(N$1,INDIRECT("Table!A" &amp; $AL227):INDIRECT("Table!" &amp; $AO$275 &amp; $AL227),0))))/1024)</f>
        <v/>
      </c>
      <c r="N227" s="22" t="str">
        <f ca="1">IF(ISERROR(MATCH(O$1,INDIRECT("Table!A"&amp;$AL227):INDIRECT("Table!" &amp; $AO$275 &amp; $AL227),0)),"",INDIRECT(CONCATENATE("Table!",ADDRESS(#REF!,MATCH(O$1,INDIRECT("Table!A" &amp; $AL227):INDIRECT("Table!" &amp; $AO$275 &amp; $AL227),0))))/1024)</f>
        <v/>
      </c>
      <c r="O227" s="22"/>
      <c r="P227" s="272"/>
      <c r="Q227" s="22"/>
      <c r="R227" s="118"/>
      <c r="T227" s="595"/>
      <c r="U227" s="118"/>
      <c r="AJ227" s="118"/>
      <c r="AK227" s="118"/>
      <c r="AL227" s="22"/>
      <c r="AM227" s="118"/>
      <c r="AN227" s="118"/>
      <c r="AO227" s="118"/>
    </row>
    <row r="228" spans="2:41" x14ac:dyDescent="0.25">
      <c r="B228" s="22" t="str">
        <f ca="1">IF(ISERROR(MATCH(B$1,INDIRECT("Table!A"&amp;$AL228):INDIRECT("Table!" &amp; $AO$275 &amp; $AL228),0)),"",INDIRECT(CONCATENATE("Table!",ADDRESS(#REF!,MATCH(B$1,INDIRECT("Table!A" &amp; $AL228):INDIRECT("Table!" &amp; $AO$275 &amp; $AL228),0))))/1024)</f>
        <v/>
      </c>
      <c r="C228" s="22" t="str">
        <f ca="1">IF(ISERROR(MATCH(C$1,INDIRECT("Table!A"&amp;$AL228):INDIRECT("Table!" &amp; $AO$275 &amp; $AL228),0)),"",INDIRECT(CONCATENATE("Table!",ADDRESS(#REF!,MATCH(C$1,INDIRECT("Table!A" &amp; $AL228):INDIRECT("Table!" &amp; $AO$275 &amp; $AL228),0))))/1024)</f>
        <v/>
      </c>
      <c r="D228" s="22" t="str">
        <f ca="1">IF(ISERROR(MATCH(D$1,INDIRECT("Table!A"&amp;$AL228):INDIRECT("Table!" &amp; $AO$275 &amp; $AL228),0)),"",INDIRECT(CONCATENATE("Table!",ADDRESS(#REF!,MATCH(D$1,INDIRECT("Table!A" &amp; $AL228):INDIRECT("Table!" &amp; $AO$275 &amp; $AL228),0))))/1024)</f>
        <v/>
      </c>
      <c r="E228" s="22" t="str">
        <f ca="1">IF(ISERROR(MATCH(E$1,INDIRECT("Table!A"&amp;$AL228):INDIRECT("Table!" &amp; $AO$275 &amp; $AL228),0)),"",INDIRECT(CONCATENATE("Table!",ADDRESS(#REF!,MATCH(E$1,INDIRECT("Table!A" &amp; $AL228):INDIRECT("Table!" &amp; $AO$275 &amp; $AL228),0))))/1024)</f>
        <v/>
      </c>
      <c r="F228" s="22" t="str">
        <f ca="1">IF(ISERROR(MATCH(F$1,INDIRECT("Table!A"&amp;$AL228):INDIRECT("Table!" &amp; $AO$275 &amp; $AL228),0)),"",INDIRECT(CONCATENATE("Table!",ADDRESS(#REF!,MATCH(F$1,INDIRECT("Table!A" &amp; $AL228):INDIRECT("Table!" &amp; $AO$275 &amp; $AL228),0))))/1024)</f>
        <v/>
      </c>
      <c r="G228" s="22" t="str">
        <f ca="1">IF(ISERROR(MATCH(G$1,INDIRECT("Table!A"&amp;$AL228):INDIRECT("Table!" &amp; $AO$275 &amp; $AL228),0)),"",INDIRECT(CONCATENATE("Table!",ADDRESS(#REF!,MATCH(G$1,INDIRECT("Table!A" &amp; $AL228):INDIRECT("Table!" &amp; $AO$275 &amp; $AL228),0))))/1024)</f>
        <v/>
      </c>
      <c r="H228" s="22" t="str">
        <f ca="1">IF(ISERROR(MATCH(H$1,INDIRECT("Table!A"&amp;$AL228):INDIRECT("Table!" &amp; $AO$275 &amp; $AL228),0)),"",INDIRECT(CONCATENATE("Table!",ADDRESS(#REF!,MATCH(H$1,INDIRECT("Table!A" &amp; $AL228):INDIRECT("Table!" &amp; $AO$275 &amp; $AL228),0))))/1024)</f>
        <v/>
      </c>
      <c r="K228" s="22" t="str">
        <f ca="1">IF(ISERROR(MATCH(L$1,INDIRECT("Table!A"&amp;$AL228):INDIRECT("Table!" &amp; $AO$275 &amp; $AL228),0)),"",INDIRECT(CONCATENATE("Table!",ADDRESS(#REF!,MATCH(L$1,INDIRECT("Table!A" &amp; $AL228):INDIRECT("Table!" &amp; $AO$275 &amp; $AL228),0))))/1024)</f>
        <v/>
      </c>
      <c r="L228" s="22" t="str">
        <f ca="1">IF(ISERROR(MATCH(M$1,INDIRECT("Table!A"&amp;$AL228):INDIRECT("Table!" &amp; $AO$275 &amp; $AL228),0)),"",INDIRECT(CONCATENATE("Table!",ADDRESS(#REF!,MATCH(M$1,INDIRECT("Table!A" &amp; $AL228):INDIRECT("Table!" &amp; $AO$275 &amp; $AL228),0))))/1024)</f>
        <v/>
      </c>
      <c r="M228" s="22" t="str">
        <f ca="1">IF(ISERROR(MATCH(N$1,INDIRECT("Table!A"&amp;$AL228):INDIRECT("Table!" &amp; $AO$275 &amp; $AL228),0)),"",INDIRECT(CONCATENATE("Table!",ADDRESS(#REF!,MATCH(N$1,INDIRECT("Table!A" &amp; $AL228):INDIRECT("Table!" &amp; $AO$275 &amp; $AL228),0))))/1024)</f>
        <v/>
      </c>
      <c r="N228" s="22" t="str">
        <f ca="1">IF(ISERROR(MATCH(O$1,INDIRECT("Table!A"&amp;$AL228):INDIRECT("Table!" &amp; $AO$275 &amp; $AL228),0)),"",INDIRECT(CONCATENATE("Table!",ADDRESS(#REF!,MATCH(O$1,INDIRECT("Table!A" &amp; $AL228):INDIRECT("Table!" &amp; $AO$275 &amp; $AL228),0))))/1024)</f>
        <v/>
      </c>
      <c r="O228" s="22"/>
      <c r="P228" s="272"/>
      <c r="Q228" s="22"/>
      <c r="R228" s="117"/>
      <c r="T228" s="595"/>
      <c r="U228" s="117"/>
      <c r="AJ228" s="117"/>
      <c r="AK228" s="117"/>
      <c r="AL228" s="22"/>
      <c r="AM228" s="117"/>
      <c r="AN228" s="117"/>
      <c r="AO228" s="117"/>
    </row>
    <row r="229" spans="2:41" x14ac:dyDescent="0.25">
      <c r="B229" s="22" t="str">
        <f ca="1">IF(ISERROR(MATCH(B$1,INDIRECT("Table!A"&amp;$AL229):INDIRECT("Table!" &amp; $AO$275 &amp; $AL229),0)),"",INDIRECT(CONCATENATE("Table!",ADDRESS(#REF!,MATCH(B$1,INDIRECT("Table!A" &amp; $AL229):INDIRECT("Table!" &amp; $AO$275 &amp; $AL229),0))))/1024)</f>
        <v/>
      </c>
      <c r="C229" s="22" t="str">
        <f ca="1">IF(ISERROR(MATCH(C$1,INDIRECT("Table!A"&amp;$AL229):INDIRECT("Table!" &amp; $AO$275 &amp; $AL229),0)),"",INDIRECT(CONCATENATE("Table!",ADDRESS(#REF!,MATCH(C$1,INDIRECT("Table!A" &amp; $AL229):INDIRECT("Table!" &amp; $AO$275 &amp; $AL229),0))))/1024)</f>
        <v/>
      </c>
      <c r="D229" s="22" t="str">
        <f ca="1">IF(ISERROR(MATCH(D$1,INDIRECT("Table!A"&amp;$AL229):INDIRECT("Table!" &amp; $AO$275 &amp; $AL229),0)),"",INDIRECT(CONCATENATE("Table!",ADDRESS(#REF!,MATCH(D$1,INDIRECT("Table!A" &amp; $AL229):INDIRECT("Table!" &amp; $AO$275 &amp; $AL229),0))))/1024)</f>
        <v/>
      </c>
      <c r="E229" s="22" t="str">
        <f ca="1">IF(ISERROR(MATCH(E$1,INDIRECT("Table!A"&amp;$AL229):INDIRECT("Table!" &amp; $AO$275 &amp; $AL229),0)),"",INDIRECT(CONCATENATE("Table!",ADDRESS(#REF!,MATCH(E$1,INDIRECT("Table!A" &amp; $AL229):INDIRECT("Table!" &amp; $AO$275 &amp; $AL229),0))))/1024)</f>
        <v/>
      </c>
      <c r="F229" s="22" t="str">
        <f ca="1">IF(ISERROR(MATCH(F$1,INDIRECT("Table!A"&amp;$AL229):INDIRECT("Table!" &amp; $AO$275 &amp; $AL229),0)),"",INDIRECT(CONCATENATE("Table!",ADDRESS(#REF!,MATCH(F$1,INDIRECT("Table!A" &amp; $AL229):INDIRECT("Table!" &amp; $AO$275 &amp; $AL229),0))))/1024)</f>
        <v/>
      </c>
      <c r="G229" s="22" t="str">
        <f ca="1">IF(ISERROR(MATCH(G$1,INDIRECT("Table!A"&amp;$AL229):INDIRECT("Table!" &amp; $AO$275 &amp; $AL229),0)),"",INDIRECT(CONCATENATE("Table!",ADDRESS(#REF!,MATCH(G$1,INDIRECT("Table!A" &amp; $AL229):INDIRECT("Table!" &amp; $AO$275 &amp; $AL229),0))))/1024)</f>
        <v/>
      </c>
      <c r="H229" s="22" t="str">
        <f ca="1">IF(ISERROR(MATCH(H$1,INDIRECT("Table!A"&amp;$AL229):INDIRECT("Table!" &amp; $AO$275 &amp; $AL229),0)),"",INDIRECT(CONCATENATE("Table!",ADDRESS(#REF!,MATCH(H$1,INDIRECT("Table!A" &amp; $AL229):INDIRECT("Table!" &amp; $AO$275 &amp; $AL229),0))))/1024)</f>
        <v/>
      </c>
      <c r="K229" s="22" t="str">
        <f ca="1">IF(ISERROR(MATCH(L$1,INDIRECT("Table!A"&amp;$AL229):INDIRECT("Table!" &amp; $AO$275 &amp; $AL229),0)),"",INDIRECT(CONCATENATE("Table!",ADDRESS(#REF!,MATCH(L$1,INDIRECT("Table!A" &amp; $AL229):INDIRECT("Table!" &amp; $AO$275 &amp; $AL229),0))))/1024)</f>
        <v/>
      </c>
      <c r="L229" s="22" t="str">
        <f ca="1">IF(ISERROR(MATCH(M$1,INDIRECT("Table!A"&amp;$AL229):INDIRECT("Table!" &amp; $AO$275 &amp; $AL229),0)),"",INDIRECT(CONCATENATE("Table!",ADDRESS(#REF!,MATCH(M$1,INDIRECT("Table!A" &amp; $AL229):INDIRECT("Table!" &amp; $AO$275 &amp; $AL229),0))))/1024)</f>
        <v/>
      </c>
      <c r="M229" s="22" t="str">
        <f ca="1">IF(ISERROR(MATCH(N$1,INDIRECT("Table!A"&amp;$AL229):INDIRECT("Table!" &amp; $AO$275 &amp; $AL229),0)),"",INDIRECT(CONCATENATE("Table!",ADDRESS(#REF!,MATCH(N$1,INDIRECT("Table!A" &amp; $AL229):INDIRECT("Table!" &amp; $AO$275 &amp; $AL229),0))))/1024)</f>
        <v/>
      </c>
      <c r="N229" s="22" t="str">
        <f ca="1">IF(ISERROR(MATCH(O$1,INDIRECT("Table!A"&amp;$AL229):INDIRECT("Table!" &amp; $AO$275 &amp; $AL229),0)),"",INDIRECT(CONCATENATE("Table!",ADDRESS(#REF!,MATCH(O$1,INDIRECT("Table!A" &amp; $AL229):INDIRECT("Table!" &amp; $AO$275 &amp; $AL229),0))))/1024)</f>
        <v/>
      </c>
      <c r="O229" s="22"/>
      <c r="P229" s="272"/>
      <c r="Q229" s="22"/>
      <c r="R229" s="116"/>
      <c r="T229" s="595"/>
      <c r="U229" s="116"/>
      <c r="AJ229" s="116"/>
      <c r="AK229" s="116"/>
      <c r="AL229" s="22"/>
      <c r="AM229" s="116"/>
      <c r="AN229" s="116"/>
      <c r="AO229" s="116"/>
    </row>
    <row r="230" spans="2:41" x14ac:dyDescent="0.25">
      <c r="B230" s="22" t="str">
        <f ca="1">IF(ISERROR(MATCH(B$1,INDIRECT("Table!A"&amp;$AL230):INDIRECT("Table!" &amp; $AO$275 &amp; $AL230),0)),"",INDIRECT(CONCATENATE("Table!",ADDRESS(#REF!,MATCH(B$1,INDIRECT("Table!A" &amp; $AL230):INDIRECT("Table!" &amp; $AO$275 &amp; $AL230),0))))/1024)</f>
        <v/>
      </c>
      <c r="C230" s="22" t="str">
        <f ca="1">IF(ISERROR(MATCH(C$1,INDIRECT("Table!A"&amp;$AL230):INDIRECT("Table!" &amp; $AO$275 &amp; $AL230),0)),"",INDIRECT(CONCATENATE("Table!",ADDRESS(#REF!,MATCH(C$1,INDIRECT("Table!A" &amp; $AL230):INDIRECT("Table!" &amp; $AO$275 &amp; $AL230),0))))/1024)</f>
        <v/>
      </c>
      <c r="D230" s="22" t="str">
        <f ca="1">IF(ISERROR(MATCH(D$1,INDIRECT("Table!A"&amp;$AL230):INDIRECT("Table!" &amp; $AO$275 &amp; $AL230),0)),"",INDIRECT(CONCATENATE("Table!",ADDRESS(#REF!,MATCH(D$1,INDIRECT("Table!A" &amp; $AL230):INDIRECT("Table!" &amp; $AO$275 &amp; $AL230),0))))/1024)</f>
        <v/>
      </c>
      <c r="E230" s="22" t="str">
        <f ca="1">IF(ISERROR(MATCH(E$1,INDIRECT("Table!A"&amp;$AL230):INDIRECT("Table!" &amp; $AO$275 &amp; $AL230),0)),"",INDIRECT(CONCATENATE("Table!",ADDRESS(#REF!,MATCH(E$1,INDIRECT("Table!A" &amp; $AL230):INDIRECT("Table!" &amp; $AO$275 &amp; $AL230),0))))/1024)</f>
        <v/>
      </c>
      <c r="F230" s="22" t="str">
        <f ca="1">IF(ISERROR(MATCH(F$1,INDIRECT("Table!A"&amp;$AL230):INDIRECT("Table!" &amp; $AO$275 &amp; $AL230),0)),"",INDIRECT(CONCATENATE("Table!",ADDRESS(#REF!,MATCH(F$1,INDIRECT("Table!A" &amp; $AL230):INDIRECT("Table!" &amp; $AO$275 &amp; $AL230),0))))/1024)</f>
        <v/>
      </c>
      <c r="G230" s="22" t="str">
        <f ca="1">IF(ISERROR(MATCH(G$1,INDIRECT("Table!A"&amp;$AL230):INDIRECT("Table!" &amp; $AO$275 &amp; $AL230),0)),"",INDIRECT(CONCATENATE("Table!",ADDRESS(#REF!,MATCH(G$1,INDIRECT("Table!A" &amp; $AL230):INDIRECT("Table!" &amp; $AO$275 &amp; $AL230),0))))/1024)</f>
        <v/>
      </c>
      <c r="H230" s="22" t="str">
        <f ca="1">IF(ISERROR(MATCH(H$1,INDIRECT("Table!A"&amp;$AL230):INDIRECT("Table!" &amp; $AO$275 &amp; $AL230),0)),"",INDIRECT(CONCATENATE("Table!",ADDRESS(#REF!,MATCH(H$1,INDIRECT("Table!A" &amp; $AL230):INDIRECT("Table!" &amp; $AO$275 &amp; $AL230),0))))/1024)</f>
        <v/>
      </c>
      <c r="K230" s="22" t="str">
        <f ca="1">IF(ISERROR(MATCH(L$1,INDIRECT("Table!A"&amp;$AL230):INDIRECT("Table!" &amp; $AO$275 &amp; $AL230),0)),"",INDIRECT(CONCATENATE("Table!",ADDRESS(#REF!,MATCH(L$1,INDIRECT("Table!A" &amp; $AL230):INDIRECT("Table!" &amp; $AO$275 &amp; $AL230),0))))/1024)</f>
        <v/>
      </c>
      <c r="L230" s="22" t="str">
        <f ca="1">IF(ISERROR(MATCH(M$1,INDIRECT("Table!A"&amp;$AL230):INDIRECT("Table!" &amp; $AO$275 &amp; $AL230),0)),"",INDIRECT(CONCATENATE("Table!",ADDRESS(#REF!,MATCH(M$1,INDIRECT("Table!A" &amp; $AL230):INDIRECT("Table!" &amp; $AO$275 &amp; $AL230),0))))/1024)</f>
        <v/>
      </c>
      <c r="M230" s="22" t="str">
        <f ca="1">IF(ISERROR(MATCH(N$1,INDIRECT("Table!A"&amp;$AL230):INDIRECT("Table!" &amp; $AO$275 &amp; $AL230),0)),"",INDIRECT(CONCATENATE("Table!",ADDRESS(#REF!,MATCH(N$1,INDIRECT("Table!A" &amp; $AL230):INDIRECT("Table!" &amp; $AO$275 &amp; $AL230),0))))/1024)</f>
        <v/>
      </c>
      <c r="N230" s="22" t="str">
        <f ca="1">IF(ISERROR(MATCH(O$1,INDIRECT("Table!A"&amp;$AL230):INDIRECT("Table!" &amp; $AO$275 &amp; $AL230),0)),"",INDIRECT(CONCATENATE("Table!",ADDRESS(#REF!,MATCH(O$1,INDIRECT("Table!A" &amp; $AL230):INDIRECT("Table!" &amp; $AO$275 &amp; $AL230),0))))/1024)</f>
        <v/>
      </c>
      <c r="O230" s="22"/>
      <c r="P230" s="272"/>
      <c r="Q230" s="22"/>
      <c r="R230" s="115"/>
      <c r="T230" s="595"/>
      <c r="U230" s="115"/>
      <c r="AJ230" s="115"/>
      <c r="AK230" s="115"/>
      <c r="AL230" s="22"/>
      <c r="AM230" s="115"/>
      <c r="AN230" s="115"/>
      <c r="AO230" s="115"/>
    </row>
    <row r="231" spans="2:41" x14ac:dyDescent="0.25">
      <c r="B231" s="22" t="str">
        <f ca="1">IF(ISERROR(MATCH(B$1,INDIRECT("Table!A"&amp;$AL231):INDIRECT("Table!" &amp; $AO$275 &amp; $AL231),0)),"",INDIRECT(CONCATENATE("Table!",ADDRESS(#REF!,MATCH(B$1,INDIRECT("Table!A" &amp; $AL231):INDIRECT("Table!" &amp; $AO$275 &amp; $AL231),0))))/1024)</f>
        <v/>
      </c>
      <c r="C231" s="22" t="str">
        <f ca="1">IF(ISERROR(MATCH(C$1,INDIRECT("Table!A"&amp;$AL231):INDIRECT("Table!" &amp; $AO$275 &amp; $AL231),0)),"",INDIRECT(CONCATENATE("Table!",ADDRESS(#REF!,MATCH(C$1,INDIRECT("Table!A" &amp; $AL231):INDIRECT("Table!" &amp; $AO$275 &amp; $AL231),0))))/1024)</f>
        <v/>
      </c>
      <c r="D231" s="22" t="str">
        <f ca="1">IF(ISERROR(MATCH(D$1,INDIRECT("Table!A"&amp;$AL231):INDIRECT("Table!" &amp; $AO$275 &amp; $AL231),0)),"",INDIRECT(CONCATENATE("Table!",ADDRESS(#REF!,MATCH(D$1,INDIRECT("Table!A" &amp; $AL231):INDIRECT("Table!" &amp; $AO$275 &amp; $AL231),0))))/1024)</f>
        <v/>
      </c>
      <c r="E231" s="22" t="str">
        <f ca="1">IF(ISERROR(MATCH(E$1,INDIRECT("Table!A"&amp;$AL231):INDIRECT("Table!" &amp; $AO$275 &amp; $AL231),0)),"",INDIRECT(CONCATENATE("Table!",ADDRESS(#REF!,MATCH(E$1,INDIRECT("Table!A" &amp; $AL231):INDIRECT("Table!" &amp; $AO$275 &amp; $AL231),0))))/1024)</f>
        <v/>
      </c>
      <c r="F231" s="22" t="str">
        <f ca="1">IF(ISERROR(MATCH(F$1,INDIRECT("Table!A"&amp;$AL231):INDIRECT("Table!" &amp; $AO$275 &amp; $AL231),0)),"",INDIRECT(CONCATENATE("Table!",ADDRESS(#REF!,MATCH(F$1,INDIRECT("Table!A" &amp; $AL231):INDIRECT("Table!" &amp; $AO$275 &amp; $AL231),0))))/1024)</f>
        <v/>
      </c>
      <c r="G231" s="22" t="str">
        <f ca="1">IF(ISERROR(MATCH(G$1,INDIRECT("Table!A"&amp;$AL231):INDIRECT("Table!" &amp; $AO$275 &amp; $AL231),0)),"",INDIRECT(CONCATENATE("Table!",ADDRESS(#REF!,MATCH(G$1,INDIRECT("Table!A" &amp; $AL231):INDIRECT("Table!" &amp; $AO$275 &amp; $AL231),0))))/1024)</f>
        <v/>
      </c>
      <c r="H231" s="22" t="str">
        <f ca="1">IF(ISERROR(MATCH(H$1,INDIRECT("Table!A"&amp;$AL231):INDIRECT("Table!" &amp; $AO$275 &amp; $AL231),0)),"",INDIRECT(CONCATENATE("Table!",ADDRESS(#REF!,MATCH(H$1,INDIRECT("Table!A" &amp; $AL231):INDIRECT("Table!" &amp; $AO$275 &amp; $AL231),0))))/1024)</f>
        <v/>
      </c>
      <c r="K231" s="22" t="str">
        <f ca="1">IF(ISERROR(MATCH(L$1,INDIRECT("Table!A"&amp;$AL231):INDIRECT("Table!" &amp; $AO$275 &amp; $AL231),0)),"",INDIRECT(CONCATENATE("Table!",ADDRESS(#REF!,MATCH(L$1,INDIRECT("Table!A" &amp; $AL231):INDIRECT("Table!" &amp; $AO$275 &amp; $AL231),0))))/1024)</f>
        <v/>
      </c>
      <c r="L231" s="22" t="str">
        <f ca="1">IF(ISERROR(MATCH(M$1,INDIRECT("Table!A"&amp;$AL231):INDIRECT("Table!" &amp; $AO$275 &amp; $AL231),0)),"",INDIRECT(CONCATENATE("Table!",ADDRESS(#REF!,MATCH(M$1,INDIRECT("Table!A" &amp; $AL231):INDIRECT("Table!" &amp; $AO$275 &amp; $AL231),0))))/1024)</f>
        <v/>
      </c>
      <c r="M231" s="22" t="str">
        <f ca="1">IF(ISERROR(MATCH(N$1,INDIRECT("Table!A"&amp;$AL231):INDIRECT("Table!" &amp; $AO$275 &amp; $AL231),0)),"",INDIRECT(CONCATENATE("Table!",ADDRESS(#REF!,MATCH(N$1,INDIRECT("Table!A" &amp; $AL231):INDIRECT("Table!" &amp; $AO$275 &amp; $AL231),0))))/1024)</f>
        <v/>
      </c>
      <c r="N231" s="22" t="str">
        <f ca="1">IF(ISERROR(MATCH(O$1,INDIRECT("Table!A"&amp;$AL231):INDIRECT("Table!" &amp; $AO$275 &amp; $AL231),0)),"",INDIRECT(CONCATENATE("Table!",ADDRESS(#REF!,MATCH(O$1,INDIRECT("Table!A" &amp; $AL231):INDIRECT("Table!" &amp; $AO$275 &amp; $AL231),0))))/1024)</f>
        <v/>
      </c>
      <c r="O231" s="22"/>
      <c r="P231" s="272"/>
      <c r="Q231" s="22"/>
      <c r="R231" s="114"/>
      <c r="T231" s="595"/>
      <c r="U231" s="114"/>
      <c r="AJ231" s="114"/>
      <c r="AK231" s="114"/>
      <c r="AL231" s="22"/>
      <c r="AM231" s="114"/>
      <c r="AN231" s="114"/>
      <c r="AO231" s="114"/>
    </row>
    <row r="232" spans="2:41" x14ac:dyDescent="0.25">
      <c r="B232" s="22" t="str">
        <f ca="1">IF(ISERROR(MATCH(B$1,INDIRECT("Table!A"&amp;$AL232):INDIRECT("Table!" &amp; $AO$275 &amp; $AL232),0)),"",INDIRECT(CONCATENATE("Table!",ADDRESS(#REF!,MATCH(B$1,INDIRECT("Table!A" &amp; $AL232):INDIRECT("Table!" &amp; $AO$275 &amp; $AL232),0))))/1024)</f>
        <v/>
      </c>
      <c r="C232" s="22" t="str">
        <f ca="1">IF(ISERROR(MATCH(C$1,INDIRECT("Table!A"&amp;$AL232):INDIRECT("Table!" &amp; $AO$275 &amp; $AL232),0)),"",INDIRECT(CONCATENATE("Table!",ADDRESS(#REF!,MATCH(C$1,INDIRECT("Table!A" &amp; $AL232):INDIRECT("Table!" &amp; $AO$275 &amp; $AL232),0))))/1024)</f>
        <v/>
      </c>
      <c r="D232" s="22" t="str">
        <f ca="1">IF(ISERROR(MATCH(D$1,INDIRECT("Table!A"&amp;$AL232):INDIRECT("Table!" &amp; $AO$275 &amp; $AL232),0)),"",INDIRECT(CONCATENATE("Table!",ADDRESS(#REF!,MATCH(D$1,INDIRECT("Table!A" &amp; $AL232):INDIRECT("Table!" &amp; $AO$275 &amp; $AL232),0))))/1024)</f>
        <v/>
      </c>
      <c r="E232" s="22" t="str">
        <f ca="1">IF(ISERROR(MATCH(E$1,INDIRECT("Table!A"&amp;$AL232):INDIRECT("Table!" &amp; $AO$275 &amp; $AL232),0)),"",INDIRECT(CONCATENATE("Table!",ADDRESS(#REF!,MATCH(E$1,INDIRECT("Table!A" &amp; $AL232):INDIRECT("Table!" &amp; $AO$275 &amp; $AL232),0))))/1024)</f>
        <v/>
      </c>
      <c r="F232" s="22" t="str">
        <f ca="1">IF(ISERROR(MATCH(F$1,INDIRECT("Table!A"&amp;$AL232):INDIRECT("Table!" &amp; $AO$275 &amp; $AL232),0)),"",INDIRECT(CONCATENATE("Table!",ADDRESS(#REF!,MATCH(F$1,INDIRECT("Table!A" &amp; $AL232):INDIRECT("Table!" &amp; $AO$275 &amp; $AL232),0))))/1024)</f>
        <v/>
      </c>
      <c r="G232" s="22" t="str">
        <f ca="1">IF(ISERROR(MATCH(G$1,INDIRECT("Table!A"&amp;$AL232):INDIRECT("Table!" &amp; $AO$275 &amp; $AL232),0)),"",INDIRECT(CONCATENATE("Table!",ADDRESS(#REF!,MATCH(G$1,INDIRECT("Table!A" &amp; $AL232):INDIRECT("Table!" &amp; $AO$275 &amp; $AL232),0))))/1024)</f>
        <v/>
      </c>
      <c r="H232" s="22" t="str">
        <f ca="1">IF(ISERROR(MATCH(H$1,INDIRECT("Table!A"&amp;$AL232):INDIRECT("Table!" &amp; $AO$275 &amp; $AL232),0)),"",INDIRECT(CONCATENATE("Table!",ADDRESS(#REF!,MATCH(H$1,INDIRECT("Table!A" &amp; $AL232):INDIRECT("Table!" &amp; $AO$275 &amp; $AL232),0))))/1024)</f>
        <v/>
      </c>
      <c r="K232" s="22" t="str">
        <f ca="1">IF(ISERROR(MATCH(L$1,INDIRECT("Table!A"&amp;$AL232):INDIRECT("Table!" &amp; $AO$275 &amp; $AL232),0)),"",INDIRECT(CONCATENATE("Table!",ADDRESS(#REF!,MATCH(L$1,INDIRECT("Table!A" &amp; $AL232):INDIRECT("Table!" &amp; $AO$275 &amp; $AL232),0))))/1024)</f>
        <v/>
      </c>
      <c r="L232" s="22" t="str">
        <f ca="1">IF(ISERROR(MATCH(M$1,INDIRECT("Table!A"&amp;$AL232):INDIRECT("Table!" &amp; $AO$275 &amp; $AL232),0)),"",INDIRECT(CONCATENATE("Table!",ADDRESS(#REF!,MATCH(M$1,INDIRECT("Table!A" &amp; $AL232):INDIRECT("Table!" &amp; $AO$275 &amp; $AL232),0))))/1024)</f>
        <v/>
      </c>
      <c r="M232" s="22" t="str">
        <f ca="1">IF(ISERROR(MATCH(N$1,INDIRECT("Table!A"&amp;$AL232):INDIRECT("Table!" &amp; $AO$275 &amp; $AL232),0)),"",INDIRECT(CONCATENATE("Table!",ADDRESS(#REF!,MATCH(N$1,INDIRECT("Table!A" &amp; $AL232):INDIRECT("Table!" &amp; $AO$275 &amp; $AL232),0))))/1024)</f>
        <v/>
      </c>
      <c r="N232" s="22" t="str">
        <f ca="1">IF(ISERROR(MATCH(O$1,INDIRECT("Table!A"&amp;$AL232):INDIRECT("Table!" &amp; $AO$275 &amp; $AL232),0)),"",INDIRECT(CONCATENATE("Table!",ADDRESS(#REF!,MATCH(O$1,INDIRECT("Table!A" &amp; $AL232):INDIRECT("Table!" &amp; $AO$275 &amp; $AL232),0))))/1024)</f>
        <v/>
      </c>
      <c r="O232" s="22"/>
      <c r="P232" s="272"/>
      <c r="Q232" s="22"/>
      <c r="R232" s="113"/>
      <c r="T232" s="595"/>
      <c r="U232" s="113"/>
      <c r="AJ232" s="113"/>
      <c r="AK232" s="113"/>
      <c r="AL232" s="22"/>
      <c r="AM232" s="113"/>
      <c r="AN232" s="113"/>
      <c r="AO232" s="113"/>
    </row>
    <row r="233" spans="2:41" x14ac:dyDescent="0.25">
      <c r="B233" s="22" t="str">
        <f ca="1">IF(ISERROR(MATCH(B$1,INDIRECT("Table!A"&amp;$AL233):INDIRECT("Table!" &amp; $AO$275 &amp; $AL233),0)),"",INDIRECT(CONCATENATE("Table!",ADDRESS(#REF!,MATCH(B$1,INDIRECT("Table!A" &amp; $AL233):INDIRECT("Table!" &amp; $AO$275 &amp; $AL233),0))))/1024)</f>
        <v/>
      </c>
      <c r="C233" s="22" t="str">
        <f ca="1">IF(ISERROR(MATCH(C$1,INDIRECT("Table!A"&amp;$AL233):INDIRECT("Table!" &amp; $AO$275 &amp; $AL233),0)),"",INDIRECT(CONCATENATE("Table!",ADDRESS(#REF!,MATCH(C$1,INDIRECT("Table!A" &amp; $AL233):INDIRECT("Table!" &amp; $AO$275 &amp; $AL233),0))))/1024)</f>
        <v/>
      </c>
      <c r="D233" s="22" t="str">
        <f ca="1">IF(ISERROR(MATCH(D$1,INDIRECT("Table!A"&amp;$AL233):INDIRECT("Table!" &amp; $AO$275 &amp; $AL233),0)),"",INDIRECT(CONCATENATE("Table!",ADDRESS(#REF!,MATCH(D$1,INDIRECT("Table!A" &amp; $AL233):INDIRECT("Table!" &amp; $AO$275 &amp; $AL233),0))))/1024)</f>
        <v/>
      </c>
      <c r="E233" s="22" t="str">
        <f ca="1">IF(ISERROR(MATCH(E$1,INDIRECT("Table!A"&amp;$AL233):INDIRECT("Table!" &amp; $AO$275 &amp; $AL233),0)),"",INDIRECT(CONCATENATE("Table!",ADDRESS(#REF!,MATCH(E$1,INDIRECT("Table!A" &amp; $AL233):INDIRECT("Table!" &amp; $AO$275 &amp; $AL233),0))))/1024)</f>
        <v/>
      </c>
      <c r="F233" s="22" t="str">
        <f ca="1">IF(ISERROR(MATCH(F$1,INDIRECT("Table!A"&amp;$AL233):INDIRECT("Table!" &amp; $AO$275 &amp; $AL233),0)),"",INDIRECT(CONCATENATE("Table!",ADDRESS(#REF!,MATCH(F$1,INDIRECT("Table!A" &amp; $AL233):INDIRECT("Table!" &amp; $AO$275 &amp; $AL233),0))))/1024)</f>
        <v/>
      </c>
      <c r="G233" s="22" t="str">
        <f ca="1">IF(ISERROR(MATCH(G$1,INDIRECT("Table!A"&amp;$AL233):INDIRECT("Table!" &amp; $AO$275 &amp; $AL233),0)),"",INDIRECT(CONCATENATE("Table!",ADDRESS(#REF!,MATCH(G$1,INDIRECT("Table!A" &amp; $AL233):INDIRECT("Table!" &amp; $AO$275 &amp; $AL233),0))))/1024)</f>
        <v/>
      </c>
      <c r="H233" s="22" t="str">
        <f ca="1">IF(ISERROR(MATCH(H$1,INDIRECT("Table!A"&amp;$AL233):INDIRECT("Table!" &amp; $AO$275 &amp; $AL233),0)),"",INDIRECT(CONCATENATE("Table!",ADDRESS(#REF!,MATCH(H$1,INDIRECT("Table!A" &amp; $AL233):INDIRECT("Table!" &amp; $AO$275 &amp; $AL233),0))))/1024)</f>
        <v/>
      </c>
      <c r="K233" s="22" t="str">
        <f ca="1">IF(ISERROR(MATCH(L$1,INDIRECT("Table!A"&amp;$AL233):INDIRECT("Table!" &amp; $AO$275 &amp; $AL233),0)),"",INDIRECT(CONCATENATE("Table!",ADDRESS(#REF!,MATCH(L$1,INDIRECT("Table!A" &amp; $AL233):INDIRECT("Table!" &amp; $AO$275 &amp; $AL233),0))))/1024)</f>
        <v/>
      </c>
      <c r="L233" s="22" t="str">
        <f ca="1">IF(ISERROR(MATCH(M$1,INDIRECT("Table!A"&amp;$AL233):INDIRECT("Table!" &amp; $AO$275 &amp; $AL233),0)),"",INDIRECT(CONCATENATE("Table!",ADDRESS(#REF!,MATCH(M$1,INDIRECT("Table!A" &amp; $AL233):INDIRECT("Table!" &amp; $AO$275 &amp; $AL233),0))))/1024)</f>
        <v/>
      </c>
      <c r="M233" s="22" t="str">
        <f ca="1">IF(ISERROR(MATCH(N$1,INDIRECT("Table!A"&amp;$AL233):INDIRECT("Table!" &amp; $AO$275 &amp; $AL233),0)),"",INDIRECT(CONCATENATE("Table!",ADDRESS(#REF!,MATCH(N$1,INDIRECT("Table!A" &amp; $AL233):INDIRECT("Table!" &amp; $AO$275 &amp; $AL233),0))))/1024)</f>
        <v/>
      </c>
      <c r="N233" s="22" t="str">
        <f ca="1">IF(ISERROR(MATCH(O$1,INDIRECT("Table!A"&amp;$AL233):INDIRECT("Table!" &amp; $AO$275 &amp; $AL233),0)),"",INDIRECT(CONCATENATE("Table!",ADDRESS(#REF!,MATCH(O$1,INDIRECT("Table!A" &amp; $AL233):INDIRECT("Table!" &amp; $AO$275 &amp; $AL233),0))))/1024)</f>
        <v/>
      </c>
      <c r="O233" s="22"/>
      <c r="P233" s="272"/>
      <c r="Q233" s="22"/>
      <c r="R233" s="112"/>
      <c r="T233" s="595"/>
      <c r="U233" s="112"/>
      <c r="AJ233" s="112"/>
      <c r="AK233" s="112"/>
      <c r="AL233" s="22"/>
      <c r="AM233" s="112"/>
      <c r="AN233" s="112"/>
      <c r="AO233" s="112"/>
    </row>
    <row r="234" spans="2:41" x14ac:dyDescent="0.25">
      <c r="B234" s="22" t="str">
        <f ca="1">IF(ISERROR(MATCH(B$1,INDIRECT("Table!A"&amp;$AL234):INDIRECT("Table!" &amp; $AO$275 &amp; $AL234),0)),"",INDIRECT(CONCATENATE("Table!",ADDRESS(#REF!,MATCH(B$1,INDIRECT("Table!A" &amp; $AL234):INDIRECT("Table!" &amp; $AO$275 &amp; $AL234),0))))/1024)</f>
        <v/>
      </c>
      <c r="C234" s="22" t="str">
        <f ca="1">IF(ISERROR(MATCH(C$1,INDIRECT("Table!A"&amp;$AL234):INDIRECT("Table!" &amp; $AO$275 &amp; $AL234),0)),"",INDIRECT(CONCATENATE("Table!",ADDRESS(#REF!,MATCH(C$1,INDIRECT("Table!A" &amp; $AL234):INDIRECT("Table!" &amp; $AO$275 &amp; $AL234),0))))/1024)</f>
        <v/>
      </c>
      <c r="D234" s="22" t="str">
        <f ca="1">IF(ISERROR(MATCH(D$1,INDIRECT("Table!A"&amp;$AL234):INDIRECT("Table!" &amp; $AO$275 &amp; $AL234),0)),"",INDIRECT(CONCATENATE("Table!",ADDRESS(#REF!,MATCH(D$1,INDIRECT("Table!A" &amp; $AL234):INDIRECT("Table!" &amp; $AO$275 &amp; $AL234),0))))/1024)</f>
        <v/>
      </c>
      <c r="E234" s="22" t="str">
        <f ca="1">IF(ISERROR(MATCH(E$1,INDIRECT("Table!A"&amp;$AL234):INDIRECT("Table!" &amp; $AO$275 &amp; $AL234),0)),"",INDIRECT(CONCATENATE("Table!",ADDRESS(#REF!,MATCH(E$1,INDIRECT("Table!A" &amp; $AL234):INDIRECT("Table!" &amp; $AO$275 &amp; $AL234),0))))/1024)</f>
        <v/>
      </c>
      <c r="F234" s="22" t="str">
        <f ca="1">IF(ISERROR(MATCH(F$1,INDIRECT("Table!A"&amp;$AL234):INDIRECT("Table!" &amp; $AO$275 &amp; $AL234),0)),"",INDIRECT(CONCATENATE("Table!",ADDRESS(#REF!,MATCH(F$1,INDIRECT("Table!A" &amp; $AL234):INDIRECT("Table!" &amp; $AO$275 &amp; $AL234),0))))/1024)</f>
        <v/>
      </c>
      <c r="G234" s="22" t="str">
        <f ca="1">IF(ISERROR(MATCH(G$1,INDIRECT("Table!A"&amp;$AL234):INDIRECT("Table!" &amp; $AO$275 &amp; $AL234),0)),"",INDIRECT(CONCATENATE("Table!",ADDRESS(#REF!,MATCH(G$1,INDIRECT("Table!A" &amp; $AL234):INDIRECT("Table!" &amp; $AO$275 &amp; $AL234),0))))/1024)</f>
        <v/>
      </c>
      <c r="H234" s="22" t="str">
        <f ca="1">IF(ISERROR(MATCH(H$1,INDIRECT("Table!A"&amp;$AL234):INDIRECT("Table!" &amp; $AO$275 &amp; $AL234),0)),"",INDIRECT(CONCATENATE("Table!",ADDRESS(#REF!,MATCH(H$1,INDIRECT("Table!A" &amp; $AL234):INDIRECT("Table!" &amp; $AO$275 &amp; $AL234),0))))/1024)</f>
        <v/>
      </c>
      <c r="K234" s="22" t="str">
        <f ca="1">IF(ISERROR(MATCH(L$1,INDIRECT("Table!A"&amp;$AL234):INDIRECT("Table!" &amp; $AO$275 &amp; $AL234),0)),"",INDIRECT(CONCATENATE("Table!",ADDRESS(#REF!,MATCH(L$1,INDIRECT("Table!A" &amp; $AL234):INDIRECT("Table!" &amp; $AO$275 &amp; $AL234),0))))/1024)</f>
        <v/>
      </c>
      <c r="L234" s="22" t="str">
        <f ca="1">IF(ISERROR(MATCH(M$1,INDIRECT("Table!A"&amp;$AL234):INDIRECT("Table!" &amp; $AO$275 &amp; $AL234),0)),"",INDIRECT(CONCATENATE("Table!",ADDRESS(#REF!,MATCH(M$1,INDIRECT("Table!A" &amp; $AL234):INDIRECT("Table!" &amp; $AO$275 &amp; $AL234),0))))/1024)</f>
        <v/>
      </c>
      <c r="M234" s="22" t="str">
        <f ca="1">IF(ISERROR(MATCH(N$1,INDIRECT("Table!A"&amp;$AL234):INDIRECT("Table!" &amp; $AO$275 &amp; $AL234),0)),"",INDIRECT(CONCATENATE("Table!",ADDRESS(#REF!,MATCH(N$1,INDIRECT("Table!A" &amp; $AL234):INDIRECT("Table!" &amp; $AO$275 &amp; $AL234),0))))/1024)</f>
        <v/>
      </c>
      <c r="N234" s="22" t="str">
        <f ca="1">IF(ISERROR(MATCH(O$1,INDIRECT("Table!A"&amp;$AL234):INDIRECT("Table!" &amp; $AO$275 &amp; $AL234),0)),"",INDIRECT(CONCATENATE("Table!",ADDRESS(#REF!,MATCH(O$1,INDIRECT("Table!A" &amp; $AL234):INDIRECT("Table!" &amp; $AO$275 &amp; $AL234),0))))/1024)</f>
        <v/>
      </c>
      <c r="O234" s="22"/>
      <c r="P234" s="272"/>
      <c r="Q234" s="22"/>
      <c r="R234" s="111"/>
      <c r="T234" s="595"/>
      <c r="U234" s="111"/>
      <c r="AJ234" s="111"/>
      <c r="AK234" s="111"/>
      <c r="AL234" s="22"/>
      <c r="AM234" s="111"/>
      <c r="AN234" s="111"/>
      <c r="AO234" s="111"/>
    </row>
    <row r="235" spans="2:41" x14ac:dyDescent="0.25">
      <c r="B235" s="22" t="str">
        <f ca="1">IF(ISERROR(MATCH(B$1,INDIRECT("Table!A"&amp;$AL235):INDIRECT("Table!" &amp; $AO$275 &amp; $AL235),0)),"",INDIRECT(CONCATENATE("Table!",ADDRESS(#REF!,MATCH(B$1,INDIRECT("Table!A" &amp; $AL235):INDIRECT("Table!" &amp; $AO$275 &amp; $AL235),0))))/1024)</f>
        <v/>
      </c>
      <c r="C235" s="22" t="str">
        <f ca="1">IF(ISERROR(MATCH(C$1,INDIRECT("Table!A"&amp;$AL235):INDIRECT("Table!" &amp; $AO$275 &amp; $AL235),0)),"",INDIRECT(CONCATENATE("Table!",ADDRESS(#REF!,MATCH(C$1,INDIRECT("Table!A" &amp; $AL235):INDIRECT("Table!" &amp; $AO$275 &amp; $AL235),0))))/1024)</f>
        <v/>
      </c>
      <c r="D235" s="22" t="str">
        <f ca="1">IF(ISERROR(MATCH(D$1,INDIRECT("Table!A"&amp;$AL235):INDIRECT("Table!" &amp; $AO$275 &amp; $AL235),0)),"",INDIRECT(CONCATENATE("Table!",ADDRESS(#REF!,MATCH(D$1,INDIRECT("Table!A" &amp; $AL235):INDIRECT("Table!" &amp; $AO$275 &amp; $AL235),0))))/1024)</f>
        <v/>
      </c>
      <c r="E235" s="22" t="str">
        <f ca="1">IF(ISERROR(MATCH(E$1,INDIRECT("Table!A"&amp;$AL235):INDIRECT("Table!" &amp; $AO$275 &amp; $AL235),0)),"",INDIRECT(CONCATENATE("Table!",ADDRESS(#REF!,MATCH(E$1,INDIRECT("Table!A" &amp; $AL235):INDIRECT("Table!" &amp; $AO$275 &amp; $AL235),0))))/1024)</f>
        <v/>
      </c>
      <c r="F235" s="22" t="str">
        <f ca="1">IF(ISERROR(MATCH(F$1,INDIRECT("Table!A"&amp;$AL235):INDIRECT("Table!" &amp; $AO$275 &amp; $AL235),0)),"",INDIRECT(CONCATENATE("Table!",ADDRESS(#REF!,MATCH(F$1,INDIRECT("Table!A" &amp; $AL235):INDIRECT("Table!" &amp; $AO$275 &amp; $AL235),0))))/1024)</f>
        <v/>
      </c>
      <c r="G235" s="22" t="str">
        <f ca="1">IF(ISERROR(MATCH(G$1,INDIRECT("Table!A"&amp;$AL235):INDIRECT("Table!" &amp; $AO$275 &amp; $AL235),0)),"",INDIRECT(CONCATENATE("Table!",ADDRESS(#REF!,MATCH(G$1,INDIRECT("Table!A" &amp; $AL235):INDIRECT("Table!" &amp; $AO$275 &amp; $AL235),0))))/1024)</f>
        <v/>
      </c>
      <c r="H235" s="22" t="str">
        <f ca="1">IF(ISERROR(MATCH(H$1,INDIRECT("Table!A"&amp;$AL235):INDIRECT("Table!" &amp; $AO$275 &amp; $AL235),0)),"",INDIRECT(CONCATENATE("Table!",ADDRESS(#REF!,MATCH(H$1,INDIRECT("Table!A" &amp; $AL235):INDIRECT("Table!" &amp; $AO$275 &amp; $AL235),0))))/1024)</f>
        <v/>
      </c>
      <c r="K235" s="22" t="str">
        <f ca="1">IF(ISERROR(MATCH(L$1,INDIRECT("Table!A"&amp;$AL235):INDIRECT("Table!" &amp; $AO$275 &amp; $AL235),0)),"",INDIRECT(CONCATENATE("Table!",ADDRESS(#REF!,MATCH(L$1,INDIRECT("Table!A" &amp; $AL235):INDIRECT("Table!" &amp; $AO$275 &amp; $AL235),0))))/1024)</f>
        <v/>
      </c>
      <c r="L235" s="22" t="str">
        <f ca="1">IF(ISERROR(MATCH(M$1,INDIRECT("Table!A"&amp;$AL235):INDIRECT("Table!" &amp; $AO$275 &amp; $AL235),0)),"",INDIRECT(CONCATENATE("Table!",ADDRESS(#REF!,MATCH(M$1,INDIRECT("Table!A" &amp; $AL235):INDIRECT("Table!" &amp; $AO$275 &amp; $AL235),0))))/1024)</f>
        <v/>
      </c>
      <c r="M235" s="22" t="str">
        <f ca="1">IF(ISERROR(MATCH(N$1,INDIRECT("Table!A"&amp;$AL235):INDIRECT("Table!" &amp; $AO$275 &amp; $AL235),0)),"",INDIRECT(CONCATENATE("Table!",ADDRESS(#REF!,MATCH(N$1,INDIRECT("Table!A" &amp; $AL235):INDIRECT("Table!" &amp; $AO$275 &amp; $AL235),0))))/1024)</f>
        <v/>
      </c>
      <c r="N235" s="22" t="str">
        <f ca="1">IF(ISERROR(MATCH(O$1,INDIRECT("Table!A"&amp;$AL235):INDIRECT("Table!" &amp; $AO$275 &amp; $AL235),0)),"",INDIRECT(CONCATENATE("Table!",ADDRESS(#REF!,MATCH(O$1,INDIRECT("Table!A" &amp; $AL235):INDIRECT("Table!" &amp; $AO$275 &amp; $AL235),0))))/1024)</f>
        <v/>
      </c>
      <c r="O235" s="22"/>
      <c r="P235" s="272"/>
      <c r="Q235" s="22"/>
      <c r="R235" s="110"/>
      <c r="T235" s="595"/>
      <c r="U235" s="110"/>
      <c r="AJ235" s="110"/>
      <c r="AK235" s="110"/>
      <c r="AL235" s="22"/>
      <c r="AM235" s="110"/>
      <c r="AN235" s="110"/>
      <c r="AO235" s="110"/>
    </row>
    <row r="236" spans="2:41" x14ac:dyDescent="0.25">
      <c r="B236" s="22" t="str">
        <f ca="1">IF(ISERROR(MATCH(B$1,INDIRECT("Table!A"&amp;$AL236):INDIRECT("Table!" &amp; $AO$275 &amp; $AL236),0)),"",INDIRECT(CONCATENATE("Table!",ADDRESS(#REF!,MATCH(B$1,INDIRECT("Table!A" &amp; $AL236):INDIRECT("Table!" &amp; $AO$275 &amp; $AL236),0))))/1024)</f>
        <v/>
      </c>
      <c r="C236" s="22" t="str">
        <f ca="1">IF(ISERROR(MATCH(C$1,INDIRECT("Table!A"&amp;$AL236):INDIRECT("Table!" &amp; $AO$275 &amp; $AL236),0)),"",INDIRECT(CONCATENATE("Table!",ADDRESS(#REF!,MATCH(C$1,INDIRECT("Table!A" &amp; $AL236):INDIRECT("Table!" &amp; $AO$275 &amp; $AL236),0))))/1024)</f>
        <v/>
      </c>
      <c r="D236" s="22" t="str">
        <f ca="1">IF(ISERROR(MATCH(D$1,INDIRECT("Table!A"&amp;$AL236):INDIRECT("Table!" &amp; $AO$275 &amp; $AL236),0)),"",INDIRECT(CONCATENATE("Table!",ADDRESS(#REF!,MATCH(D$1,INDIRECT("Table!A" &amp; $AL236):INDIRECT("Table!" &amp; $AO$275 &amp; $AL236),0))))/1024)</f>
        <v/>
      </c>
      <c r="E236" s="22" t="str">
        <f ca="1">IF(ISERROR(MATCH(E$1,INDIRECT("Table!A"&amp;$AL236):INDIRECT("Table!" &amp; $AO$275 &amp; $AL236),0)),"",INDIRECT(CONCATENATE("Table!",ADDRESS(#REF!,MATCH(E$1,INDIRECT("Table!A" &amp; $AL236):INDIRECT("Table!" &amp; $AO$275 &amp; $AL236),0))))/1024)</f>
        <v/>
      </c>
      <c r="F236" s="22" t="str">
        <f ca="1">IF(ISERROR(MATCH(F$1,INDIRECT("Table!A"&amp;$AL236):INDIRECT("Table!" &amp; $AO$275 &amp; $AL236),0)),"",INDIRECT(CONCATENATE("Table!",ADDRESS(#REF!,MATCH(F$1,INDIRECT("Table!A" &amp; $AL236):INDIRECT("Table!" &amp; $AO$275 &amp; $AL236),0))))/1024)</f>
        <v/>
      </c>
      <c r="G236" s="22" t="str">
        <f ca="1">IF(ISERROR(MATCH(G$1,INDIRECT("Table!A"&amp;$AL236):INDIRECT("Table!" &amp; $AO$275 &amp; $AL236),0)),"",INDIRECT(CONCATENATE("Table!",ADDRESS(#REF!,MATCH(G$1,INDIRECT("Table!A" &amp; $AL236):INDIRECT("Table!" &amp; $AO$275 &amp; $AL236),0))))/1024)</f>
        <v/>
      </c>
      <c r="H236" s="22" t="str">
        <f ca="1">IF(ISERROR(MATCH(H$1,INDIRECT("Table!A"&amp;$AL236):INDIRECT("Table!" &amp; $AO$275 &amp; $AL236),0)),"",INDIRECT(CONCATENATE("Table!",ADDRESS(#REF!,MATCH(H$1,INDIRECT("Table!A" &amp; $AL236):INDIRECT("Table!" &amp; $AO$275 &amp; $AL236),0))))/1024)</f>
        <v/>
      </c>
      <c r="K236" s="22" t="str">
        <f ca="1">IF(ISERROR(MATCH(L$1,INDIRECT("Table!A"&amp;$AL236):INDIRECT("Table!" &amp; $AO$275 &amp; $AL236),0)),"",INDIRECT(CONCATENATE("Table!",ADDRESS(#REF!,MATCH(L$1,INDIRECT("Table!A" &amp; $AL236):INDIRECT("Table!" &amp; $AO$275 &amp; $AL236),0))))/1024)</f>
        <v/>
      </c>
      <c r="L236" s="22" t="str">
        <f ca="1">IF(ISERROR(MATCH(M$1,INDIRECT("Table!A"&amp;$AL236):INDIRECT("Table!" &amp; $AO$275 &amp; $AL236),0)),"",INDIRECT(CONCATENATE("Table!",ADDRESS(#REF!,MATCH(M$1,INDIRECT("Table!A" &amp; $AL236):INDIRECT("Table!" &amp; $AO$275 &amp; $AL236),0))))/1024)</f>
        <v/>
      </c>
      <c r="M236" s="22" t="str">
        <f ca="1">IF(ISERROR(MATCH(N$1,INDIRECT("Table!A"&amp;$AL236):INDIRECT("Table!" &amp; $AO$275 &amp; $AL236),0)),"",INDIRECT(CONCATENATE("Table!",ADDRESS(#REF!,MATCH(N$1,INDIRECT("Table!A" &amp; $AL236):INDIRECT("Table!" &amp; $AO$275 &amp; $AL236),0))))/1024)</f>
        <v/>
      </c>
      <c r="N236" s="22" t="str">
        <f ca="1">IF(ISERROR(MATCH(O$1,INDIRECT("Table!A"&amp;$AL236):INDIRECT("Table!" &amp; $AO$275 &amp; $AL236),0)),"",INDIRECT(CONCATENATE("Table!",ADDRESS(#REF!,MATCH(O$1,INDIRECT("Table!A" &amp; $AL236):INDIRECT("Table!" &amp; $AO$275 &amp; $AL236),0))))/1024)</f>
        <v/>
      </c>
      <c r="O236" s="22"/>
      <c r="P236" s="272"/>
      <c r="Q236" s="22"/>
      <c r="R236" s="109"/>
      <c r="T236" s="595"/>
      <c r="U236" s="109"/>
      <c r="AJ236" s="109"/>
      <c r="AK236" s="109"/>
      <c r="AL236" s="22"/>
      <c r="AM236" s="109"/>
      <c r="AN236" s="109"/>
      <c r="AO236" s="109"/>
    </row>
    <row r="237" spans="2:41" x14ac:dyDescent="0.25">
      <c r="B237" s="22" t="str">
        <f ca="1">IF(ISERROR(MATCH(B$1,INDIRECT("Table!A"&amp;$AL237):INDIRECT("Table!" &amp; $AO$275 &amp; $AL237),0)),"",INDIRECT(CONCATENATE("Table!",ADDRESS(#REF!,MATCH(B$1,INDIRECT("Table!A" &amp; $AL237):INDIRECT("Table!" &amp; $AO$275 &amp; $AL237),0))))/1024)</f>
        <v/>
      </c>
      <c r="C237" s="22" t="str">
        <f ca="1">IF(ISERROR(MATCH(C$1,INDIRECT("Table!A"&amp;$AL237):INDIRECT("Table!" &amp; $AO$275 &amp; $AL237),0)),"",INDIRECT(CONCATENATE("Table!",ADDRESS(#REF!,MATCH(C$1,INDIRECT("Table!A" &amp; $AL237):INDIRECT("Table!" &amp; $AO$275 &amp; $AL237),0))))/1024)</f>
        <v/>
      </c>
      <c r="D237" s="22" t="str">
        <f ca="1">IF(ISERROR(MATCH(D$1,INDIRECT("Table!A"&amp;$AL237):INDIRECT("Table!" &amp; $AO$275 &amp; $AL237),0)),"",INDIRECT(CONCATENATE("Table!",ADDRESS(#REF!,MATCH(D$1,INDIRECT("Table!A" &amp; $AL237):INDIRECT("Table!" &amp; $AO$275 &amp; $AL237),0))))/1024)</f>
        <v/>
      </c>
      <c r="E237" s="22" t="str">
        <f ca="1">IF(ISERROR(MATCH(E$1,INDIRECT("Table!A"&amp;$AL237):INDIRECT("Table!" &amp; $AO$275 &amp; $AL237),0)),"",INDIRECT(CONCATENATE("Table!",ADDRESS(#REF!,MATCH(E$1,INDIRECT("Table!A" &amp; $AL237):INDIRECT("Table!" &amp; $AO$275 &amp; $AL237),0))))/1024)</f>
        <v/>
      </c>
      <c r="F237" s="22" t="str">
        <f ca="1">IF(ISERROR(MATCH(F$1,INDIRECT("Table!A"&amp;$AL237):INDIRECT("Table!" &amp; $AO$275 &amp; $AL237),0)),"",INDIRECT(CONCATENATE("Table!",ADDRESS(#REF!,MATCH(F$1,INDIRECT("Table!A" &amp; $AL237):INDIRECT("Table!" &amp; $AO$275 &amp; $AL237),0))))/1024)</f>
        <v/>
      </c>
      <c r="G237" s="22" t="str">
        <f ca="1">IF(ISERROR(MATCH(G$1,INDIRECT("Table!A"&amp;$AL237):INDIRECT("Table!" &amp; $AO$275 &amp; $AL237),0)),"",INDIRECT(CONCATENATE("Table!",ADDRESS(#REF!,MATCH(G$1,INDIRECT("Table!A" &amp; $AL237):INDIRECT("Table!" &amp; $AO$275 &amp; $AL237),0))))/1024)</f>
        <v/>
      </c>
      <c r="H237" s="22" t="str">
        <f ca="1">IF(ISERROR(MATCH(H$1,INDIRECT("Table!A"&amp;$AL237):INDIRECT("Table!" &amp; $AO$275 &amp; $AL237),0)),"",INDIRECT(CONCATENATE("Table!",ADDRESS(#REF!,MATCH(H$1,INDIRECT("Table!A" &amp; $AL237):INDIRECT("Table!" &amp; $AO$275 &amp; $AL237),0))))/1024)</f>
        <v/>
      </c>
      <c r="K237" s="22" t="str">
        <f ca="1">IF(ISERROR(MATCH(L$1,INDIRECT("Table!A"&amp;$AL237):INDIRECT("Table!" &amp; $AO$275 &amp; $AL237),0)),"",INDIRECT(CONCATENATE("Table!",ADDRESS(#REF!,MATCH(L$1,INDIRECT("Table!A" &amp; $AL237):INDIRECT("Table!" &amp; $AO$275 &amp; $AL237),0))))/1024)</f>
        <v/>
      </c>
      <c r="L237" s="22" t="str">
        <f ca="1">IF(ISERROR(MATCH(M$1,INDIRECT("Table!A"&amp;$AL237):INDIRECT("Table!" &amp; $AO$275 &amp; $AL237),0)),"",INDIRECT(CONCATENATE("Table!",ADDRESS(#REF!,MATCH(M$1,INDIRECT("Table!A" &amp; $AL237):INDIRECT("Table!" &amp; $AO$275 &amp; $AL237),0))))/1024)</f>
        <v/>
      </c>
      <c r="M237" s="22" t="str">
        <f ca="1">IF(ISERROR(MATCH(N$1,INDIRECT("Table!A"&amp;$AL237):INDIRECT("Table!" &amp; $AO$275 &amp; $AL237),0)),"",INDIRECT(CONCATENATE("Table!",ADDRESS(#REF!,MATCH(N$1,INDIRECT("Table!A" &amp; $AL237):INDIRECT("Table!" &amp; $AO$275 &amp; $AL237),0))))/1024)</f>
        <v/>
      </c>
      <c r="N237" s="22" t="str">
        <f ca="1">IF(ISERROR(MATCH(O$1,INDIRECT("Table!A"&amp;$AL237):INDIRECT("Table!" &amp; $AO$275 &amp; $AL237),0)),"",INDIRECT(CONCATENATE("Table!",ADDRESS(#REF!,MATCH(O$1,INDIRECT("Table!A" &amp; $AL237):INDIRECT("Table!" &amp; $AO$275 &amp; $AL237),0))))/1024)</f>
        <v/>
      </c>
      <c r="O237" s="22"/>
      <c r="P237" s="272"/>
      <c r="Q237" s="22"/>
      <c r="R237" s="108"/>
      <c r="T237" s="595"/>
      <c r="U237" s="108"/>
      <c r="AJ237" s="108"/>
      <c r="AK237" s="108"/>
      <c r="AL237" s="22"/>
      <c r="AM237" s="108"/>
      <c r="AN237" s="108"/>
      <c r="AO237" s="108"/>
    </row>
    <row r="238" spans="2:41" x14ac:dyDescent="0.25">
      <c r="B238" s="22" t="str">
        <f ca="1">IF(ISERROR(MATCH(B$1,INDIRECT("Table!A"&amp;$AL238):INDIRECT("Table!" &amp; $AO$275 &amp; $AL238),0)),"",INDIRECT(CONCATENATE("Table!",ADDRESS(#REF!,MATCH(B$1,INDIRECT("Table!A" &amp; $AL238):INDIRECT("Table!" &amp; $AO$275 &amp; $AL238),0))))/1024)</f>
        <v/>
      </c>
      <c r="C238" s="22" t="str">
        <f ca="1">IF(ISERROR(MATCH(C$1,INDIRECT("Table!A"&amp;$AL238):INDIRECT("Table!" &amp; $AO$275 &amp; $AL238),0)),"",INDIRECT(CONCATENATE("Table!",ADDRESS(#REF!,MATCH(C$1,INDIRECT("Table!A" &amp; $AL238):INDIRECT("Table!" &amp; $AO$275 &amp; $AL238),0))))/1024)</f>
        <v/>
      </c>
      <c r="D238" s="22" t="str">
        <f ca="1">IF(ISERROR(MATCH(D$1,INDIRECT("Table!A"&amp;$AL238):INDIRECT("Table!" &amp; $AO$275 &amp; $AL238),0)),"",INDIRECT(CONCATENATE("Table!",ADDRESS(#REF!,MATCH(D$1,INDIRECT("Table!A" &amp; $AL238):INDIRECT("Table!" &amp; $AO$275 &amp; $AL238),0))))/1024)</f>
        <v/>
      </c>
      <c r="E238" s="22" t="str">
        <f ca="1">IF(ISERROR(MATCH(E$1,INDIRECT("Table!A"&amp;$AL238):INDIRECT("Table!" &amp; $AO$275 &amp; $AL238),0)),"",INDIRECT(CONCATENATE("Table!",ADDRESS(#REF!,MATCH(E$1,INDIRECT("Table!A" &amp; $AL238):INDIRECT("Table!" &amp; $AO$275 &amp; $AL238),0))))/1024)</f>
        <v/>
      </c>
      <c r="F238" s="22" t="str">
        <f ca="1">IF(ISERROR(MATCH(F$1,INDIRECT("Table!A"&amp;$AL238):INDIRECT("Table!" &amp; $AO$275 &amp; $AL238),0)),"",INDIRECT(CONCATENATE("Table!",ADDRESS(#REF!,MATCH(F$1,INDIRECT("Table!A" &amp; $AL238):INDIRECT("Table!" &amp; $AO$275 &amp; $AL238),0))))/1024)</f>
        <v/>
      </c>
      <c r="G238" s="22" t="str">
        <f ca="1">IF(ISERROR(MATCH(G$1,INDIRECT("Table!A"&amp;$AL238):INDIRECT("Table!" &amp; $AO$275 &amp; $AL238),0)),"",INDIRECT(CONCATENATE("Table!",ADDRESS(#REF!,MATCH(G$1,INDIRECT("Table!A" &amp; $AL238):INDIRECT("Table!" &amp; $AO$275 &amp; $AL238),0))))/1024)</f>
        <v/>
      </c>
      <c r="H238" s="22" t="str">
        <f ca="1">IF(ISERROR(MATCH(H$1,INDIRECT("Table!A"&amp;$AL238):INDIRECT("Table!" &amp; $AO$275 &amp; $AL238),0)),"",INDIRECT(CONCATENATE("Table!",ADDRESS(#REF!,MATCH(H$1,INDIRECT("Table!A" &amp; $AL238):INDIRECT("Table!" &amp; $AO$275 &amp; $AL238),0))))/1024)</f>
        <v/>
      </c>
      <c r="K238" s="22" t="str">
        <f ca="1">IF(ISERROR(MATCH(L$1,INDIRECT("Table!A"&amp;$AL238):INDIRECT("Table!" &amp; $AO$275 &amp; $AL238),0)),"",INDIRECT(CONCATENATE("Table!",ADDRESS(#REF!,MATCH(L$1,INDIRECT("Table!A" &amp; $AL238):INDIRECT("Table!" &amp; $AO$275 &amp; $AL238),0))))/1024)</f>
        <v/>
      </c>
      <c r="L238" s="22" t="str">
        <f ca="1">IF(ISERROR(MATCH(M$1,INDIRECT("Table!A"&amp;$AL238):INDIRECT("Table!" &amp; $AO$275 &amp; $AL238),0)),"",INDIRECT(CONCATENATE("Table!",ADDRESS(#REF!,MATCH(M$1,INDIRECT("Table!A" &amp; $AL238):INDIRECT("Table!" &amp; $AO$275 &amp; $AL238),0))))/1024)</f>
        <v/>
      </c>
      <c r="M238" s="22" t="str">
        <f ca="1">IF(ISERROR(MATCH(N$1,INDIRECT("Table!A"&amp;$AL238):INDIRECT("Table!" &amp; $AO$275 &amp; $AL238),0)),"",INDIRECT(CONCATENATE("Table!",ADDRESS(#REF!,MATCH(N$1,INDIRECT("Table!A" &amp; $AL238):INDIRECT("Table!" &amp; $AO$275 &amp; $AL238),0))))/1024)</f>
        <v/>
      </c>
      <c r="N238" s="22" t="str">
        <f ca="1">IF(ISERROR(MATCH(O$1,INDIRECT("Table!A"&amp;$AL238):INDIRECT("Table!" &amp; $AO$275 &amp; $AL238),0)),"",INDIRECT(CONCATENATE("Table!",ADDRESS(#REF!,MATCH(O$1,INDIRECT("Table!A" &amp; $AL238):INDIRECT("Table!" &amp; $AO$275 &amp; $AL238),0))))/1024)</f>
        <v/>
      </c>
      <c r="O238" s="22"/>
      <c r="P238" s="272"/>
      <c r="Q238" s="22"/>
      <c r="R238" s="107"/>
      <c r="T238" s="595"/>
      <c r="U238" s="107"/>
      <c r="AJ238" s="107"/>
      <c r="AK238" s="107"/>
      <c r="AL238" s="22"/>
      <c r="AM238" s="107"/>
      <c r="AN238" s="107"/>
      <c r="AO238" s="107"/>
    </row>
    <row r="239" spans="2:41" x14ac:dyDescent="0.25">
      <c r="B239" s="22" t="str">
        <f ca="1">IF(ISERROR(MATCH(B$1,INDIRECT("Table!A"&amp;$AL239):INDIRECT("Table!" &amp; $AO$275 &amp; $AL239),0)),"",INDIRECT(CONCATENATE("Table!",ADDRESS(#REF!,MATCH(B$1,INDIRECT("Table!A" &amp; $AL239):INDIRECT("Table!" &amp; $AO$275 &amp; $AL239),0))))/1024)</f>
        <v/>
      </c>
      <c r="C239" s="22" t="str">
        <f ca="1">IF(ISERROR(MATCH(C$1,INDIRECT("Table!A"&amp;$AL239):INDIRECT("Table!" &amp; $AO$275 &amp; $AL239),0)),"",INDIRECT(CONCATENATE("Table!",ADDRESS(#REF!,MATCH(C$1,INDIRECT("Table!A" &amp; $AL239):INDIRECT("Table!" &amp; $AO$275 &amp; $AL239),0))))/1024)</f>
        <v/>
      </c>
      <c r="D239" s="22" t="str">
        <f ca="1">IF(ISERROR(MATCH(D$1,INDIRECT("Table!A"&amp;$AL239):INDIRECT("Table!" &amp; $AO$275 &amp; $AL239),0)),"",INDIRECT(CONCATENATE("Table!",ADDRESS(#REF!,MATCH(D$1,INDIRECT("Table!A" &amp; $AL239):INDIRECT("Table!" &amp; $AO$275 &amp; $AL239),0))))/1024)</f>
        <v/>
      </c>
      <c r="E239" s="22" t="str">
        <f ca="1">IF(ISERROR(MATCH(E$1,INDIRECT("Table!A"&amp;$AL239):INDIRECT("Table!" &amp; $AO$275 &amp; $AL239),0)),"",INDIRECT(CONCATENATE("Table!",ADDRESS(#REF!,MATCH(E$1,INDIRECT("Table!A" &amp; $AL239):INDIRECT("Table!" &amp; $AO$275 &amp; $AL239),0))))/1024)</f>
        <v/>
      </c>
      <c r="F239" s="22" t="str">
        <f ca="1">IF(ISERROR(MATCH(F$1,INDIRECT("Table!A"&amp;$AL239):INDIRECT("Table!" &amp; $AO$275 &amp; $AL239),0)),"",INDIRECT(CONCATENATE("Table!",ADDRESS(#REF!,MATCH(F$1,INDIRECT("Table!A" &amp; $AL239):INDIRECT("Table!" &amp; $AO$275 &amp; $AL239),0))))/1024)</f>
        <v/>
      </c>
      <c r="G239" s="22" t="str">
        <f ca="1">IF(ISERROR(MATCH(G$1,INDIRECT("Table!A"&amp;$AL239):INDIRECT("Table!" &amp; $AO$275 &amp; $AL239),0)),"",INDIRECT(CONCATENATE("Table!",ADDRESS(#REF!,MATCH(G$1,INDIRECT("Table!A" &amp; $AL239):INDIRECT("Table!" &amp; $AO$275 &amp; $AL239),0))))/1024)</f>
        <v/>
      </c>
      <c r="H239" s="22" t="str">
        <f ca="1">IF(ISERROR(MATCH(H$1,INDIRECT("Table!A"&amp;$AL239):INDIRECT("Table!" &amp; $AO$275 &amp; $AL239),0)),"",INDIRECT(CONCATENATE("Table!",ADDRESS(#REF!,MATCH(H$1,INDIRECT("Table!A" &amp; $AL239):INDIRECT("Table!" &amp; $AO$275 &amp; $AL239),0))))/1024)</f>
        <v/>
      </c>
      <c r="K239" s="22" t="str">
        <f ca="1">IF(ISERROR(MATCH(L$1,INDIRECT("Table!A"&amp;$AL239):INDIRECT("Table!" &amp; $AO$275 &amp; $AL239),0)),"",INDIRECT(CONCATENATE("Table!",ADDRESS(#REF!,MATCH(L$1,INDIRECT("Table!A" &amp; $AL239):INDIRECT("Table!" &amp; $AO$275 &amp; $AL239),0))))/1024)</f>
        <v/>
      </c>
      <c r="L239" s="22" t="str">
        <f ca="1">IF(ISERROR(MATCH(M$1,INDIRECT("Table!A"&amp;$AL239):INDIRECT("Table!" &amp; $AO$275 &amp; $AL239),0)),"",INDIRECT(CONCATENATE("Table!",ADDRESS(#REF!,MATCH(M$1,INDIRECT("Table!A" &amp; $AL239):INDIRECT("Table!" &amp; $AO$275 &amp; $AL239),0))))/1024)</f>
        <v/>
      </c>
      <c r="M239" s="22" t="str">
        <f ca="1">IF(ISERROR(MATCH(N$1,INDIRECT("Table!A"&amp;$AL239):INDIRECT("Table!" &amp; $AO$275 &amp; $AL239),0)),"",INDIRECT(CONCATENATE("Table!",ADDRESS(#REF!,MATCH(N$1,INDIRECT("Table!A" &amp; $AL239):INDIRECT("Table!" &amp; $AO$275 &amp; $AL239),0))))/1024)</f>
        <v/>
      </c>
      <c r="N239" s="22" t="str">
        <f ca="1">IF(ISERROR(MATCH(O$1,INDIRECT("Table!A"&amp;$AL239):INDIRECT("Table!" &amp; $AO$275 &amp; $AL239),0)),"",INDIRECT(CONCATENATE("Table!",ADDRESS(#REF!,MATCH(O$1,INDIRECT("Table!A" &amp; $AL239):INDIRECT("Table!" &amp; $AO$275 &amp; $AL239),0))))/1024)</f>
        <v/>
      </c>
      <c r="O239" s="22"/>
      <c r="P239" s="272"/>
      <c r="Q239" s="22"/>
      <c r="R239" s="106"/>
      <c r="T239" s="595"/>
      <c r="U239" s="106"/>
      <c r="AJ239" s="106"/>
      <c r="AK239" s="106"/>
      <c r="AL239" s="22"/>
      <c r="AM239" s="106"/>
      <c r="AN239" s="106"/>
      <c r="AO239" s="106"/>
    </row>
    <row r="240" spans="2:41" x14ac:dyDescent="0.25">
      <c r="B240" s="22" t="str">
        <f ca="1">IF(ISERROR(MATCH(B$1,INDIRECT("Table!A"&amp;$AL240):INDIRECT("Table!" &amp; $AO$275 &amp; $AL240),0)),"",INDIRECT(CONCATENATE("Table!",ADDRESS(#REF!,MATCH(B$1,INDIRECT("Table!A" &amp; $AL240):INDIRECT("Table!" &amp; $AO$275 &amp; $AL240),0))))/1024)</f>
        <v/>
      </c>
      <c r="C240" s="22" t="str">
        <f ca="1">IF(ISERROR(MATCH(C$1,INDIRECT("Table!A"&amp;$AL240):INDIRECT("Table!" &amp; $AO$275 &amp; $AL240),0)),"",INDIRECT(CONCATENATE("Table!",ADDRESS(#REF!,MATCH(C$1,INDIRECT("Table!A" &amp; $AL240):INDIRECT("Table!" &amp; $AO$275 &amp; $AL240),0))))/1024)</f>
        <v/>
      </c>
      <c r="D240" s="22" t="str">
        <f ca="1">IF(ISERROR(MATCH(D$1,INDIRECT("Table!A"&amp;$AL240):INDIRECT("Table!" &amp; $AO$275 &amp; $AL240),0)),"",INDIRECT(CONCATENATE("Table!",ADDRESS(#REF!,MATCH(D$1,INDIRECT("Table!A" &amp; $AL240):INDIRECT("Table!" &amp; $AO$275 &amp; $AL240),0))))/1024)</f>
        <v/>
      </c>
      <c r="E240" s="22" t="str">
        <f ca="1">IF(ISERROR(MATCH(E$1,INDIRECT("Table!A"&amp;$AL240):INDIRECT("Table!" &amp; $AO$275 &amp; $AL240),0)),"",INDIRECT(CONCATENATE("Table!",ADDRESS(#REF!,MATCH(E$1,INDIRECT("Table!A" &amp; $AL240):INDIRECT("Table!" &amp; $AO$275 &amp; $AL240),0))))/1024)</f>
        <v/>
      </c>
      <c r="F240" s="22" t="str">
        <f ca="1">IF(ISERROR(MATCH(F$1,INDIRECT("Table!A"&amp;$AL240):INDIRECT("Table!" &amp; $AO$275 &amp; $AL240),0)),"",INDIRECT(CONCATENATE("Table!",ADDRESS(#REF!,MATCH(F$1,INDIRECT("Table!A" &amp; $AL240):INDIRECT("Table!" &amp; $AO$275 &amp; $AL240),0))))/1024)</f>
        <v/>
      </c>
      <c r="G240" s="22" t="str">
        <f ca="1">IF(ISERROR(MATCH(G$1,INDIRECT("Table!A"&amp;$AL240):INDIRECT("Table!" &amp; $AO$275 &amp; $AL240),0)),"",INDIRECT(CONCATENATE("Table!",ADDRESS(#REF!,MATCH(G$1,INDIRECT("Table!A" &amp; $AL240):INDIRECT("Table!" &amp; $AO$275 &amp; $AL240),0))))/1024)</f>
        <v/>
      </c>
      <c r="H240" s="22" t="str">
        <f ca="1">IF(ISERROR(MATCH(H$1,INDIRECT("Table!A"&amp;$AL240):INDIRECT("Table!" &amp; $AO$275 &amp; $AL240),0)),"",INDIRECT(CONCATENATE("Table!",ADDRESS(#REF!,MATCH(H$1,INDIRECT("Table!A" &amp; $AL240):INDIRECT("Table!" &amp; $AO$275 &amp; $AL240),0))))/1024)</f>
        <v/>
      </c>
      <c r="K240" s="22" t="str">
        <f ca="1">IF(ISERROR(MATCH(L$1,INDIRECT("Table!A"&amp;$AL240):INDIRECT("Table!" &amp; $AO$275 &amp; $AL240),0)),"",INDIRECT(CONCATENATE("Table!",ADDRESS(#REF!,MATCH(L$1,INDIRECT("Table!A" &amp; $AL240):INDIRECT("Table!" &amp; $AO$275 &amp; $AL240),0))))/1024)</f>
        <v/>
      </c>
      <c r="L240" s="22" t="str">
        <f ca="1">IF(ISERROR(MATCH(M$1,INDIRECT("Table!A"&amp;$AL240):INDIRECT("Table!" &amp; $AO$275 &amp; $AL240),0)),"",INDIRECT(CONCATENATE("Table!",ADDRESS(#REF!,MATCH(M$1,INDIRECT("Table!A" &amp; $AL240):INDIRECT("Table!" &amp; $AO$275 &amp; $AL240),0))))/1024)</f>
        <v/>
      </c>
      <c r="M240" s="22" t="str">
        <f ca="1">IF(ISERROR(MATCH(N$1,INDIRECT("Table!A"&amp;$AL240):INDIRECT("Table!" &amp; $AO$275 &amp; $AL240),0)),"",INDIRECT(CONCATENATE("Table!",ADDRESS(#REF!,MATCH(N$1,INDIRECT("Table!A" &amp; $AL240):INDIRECT("Table!" &amp; $AO$275 &amp; $AL240),0))))/1024)</f>
        <v/>
      </c>
      <c r="N240" s="22" t="str">
        <f ca="1">IF(ISERROR(MATCH(O$1,INDIRECT("Table!A"&amp;$AL240):INDIRECT("Table!" &amp; $AO$275 &amp; $AL240),0)),"",INDIRECT(CONCATENATE("Table!",ADDRESS(#REF!,MATCH(O$1,INDIRECT("Table!A" &amp; $AL240):INDIRECT("Table!" &amp; $AO$275 &amp; $AL240),0))))/1024)</f>
        <v/>
      </c>
      <c r="O240" s="22"/>
      <c r="P240" s="272"/>
      <c r="Q240" s="22"/>
      <c r="R240" s="105"/>
      <c r="T240" s="595"/>
      <c r="U240" s="105"/>
      <c r="AJ240" s="105"/>
      <c r="AK240" s="105"/>
      <c r="AL240" s="22"/>
      <c r="AM240" s="105"/>
      <c r="AN240" s="105"/>
      <c r="AO240" s="105"/>
    </row>
    <row r="241" spans="2:41" x14ac:dyDescent="0.25">
      <c r="B241" s="22" t="str">
        <f ca="1">IF(ISERROR(MATCH(B$1,INDIRECT("Table!A"&amp;$AL241):INDIRECT("Table!" &amp; $AO$275 &amp; $AL241),0)),"",INDIRECT(CONCATENATE("Table!",ADDRESS(#REF!,MATCH(B$1,INDIRECT("Table!A" &amp; $AL241):INDIRECT("Table!" &amp; $AO$275 &amp; $AL241),0))))/1024)</f>
        <v/>
      </c>
      <c r="C241" s="22" t="str">
        <f ca="1">IF(ISERROR(MATCH(C$1,INDIRECT("Table!A"&amp;$AL241):INDIRECT("Table!" &amp; $AO$275 &amp; $AL241),0)),"",INDIRECT(CONCATENATE("Table!",ADDRESS(#REF!,MATCH(C$1,INDIRECT("Table!A" &amp; $AL241):INDIRECT("Table!" &amp; $AO$275 &amp; $AL241),0))))/1024)</f>
        <v/>
      </c>
      <c r="D241" s="22" t="str">
        <f ca="1">IF(ISERROR(MATCH(D$1,INDIRECT("Table!A"&amp;$AL241):INDIRECT("Table!" &amp; $AO$275 &amp; $AL241),0)),"",INDIRECT(CONCATENATE("Table!",ADDRESS(#REF!,MATCH(D$1,INDIRECT("Table!A" &amp; $AL241):INDIRECT("Table!" &amp; $AO$275 &amp; $AL241),0))))/1024)</f>
        <v/>
      </c>
      <c r="E241" s="22" t="str">
        <f ca="1">IF(ISERROR(MATCH(E$1,INDIRECT("Table!A"&amp;$AL241):INDIRECT("Table!" &amp; $AO$275 &amp; $AL241),0)),"",INDIRECT(CONCATENATE("Table!",ADDRESS(#REF!,MATCH(E$1,INDIRECT("Table!A" &amp; $AL241):INDIRECT("Table!" &amp; $AO$275 &amp; $AL241),0))))/1024)</f>
        <v/>
      </c>
      <c r="F241" s="22" t="str">
        <f ca="1">IF(ISERROR(MATCH(F$1,INDIRECT("Table!A"&amp;$AL241):INDIRECT("Table!" &amp; $AO$275 &amp; $AL241),0)),"",INDIRECT(CONCATENATE("Table!",ADDRESS(#REF!,MATCH(F$1,INDIRECT("Table!A" &amp; $AL241):INDIRECT("Table!" &amp; $AO$275 &amp; $AL241),0))))/1024)</f>
        <v/>
      </c>
      <c r="G241" s="22" t="str">
        <f ca="1">IF(ISERROR(MATCH(G$1,INDIRECT("Table!A"&amp;$AL241):INDIRECT("Table!" &amp; $AO$275 &amp; $AL241),0)),"",INDIRECT(CONCATENATE("Table!",ADDRESS(#REF!,MATCH(G$1,INDIRECT("Table!A" &amp; $AL241):INDIRECT("Table!" &amp; $AO$275 &amp; $AL241),0))))/1024)</f>
        <v/>
      </c>
      <c r="H241" s="22" t="str">
        <f ca="1">IF(ISERROR(MATCH(H$1,INDIRECT("Table!A"&amp;$AL241):INDIRECT("Table!" &amp; $AO$275 &amp; $AL241),0)),"",INDIRECT(CONCATENATE("Table!",ADDRESS(#REF!,MATCH(H$1,INDIRECT("Table!A" &amp; $AL241):INDIRECT("Table!" &amp; $AO$275 &amp; $AL241),0))))/1024)</f>
        <v/>
      </c>
      <c r="K241" s="22" t="str">
        <f ca="1">IF(ISERROR(MATCH(L$1,INDIRECT("Table!A"&amp;$AL241):INDIRECT("Table!" &amp; $AO$275 &amp; $AL241),0)),"",INDIRECT(CONCATENATE("Table!",ADDRESS(#REF!,MATCH(L$1,INDIRECT("Table!A" &amp; $AL241):INDIRECT("Table!" &amp; $AO$275 &amp; $AL241),0))))/1024)</f>
        <v/>
      </c>
      <c r="L241" s="22" t="str">
        <f ca="1">IF(ISERROR(MATCH(M$1,INDIRECT("Table!A"&amp;$AL241):INDIRECT("Table!" &amp; $AO$275 &amp; $AL241),0)),"",INDIRECT(CONCATENATE("Table!",ADDRESS(#REF!,MATCH(M$1,INDIRECT("Table!A" &amp; $AL241):INDIRECT("Table!" &amp; $AO$275 &amp; $AL241),0))))/1024)</f>
        <v/>
      </c>
      <c r="M241" s="22" t="str">
        <f ca="1">IF(ISERROR(MATCH(N$1,INDIRECT("Table!A"&amp;$AL241):INDIRECT("Table!" &amp; $AO$275 &amp; $AL241),0)),"",INDIRECT(CONCATENATE("Table!",ADDRESS(#REF!,MATCH(N$1,INDIRECT("Table!A" &amp; $AL241):INDIRECT("Table!" &amp; $AO$275 &amp; $AL241),0))))/1024)</f>
        <v/>
      </c>
      <c r="N241" s="22" t="str">
        <f ca="1">IF(ISERROR(MATCH(O$1,INDIRECT("Table!A"&amp;$AL241):INDIRECT("Table!" &amp; $AO$275 &amp; $AL241),0)),"",INDIRECT(CONCATENATE("Table!",ADDRESS(#REF!,MATCH(O$1,INDIRECT("Table!A" &amp; $AL241):INDIRECT("Table!" &amp; $AO$275 &amp; $AL241),0))))/1024)</f>
        <v/>
      </c>
      <c r="O241" s="22"/>
      <c r="P241" s="272"/>
      <c r="Q241" s="22"/>
      <c r="R241" s="104"/>
      <c r="T241" s="595"/>
      <c r="U241" s="104"/>
      <c r="AJ241" s="104"/>
      <c r="AK241" s="104"/>
      <c r="AL241" s="22"/>
      <c r="AM241" s="104"/>
      <c r="AN241" s="104"/>
      <c r="AO241" s="104"/>
    </row>
    <row r="242" spans="2:41" x14ac:dyDescent="0.25">
      <c r="B242" s="22" t="str">
        <f ca="1">IF(ISERROR(MATCH(B$1,INDIRECT("Table!A"&amp;$AL242):INDIRECT("Table!" &amp; $AO$275 &amp; $AL242),0)),"",INDIRECT(CONCATENATE("Table!",ADDRESS(#REF!,MATCH(B$1,INDIRECT("Table!A" &amp; $AL242):INDIRECT("Table!" &amp; $AO$275 &amp; $AL242),0))))/1024)</f>
        <v/>
      </c>
      <c r="C242" s="22" t="str">
        <f ca="1">IF(ISERROR(MATCH(C$1,INDIRECT("Table!A"&amp;$AL242):INDIRECT("Table!" &amp; $AO$275 &amp; $AL242),0)),"",INDIRECT(CONCATENATE("Table!",ADDRESS(#REF!,MATCH(C$1,INDIRECT("Table!A" &amp; $AL242):INDIRECT("Table!" &amp; $AO$275 &amp; $AL242),0))))/1024)</f>
        <v/>
      </c>
      <c r="D242" s="22" t="str">
        <f ca="1">IF(ISERROR(MATCH(D$1,INDIRECT("Table!A"&amp;$AL242):INDIRECT("Table!" &amp; $AO$275 &amp; $AL242),0)),"",INDIRECT(CONCATENATE("Table!",ADDRESS(#REF!,MATCH(D$1,INDIRECT("Table!A" &amp; $AL242):INDIRECT("Table!" &amp; $AO$275 &amp; $AL242),0))))/1024)</f>
        <v/>
      </c>
      <c r="E242" s="22" t="str">
        <f ca="1">IF(ISERROR(MATCH(E$1,INDIRECT("Table!A"&amp;$AL242):INDIRECT("Table!" &amp; $AO$275 &amp; $AL242),0)),"",INDIRECT(CONCATENATE("Table!",ADDRESS(#REF!,MATCH(E$1,INDIRECT("Table!A" &amp; $AL242):INDIRECT("Table!" &amp; $AO$275 &amp; $AL242),0))))/1024)</f>
        <v/>
      </c>
      <c r="F242" s="22" t="str">
        <f ca="1">IF(ISERROR(MATCH(F$1,INDIRECT("Table!A"&amp;$AL242):INDIRECT("Table!" &amp; $AO$275 &amp; $AL242),0)),"",INDIRECT(CONCATENATE("Table!",ADDRESS(#REF!,MATCH(F$1,INDIRECT("Table!A" &amp; $AL242):INDIRECT("Table!" &amp; $AO$275 &amp; $AL242),0))))/1024)</f>
        <v/>
      </c>
      <c r="G242" s="22" t="str">
        <f ca="1">IF(ISERROR(MATCH(G$1,INDIRECT("Table!A"&amp;$AL242):INDIRECT("Table!" &amp; $AO$275 &amp; $AL242),0)),"",INDIRECT(CONCATENATE("Table!",ADDRESS(#REF!,MATCH(G$1,INDIRECT("Table!A" &amp; $AL242):INDIRECT("Table!" &amp; $AO$275 &amp; $AL242),0))))/1024)</f>
        <v/>
      </c>
      <c r="H242" s="22" t="str">
        <f ca="1">IF(ISERROR(MATCH(H$1,INDIRECT("Table!A"&amp;$AL242):INDIRECT("Table!" &amp; $AO$275 &amp; $AL242),0)),"",INDIRECT(CONCATENATE("Table!",ADDRESS(#REF!,MATCH(H$1,INDIRECT("Table!A" &amp; $AL242):INDIRECT("Table!" &amp; $AO$275 &amp; $AL242),0))))/1024)</f>
        <v/>
      </c>
      <c r="K242" s="22" t="str">
        <f ca="1">IF(ISERROR(MATCH(L$1,INDIRECT("Table!A"&amp;$AL242):INDIRECT("Table!" &amp; $AO$275 &amp; $AL242),0)),"",INDIRECT(CONCATENATE("Table!",ADDRESS(#REF!,MATCH(L$1,INDIRECT("Table!A" &amp; $AL242):INDIRECT("Table!" &amp; $AO$275 &amp; $AL242),0))))/1024)</f>
        <v/>
      </c>
      <c r="L242" s="22" t="str">
        <f ca="1">IF(ISERROR(MATCH(M$1,INDIRECT("Table!A"&amp;$AL242):INDIRECT("Table!" &amp; $AO$275 &amp; $AL242),0)),"",INDIRECT(CONCATENATE("Table!",ADDRESS(#REF!,MATCH(M$1,INDIRECT("Table!A" &amp; $AL242):INDIRECT("Table!" &amp; $AO$275 &amp; $AL242),0))))/1024)</f>
        <v/>
      </c>
      <c r="M242" s="22" t="str">
        <f ca="1">IF(ISERROR(MATCH(N$1,INDIRECT("Table!A"&amp;$AL242):INDIRECT("Table!" &amp; $AO$275 &amp; $AL242),0)),"",INDIRECT(CONCATENATE("Table!",ADDRESS(#REF!,MATCH(N$1,INDIRECT("Table!A" &amp; $AL242):INDIRECT("Table!" &amp; $AO$275 &amp; $AL242),0))))/1024)</f>
        <v/>
      </c>
      <c r="N242" s="22" t="str">
        <f ca="1">IF(ISERROR(MATCH(O$1,INDIRECT("Table!A"&amp;$AL242):INDIRECT("Table!" &amp; $AO$275 &amp; $AL242),0)),"",INDIRECT(CONCATENATE("Table!",ADDRESS(#REF!,MATCH(O$1,INDIRECT("Table!A" &amp; $AL242):INDIRECT("Table!" &amp; $AO$275 &amp; $AL242),0))))/1024)</f>
        <v/>
      </c>
      <c r="O242" s="22"/>
      <c r="P242" s="272"/>
      <c r="Q242" s="22"/>
      <c r="R242" s="103"/>
      <c r="T242" s="595"/>
      <c r="U242" s="103"/>
      <c r="AJ242" s="103"/>
      <c r="AK242" s="103"/>
      <c r="AL242" s="22"/>
      <c r="AM242" s="103"/>
      <c r="AN242" s="103"/>
      <c r="AO242" s="103"/>
    </row>
    <row r="243" spans="2:41" x14ac:dyDescent="0.25">
      <c r="B243" s="22" t="str">
        <f ca="1">IF(ISERROR(MATCH(B$1,INDIRECT("Table!A"&amp;$AL243):INDIRECT("Table!" &amp; $AO$275 &amp; $AL243),0)),"",INDIRECT(CONCATENATE("Table!",ADDRESS(#REF!,MATCH(B$1,INDIRECT("Table!A" &amp; $AL243):INDIRECT("Table!" &amp; $AO$275 &amp; $AL243),0))))/1024)</f>
        <v/>
      </c>
      <c r="C243" s="22" t="str">
        <f ca="1">IF(ISERROR(MATCH(C$1,INDIRECT("Table!A"&amp;$AL243):INDIRECT("Table!" &amp; $AO$275 &amp; $AL243),0)),"",INDIRECT(CONCATENATE("Table!",ADDRESS(#REF!,MATCH(C$1,INDIRECT("Table!A" &amp; $AL243):INDIRECT("Table!" &amp; $AO$275 &amp; $AL243),0))))/1024)</f>
        <v/>
      </c>
      <c r="D243" s="22" t="str">
        <f ca="1">IF(ISERROR(MATCH(D$1,INDIRECT("Table!A"&amp;$AL243):INDIRECT("Table!" &amp; $AO$275 &amp; $AL243),0)),"",INDIRECT(CONCATENATE("Table!",ADDRESS(#REF!,MATCH(D$1,INDIRECT("Table!A" &amp; $AL243):INDIRECT("Table!" &amp; $AO$275 &amp; $AL243),0))))/1024)</f>
        <v/>
      </c>
      <c r="E243" s="22" t="str">
        <f ca="1">IF(ISERROR(MATCH(E$1,INDIRECT("Table!A"&amp;$AL243):INDIRECT("Table!" &amp; $AO$275 &amp; $AL243),0)),"",INDIRECT(CONCATENATE("Table!",ADDRESS(#REF!,MATCH(E$1,INDIRECT("Table!A" &amp; $AL243):INDIRECT("Table!" &amp; $AO$275 &amp; $AL243),0))))/1024)</f>
        <v/>
      </c>
      <c r="F243" s="22" t="str">
        <f ca="1">IF(ISERROR(MATCH(F$1,INDIRECT("Table!A"&amp;$AL243):INDIRECT("Table!" &amp; $AO$275 &amp; $AL243),0)),"",INDIRECT(CONCATENATE("Table!",ADDRESS(#REF!,MATCH(F$1,INDIRECT("Table!A" &amp; $AL243):INDIRECT("Table!" &amp; $AO$275 &amp; $AL243),0))))/1024)</f>
        <v/>
      </c>
      <c r="G243" s="22" t="str">
        <f ca="1">IF(ISERROR(MATCH(G$1,INDIRECT("Table!A"&amp;$AL243):INDIRECT("Table!" &amp; $AO$275 &amp; $AL243),0)),"",INDIRECT(CONCATENATE("Table!",ADDRESS(#REF!,MATCH(G$1,INDIRECT("Table!A" &amp; $AL243):INDIRECT("Table!" &amp; $AO$275 &amp; $AL243),0))))/1024)</f>
        <v/>
      </c>
      <c r="H243" s="22" t="str">
        <f ca="1">IF(ISERROR(MATCH(H$1,INDIRECT("Table!A"&amp;$AL243):INDIRECT("Table!" &amp; $AO$275 &amp; $AL243),0)),"",INDIRECT(CONCATENATE("Table!",ADDRESS(#REF!,MATCH(H$1,INDIRECT("Table!A" &amp; $AL243):INDIRECT("Table!" &amp; $AO$275 &amp; $AL243),0))))/1024)</f>
        <v/>
      </c>
      <c r="K243" s="22" t="str">
        <f ca="1">IF(ISERROR(MATCH(L$1,INDIRECT("Table!A"&amp;$AL243):INDIRECT("Table!" &amp; $AO$275 &amp; $AL243),0)),"",INDIRECT(CONCATENATE("Table!",ADDRESS(#REF!,MATCH(L$1,INDIRECT("Table!A" &amp; $AL243):INDIRECT("Table!" &amp; $AO$275 &amp; $AL243),0))))/1024)</f>
        <v/>
      </c>
      <c r="L243" s="22" t="str">
        <f ca="1">IF(ISERROR(MATCH(M$1,INDIRECT("Table!A"&amp;$AL243):INDIRECT("Table!" &amp; $AO$275 &amp; $AL243),0)),"",INDIRECT(CONCATENATE("Table!",ADDRESS(#REF!,MATCH(M$1,INDIRECT("Table!A" &amp; $AL243):INDIRECT("Table!" &amp; $AO$275 &amp; $AL243),0))))/1024)</f>
        <v/>
      </c>
      <c r="M243" s="22" t="str">
        <f ca="1">IF(ISERROR(MATCH(N$1,INDIRECT("Table!A"&amp;$AL243):INDIRECT("Table!" &amp; $AO$275 &amp; $AL243),0)),"",INDIRECT(CONCATENATE("Table!",ADDRESS(#REF!,MATCH(N$1,INDIRECT("Table!A" &amp; $AL243):INDIRECT("Table!" &amp; $AO$275 &amp; $AL243),0))))/1024)</f>
        <v/>
      </c>
      <c r="N243" s="22" t="str">
        <f ca="1">IF(ISERROR(MATCH(O$1,INDIRECT("Table!A"&amp;$AL243):INDIRECT("Table!" &amp; $AO$275 &amp; $AL243),0)),"",INDIRECT(CONCATENATE("Table!",ADDRESS(#REF!,MATCH(O$1,INDIRECT("Table!A" &amp; $AL243):INDIRECT("Table!" &amp; $AO$275 &amp; $AL243),0))))/1024)</f>
        <v/>
      </c>
      <c r="O243" s="22"/>
      <c r="P243" s="272"/>
      <c r="Q243" s="22"/>
      <c r="R243" s="102"/>
      <c r="T243" s="595"/>
      <c r="U243" s="102"/>
      <c r="AJ243" s="102"/>
      <c r="AK243" s="102"/>
      <c r="AL243" s="22"/>
      <c r="AM243" s="102"/>
      <c r="AN243" s="102"/>
      <c r="AO243" s="102"/>
    </row>
    <row r="244" spans="2:41" x14ac:dyDescent="0.25">
      <c r="B244" s="22" t="str">
        <f ca="1">IF(ISERROR(MATCH(B$1,INDIRECT("Table!A"&amp;$AL244):INDIRECT("Table!" &amp; $AO$275 &amp; $AL244),0)),"",INDIRECT(CONCATENATE("Table!",ADDRESS(#REF!,MATCH(B$1,INDIRECT("Table!A" &amp; $AL244):INDIRECT("Table!" &amp; $AO$275 &amp; $AL244),0))))/1024)</f>
        <v/>
      </c>
      <c r="C244" s="22" t="str">
        <f ca="1">IF(ISERROR(MATCH(C$1,INDIRECT("Table!A"&amp;$AL244):INDIRECT("Table!" &amp; $AO$275 &amp; $AL244),0)),"",INDIRECT(CONCATENATE("Table!",ADDRESS(#REF!,MATCH(C$1,INDIRECT("Table!A" &amp; $AL244):INDIRECT("Table!" &amp; $AO$275 &amp; $AL244),0))))/1024)</f>
        <v/>
      </c>
      <c r="D244" s="22" t="str">
        <f ca="1">IF(ISERROR(MATCH(D$1,INDIRECT("Table!A"&amp;$AL244):INDIRECT("Table!" &amp; $AO$275 &amp; $AL244),0)),"",INDIRECT(CONCATENATE("Table!",ADDRESS(#REF!,MATCH(D$1,INDIRECT("Table!A" &amp; $AL244):INDIRECT("Table!" &amp; $AO$275 &amp; $AL244),0))))/1024)</f>
        <v/>
      </c>
      <c r="E244" s="22" t="str">
        <f ca="1">IF(ISERROR(MATCH(E$1,INDIRECT("Table!A"&amp;$AL244):INDIRECT("Table!" &amp; $AO$275 &amp; $AL244),0)),"",INDIRECT(CONCATENATE("Table!",ADDRESS(#REF!,MATCH(E$1,INDIRECT("Table!A" &amp; $AL244):INDIRECT("Table!" &amp; $AO$275 &amp; $AL244),0))))/1024)</f>
        <v/>
      </c>
      <c r="F244" s="22" t="str">
        <f ca="1">IF(ISERROR(MATCH(F$1,INDIRECT("Table!A"&amp;$AL244):INDIRECT("Table!" &amp; $AO$275 &amp; $AL244),0)),"",INDIRECT(CONCATENATE("Table!",ADDRESS(#REF!,MATCH(F$1,INDIRECT("Table!A" &amp; $AL244):INDIRECT("Table!" &amp; $AO$275 &amp; $AL244),0))))/1024)</f>
        <v/>
      </c>
      <c r="G244" s="22" t="str">
        <f ca="1">IF(ISERROR(MATCH(G$1,INDIRECT("Table!A"&amp;$AL244):INDIRECT("Table!" &amp; $AO$275 &amp; $AL244),0)),"",INDIRECT(CONCATENATE("Table!",ADDRESS(#REF!,MATCH(G$1,INDIRECT("Table!A" &amp; $AL244):INDIRECT("Table!" &amp; $AO$275 &amp; $AL244),0))))/1024)</f>
        <v/>
      </c>
      <c r="H244" s="22" t="str">
        <f ca="1">IF(ISERROR(MATCH(H$1,INDIRECT("Table!A"&amp;$AL244):INDIRECT("Table!" &amp; $AO$275 &amp; $AL244),0)),"",INDIRECT(CONCATENATE("Table!",ADDRESS(#REF!,MATCH(H$1,INDIRECT("Table!A" &amp; $AL244):INDIRECT("Table!" &amp; $AO$275 &amp; $AL244),0))))/1024)</f>
        <v/>
      </c>
      <c r="K244" s="22" t="str">
        <f ca="1">IF(ISERROR(MATCH(L$1,INDIRECT("Table!A"&amp;$AL244):INDIRECT("Table!" &amp; $AO$275 &amp; $AL244),0)),"",INDIRECT(CONCATENATE("Table!",ADDRESS(#REF!,MATCH(L$1,INDIRECT("Table!A" &amp; $AL244):INDIRECT("Table!" &amp; $AO$275 &amp; $AL244),0))))/1024)</f>
        <v/>
      </c>
      <c r="L244" s="22" t="str">
        <f ca="1">IF(ISERROR(MATCH(M$1,INDIRECT("Table!A"&amp;$AL244):INDIRECT("Table!" &amp; $AO$275 &amp; $AL244),0)),"",INDIRECT(CONCATENATE("Table!",ADDRESS(#REF!,MATCH(M$1,INDIRECT("Table!A" &amp; $AL244):INDIRECT("Table!" &amp; $AO$275 &amp; $AL244),0))))/1024)</f>
        <v/>
      </c>
      <c r="M244" s="22" t="str">
        <f ca="1">IF(ISERROR(MATCH(N$1,INDIRECT("Table!A"&amp;$AL244):INDIRECT("Table!" &amp; $AO$275 &amp; $AL244),0)),"",INDIRECT(CONCATENATE("Table!",ADDRESS(#REF!,MATCH(N$1,INDIRECT("Table!A" &amp; $AL244):INDIRECT("Table!" &amp; $AO$275 &amp; $AL244),0))))/1024)</f>
        <v/>
      </c>
      <c r="N244" s="22" t="str">
        <f ca="1">IF(ISERROR(MATCH(O$1,INDIRECT("Table!A"&amp;$AL244):INDIRECT("Table!" &amp; $AO$275 &amp; $AL244),0)),"",INDIRECT(CONCATENATE("Table!",ADDRESS(#REF!,MATCH(O$1,INDIRECT("Table!A" &amp; $AL244):INDIRECT("Table!" &amp; $AO$275 &amp; $AL244),0))))/1024)</f>
        <v/>
      </c>
      <c r="O244" s="22"/>
      <c r="P244" s="272"/>
      <c r="Q244" s="22"/>
      <c r="R244" s="101"/>
      <c r="T244" s="595"/>
      <c r="U244" s="101"/>
      <c r="AJ244" s="101"/>
      <c r="AK244" s="101"/>
      <c r="AL244" s="22"/>
      <c r="AM244" s="101"/>
      <c r="AN244" s="101"/>
      <c r="AO244" s="101"/>
    </row>
    <row r="245" spans="2:41" x14ac:dyDescent="0.25">
      <c r="B245" s="22" t="str">
        <f ca="1">IF(ISERROR(MATCH(B$1,INDIRECT("Table!A"&amp;$AL245):INDIRECT("Table!" &amp; $AO$275 &amp; $AL245),0)),"",INDIRECT(CONCATENATE("Table!",ADDRESS(#REF!,MATCH(B$1,INDIRECT("Table!A" &amp; $AL245):INDIRECT("Table!" &amp; $AO$275 &amp; $AL245),0))))/1024)</f>
        <v/>
      </c>
      <c r="C245" s="22" t="str">
        <f ca="1">IF(ISERROR(MATCH(C$1,INDIRECT("Table!A"&amp;$AL245):INDIRECT("Table!" &amp; $AO$275 &amp; $AL245),0)),"",INDIRECT(CONCATENATE("Table!",ADDRESS(#REF!,MATCH(C$1,INDIRECT("Table!A" &amp; $AL245):INDIRECT("Table!" &amp; $AO$275 &amp; $AL245),0))))/1024)</f>
        <v/>
      </c>
      <c r="D245" s="22" t="str">
        <f ca="1">IF(ISERROR(MATCH(D$1,INDIRECT("Table!A"&amp;$AL245):INDIRECT("Table!" &amp; $AO$275 &amp; $AL245),0)),"",INDIRECT(CONCATENATE("Table!",ADDRESS(#REF!,MATCH(D$1,INDIRECT("Table!A" &amp; $AL245):INDIRECT("Table!" &amp; $AO$275 &amp; $AL245),0))))/1024)</f>
        <v/>
      </c>
      <c r="E245" s="22" t="str">
        <f ca="1">IF(ISERROR(MATCH(E$1,INDIRECT("Table!A"&amp;$AL245):INDIRECT("Table!" &amp; $AO$275 &amp; $AL245),0)),"",INDIRECT(CONCATENATE("Table!",ADDRESS(#REF!,MATCH(E$1,INDIRECT("Table!A" &amp; $AL245):INDIRECT("Table!" &amp; $AO$275 &amp; $AL245),0))))/1024)</f>
        <v/>
      </c>
      <c r="F245" s="22" t="str">
        <f ca="1">IF(ISERROR(MATCH(F$1,INDIRECT("Table!A"&amp;$AL245):INDIRECT("Table!" &amp; $AO$275 &amp; $AL245),0)),"",INDIRECT(CONCATENATE("Table!",ADDRESS(#REF!,MATCH(F$1,INDIRECT("Table!A" &amp; $AL245):INDIRECT("Table!" &amp; $AO$275 &amp; $AL245),0))))/1024)</f>
        <v/>
      </c>
      <c r="G245" s="22" t="str">
        <f ca="1">IF(ISERROR(MATCH(G$1,INDIRECT("Table!A"&amp;$AL245):INDIRECT("Table!" &amp; $AO$275 &amp; $AL245),0)),"",INDIRECT(CONCATENATE("Table!",ADDRESS(#REF!,MATCH(G$1,INDIRECT("Table!A" &amp; $AL245):INDIRECT("Table!" &amp; $AO$275 &amp; $AL245),0))))/1024)</f>
        <v/>
      </c>
      <c r="H245" s="22" t="str">
        <f ca="1">IF(ISERROR(MATCH(H$1,INDIRECT("Table!A"&amp;$AL245):INDIRECT("Table!" &amp; $AO$275 &amp; $AL245),0)),"",INDIRECT(CONCATENATE("Table!",ADDRESS(#REF!,MATCH(H$1,INDIRECT("Table!A" &amp; $AL245):INDIRECT("Table!" &amp; $AO$275 &amp; $AL245),0))))/1024)</f>
        <v/>
      </c>
      <c r="K245" s="22" t="str">
        <f ca="1">IF(ISERROR(MATCH(L$1,INDIRECT("Table!A"&amp;$AL245):INDIRECT("Table!" &amp; $AO$275 &amp; $AL245),0)),"",INDIRECT(CONCATENATE("Table!",ADDRESS(#REF!,MATCH(L$1,INDIRECT("Table!A" &amp; $AL245):INDIRECT("Table!" &amp; $AO$275 &amp; $AL245),0))))/1024)</f>
        <v/>
      </c>
      <c r="L245" s="22" t="str">
        <f ca="1">IF(ISERROR(MATCH(M$1,INDIRECT("Table!A"&amp;$AL245):INDIRECT("Table!" &amp; $AO$275 &amp; $AL245),0)),"",INDIRECT(CONCATENATE("Table!",ADDRESS(#REF!,MATCH(M$1,INDIRECT("Table!A" &amp; $AL245):INDIRECT("Table!" &amp; $AO$275 &amp; $AL245),0))))/1024)</f>
        <v/>
      </c>
      <c r="M245" s="22" t="str">
        <f ca="1">IF(ISERROR(MATCH(N$1,INDIRECT("Table!A"&amp;$AL245):INDIRECT("Table!" &amp; $AO$275 &amp; $AL245),0)),"",INDIRECT(CONCATENATE("Table!",ADDRESS(#REF!,MATCH(N$1,INDIRECT("Table!A" &amp; $AL245):INDIRECT("Table!" &amp; $AO$275 &amp; $AL245),0))))/1024)</f>
        <v/>
      </c>
      <c r="N245" s="22" t="str">
        <f ca="1">IF(ISERROR(MATCH(O$1,INDIRECT("Table!A"&amp;$AL245):INDIRECT("Table!" &amp; $AO$275 &amp; $AL245),0)),"",INDIRECT(CONCATENATE("Table!",ADDRESS(#REF!,MATCH(O$1,INDIRECT("Table!A" &amp; $AL245):INDIRECT("Table!" &amp; $AO$275 &amp; $AL245),0))))/1024)</f>
        <v/>
      </c>
      <c r="O245" s="22"/>
      <c r="P245" s="272"/>
      <c r="Q245" s="22"/>
      <c r="R245" s="100"/>
      <c r="T245" s="595"/>
      <c r="U245" s="100"/>
      <c r="AJ245" s="100"/>
      <c r="AK245" s="100"/>
      <c r="AL245" s="22"/>
      <c r="AM245" s="100"/>
      <c r="AN245" s="100"/>
      <c r="AO245" s="100"/>
    </row>
    <row r="246" spans="2:41" x14ac:dyDescent="0.25">
      <c r="B246" s="22" t="str">
        <f ca="1">IF(ISERROR(MATCH(B$1,INDIRECT("Table!A"&amp;$AL246):INDIRECT("Table!" &amp; $AO$275 &amp; $AL246),0)),"",INDIRECT(CONCATENATE("Table!",ADDRESS(#REF!,MATCH(B$1,INDIRECT("Table!A" &amp; $AL246):INDIRECT("Table!" &amp; $AO$275 &amp; $AL246),0))))/1024)</f>
        <v/>
      </c>
      <c r="C246" s="22" t="str">
        <f ca="1">IF(ISERROR(MATCH(C$1,INDIRECT("Table!A"&amp;$AL246):INDIRECT("Table!" &amp; $AO$275 &amp; $AL246),0)),"",INDIRECT(CONCATENATE("Table!",ADDRESS(#REF!,MATCH(C$1,INDIRECT("Table!A" &amp; $AL246):INDIRECT("Table!" &amp; $AO$275 &amp; $AL246),0))))/1024)</f>
        <v/>
      </c>
      <c r="D246" s="22" t="str">
        <f ca="1">IF(ISERROR(MATCH(D$1,INDIRECT("Table!A"&amp;$AL246):INDIRECT("Table!" &amp; $AO$275 &amp; $AL246),0)),"",INDIRECT(CONCATENATE("Table!",ADDRESS(#REF!,MATCH(D$1,INDIRECT("Table!A" &amp; $AL246):INDIRECT("Table!" &amp; $AO$275 &amp; $AL246),0))))/1024)</f>
        <v/>
      </c>
      <c r="E246" s="22" t="str">
        <f ca="1">IF(ISERROR(MATCH(E$1,INDIRECT("Table!A"&amp;$AL246):INDIRECT("Table!" &amp; $AO$275 &amp; $AL246),0)),"",INDIRECT(CONCATENATE("Table!",ADDRESS(#REF!,MATCH(E$1,INDIRECT("Table!A" &amp; $AL246):INDIRECT("Table!" &amp; $AO$275 &amp; $AL246),0))))/1024)</f>
        <v/>
      </c>
      <c r="F246" s="22" t="str">
        <f ca="1">IF(ISERROR(MATCH(F$1,INDIRECT("Table!A"&amp;$AL246):INDIRECT("Table!" &amp; $AO$275 &amp; $AL246),0)),"",INDIRECT(CONCATENATE("Table!",ADDRESS(#REF!,MATCH(F$1,INDIRECT("Table!A" &amp; $AL246):INDIRECT("Table!" &amp; $AO$275 &amp; $AL246),0))))/1024)</f>
        <v/>
      </c>
      <c r="G246" s="22" t="str">
        <f ca="1">IF(ISERROR(MATCH(G$1,INDIRECT("Table!A"&amp;$AL246):INDIRECT("Table!" &amp; $AO$275 &amp; $AL246),0)),"",INDIRECT(CONCATENATE("Table!",ADDRESS(#REF!,MATCH(G$1,INDIRECT("Table!A" &amp; $AL246):INDIRECT("Table!" &amp; $AO$275 &amp; $AL246),0))))/1024)</f>
        <v/>
      </c>
      <c r="H246" s="22" t="str">
        <f ca="1">IF(ISERROR(MATCH(H$1,INDIRECT("Table!A"&amp;$AL246):INDIRECT("Table!" &amp; $AO$275 &amp; $AL246),0)),"",INDIRECT(CONCATENATE("Table!",ADDRESS(#REF!,MATCH(H$1,INDIRECT("Table!A" &amp; $AL246):INDIRECT("Table!" &amp; $AO$275 &amp; $AL246),0))))/1024)</f>
        <v/>
      </c>
      <c r="K246" s="22" t="str">
        <f ca="1">IF(ISERROR(MATCH(L$1,INDIRECT("Table!A"&amp;$AL246):INDIRECT("Table!" &amp; $AO$275 &amp; $AL246),0)),"",INDIRECT(CONCATENATE("Table!",ADDRESS(#REF!,MATCH(L$1,INDIRECT("Table!A" &amp; $AL246):INDIRECT("Table!" &amp; $AO$275 &amp; $AL246),0))))/1024)</f>
        <v/>
      </c>
      <c r="L246" s="22" t="str">
        <f ca="1">IF(ISERROR(MATCH(M$1,INDIRECT("Table!A"&amp;$AL246):INDIRECT("Table!" &amp; $AO$275 &amp; $AL246),0)),"",INDIRECT(CONCATENATE("Table!",ADDRESS(#REF!,MATCH(M$1,INDIRECT("Table!A" &amp; $AL246):INDIRECT("Table!" &amp; $AO$275 &amp; $AL246),0))))/1024)</f>
        <v/>
      </c>
      <c r="M246" s="22" t="str">
        <f ca="1">IF(ISERROR(MATCH(N$1,INDIRECT("Table!A"&amp;$AL246):INDIRECT("Table!" &amp; $AO$275 &amp; $AL246),0)),"",INDIRECT(CONCATENATE("Table!",ADDRESS(#REF!,MATCH(N$1,INDIRECT("Table!A" &amp; $AL246):INDIRECT("Table!" &amp; $AO$275 &amp; $AL246),0))))/1024)</f>
        <v/>
      </c>
      <c r="N246" s="22" t="str">
        <f ca="1">IF(ISERROR(MATCH(O$1,INDIRECT("Table!A"&amp;$AL246):INDIRECT("Table!" &amp; $AO$275 &amp; $AL246),0)),"",INDIRECT(CONCATENATE("Table!",ADDRESS(#REF!,MATCH(O$1,INDIRECT("Table!A" &amp; $AL246):INDIRECT("Table!" &amp; $AO$275 &amp; $AL246),0))))/1024)</f>
        <v/>
      </c>
      <c r="O246" s="22"/>
      <c r="P246" s="272"/>
      <c r="Q246" s="22"/>
      <c r="R246" s="99"/>
      <c r="T246" s="595"/>
      <c r="U246" s="99"/>
      <c r="AJ246" s="99"/>
      <c r="AK246" s="99"/>
      <c r="AL246" s="22"/>
      <c r="AM246" s="99"/>
      <c r="AN246" s="99"/>
      <c r="AO246" s="99"/>
    </row>
    <row r="247" spans="2:41" x14ac:dyDescent="0.25">
      <c r="B247" s="22" t="str">
        <f ca="1">IF(ISERROR(MATCH(B$1,INDIRECT("Table!A"&amp;$AL247):INDIRECT("Table!" &amp; $AO$275 &amp; $AL247),0)),"",INDIRECT(CONCATENATE("Table!",ADDRESS(#REF!,MATCH(B$1,INDIRECT("Table!A" &amp; $AL247):INDIRECT("Table!" &amp; $AO$275 &amp; $AL247),0))))/1024)</f>
        <v/>
      </c>
      <c r="C247" s="22" t="str">
        <f ca="1">IF(ISERROR(MATCH(C$1,INDIRECT("Table!A"&amp;$AL247):INDIRECT("Table!" &amp; $AO$275 &amp; $AL247),0)),"",INDIRECT(CONCATENATE("Table!",ADDRESS(#REF!,MATCH(C$1,INDIRECT("Table!A" &amp; $AL247):INDIRECT("Table!" &amp; $AO$275 &amp; $AL247),0))))/1024)</f>
        <v/>
      </c>
      <c r="D247" s="22" t="str">
        <f ca="1">IF(ISERROR(MATCH(D$1,INDIRECT("Table!A"&amp;$AL247):INDIRECT("Table!" &amp; $AO$275 &amp; $AL247),0)),"",INDIRECT(CONCATENATE("Table!",ADDRESS(#REF!,MATCH(D$1,INDIRECT("Table!A" &amp; $AL247):INDIRECT("Table!" &amp; $AO$275 &amp; $AL247),0))))/1024)</f>
        <v/>
      </c>
      <c r="E247" s="22" t="str">
        <f ca="1">IF(ISERROR(MATCH(E$1,INDIRECT("Table!A"&amp;$AL247):INDIRECT("Table!" &amp; $AO$275 &amp; $AL247),0)),"",INDIRECT(CONCATENATE("Table!",ADDRESS(#REF!,MATCH(E$1,INDIRECT("Table!A" &amp; $AL247):INDIRECT("Table!" &amp; $AO$275 &amp; $AL247),0))))/1024)</f>
        <v/>
      </c>
      <c r="F247" s="22" t="str">
        <f ca="1">IF(ISERROR(MATCH(F$1,INDIRECT("Table!A"&amp;$AL247):INDIRECT("Table!" &amp; $AO$275 &amp; $AL247),0)),"",INDIRECT(CONCATENATE("Table!",ADDRESS(#REF!,MATCH(F$1,INDIRECT("Table!A" &amp; $AL247):INDIRECT("Table!" &amp; $AO$275 &amp; $AL247),0))))/1024)</f>
        <v/>
      </c>
      <c r="G247" s="22" t="str">
        <f ca="1">IF(ISERROR(MATCH(G$1,INDIRECT("Table!A"&amp;$AL247):INDIRECT("Table!" &amp; $AO$275 &amp; $AL247),0)),"",INDIRECT(CONCATENATE("Table!",ADDRESS(#REF!,MATCH(G$1,INDIRECT("Table!A" &amp; $AL247):INDIRECT("Table!" &amp; $AO$275 &amp; $AL247),0))))/1024)</f>
        <v/>
      </c>
      <c r="H247" s="22" t="str">
        <f ca="1">IF(ISERROR(MATCH(H$1,INDIRECT("Table!A"&amp;$AL247):INDIRECT("Table!" &amp; $AO$275 &amp; $AL247),0)),"",INDIRECT(CONCATENATE("Table!",ADDRESS(#REF!,MATCH(H$1,INDIRECT("Table!A" &amp; $AL247):INDIRECT("Table!" &amp; $AO$275 &amp; $AL247),0))))/1024)</f>
        <v/>
      </c>
      <c r="K247" s="22" t="str">
        <f ca="1">IF(ISERROR(MATCH(L$1,INDIRECT("Table!A"&amp;$AL247):INDIRECT("Table!" &amp; $AO$275 &amp; $AL247),0)),"",INDIRECT(CONCATENATE("Table!",ADDRESS(#REF!,MATCH(L$1,INDIRECT("Table!A" &amp; $AL247):INDIRECT("Table!" &amp; $AO$275 &amp; $AL247),0))))/1024)</f>
        <v/>
      </c>
      <c r="L247" s="22" t="str">
        <f ca="1">IF(ISERROR(MATCH(M$1,INDIRECT("Table!A"&amp;$AL247):INDIRECT("Table!" &amp; $AO$275 &amp; $AL247),0)),"",INDIRECT(CONCATENATE("Table!",ADDRESS(#REF!,MATCH(M$1,INDIRECT("Table!A" &amp; $AL247):INDIRECT("Table!" &amp; $AO$275 &amp; $AL247),0))))/1024)</f>
        <v/>
      </c>
      <c r="M247" s="22" t="str">
        <f ca="1">IF(ISERROR(MATCH(N$1,INDIRECT("Table!A"&amp;$AL247):INDIRECT("Table!" &amp; $AO$275 &amp; $AL247),0)),"",INDIRECT(CONCATENATE("Table!",ADDRESS(#REF!,MATCH(N$1,INDIRECT("Table!A" &amp; $AL247):INDIRECT("Table!" &amp; $AO$275 &amp; $AL247),0))))/1024)</f>
        <v/>
      </c>
      <c r="N247" s="22" t="str">
        <f ca="1">IF(ISERROR(MATCH(O$1,INDIRECT("Table!A"&amp;$AL247):INDIRECT("Table!" &amp; $AO$275 &amp; $AL247),0)),"",INDIRECT(CONCATENATE("Table!",ADDRESS(#REF!,MATCH(O$1,INDIRECT("Table!A" &amp; $AL247):INDIRECT("Table!" &amp; $AO$275 &amp; $AL247),0))))/1024)</f>
        <v/>
      </c>
      <c r="O247" s="22"/>
      <c r="P247" s="272"/>
      <c r="Q247" s="22"/>
      <c r="R247" s="98"/>
      <c r="T247" s="595"/>
      <c r="U247" s="98"/>
      <c r="AJ247" s="98"/>
      <c r="AK247" s="98"/>
      <c r="AL247" s="22"/>
      <c r="AM247" s="98"/>
      <c r="AN247" s="98"/>
      <c r="AO247" s="98"/>
    </row>
    <row r="248" spans="2:41" x14ac:dyDescent="0.25">
      <c r="B248" s="22" t="str">
        <f ca="1">IF(ISERROR(MATCH(B$1,INDIRECT("Table!A"&amp;$AL248):INDIRECT("Table!" &amp; $AO$275 &amp; $AL248),0)),"",INDIRECT(CONCATENATE("Table!",ADDRESS(#REF!,MATCH(B$1,INDIRECT("Table!A" &amp; $AL248):INDIRECT("Table!" &amp; $AO$275 &amp; $AL248),0))))/1024)</f>
        <v/>
      </c>
      <c r="C248" s="22" t="str">
        <f ca="1">IF(ISERROR(MATCH(C$1,INDIRECT("Table!A"&amp;$AL248):INDIRECT("Table!" &amp; $AO$275 &amp; $AL248),0)),"",INDIRECT(CONCATENATE("Table!",ADDRESS(#REF!,MATCH(C$1,INDIRECT("Table!A" &amp; $AL248):INDIRECT("Table!" &amp; $AO$275 &amp; $AL248),0))))/1024)</f>
        <v/>
      </c>
      <c r="D248" s="22" t="str">
        <f ca="1">IF(ISERROR(MATCH(D$1,INDIRECT("Table!A"&amp;$AL248):INDIRECT("Table!" &amp; $AO$275 &amp; $AL248),0)),"",INDIRECT(CONCATENATE("Table!",ADDRESS(#REF!,MATCH(D$1,INDIRECT("Table!A" &amp; $AL248):INDIRECT("Table!" &amp; $AO$275 &amp; $AL248),0))))/1024)</f>
        <v/>
      </c>
      <c r="E248" s="22" t="str">
        <f ca="1">IF(ISERROR(MATCH(E$1,INDIRECT("Table!A"&amp;$AL248):INDIRECT("Table!" &amp; $AO$275 &amp; $AL248),0)),"",INDIRECT(CONCATENATE("Table!",ADDRESS(#REF!,MATCH(E$1,INDIRECT("Table!A" &amp; $AL248):INDIRECT("Table!" &amp; $AO$275 &amp; $AL248),0))))/1024)</f>
        <v/>
      </c>
      <c r="F248" s="22" t="str">
        <f ca="1">IF(ISERROR(MATCH(F$1,INDIRECT("Table!A"&amp;$AL248):INDIRECT("Table!" &amp; $AO$275 &amp; $AL248),0)),"",INDIRECT(CONCATENATE("Table!",ADDRESS(#REF!,MATCH(F$1,INDIRECT("Table!A" &amp; $AL248):INDIRECT("Table!" &amp; $AO$275 &amp; $AL248),0))))/1024)</f>
        <v/>
      </c>
      <c r="G248" s="22" t="str">
        <f ca="1">IF(ISERROR(MATCH(G$1,INDIRECT("Table!A"&amp;$AL248):INDIRECT("Table!" &amp; $AO$275 &amp; $AL248),0)),"",INDIRECT(CONCATENATE("Table!",ADDRESS(#REF!,MATCH(G$1,INDIRECT("Table!A" &amp; $AL248):INDIRECT("Table!" &amp; $AO$275 &amp; $AL248),0))))/1024)</f>
        <v/>
      </c>
      <c r="H248" s="22" t="str">
        <f ca="1">IF(ISERROR(MATCH(H$1,INDIRECT("Table!A"&amp;$AL248):INDIRECT("Table!" &amp; $AO$275 &amp; $AL248),0)),"",INDIRECT(CONCATENATE("Table!",ADDRESS(#REF!,MATCH(H$1,INDIRECT("Table!A" &amp; $AL248):INDIRECT("Table!" &amp; $AO$275 &amp; $AL248),0))))/1024)</f>
        <v/>
      </c>
      <c r="K248" s="22" t="str">
        <f ca="1">IF(ISERROR(MATCH(L$1,INDIRECT("Table!A"&amp;$AL248):INDIRECT("Table!" &amp; $AO$275 &amp; $AL248),0)),"",INDIRECT(CONCATENATE("Table!",ADDRESS(#REF!,MATCH(L$1,INDIRECT("Table!A" &amp; $AL248):INDIRECT("Table!" &amp; $AO$275 &amp; $AL248),0))))/1024)</f>
        <v/>
      </c>
      <c r="L248" s="22" t="str">
        <f ca="1">IF(ISERROR(MATCH(M$1,INDIRECT("Table!A"&amp;$AL248):INDIRECT("Table!" &amp; $AO$275 &amp; $AL248),0)),"",INDIRECT(CONCATENATE("Table!",ADDRESS(#REF!,MATCH(M$1,INDIRECT("Table!A" &amp; $AL248):INDIRECT("Table!" &amp; $AO$275 &amp; $AL248),0))))/1024)</f>
        <v/>
      </c>
      <c r="M248" s="22" t="str">
        <f ca="1">IF(ISERROR(MATCH(N$1,INDIRECT("Table!A"&amp;$AL248):INDIRECT("Table!" &amp; $AO$275 &amp; $AL248),0)),"",INDIRECT(CONCATENATE("Table!",ADDRESS(#REF!,MATCH(N$1,INDIRECT("Table!A" &amp; $AL248):INDIRECT("Table!" &amp; $AO$275 &amp; $AL248),0))))/1024)</f>
        <v/>
      </c>
      <c r="N248" s="22" t="str">
        <f ca="1">IF(ISERROR(MATCH(O$1,INDIRECT("Table!A"&amp;$AL248):INDIRECT("Table!" &amp; $AO$275 &amp; $AL248),0)),"",INDIRECT(CONCATENATE("Table!",ADDRESS(#REF!,MATCH(O$1,INDIRECT("Table!A" &amp; $AL248):INDIRECT("Table!" &amp; $AO$275 &amp; $AL248),0))))/1024)</f>
        <v/>
      </c>
      <c r="O248" s="22"/>
      <c r="P248" s="272"/>
      <c r="Q248" s="22"/>
      <c r="R248" s="97"/>
      <c r="T248" s="595"/>
      <c r="U248" s="97"/>
      <c r="AJ248" s="97"/>
      <c r="AK248" s="97"/>
      <c r="AL248" s="22"/>
      <c r="AM248" s="97"/>
      <c r="AN248" s="97"/>
      <c r="AO248" s="97"/>
    </row>
    <row r="249" spans="2:41" x14ac:dyDescent="0.25">
      <c r="B249" s="22" t="str">
        <f ca="1">IF(ISERROR(MATCH(B$1,INDIRECT("Table!A"&amp;$AL249):INDIRECT("Table!" &amp; $AO$275 &amp; $AL249),0)),"",INDIRECT(CONCATENATE("Table!",ADDRESS(#REF!,MATCH(B$1,INDIRECT("Table!A" &amp; $AL249):INDIRECT("Table!" &amp; $AO$275 &amp; $AL249),0))))/1024)</f>
        <v/>
      </c>
      <c r="C249" s="22" t="str">
        <f ca="1">IF(ISERROR(MATCH(C$1,INDIRECT("Table!A"&amp;$AL249):INDIRECT("Table!" &amp; $AO$275 &amp; $AL249),0)),"",INDIRECT(CONCATENATE("Table!",ADDRESS(#REF!,MATCH(C$1,INDIRECT("Table!A" &amp; $AL249):INDIRECT("Table!" &amp; $AO$275 &amp; $AL249),0))))/1024)</f>
        <v/>
      </c>
      <c r="D249" s="22" t="str">
        <f ca="1">IF(ISERROR(MATCH(D$1,INDIRECT("Table!A"&amp;$AL249):INDIRECT("Table!" &amp; $AO$275 &amp; $AL249),0)),"",INDIRECT(CONCATENATE("Table!",ADDRESS(#REF!,MATCH(D$1,INDIRECT("Table!A" &amp; $AL249):INDIRECT("Table!" &amp; $AO$275 &amp; $AL249),0))))/1024)</f>
        <v/>
      </c>
      <c r="E249" s="22" t="str">
        <f ca="1">IF(ISERROR(MATCH(E$1,INDIRECT("Table!A"&amp;$AL249):INDIRECT("Table!" &amp; $AO$275 &amp; $AL249),0)),"",INDIRECT(CONCATENATE("Table!",ADDRESS(#REF!,MATCH(E$1,INDIRECT("Table!A" &amp; $AL249):INDIRECT("Table!" &amp; $AO$275 &amp; $AL249),0))))/1024)</f>
        <v/>
      </c>
      <c r="F249" s="22" t="str">
        <f ca="1">IF(ISERROR(MATCH(F$1,INDIRECT("Table!A"&amp;$AL249):INDIRECT("Table!" &amp; $AO$275 &amp; $AL249),0)),"",INDIRECT(CONCATENATE("Table!",ADDRESS(#REF!,MATCH(F$1,INDIRECT("Table!A" &amp; $AL249):INDIRECT("Table!" &amp; $AO$275 &amp; $AL249),0))))/1024)</f>
        <v/>
      </c>
      <c r="G249" s="22" t="str">
        <f ca="1">IF(ISERROR(MATCH(G$1,INDIRECT("Table!A"&amp;$AL249):INDIRECT("Table!" &amp; $AO$275 &amp; $AL249),0)),"",INDIRECT(CONCATENATE("Table!",ADDRESS(#REF!,MATCH(G$1,INDIRECT("Table!A" &amp; $AL249):INDIRECT("Table!" &amp; $AO$275 &amp; $AL249),0))))/1024)</f>
        <v/>
      </c>
      <c r="H249" s="22" t="str">
        <f ca="1">IF(ISERROR(MATCH(H$1,INDIRECT("Table!A"&amp;$AL249):INDIRECT("Table!" &amp; $AO$275 &amp; $AL249),0)),"",INDIRECT(CONCATENATE("Table!",ADDRESS(#REF!,MATCH(H$1,INDIRECT("Table!A" &amp; $AL249):INDIRECT("Table!" &amp; $AO$275 &amp; $AL249),0))))/1024)</f>
        <v/>
      </c>
      <c r="K249" s="22" t="str">
        <f ca="1">IF(ISERROR(MATCH(L$1,INDIRECT("Table!A"&amp;$AL249):INDIRECT("Table!" &amp; $AO$275 &amp; $AL249),0)),"",INDIRECT(CONCATENATE("Table!",ADDRESS(#REF!,MATCH(L$1,INDIRECT("Table!A" &amp; $AL249):INDIRECT("Table!" &amp; $AO$275 &amp; $AL249),0))))/1024)</f>
        <v/>
      </c>
      <c r="L249" s="22" t="str">
        <f ca="1">IF(ISERROR(MATCH(M$1,INDIRECT("Table!A"&amp;$AL249):INDIRECT("Table!" &amp; $AO$275 &amp; $AL249),0)),"",INDIRECT(CONCATENATE("Table!",ADDRESS(#REF!,MATCH(M$1,INDIRECT("Table!A" &amp; $AL249):INDIRECT("Table!" &amp; $AO$275 &amp; $AL249),0))))/1024)</f>
        <v/>
      </c>
      <c r="M249" s="22" t="str">
        <f ca="1">IF(ISERROR(MATCH(N$1,INDIRECT("Table!A"&amp;$AL249):INDIRECT("Table!" &amp; $AO$275 &amp; $AL249),0)),"",INDIRECT(CONCATENATE("Table!",ADDRESS(#REF!,MATCH(N$1,INDIRECT("Table!A" &amp; $AL249):INDIRECT("Table!" &amp; $AO$275 &amp; $AL249),0))))/1024)</f>
        <v/>
      </c>
      <c r="N249" s="22" t="str">
        <f ca="1">IF(ISERROR(MATCH(O$1,INDIRECT("Table!A"&amp;$AL249):INDIRECT("Table!" &amp; $AO$275 &amp; $AL249),0)),"",INDIRECT(CONCATENATE("Table!",ADDRESS(#REF!,MATCH(O$1,INDIRECT("Table!A" &amp; $AL249):INDIRECT("Table!" &amp; $AO$275 &amp; $AL249),0))))/1024)</f>
        <v/>
      </c>
      <c r="O249" s="22"/>
      <c r="P249" s="272"/>
      <c r="Q249" s="22"/>
      <c r="R249" s="96"/>
      <c r="T249" s="595"/>
      <c r="U249" s="96"/>
      <c r="AJ249" s="96"/>
      <c r="AK249" s="96"/>
      <c r="AL249" s="22"/>
      <c r="AM249" s="96"/>
      <c r="AN249" s="96"/>
      <c r="AO249" s="96"/>
    </row>
    <row r="250" spans="2:41" x14ac:dyDescent="0.25">
      <c r="B250" s="22" t="str">
        <f ca="1">IF(ISERROR(MATCH(B$1,INDIRECT("Table!A"&amp;$AL250):INDIRECT("Table!" &amp; $AO$275 &amp; $AL250),0)),"",INDIRECT(CONCATENATE("Table!",ADDRESS(#REF!,MATCH(B$1,INDIRECT("Table!A" &amp; $AL250):INDIRECT("Table!" &amp; $AO$275 &amp; $AL250),0))))/1024)</f>
        <v/>
      </c>
      <c r="C250" s="22" t="str">
        <f ca="1">IF(ISERROR(MATCH(C$1,INDIRECT("Table!A"&amp;$AL250):INDIRECT("Table!" &amp; $AO$275 &amp; $AL250),0)),"",INDIRECT(CONCATENATE("Table!",ADDRESS(#REF!,MATCH(C$1,INDIRECT("Table!A" &amp; $AL250):INDIRECT("Table!" &amp; $AO$275 &amp; $AL250),0))))/1024)</f>
        <v/>
      </c>
      <c r="D250" s="22" t="str">
        <f ca="1">IF(ISERROR(MATCH(D$1,INDIRECT("Table!A"&amp;$AL250):INDIRECT("Table!" &amp; $AO$275 &amp; $AL250),0)),"",INDIRECT(CONCATENATE("Table!",ADDRESS(#REF!,MATCH(D$1,INDIRECT("Table!A" &amp; $AL250):INDIRECT("Table!" &amp; $AO$275 &amp; $AL250),0))))/1024)</f>
        <v/>
      </c>
      <c r="E250" s="22" t="str">
        <f ca="1">IF(ISERROR(MATCH(E$1,INDIRECT("Table!A"&amp;$AL250):INDIRECT("Table!" &amp; $AO$275 &amp; $AL250),0)),"",INDIRECT(CONCATENATE("Table!",ADDRESS(#REF!,MATCH(E$1,INDIRECT("Table!A" &amp; $AL250):INDIRECT("Table!" &amp; $AO$275 &amp; $AL250),0))))/1024)</f>
        <v/>
      </c>
      <c r="F250" s="22" t="str">
        <f ca="1">IF(ISERROR(MATCH(F$1,INDIRECT("Table!A"&amp;$AL250):INDIRECT("Table!" &amp; $AO$275 &amp; $AL250),0)),"",INDIRECT(CONCATENATE("Table!",ADDRESS(#REF!,MATCH(F$1,INDIRECT("Table!A" &amp; $AL250):INDIRECT("Table!" &amp; $AO$275 &amp; $AL250),0))))/1024)</f>
        <v/>
      </c>
      <c r="G250" s="22" t="str">
        <f ca="1">IF(ISERROR(MATCH(G$1,INDIRECT("Table!A"&amp;$AL250):INDIRECT("Table!" &amp; $AO$275 &amp; $AL250),0)),"",INDIRECT(CONCATENATE("Table!",ADDRESS(#REF!,MATCH(G$1,INDIRECT("Table!A" &amp; $AL250):INDIRECT("Table!" &amp; $AO$275 &amp; $AL250),0))))/1024)</f>
        <v/>
      </c>
      <c r="H250" s="22" t="str">
        <f ca="1">IF(ISERROR(MATCH(H$1,INDIRECT("Table!A"&amp;$AL250):INDIRECT("Table!" &amp; $AO$275 &amp; $AL250),0)),"",INDIRECT(CONCATENATE("Table!",ADDRESS(#REF!,MATCH(H$1,INDIRECT("Table!A" &amp; $AL250):INDIRECT("Table!" &amp; $AO$275 &amp; $AL250),0))))/1024)</f>
        <v/>
      </c>
      <c r="K250" s="22" t="str">
        <f ca="1">IF(ISERROR(MATCH(L$1,INDIRECT("Table!A"&amp;$AL250):INDIRECT("Table!" &amp; $AO$275 &amp; $AL250),0)),"",INDIRECT(CONCATENATE("Table!",ADDRESS(#REF!,MATCH(L$1,INDIRECT("Table!A" &amp; $AL250):INDIRECT("Table!" &amp; $AO$275 &amp; $AL250),0))))/1024)</f>
        <v/>
      </c>
      <c r="L250" s="22" t="str">
        <f ca="1">IF(ISERROR(MATCH(M$1,INDIRECT("Table!A"&amp;$AL250):INDIRECT("Table!" &amp; $AO$275 &amp; $AL250),0)),"",INDIRECT(CONCATENATE("Table!",ADDRESS(#REF!,MATCH(M$1,INDIRECT("Table!A" &amp; $AL250):INDIRECT("Table!" &amp; $AO$275 &amp; $AL250),0))))/1024)</f>
        <v/>
      </c>
      <c r="M250" s="22" t="str">
        <f ca="1">IF(ISERROR(MATCH(N$1,INDIRECT("Table!A"&amp;$AL250):INDIRECT("Table!" &amp; $AO$275 &amp; $AL250),0)),"",INDIRECT(CONCATENATE("Table!",ADDRESS(#REF!,MATCH(N$1,INDIRECT("Table!A" &amp; $AL250):INDIRECT("Table!" &amp; $AO$275 &amp; $AL250),0))))/1024)</f>
        <v/>
      </c>
      <c r="N250" s="22" t="str">
        <f ca="1">IF(ISERROR(MATCH(O$1,INDIRECT("Table!A"&amp;$AL250):INDIRECT("Table!" &amp; $AO$275 &amp; $AL250),0)),"",INDIRECT(CONCATENATE("Table!",ADDRESS(#REF!,MATCH(O$1,INDIRECT("Table!A" &amp; $AL250):INDIRECT("Table!" &amp; $AO$275 &amp; $AL250),0))))/1024)</f>
        <v/>
      </c>
      <c r="O250" s="22"/>
      <c r="P250" s="272"/>
      <c r="Q250" s="22"/>
      <c r="R250" s="95"/>
      <c r="T250" s="595"/>
      <c r="U250" s="95"/>
      <c r="AJ250" s="95"/>
      <c r="AK250" s="95"/>
      <c r="AL250" s="22"/>
      <c r="AM250" s="95"/>
      <c r="AN250" s="95"/>
      <c r="AO250" s="95"/>
    </row>
    <row r="251" spans="2:41" x14ac:dyDescent="0.25">
      <c r="B251" s="22" t="str">
        <f ca="1">IF(ISERROR(MATCH(B$1,INDIRECT("Table!A"&amp;$AL251):INDIRECT("Table!" &amp; $AO$275 &amp; $AL251),0)),"",INDIRECT(CONCATENATE("Table!",ADDRESS(#REF!,MATCH(B$1,INDIRECT("Table!A" &amp; $AL251):INDIRECT("Table!" &amp; $AO$275 &amp; $AL251),0))))/1024)</f>
        <v/>
      </c>
      <c r="C251" s="22" t="str">
        <f ca="1">IF(ISERROR(MATCH(C$1,INDIRECT("Table!A"&amp;$AL251):INDIRECT("Table!" &amp; $AO$275 &amp; $AL251),0)),"",INDIRECT(CONCATENATE("Table!",ADDRESS(#REF!,MATCH(C$1,INDIRECT("Table!A" &amp; $AL251):INDIRECT("Table!" &amp; $AO$275 &amp; $AL251),0))))/1024)</f>
        <v/>
      </c>
      <c r="D251" s="22" t="str">
        <f ca="1">IF(ISERROR(MATCH(D$1,INDIRECT("Table!A"&amp;$AL251):INDIRECT("Table!" &amp; $AO$275 &amp; $AL251),0)),"",INDIRECT(CONCATENATE("Table!",ADDRESS(#REF!,MATCH(D$1,INDIRECT("Table!A" &amp; $AL251):INDIRECT("Table!" &amp; $AO$275 &amp; $AL251),0))))/1024)</f>
        <v/>
      </c>
      <c r="E251" s="22" t="str">
        <f ca="1">IF(ISERROR(MATCH(E$1,INDIRECT("Table!A"&amp;$AL251):INDIRECT("Table!" &amp; $AO$275 &amp; $AL251),0)),"",INDIRECT(CONCATENATE("Table!",ADDRESS(#REF!,MATCH(E$1,INDIRECT("Table!A" &amp; $AL251):INDIRECT("Table!" &amp; $AO$275 &amp; $AL251),0))))/1024)</f>
        <v/>
      </c>
      <c r="F251" s="22" t="str">
        <f ca="1">IF(ISERROR(MATCH(F$1,INDIRECT("Table!A"&amp;$AL251):INDIRECT("Table!" &amp; $AO$275 &amp; $AL251),0)),"",INDIRECT(CONCATENATE("Table!",ADDRESS(#REF!,MATCH(F$1,INDIRECT("Table!A" &amp; $AL251):INDIRECT("Table!" &amp; $AO$275 &amp; $AL251),0))))/1024)</f>
        <v/>
      </c>
      <c r="G251" s="22" t="str">
        <f ca="1">IF(ISERROR(MATCH(G$1,INDIRECT("Table!A"&amp;$AL251):INDIRECT("Table!" &amp; $AO$275 &amp; $AL251),0)),"",INDIRECT(CONCATENATE("Table!",ADDRESS(#REF!,MATCH(G$1,INDIRECT("Table!A" &amp; $AL251):INDIRECT("Table!" &amp; $AO$275 &amp; $AL251),0))))/1024)</f>
        <v/>
      </c>
      <c r="H251" s="22" t="str">
        <f ca="1">IF(ISERROR(MATCH(H$1,INDIRECT("Table!A"&amp;$AL251):INDIRECT("Table!" &amp; $AO$275 &amp; $AL251),0)),"",INDIRECT(CONCATENATE("Table!",ADDRESS(#REF!,MATCH(H$1,INDIRECT("Table!A" &amp; $AL251):INDIRECT("Table!" &amp; $AO$275 &amp; $AL251),0))))/1024)</f>
        <v/>
      </c>
      <c r="K251" s="22" t="str">
        <f ca="1">IF(ISERROR(MATCH(L$1,INDIRECT("Table!A"&amp;$AL251):INDIRECT("Table!" &amp; $AO$275 &amp; $AL251),0)),"",INDIRECT(CONCATENATE("Table!",ADDRESS(#REF!,MATCH(L$1,INDIRECT("Table!A" &amp; $AL251):INDIRECT("Table!" &amp; $AO$275 &amp; $AL251),0))))/1024)</f>
        <v/>
      </c>
      <c r="L251" s="22" t="str">
        <f ca="1">IF(ISERROR(MATCH(M$1,INDIRECT("Table!A"&amp;$AL251):INDIRECT("Table!" &amp; $AO$275 &amp; $AL251),0)),"",INDIRECT(CONCATENATE("Table!",ADDRESS(#REF!,MATCH(M$1,INDIRECT("Table!A" &amp; $AL251):INDIRECT("Table!" &amp; $AO$275 &amp; $AL251),0))))/1024)</f>
        <v/>
      </c>
      <c r="M251" s="22" t="str">
        <f ca="1">IF(ISERROR(MATCH(N$1,INDIRECT("Table!A"&amp;$AL251):INDIRECT("Table!" &amp; $AO$275 &amp; $AL251),0)),"",INDIRECT(CONCATENATE("Table!",ADDRESS(#REF!,MATCH(N$1,INDIRECT("Table!A" &amp; $AL251):INDIRECT("Table!" &amp; $AO$275 &amp; $AL251),0))))/1024)</f>
        <v/>
      </c>
      <c r="N251" s="22" t="str">
        <f ca="1">IF(ISERROR(MATCH(O$1,INDIRECT("Table!A"&amp;$AL251):INDIRECT("Table!" &amp; $AO$275 &amp; $AL251),0)),"",INDIRECT(CONCATENATE("Table!",ADDRESS(#REF!,MATCH(O$1,INDIRECT("Table!A" &amp; $AL251):INDIRECT("Table!" &amp; $AO$275 &amp; $AL251),0))))/1024)</f>
        <v/>
      </c>
      <c r="O251" s="22"/>
      <c r="P251" s="272"/>
      <c r="Q251" s="22"/>
      <c r="R251" s="94"/>
      <c r="T251" s="595"/>
      <c r="U251" s="94"/>
      <c r="AJ251" s="94"/>
      <c r="AK251" s="94"/>
      <c r="AL251" s="22"/>
      <c r="AM251" s="94"/>
      <c r="AN251" s="94"/>
      <c r="AO251" s="94"/>
    </row>
    <row r="252" spans="2:41" x14ac:dyDescent="0.25">
      <c r="B252" s="22" t="str">
        <f ca="1">IF(ISERROR(MATCH(B$1,INDIRECT("Table!A"&amp;$AL252):INDIRECT("Table!" &amp; $AO$275 &amp; $AL252),0)),"",INDIRECT(CONCATENATE("Table!",ADDRESS(#REF!,MATCH(B$1,INDIRECT("Table!A" &amp; $AL252):INDIRECT("Table!" &amp; $AO$275 &amp; $AL252),0))))/1024)</f>
        <v/>
      </c>
      <c r="C252" s="22" t="str">
        <f ca="1">IF(ISERROR(MATCH(C$1,INDIRECT("Table!A"&amp;$AL252):INDIRECT("Table!" &amp; $AO$275 &amp; $AL252),0)),"",INDIRECT(CONCATENATE("Table!",ADDRESS(#REF!,MATCH(C$1,INDIRECT("Table!A" &amp; $AL252):INDIRECT("Table!" &amp; $AO$275 &amp; $AL252),0))))/1024)</f>
        <v/>
      </c>
      <c r="D252" s="22" t="str">
        <f ca="1">IF(ISERROR(MATCH(D$1,INDIRECT("Table!A"&amp;$AL252):INDIRECT("Table!" &amp; $AO$275 &amp; $AL252),0)),"",INDIRECT(CONCATENATE("Table!",ADDRESS(#REF!,MATCH(D$1,INDIRECT("Table!A" &amp; $AL252):INDIRECT("Table!" &amp; $AO$275 &amp; $AL252),0))))/1024)</f>
        <v/>
      </c>
      <c r="E252" s="22" t="str">
        <f ca="1">IF(ISERROR(MATCH(E$1,INDIRECT("Table!A"&amp;$AL252):INDIRECT("Table!" &amp; $AO$275 &amp; $AL252),0)),"",INDIRECT(CONCATENATE("Table!",ADDRESS(#REF!,MATCH(E$1,INDIRECT("Table!A" &amp; $AL252):INDIRECT("Table!" &amp; $AO$275 &amp; $AL252),0))))/1024)</f>
        <v/>
      </c>
      <c r="F252" s="22" t="str">
        <f ca="1">IF(ISERROR(MATCH(F$1,INDIRECT("Table!A"&amp;$AL252):INDIRECT("Table!" &amp; $AO$275 &amp; $AL252),0)),"",INDIRECT(CONCATENATE("Table!",ADDRESS(#REF!,MATCH(F$1,INDIRECT("Table!A" &amp; $AL252):INDIRECT("Table!" &amp; $AO$275 &amp; $AL252),0))))/1024)</f>
        <v/>
      </c>
      <c r="G252" s="22" t="str">
        <f ca="1">IF(ISERROR(MATCH(G$1,INDIRECT("Table!A"&amp;$AL252):INDIRECT("Table!" &amp; $AO$275 &amp; $AL252),0)),"",INDIRECT(CONCATENATE("Table!",ADDRESS(#REF!,MATCH(G$1,INDIRECT("Table!A" &amp; $AL252):INDIRECT("Table!" &amp; $AO$275 &amp; $AL252),0))))/1024)</f>
        <v/>
      </c>
      <c r="H252" s="22" t="str">
        <f ca="1">IF(ISERROR(MATCH(H$1,INDIRECT("Table!A"&amp;$AL252):INDIRECT("Table!" &amp; $AO$275 &amp; $AL252),0)),"",INDIRECT(CONCATENATE("Table!",ADDRESS(#REF!,MATCH(H$1,INDIRECT("Table!A" &amp; $AL252):INDIRECT("Table!" &amp; $AO$275 &amp; $AL252),0))))/1024)</f>
        <v/>
      </c>
      <c r="K252" s="22" t="str">
        <f ca="1">IF(ISERROR(MATCH(L$1,INDIRECT("Table!A"&amp;$AL252):INDIRECT("Table!" &amp; $AO$275 &amp; $AL252),0)),"",INDIRECT(CONCATENATE("Table!",ADDRESS(#REF!,MATCH(L$1,INDIRECT("Table!A" &amp; $AL252):INDIRECT("Table!" &amp; $AO$275 &amp; $AL252),0))))/1024)</f>
        <v/>
      </c>
      <c r="L252" s="22" t="str">
        <f ca="1">IF(ISERROR(MATCH(M$1,INDIRECT("Table!A"&amp;$AL252):INDIRECT("Table!" &amp; $AO$275 &amp; $AL252),0)),"",INDIRECT(CONCATENATE("Table!",ADDRESS(#REF!,MATCH(M$1,INDIRECT("Table!A" &amp; $AL252):INDIRECT("Table!" &amp; $AO$275 &amp; $AL252),0))))/1024)</f>
        <v/>
      </c>
      <c r="M252" s="22" t="str">
        <f ca="1">IF(ISERROR(MATCH(N$1,INDIRECT("Table!A"&amp;$AL252):INDIRECT("Table!" &amp; $AO$275 &amp; $AL252),0)),"",INDIRECT(CONCATENATE("Table!",ADDRESS(#REF!,MATCH(N$1,INDIRECT("Table!A" &amp; $AL252):INDIRECT("Table!" &amp; $AO$275 &amp; $AL252),0))))/1024)</f>
        <v/>
      </c>
      <c r="N252" s="22" t="str">
        <f ca="1">IF(ISERROR(MATCH(O$1,INDIRECT("Table!A"&amp;$AL252):INDIRECT("Table!" &amp; $AO$275 &amp; $AL252),0)),"",INDIRECT(CONCATENATE("Table!",ADDRESS(#REF!,MATCH(O$1,INDIRECT("Table!A" &amp; $AL252):INDIRECT("Table!" &amp; $AO$275 &amp; $AL252),0))))/1024)</f>
        <v/>
      </c>
      <c r="O252" s="22"/>
      <c r="P252" s="272"/>
      <c r="Q252" s="22"/>
      <c r="R252" s="93"/>
      <c r="T252" s="595"/>
      <c r="U252" s="93"/>
      <c r="AJ252" s="93"/>
      <c r="AK252" s="93"/>
      <c r="AL252" s="22"/>
      <c r="AM252" s="93"/>
      <c r="AN252" s="93"/>
      <c r="AO252" s="93"/>
    </row>
    <row r="253" spans="2:41" x14ac:dyDescent="0.25">
      <c r="B253" s="22" t="str">
        <f ca="1">IF(ISERROR(MATCH(B$1,INDIRECT("Table!A"&amp;$AL253):INDIRECT("Table!" &amp; $AO$275 &amp; $AL253),0)),"",INDIRECT(CONCATENATE("Table!",ADDRESS(#REF!,MATCH(B$1,INDIRECT("Table!A" &amp; $AL253):INDIRECT("Table!" &amp; $AO$275 &amp; $AL253),0))))/1024)</f>
        <v/>
      </c>
      <c r="C253" s="22" t="str">
        <f ca="1">IF(ISERROR(MATCH(C$1,INDIRECT("Table!A"&amp;$AL253):INDIRECT("Table!" &amp; $AO$275 &amp; $AL253),0)),"",INDIRECT(CONCATENATE("Table!",ADDRESS(#REF!,MATCH(C$1,INDIRECT("Table!A" &amp; $AL253):INDIRECT("Table!" &amp; $AO$275 &amp; $AL253),0))))/1024)</f>
        <v/>
      </c>
      <c r="D253" s="22" t="str">
        <f ca="1">IF(ISERROR(MATCH(D$1,INDIRECT("Table!A"&amp;$AL253):INDIRECT("Table!" &amp; $AO$275 &amp; $AL253),0)),"",INDIRECT(CONCATENATE("Table!",ADDRESS(#REF!,MATCH(D$1,INDIRECT("Table!A" &amp; $AL253):INDIRECT("Table!" &amp; $AO$275 &amp; $AL253),0))))/1024)</f>
        <v/>
      </c>
      <c r="E253" s="22" t="str">
        <f ca="1">IF(ISERROR(MATCH(E$1,INDIRECT("Table!A"&amp;$AL253):INDIRECT("Table!" &amp; $AO$275 &amp; $AL253),0)),"",INDIRECT(CONCATENATE("Table!",ADDRESS(#REF!,MATCH(E$1,INDIRECT("Table!A" &amp; $AL253):INDIRECT("Table!" &amp; $AO$275 &amp; $AL253),0))))/1024)</f>
        <v/>
      </c>
      <c r="F253" s="22" t="str">
        <f ca="1">IF(ISERROR(MATCH(F$1,INDIRECT("Table!A"&amp;$AL253):INDIRECT("Table!" &amp; $AO$275 &amp; $AL253),0)),"",INDIRECT(CONCATENATE("Table!",ADDRESS(#REF!,MATCH(F$1,INDIRECT("Table!A" &amp; $AL253):INDIRECT("Table!" &amp; $AO$275 &amp; $AL253),0))))/1024)</f>
        <v/>
      </c>
      <c r="G253" s="22" t="str">
        <f ca="1">IF(ISERROR(MATCH(G$1,INDIRECT("Table!A"&amp;$AL253):INDIRECT("Table!" &amp; $AO$275 &amp; $AL253),0)),"",INDIRECT(CONCATENATE("Table!",ADDRESS(#REF!,MATCH(G$1,INDIRECT("Table!A" &amp; $AL253):INDIRECT("Table!" &amp; $AO$275 &amp; $AL253),0))))/1024)</f>
        <v/>
      </c>
      <c r="H253" s="22" t="str">
        <f ca="1">IF(ISERROR(MATCH(H$1,INDIRECT("Table!A"&amp;$AL253):INDIRECT("Table!" &amp; $AO$275 &amp; $AL253),0)),"",INDIRECT(CONCATENATE("Table!",ADDRESS(#REF!,MATCH(H$1,INDIRECT("Table!A" &amp; $AL253):INDIRECT("Table!" &amp; $AO$275 &amp; $AL253),0))))/1024)</f>
        <v/>
      </c>
      <c r="K253" s="22" t="str">
        <f ca="1">IF(ISERROR(MATCH(L$1,INDIRECT("Table!A"&amp;$AL253):INDIRECT("Table!" &amp; $AO$275 &amp; $AL253),0)),"",INDIRECT(CONCATENATE("Table!",ADDRESS(#REF!,MATCH(L$1,INDIRECT("Table!A" &amp; $AL253):INDIRECT("Table!" &amp; $AO$275 &amp; $AL253),0))))/1024)</f>
        <v/>
      </c>
      <c r="L253" s="22" t="str">
        <f ca="1">IF(ISERROR(MATCH(M$1,INDIRECT("Table!A"&amp;$AL253):INDIRECT("Table!" &amp; $AO$275 &amp; $AL253),0)),"",INDIRECT(CONCATENATE("Table!",ADDRESS(#REF!,MATCH(M$1,INDIRECT("Table!A" &amp; $AL253):INDIRECT("Table!" &amp; $AO$275 &amp; $AL253),0))))/1024)</f>
        <v/>
      </c>
      <c r="M253" s="22" t="str">
        <f ca="1">IF(ISERROR(MATCH(N$1,INDIRECT("Table!A"&amp;$AL253):INDIRECT("Table!" &amp; $AO$275 &amp; $AL253),0)),"",INDIRECT(CONCATENATE("Table!",ADDRESS(#REF!,MATCH(N$1,INDIRECT("Table!A" &amp; $AL253):INDIRECT("Table!" &amp; $AO$275 &amp; $AL253),0))))/1024)</f>
        <v/>
      </c>
      <c r="N253" s="22" t="str">
        <f ca="1">IF(ISERROR(MATCH(O$1,INDIRECT("Table!A"&amp;$AL253):INDIRECT("Table!" &amp; $AO$275 &amp; $AL253),0)),"",INDIRECT(CONCATENATE("Table!",ADDRESS(#REF!,MATCH(O$1,INDIRECT("Table!A" &amp; $AL253):INDIRECT("Table!" &amp; $AO$275 &amp; $AL253),0))))/1024)</f>
        <v/>
      </c>
      <c r="O253" s="22"/>
      <c r="P253" s="272"/>
      <c r="Q253" s="22"/>
      <c r="R253" s="92"/>
      <c r="T253" s="595"/>
      <c r="U253" s="92"/>
      <c r="AJ253" s="92"/>
      <c r="AK253" s="92"/>
      <c r="AL253" s="22"/>
      <c r="AM253" s="92"/>
      <c r="AN253" s="92"/>
      <c r="AO253" s="92"/>
    </row>
    <row r="254" spans="2:41" x14ac:dyDescent="0.25">
      <c r="B254" s="22" t="str">
        <f ca="1">IF(ISERROR(MATCH(B$1,INDIRECT("Table!A"&amp;$AL254):INDIRECT("Table!" &amp; $AO$275 &amp; $AL254),0)),"",INDIRECT(CONCATENATE("Table!",ADDRESS(#REF!,MATCH(B$1,INDIRECT("Table!A" &amp; $AL254):INDIRECT("Table!" &amp; $AO$275 &amp; $AL254),0))))/1024)</f>
        <v/>
      </c>
      <c r="C254" s="22" t="str">
        <f ca="1">IF(ISERROR(MATCH(C$1,INDIRECT("Table!A"&amp;$AL254):INDIRECT("Table!" &amp; $AO$275 &amp; $AL254),0)),"",INDIRECT(CONCATENATE("Table!",ADDRESS(#REF!,MATCH(C$1,INDIRECT("Table!A" &amp; $AL254):INDIRECT("Table!" &amp; $AO$275 &amp; $AL254),0))))/1024)</f>
        <v/>
      </c>
      <c r="D254" s="22" t="str">
        <f ca="1">IF(ISERROR(MATCH(D$1,INDIRECT("Table!A"&amp;$AL254):INDIRECT("Table!" &amp; $AO$275 &amp; $AL254),0)),"",INDIRECT(CONCATENATE("Table!",ADDRESS(#REF!,MATCH(D$1,INDIRECT("Table!A" &amp; $AL254):INDIRECT("Table!" &amp; $AO$275 &amp; $AL254),0))))/1024)</f>
        <v/>
      </c>
      <c r="E254" s="22" t="str">
        <f ca="1">IF(ISERROR(MATCH(E$1,INDIRECT("Table!A"&amp;$AL254):INDIRECT("Table!" &amp; $AO$275 &amp; $AL254),0)),"",INDIRECT(CONCATENATE("Table!",ADDRESS(#REF!,MATCH(E$1,INDIRECT("Table!A" &amp; $AL254):INDIRECT("Table!" &amp; $AO$275 &amp; $AL254),0))))/1024)</f>
        <v/>
      </c>
      <c r="F254" s="22" t="str">
        <f ca="1">IF(ISERROR(MATCH(F$1,INDIRECT("Table!A"&amp;$AL254):INDIRECT("Table!" &amp; $AO$275 &amp; $AL254),0)),"",INDIRECT(CONCATENATE("Table!",ADDRESS(#REF!,MATCH(F$1,INDIRECT("Table!A" &amp; $AL254):INDIRECT("Table!" &amp; $AO$275 &amp; $AL254),0))))/1024)</f>
        <v/>
      </c>
      <c r="G254" s="22" t="str">
        <f ca="1">IF(ISERROR(MATCH(G$1,INDIRECT("Table!A"&amp;$AL254):INDIRECT("Table!" &amp; $AO$275 &amp; $AL254),0)),"",INDIRECT(CONCATENATE("Table!",ADDRESS(#REF!,MATCH(G$1,INDIRECT("Table!A" &amp; $AL254):INDIRECT("Table!" &amp; $AO$275 &amp; $AL254),0))))/1024)</f>
        <v/>
      </c>
      <c r="H254" s="22" t="str">
        <f ca="1">IF(ISERROR(MATCH(H$1,INDIRECT("Table!A"&amp;$AL254):INDIRECT("Table!" &amp; $AO$275 &amp; $AL254),0)),"",INDIRECT(CONCATENATE("Table!",ADDRESS(#REF!,MATCH(H$1,INDIRECT("Table!A" &amp; $AL254):INDIRECT("Table!" &amp; $AO$275 &amp; $AL254),0))))/1024)</f>
        <v/>
      </c>
      <c r="K254" s="22" t="str">
        <f ca="1">IF(ISERROR(MATCH(L$1,INDIRECT("Table!A"&amp;$AL254):INDIRECT("Table!" &amp; $AO$275 &amp; $AL254),0)),"",INDIRECT(CONCATENATE("Table!",ADDRESS(#REF!,MATCH(L$1,INDIRECT("Table!A" &amp; $AL254):INDIRECT("Table!" &amp; $AO$275 &amp; $AL254),0))))/1024)</f>
        <v/>
      </c>
      <c r="L254" s="22" t="str">
        <f ca="1">IF(ISERROR(MATCH(M$1,INDIRECT("Table!A"&amp;$AL254):INDIRECT("Table!" &amp; $AO$275 &amp; $AL254),0)),"",INDIRECT(CONCATENATE("Table!",ADDRESS(#REF!,MATCH(M$1,INDIRECT("Table!A" &amp; $AL254):INDIRECT("Table!" &amp; $AO$275 &amp; $AL254),0))))/1024)</f>
        <v/>
      </c>
      <c r="M254" s="22" t="str">
        <f ca="1">IF(ISERROR(MATCH(N$1,INDIRECT("Table!A"&amp;$AL254):INDIRECT("Table!" &amp; $AO$275 &amp; $AL254),0)),"",INDIRECT(CONCATENATE("Table!",ADDRESS(#REF!,MATCH(N$1,INDIRECT("Table!A" &amp; $AL254):INDIRECT("Table!" &amp; $AO$275 &amp; $AL254),0))))/1024)</f>
        <v/>
      </c>
      <c r="N254" s="22" t="str">
        <f ca="1">IF(ISERROR(MATCH(O$1,INDIRECT("Table!A"&amp;$AL254):INDIRECT("Table!" &amp; $AO$275 &amp; $AL254),0)),"",INDIRECT(CONCATENATE("Table!",ADDRESS(#REF!,MATCH(O$1,INDIRECT("Table!A" &amp; $AL254):INDIRECT("Table!" &amp; $AO$275 &amp; $AL254),0))))/1024)</f>
        <v/>
      </c>
      <c r="O254" s="22"/>
      <c r="P254" s="272"/>
      <c r="Q254" s="22"/>
      <c r="R254" s="91"/>
      <c r="T254" s="595"/>
      <c r="U254" s="91"/>
      <c r="AJ254" s="91"/>
      <c r="AK254" s="91"/>
      <c r="AL254" s="22"/>
      <c r="AM254" s="91"/>
      <c r="AN254" s="91"/>
      <c r="AO254" s="91"/>
    </row>
    <row r="255" spans="2:41" x14ac:dyDescent="0.25">
      <c r="B255" s="22" t="str">
        <f ca="1">IF(ISERROR(MATCH(B$1,INDIRECT("Table!A"&amp;$AL255):INDIRECT("Table!" &amp; $AO$275 &amp; $AL255),0)),"",INDIRECT(CONCATENATE("Table!",ADDRESS(#REF!,MATCH(B$1,INDIRECT("Table!A" &amp; $AL255):INDIRECT("Table!" &amp; $AO$275 &amp; $AL255),0))))/1024)</f>
        <v/>
      </c>
      <c r="C255" s="22" t="str">
        <f ca="1">IF(ISERROR(MATCH(C$1,INDIRECT("Table!A"&amp;$AL255):INDIRECT("Table!" &amp; $AO$275 &amp; $AL255),0)),"",INDIRECT(CONCATENATE("Table!",ADDRESS(#REF!,MATCH(C$1,INDIRECT("Table!A" &amp; $AL255):INDIRECT("Table!" &amp; $AO$275 &amp; $AL255),0))))/1024)</f>
        <v/>
      </c>
      <c r="D255" s="22" t="str">
        <f ca="1">IF(ISERROR(MATCH(D$1,INDIRECT("Table!A"&amp;$AL255):INDIRECT("Table!" &amp; $AO$275 &amp; $AL255),0)),"",INDIRECT(CONCATENATE("Table!",ADDRESS(#REF!,MATCH(D$1,INDIRECT("Table!A" &amp; $AL255):INDIRECT("Table!" &amp; $AO$275 &amp; $AL255),0))))/1024)</f>
        <v/>
      </c>
      <c r="E255" s="22" t="str">
        <f ca="1">IF(ISERROR(MATCH(E$1,INDIRECT("Table!A"&amp;$AL255):INDIRECT("Table!" &amp; $AO$275 &amp; $AL255),0)),"",INDIRECT(CONCATENATE("Table!",ADDRESS(#REF!,MATCH(E$1,INDIRECT("Table!A" &amp; $AL255):INDIRECT("Table!" &amp; $AO$275 &amp; $AL255),0))))/1024)</f>
        <v/>
      </c>
      <c r="F255" s="22" t="str">
        <f ca="1">IF(ISERROR(MATCH(F$1,INDIRECT("Table!A"&amp;$AL255):INDIRECT("Table!" &amp; $AO$275 &amp; $AL255),0)),"",INDIRECT(CONCATENATE("Table!",ADDRESS(#REF!,MATCH(F$1,INDIRECT("Table!A" &amp; $AL255):INDIRECT("Table!" &amp; $AO$275 &amp; $AL255),0))))/1024)</f>
        <v/>
      </c>
      <c r="G255" s="22" t="str">
        <f ca="1">IF(ISERROR(MATCH(G$1,INDIRECT("Table!A"&amp;$AL255):INDIRECT("Table!" &amp; $AO$275 &amp; $AL255),0)),"",INDIRECT(CONCATENATE("Table!",ADDRESS(#REF!,MATCH(G$1,INDIRECT("Table!A" &amp; $AL255):INDIRECT("Table!" &amp; $AO$275 &amp; $AL255),0))))/1024)</f>
        <v/>
      </c>
      <c r="H255" s="22" t="str">
        <f ca="1">IF(ISERROR(MATCH(H$1,INDIRECT("Table!A"&amp;$AL255):INDIRECT("Table!" &amp; $AO$275 &amp; $AL255),0)),"",INDIRECT(CONCATENATE("Table!",ADDRESS(#REF!,MATCH(H$1,INDIRECT("Table!A" &amp; $AL255):INDIRECT("Table!" &amp; $AO$275 &amp; $AL255),0))))/1024)</f>
        <v/>
      </c>
      <c r="K255" s="22" t="str">
        <f ca="1">IF(ISERROR(MATCH(L$1,INDIRECT("Table!A"&amp;$AL255):INDIRECT("Table!" &amp; $AO$275 &amp; $AL255),0)),"",INDIRECT(CONCATENATE("Table!",ADDRESS(#REF!,MATCH(L$1,INDIRECT("Table!A" &amp; $AL255):INDIRECT("Table!" &amp; $AO$275 &amp; $AL255),0))))/1024)</f>
        <v/>
      </c>
      <c r="L255" s="22" t="str">
        <f ca="1">IF(ISERROR(MATCH(M$1,INDIRECT("Table!A"&amp;$AL255):INDIRECT("Table!" &amp; $AO$275 &amp; $AL255),0)),"",INDIRECT(CONCATENATE("Table!",ADDRESS(#REF!,MATCH(M$1,INDIRECT("Table!A" &amp; $AL255):INDIRECT("Table!" &amp; $AO$275 &amp; $AL255),0))))/1024)</f>
        <v/>
      </c>
      <c r="M255" s="22" t="str">
        <f ca="1">IF(ISERROR(MATCH(N$1,INDIRECT("Table!A"&amp;$AL255):INDIRECT("Table!" &amp; $AO$275 &amp; $AL255),0)),"",INDIRECT(CONCATENATE("Table!",ADDRESS(#REF!,MATCH(N$1,INDIRECT("Table!A" &amp; $AL255):INDIRECT("Table!" &amp; $AO$275 &amp; $AL255),0))))/1024)</f>
        <v/>
      </c>
      <c r="N255" s="22" t="str">
        <f ca="1">IF(ISERROR(MATCH(O$1,INDIRECT("Table!A"&amp;$AL255):INDIRECT("Table!" &amp; $AO$275 &amp; $AL255),0)),"",INDIRECT(CONCATENATE("Table!",ADDRESS(#REF!,MATCH(O$1,INDIRECT("Table!A" &amp; $AL255):INDIRECT("Table!" &amp; $AO$275 &amp; $AL255),0))))/1024)</f>
        <v/>
      </c>
      <c r="O255" s="22"/>
      <c r="P255" s="272"/>
      <c r="Q255" s="22"/>
      <c r="R255" s="90"/>
      <c r="T255" s="595"/>
      <c r="U255" s="90"/>
      <c r="AJ255" s="90"/>
      <c r="AK255" s="90"/>
      <c r="AL255" s="22"/>
      <c r="AM255" s="90"/>
      <c r="AN255" s="90"/>
      <c r="AO255" s="90"/>
    </row>
    <row r="256" spans="2:41" x14ac:dyDescent="0.25">
      <c r="B256" s="22" t="str">
        <f ca="1">IF(ISERROR(MATCH(B$1,INDIRECT("Table!A"&amp;$AL256):INDIRECT("Table!" &amp; $AO$275 &amp; $AL256),0)),"",INDIRECT(CONCATENATE("Table!",ADDRESS(#REF!,MATCH(B$1,INDIRECT("Table!A" &amp; $AL256):INDIRECT("Table!" &amp; $AO$275 &amp; $AL256),0))))/1024)</f>
        <v/>
      </c>
      <c r="C256" s="22" t="str">
        <f ca="1">IF(ISERROR(MATCH(C$1,INDIRECT("Table!A"&amp;$AL256):INDIRECT("Table!" &amp; $AO$275 &amp; $AL256),0)),"",INDIRECT(CONCATENATE("Table!",ADDRESS(#REF!,MATCH(C$1,INDIRECT("Table!A" &amp; $AL256):INDIRECT("Table!" &amp; $AO$275 &amp; $AL256),0))))/1024)</f>
        <v/>
      </c>
      <c r="D256" s="22" t="str">
        <f ca="1">IF(ISERROR(MATCH(D$1,INDIRECT("Table!A"&amp;$AL256):INDIRECT("Table!" &amp; $AO$275 &amp; $AL256),0)),"",INDIRECT(CONCATENATE("Table!",ADDRESS(#REF!,MATCH(D$1,INDIRECT("Table!A" &amp; $AL256):INDIRECT("Table!" &amp; $AO$275 &amp; $AL256),0))))/1024)</f>
        <v/>
      </c>
      <c r="E256" s="22" t="str">
        <f ca="1">IF(ISERROR(MATCH(E$1,INDIRECT("Table!A"&amp;$AL256):INDIRECT("Table!" &amp; $AO$275 &amp; $AL256),0)),"",INDIRECT(CONCATENATE("Table!",ADDRESS(#REF!,MATCH(E$1,INDIRECT("Table!A" &amp; $AL256):INDIRECT("Table!" &amp; $AO$275 &amp; $AL256),0))))/1024)</f>
        <v/>
      </c>
      <c r="F256" s="22" t="str">
        <f ca="1">IF(ISERROR(MATCH(F$1,INDIRECT("Table!A"&amp;$AL256):INDIRECT("Table!" &amp; $AO$275 &amp; $AL256),0)),"",INDIRECT(CONCATENATE("Table!",ADDRESS(#REF!,MATCH(F$1,INDIRECT("Table!A" &amp; $AL256):INDIRECT("Table!" &amp; $AO$275 &amp; $AL256),0))))/1024)</f>
        <v/>
      </c>
      <c r="G256" s="22" t="str">
        <f ca="1">IF(ISERROR(MATCH(G$1,INDIRECT("Table!A"&amp;$AL256):INDIRECT("Table!" &amp; $AO$275 &amp; $AL256),0)),"",INDIRECT(CONCATENATE("Table!",ADDRESS(#REF!,MATCH(G$1,INDIRECT("Table!A" &amp; $AL256):INDIRECT("Table!" &amp; $AO$275 &amp; $AL256),0))))/1024)</f>
        <v/>
      </c>
      <c r="H256" s="22" t="str">
        <f ca="1">IF(ISERROR(MATCH(H$1,INDIRECT("Table!A"&amp;$AL256):INDIRECT("Table!" &amp; $AO$275 &amp; $AL256),0)),"",INDIRECT(CONCATENATE("Table!",ADDRESS(#REF!,MATCH(H$1,INDIRECT("Table!A" &amp; $AL256):INDIRECT("Table!" &amp; $AO$275 &amp; $AL256),0))))/1024)</f>
        <v/>
      </c>
      <c r="K256" s="22" t="str">
        <f ca="1">IF(ISERROR(MATCH(L$1,INDIRECT("Table!A"&amp;$AL256):INDIRECT("Table!" &amp; $AO$275 &amp; $AL256),0)),"",INDIRECT(CONCATENATE("Table!",ADDRESS(#REF!,MATCH(L$1,INDIRECT("Table!A" &amp; $AL256):INDIRECT("Table!" &amp; $AO$275 &amp; $AL256),0))))/1024)</f>
        <v/>
      </c>
      <c r="L256" s="22" t="str">
        <f ca="1">IF(ISERROR(MATCH(M$1,INDIRECT("Table!A"&amp;$AL256):INDIRECT("Table!" &amp; $AO$275 &amp; $AL256),0)),"",INDIRECT(CONCATENATE("Table!",ADDRESS(#REF!,MATCH(M$1,INDIRECT("Table!A" &amp; $AL256):INDIRECT("Table!" &amp; $AO$275 &amp; $AL256),0))))/1024)</f>
        <v/>
      </c>
      <c r="M256" s="22" t="str">
        <f ca="1">IF(ISERROR(MATCH(N$1,INDIRECT("Table!A"&amp;$AL256):INDIRECT("Table!" &amp; $AO$275 &amp; $AL256),0)),"",INDIRECT(CONCATENATE("Table!",ADDRESS(#REF!,MATCH(N$1,INDIRECT("Table!A" &amp; $AL256):INDIRECT("Table!" &amp; $AO$275 &amp; $AL256),0))))/1024)</f>
        <v/>
      </c>
      <c r="N256" s="22" t="str">
        <f ca="1">IF(ISERROR(MATCH(O$1,INDIRECT("Table!A"&amp;$AL256):INDIRECT("Table!" &amp; $AO$275 &amp; $AL256),0)),"",INDIRECT(CONCATENATE("Table!",ADDRESS(#REF!,MATCH(O$1,INDIRECT("Table!A" &amp; $AL256):INDIRECT("Table!" &amp; $AO$275 &amp; $AL256),0))))/1024)</f>
        <v/>
      </c>
      <c r="O256" s="22"/>
      <c r="P256" s="272"/>
      <c r="Q256" s="22"/>
      <c r="R256" s="89"/>
      <c r="T256" s="595"/>
      <c r="U256" s="89"/>
      <c r="AJ256" s="89"/>
      <c r="AK256" s="89"/>
      <c r="AL256" s="22"/>
      <c r="AM256" s="89"/>
      <c r="AN256" s="89"/>
      <c r="AO256" s="89"/>
    </row>
    <row r="257" spans="2:41" x14ac:dyDescent="0.25">
      <c r="B257" s="22" t="str">
        <f ca="1">IF(ISERROR(MATCH(B$1,INDIRECT("Table!A"&amp;$AL257):INDIRECT("Table!" &amp; $AO$275 &amp; $AL257),0)),"",INDIRECT(CONCATENATE("Table!",ADDRESS(#REF!,MATCH(B$1,INDIRECT("Table!A" &amp; $AL257):INDIRECT("Table!" &amp; $AO$275 &amp; $AL257),0))))/1024)</f>
        <v/>
      </c>
      <c r="C257" s="22" t="str">
        <f ca="1">IF(ISERROR(MATCH(C$1,INDIRECT("Table!A"&amp;$AL257):INDIRECT("Table!" &amp; $AO$275 &amp; $AL257),0)),"",INDIRECT(CONCATENATE("Table!",ADDRESS(#REF!,MATCH(C$1,INDIRECT("Table!A" &amp; $AL257):INDIRECT("Table!" &amp; $AO$275 &amp; $AL257),0))))/1024)</f>
        <v/>
      </c>
      <c r="D257" s="22" t="str">
        <f ca="1">IF(ISERROR(MATCH(D$1,INDIRECT("Table!A"&amp;$AL257):INDIRECT("Table!" &amp; $AO$275 &amp; $AL257),0)),"",INDIRECT(CONCATENATE("Table!",ADDRESS(#REF!,MATCH(D$1,INDIRECT("Table!A" &amp; $AL257):INDIRECT("Table!" &amp; $AO$275 &amp; $AL257),0))))/1024)</f>
        <v/>
      </c>
      <c r="E257" s="22" t="str">
        <f ca="1">IF(ISERROR(MATCH(E$1,INDIRECT("Table!A"&amp;$AL257):INDIRECT("Table!" &amp; $AO$275 &amp; $AL257),0)),"",INDIRECT(CONCATENATE("Table!",ADDRESS(#REF!,MATCH(E$1,INDIRECT("Table!A" &amp; $AL257):INDIRECT("Table!" &amp; $AO$275 &amp; $AL257),0))))/1024)</f>
        <v/>
      </c>
      <c r="F257" s="22" t="str">
        <f ca="1">IF(ISERROR(MATCH(F$1,INDIRECT("Table!A"&amp;$AL257):INDIRECT("Table!" &amp; $AO$275 &amp; $AL257),0)),"",INDIRECT(CONCATENATE("Table!",ADDRESS(#REF!,MATCH(F$1,INDIRECT("Table!A" &amp; $AL257):INDIRECT("Table!" &amp; $AO$275 &amp; $AL257),0))))/1024)</f>
        <v/>
      </c>
      <c r="G257" s="22" t="str">
        <f ca="1">IF(ISERROR(MATCH(G$1,INDIRECT("Table!A"&amp;$AL257):INDIRECT("Table!" &amp; $AO$275 &amp; $AL257),0)),"",INDIRECT(CONCATENATE("Table!",ADDRESS(#REF!,MATCH(G$1,INDIRECT("Table!A" &amp; $AL257):INDIRECT("Table!" &amp; $AO$275 &amp; $AL257),0))))/1024)</f>
        <v/>
      </c>
      <c r="H257" s="22" t="str">
        <f ca="1">IF(ISERROR(MATCH(H$1,INDIRECT("Table!A"&amp;$AL257):INDIRECT("Table!" &amp; $AO$275 &amp; $AL257),0)),"",INDIRECT(CONCATENATE("Table!",ADDRESS(#REF!,MATCH(H$1,INDIRECT("Table!A" &amp; $AL257):INDIRECT("Table!" &amp; $AO$275 &amp; $AL257),0))))/1024)</f>
        <v/>
      </c>
      <c r="K257" s="22" t="str">
        <f ca="1">IF(ISERROR(MATCH(L$1,INDIRECT("Table!A"&amp;$AL257):INDIRECT("Table!" &amp; $AO$275 &amp; $AL257),0)),"",INDIRECT(CONCATENATE("Table!",ADDRESS(#REF!,MATCH(L$1,INDIRECT("Table!A" &amp; $AL257):INDIRECT("Table!" &amp; $AO$275 &amp; $AL257),0))))/1024)</f>
        <v/>
      </c>
      <c r="L257" s="22" t="str">
        <f ca="1">IF(ISERROR(MATCH(M$1,INDIRECT("Table!A"&amp;$AL257):INDIRECT("Table!" &amp; $AO$275 &amp; $AL257),0)),"",INDIRECT(CONCATENATE("Table!",ADDRESS(#REF!,MATCH(M$1,INDIRECT("Table!A" &amp; $AL257):INDIRECT("Table!" &amp; $AO$275 &amp; $AL257),0))))/1024)</f>
        <v/>
      </c>
      <c r="M257" s="22" t="str">
        <f ca="1">IF(ISERROR(MATCH(N$1,INDIRECT("Table!A"&amp;$AL257):INDIRECT("Table!" &amp; $AO$275 &amp; $AL257),0)),"",INDIRECT(CONCATENATE("Table!",ADDRESS(#REF!,MATCH(N$1,INDIRECT("Table!A" &amp; $AL257):INDIRECT("Table!" &amp; $AO$275 &amp; $AL257),0))))/1024)</f>
        <v/>
      </c>
      <c r="N257" s="22" t="str">
        <f ca="1">IF(ISERROR(MATCH(O$1,INDIRECT("Table!A"&amp;$AL257):INDIRECT("Table!" &amp; $AO$275 &amp; $AL257),0)),"",INDIRECT(CONCATENATE("Table!",ADDRESS(#REF!,MATCH(O$1,INDIRECT("Table!A" &amp; $AL257):INDIRECT("Table!" &amp; $AO$275 &amp; $AL257),0))))/1024)</f>
        <v/>
      </c>
      <c r="O257" s="22"/>
      <c r="P257" s="272"/>
      <c r="Q257" s="22"/>
      <c r="R257" s="78"/>
      <c r="T257" s="595"/>
      <c r="U257" s="78"/>
      <c r="AJ257" s="78"/>
      <c r="AK257" s="78"/>
      <c r="AL257" s="22"/>
      <c r="AM257" s="78"/>
      <c r="AN257" s="78"/>
      <c r="AO257" s="78"/>
    </row>
    <row r="258" spans="2:41" x14ac:dyDescent="0.25">
      <c r="B258" s="22" t="str">
        <f ca="1">IF(ISERROR(MATCH(B$1,INDIRECT("Table!A"&amp;$AL258):INDIRECT("Table!" &amp; $AO$275 &amp; $AL258),0)),"",INDIRECT(CONCATENATE("Table!",ADDRESS(#REF!,MATCH(B$1,INDIRECT("Table!A" &amp; $AL258):INDIRECT("Table!" &amp; $AO$275 &amp; $AL258),0))))/1024)</f>
        <v/>
      </c>
      <c r="C258" s="22" t="str">
        <f ca="1">IF(ISERROR(MATCH(C$1,INDIRECT("Table!A"&amp;$AL258):INDIRECT("Table!" &amp; $AO$275 &amp; $AL258),0)),"",INDIRECT(CONCATENATE("Table!",ADDRESS(#REF!,MATCH(C$1,INDIRECT("Table!A" &amp; $AL258):INDIRECT("Table!" &amp; $AO$275 &amp; $AL258),0))))/1024)</f>
        <v/>
      </c>
      <c r="D258" s="22" t="str">
        <f ca="1">IF(ISERROR(MATCH(D$1,INDIRECT("Table!A"&amp;$AL258):INDIRECT("Table!" &amp; $AO$275 &amp; $AL258),0)),"",INDIRECT(CONCATENATE("Table!",ADDRESS(#REF!,MATCH(D$1,INDIRECT("Table!A" &amp; $AL258):INDIRECT("Table!" &amp; $AO$275 &amp; $AL258),0))))/1024)</f>
        <v/>
      </c>
      <c r="E258" s="22" t="str">
        <f ca="1">IF(ISERROR(MATCH(E$1,INDIRECT("Table!A"&amp;$AL258):INDIRECT("Table!" &amp; $AO$275 &amp; $AL258),0)),"",INDIRECT(CONCATENATE("Table!",ADDRESS(#REF!,MATCH(E$1,INDIRECT("Table!A" &amp; $AL258):INDIRECT("Table!" &amp; $AO$275 &amp; $AL258),0))))/1024)</f>
        <v/>
      </c>
      <c r="F258" s="22" t="str">
        <f ca="1">IF(ISERROR(MATCH(F$1,INDIRECT("Table!A"&amp;$AL258):INDIRECT("Table!" &amp; $AO$275 &amp; $AL258),0)),"",INDIRECT(CONCATENATE("Table!",ADDRESS(#REF!,MATCH(F$1,INDIRECT("Table!A" &amp; $AL258):INDIRECT("Table!" &amp; $AO$275 &amp; $AL258),0))))/1024)</f>
        <v/>
      </c>
      <c r="G258" s="22" t="str">
        <f ca="1">IF(ISERROR(MATCH(G$1,INDIRECT("Table!A"&amp;$AL258):INDIRECT("Table!" &amp; $AO$275 &amp; $AL258),0)),"",INDIRECT(CONCATENATE("Table!",ADDRESS(#REF!,MATCH(G$1,INDIRECT("Table!A" &amp; $AL258):INDIRECT("Table!" &amp; $AO$275 &amp; $AL258),0))))/1024)</f>
        <v/>
      </c>
      <c r="H258" s="22" t="str">
        <f ca="1">IF(ISERROR(MATCH(H$1,INDIRECT("Table!A"&amp;$AL258):INDIRECT("Table!" &amp; $AO$275 &amp; $AL258),0)),"",INDIRECT(CONCATENATE("Table!",ADDRESS(#REF!,MATCH(H$1,INDIRECT("Table!A" &amp; $AL258):INDIRECT("Table!" &amp; $AO$275 &amp; $AL258),0))))/1024)</f>
        <v/>
      </c>
      <c r="K258" s="22" t="str">
        <f ca="1">IF(ISERROR(MATCH(L$1,INDIRECT("Table!A"&amp;$AL258):INDIRECT("Table!" &amp; $AO$275 &amp; $AL258),0)),"",INDIRECT(CONCATENATE("Table!",ADDRESS(#REF!,MATCH(L$1,INDIRECT("Table!A" &amp; $AL258):INDIRECT("Table!" &amp; $AO$275 &amp; $AL258),0))))/1024)</f>
        <v/>
      </c>
      <c r="L258" s="22" t="str">
        <f ca="1">IF(ISERROR(MATCH(M$1,INDIRECT("Table!A"&amp;$AL258):INDIRECT("Table!" &amp; $AO$275 &amp; $AL258),0)),"",INDIRECT(CONCATENATE("Table!",ADDRESS(#REF!,MATCH(M$1,INDIRECT("Table!A" &amp; $AL258):INDIRECT("Table!" &amp; $AO$275 &amp; $AL258),0))))/1024)</f>
        <v/>
      </c>
      <c r="M258" s="22" t="str">
        <f ca="1">IF(ISERROR(MATCH(N$1,INDIRECT("Table!A"&amp;$AL258):INDIRECT("Table!" &amp; $AO$275 &amp; $AL258),0)),"",INDIRECT(CONCATENATE("Table!",ADDRESS(#REF!,MATCH(N$1,INDIRECT("Table!A" &amp; $AL258):INDIRECT("Table!" &amp; $AO$275 &amp; $AL258),0))))/1024)</f>
        <v/>
      </c>
      <c r="N258" s="22" t="str">
        <f ca="1">IF(ISERROR(MATCH(O$1,INDIRECT("Table!A"&amp;$AL258):INDIRECT("Table!" &amp; $AO$275 &amp; $AL258),0)),"",INDIRECT(CONCATENATE("Table!",ADDRESS(#REF!,MATCH(O$1,INDIRECT("Table!A" &amp; $AL258):INDIRECT("Table!" &amp; $AO$275 &amp; $AL258),0))))/1024)</f>
        <v/>
      </c>
      <c r="O258" s="22"/>
      <c r="P258" s="272"/>
      <c r="Q258" s="22"/>
      <c r="R258" s="87"/>
      <c r="T258" s="595"/>
      <c r="U258" s="87"/>
      <c r="AJ258" s="87"/>
      <c r="AK258" s="87"/>
      <c r="AL258" s="22"/>
      <c r="AM258" s="87"/>
      <c r="AN258" s="87"/>
      <c r="AO258" s="87"/>
    </row>
    <row r="259" spans="2:41" x14ac:dyDescent="0.25">
      <c r="B259" s="22" t="str">
        <f ca="1">IF(ISERROR(MATCH(B$1,INDIRECT("Table!A"&amp;$AL259):INDIRECT("Table!" &amp; $AO$275 &amp; $AL259),0)),"",INDIRECT(CONCATENATE("Table!",ADDRESS(#REF!,MATCH(B$1,INDIRECT("Table!A" &amp; $AL259):INDIRECT("Table!" &amp; $AO$275 &amp; $AL259),0))))/1024)</f>
        <v/>
      </c>
      <c r="C259" s="22" t="str">
        <f ca="1">IF(ISERROR(MATCH(C$1,INDIRECT("Table!A"&amp;$AL259):INDIRECT("Table!" &amp; $AO$275 &amp; $AL259),0)),"",INDIRECT(CONCATENATE("Table!",ADDRESS(#REF!,MATCH(C$1,INDIRECT("Table!A" &amp; $AL259):INDIRECT("Table!" &amp; $AO$275 &amp; $AL259),0))))/1024)</f>
        <v/>
      </c>
      <c r="D259" s="22" t="str">
        <f ca="1">IF(ISERROR(MATCH(D$1,INDIRECT("Table!A"&amp;$AL259):INDIRECT("Table!" &amp; $AO$275 &amp; $AL259),0)),"",INDIRECT(CONCATENATE("Table!",ADDRESS(#REF!,MATCH(D$1,INDIRECT("Table!A" &amp; $AL259):INDIRECT("Table!" &amp; $AO$275 &amp; $AL259),0))))/1024)</f>
        <v/>
      </c>
      <c r="E259" s="22" t="str">
        <f ca="1">IF(ISERROR(MATCH(E$1,INDIRECT("Table!A"&amp;$AL259):INDIRECT("Table!" &amp; $AO$275 &amp; $AL259),0)),"",INDIRECT(CONCATENATE("Table!",ADDRESS(#REF!,MATCH(E$1,INDIRECT("Table!A" &amp; $AL259):INDIRECT("Table!" &amp; $AO$275 &amp; $AL259),0))))/1024)</f>
        <v/>
      </c>
      <c r="F259" s="22" t="str">
        <f ca="1">IF(ISERROR(MATCH(F$1,INDIRECT("Table!A"&amp;$AL259):INDIRECT("Table!" &amp; $AO$275 &amp; $AL259),0)),"",INDIRECT(CONCATENATE("Table!",ADDRESS(#REF!,MATCH(F$1,INDIRECT("Table!A" &amp; $AL259):INDIRECT("Table!" &amp; $AO$275 &amp; $AL259),0))))/1024)</f>
        <v/>
      </c>
      <c r="G259" s="22" t="str">
        <f ca="1">IF(ISERROR(MATCH(G$1,INDIRECT("Table!A"&amp;$AL259):INDIRECT("Table!" &amp; $AO$275 &amp; $AL259),0)),"",INDIRECT(CONCATENATE("Table!",ADDRESS(#REF!,MATCH(G$1,INDIRECT("Table!A" &amp; $AL259):INDIRECT("Table!" &amp; $AO$275 &amp; $AL259),0))))/1024)</f>
        <v/>
      </c>
      <c r="H259" s="22" t="str">
        <f ca="1">IF(ISERROR(MATCH(H$1,INDIRECT("Table!A"&amp;$AL259):INDIRECT("Table!" &amp; $AO$275 &amp; $AL259),0)),"",INDIRECT(CONCATENATE("Table!",ADDRESS(#REF!,MATCH(H$1,INDIRECT("Table!A" &amp; $AL259):INDIRECT("Table!" &amp; $AO$275 &amp; $AL259),0))))/1024)</f>
        <v/>
      </c>
      <c r="K259" s="22" t="str">
        <f ca="1">IF(ISERROR(MATCH(L$1,INDIRECT("Table!A"&amp;$AL259):INDIRECT("Table!" &amp; $AO$275 &amp; $AL259),0)),"",INDIRECT(CONCATENATE("Table!",ADDRESS(#REF!,MATCH(L$1,INDIRECT("Table!A" &amp; $AL259):INDIRECT("Table!" &amp; $AO$275 &amp; $AL259),0))))/1024)</f>
        <v/>
      </c>
      <c r="L259" s="22" t="str">
        <f ca="1">IF(ISERROR(MATCH(M$1,INDIRECT("Table!A"&amp;$AL259):INDIRECT("Table!" &amp; $AO$275 &amp; $AL259),0)),"",INDIRECT(CONCATENATE("Table!",ADDRESS(#REF!,MATCH(M$1,INDIRECT("Table!A" &amp; $AL259):INDIRECT("Table!" &amp; $AO$275 &amp; $AL259),0))))/1024)</f>
        <v/>
      </c>
      <c r="M259" s="22" t="str">
        <f ca="1">IF(ISERROR(MATCH(N$1,INDIRECT("Table!A"&amp;$AL259):INDIRECT("Table!" &amp; $AO$275 &amp; $AL259),0)),"",INDIRECT(CONCATENATE("Table!",ADDRESS(#REF!,MATCH(N$1,INDIRECT("Table!A" &amp; $AL259):INDIRECT("Table!" &amp; $AO$275 &amp; $AL259),0))))/1024)</f>
        <v/>
      </c>
      <c r="N259" s="22" t="str">
        <f ca="1">IF(ISERROR(MATCH(O$1,INDIRECT("Table!A"&amp;$AL259):INDIRECT("Table!" &amp; $AO$275 &amp; $AL259),0)),"",INDIRECT(CONCATENATE("Table!",ADDRESS(#REF!,MATCH(O$1,INDIRECT("Table!A" &amp; $AL259):INDIRECT("Table!" &amp; $AO$275 &amp; $AL259),0))))/1024)</f>
        <v/>
      </c>
      <c r="O259" s="22"/>
      <c r="P259" s="272"/>
      <c r="Q259" s="22"/>
      <c r="R259" s="86"/>
      <c r="T259" s="595"/>
      <c r="U259" s="86"/>
      <c r="AJ259" s="86"/>
      <c r="AK259" s="86"/>
      <c r="AL259" s="22"/>
      <c r="AM259" s="86"/>
      <c r="AN259" s="86"/>
      <c r="AO259" s="86"/>
    </row>
    <row r="260" spans="2:41" x14ac:dyDescent="0.25">
      <c r="B260" s="22" t="str">
        <f ca="1">IF(ISERROR(MATCH(B$1,INDIRECT("Table!A"&amp;$AL260):INDIRECT("Table!" &amp; $AO$275 &amp; $AL260),0)),"",INDIRECT(CONCATENATE("Table!",ADDRESS(#REF!,MATCH(B$1,INDIRECT("Table!A" &amp; $AL260):INDIRECT("Table!" &amp; $AO$275 &amp; $AL260),0))))/1024)</f>
        <v/>
      </c>
      <c r="C260" s="22" t="str">
        <f ca="1">IF(ISERROR(MATCH(C$1,INDIRECT("Table!A"&amp;$AL260):INDIRECT("Table!" &amp; $AO$275 &amp; $AL260),0)),"",INDIRECT(CONCATENATE("Table!",ADDRESS(#REF!,MATCH(C$1,INDIRECT("Table!A" &amp; $AL260):INDIRECT("Table!" &amp; $AO$275 &amp; $AL260),0))))/1024)</f>
        <v/>
      </c>
      <c r="D260" s="22" t="str">
        <f ca="1">IF(ISERROR(MATCH(D$1,INDIRECT("Table!A"&amp;$AL260):INDIRECT("Table!" &amp; $AO$275 &amp; $AL260),0)),"",INDIRECT(CONCATENATE("Table!",ADDRESS(#REF!,MATCH(D$1,INDIRECT("Table!A" &amp; $AL260):INDIRECT("Table!" &amp; $AO$275 &amp; $AL260),0))))/1024)</f>
        <v/>
      </c>
      <c r="E260" s="22" t="str">
        <f ca="1">IF(ISERROR(MATCH(E$1,INDIRECT("Table!A"&amp;$AL260):INDIRECT("Table!" &amp; $AO$275 &amp; $AL260),0)),"",INDIRECT(CONCATENATE("Table!",ADDRESS(#REF!,MATCH(E$1,INDIRECT("Table!A" &amp; $AL260):INDIRECT("Table!" &amp; $AO$275 &amp; $AL260),0))))/1024)</f>
        <v/>
      </c>
      <c r="F260" s="22" t="str">
        <f ca="1">IF(ISERROR(MATCH(F$1,INDIRECT("Table!A"&amp;$AL260):INDIRECT("Table!" &amp; $AO$275 &amp; $AL260),0)),"",INDIRECT(CONCATENATE("Table!",ADDRESS(#REF!,MATCH(F$1,INDIRECT("Table!A" &amp; $AL260):INDIRECT("Table!" &amp; $AO$275 &amp; $AL260),0))))/1024)</f>
        <v/>
      </c>
      <c r="G260" s="22" t="str">
        <f ca="1">IF(ISERROR(MATCH(G$1,INDIRECT("Table!A"&amp;$AL260):INDIRECT("Table!" &amp; $AO$275 &amp; $AL260),0)),"",INDIRECT(CONCATENATE("Table!",ADDRESS(#REF!,MATCH(G$1,INDIRECT("Table!A" &amp; $AL260):INDIRECT("Table!" &amp; $AO$275 &amp; $AL260),0))))/1024)</f>
        <v/>
      </c>
      <c r="H260" s="22" t="str">
        <f ca="1">IF(ISERROR(MATCH(H$1,INDIRECT("Table!A"&amp;$AL260):INDIRECT("Table!" &amp; $AO$275 &amp; $AL260),0)),"",INDIRECT(CONCATENATE("Table!",ADDRESS(#REF!,MATCH(H$1,INDIRECT("Table!A" &amp; $AL260):INDIRECT("Table!" &amp; $AO$275 &amp; $AL260),0))))/1024)</f>
        <v/>
      </c>
      <c r="K260" s="22" t="str">
        <f ca="1">IF(ISERROR(MATCH(L$1,INDIRECT("Table!A"&amp;$AL260):INDIRECT("Table!" &amp; $AO$275 &amp; $AL260),0)),"",INDIRECT(CONCATENATE("Table!",ADDRESS(#REF!,MATCH(L$1,INDIRECT("Table!A" &amp; $AL260):INDIRECT("Table!" &amp; $AO$275 &amp; $AL260),0))))/1024)</f>
        <v/>
      </c>
      <c r="L260" s="22" t="str">
        <f ca="1">IF(ISERROR(MATCH(M$1,INDIRECT("Table!A"&amp;$AL260):INDIRECT("Table!" &amp; $AO$275 &amp; $AL260),0)),"",INDIRECT(CONCATENATE("Table!",ADDRESS(#REF!,MATCH(M$1,INDIRECT("Table!A" &amp; $AL260):INDIRECT("Table!" &amp; $AO$275 &amp; $AL260),0))))/1024)</f>
        <v/>
      </c>
      <c r="M260" s="22" t="str">
        <f ca="1">IF(ISERROR(MATCH(N$1,INDIRECT("Table!A"&amp;$AL260):INDIRECT("Table!" &amp; $AO$275 &amp; $AL260),0)),"",INDIRECT(CONCATENATE("Table!",ADDRESS(#REF!,MATCH(N$1,INDIRECT("Table!A" &amp; $AL260):INDIRECT("Table!" &amp; $AO$275 &amp; $AL260),0))))/1024)</f>
        <v/>
      </c>
      <c r="N260" s="22" t="str">
        <f ca="1">IF(ISERROR(MATCH(O$1,INDIRECT("Table!A"&amp;$AL260):INDIRECT("Table!" &amp; $AO$275 &amp; $AL260),0)),"",INDIRECT(CONCATENATE("Table!",ADDRESS(#REF!,MATCH(O$1,INDIRECT("Table!A" &amp; $AL260):INDIRECT("Table!" &amp; $AO$275 &amp; $AL260),0))))/1024)</f>
        <v/>
      </c>
      <c r="O260" s="22"/>
      <c r="P260" s="272"/>
      <c r="Q260" s="22"/>
      <c r="R260" s="85"/>
      <c r="T260" s="595"/>
      <c r="U260" s="85"/>
      <c r="AJ260" s="85"/>
      <c r="AK260" s="85"/>
      <c r="AL260" s="22"/>
      <c r="AM260" s="85"/>
      <c r="AN260" s="85"/>
      <c r="AO260" s="85"/>
    </row>
    <row r="261" spans="2:41" x14ac:dyDescent="0.25">
      <c r="B261" s="22" t="str">
        <f ca="1">IF(ISERROR(MATCH(B$1,INDIRECT("Table!A"&amp;$AL261):INDIRECT("Table!" &amp; $AO$275 &amp; $AL261),0)),"",INDIRECT(CONCATENATE("Table!",ADDRESS(#REF!,MATCH(B$1,INDIRECT("Table!A" &amp; $AL261):INDIRECT("Table!" &amp; $AO$275 &amp; $AL261),0))))/1024)</f>
        <v/>
      </c>
      <c r="C261" s="22" t="str">
        <f ca="1">IF(ISERROR(MATCH(C$1,INDIRECT("Table!A"&amp;$AL261):INDIRECT("Table!" &amp; $AO$275 &amp; $AL261),0)),"",INDIRECT(CONCATENATE("Table!",ADDRESS(#REF!,MATCH(C$1,INDIRECT("Table!A" &amp; $AL261):INDIRECT("Table!" &amp; $AO$275 &amp; $AL261),0))))/1024)</f>
        <v/>
      </c>
      <c r="D261" s="22" t="str">
        <f ca="1">IF(ISERROR(MATCH(D$1,INDIRECT("Table!A"&amp;$AL261):INDIRECT("Table!" &amp; $AO$275 &amp; $AL261),0)),"",INDIRECT(CONCATENATE("Table!",ADDRESS(#REF!,MATCH(D$1,INDIRECT("Table!A" &amp; $AL261):INDIRECT("Table!" &amp; $AO$275 &amp; $AL261),0))))/1024)</f>
        <v/>
      </c>
      <c r="E261" s="22" t="str">
        <f ca="1">IF(ISERROR(MATCH(E$1,INDIRECT("Table!A"&amp;$AL261):INDIRECT("Table!" &amp; $AO$275 &amp; $AL261),0)),"",INDIRECT(CONCATENATE("Table!",ADDRESS(#REF!,MATCH(E$1,INDIRECT("Table!A" &amp; $AL261):INDIRECT("Table!" &amp; $AO$275 &amp; $AL261),0))))/1024)</f>
        <v/>
      </c>
      <c r="F261" s="22" t="str">
        <f ca="1">IF(ISERROR(MATCH(F$1,INDIRECT("Table!A"&amp;$AL261):INDIRECT("Table!" &amp; $AO$275 &amp; $AL261),0)),"",INDIRECT(CONCATENATE("Table!",ADDRESS(#REF!,MATCH(F$1,INDIRECT("Table!A" &amp; $AL261):INDIRECT("Table!" &amp; $AO$275 &amp; $AL261),0))))/1024)</f>
        <v/>
      </c>
      <c r="G261" s="22" t="str">
        <f ca="1">IF(ISERROR(MATCH(G$1,INDIRECT("Table!A"&amp;$AL261):INDIRECT("Table!" &amp; $AO$275 &amp; $AL261),0)),"",INDIRECT(CONCATENATE("Table!",ADDRESS(#REF!,MATCH(G$1,INDIRECT("Table!A" &amp; $AL261):INDIRECT("Table!" &amp; $AO$275 &amp; $AL261),0))))/1024)</f>
        <v/>
      </c>
      <c r="H261" s="22" t="str">
        <f ca="1">IF(ISERROR(MATCH(H$1,INDIRECT("Table!A"&amp;$AL261):INDIRECT("Table!" &amp; $AO$275 &amp; $AL261),0)),"",INDIRECT(CONCATENATE("Table!",ADDRESS(#REF!,MATCH(H$1,INDIRECT("Table!A" &amp; $AL261):INDIRECT("Table!" &amp; $AO$275 &amp; $AL261),0))))/1024)</f>
        <v/>
      </c>
      <c r="K261" s="22" t="str">
        <f ca="1">IF(ISERROR(MATCH(L$1,INDIRECT("Table!A"&amp;$AL261):INDIRECT("Table!" &amp; $AO$275 &amp; $AL261),0)),"",INDIRECT(CONCATENATE("Table!",ADDRESS(#REF!,MATCH(L$1,INDIRECT("Table!A" &amp; $AL261):INDIRECT("Table!" &amp; $AO$275 &amp; $AL261),0))))/1024)</f>
        <v/>
      </c>
      <c r="L261" s="22" t="str">
        <f ca="1">IF(ISERROR(MATCH(M$1,INDIRECT("Table!A"&amp;$AL261):INDIRECT("Table!" &amp; $AO$275 &amp; $AL261),0)),"",INDIRECT(CONCATENATE("Table!",ADDRESS(#REF!,MATCH(M$1,INDIRECT("Table!A" &amp; $AL261):INDIRECT("Table!" &amp; $AO$275 &amp; $AL261),0))))/1024)</f>
        <v/>
      </c>
      <c r="M261" s="22" t="str">
        <f ca="1">IF(ISERROR(MATCH(N$1,INDIRECT("Table!A"&amp;$AL261):INDIRECT("Table!" &amp; $AO$275 &amp; $AL261),0)),"",INDIRECT(CONCATENATE("Table!",ADDRESS(#REF!,MATCH(N$1,INDIRECT("Table!A" &amp; $AL261):INDIRECT("Table!" &amp; $AO$275 &amp; $AL261),0))))/1024)</f>
        <v/>
      </c>
      <c r="N261" s="22" t="str">
        <f ca="1">IF(ISERROR(MATCH(O$1,INDIRECT("Table!A"&amp;$AL261):INDIRECT("Table!" &amp; $AO$275 &amp; $AL261),0)),"",INDIRECT(CONCATENATE("Table!",ADDRESS(#REF!,MATCH(O$1,INDIRECT("Table!A" &amp; $AL261):INDIRECT("Table!" &amp; $AO$275 &amp; $AL261),0))))/1024)</f>
        <v/>
      </c>
      <c r="O261" s="22"/>
      <c r="P261" s="272"/>
      <c r="Q261" s="22"/>
      <c r="R261" s="84"/>
      <c r="T261" s="595"/>
      <c r="U261" s="84"/>
      <c r="AJ261" s="84"/>
      <c r="AK261" s="84"/>
      <c r="AL261" s="22"/>
      <c r="AM261" s="84"/>
      <c r="AN261" s="84"/>
      <c r="AO261" s="84"/>
    </row>
    <row r="262" spans="2:41" x14ac:dyDescent="0.25">
      <c r="B262" s="22" t="str">
        <f ca="1">IF(ISERROR(MATCH(B$1,INDIRECT("Table!A"&amp;$AL262):INDIRECT("Table!" &amp; $AO$275 &amp; $AL262),0)),"",INDIRECT(CONCATENATE("Table!",ADDRESS(#REF!,MATCH(B$1,INDIRECT("Table!A" &amp; $AL262):INDIRECT("Table!" &amp; $AO$275 &amp; $AL262),0))))/1024)</f>
        <v/>
      </c>
      <c r="C262" s="22" t="str">
        <f ca="1">IF(ISERROR(MATCH(C$1,INDIRECT("Table!A"&amp;$AL262):INDIRECT("Table!" &amp; $AO$275 &amp; $AL262),0)),"",INDIRECT(CONCATENATE("Table!",ADDRESS(#REF!,MATCH(C$1,INDIRECT("Table!A" &amp; $AL262):INDIRECT("Table!" &amp; $AO$275 &amp; $AL262),0))))/1024)</f>
        <v/>
      </c>
      <c r="D262" s="22" t="str">
        <f ca="1">IF(ISERROR(MATCH(D$1,INDIRECT("Table!A"&amp;$AL262):INDIRECT("Table!" &amp; $AO$275 &amp; $AL262),0)),"",INDIRECT(CONCATENATE("Table!",ADDRESS(#REF!,MATCH(D$1,INDIRECT("Table!A" &amp; $AL262):INDIRECT("Table!" &amp; $AO$275 &amp; $AL262),0))))/1024)</f>
        <v/>
      </c>
      <c r="E262" s="22" t="str">
        <f ca="1">IF(ISERROR(MATCH(E$1,INDIRECT("Table!A"&amp;$AL262):INDIRECT("Table!" &amp; $AO$275 &amp; $AL262),0)),"",INDIRECT(CONCATENATE("Table!",ADDRESS(#REF!,MATCH(E$1,INDIRECT("Table!A" &amp; $AL262):INDIRECT("Table!" &amp; $AO$275 &amp; $AL262),0))))/1024)</f>
        <v/>
      </c>
      <c r="F262" s="22" t="str">
        <f ca="1">IF(ISERROR(MATCH(F$1,INDIRECT("Table!A"&amp;$AL262):INDIRECT("Table!" &amp; $AO$275 &amp; $AL262),0)),"",INDIRECT(CONCATENATE("Table!",ADDRESS(#REF!,MATCH(F$1,INDIRECT("Table!A" &amp; $AL262):INDIRECT("Table!" &amp; $AO$275 &amp; $AL262),0))))/1024)</f>
        <v/>
      </c>
      <c r="G262" s="22" t="str">
        <f ca="1">IF(ISERROR(MATCH(G$1,INDIRECT("Table!A"&amp;$AL262):INDIRECT("Table!" &amp; $AO$275 &amp; $AL262),0)),"",INDIRECT(CONCATENATE("Table!",ADDRESS(#REF!,MATCH(G$1,INDIRECT("Table!A" &amp; $AL262):INDIRECT("Table!" &amp; $AO$275 &amp; $AL262),0))))/1024)</f>
        <v/>
      </c>
      <c r="H262" s="22" t="str">
        <f ca="1">IF(ISERROR(MATCH(H$1,INDIRECT("Table!A"&amp;$AL262):INDIRECT("Table!" &amp; $AO$275 &amp; $AL262),0)),"",INDIRECT(CONCATENATE("Table!",ADDRESS(#REF!,MATCH(H$1,INDIRECT("Table!A" &amp; $AL262):INDIRECT("Table!" &amp; $AO$275 &amp; $AL262),0))))/1024)</f>
        <v/>
      </c>
      <c r="K262" s="22" t="str">
        <f ca="1">IF(ISERROR(MATCH(L$1,INDIRECT("Table!A"&amp;$AL262):INDIRECT("Table!" &amp; $AO$275 &amp; $AL262),0)),"",INDIRECT(CONCATENATE("Table!",ADDRESS(#REF!,MATCH(L$1,INDIRECT("Table!A" &amp; $AL262):INDIRECT("Table!" &amp; $AO$275 &amp; $AL262),0))))/1024)</f>
        <v/>
      </c>
      <c r="L262" s="22" t="str">
        <f ca="1">IF(ISERROR(MATCH(M$1,INDIRECT("Table!A"&amp;$AL262):INDIRECT("Table!" &amp; $AO$275 &amp; $AL262),0)),"",INDIRECT(CONCATENATE("Table!",ADDRESS(#REF!,MATCH(M$1,INDIRECT("Table!A" &amp; $AL262):INDIRECT("Table!" &amp; $AO$275 &amp; $AL262),0))))/1024)</f>
        <v/>
      </c>
      <c r="M262" s="22" t="str">
        <f ca="1">IF(ISERROR(MATCH(N$1,INDIRECT("Table!A"&amp;$AL262):INDIRECT("Table!" &amp; $AO$275 &amp; $AL262),0)),"",INDIRECT(CONCATENATE("Table!",ADDRESS(#REF!,MATCH(N$1,INDIRECT("Table!A" &amp; $AL262):INDIRECT("Table!" &amp; $AO$275 &amp; $AL262),0))))/1024)</f>
        <v/>
      </c>
      <c r="N262" s="22" t="str">
        <f ca="1">IF(ISERROR(MATCH(O$1,INDIRECT("Table!A"&amp;$AL262):INDIRECT("Table!" &amp; $AO$275 &amp; $AL262),0)),"",INDIRECT(CONCATENATE("Table!",ADDRESS(#REF!,MATCH(O$1,INDIRECT("Table!A" &amp; $AL262):INDIRECT("Table!" &amp; $AO$275 &amp; $AL262),0))))/1024)</f>
        <v/>
      </c>
      <c r="O262" s="22"/>
      <c r="P262" s="272"/>
      <c r="Q262" s="22"/>
      <c r="R262" s="83"/>
      <c r="T262" s="595"/>
      <c r="U262" s="83"/>
      <c r="AJ262" s="83"/>
      <c r="AK262" s="83"/>
      <c r="AL262" s="22"/>
      <c r="AM262" s="83"/>
      <c r="AN262" s="83"/>
      <c r="AO262" s="83"/>
    </row>
    <row r="263" spans="2:41" x14ac:dyDescent="0.25">
      <c r="B263" s="22" t="str">
        <f ca="1">IF(ISERROR(MATCH(B$1,INDIRECT("Table!A"&amp;$AL263):INDIRECT("Table!" &amp; $AO$275 &amp; $AL263),0)),"",INDIRECT(CONCATENATE("Table!",ADDRESS(#REF!,MATCH(B$1,INDIRECT("Table!A" &amp; $AL263):INDIRECT("Table!" &amp; $AO$275 &amp; $AL263),0))))/1024)</f>
        <v/>
      </c>
      <c r="C263" s="22" t="str">
        <f ca="1">IF(ISERROR(MATCH(C$1,INDIRECT("Table!A"&amp;$AL263):INDIRECT("Table!" &amp; $AO$275 &amp; $AL263),0)),"",INDIRECT(CONCATENATE("Table!",ADDRESS(#REF!,MATCH(C$1,INDIRECT("Table!A" &amp; $AL263):INDIRECT("Table!" &amp; $AO$275 &amp; $AL263),0))))/1024)</f>
        <v/>
      </c>
      <c r="D263" s="22" t="str">
        <f ca="1">IF(ISERROR(MATCH(D$1,INDIRECT("Table!A"&amp;$AL263):INDIRECT("Table!" &amp; $AO$275 &amp; $AL263),0)),"",INDIRECT(CONCATENATE("Table!",ADDRESS(#REF!,MATCH(D$1,INDIRECT("Table!A" &amp; $AL263):INDIRECT("Table!" &amp; $AO$275 &amp; $AL263),0))))/1024)</f>
        <v/>
      </c>
      <c r="E263" s="22" t="str">
        <f ca="1">IF(ISERROR(MATCH(E$1,INDIRECT("Table!A"&amp;$AL263):INDIRECT("Table!" &amp; $AO$275 &amp; $AL263),0)),"",INDIRECT(CONCATENATE("Table!",ADDRESS(#REF!,MATCH(E$1,INDIRECT("Table!A" &amp; $AL263):INDIRECT("Table!" &amp; $AO$275 &amp; $AL263),0))))/1024)</f>
        <v/>
      </c>
      <c r="F263" s="22" t="str">
        <f ca="1">IF(ISERROR(MATCH(F$1,INDIRECT("Table!A"&amp;$AL263):INDIRECT("Table!" &amp; $AO$275 &amp; $AL263),0)),"",INDIRECT(CONCATENATE("Table!",ADDRESS(#REF!,MATCH(F$1,INDIRECT("Table!A" &amp; $AL263):INDIRECT("Table!" &amp; $AO$275 &amp; $AL263),0))))/1024)</f>
        <v/>
      </c>
      <c r="G263" s="22" t="str">
        <f ca="1">IF(ISERROR(MATCH(G$1,INDIRECT("Table!A"&amp;$AL263):INDIRECT("Table!" &amp; $AO$275 &amp; $AL263),0)),"",INDIRECT(CONCATENATE("Table!",ADDRESS(#REF!,MATCH(G$1,INDIRECT("Table!A" &amp; $AL263):INDIRECT("Table!" &amp; $AO$275 &amp; $AL263),0))))/1024)</f>
        <v/>
      </c>
      <c r="H263" s="22" t="str">
        <f ca="1">IF(ISERROR(MATCH(H$1,INDIRECT("Table!A"&amp;$AL263):INDIRECT("Table!" &amp; $AO$275 &amp; $AL263),0)),"",INDIRECT(CONCATENATE("Table!",ADDRESS(#REF!,MATCH(H$1,INDIRECT("Table!A" &amp; $AL263):INDIRECT("Table!" &amp; $AO$275 &amp; $AL263),0))))/1024)</f>
        <v/>
      </c>
      <c r="K263" s="22" t="str">
        <f ca="1">IF(ISERROR(MATCH(L$1,INDIRECT("Table!A"&amp;$AL263):INDIRECT("Table!" &amp; $AO$275 &amp; $AL263),0)),"",INDIRECT(CONCATENATE("Table!",ADDRESS(#REF!,MATCH(L$1,INDIRECT("Table!A" &amp; $AL263):INDIRECT("Table!" &amp; $AO$275 &amp; $AL263),0))))/1024)</f>
        <v/>
      </c>
      <c r="L263" s="22" t="str">
        <f ca="1">IF(ISERROR(MATCH(M$1,INDIRECT("Table!A"&amp;$AL263):INDIRECT("Table!" &amp; $AO$275 &amp; $AL263),0)),"",INDIRECT(CONCATENATE("Table!",ADDRESS(#REF!,MATCH(M$1,INDIRECT("Table!A" &amp; $AL263):INDIRECT("Table!" &amp; $AO$275 &amp; $AL263),0))))/1024)</f>
        <v/>
      </c>
      <c r="M263" s="22" t="str">
        <f ca="1">IF(ISERROR(MATCH(N$1,INDIRECT("Table!A"&amp;$AL263):INDIRECT("Table!" &amp; $AO$275 &amp; $AL263),0)),"",INDIRECT(CONCATENATE("Table!",ADDRESS(#REF!,MATCH(N$1,INDIRECT("Table!A" &amp; $AL263):INDIRECT("Table!" &amp; $AO$275 &amp; $AL263),0))))/1024)</f>
        <v/>
      </c>
      <c r="N263" s="22" t="str">
        <f ca="1">IF(ISERROR(MATCH(O$1,INDIRECT("Table!A"&amp;$AL263):INDIRECT("Table!" &amp; $AO$275 &amp; $AL263),0)),"",INDIRECT(CONCATENATE("Table!",ADDRESS(#REF!,MATCH(O$1,INDIRECT("Table!A" &amp; $AL263):INDIRECT("Table!" &amp; $AO$275 &amp; $AL263),0))))/1024)</f>
        <v/>
      </c>
      <c r="O263" s="22"/>
      <c r="P263" s="272"/>
      <c r="Q263" s="22"/>
      <c r="R263" s="82"/>
      <c r="T263" s="595"/>
      <c r="U263" s="82"/>
      <c r="AJ263" s="82"/>
      <c r="AK263" s="82"/>
      <c r="AL263" s="22"/>
      <c r="AM263" s="82"/>
      <c r="AN263" s="82"/>
      <c r="AO263" s="82"/>
    </row>
    <row r="264" spans="2:41" x14ac:dyDescent="0.25">
      <c r="B264" s="22" t="str">
        <f ca="1">IF(ISERROR(MATCH(B$1,INDIRECT("Table!A"&amp;$AL264):INDIRECT("Table!" &amp; $AO$275 &amp; $AL264),0)),"",INDIRECT(CONCATENATE("Table!",ADDRESS(#REF!,MATCH(B$1,INDIRECT("Table!A" &amp; $AL264):INDIRECT("Table!" &amp; $AO$275 &amp; $AL264),0))))/1024)</f>
        <v/>
      </c>
      <c r="C264" s="22" t="str">
        <f ca="1">IF(ISERROR(MATCH(C$1,INDIRECT("Table!A"&amp;$AL264):INDIRECT("Table!" &amp; $AO$275 &amp; $AL264),0)),"",INDIRECT(CONCATENATE("Table!",ADDRESS(#REF!,MATCH(C$1,INDIRECT("Table!A" &amp; $AL264):INDIRECT("Table!" &amp; $AO$275 &amp; $AL264),0))))/1024)</f>
        <v/>
      </c>
      <c r="D264" s="22" t="str">
        <f ca="1">IF(ISERROR(MATCH(D$1,INDIRECT("Table!A"&amp;$AL264):INDIRECT("Table!" &amp; $AO$275 &amp; $AL264),0)),"",INDIRECT(CONCATENATE("Table!",ADDRESS(#REF!,MATCH(D$1,INDIRECT("Table!A" &amp; $AL264):INDIRECT("Table!" &amp; $AO$275 &amp; $AL264),0))))/1024)</f>
        <v/>
      </c>
      <c r="E264" s="22" t="str">
        <f ca="1">IF(ISERROR(MATCH(E$1,INDIRECT("Table!A"&amp;$AL264):INDIRECT("Table!" &amp; $AO$275 &amp; $AL264),0)),"",INDIRECT(CONCATENATE("Table!",ADDRESS(#REF!,MATCH(E$1,INDIRECT("Table!A" &amp; $AL264):INDIRECT("Table!" &amp; $AO$275 &amp; $AL264),0))))/1024)</f>
        <v/>
      </c>
      <c r="F264" s="22" t="str">
        <f ca="1">IF(ISERROR(MATCH(F$1,INDIRECT("Table!A"&amp;$AL264):INDIRECT("Table!" &amp; $AO$275 &amp; $AL264),0)),"",INDIRECT(CONCATENATE("Table!",ADDRESS(#REF!,MATCH(F$1,INDIRECT("Table!A" &amp; $AL264):INDIRECT("Table!" &amp; $AO$275 &amp; $AL264),0))))/1024)</f>
        <v/>
      </c>
      <c r="G264" s="22" t="str">
        <f ca="1">IF(ISERROR(MATCH(G$1,INDIRECT("Table!A"&amp;$AL264):INDIRECT("Table!" &amp; $AO$275 &amp; $AL264),0)),"",INDIRECT(CONCATENATE("Table!",ADDRESS(#REF!,MATCH(G$1,INDIRECT("Table!A" &amp; $AL264):INDIRECT("Table!" &amp; $AO$275 &amp; $AL264),0))))/1024)</f>
        <v/>
      </c>
      <c r="H264" s="22" t="str">
        <f ca="1">IF(ISERROR(MATCH(H$1,INDIRECT("Table!A"&amp;$AL264):INDIRECT("Table!" &amp; $AO$275 &amp; $AL264),0)),"",INDIRECT(CONCATENATE("Table!",ADDRESS(#REF!,MATCH(H$1,INDIRECT("Table!A" &amp; $AL264):INDIRECT("Table!" &amp; $AO$275 &amp; $AL264),0))))/1024)</f>
        <v/>
      </c>
      <c r="K264" s="22" t="str">
        <f ca="1">IF(ISERROR(MATCH(L$1,INDIRECT("Table!A"&amp;$AL264):INDIRECT("Table!" &amp; $AO$275 &amp; $AL264),0)),"",INDIRECT(CONCATENATE("Table!",ADDRESS(#REF!,MATCH(L$1,INDIRECT("Table!A" &amp; $AL264):INDIRECT("Table!" &amp; $AO$275 &amp; $AL264),0))))/1024)</f>
        <v/>
      </c>
      <c r="L264" s="22" t="str">
        <f ca="1">IF(ISERROR(MATCH(M$1,INDIRECT("Table!A"&amp;$AL264):INDIRECT("Table!" &amp; $AO$275 &amp; $AL264),0)),"",INDIRECT(CONCATENATE("Table!",ADDRESS(#REF!,MATCH(M$1,INDIRECT("Table!A" &amp; $AL264):INDIRECT("Table!" &amp; $AO$275 &amp; $AL264),0))))/1024)</f>
        <v/>
      </c>
      <c r="M264" s="22" t="str">
        <f ca="1">IF(ISERROR(MATCH(N$1,INDIRECT("Table!A"&amp;$AL264):INDIRECT("Table!" &amp; $AO$275 &amp; $AL264),0)),"",INDIRECT(CONCATENATE("Table!",ADDRESS(#REF!,MATCH(N$1,INDIRECT("Table!A" &amp; $AL264):INDIRECT("Table!" &amp; $AO$275 &amp; $AL264),0))))/1024)</f>
        <v/>
      </c>
      <c r="N264" s="22" t="str">
        <f ca="1">IF(ISERROR(MATCH(O$1,INDIRECT("Table!A"&amp;$AL264):INDIRECT("Table!" &amp; $AO$275 &amp; $AL264),0)),"",INDIRECT(CONCATENATE("Table!",ADDRESS(#REF!,MATCH(O$1,INDIRECT("Table!A" &amp; $AL264):INDIRECT("Table!" &amp; $AO$275 &amp; $AL264),0))))/1024)</f>
        <v/>
      </c>
      <c r="O264" s="22"/>
      <c r="P264" s="272"/>
      <c r="Q264" s="22"/>
      <c r="R264" s="81"/>
      <c r="T264" s="595"/>
      <c r="U264" s="81"/>
      <c r="AJ264" s="81"/>
      <c r="AK264" s="81"/>
      <c r="AL264" s="22"/>
      <c r="AM264" s="81"/>
      <c r="AN264" s="81"/>
      <c r="AO264" s="81"/>
    </row>
    <row r="265" spans="2:41" x14ac:dyDescent="0.25">
      <c r="B265" s="22" t="str">
        <f ca="1">IF(ISERROR(MATCH(B$1,INDIRECT("Table!A"&amp;$AL265):INDIRECT("Table!" &amp; $AO$275 &amp; $AL265),0)),"",INDIRECT(CONCATENATE("Table!",ADDRESS(#REF!,MATCH(B$1,INDIRECT("Table!A" &amp; $AL265):INDIRECT("Table!" &amp; $AO$275 &amp; $AL265),0))))/1024)</f>
        <v/>
      </c>
      <c r="C265" s="22" t="str">
        <f ca="1">IF(ISERROR(MATCH(C$1,INDIRECT("Table!A"&amp;$AL265):INDIRECT("Table!" &amp; $AO$275 &amp; $AL265),0)),"",INDIRECT(CONCATENATE("Table!",ADDRESS(#REF!,MATCH(C$1,INDIRECT("Table!A" &amp; $AL265):INDIRECT("Table!" &amp; $AO$275 &amp; $AL265),0))))/1024)</f>
        <v/>
      </c>
      <c r="D265" s="22" t="str">
        <f ca="1">IF(ISERROR(MATCH(D$1,INDIRECT("Table!A"&amp;$AL265):INDIRECT("Table!" &amp; $AO$275 &amp; $AL265),0)),"",INDIRECT(CONCATENATE("Table!",ADDRESS(#REF!,MATCH(D$1,INDIRECT("Table!A" &amp; $AL265):INDIRECT("Table!" &amp; $AO$275 &amp; $AL265),0))))/1024)</f>
        <v/>
      </c>
      <c r="E265" s="22" t="str">
        <f ca="1">IF(ISERROR(MATCH(E$1,INDIRECT("Table!A"&amp;$AL265):INDIRECT("Table!" &amp; $AO$275 &amp; $AL265),0)),"",INDIRECT(CONCATENATE("Table!",ADDRESS(#REF!,MATCH(E$1,INDIRECT("Table!A" &amp; $AL265):INDIRECT("Table!" &amp; $AO$275 &amp; $AL265),0))))/1024)</f>
        <v/>
      </c>
      <c r="F265" s="22" t="str">
        <f ca="1">IF(ISERROR(MATCH(F$1,INDIRECT("Table!A"&amp;$AL265):INDIRECT("Table!" &amp; $AO$275 &amp; $AL265),0)),"",INDIRECT(CONCATENATE("Table!",ADDRESS(#REF!,MATCH(F$1,INDIRECT("Table!A" &amp; $AL265):INDIRECT("Table!" &amp; $AO$275 &amp; $AL265),0))))/1024)</f>
        <v/>
      </c>
      <c r="G265" s="22" t="str">
        <f ca="1">IF(ISERROR(MATCH(G$1,INDIRECT("Table!A"&amp;$AL265):INDIRECT("Table!" &amp; $AO$275 &amp; $AL265),0)),"",INDIRECT(CONCATENATE("Table!",ADDRESS(#REF!,MATCH(G$1,INDIRECT("Table!A" &amp; $AL265):INDIRECT("Table!" &amp; $AO$275 &amp; $AL265),0))))/1024)</f>
        <v/>
      </c>
      <c r="H265" s="22" t="str">
        <f ca="1">IF(ISERROR(MATCH(H$1,INDIRECT("Table!A"&amp;$AL265):INDIRECT("Table!" &amp; $AO$275 &amp; $AL265),0)),"",INDIRECT(CONCATENATE("Table!",ADDRESS(#REF!,MATCH(H$1,INDIRECT("Table!A" &amp; $AL265):INDIRECT("Table!" &amp; $AO$275 &amp; $AL265),0))))/1024)</f>
        <v/>
      </c>
      <c r="K265" s="22" t="str">
        <f ca="1">IF(ISERROR(MATCH(L$1,INDIRECT("Table!A"&amp;$AL265):INDIRECT("Table!" &amp; $AO$275 &amp; $AL265),0)),"",INDIRECT(CONCATENATE("Table!",ADDRESS(#REF!,MATCH(L$1,INDIRECT("Table!A" &amp; $AL265):INDIRECT("Table!" &amp; $AO$275 &amp; $AL265),0))))/1024)</f>
        <v/>
      </c>
      <c r="L265" s="22" t="str">
        <f ca="1">IF(ISERROR(MATCH(M$1,INDIRECT("Table!A"&amp;$AL265):INDIRECT("Table!" &amp; $AO$275 &amp; $AL265),0)),"",INDIRECT(CONCATENATE("Table!",ADDRESS(#REF!,MATCH(M$1,INDIRECT("Table!A" &amp; $AL265):INDIRECT("Table!" &amp; $AO$275 &amp; $AL265),0))))/1024)</f>
        <v/>
      </c>
      <c r="M265" s="22" t="str">
        <f ca="1">IF(ISERROR(MATCH(N$1,INDIRECT("Table!A"&amp;$AL265):INDIRECT("Table!" &amp; $AO$275 &amp; $AL265),0)),"",INDIRECT(CONCATENATE("Table!",ADDRESS(#REF!,MATCH(N$1,INDIRECT("Table!A" &amp; $AL265):INDIRECT("Table!" &amp; $AO$275 &amp; $AL265),0))))/1024)</f>
        <v/>
      </c>
      <c r="N265" s="22" t="str">
        <f ca="1">IF(ISERROR(MATCH(O$1,INDIRECT("Table!A"&amp;$AL265):INDIRECT("Table!" &amp; $AO$275 &amp; $AL265),0)),"",INDIRECT(CONCATENATE("Table!",ADDRESS(#REF!,MATCH(O$1,INDIRECT("Table!A" &amp; $AL265):INDIRECT("Table!" &amp; $AO$275 &amp; $AL265),0))))/1024)</f>
        <v/>
      </c>
      <c r="O265" s="22"/>
      <c r="P265" s="272"/>
      <c r="Q265" s="22"/>
      <c r="R265" s="80"/>
      <c r="T265" s="595"/>
      <c r="U265" s="80"/>
      <c r="AJ265" s="80"/>
      <c r="AK265" s="80"/>
      <c r="AL265" s="22"/>
      <c r="AM265" s="80"/>
      <c r="AN265" s="80"/>
      <c r="AO265" s="80"/>
    </row>
    <row r="266" spans="2:41" x14ac:dyDescent="0.25">
      <c r="B266" s="22" t="str">
        <f ca="1">IF(ISERROR(MATCH(B$1,INDIRECT("Table!A"&amp;$AL266):INDIRECT("Table!" &amp; $AO$275 &amp; $AL266),0)),"",INDIRECT(CONCATENATE("Table!",ADDRESS(#REF!,MATCH(B$1,INDIRECT("Table!A" &amp; $AL266):INDIRECT("Table!" &amp; $AO$275 &amp; $AL266),0))))/1024)</f>
        <v/>
      </c>
      <c r="C266" s="22" t="str">
        <f ca="1">IF(ISERROR(MATCH(C$1,INDIRECT("Table!A"&amp;$AL266):INDIRECT("Table!" &amp; $AO$275 &amp; $AL266),0)),"",INDIRECT(CONCATENATE("Table!",ADDRESS(#REF!,MATCH(C$1,INDIRECT("Table!A" &amp; $AL266):INDIRECT("Table!" &amp; $AO$275 &amp; $AL266),0))))/1024)</f>
        <v/>
      </c>
      <c r="D266" s="22" t="str">
        <f ca="1">IF(ISERROR(MATCH(D$1,INDIRECT("Table!A"&amp;$AL266):INDIRECT("Table!" &amp; $AO$275 &amp; $AL266),0)),"",INDIRECT(CONCATENATE("Table!",ADDRESS(#REF!,MATCH(D$1,INDIRECT("Table!A" &amp; $AL266):INDIRECT("Table!" &amp; $AO$275 &amp; $AL266),0))))/1024)</f>
        <v/>
      </c>
      <c r="E266" s="22" t="str">
        <f ca="1">IF(ISERROR(MATCH(E$1,INDIRECT("Table!A"&amp;$AL266):INDIRECT("Table!" &amp; $AO$275 &amp; $AL266),0)),"",INDIRECT(CONCATENATE("Table!",ADDRESS(#REF!,MATCH(E$1,INDIRECT("Table!A" &amp; $AL266):INDIRECT("Table!" &amp; $AO$275 &amp; $AL266),0))))/1024)</f>
        <v/>
      </c>
      <c r="F266" s="22" t="str">
        <f ca="1">IF(ISERROR(MATCH(F$1,INDIRECT("Table!A"&amp;$AL266):INDIRECT("Table!" &amp; $AO$275 &amp; $AL266),0)),"",INDIRECT(CONCATENATE("Table!",ADDRESS(#REF!,MATCH(F$1,INDIRECT("Table!A" &amp; $AL266):INDIRECT("Table!" &amp; $AO$275 &amp; $AL266),0))))/1024)</f>
        <v/>
      </c>
      <c r="G266" s="22" t="str">
        <f ca="1">IF(ISERROR(MATCH(G$1,INDIRECT("Table!A"&amp;$AL266):INDIRECT("Table!" &amp; $AO$275 &amp; $AL266),0)),"",INDIRECT(CONCATENATE("Table!",ADDRESS(#REF!,MATCH(G$1,INDIRECT("Table!A" &amp; $AL266):INDIRECT("Table!" &amp; $AO$275 &amp; $AL266),0))))/1024)</f>
        <v/>
      </c>
      <c r="H266" s="22" t="str">
        <f ca="1">IF(ISERROR(MATCH(H$1,INDIRECT("Table!A"&amp;$AL266):INDIRECT("Table!" &amp; $AO$275 &amp; $AL266),0)),"",INDIRECT(CONCATENATE("Table!",ADDRESS(#REF!,MATCH(H$1,INDIRECT("Table!A" &amp; $AL266):INDIRECT("Table!" &amp; $AO$275 &amp; $AL266),0))))/1024)</f>
        <v/>
      </c>
      <c r="K266" s="22" t="str">
        <f ca="1">IF(ISERROR(MATCH(L$1,INDIRECT("Table!A"&amp;$AL266):INDIRECT("Table!" &amp; $AO$275 &amp; $AL266),0)),"",INDIRECT(CONCATENATE("Table!",ADDRESS(#REF!,MATCH(L$1,INDIRECT("Table!A" &amp; $AL266):INDIRECT("Table!" &amp; $AO$275 &amp; $AL266),0))))/1024)</f>
        <v/>
      </c>
      <c r="L266" s="22" t="str">
        <f ca="1">IF(ISERROR(MATCH(M$1,INDIRECT("Table!A"&amp;$AL266):INDIRECT("Table!" &amp; $AO$275 &amp; $AL266),0)),"",INDIRECT(CONCATENATE("Table!",ADDRESS(#REF!,MATCH(M$1,INDIRECT("Table!A" &amp; $AL266):INDIRECT("Table!" &amp; $AO$275 &amp; $AL266),0))))/1024)</f>
        <v/>
      </c>
      <c r="M266" s="22" t="str">
        <f ca="1">IF(ISERROR(MATCH(N$1,INDIRECT("Table!A"&amp;$AL266):INDIRECT("Table!" &amp; $AO$275 &amp; $AL266),0)),"",INDIRECT(CONCATENATE("Table!",ADDRESS(#REF!,MATCH(N$1,INDIRECT("Table!A" &amp; $AL266):INDIRECT("Table!" &amp; $AO$275 &amp; $AL266),0))))/1024)</f>
        <v/>
      </c>
      <c r="N266" s="22" t="str">
        <f ca="1">IF(ISERROR(MATCH(O$1,INDIRECT("Table!A"&amp;$AL266):INDIRECT("Table!" &amp; $AO$275 &amp; $AL266),0)),"",INDIRECT(CONCATENATE("Table!",ADDRESS(#REF!,MATCH(O$1,INDIRECT("Table!A" &amp; $AL266):INDIRECT("Table!" &amp; $AO$275 &amp; $AL266),0))))/1024)</f>
        <v/>
      </c>
      <c r="O266" s="22"/>
      <c r="P266" s="272"/>
      <c r="Q266" s="22"/>
      <c r="R266" s="79"/>
      <c r="T266" s="595"/>
      <c r="U266" s="79"/>
      <c r="AJ266" s="79"/>
      <c r="AK266" s="79"/>
      <c r="AL266" s="22"/>
      <c r="AM266" s="79"/>
      <c r="AN266" s="79"/>
      <c r="AO266" s="79"/>
    </row>
    <row r="267" spans="2:41" x14ac:dyDescent="0.25">
      <c r="B267" s="22" t="str">
        <f ca="1">IF(ISERROR(MATCH(B$1,INDIRECT("Table!A"&amp;$AL267):INDIRECT("Table!" &amp; $AO$275 &amp; $AL267),0)),"",INDIRECT(CONCATENATE("Table!",ADDRESS(#REF!,MATCH(B$1,INDIRECT("Table!A" &amp; $AL267):INDIRECT("Table!" &amp; $AO$275 &amp; $AL267),0))))/1024)</f>
        <v/>
      </c>
      <c r="C267" s="22" t="str">
        <f ca="1">IF(ISERROR(MATCH(C$1,INDIRECT("Table!A"&amp;$AL267):INDIRECT("Table!" &amp; $AO$275 &amp; $AL267),0)),"",INDIRECT(CONCATENATE("Table!",ADDRESS(#REF!,MATCH(C$1,INDIRECT("Table!A" &amp; $AL267):INDIRECT("Table!" &amp; $AO$275 &amp; $AL267),0))))/1024)</f>
        <v/>
      </c>
      <c r="D267" s="22" t="str">
        <f ca="1">IF(ISERROR(MATCH(D$1,INDIRECT("Table!A"&amp;$AL267):INDIRECT("Table!" &amp; $AO$275 &amp; $AL267),0)),"",INDIRECT(CONCATENATE("Table!",ADDRESS(#REF!,MATCH(D$1,INDIRECT("Table!A" &amp; $AL267):INDIRECT("Table!" &amp; $AO$275 &amp; $AL267),0))))/1024)</f>
        <v/>
      </c>
      <c r="E267" s="22" t="str">
        <f ca="1">IF(ISERROR(MATCH(E$1,INDIRECT("Table!A"&amp;$AL267):INDIRECT("Table!" &amp; $AO$275 &amp; $AL267),0)),"",INDIRECT(CONCATENATE("Table!",ADDRESS(#REF!,MATCH(E$1,INDIRECT("Table!A" &amp; $AL267):INDIRECT("Table!" &amp; $AO$275 &amp; $AL267),0))))/1024)</f>
        <v/>
      </c>
      <c r="F267" s="22" t="str">
        <f ca="1">IF(ISERROR(MATCH(F$1,INDIRECT("Table!A"&amp;$AL267):INDIRECT("Table!" &amp; $AO$275 &amp; $AL267),0)),"",INDIRECT(CONCATENATE("Table!",ADDRESS(#REF!,MATCH(F$1,INDIRECT("Table!A" &amp; $AL267):INDIRECT("Table!" &amp; $AO$275 &amp; $AL267),0))))/1024)</f>
        <v/>
      </c>
      <c r="G267" s="22" t="str">
        <f ca="1">IF(ISERROR(MATCH(G$1,INDIRECT("Table!A"&amp;$AL267):INDIRECT("Table!" &amp; $AO$275 &amp; $AL267),0)),"",INDIRECT(CONCATENATE("Table!",ADDRESS(#REF!,MATCH(G$1,INDIRECT("Table!A" &amp; $AL267):INDIRECT("Table!" &amp; $AO$275 &amp; $AL267),0))))/1024)</f>
        <v/>
      </c>
      <c r="H267" s="22" t="str">
        <f ca="1">IF(ISERROR(MATCH(H$1,INDIRECT("Table!A"&amp;$AL267):INDIRECT("Table!" &amp; $AO$275 &amp; $AL267),0)),"",INDIRECT(CONCATENATE("Table!",ADDRESS(#REF!,MATCH(H$1,INDIRECT("Table!A" &amp; $AL267):INDIRECT("Table!" &amp; $AO$275 &amp; $AL267),0))))/1024)</f>
        <v/>
      </c>
      <c r="K267" s="22" t="str">
        <f ca="1">IF(ISERROR(MATCH(L$1,INDIRECT("Table!A"&amp;$AL267):INDIRECT("Table!" &amp; $AO$275 &amp; $AL267),0)),"",INDIRECT(CONCATENATE("Table!",ADDRESS(#REF!,MATCH(L$1,INDIRECT("Table!A" &amp; $AL267):INDIRECT("Table!" &amp; $AO$275 &amp; $AL267),0))))/1024)</f>
        <v/>
      </c>
      <c r="L267" s="22" t="str">
        <f ca="1">IF(ISERROR(MATCH(M$1,INDIRECT("Table!A"&amp;$AL267):INDIRECT("Table!" &amp; $AO$275 &amp; $AL267),0)),"",INDIRECT(CONCATENATE("Table!",ADDRESS(#REF!,MATCH(M$1,INDIRECT("Table!A" &amp; $AL267):INDIRECT("Table!" &amp; $AO$275 &amp; $AL267),0))))/1024)</f>
        <v/>
      </c>
      <c r="M267" s="22" t="str">
        <f ca="1">IF(ISERROR(MATCH(N$1,INDIRECT("Table!A"&amp;$AL267):INDIRECT("Table!" &amp; $AO$275 &amp; $AL267),0)),"",INDIRECT(CONCATENATE("Table!",ADDRESS(#REF!,MATCH(N$1,INDIRECT("Table!A" &amp; $AL267):INDIRECT("Table!" &amp; $AO$275 &amp; $AL267),0))))/1024)</f>
        <v/>
      </c>
      <c r="N267" s="22" t="str">
        <f ca="1">IF(ISERROR(MATCH(O$1,INDIRECT("Table!A"&amp;$AL267):INDIRECT("Table!" &amp; $AO$275 &amp; $AL267),0)),"",INDIRECT(CONCATENATE("Table!",ADDRESS(#REF!,MATCH(O$1,INDIRECT("Table!A" &amp; $AL267):INDIRECT("Table!" &amp; $AO$275 &amp; $AL267),0))))/1024)</f>
        <v/>
      </c>
      <c r="O267" s="22"/>
      <c r="P267" s="272"/>
      <c r="Q267" s="22"/>
      <c r="R267" s="79"/>
      <c r="T267" s="595"/>
      <c r="U267" s="79"/>
      <c r="AJ267" s="79"/>
      <c r="AK267" s="79"/>
      <c r="AL267" s="22"/>
      <c r="AM267" s="79"/>
      <c r="AN267" s="79"/>
      <c r="AO267" s="79"/>
    </row>
    <row r="268" spans="2:41" x14ac:dyDescent="0.25">
      <c r="B268" s="22" t="str">
        <f ca="1">IF(ISERROR(MATCH(B$1,INDIRECT("Table!A"&amp;$AL268):INDIRECT("Table!" &amp; $AO$275 &amp; $AL268),0)),"",INDIRECT(CONCATENATE("Table!",ADDRESS(#REF!,MATCH(B$1,INDIRECT("Table!A" &amp; $AL268):INDIRECT("Table!" &amp; $AO$275 &amp; $AL268),0))))/1024)</f>
        <v/>
      </c>
      <c r="C268" s="22" t="str">
        <f ca="1">IF(ISERROR(MATCH(C$1,INDIRECT("Table!A"&amp;$AL268):INDIRECT("Table!" &amp; $AO$275 &amp; $AL268),0)),"",INDIRECT(CONCATENATE("Table!",ADDRESS(#REF!,MATCH(C$1,INDIRECT("Table!A" &amp; $AL268):INDIRECT("Table!" &amp; $AO$275 &amp; $AL268),0))))/1024)</f>
        <v/>
      </c>
      <c r="D268" s="22" t="str">
        <f ca="1">IF(ISERROR(MATCH(D$1,INDIRECT("Table!A"&amp;$AL268):INDIRECT("Table!" &amp; $AO$275 &amp; $AL268),0)),"",INDIRECT(CONCATENATE("Table!",ADDRESS(#REF!,MATCH(D$1,INDIRECT("Table!A" &amp; $AL268):INDIRECT("Table!" &amp; $AO$275 &amp; $AL268),0))))/1024)</f>
        <v/>
      </c>
      <c r="E268" s="22" t="str">
        <f ca="1">IF(ISERROR(MATCH(E$1,INDIRECT("Table!A"&amp;$AL268):INDIRECT("Table!" &amp; $AO$275 &amp; $AL268),0)),"",INDIRECT(CONCATENATE("Table!",ADDRESS(#REF!,MATCH(E$1,INDIRECT("Table!A" &amp; $AL268):INDIRECT("Table!" &amp; $AO$275 &amp; $AL268),0))))/1024)</f>
        <v/>
      </c>
      <c r="F268" s="22" t="str">
        <f ca="1">IF(ISERROR(MATCH(F$1,INDIRECT("Table!A"&amp;$AL268):INDIRECT("Table!" &amp; $AO$275 &amp; $AL268),0)),"",INDIRECT(CONCATENATE("Table!",ADDRESS(#REF!,MATCH(F$1,INDIRECT("Table!A" &amp; $AL268):INDIRECT("Table!" &amp; $AO$275 &amp; $AL268),0))))/1024)</f>
        <v/>
      </c>
      <c r="G268" s="22" t="str">
        <f ca="1">IF(ISERROR(MATCH(G$1,INDIRECT("Table!A"&amp;$AL268):INDIRECT("Table!" &amp; $AO$275 &amp; $AL268),0)),"",INDIRECT(CONCATENATE("Table!",ADDRESS(#REF!,MATCH(G$1,INDIRECT("Table!A" &amp; $AL268):INDIRECT("Table!" &amp; $AO$275 &amp; $AL268),0))))/1024)</f>
        <v/>
      </c>
      <c r="H268" s="22" t="str">
        <f ca="1">IF(ISERROR(MATCH(H$1,INDIRECT("Table!A"&amp;$AL268):INDIRECT("Table!" &amp; $AO$275 &amp; $AL268),0)),"",INDIRECT(CONCATENATE("Table!",ADDRESS(#REF!,MATCH(H$1,INDIRECT("Table!A" &amp; $AL268):INDIRECT("Table!" &amp; $AO$275 &amp; $AL268),0))))/1024)</f>
        <v/>
      </c>
      <c r="K268" s="22" t="str">
        <f ca="1">IF(ISERROR(MATCH(L$1,INDIRECT("Table!A"&amp;$AL268):INDIRECT("Table!" &amp; $AO$275 &amp; $AL268),0)),"",INDIRECT(CONCATENATE("Table!",ADDRESS(#REF!,MATCH(L$1,INDIRECT("Table!A" &amp; $AL268):INDIRECT("Table!" &amp; $AO$275 &amp; $AL268),0))))/1024)</f>
        <v/>
      </c>
      <c r="L268" s="22" t="str">
        <f ca="1">IF(ISERROR(MATCH(M$1,INDIRECT("Table!A"&amp;$AL268):INDIRECT("Table!" &amp; $AO$275 &amp; $AL268),0)),"",INDIRECT(CONCATENATE("Table!",ADDRESS(#REF!,MATCH(M$1,INDIRECT("Table!A" &amp; $AL268):INDIRECT("Table!" &amp; $AO$275 &amp; $AL268),0))))/1024)</f>
        <v/>
      </c>
      <c r="M268" s="22" t="str">
        <f ca="1">IF(ISERROR(MATCH(N$1,INDIRECT("Table!A"&amp;$AL268):INDIRECT("Table!" &amp; $AO$275 &amp; $AL268),0)),"",INDIRECT(CONCATENATE("Table!",ADDRESS(#REF!,MATCH(N$1,INDIRECT("Table!A" &amp; $AL268):INDIRECT("Table!" &amp; $AO$275 &amp; $AL268),0))))/1024)</f>
        <v/>
      </c>
      <c r="N268" s="22" t="str">
        <f ca="1">IF(ISERROR(MATCH(O$1,INDIRECT("Table!A"&amp;$AL268):INDIRECT("Table!" &amp; $AO$275 &amp; $AL268),0)),"",INDIRECT(CONCATENATE("Table!",ADDRESS(#REF!,MATCH(O$1,INDIRECT("Table!A" &amp; $AL268):INDIRECT("Table!" &amp; $AO$275 &amp; $AL268),0))))/1024)</f>
        <v/>
      </c>
      <c r="O268" s="22"/>
      <c r="P268" s="272"/>
      <c r="Q268" s="22"/>
      <c r="R268" s="77"/>
      <c r="T268" s="595"/>
      <c r="U268" s="77"/>
      <c r="AJ268" s="77"/>
      <c r="AK268" s="77"/>
      <c r="AL268" s="22"/>
      <c r="AM268" s="77"/>
      <c r="AN268" s="77"/>
      <c r="AO268" s="77"/>
    </row>
    <row r="269" spans="2:41" x14ac:dyDescent="0.25">
      <c r="B269" s="22" t="str">
        <f ca="1">IF(ISERROR(MATCH(B$1,INDIRECT("Table!A"&amp;$AL269):INDIRECT("Table!" &amp; $AO$275 &amp; $AL269),0)),"",INDIRECT(CONCATENATE("Table!",ADDRESS(#REF!,MATCH(B$1,INDIRECT("Table!A" &amp; $AL269):INDIRECT("Table!" &amp; $AO$275 &amp; $AL269),0))))/1024)</f>
        <v/>
      </c>
      <c r="C269" s="22" t="str">
        <f ca="1">IF(ISERROR(MATCH(C$1,INDIRECT("Table!A"&amp;$AL269):INDIRECT("Table!" &amp; $AO$275 &amp; $AL269),0)),"",INDIRECT(CONCATENATE("Table!",ADDRESS(#REF!,MATCH(C$1,INDIRECT("Table!A" &amp; $AL269):INDIRECT("Table!" &amp; $AO$275 &amp; $AL269),0))))/1024)</f>
        <v/>
      </c>
      <c r="D269" s="22" t="str">
        <f ca="1">IF(ISERROR(MATCH(D$1,INDIRECT("Table!A"&amp;$AL269):INDIRECT("Table!" &amp; $AO$275 &amp; $AL269),0)),"",INDIRECT(CONCATENATE("Table!",ADDRESS(#REF!,MATCH(D$1,INDIRECT("Table!A" &amp; $AL269):INDIRECT("Table!" &amp; $AO$275 &amp; $AL269),0))))/1024)</f>
        <v/>
      </c>
      <c r="E269" s="22" t="str">
        <f ca="1">IF(ISERROR(MATCH(E$1,INDIRECT("Table!A"&amp;$AL269):INDIRECT("Table!" &amp; $AO$275 &amp; $AL269),0)),"",INDIRECT(CONCATENATE("Table!",ADDRESS(#REF!,MATCH(E$1,INDIRECT("Table!A" &amp; $AL269):INDIRECT("Table!" &amp; $AO$275 &amp; $AL269),0))))/1024)</f>
        <v/>
      </c>
      <c r="F269" s="22" t="str">
        <f ca="1">IF(ISERROR(MATCH(F$1,INDIRECT("Table!A"&amp;$AL269):INDIRECT("Table!" &amp; $AO$275 &amp; $AL269),0)),"",INDIRECT(CONCATENATE("Table!",ADDRESS(#REF!,MATCH(F$1,INDIRECT("Table!A" &amp; $AL269):INDIRECT("Table!" &amp; $AO$275 &amp; $AL269),0))))/1024)</f>
        <v/>
      </c>
      <c r="G269" s="22" t="str">
        <f ca="1">IF(ISERROR(MATCH(G$1,INDIRECT("Table!A"&amp;$AL269):INDIRECT("Table!" &amp; $AO$275 &amp; $AL269),0)),"",INDIRECT(CONCATENATE("Table!",ADDRESS(#REF!,MATCH(G$1,INDIRECT("Table!A" &amp; $AL269):INDIRECT("Table!" &amp; $AO$275 &amp; $AL269),0))))/1024)</f>
        <v/>
      </c>
      <c r="H269" s="22" t="str">
        <f ca="1">IF(ISERROR(MATCH(H$1,INDIRECT("Table!A"&amp;$AL269):INDIRECT("Table!" &amp; $AO$275 &amp; $AL269),0)),"",INDIRECT(CONCATENATE("Table!",ADDRESS(#REF!,MATCH(H$1,INDIRECT("Table!A" &amp; $AL269):INDIRECT("Table!" &amp; $AO$275 &amp; $AL269),0))))/1024)</f>
        <v/>
      </c>
      <c r="K269" s="22" t="str">
        <f ca="1">IF(ISERROR(MATCH(L$1,INDIRECT("Table!A"&amp;$AL269):INDIRECT("Table!" &amp; $AO$275 &amp; $AL269),0)),"",INDIRECT(CONCATENATE("Table!",ADDRESS(#REF!,MATCH(L$1,INDIRECT("Table!A" &amp; $AL269):INDIRECT("Table!" &amp; $AO$275 &amp; $AL269),0))))/1024)</f>
        <v/>
      </c>
      <c r="L269" s="22" t="str">
        <f ca="1">IF(ISERROR(MATCH(M$1,INDIRECT("Table!A"&amp;$AL269):INDIRECT("Table!" &amp; $AO$275 &amp; $AL269),0)),"",INDIRECT(CONCATENATE("Table!",ADDRESS(#REF!,MATCH(M$1,INDIRECT("Table!A" &amp; $AL269):INDIRECT("Table!" &amp; $AO$275 &amp; $AL269),0))))/1024)</f>
        <v/>
      </c>
      <c r="M269" s="22" t="str">
        <f ca="1">IF(ISERROR(MATCH(N$1,INDIRECT("Table!A"&amp;$AL269):INDIRECT("Table!" &amp; $AO$275 &amp; $AL269),0)),"",INDIRECT(CONCATENATE("Table!",ADDRESS(#REF!,MATCH(N$1,INDIRECT("Table!A" &amp; $AL269):INDIRECT("Table!" &amp; $AO$275 &amp; $AL269),0))))/1024)</f>
        <v/>
      </c>
      <c r="N269" s="22" t="str">
        <f ca="1">IF(ISERROR(MATCH(O$1,INDIRECT("Table!A"&amp;$AL269):INDIRECT("Table!" &amp; $AO$275 &amp; $AL269),0)),"",INDIRECT(CONCATENATE("Table!",ADDRESS(#REF!,MATCH(O$1,INDIRECT("Table!A" &amp; $AL269):INDIRECT("Table!" &amp; $AO$275 &amp; $AL269),0))))/1024)</f>
        <v/>
      </c>
      <c r="O269" s="22"/>
      <c r="P269" s="272"/>
      <c r="Q269" s="22"/>
      <c r="R269" s="76"/>
      <c r="T269" s="595"/>
      <c r="U269" s="76"/>
      <c r="AJ269" s="76"/>
      <c r="AK269" s="76"/>
      <c r="AL269" s="22"/>
      <c r="AM269" s="76"/>
      <c r="AN269" s="76"/>
      <c r="AO269" s="76"/>
    </row>
    <row r="270" spans="2:41" x14ac:dyDescent="0.25">
      <c r="B270" s="22" t="str">
        <f ca="1">IF(ISERROR(MATCH(B$1,INDIRECT("Table!A"&amp;$AL270):INDIRECT("Table!" &amp; $AO$275 &amp; $AL270),0)),"",INDIRECT(CONCATENATE("Table!",ADDRESS(#REF!,MATCH(B$1,INDIRECT("Table!A" &amp; $AL270):INDIRECT("Table!" &amp; $AO$275 &amp; $AL270),0))))/1024)</f>
        <v/>
      </c>
      <c r="C270" s="22" t="str">
        <f ca="1">IF(ISERROR(MATCH(C$1,INDIRECT("Table!A"&amp;$AL270):INDIRECT("Table!" &amp; $AO$275 &amp; $AL270),0)),"",INDIRECT(CONCATENATE("Table!",ADDRESS(#REF!,MATCH(C$1,INDIRECT("Table!A" &amp; $AL270):INDIRECT("Table!" &amp; $AO$275 &amp; $AL270),0))))/1024)</f>
        <v/>
      </c>
      <c r="D270" s="22" t="str">
        <f ca="1">IF(ISERROR(MATCH(D$1,INDIRECT("Table!A"&amp;$AL270):INDIRECT("Table!" &amp; $AO$275 &amp; $AL270),0)),"",INDIRECT(CONCATENATE("Table!",ADDRESS(#REF!,MATCH(D$1,INDIRECT("Table!A" &amp; $AL270):INDIRECT("Table!" &amp; $AO$275 &amp; $AL270),0))))/1024)</f>
        <v/>
      </c>
      <c r="E270" s="22" t="str">
        <f ca="1">IF(ISERROR(MATCH(E$1,INDIRECT("Table!A"&amp;$AL270):INDIRECT("Table!" &amp; $AO$275 &amp; $AL270),0)),"",INDIRECT(CONCATENATE("Table!",ADDRESS(#REF!,MATCH(E$1,INDIRECT("Table!A" &amp; $AL270):INDIRECT("Table!" &amp; $AO$275 &amp; $AL270),0))))/1024)</f>
        <v/>
      </c>
      <c r="F270" s="22" t="str">
        <f ca="1">IF(ISERROR(MATCH(F$1,INDIRECT("Table!A"&amp;$AL270):INDIRECT("Table!" &amp; $AO$275 &amp; $AL270),0)),"",INDIRECT(CONCATENATE("Table!",ADDRESS(#REF!,MATCH(F$1,INDIRECT("Table!A" &amp; $AL270):INDIRECT("Table!" &amp; $AO$275 &amp; $AL270),0))))/1024)</f>
        <v/>
      </c>
      <c r="G270" s="22" t="str">
        <f ca="1">IF(ISERROR(MATCH(G$1,INDIRECT("Table!A"&amp;$AL270):INDIRECT("Table!" &amp; $AO$275 &amp; $AL270),0)),"",INDIRECT(CONCATENATE("Table!",ADDRESS(#REF!,MATCH(G$1,INDIRECT("Table!A" &amp; $AL270):INDIRECT("Table!" &amp; $AO$275 &amp; $AL270),0))))/1024)</f>
        <v/>
      </c>
      <c r="H270" s="22" t="str">
        <f ca="1">IF(ISERROR(MATCH(H$1,INDIRECT("Table!A"&amp;$AL270):INDIRECT("Table!" &amp; $AO$275 &amp; $AL270),0)),"",INDIRECT(CONCATENATE("Table!",ADDRESS(#REF!,MATCH(H$1,INDIRECT("Table!A" &amp; $AL270):INDIRECT("Table!" &amp; $AO$275 &amp; $AL270),0))))/1024)</f>
        <v/>
      </c>
      <c r="K270" s="22" t="str">
        <f ca="1">IF(ISERROR(MATCH(L$1,INDIRECT("Table!A"&amp;$AL270):INDIRECT("Table!" &amp; $AO$275 &amp; $AL270),0)),"",INDIRECT(CONCATENATE("Table!",ADDRESS(#REF!,MATCH(L$1,INDIRECT("Table!A" &amp; $AL270):INDIRECT("Table!" &amp; $AO$275 &amp; $AL270),0))))/1024)</f>
        <v/>
      </c>
      <c r="L270" s="22" t="str">
        <f ca="1">IF(ISERROR(MATCH(M$1,INDIRECT("Table!A"&amp;$AL270):INDIRECT("Table!" &amp; $AO$275 &amp; $AL270),0)),"",INDIRECT(CONCATENATE("Table!",ADDRESS(#REF!,MATCH(M$1,INDIRECT("Table!A" &amp; $AL270):INDIRECT("Table!" &amp; $AO$275 &amp; $AL270),0))))/1024)</f>
        <v/>
      </c>
      <c r="M270" s="22" t="str">
        <f ca="1">IF(ISERROR(MATCH(N$1,INDIRECT("Table!A"&amp;$AL270):INDIRECT("Table!" &amp; $AO$275 &amp; $AL270),0)),"",INDIRECT(CONCATENATE("Table!",ADDRESS(#REF!,MATCH(N$1,INDIRECT("Table!A" &amp; $AL270):INDIRECT("Table!" &amp; $AO$275 &amp; $AL270),0))))/1024)</f>
        <v/>
      </c>
      <c r="N270" s="22" t="str">
        <f ca="1">IF(ISERROR(MATCH(O$1,INDIRECT("Table!A"&amp;$AL270):INDIRECT("Table!" &amp; $AO$275 &amp; $AL270),0)),"",INDIRECT(CONCATENATE("Table!",ADDRESS(#REF!,MATCH(O$1,INDIRECT("Table!A" &amp; $AL270):INDIRECT("Table!" &amp; $AO$275 &amp; $AL270),0))))/1024)</f>
        <v/>
      </c>
      <c r="O270" s="22"/>
      <c r="P270" s="272"/>
      <c r="Q270" s="22"/>
      <c r="R270" s="75"/>
      <c r="T270" s="595"/>
      <c r="U270" s="75"/>
      <c r="AJ270" s="75"/>
      <c r="AK270" s="75"/>
      <c r="AL270" s="22"/>
      <c r="AM270" s="75"/>
      <c r="AN270" s="75"/>
      <c r="AO270" s="75"/>
    </row>
    <row r="271" spans="2:41" x14ac:dyDescent="0.25">
      <c r="B271" s="22" t="str">
        <f ca="1">IF(ISERROR(MATCH(B$1,INDIRECT("Table!A"&amp;$AL271):INDIRECT("Table!" &amp; $AO$275 &amp; $AL271),0)),"",INDIRECT(CONCATENATE("Table!",ADDRESS(#REF!,MATCH(B$1,INDIRECT("Table!A" &amp; $AL271):INDIRECT("Table!" &amp; $AO$275 &amp; $AL271),0))))/1024)</f>
        <v/>
      </c>
      <c r="C271" s="22" t="str">
        <f ca="1">IF(ISERROR(MATCH(C$1,INDIRECT("Table!A"&amp;$AL271):INDIRECT("Table!" &amp; $AO$275 &amp; $AL271),0)),"",INDIRECT(CONCATENATE("Table!",ADDRESS(#REF!,MATCH(C$1,INDIRECT("Table!A" &amp; $AL271):INDIRECT("Table!" &amp; $AO$275 &amp; $AL271),0))))/1024)</f>
        <v/>
      </c>
      <c r="D271" s="22" t="str">
        <f ca="1">IF(ISERROR(MATCH(D$1,INDIRECT("Table!A"&amp;$AL271):INDIRECT("Table!" &amp; $AO$275 &amp; $AL271),0)),"",INDIRECT(CONCATENATE("Table!",ADDRESS(#REF!,MATCH(D$1,INDIRECT("Table!A" &amp; $AL271):INDIRECT("Table!" &amp; $AO$275 &amp; $AL271),0))))/1024)</f>
        <v/>
      </c>
      <c r="E271" s="22" t="str">
        <f ca="1">IF(ISERROR(MATCH(E$1,INDIRECT("Table!A"&amp;$AL271):INDIRECT("Table!" &amp; $AO$275 &amp; $AL271),0)),"",INDIRECT(CONCATENATE("Table!",ADDRESS(#REF!,MATCH(E$1,INDIRECT("Table!A" &amp; $AL271):INDIRECT("Table!" &amp; $AO$275 &amp; $AL271),0))))/1024)</f>
        <v/>
      </c>
      <c r="F271" s="22" t="str">
        <f ca="1">IF(ISERROR(MATCH(F$1,INDIRECT("Table!A"&amp;$AL271):INDIRECT("Table!" &amp; $AO$275 &amp; $AL271),0)),"",INDIRECT(CONCATENATE("Table!",ADDRESS(#REF!,MATCH(F$1,INDIRECT("Table!A" &amp; $AL271):INDIRECT("Table!" &amp; $AO$275 &amp; $AL271),0))))/1024)</f>
        <v/>
      </c>
      <c r="G271" s="22" t="str">
        <f ca="1">IF(ISERROR(MATCH(G$1,INDIRECT("Table!A"&amp;$AL271):INDIRECT("Table!" &amp; $AO$275 &amp; $AL271),0)),"",INDIRECT(CONCATENATE("Table!",ADDRESS(#REF!,MATCH(G$1,INDIRECT("Table!A" &amp; $AL271):INDIRECT("Table!" &amp; $AO$275 &amp; $AL271),0))))/1024)</f>
        <v/>
      </c>
      <c r="H271" s="22" t="str">
        <f ca="1">IF(ISERROR(MATCH(H$1,INDIRECT("Table!A"&amp;$AL271):INDIRECT("Table!" &amp; $AO$275 &amp; $AL271),0)),"",INDIRECT(CONCATENATE("Table!",ADDRESS(#REF!,MATCH(H$1,INDIRECT("Table!A" &amp; $AL271):INDIRECT("Table!" &amp; $AO$275 &amp; $AL271),0))))/1024)</f>
        <v/>
      </c>
      <c r="K271" s="22" t="str">
        <f ca="1">IF(ISERROR(MATCH(L$1,INDIRECT("Table!A"&amp;$AL271):INDIRECT("Table!" &amp; $AO$275 &amp; $AL271),0)),"",INDIRECT(CONCATENATE("Table!",ADDRESS(#REF!,MATCH(L$1,INDIRECT("Table!A" &amp; $AL271):INDIRECT("Table!" &amp; $AO$275 &amp; $AL271),0))))/1024)</f>
        <v/>
      </c>
      <c r="L271" s="22" t="str">
        <f ca="1">IF(ISERROR(MATCH(M$1,INDIRECT("Table!A"&amp;$AL271):INDIRECT("Table!" &amp; $AO$275 &amp; $AL271),0)),"",INDIRECT(CONCATENATE("Table!",ADDRESS(#REF!,MATCH(M$1,INDIRECT("Table!A" &amp; $AL271):INDIRECT("Table!" &amp; $AO$275 &amp; $AL271),0))))/1024)</f>
        <v/>
      </c>
      <c r="M271" s="22" t="str">
        <f ca="1">IF(ISERROR(MATCH(N$1,INDIRECT("Table!A"&amp;$AL271):INDIRECT("Table!" &amp; $AO$275 &amp; $AL271),0)),"",INDIRECT(CONCATENATE("Table!",ADDRESS(#REF!,MATCH(N$1,INDIRECT("Table!A" &amp; $AL271):INDIRECT("Table!" &amp; $AO$275 &amp; $AL271),0))))/1024)</f>
        <v/>
      </c>
      <c r="N271" s="22" t="str">
        <f ca="1">IF(ISERROR(MATCH(O$1,INDIRECT("Table!A"&amp;$AL271):INDIRECT("Table!" &amp; $AO$275 &amp; $AL271),0)),"",INDIRECT(CONCATENATE("Table!",ADDRESS(#REF!,MATCH(O$1,INDIRECT("Table!A" &amp; $AL271):INDIRECT("Table!" &amp; $AO$275 &amp; $AL271),0))))/1024)</f>
        <v/>
      </c>
      <c r="O271" s="22"/>
      <c r="P271" s="272"/>
      <c r="Q271" s="22"/>
      <c r="R271" s="74"/>
      <c r="T271" s="595"/>
      <c r="U271" s="74"/>
      <c r="AJ271" s="74"/>
      <c r="AK271" s="74"/>
      <c r="AL271" s="22"/>
      <c r="AM271" s="74"/>
      <c r="AN271" s="74"/>
      <c r="AO271" s="74"/>
    </row>
    <row r="272" spans="2:41" x14ac:dyDescent="0.25">
      <c r="B272" s="22" t="str">
        <f ca="1">IF(ISERROR(MATCH(B$1,INDIRECT("Table!A"&amp;$AL272):INDIRECT("Table!" &amp; $AO$275 &amp; $AL272),0)),"",INDIRECT(CONCATENATE("Table!",ADDRESS(#REF!,MATCH(B$1,INDIRECT("Table!A" &amp; $AL272):INDIRECT("Table!" &amp; $AO$275 &amp; $AL272),0))))/1024)</f>
        <v/>
      </c>
      <c r="C272" s="22" t="str">
        <f ca="1">IF(ISERROR(MATCH(C$1,INDIRECT("Table!A"&amp;$AL272):INDIRECT("Table!" &amp; $AO$275 &amp; $AL272),0)),"",INDIRECT(CONCATENATE("Table!",ADDRESS(#REF!,MATCH(C$1,INDIRECT("Table!A" &amp; $AL272):INDIRECT("Table!" &amp; $AO$275 &amp; $AL272),0))))/1024)</f>
        <v/>
      </c>
      <c r="D272" s="22" t="str">
        <f ca="1">IF(ISERROR(MATCH(D$1,INDIRECT("Table!A"&amp;$AL272):INDIRECT("Table!" &amp; $AO$275 &amp; $AL272),0)),"",INDIRECT(CONCATENATE("Table!",ADDRESS(#REF!,MATCH(D$1,INDIRECT("Table!A" &amp; $AL272):INDIRECT("Table!" &amp; $AO$275 &amp; $AL272),0))))/1024)</f>
        <v/>
      </c>
      <c r="E272" s="22" t="str">
        <f ca="1">IF(ISERROR(MATCH(E$1,INDIRECT("Table!A"&amp;$AL272):INDIRECT("Table!" &amp; $AO$275 &amp; $AL272),0)),"",INDIRECT(CONCATENATE("Table!",ADDRESS(#REF!,MATCH(E$1,INDIRECT("Table!A" &amp; $AL272):INDIRECT("Table!" &amp; $AO$275 &amp; $AL272),0))))/1024)</f>
        <v/>
      </c>
      <c r="F272" s="22" t="str">
        <f ca="1">IF(ISERROR(MATCH(F$1,INDIRECT("Table!A"&amp;$AL272):INDIRECT("Table!" &amp; $AO$275 &amp; $AL272),0)),"",INDIRECT(CONCATENATE("Table!",ADDRESS(#REF!,MATCH(F$1,INDIRECT("Table!A" &amp; $AL272):INDIRECT("Table!" &amp; $AO$275 &amp; $AL272),0))))/1024)</f>
        <v/>
      </c>
      <c r="G272" s="22" t="str">
        <f ca="1">IF(ISERROR(MATCH(G$1,INDIRECT("Table!A"&amp;$AL272):INDIRECT("Table!" &amp; $AO$275 &amp; $AL272),0)),"",INDIRECT(CONCATENATE("Table!",ADDRESS(#REF!,MATCH(G$1,INDIRECT("Table!A" &amp; $AL272):INDIRECT("Table!" &amp; $AO$275 &amp; $AL272),0))))/1024)</f>
        <v/>
      </c>
      <c r="H272" s="22" t="str">
        <f ca="1">IF(ISERROR(MATCH(H$1,INDIRECT("Table!A"&amp;$AL272):INDIRECT("Table!" &amp; $AO$275 &amp; $AL272),0)),"",INDIRECT(CONCATENATE("Table!",ADDRESS(#REF!,MATCH(H$1,INDIRECT("Table!A" &amp; $AL272):INDIRECT("Table!" &amp; $AO$275 &amp; $AL272),0))))/1024)</f>
        <v/>
      </c>
      <c r="K272" s="22" t="str">
        <f ca="1">IF(ISERROR(MATCH(L$1,INDIRECT("Table!A"&amp;$AL272):INDIRECT("Table!" &amp; $AO$275 &amp; $AL272),0)),"",INDIRECT(CONCATENATE("Table!",ADDRESS(#REF!,MATCH(L$1,INDIRECT("Table!A" &amp; $AL272):INDIRECT("Table!" &amp; $AO$275 &amp; $AL272),0))))/1024)</f>
        <v/>
      </c>
      <c r="L272" s="22" t="str">
        <f ca="1">IF(ISERROR(MATCH(M$1,INDIRECT("Table!A"&amp;$AL272):INDIRECT("Table!" &amp; $AO$275 &amp; $AL272),0)),"",INDIRECT(CONCATENATE("Table!",ADDRESS(#REF!,MATCH(M$1,INDIRECT("Table!A" &amp; $AL272):INDIRECT("Table!" &amp; $AO$275 &amp; $AL272),0))))/1024)</f>
        <v/>
      </c>
      <c r="M272" s="22" t="str">
        <f ca="1">IF(ISERROR(MATCH(N$1,INDIRECT("Table!A"&amp;$AL272):INDIRECT("Table!" &amp; $AO$275 &amp; $AL272),0)),"",INDIRECT(CONCATENATE("Table!",ADDRESS(#REF!,MATCH(N$1,INDIRECT("Table!A" &amp; $AL272):INDIRECT("Table!" &amp; $AO$275 &amp; $AL272),0))))/1024)</f>
        <v/>
      </c>
      <c r="N272" s="22" t="str">
        <f ca="1">IF(ISERROR(MATCH(O$1,INDIRECT("Table!A"&amp;$AL272):INDIRECT("Table!" &amp; $AO$275 &amp; $AL272),0)),"",INDIRECT(CONCATENATE("Table!",ADDRESS(#REF!,MATCH(O$1,INDIRECT("Table!A" &amp; $AL272):INDIRECT("Table!" &amp; $AO$275 &amp; $AL272),0))))/1024)</f>
        <v/>
      </c>
      <c r="O272" s="22"/>
      <c r="P272" s="272"/>
      <c r="Q272" s="22"/>
      <c r="R272" s="73"/>
      <c r="T272" s="595"/>
      <c r="U272" s="73"/>
      <c r="AJ272" s="73"/>
      <c r="AK272" s="73"/>
      <c r="AL272" s="22"/>
      <c r="AM272" s="73"/>
      <c r="AN272" s="73"/>
      <c r="AO272" s="73"/>
    </row>
    <row r="273" spans="2:41" x14ac:dyDescent="0.25">
      <c r="B273" s="22" t="str">
        <f ca="1">IF(ISERROR(MATCH(B$1,INDIRECT("Table!A"&amp;$AL273):INDIRECT("Table!" &amp; $AO$275 &amp; $AL273),0)),"",INDIRECT(CONCATENATE("Table!",ADDRESS(#REF!,MATCH(B$1,INDIRECT("Table!A" &amp; $AL273):INDIRECT("Table!" &amp; $AO$275 &amp; $AL273),0))))/1024)</f>
        <v/>
      </c>
      <c r="C273" s="22" t="str">
        <f ca="1">IF(ISERROR(MATCH(C$1,INDIRECT("Table!A"&amp;$AL273):INDIRECT("Table!" &amp; $AO$275 &amp; $AL273),0)),"",INDIRECT(CONCATENATE("Table!",ADDRESS(#REF!,MATCH(C$1,INDIRECT("Table!A" &amp; $AL273):INDIRECT("Table!" &amp; $AO$275 &amp; $AL273),0))))/1024)</f>
        <v/>
      </c>
      <c r="D273" s="22" t="str">
        <f ca="1">IF(ISERROR(MATCH(D$1,INDIRECT("Table!A"&amp;$AL273):INDIRECT("Table!" &amp; $AO$275 &amp; $AL273),0)),"",INDIRECT(CONCATENATE("Table!",ADDRESS(#REF!,MATCH(D$1,INDIRECT("Table!A" &amp; $AL273):INDIRECT("Table!" &amp; $AO$275 &amp; $AL273),0))))/1024)</f>
        <v/>
      </c>
      <c r="E273" s="22" t="str">
        <f ca="1">IF(ISERROR(MATCH(E$1,INDIRECT("Table!A"&amp;$AL273):INDIRECT("Table!" &amp; $AO$275 &amp; $AL273),0)),"",INDIRECT(CONCATENATE("Table!",ADDRESS(#REF!,MATCH(E$1,INDIRECT("Table!A" &amp; $AL273):INDIRECT("Table!" &amp; $AO$275 &amp; $AL273),0))))/1024)</f>
        <v/>
      </c>
      <c r="F273" s="22" t="str">
        <f ca="1">IF(ISERROR(MATCH(F$1,INDIRECT("Table!A"&amp;$AL273):INDIRECT("Table!" &amp; $AO$275 &amp; $AL273),0)),"",INDIRECT(CONCATENATE("Table!",ADDRESS(#REF!,MATCH(F$1,INDIRECT("Table!A" &amp; $AL273):INDIRECT("Table!" &amp; $AO$275 &amp; $AL273),0))))/1024)</f>
        <v/>
      </c>
      <c r="G273" s="22" t="str">
        <f ca="1">IF(ISERROR(MATCH(G$1,INDIRECT("Table!A"&amp;$AL273):INDIRECT("Table!" &amp; $AO$275 &amp; $AL273),0)),"",INDIRECT(CONCATENATE("Table!",ADDRESS(#REF!,MATCH(G$1,INDIRECT("Table!A" &amp; $AL273):INDIRECT("Table!" &amp; $AO$275 &amp; $AL273),0))))/1024)</f>
        <v/>
      </c>
      <c r="H273" s="22" t="str">
        <f ca="1">IF(ISERROR(MATCH(H$1,INDIRECT("Table!A"&amp;$AL273):INDIRECT("Table!" &amp; $AO$275 &amp; $AL273),0)),"",INDIRECT(CONCATENATE("Table!",ADDRESS(#REF!,MATCH(H$1,INDIRECT("Table!A" &amp; $AL273):INDIRECT("Table!" &amp; $AO$275 &amp; $AL273),0))))/1024)</f>
        <v/>
      </c>
      <c r="K273" s="22" t="str">
        <f ca="1">IF(ISERROR(MATCH(L$1,INDIRECT("Table!A"&amp;$AL273):INDIRECT("Table!" &amp; $AO$275 &amp; $AL273),0)),"",INDIRECT(CONCATENATE("Table!",ADDRESS(#REF!,MATCH(L$1,INDIRECT("Table!A" &amp; $AL273):INDIRECT("Table!" &amp; $AO$275 &amp; $AL273),0))))/1024)</f>
        <v/>
      </c>
      <c r="L273" s="22" t="str">
        <f ca="1">IF(ISERROR(MATCH(M$1,INDIRECT("Table!A"&amp;$AL273):INDIRECT("Table!" &amp; $AO$275 &amp; $AL273),0)),"",INDIRECT(CONCATENATE("Table!",ADDRESS(#REF!,MATCH(M$1,INDIRECT("Table!A" &amp; $AL273):INDIRECT("Table!" &amp; $AO$275 &amp; $AL273),0))))/1024)</f>
        <v/>
      </c>
      <c r="M273" s="22" t="str">
        <f ca="1">IF(ISERROR(MATCH(N$1,INDIRECT("Table!A"&amp;$AL273):INDIRECT("Table!" &amp; $AO$275 &amp; $AL273),0)),"",INDIRECT(CONCATENATE("Table!",ADDRESS(#REF!,MATCH(N$1,INDIRECT("Table!A" &amp; $AL273):INDIRECT("Table!" &amp; $AO$275 &amp; $AL273),0))))/1024)</f>
        <v/>
      </c>
      <c r="N273" s="22" t="str">
        <f ca="1">IF(ISERROR(MATCH(O$1,INDIRECT("Table!A"&amp;$AL273):INDIRECT("Table!" &amp; $AO$275 &amp; $AL273),0)),"",INDIRECT(CONCATENATE("Table!",ADDRESS(#REF!,MATCH(O$1,INDIRECT("Table!A" &amp; $AL273):INDIRECT("Table!" &amp; $AO$275 &amp; $AL273),0))))/1024)</f>
        <v/>
      </c>
      <c r="O273" s="22"/>
      <c r="P273" s="272"/>
      <c r="Q273" s="22"/>
      <c r="R273" s="72"/>
      <c r="T273" s="595"/>
      <c r="U273" s="72"/>
      <c r="AJ273" s="72"/>
      <c r="AK273" s="72"/>
      <c r="AL273" s="22"/>
      <c r="AM273" s="72"/>
      <c r="AN273" s="72"/>
      <c r="AO273" s="72"/>
    </row>
    <row r="274" spans="2:41" x14ac:dyDescent="0.25">
      <c r="B274" s="22" t="str">
        <f ca="1">IF(ISERROR(MATCH(B$1,INDIRECT("Table!A"&amp;$AL274):INDIRECT("Table!" &amp; $AO$275 &amp; $AL274),0)),"",INDIRECT(CONCATENATE("Table!",ADDRESS(#REF!,MATCH(B$1,INDIRECT("Table!A" &amp; $AL274):INDIRECT("Table!" &amp; $AO$275 &amp; $AL274),0))))/1024)</f>
        <v/>
      </c>
      <c r="C274" s="22" t="str">
        <f ca="1">IF(ISERROR(MATCH(C$1,INDIRECT("Table!A"&amp;$AL274):INDIRECT("Table!" &amp; $AO$275 &amp; $AL274),0)),"",INDIRECT(CONCATENATE("Table!",ADDRESS(#REF!,MATCH(C$1,INDIRECT("Table!A" &amp; $AL274):INDIRECT("Table!" &amp; $AO$275 &amp; $AL274),0))))/1024)</f>
        <v/>
      </c>
      <c r="D274" s="22" t="str">
        <f ca="1">IF(ISERROR(MATCH(D$1,INDIRECT("Table!A"&amp;$AL274):INDIRECT("Table!" &amp; $AO$275 &amp; $AL274),0)),"",INDIRECT(CONCATENATE("Table!",ADDRESS(#REF!,MATCH(D$1,INDIRECT("Table!A" &amp; $AL274):INDIRECT("Table!" &amp; $AO$275 &amp; $AL274),0))))/1024)</f>
        <v/>
      </c>
      <c r="E274" s="22" t="str">
        <f ca="1">IF(ISERROR(MATCH(E$1,INDIRECT("Table!A"&amp;$AL274):INDIRECT("Table!" &amp; $AO$275 &amp; $AL274),0)),"",INDIRECT(CONCATENATE("Table!",ADDRESS(#REF!,MATCH(E$1,INDIRECT("Table!A" &amp; $AL274):INDIRECT("Table!" &amp; $AO$275 &amp; $AL274),0))))/1024)</f>
        <v/>
      </c>
      <c r="F274" s="22" t="str">
        <f ca="1">IF(ISERROR(MATCH(F$1,INDIRECT("Table!A"&amp;$AL274):INDIRECT("Table!" &amp; $AO$275 &amp; $AL274),0)),"",INDIRECT(CONCATENATE("Table!",ADDRESS(#REF!,MATCH(F$1,INDIRECT("Table!A" &amp; $AL274):INDIRECT("Table!" &amp; $AO$275 &amp; $AL274),0))))/1024)</f>
        <v/>
      </c>
      <c r="G274" s="22" t="str">
        <f ca="1">IF(ISERROR(MATCH(G$1,INDIRECT("Table!A"&amp;$AL274):INDIRECT("Table!" &amp; $AO$275 &amp; $AL274),0)),"",INDIRECT(CONCATENATE("Table!",ADDRESS(#REF!,MATCH(G$1,INDIRECT("Table!A" &amp; $AL274):INDIRECT("Table!" &amp; $AO$275 &amp; $AL274),0))))/1024)</f>
        <v/>
      </c>
      <c r="H274" s="22" t="str">
        <f ca="1">IF(ISERROR(MATCH(H$1,INDIRECT("Table!A"&amp;$AL274):INDIRECT("Table!" &amp; $AO$275 &amp; $AL274),0)),"",INDIRECT(CONCATENATE("Table!",ADDRESS(#REF!,MATCH(H$1,INDIRECT("Table!A" &amp; $AL274):INDIRECT("Table!" &amp; $AO$275 &amp; $AL274),0))))/1024)</f>
        <v/>
      </c>
      <c r="K274" s="22" t="str">
        <f ca="1">IF(ISERROR(MATCH(L$1,INDIRECT("Table!A"&amp;$AL274):INDIRECT("Table!" &amp; $AO$275 &amp; $AL274),0)),"",INDIRECT(CONCATENATE("Table!",ADDRESS(#REF!,MATCH(L$1,INDIRECT("Table!A" &amp; $AL274):INDIRECT("Table!" &amp; $AO$275 &amp; $AL274),0))))/1024)</f>
        <v/>
      </c>
      <c r="L274" s="22" t="str">
        <f ca="1">IF(ISERROR(MATCH(M$1,INDIRECT("Table!A"&amp;$AL274):INDIRECT("Table!" &amp; $AO$275 &amp; $AL274),0)),"",INDIRECT(CONCATENATE("Table!",ADDRESS(#REF!,MATCH(M$1,INDIRECT("Table!A" &amp; $AL274):INDIRECT("Table!" &amp; $AO$275 &amp; $AL274),0))))/1024)</f>
        <v/>
      </c>
      <c r="M274" s="22" t="str">
        <f ca="1">IF(ISERROR(MATCH(N$1,INDIRECT("Table!A"&amp;$AL274):INDIRECT("Table!" &amp; $AO$275 &amp; $AL274),0)),"",INDIRECT(CONCATENATE("Table!",ADDRESS(#REF!,MATCH(N$1,INDIRECT("Table!A" &amp; $AL274):INDIRECT("Table!" &amp; $AO$275 &amp; $AL274),0))))/1024)</f>
        <v/>
      </c>
      <c r="N274" s="22" t="str">
        <f ca="1">IF(ISERROR(MATCH(O$1,INDIRECT("Table!A"&amp;$AL274):INDIRECT("Table!" &amp; $AO$275 &amp; $AL274),0)),"",INDIRECT(CONCATENATE("Table!",ADDRESS(#REF!,MATCH(O$1,INDIRECT("Table!A" &amp; $AL274):INDIRECT("Table!" &amp; $AO$275 &amp; $AL274),0))))/1024)</f>
        <v/>
      </c>
      <c r="O274" s="22"/>
      <c r="P274" s="272"/>
      <c r="Q274" s="22"/>
      <c r="R274" s="71"/>
      <c r="T274" s="595"/>
      <c r="U274" s="71"/>
      <c r="AJ274" s="71"/>
      <c r="AK274" s="71"/>
      <c r="AL274" s="22"/>
      <c r="AM274" s="71"/>
      <c r="AN274" s="71"/>
      <c r="AO274" s="71"/>
    </row>
    <row r="275" spans="2:41" x14ac:dyDescent="0.25">
      <c r="B275" s="22" t="str">
        <f ca="1">IF(ISERROR(MATCH(B$1,INDIRECT("Table!A"&amp;$AL275):INDIRECT("Table!" &amp; $AO$275 &amp; $AL275),0)),"",INDIRECT(CONCATENATE("Table!",ADDRESS(#REF!,MATCH(B$1,INDIRECT("Table!A" &amp; $AL275):INDIRECT("Table!" &amp; $AO$275 &amp; $AL275),0))))/1024)</f>
        <v/>
      </c>
      <c r="C275" s="22" t="str">
        <f ca="1">IF(ISERROR(MATCH(C$1,INDIRECT("Table!A"&amp;$AL275):INDIRECT("Table!" &amp; $AO$275 &amp; $AL275),0)),"",INDIRECT(CONCATENATE("Table!",ADDRESS(#REF!,MATCH(C$1,INDIRECT("Table!A" &amp; $AL275):INDIRECT("Table!" &amp; $AO$275 &amp; $AL275),0))))/1024)</f>
        <v/>
      </c>
      <c r="D275" s="22" t="str">
        <f ca="1">IF(ISERROR(MATCH(D$1,INDIRECT("Table!A"&amp;$AL275):INDIRECT("Table!" &amp; $AO$275 &amp; $AL275),0)),"",INDIRECT(CONCATENATE("Table!",ADDRESS(#REF!,MATCH(D$1,INDIRECT("Table!A" &amp; $AL275):INDIRECT("Table!" &amp; $AO$275 &amp; $AL275),0))))/1024)</f>
        <v/>
      </c>
      <c r="E275" s="22" t="str">
        <f ca="1">IF(ISERROR(MATCH(E$1,INDIRECT("Table!A"&amp;$AL275):INDIRECT("Table!" &amp; $AO$275 &amp; $AL275),0)),"",INDIRECT(CONCATENATE("Table!",ADDRESS(#REF!,MATCH(E$1,INDIRECT("Table!A" &amp; $AL275):INDIRECT("Table!" &amp; $AO$275 &amp; $AL275),0))))/1024)</f>
        <v/>
      </c>
      <c r="F275" s="22" t="str">
        <f ca="1">IF(ISERROR(MATCH(F$1,INDIRECT("Table!A"&amp;$AL275):INDIRECT("Table!" &amp; $AO$275 &amp; $AL275),0)),"",INDIRECT(CONCATENATE("Table!",ADDRESS(#REF!,MATCH(F$1,INDIRECT("Table!A" &amp; $AL275):INDIRECT("Table!" &amp; $AO$275 &amp; $AL275),0))))/1024)</f>
        <v/>
      </c>
      <c r="G275" s="22" t="str">
        <f ca="1">IF(ISERROR(MATCH(G$1,INDIRECT("Table!A"&amp;$AL275):INDIRECT("Table!" &amp; $AO$275 &amp; $AL275),0)),"",INDIRECT(CONCATENATE("Table!",ADDRESS(#REF!,MATCH(G$1,INDIRECT("Table!A" &amp; $AL275):INDIRECT("Table!" &amp; $AO$275 &amp; $AL275),0))))/1024)</f>
        <v/>
      </c>
      <c r="H275" s="22" t="str">
        <f ca="1">IF(ISERROR(MATCH(H$1,INDIRECT("Table!A"&amp;$AL275):INDIRECT("Table!" &amp; $AO$275 &amp; $AL275),0)),"",INDIRECT(CONCATENATE("Table!",ADDRESS(#REF!,MATCH(H$1,INDIRECT("Table!A" &amp; $AL275):INDIRECT("Table!" &amp; $AO$275 &amp; $AL275),0))))/1024)</f>
        <v/>
      </c>
      <c r="K275" s="22" t="str">
        <f ca="1">IF(ISERROR(MATCH(L$1,INDIRECT("Table!A"&amp;$AL275):INDIRECT("Table!" &amp; $AO$275 &amp; $AL275),0)),"",INDIRECT(CONCATENATE("Table!",ADDRESS(#REF!,MATCH(L$1,INDIRECT("Table!A" &amp; $AL275):INDIRECT("Table!" &amp; $AO$275 &amp; $AL275),0))))/1024)</f>
        <v/>
      </c>
      <c r="L275" s="22" t="str">
        <f ca="1">IF(ISERROR(MATCH(M$1,INDIRECT("Table!A"&amp;$AL275):INDIRECT("Table!" &amp; $AO$275 &amp; $AL275),0)),"",INDIRECT(CONCATENATE("Table!",ADDRESS(#REF!,MATCH(M$1,INDIRECT("Table!A" &amp; $AL275):INDIRECT("Table!" &amp; $AO$275 &amp; $AL275),0))))/1024)</f>
        <v/>
      </c>
      <c r="M275" s="22" t="str">
        <f ca="1">IF(ISERROR(MATCH(N$1,INDIRECT("Table!A"&amp;$AL275):INDIRECT("Table!" &amp; $AO$275 &amp; $AL275),0)),"",INDIRECT(CONCATENATE("Table!",ADDRESS(#REF!,MATCH(N$1,INDIRECT("Table!A" &amp; $AL275):INDIRECT("Table!" &amp; $AO$275 &amp; $AL275),0))))/1024)</f>
        <v/>
      </c>
      <c r="N275" s="22" t="str">
        <f ca="1">IF(ISERROR(MATCH(O$1,INDIRECT("Table!A"&amp;$AL275):INDIRECT("Table!" &amp; $AO$275 &amp; $AL275),0)),"",INDIRECT(CONCATENATE("Table!",ADDRESS(#REF!,MATCH(O$1,INDIRECT("Table!A" &amp; $AL275):INDIRECT("Table!" &amp; $AO$275 &amp; $AL275),0))))/1024)</f>
        <v/>
      </c>
      <c r="O275" s="22"/>
      <c r="P275" s="272"/>
      <c r="Q275" s="22"/>
      <c r="R275" s="30"/>
      <c r="T275" s="595"/>
      <c r="U275" s="30"/>
      <c r="AJ275" s="30"/>
      <c r="AK275" s="30"/>
      <c r="AL275" s="22"/>
      <c r="AM275" s="30"/>
      <c r="AN275" s="30"/>
      <c r="AO275" s="30"/>
    </row>
    <row r="276" spans="2:41" x14ac:dyDescent="0.25">
      <c r="N276" s="22"/>
      <c r="O276" s="22"/>
      <c r="P276" s="272"/>
      <c r="Q276" s="22"/>
      <c r="R276" s="64"/>
      <c r="T276" s="595"/>
      <c r="U276" s="64"/>
      <c r="AJ276" s="64"/>
      <c r="AK276" s="64"/>
      <c r="AL276" s="22"/>
      <c r="AM276" s="64"/>
      <c r="AN276" s="64"/>
      <c r="AO276" s="64"/>
    </row>
    <row r="277" spans="2:41" x14ac:dyDescent="0.25">
      <c r="N277" s="22"/>
      <c r="O277" s="22"/>
      <c r="P277" s="272"/>
      <c r="Q277" s="22"/>
      <c r="R277" s="51"/>
      <c r="T277" s="595"/>
      <c r="U277" s="51"/>
      <c r="AJ277" s="51"/>
      <c r="AK277" s="51"/>
      <c r="AL277" s="22"/>
      <c r="AM277" s="51"/>
      <c r="AN277" s="51"/>
      <c r="AO277" s="51"/>
    </row>
    <row r="278" spans="2:41" x14ac:dyDescent="0.25">
      <c r="N278" s="22"/>
      <c r="O278" s="22"/>
      <c r="P278" s="272"/>
      <c r="Q278" s="22"/>
      <c r="R278" s="50"/>
      <c r="T278" s="595"/>
      <c r="U278" s="50"/>
      <c r="AJ278" s="50"/>
      <c r="AK278" s="50"/>
      <c r="AL278" s="22"/>
      <c r="AM278" s="50"/>
      <c r="AN278" s="50"/>
      <c r="AO278" s="50"/>
    </row>
    <row r="279" spans="2:41" x14ac:dyDescent="0.25">
      <c r="N279" s="22"/>
      <c r="O279" s="22"/>
      <c r="P279" s="272"/>
      <c r="Q279" s="22"/>
      <c r="R279" s="49"/>
      <c r="T279" s="595"/>
      <c r="U279" s="49"/>
      <c r="AJ279" s="49"/>
      <c r="AK279" s="49"/>
      <c r="AL279" s="22"/>
      <c r="AM279" s="49"/>
      <c r="AN279" s="49"/>
      <c r="AO279" s="49"/>
    </row>
    <row r="280" spans="2:41" x14ac:dyDescent="0.25">
      <c r="N280" s="22"/>
      <c r="O280" s="22"/>
      <c r="P280" s="272"/>
      <c r="Q280" s="22"/>
      <c r="R280" s="48"/>
      <c r="T280" s="595"/>
      <c r="U280" s="48"/>
      <c r="AJ280" s="48"/>
      <c r="AK280" s="48"/>
      <c r="AL280" s="22"/>
      <c r="AM280" s="48"/>
      <c r="AN280" s="48"/>
      <c r="AO280" s="48"/>
    </row>
    <row r="281" spans="2:41" x14ac:dyDescent="0.25">
      <c r="N281" s="22"/>
      <c r="O281" s="22"/>
      <c r="P281" s="272"/>
      <c r="Q281" s="22"/>
      <c r="R281" s="47"/>
      <c r="T281" s="595"/>
      <c r="U281" s="47"/>
      <c r="AJ281" s="47"/>
      <c r="AK281" s="47"/>
      <c r="AL281" s="22"/>
      <c r="AM281" s="47"/>
      <c r="AN281" s="47"/>
      <c r="AO281" s="47"/>
    </row>
    <row r="282" spans="2:41" x14ac:dyDescent="0.25">
      <c r="N282" s="22"/>
      <c r="O282" s="22"/>
      <c r="P282" s="272"/>
      <c r="Q282" s="22"/>
      <c r="R282" s="46"/>
      <c r="T282" s="595"/>
      <c r="U282" s="46"/>
      <c r="AJ282" s="46"/>
      <c r="AK282" s="46"/>
      <c r="AL282" s="22"/>
      <c r="AM282" s="46"/>
      <c r="AN282" s="46"/>
      <c r="AO282" s="46"/>
    </row>
    <row r="283" spans="2:41" x14ac:dyDescent="0.25">
      <c r="N283" s="22"/>
      <c r="O283" s="22"/>
      <c r="P283" s="272"/>
      <c r="Q283" s="22"/>
      <c r="R283" s="45"/>
      <c r="T283" s="595"/>
      <c r="U283" s="45"/>
      <c r="AJ283" s="45"/>
      <c r="AK283" s="45"/>
      <c r="AL283" s="22"/>
      <c r="AM283" s="45"/>
      <c r="AN283" s="45"/>
      <c r="AO283" s="45"/>
    </row>
    <row r="284" spans="2:41" x14ac:dyDescent="0.25">
      <c r="N284" s="22"/>
      <c r="O284" s="22"/>
      <c r="P284" s="272"/>
      <c r="Q284" s="22"/>
      <c r="R284" s="45"/>
      <c r="T284" s="595"/>
      <c r="U284" s="45"/>
      <c r="AJ284" s="45"/>
      <c r="AK284" s="45"/>
      <c r="AL284" s="22"/>
      <c r="AM284" s="45"/>
      <c r="AN284" s="45"/>
      <c r="AO284" s="45"/>
    </row>
    <row r="285" spans="2:41" x14ac:dyDescent="0.25">
      <c r="N285" s="22"/>
      <c r="O285" s="22"/>
      <c r="P285" s="272"/>
      <c r="Q285" s="22"/>
      <c r="R285" s="44"/>
      <c r="T285" s="595"/>
      <c r="U285" s="44"/>
      <c r="AJ285" s="44"/>
      <c r="AK285" s="44"/>
      <c r="AL285" s="22"/>
      <c r="AM285" s="44"/>
      <c r="AN285" s="44"/>
      <c r="AO285" s="44"/>
    </row>
    <row r="286" spans="2:41" x14ac:dyDescent="0.25">
      <c r="N286" s="22"/>
      <c r="O286" s="22"/>
      <c r="P286" s="272"/>
      <c r="Q286" s="22"/>
      <c r="R286" s="43"/>
      <c r="T286" s="595"/>
      <c r="U286" s="43"/>
      <c r="AJ286" s="43"/>
      <c r="AK286" s="43"/>
      <c r="AL286" s="22"/>
      <c r="AM286" s="43"/>
      <c r="AN286" s="43"/>
      <c r="AO286" s="43"/>
    </row>
    <row r="287" spans="2:41" x14ac:dyDescent="0.25">
      <c r="N287" s="22"/>
      <c r="O287" s="22"/>
      <c r="P287" s="272"/>
      <c r="Q287" s="22"/>
      <c r="R287" s="43"/>
      <c r="T287" s="595"/>
      <c r="U287" s="43"/>
      <c r="AJ287" s="43"/>
      <c r="AK287" s="43"/>
      <c r="AL287" s="22"/>
      <c r="AM287" s="43"/>
      <c r="AN287" s="43"/>
      <c r="AO287" s="43"/>
    </row>
    <row r="288" spans="2:41" x14ac:dyDescent="0.25">
      <c r="N288" s="22"/>
      <c r="O288" s="22"/>
      <c r="P288" s="272"/>
      <c r="Q288" s="22"/>
      <c r="R288" s="42"/>
      <c r="T288" s="595"/>
      <c r="U288" s="42"/>
      <c r="AJ288" s="42"/>
      <c r="AK288" s="42"/>
      <c r="AL288" s="22"/>
      <c r="AM288" s="42"/>
      <c r="AN288" s="42"/>
      <c r="AO288" s="42"/>
    </row>
    <row r="289" spans="14:41" x14ac:dyDescent="0.25">
      <c r="N289" s="22"/>
      <c r="O289" s="22"/>
      <c r="P289" s="272"/>
      <c r="Q289" s="22"/>
      <c r="R289" s="41"/>
      <c r="T289" s="595"/>
      <c r="U289" s="41"/>
      <c r="AJ289" s="41"/>
      <c r="AK289" s="41"/>
      <c r="AL289" s="22"/>
      <c r="AM289" s="41"/>
      <c r="AN289" s="41"/>
      <c r="AO289" s="41"/>
    </row>
    <row r="290" spans="14:41" x14ac:dyDescent="0.25">
      <c r="N290" s="22"/>
      <c r="O290" s="22"/>
      <c r="P290" s="272"/>
      <c r="Q290" s="22"/>
      <c r="R290" s="40"/>
      <c r="T290" s="595"/>
      <c r="U290" s="40"/>
      <c r="AJ290" s="40"/>
      <c r="AK290" s="40"/>
      <c r="AL290" s="22"/>
      <c r="AM290" s="40"/>
      <c r="AN290" s="40"/>
      <c r="AO290" s="40"/>
    </row>
    <row r="291" spans="14:41" x14ac:dyDescent="0.25">
      <c r="N291" s="22"/>
      <c r="O291" s="22"/>
      <c r="P291" s="272"/>
      <c r="Q291" s="22"/>
      <c r="R291" s="39"/>
      <c r="T291" s="595"/>
      <c r="U291" s="39"/>
      <c r="AJ291" s="39"/>
      <c r="AK291" s="39"/>
      <c r="AL291" s="22"/>
      <c r="AM291" s="39"/>
      <c r="AN291" s="39"/>
      <c r="AO291" s="39"/>
    </row>
    <row r="292" spans="14:41" x14ac:dyDescent="0.25">
      <c r="N292" s="22"/>
      <c r="O292" s="22"/>
      <c r="P292" s="272"/>
      <c r="Q292" s="22"/>
      <c r="R292" s="36"/>
      <c r="T292" s="595"/>
      <c r="U292" s="36"/>
      <c r="AJ292" s="36"/>
      <c r="AK292" s="36"/>
      <c r="AL292" s="22"/>
      <c r="AM292" s="36"/>
      <c r="AN292" s="36"/>
      <c r="AO292" s="36"/>
    </row>
    <row r="293" spans="14:41" x14ac:dyDescent="0.25">
      <c r="N293" s="22"/>
      <c r="O293" s="22"/>
      <c r="P293" s="272"/>
      <c r="Q293" s="22"/>
      <c r="R293" s="33"/>
      <c r="T293" s="595"/>
      <c r="U293" s="33"/>
      <c r="AJ293" s="33"/>
      <c r="AK293" s="33"/>
      <c r="AL293" s="22"/>
      <c r="AM293" s="33"/>
      <c r="AN293" s="33"/>
      <c r="AO293" s="33"/>
    </row>
    <row r="294" spans="14:41" x14ac:dyDescent="0.25">
      <c r="N294" s="22"/>
      <c r="O294" s="22"/>
      <c r="P294" s="272"/>
      <c r="Q294" s="22"/>
      <c r="R294" s="31"/>
      <c r="T294" s="595"/>
      <c r="U294" s="31"/>
      <c r="AJ294" s="31"/>
      <c r="AK294" s="31"/>
      <c r="AL294" s="22"/>
      <c r="AM294" s="31"/>
      <c r="AN294" s="31"/>
      <c r="AO294" s="31"/>
    </row>
    <row r="295" spans="14:41" x14ac:dyDescent="0.25">
      <c r="N295" s="22"/>
      <c r="O295" s="22"/>
      <c r="P295" s="272"/>
      <c r="Q295" s="22"/>
      <c r="T295" s="595"/>
      <c r="AJ295" s="27"/>
      <c r="AK295" s="27"/>
      <c r="AL295" s="22"/>
      <c r="AM295" s="27"/>
      <c r="AN295" s="27"/>
    </row>
    <row r="296" spans="14:41" x14ac:dyDescent="0.25">
      <c r="N296" s="22"/>
      <c r="O296" s="22"/>
      <c r="P296" s="272"/>
      <c r="Q296" s="22"/>
      <c r="T296" s="595"/>
      <c r="AJ296" s="27"/>
      <c r="AK296" s="27"/>
      <c r="AL296" s="22"/>
      <c r="AM296" s="27"/>
      <c r="AN296" s="27"/>
    </row>
    <row r="297" spans="14:41" x14ac:dyDescent="0.25">
      <c r="N297" s="22"/>
      <c r="O297" s="22"/>
      <c r="P297" s="272"/>
      <c r="Q297" s="22"/>
      <c r="T297" s="595"/>
      <c r="AJ297" s="27"/>
      <c r="AK297" s="27"/>
      <c r="AL297" s="22"/>
      <c r="AM297" s="27"/>
      <c r="AN297" s="27"/>
    </row>
    <row r="298" spans="14:41" x14ac:dyDescent="0.25">
      <c r="N298" s="22"/>
      <c r="O298" s="22"/>
      <c r="P298" s="272"/>
      <c r="Q298" s="22"/>
      <c r="T298" s="595"/>
      <c r="AJ298" s="27"/>
      <c r="AK298" s="27"/>
      <c r="AL298" s="22"/>
      <c r="AM298" s="27"/>
      <c r="AN298" s="27"/>
    </row>
    <row r="299" spans="14:41" x14ac:dyDescent="0.25">
      <c r="N299" s="22"/>
      <c r="O299" s="22"/>
      <c r="P299" s="272"/>
      <c r="Q299" s="22"/>
      <c r="T299" s="595"/>
      <c r="AJ299" s="27"/>
      <c r="AK299" s="27"/>
      <c r="AL299" s="22"/>
      <c r="AM299" s="27"/>
      <c r="AN299" s="27"/>
    </row>
    <row r="300" spans="14:41" x14ac:dyDescent="0.25">
      <c r="N300" s="22"/>
      <c r="O300" s="22"/>
      <c r="P300" s="272"/>
      <c r="Q300" s="22"/>
      <c r="T300" s="595"/>
      <c r="AJ300" s="27"/>
      <c r="AK300" s="27"/>
      <c r="AL300" s="22"/>
      <c r="AM300" s="27"/>
      <c r="AN300" s="27"/>
    </row>
    <row r="301" spans="14:41" x14ac:dyDescent="0.25">
      <c r="N301" s="22"/>
      <c r="O301" s="22"/>
      <c r="P301" s="272"/>
      <c r="Q301" s="22"/>
      <c r="T301" s="595"/>
      <c r="AJ301" s="27"/>
      <c r="AK301" s="27"/>
      <c r="AL301" s="22"/>
      <c r="AM301" s="27"/>
      <c r="AN301" s="27"/>
    </row>
    <row r="302" spans="14:41" x14ac:dyDescent="0.25">
      <c r="N302" s="22"/>
      <c r="O302" s="22"/>
      <c r="P302" s="272"/>
      <c r="Q302" s="22"/>
      <c r="T302" s="595"/>
      <c r="AJ302" s="27"/>
      <c r="AK302" s="27"/>
      <c r="AL302" s="22"/>
      <c r="AM302" s="27"/>
      <c r="AN302" s="27"/>
    </row>
    <row r="303" spans="14:41" x14ac:dyDescent="0.25">
      <c r="N303" s="22"/>
      <c r="O303" s="22"/>
      <c r="P303" s="272"/>
      <c r="Q303" s="22"/>
      <c r="T303" s="595"/>
      <c r="AJ303" s="27"/>
      <c r="AK303" s="27"/>
      <c r="AL303" s="22"/>
      <c r="AM303" s="27"/>
      <c r="AN303" s="27"/>
    </row>
    <row r="304" spans="14:41" x14ac:dyDescent="0.25">
      <c r="N304" s="22"/>
      <c r="O304" s="22"/>
      <c r="P304" s="272"/>
      <c r="Q304" s="22"/>
      <c r="T304" s="595"/>
      <c r="AJ304" s="27"/>
      <c r="AK304" s="27"/>
      <c r="AL304" s="22"/>
      <c r="AM304" s="27"/>
      <c r="AN304" s="27"/>
    </row>
    <row r="305" spans="14:40" x14ac:dyDescent="0.25">
      <c r="N305" s="22"/>
      <c r="O305" s="22"/>
      <c r="P305" s="272"/>
      <c r="Q305" s="22"/>
      <c r="T305" s="595"/>
      <c r="AJ305" s="27"/>
      <c r="AK305" s="27"/>
      <c r="AL305" s="22"/>
      <c r="AM305" s="27"/>
      <c r="AN305" s="27"/>
    </row>
    <row r="306" spans="14:40" x14ac:dyDescent="0.25">
      <c r="N306" s="22"/>
      <c r="O306" s="22"/>
      <c r="P306" s="272"/>
      <c r="Q306" s="22"/>
      <c r="T306" s="595"/>
      <c r="AK306" s="10"/>
      <c r="AL306" s="22"/>
    </row>
    <row r="307" spans="14:40" x14ac:dyDescent="0.25">
      <c r="N307" s="22"/>
      <c r="O307" s="22"/>
      <c r="P307" s="272"/>
      <c r="Q307" s="22"/>
      <c r="T307" s="595"/>
      <c r="AK307" s="10"/>
      <c r="AL307" s="22"/>
    </row>
    <row r="308" spans="14:40" x14ac:dyDescent="0.25">
      <c r="N308" s="22"/>
      <c r="O308" s="22"/>
      <c r="P308" s="272"/>
      <c r="Q308" s="22"/>
      <c r="T308" s="595"/>
      <c r="AK308" s="10"/>
      <c r="AL308" s="22"/>
    </row>
    <row r="309" spans="14:40" x14ac:dyDescent="0.25">
      <c r="N309" s="22"/>
      <c r="O309" s="22"/>
      <c r="P309" s="272"/>
      <c r="Q309" s="22"/>
      <c r="T309" s="595"/>
      <c r="AK309" s="10"/>
      <c r="AL309" s="22"/>
    </row>
    <row r="310" spans="14:40" x14ac:dyDescent="0.25">
      <c r="N310" s="22"/>
      <c r="O310" s="22"/>
      <c r="P310" s="272"/>
      <c r="Q310" s="22"/>
      <c r="T310" s="595"/>
      <c r="AK310" s="10"/>
      <c r="AL310" s="22"/>
    </row>
    <row r="311" spans="14:40" x14ac:dyDescent="0.25">
      <c r="N311" s="22"/>
      <c r="O311" s="22"/>
      <c r="P311" s="272"/>
      <c r="Q311" s="22"/>
      <c r="T311" s="595"/>
      <c r="AK311" s="10"/>
      <c r="AL311" s="22"/>
    </row>
    <row r="312" spans="14:40" x14ac:dyDescent="0.25">
      <c r="N312" s="22"/>
      <c r="O312" s="22"/>
      <c r="P312" s="272"/>
      <c r="Q312" s="22"/>
      <c r="T312" s="595"/>
      <c r="AK312" s="10"/>
      <c r="AL312" s="22"/>
    </row>
    <row r="313" spans="14:40" x14ac:dyDescent="0.25">
      <c r="N313" s="22"/>
      <c r="O313" s="22"/>
      <c r="P313" s="272"/>
      <c r="Q313" s="22"/>
      <c r="T313" s="595"/>
      <c r="AK313" s="10"/>
      <c r="AL313" s="22"/>
    </row>
    <row r="314" spans="14:40" x14ac:dyDescent="0.25">
      <c r="N314" s="22"/>
      <c r="O314" s="22"/>
      <c r="P314" s="272"/>
      <c r="Q314" s="22"/>
      <c r="T314" s="595"/>
      <c r="AK314" s="10"/>
      <c r="AL314" s="22"/>
    </row>
    <row r="315" spans="14:40" x14ac:dyDescent="0.25">
      <c r="N315" s="22"/>
      <c r="O315" s="22"/>
      <c r="P315" s="272"/>
      <c r="Q315" s="22"/>
      <c r="T315" s="595"/>
      <c r="AK315" s="10"/>
      <c r="AL315" s="22"/>
    </row>
    <row r="316" spans="14:40" x14ac:dyDescent="0.25">
      <c r="N316" s="22"/>
      <c r="O316" s="22"/>
      <c r="P316" s="272"/>
      <c r="Q316" s="22"/>
      <c r="T316" s="595"/>
      <c r="AK316" s="10"/>
      <c r="AL316" s="22"/>
    </row>
    <row r="317" spans="14:40" x14ac:dyDescent="0.25">
      <c r="N317" s="22"/>
      <c r="O317" s="22"/>
      <c r="P317" s="272"/>
      <c r="Q317" s="22"/>
      <c r="T317" s="595"/>
      <c r="AK317" s="10"/>
      <c r="AL317" s="22"/>
    </row>
    <row r="318" spans="14:40" x14ac:dyDescent="0.25">
      <c r="N318" s="22"/>
      <c r="O318" s="22"/>
      <c r="P318" s="272"/>
      <c r="Q318" s="22"/>
      <c r="T318" s="595"/>
      <c r="AK318" s="10"/>
      <c r="AL318" s="22"/>
    </row>
    <row r="319" spans="14:40" x14ac:dyDescent="0.25">
      <c r="N319" s="22"/>
      <c r="O319" s="22"/>
      <c r="P319" s="272"/>
      <c r="Q319" s="22"/>
      <c r="T319" s="595"/>
      <c r="AK319" s="10"/>
      <c r="AL319" s="22"/>
    </row>
    <row r="320" spans="14:40" x14ac:dyDescent="0.25">
      <c r="N320" s="22"/>
      <c r="O320" s="22"/>
      <c r="P320" s="272"/>
      <c r="Q320" s="22"/>
      <c r="T320" s="595"/>
      <c r="AK320" s="10"/>
      <c r="AL320" s="22"/>
    </row>
    <row r="321" spans="14:38" x14ac:dyDescent="0.25">
      <c r="N321" s="22"/>
      <c r="O321" s="22"/>
      <c r="P321" s="272"/>
      <c r="Q321" s="22"/>
      <c r="T321" s="595"/>
      <c r="AK321" s="10"/>
      <c r="AL321" s="22"/>
    </row>
    <row r="322" spans="14:38" x14ac:dyDescent="0.25">
      <c r="N322" s="22"/>
      <c r="O322" s="22"/>
      <c r="P322" s="272"/>
      <c r="Q322" s="22"/>
      <c r="T322" s="595"/>
      <c r="AK322" s="10"/>
      <c r="AL322" s="22"/>
    </row>
    <row r="323" spans="14:38" x14ac:dyDescent="0.25">
      <c r="N323" s="22"/>
      <c r="O323" s="22"/>
      <c r="P323" s="272"/>
      <c r="Q323" s="22"/>
      <c r="T323" s="595"/>
      <c r="AK323" s="10"/>
      <c r="AL323" s="22"/>
    </row>
    <row r="324" spans="14:38" x14ac:dyDescent="0.25">
      <c r="N324" s="22"/>
      <c r="O324" s="22"/>
      <c r="P324" s="272"/>
      <c r="Q324" s="22"/>
      <c r="T324" s="595"/>
      <c r="AK324" s="10"/>
      <c r="AL324" s="22"/>
    </row>
    <row r="325" spans="14:38" x14ac:dyDescent="0.25">
      <c r="N325" s="22"/>
      <c r="O325" s="22"/>
      <c r="P325" s="272"/>
      <c r="Q325" s="22"/>
      <c r="T325" s="595"/>
      <c r="AK325" s="10"/>
      <c r="AL325" s="22"/>
    </row>
    <row r="326" spans="14:38" x14ac:dyDescent="0.25">
      <c r="N326" s="22"/>
      <c r="O326" s="22"/>
      <c r="P326" s="272"/>
      <c r="Q326" s="22"/>
      <c r="T326" s="595"/>
      <c r="AK326" s="10"/>
      <c r="AL326" s="22"/>
    </row>
    <row r="327" spans="14:38" x14ac:dyDescent="0.25">
      <c r="N327" s="22"/>
      <c r="O327" s="22"/>
      <c r="P327" s="272"/>
      <c r="Q327" s="22"/>
      <c r="T327" s="595"/>
      <c r="AK327" s="10"/>
      <c r="AL327" s="22"/>
    </row>
    <row r="328" spans="14:38" x14ac:dyDescent="0.25">
      <c r="N328" s="22"/>
      <c r="O328" s="22"/>
      <c r="P328" s="272"/>
      <c r="Q328" s="22"/>
      <c r="T328" s="595"/>
      <c r="AK328" s="10"/>
      <c r="AL328" s="22"/>
    </row>
    <row r="329" spans="14:38" x14ac:dyDescent="0.25">
      <c r="N329" s="22"/>
      <c r="O329" s="22"/>
      <c r="P329" s="272"/>
      <c r="Q329" s="22"/>
      <c r="T329" s="595"/>
      <c r="AK329" s="10"/>
      <c r="AL329" s="22"/>
    </row>
    <row r="330" spans="14:38" x14ac:dyDescent="0.25">
      <c r="N330" s="22"/>
      <c r="O330" s="22"/>
      <c r="P330" s="272"/>
      <c r="Q330" s="22"/>
      <c r="T330" s="595"/>
      <c r="AK330" s="10"/>
      <c r="AL330" s="22"/>
    </row>
    <row r="331" spans="14:38" x14ac:dyDescent="0.25">
      <c r="N331" s="22"/>
      <c r="O331" s="22"/>
      <c r="P331" s="272"/>
      <c r="Q331" s="22"/>
      <c r="T331" s="595"/>
      <c r="AK331" s="10"/>
      <c r="AL331" s="22"/>
    </row>
    <row r="332" spans="14:38" x14ac:dyDescent="0.25">
      <c r="N332" s="22"/>
      <c r="O332" s="22"/>
      <c r="P332" s="272"/>
      <c r="Q332" s="22"/>
      <c r="T332" s="595"/>
      <c r="AK332" s="10"/>
      <c r="AL332" s="22"/>
    </row>
    <row r="333" spans="14:38" x14ac:dyDescent="0.25">
      <c r="N333" s="22"/>
      <c r="O333" s="22"/>
      <c r="P333" s="272"/>
      <c r="Q333" s="22"/>
      <c r="T333" s="595"/>
      <c r="AK333" s="10"/>
      <c r="AL333" s="22"/>
    </row>
    <row r="334" spans="14:38" x14ac:dyDescent="0.25">
      <c r="N334" s="22"/>
      <c r="O334" s="22"/>
      <c r="P334" s="272"/>
      <c r="Q334" s="22"/>
      <c r="T334" s="595"/>
      <c r="AK334" s="10"/>
      <c r="AL334" s="22"/>
    </row>
    <row r="335" spans="14:38" x14ac:dyDescent="0.25">
      <c r="N335" s="22"/>
      <c r="O335" s="22"/>
      <c r="P335" s="272"/>
      <c r="Q335" s="22"/>
      <c r="T335" s="595"/>
      <c r="AK335" s="10"/>
      <c r="AL335" s="22"/>
    </row>
    <row r="336" spans="14:38" x14ac:dyDescent="0.25">
      <c r="N336" s="22"/>
      <c r="O336" s="22"/>
      <c r="P336" s="272"/>
      <c r="Q336" s="22"/>
      <c r="T336" s="595"/>
      <c r="AK336" s="10"/>
      <c r="AL336" s="22"/>
    </row>
    <row r="337" spans="14:38" x14ac:dyDescent="0.25">
      <c r="N337" s="22"/>
      <c r="O337" s="22"/>
      <c r="P337" s="272"/>
      <c r="Q337" s="22"/>
      <c r="T337" s="595"/>
      <c r="AK337" s="10"/>
      <c r="AL337" s="22"/>
    </row>
    <row r="338" spans="14:38" x14ac:dyDescent="0.25">
      <c r="N338" s="22"/>
      <c r="O338" s="22"/>
      <c r="P338" s="272"/>
      <c r="Q338" s="22"/>
      <c r="T338" s="595"/>
      <c r="AK338" s="10"/>
      <c r="AL338" s="22"/>
    </row>
    <row r="339" spans="14:38" x14ac:dyDescent="0.25">
      <c r="N339" s="22"/>
      <c r="O339" s="22"/>
      <c r="P339" s="272"/>
      <c r="Q339" s="22"/>
      <c r="T339" s="595"/>
      <c r="AK339" s="10"/>
      <c r="AL339" s="22"/>
    </row>
    <row r="340" spans="14:38" x14ac:dyDescent="0.25">
      <c r="N340" s="22"/>
      <c r="O340" s="22"/>
      <c r="P340" s="272"/>
      <c r="Q340" s="22"/>
      <c r="T340" s="595"/>
      <c r="AK340" s="10"/>
      <c r="AL340" s="22"/>
    </row>
    <row r="341" spans="14:38" x14ac:dyDescent="0.25">
      <c r="N341" s="22"/>
      <c r="O341" s="22"/>
      <c r="P341" s="272"/>
      <c r="Q341" s="22"/>
      <c r="T341" s="595"/>
      <c r="AK341" s="10"/>
      <c r="AL341" s="22"/>
    </row>
    <row r="342" spans="14:38" x14ac:dyDescent="0.25">
      <c r="N342" s="22"/>
      <c r="O342" s="22"/>
      <c r="P342" s="272"/>
      <c r="Q342" s="22"/>
      <c r="T342" s="595"/>
      <c r="AK342" s="10"/>
      <c r="AL342" s="22"/>
    </row>
    <row r="343" spans="14:38" x14ac:dyDescent="0.25">
      <c r="N343" s="22"/>
      <c r="O343" s="22"/>
      <c r="P343" s="272"/>
      <c r="Q343" s="22"/>
      <c r="T343" s="595"/>
      <c r="AK343" s="10"/>
      <c r="AL343" s="22"/>
    </row>
    <row r="344" spans="14:38" x14ac:dyDescent="0.25">
      <c r="N344" s="22"/>
      <c r="O344" s="22"/>
      <c r="P344" s="272"/>
      <c r="Q344" s="22"/>
      <c r="T344" s="595"/>
      <c r="AK344" s="10"/>
      <c r="AL344" s="22"/>
    </row>
    <row r="345" spans="14:38" x14ac:dyDescent="0.25">
      <c r="N345" s="22"/>
      <c r="O345" s="22"/>
      <c r="P345" s="272"/>
      <c r="Q345" s="22"/>
      <c r="T345" s="595"/>
      <c r="AK345" s="10"/>
      <c r="AL345" s="22"/>
    </row>
    <row r="346" spans="14:38" x14ac:dyDescent="0.25">
      <c r="N346" s="22"/>
      <c r="O346" s="22"/>
      <c r="P346" s="272"/>
      <c r="Q346" s="22"/>
      <c r="T346" s="595"/>
      <c r="AK346" s="10"/>
      <c r="AL346" s="22"/>
    </row>
    <row r="347" spans="14:38" x14ac:dyDescent="0.25">
      <c r="N347" s="22"/>
      <c r="O347" s="22"/>
      <c r="P347" s="272"/>
      <c r="Q347" s="22"/>
      <c r="T347" s="595"/>
      <c r="AK347" s="10"/>
      <c r="AL347" s="22"/>
    </row>
    <row r="348" spans="14:38" x14ac:dyDescent="0.25">
      <c r="N348" s="22"/>
      <c r="O348" s="22"/>
      <c r="P348" s="272"/>
      <c r="Q348" s="22"/>
      <c r="T348" s="595"/>
      <c r="AK348" s="10"/>
      <c r="AL348" s="22"/>
    </row>
    <row r="349" spans="14:38" x14ac:dyDescent="0.25">
      <c r="N349" s="22"/>
      <c r="O349" s="22"/>
      <c r="P349" s="272"/>
      <c r="Q349" s="22"/>
      <c r="T349" s="595"/>
      <c r="AK349" s="10"/>
      <c r="AL349" s="22"/>
    </row>
    <row r="350" spans="14:38" x14ac:dyDescent="0.25">
      <c r="N350" s="22"/>
      <c r="O350" s="22"/>
      <c r="P350" s="272"/>
      <c r="Q350" s="22"/>
      <c r="T350" s="595"/>
      <c r="AK350" s="10"/>
      <c r="AL350" s="22"/>
    </row>
    <row r="351" spans="14:38" x14ac:dyDescent="0.25">
      <c r="N351" s="22"/>
      <c r="O351" s="22"/>
      <c r="P351" s="272"/>
      <c r="Q351" s="22"/>
      <c r="T351" s="595"/>
      <c r="AK351" s="10"/>
      <c r="AL351" s="22"/>
    </row>
    <row r="352" spans="14:38" x14ac:dyDescent="0.25">
      <c r="N352" s="22"/>
      <c r="O352" s="22"/>
      <c r="P352" s="272"/>
      <c r="Q352" s="22"/>
      <c r="T352" s="595"/>
      <c r="AK352" s="10"/>
      <c r="AL352" s="22"/>
    </row>
    <row r="353" spans="14:38" x14ac:dyDescent="0.25">
      <c r="N353" s="22"/>
      <c r="O353" s="22"/>
      <c r="P353" s="272"/>
      <c r="Q353" s="22"/>
      <c r="T353" s="595"/>
      <c r="AK353" s="10"/>
      <c r="AL353" s="22"/>
    </row>
    <row r="354" spans="14:38" x14ac:dyDescent="0.25">
      <c r="N354" s="22"/>
      <c r="O354" s="22"/>
      <c r="P354" s="272"/>
      <c r="Q354" s="22"/>
      <c r="T354" s="595"/>
      <c r="AK354" s="10"/>
      <c r="AL354" s="22"/>
    </row>
    <row r="355" spans="14:38" x14ac:dyDescent="0.25">
      <c r="N355" s="22"/>
      <c r="O355" s="22"/>
      <c r="P355" s="272"/>
      <c r="Q355" s="22"/>
      <c r="T355" s="595"/>
      <c r="AK355" s="10"/>
      <c r="AL355" s="22"/>
    </row>
    <row r="356" spans="14:38" x14ac:dyDescent="0.25">
      <c r="N356" s="22"/>
      <c r="O356" s="22"/>
      <c r="P356" s="272"/>
      <c r="Q356" s="22"/>
      <c r="T356" s="595"/>
      <c r="AK356" s="10"/>
      <c r="AL356" s="22"/>
    </row>
    <row r="357" spans="14:38" x14ac:dyDescent="0.25">
      <c r="N357" s="22"/>
      <c r="O357" s="22"/>
      <c r="P357" s="272"/>
      <c r="Q357" s="22"/>
      <c r="T357" s="595"/>
      <c r="AK357" s="10"/>
      <c r="AL357" s="22"/>
    </row>
    <row r="358" spans="14:38" x14ac:dyDescent="0.25">
      <c r="N358" s="22"/>
      <c r="O358" s="22"/>
      <c r="P358" s="272"/>
      <c r="Q358" s="22"/>
      <c r="T358" s="595"/>
      <c r="AK358" s="10"/>
      <c r="AL358" s="22"/>
    </row>
    <row r="359" spans="14:38" x14ac:dyDescent="0.25">
      <c r="N359" s="22"/>
      <c r="O359" s="22"/>
      <c r="P359" s="272"/>
      <c r="Q359" s="22"/>
      <c r="T359" s="595"/>
      <c r="AK359" s="10"/>
      <c r="AL359" s="22"/>
    </row>
    <row r="360" spans="14:38" x14ac:dyDescent="0.25">
      <c r="N360" s="22"/>
      <c r="O360" s="22"/>
      <c r="P360" s="272"/>
      <c r="Q360" s="22"/>
      <c r="T360" s="595"/>
      <c r="AK360" s="10"/>
      <c r="AL360" s="22"/>
    </row>
    <row r="361" spans="14:38" x14ac:dyDescent="0.25">
      <c r="N361" s="22"/>
      <c r="O361" s="22"/>
      <c r="P361" s="272"/>
      <c r="Q361" s="22"/>
      <c r="T361" s="595"/>
      <c r="AK361" s="10"/>
      <c r="AL361" s="22"/>
    </row>
    <row r="362" spans="14:38" x14ac:dyDescent="0.25">
      <c r="N362" s="22"/>
      <c r="O362" s="22"/>
      <c r="P362" s="272"/>
      <c r="Q362" s="22"/>
      <c r="T362" s="595"/>
      <c r="AK362" s="10"/>
      <c r="AL362" s="22"/>
    </row>
    <row r="363" spans="14:38" x14ac:dyDescent="0.25">
      <c r="N363" s="22"/>
      <c r="O363" s="22"/>
      <c r="P363" s="272"/>
      <c r="Q363" s="22"/>
      <c r="T363" s="595"/>
      <c r="AK363" s="10"/>
      <c r="AL363" s="22"/>
    </row>
    <row r="364" spans="14:38" x14ac:dyDescent="0.25">
      <c r="N364" s="22"/>
      <c r="O364" s="22"/>
      <c r="P364" s="272"/>
      <c r="Q364" s="22"/>
      <c r="T364" s="595"/>
      <c r="AK364" s="10"/>
      <c r="AL364" s="22"/>
    </row>
    <row r="365" spans="14:38" x14ac:dyDescent="0.25">
      <c r="N365" s="22"/>
      <c r="O365" s="22"/>
      <c r="P365" s="272"/>
      <c r="Q365" s="22"/>
      <c r="T365" s="595"/>
      <c r="AK365" s="10"/>
      <c r="AL365" s="22"/>
    </row>
    <row r="366" spans="14:38" x14ac:dyDescent="0.25">
      <c r="N366" s="22"/>
      <c r="O366" s="22"/>
      <c r="P366" s="272"/>
      <c r="Q366" s="22"/>
      <c r="T366" s="595"/>
      <c r="AK366" s="10"/>
      <c r="AL366" s="22"/>
    </row>
    <row r="367" spans="14:38" x14ac:dyDescent="0.25">
      <c r="N367" s="22"/>
      <c r="O367" s="22"/>
      <c r="P367" s="272"/>
      <c r="Q367" s="22"/>
      <c r="T367" s="595"/>
      <c r="AK367" s="10"/>
      <c r="AL367" s="22"/>
    </row>
    <row r="368" spans="14:38" x14ac:dyDescent="0.25">
      <c r="N368" s="22"/>
      <c r="O368" s="22"/>
      <c r="P368" s="272"/>
      <c r="Q368" s="22"/>
      <c r="T368" s="595"/>
      <c r="AK368" s="10"/>
      <c r="AL368" s="22"/>
    </row>
    <row r="369" spans="14:41" x14ac:dyDescent="0.25">
      <c r="N369" s="22"/>
      <c r="O369" s="22"/>
      <c r="P369" s="272"/>
      <c r="Q369" s="22"/>
      <c r="T369" s="595"/>
      <c r="AK369" s="10"/>
      <c r="AL369" s="22"/>
    </row>
    <row r="370" spans="14:41" x14ac:dyDescent="0.25">
      <c r="N370" s="22"/>
      <c r="O370" s="22"/>
      <c r="P370" s="272"/>
      <c r="Q370" s="22"/>
      <c r="T370" s="595"/>
      <c r="AK370" s="10"/>
      <c r="AL370" s="22"/>
    </row>
    <row r="371" spans="14:41" x14ac:dyDescent="0.25">
      <c r="N371" s="22"/>
      <c r="O371" s="22"/>
      <c r="P371" s="272"/>
      <c r="Q371" s="22"/>
      <c r="T371" s="595"/>
      <c r="AK371" s="10"/>
      <c r="AL371" s="22"/>
      <c r="AO371" s="29"/>
    </row>
    <row r="372" spans="14:41" x14ac:dyDescent="0.25">
      <c r="N372" s="22"/>
      <c r="O372" s="22"/>
      <c r="P372" s="272"/>
      <c r="Q372" s="22"/>
      <c r="T372" s="595"/>
      <c r="AK372" s="10"/>
      <c r="AL372" s="22"/>
      <c r="AO372" s="29"/>
    </row>
    <row r="373" spans="14:41" x14ac:dyDescent="0.25">
      <c r="N373" s="22"/>
      <c r="O373" s="22"/>
      <c r="P373" s="272"/>
      <c r="Q373" s="22"/>
      <c r="T373" s="595"/>
      <c r="AK373" s="10"/>
      <c r="AL373" s="22"/>
      <c r="AO373" s="29"/>
    </row>
    <row r="374" spans="14:41" x14ac:dyDescent="0.25">
      <c r="N374" s="22"/>
      <c r="O374" s="22"/>
      <c r="P374" s="272"/>
      <c r="Q374" s="22"/>
      <c r="T374" s="595"/>
      <c r="AK374" s="10"/>
      <c r="AL374" s="22"/>
      <c r="AO374" s="29"/>
    </row>
    <row r="375" spans="14:41" x14ac:dyDescent="0.25">
      <c r="N375" s="22"/>
      <c r="O375" s="22"/>
      <c r="P375" s="272"/>
      <c r="Q375" s="22"/>
      <c r="T375" s="595"/>
      <c r="AK375" s="10"/>
      <c r="AL375" s="22"/>
      <c r="AO375" s="29"/>
    </row>
    <row r="376" spans="14:41" x14ac:dyDescent="0.25">
      <c r="N376" s="22"/>
      <c r="O376" s="22"/>
      <c r="P376" s="272"/>
      <c r="Q376" s="22"/>
      <c r="T376" s="595"/>
      <c r="AK376" s="10"/>
      <c r="AL376" s="22"/>
      <c r="AO376" s="29"/>
    </row>
    <row r="377" spans="14:41" x14ac:dyDescent="0.25">
      <c r="N377" s="22"/>
      <c r="O377" s="22"/>
      <c r="P377" s="272"/>
      <c r="Q377" s="22"/>
      <c r="T377" s="595"/>
      <c r="AK377" s="10"/>
      <c r="AL377" s="22"/>
      <c r="AO377" s="29"/>
    </row>
    <row r="378" spans="14:41" x14ac:dyDescent="0.25">
      <c r="N378" s="22"/>
      <c r="O378" s="22"/>
      <c r="P378" s="272"/>
      <c r="Q378" s="22"/>
      <c r="T378" s="595"/>
      <c r="AK378" s="10"/>
      <c r="AL378" s="22"/>
      <c r="AO378" s="29"/>
    </row>
    <row r="379" spans="14:41" x14ac:dyDescent="0.25">
      <c r="N379" s="22"/>
      <c r="O379" s="22"/>
      <c r="P379" s="272"/>
      <c r="Q379" s="22"/>
      <c r="T379" s="595"/>
      <c r="AK379" s="10"/>
      <c r="AL379" s="22"/>
      <c r="AO379" s="29"/>
    </row>
    <row r="380" spans="14:41" x14ac:dyDescent="0.25">
      <c r="N380" s="22"/>
      <c r="O380" s="22"/>
      <c r="P380" s="272"/>
      <c r="Q380" s="22"/>
      <c r="T380" s="595"/>
      <c r="AK380" s="10"/>
      <c r="AL380" s="22"/>
      <c r="AO380" s="29"/>
    </row>
    <row r="381" spans="14:41" x14ac:dyDescent="0.25">
      <c r="N381" s="22"/>
      <c r="O381" s="22"/>
      <c r="P381" s="272"/>
      <c r="Q381" s="22"/>
      <c r="T381" s="595"/>
      <c r="AJ381" s="10"/>
      <c r="AK381" s="10"/>
      <c r="AL381" s="10"/>
    </row>
    <row r="382" spans="14:41" x14ac:dyDescent="0.25">
      <c r="N382" s="22"/>
      <c r="O382" s="22"/>
      <c r="P382" s="272"/>
      <c r="Q382" s="22"/>
      <c r="T382" s="595"/>
      <c r="AJ382" s="10"/>
      <c r="AK382" s="10"/>
      <c r="AL382" s="10"/>
    </row>
    <row r="383" spans="14:41" x14ac:dyDescent="0.25">
      <c r="N383" s="22"/>
      <c r="O383" s="22"/>
      <c r="P383" s="272"/>
      <c r="Q383" s="22"/>
      <c r="T383" s="595"/>
      <c r="AJ383" s="10"/>
      <c r="AK383" s="10"/>
      <c r="AL383" s="10"/>
    </row>
    <row r="384" spans="14:41" x14ac:dyDescent="0.25">
      <c r="N384" s="22"/>
      <c r="O384" s="22"/>
      <c r="P384" s="272"/>
      <c r="Q384" s="22"/>
      <c r="T384" s="595"/>
      <c r="AJ384" s="10"/>
      <c r="AK384" s="10"/>
      <c r="AL384" s="10"/>
    </row>
    <row r="385" spans="14:38" x14ac:dyDescent="0.25">
      <c r="N385" s="22"/>
      <c r="O385" s="22"/>
      <c r="P385" s="272"/>
      <c r="Q385" s="22"/>
      <c r="T385" s="595"/>
      <c r="AJ385" s="10"/>
      <c r="AK385" s="10"/>
      <c r="AL385" s="10"/>
    </row>
    <row r="386" spans="14:38" x14ac:dyDescent="0.25">
      <c r="N386" s="22"/>
      <c r="O386" s="22"/>
      <c r="P386" s="272"/>
      <c r="Q386" s="22"/>
      <c r="T386" s="595"/>
      <c r="AJ386" s="10"/>
      <c r="AK386" s="10"/>
      <c r="AL386" s="10"/>
    </row>
    <row r="387" spans="14:38" x14ac:dyDescent="0.25">
      <c r="N387" s="22"/>
      <c r="O387" s="22"/>
      <c r="P387" s="272"/>
      <c r="Q387" s="22"/>
      <c r="T387" s="595"/>
      <c r="AJ387" s="10"/>
      <c r="AK387" s="10"/>
      <c r="AL387" s="10"/>
    </row>
    <row r="388" spans="14:38" x14ac:dyDescent="0.25">
      <c r="N388" s="22"/>
      <c r="O388" s="22"/>
      <c r="P388" s="272"/>
      <c r="Q388" s="22"/>
      <c r="T388" s="595"/>
      <c r="AJ388" s="10"/>
      <c r="AK388" s="10"/>
      <c r="AL388" s="10"/>
    </row>
    <row r="389" spans="14:38" x14ac:dyDescent="0.25">
      <c r="N389" s="22"/>
      <c r="O389" s="22"/>
      <c r="P389" s="272"/>
      <c r="Q389" s="22"/>
      <c r="T389" s="595"/>
      <c r="AJ389" s="10"/>
      <c r="AK389" s="10"/>
      <c r="AL389" s="10"/>
    </row>
    <row r="390" spans="14:38" x14ac:dyDescent="0.25">
      <c r="N390" s="22"/>
      <c r="O390" s="22"/>
      <c r="P390" s="272"/>
      <c r="Q390" s="22"/>
      <c r="T390" s="595"/>
      <c r="AJ390" s="10"/>
      <c r="AK390" s="10"/>
      <c r="AL390" s="10"/>
    </row>
    <row r="391" spans="14:38" x14ac:dyDescent="0.25">
      <c r="N391" s="22"/>
      <c r="O391" s="22"/>
      <c r="P391" s="272"/>
      <c r="Q391" s="22"/>
      <c r="T391" s="595"/>
      <c r="AJ391" s="10"/>
      <c r="AK391" s="10"/>
      <c r="AL391" s="10"/>
    </row>
    <row r="392" spans="14:38" x14ac:dyDescent="0.25">
      <c r="N392" s="22"/>
      <c r="O392" s="22"/>
      <c r="P392" s="272"/>
      <c r="Q392" s="22"/>
      <c r="T392" s="595"/>
      <c r="AJ392" s="10"/>
      <c r="AK392" s="10"/>
      <c r="AL392" s="10"/>
    </row>
    <row r="393" spans="14:38" x14ac:dyDescent="0.25">
      <c r="N393" s="22"/>
      <c r="O393" s="22"/>
      <c r="P393" s="272"/>
      <c r="Q393" s="22"/>
      <c r="T393" s="595"/>
      <c r="AJ393" s="10"/>
      <c r="AK393" s="10"/>
      <c r="AL393" s="10"/>
    </row>
    <row r="394" spans="14:38" x14ac:dyDescent="0.25">
      <c r="N394" s="22"/>
      <c r="O394" s="22"/>
      <c r="P394" s="272"/>
      <c r="Q394" s="22"/>
      <c r="T394" s="595"/>
      <c r="AJ394" s="10"/>
      <c r="AK394" s="10"/>
      <c r="AL394" s="10"/>
    </row>
    <row r="395" spans="14:38" x14ac:dyDescent="0.25">
      <c r="N395" s="22"/>
      <c r="O395" s="22"/>
      <c r="P395" s="272"/>
      <c r="Q395" s="22"/>
      <c r="T395" s="595"/>
      <c r="AJ395" s="10"/>
      <c r="AK395" s="10"/>
      <c r="AL395" s="10"/>
    </row>
    <row r="396" spans="14:38" x14ac:dyDescent="0.25">
      <c r="N396" s="22"/>
      <c r="O396" s="22"/>
      <c r="P396" s="272"/>
      <c r="Q396" s="22"/>
      <c r="T396" s="595"/>
      <c r="AJ396" s="10"/>
      <c r="AK396" s="10"/>
      <c r="AL396" s="10"/>
    </row>
    <row r="397" spans="14:38" x14ac:dyDescent="0.25">
      <c r="N397" s="22"/>
      <c r="O397" s="22"/>
      <c r="P397" s="272"/>
      <c r="Q397" s="22"/>
      <c r="T397" s="595"/>
      <c r="AJ397" s="10"/>
      <c r="AK397" s="10"/>
      <c r="AL397" s="10"/>
    </row>
    <row r="398" spans="14:38" x14ac:dyDescent="0.25">
      <c r="N398" s="22"/>
      <c r="O398" s="22"/>
      <c r="P398" s="272"/>
      <c r="Q398" s="22"/>
      <c r="T398" s="595"/>
      <c r="AJ398" s="10"/>
      <c r="AK398" s="10"/>
      <c r="AL398" s="10"/>
    </row>
    <row r="399" spans="14:38" x14ac:dyDescent="0.25">
      <c r="N399" s="22"/>
      <c r="O399" s="22"/>
      <c r="P399" s="272"/>
      <c r="Q399" s="22"/>
      <c r="T399" s="595"/>
      <c r="AJ399" s="10"/>
      <c r="AK399" s="10"/>
      <c r="AL399" s="10"/>
    </row>
    <row r="400" spans="14:38" x14ac:dyDescent="0.25">
      <c r="N400" s="22"/>
      <c r="O400" s="22"/>
      <c r="P400" s="272"/>
      <c r="Q400" s="22"/>
      <c r="T400" s="595"/>
      <c r="AJ400" s="10"/>
      <c r="AK400" s="10"/>
      <c r="AL400" s="10"/>
    </row>
    <row r="401" spans="14:38" x14ac:dyDescent="0.25">
      <c r="N401" s="22"/>
      <c r="O401" s="22"/>
      <c r="P401" s="272"/>
      <c r="Q401" s="22"/>
      <c r="T401" s="595"/>
      <c r="AJ401" s="10"/>
      <c r="AK401" s="10"/>
      <c r="AL401" s="10"/>
    </row>
    <row r="402" spans="14:38" x14ac:dyDescent="0.25">
      <c r="N402" s="22"/>
      <c r="O402" s="22"/>
      <c r="P402" s="272"/>
      <c r="Q402" s="22"/>
      <c r="T402" s="595"/>
      <c r="AJ402" s="10"/>
      <c r="AK402" s="10"/>
      <c r="AL402" s="10"/>
    </row>
    <row r="403" spans="14:38" x14ac:dyDescent="0.25">
      <c r="N403" s="22"/>
      <c r="O403" s="22"/>
      <c r="P403" s="272"/>
      <c r="Q403" s="22"/>
      <c r="T403" s="595"/>
      <c r="AJ403" s="10"/>
      <c r="AK403" s="10"/>
      <c r="AL403" s="10"/>
    </row>
    <row r="404" spans="14:38" x14ac:dyDescent="0.25">
      <c r="N404" s="22"/>
      <c r="O404" s="22"/>
      <c r="P404" s="272"/>
      <c r="Q404" s="22"/>
      <c r="T404" s="595"/>
      <c r="AJ404" s="10"/>
      <c r="AK404" s="10"/>
      <c r="AL404" s="10"/>
    </row>
    <row r="405" spans="14:38" x14ac:dyDescent="0.25">
      <c r="N405" s="22"/>
      <c r="O405" s="22"/>
      <c r="P405" s="272"/>
      <c r="Q405" s="22"/>
      <c r="T405" s="595"/>
      <c r="AJ405" s="10"/>
      <c r="AK405" s="10"/>
      <c r="AL405" s="10"/>
    </row>
    <row r="406" spans="14:38" x14ac:dyDescent="0.25">
      <c r="N406" s="22"/>
      <c r="O406" s="22"/>
      <c r="P406" s="272"/>
      <c r="Q406" s="22"/>
      <c r="T406" s="595"/>
      <c r="AJ406" s="10"/>
      <c r="AK406" s="10"/>
      <c r="AL406" s="10"/>
    </row>
    <row r="407" spans="14:38" x14ac:dyDescent="0.25">
      <c r="N407" s="22"/>
      <c r="O407" s="22"/>
      <c r="P407" s="272"/>
      <c r="Q407" s="22"/>
      <c r="T407" s="595"/>
      <c r="AJ407" s="10"/>
      <c r="AK407" s="10"/>
      <c r="AL407" s="10"/>
    </row>
    <row r="408" spans="14:38" x14ac:dyDescent="0.25">
      <c r="N408" s="22"/>
      <c r="O408" s="22"/>
      <c r="P408" s="272"/>
      <c r="Q408" s="22"/>
      <c r="T408" s="595"/>
      <c r="AJ408" s="10"/>
      <c r="AK408" s="10"/>
      <c r="AL408" s="10"/>
    </row>
    <row r="409" spans="14:38" x14ac:dyDescent="0.25">
      <c r="N409" s="22"/>
      <c r="O409" s="22"/>
      <c r="P409" s="272"/>
      <c r="Q409" s="22"/>
      <c r="T409" s="595"/>
      <c r="AJ409" s="10"/>
      <c r="AK409" s="10"/>
      <c r="AL409" s="10"/>
    </row>
    <row r="410" spans="14:38" x14ac:dyDescent="0.25">
      <c r="N410" s="22"/>
      <c r="O410" s="22"/>
      <c r="P410" s="272"/>
      <c r="Q410" s="22"/>
      <c r="T410" s="595"/>
      <c r="AJ410" s="10"/>
      <c r="AK410" s="10"/>
      <c r="AL410" s="10"/>
    </row>
    <row r="411" spans="14:38" x14ac:dyDescent="0.25">
      <c r="N411" s="22"/>
      <c r="O411" s="22"/>
      <c r="P411" s="272"/>
      <c r="Q411" s="22"/>
      <c r="T411" s="595"/>
      <c r="AJ411" s="10"/>
      <c r="AK411" s="10"/>
      <c r="AL411" s="10"/>
    </row>
    <row r="412" spans="14:38" x14ac:dyDescent="0.25">
      <c r="N412" s="22"/>
      <c r="O412" s="22"/>
      <c r="P412" s="272"/>
      <c r="Q412" s="22"/>
      <c r="T412" s="595"/>
      <c r="AJ412" s="10"/>
      <c r="AK412" s="10"/>
      <c r="AL412" s="10"/>
    </row>
    <row r="413" spans="14:38" x14ac:dyDescent="0.25">
      <c r="N413" s="22"/>
      <c r="O413" s="22"/>
      <c r="P413" s="272"/>
      <c r="Q413" s="22"/>
      <c r="T413" s="595"/>
      <c r="AJ413" s="10"/>
      <c r="AK413" s="10"/>
      <c r="AL413" s="10"/>
    </row>
    <row r="414" spans="14:38" x14ac:dyDescent="0.25">
      <c r="N414" s="22"/>
      <c r="O414" s="22"/>
      <c r="P414" s="272"/>
      <c r="Q414" s="22"/>
      <c r="T414" s="595"/>
      <c r="AJ414" s="10"/>
      <c r="AK414" s="10"/>
      <c r="AL414" s="10"/>
    </row>
    <row r="415" spans="14:38" x14ac:dyDescent="0.25">
      <c r="N415" s="22"/>
      <c r="O415" s="22"/>
      <c r="P415" s="272"/>
      <c r="Q415" s="22"/>
      <c r="T415" s="595"/>
      <c r="AJ415" s="10"/>
      <c r="AK415" s="10"/>
      <c r="AL415" s="10"/>
    </row>
    <row r="416" spans="14:38" x14ac:dyDescent="0.25">
      <c r="N416" s="22"/>
      <c r="O416" s="22"/>
      <c r="P416" s="272"/>
      <c r="Q416" s="22"/>
      <c r="T416" s="595"/>
      <c r="AJ416" s="10"/>
      <c r="AK416" s="10"/>
      <c r="AL416" s="10"/>
    </row>
    <row r="417" spans="14:38" x14ac:dyDescent="0.25">
      <c r="N417" s="22"/>
      <c r="O417" s="22"/>
      <c r="P417" s="272"/>
      <c r="Q417" s="22"/>
      <c r="T417" s="595"/>
      <c r="AJ417" s="10"/>
      <c r="AK417" s="10"/>
      <c r="AL417" s="10"/>
    </row>
    <row r="418" spans="14:38" x14ac:dyDescent="0.25">
      <c r="N418" s="22"/>
      <c r="O418" s="22"/>
      <c r="P418" s="272"/>
      <c r="Q418" s="22"/>
      <c r="T418" s="595"/>
      <c r="AJ418" s="10"/>
      <c r="AK418" s="10"/>
      <c r="AL418" s="10"/>
    </row>
    <row r="419" spans="14:38" x14ac:dyDescent="0.25">
      <c r="N419" s="22"/>
      <c r="O419" s="22"/>
      <c r="P419" s="272"/>
      <c r="Q419" s="22"/>
      <c r="T419" s="595"/>
      <c r="AJ419" s="10"/>
      <c r="AK419" s="10"/>
      <c r="AL419" s="10"/>
    </row>
    <row r="420" spans="14:38" x14ac:dyDescent="0.25">
      <c r="N420" s="22"/>
      <c r="O420" s="22"/>
      <c r="P420" s="272"/>
      <c r="Q420" s="22"/>
      <c r="T420" s="595"/>
      <c r="AJ420" s="10"/>
      <c r="AK420" s="10"/>
      <c r="AL420" s="10"/>
    </row>
    <row r="421" spans="14:38" x14ac:dyDescent="0.25">
      <c r="N421" s="22"/>
      <c r="O421" s="22"/>
      <c r="P421" s="272"/>
      <c r="Q421" s="22"/>
      <c r="T421" s="595"/>
      <c r="AJ421" s="10"/>
      <c r="AK421" s="10"/>
      <c r="AL421" s="10"/>
    </row>
    <row r="422" spans="14:38" x14ac:dyDescent="0.25">
      <c r="N422" s="22"/>
      <c r="O422" s="22"/>
      <c r="P422" s="272"/>
      <c r="Q422" s="22"/>
      <c r="T422" s="595"/>
      <c r="AJ422" s="10"/>
      <c r="AK422" s="10"/>
      <c r="AL422" s="10"/>
    </row>
    <row r="423" spans="14:38" x14ac:dyDescent="0.25">
      <c r="N423" s="22"/>
      <c r="O423" s="22"/>
      <c r="P423" s="272"/>
      <c r="Q423" s="22"/>
      <c r="T423" s="595"/>
      <c r="AJ423" s="10"/>
      <c r="AK423" s="10"/>
      <c r="AL423" s="10"/>
    </row>
    <row r="424" spans="14:38" x14ac:dyDescent="0.25">
      <c r="N424" s="22"/>
      <c r="O424" s="22"/>
      <c r="P424" s="272"/>
      <c r="Q424" s="22"/>
      <c r="T424" s="595"/>
      <c r="AJ424" s="10"/>
      <c r="AK424" s="10"/>
      <c r="AL424" s="10"/>
    </row>
    <row r="425" spans="14:38" x14ac:dyDescent="0.25">
      <c r="N425" s="22"/>
      <c r="O425" s="22"/>
      <c r="P425" s="272"/>
      <c r="Q425" s="22"/>
      <c r="T425" s="595"/>
      <c r="AJ425" s="10"/>
      <c r="AK425" s="10"/>
      <c r="AL425" s="10"/>
    </row>
    <row r="426" spans="14:38" x14ac:dyDescent="0.25">
      <c r="N426" s="22"/>
      <c r="O426" s="22"/>
      <c r="P426" s="272"/>
      <c r="Q426" s="22"/>
      <c r="T426" s="595"/>
      <c r="AJ426" s="10"/>
      <c r="AK426" s="10"/>
      <c r="AL426" s="10"/>
    </row>
    <row r="427" spans="14:38" x14ac:dyDescent="0.25">
      <c r="N427" s="22"/>
      <c r="O427" s="22"/>
      <c r="P427" s="272"/>
      <c r="Q427" s="22"/>
      <c r="T427" s="595"/>
      <c r="AJ427" s="10"/>
      <c r="AK427" s="10"/>
      <c r="AL427" s="10"/>
    </row>
    <row r="428" spans="14:38" x14ac:dyDescent="0.25">
      <c r="N428" s="22"/>
      <c r="O428" s="22"/>
      <c r="P428" s="272"/>
      <c r="Q428" s="22"/>
      <c r="T428" s="595"/>
      <c r="AJ428" s="10"/>
      <c r="AK428" s="10"/>
      <c r="AL428" s="10"/>
    </row>
    <row r="429" spans="14:38" x14ac:dyDescent="0.25">
      <c r="N429" s="22"/>
      <c r="O429" s="22"/>
      <c r="P429" s="272"/>
      <c r="Q429" s="22"/>
      <c r="T429" s="595"/>
      <c r="AJ429" s="10"/>
      <c r="AK429" s="10"/>
      <c r="AL429" s="10"/>
    </row>
    <row r="430" spans="14:38" x14ac:dyDescent="0.25">
      <c r="N430" s="22"/>
      <c r="O430" s="22"/>
      <c r="P430" s="272"/>
      <c r="Q430" s="22"/>
      <c r="T430" s="595"/>
      <c r="AJ430" s="10"/>
      <c r="AK430" s="10"/>
      <c r="AL430" s="10"/>
    </row>
    <row r="431" spans="14:38" x14ac:dyDescent="0.25">
      <c r="N431" s="22"/>
      <c r="O431" s="22"/>
      <c r="P431" s="272"/>
      <c r="Q431" s="22"/>
      <c r="T431" s="595"/>
      <c r="AJ431" s="10"/>
      <c r="AK431" s="10"/>
      <c r="AL431" s="10"/>
    </row>
    <row r="432" spans="14:38" x14ac:dyDescent="0.25">
      <c r="N432" s="22"/>
      <c r="O432" s="22"/>
      <c r="P432" s="272"/>
      <c r="Q432" s="22"/>
      <c r="T432" s="595"/>
      <c r="AJ432" s="10"/>
      <c r="AK432" s="10"/>
      <c r="AL432" s="10"/>
    </row>
    <row r="433" spans="14:38" x14ac:dyDescent="0.25">
      <c r="N433" s="22"/>
      <c r="O433" s="22"/>
      <c r="P433" s="272"/>
      <c r="Q433" s="22"/>
      <c r="T433" s="595"/>
      <c r="AJ433" s="10"/>
      <c r="AK433" s="10"/>
      <c r="AL433" s="10"/>
    </row>
    <row r="434" spans="14:38" x14ac:dyDescent="0.25">
      <c r="N434" s="22"/>
      <c r="O434" s="22"/>
      <c r="P434" s="272"/>
      <c r="Q434" s="22"/>
      <c r="T434" s="595"/>
      <c r="AJ434" s="10"/>
    </row>
    <row r="435" spans="14:38" x14ac:dyDescent="0.25">
      <c r="N435" s="22"/>
      <c r="O435" s="22"/>
      <c r="P435" s="272"/>
      <c r="Q435" s="22"/>
      <c r="T435" s="595"/>
      <c r="AJ435" s="10"/>
    </row>
    <row r="436" spans="14:38" x14ac:dyDescent="0.25">
      <c r="N436" s="22"/>
      <c r="O436" s="22"/>
      <c r="P436" s="272"/>
      <c r="Q436" s="22"/>
      <c r="T436" s="595"/>
      <c r="AJ436" s="10"/>
    </row>
    <row r="437" spans="14:38" x14ac:dyDescent="0.25">
      <c r="N437" s="22"/>
      <c r="O437" s="22"/>
      <c r="P437" s="272"/>
      <c r="Q437" s="22"/>
      <c r="T437" s="595"/>
      <c r="AJ437" s="10"/>
    </row>
    <row r="438" spans="14:38" x14ac:dyDescent="0.25">
      <c r="N438" s="22"/>
      <c r="O438" s="22"/>
      <c r="P438" s="272"/>
      <c r="Q438" s="22"/>
      <c r="T438" s="595"/>
      <c r="AJ438" s="10"/>
    </row>
    <row r="439" spans="14:38" x14ac:dyDescent="0.25">
      <c r="N439" s="22"/>
      <c r="O439" s="22"/>
      <c r="P439" s="272"/>
      <c r="Q439" s="22"/>
      <c r="T439" s="595"/>
      <c r="AJ439" s="10"/>
    </row>
    <row r="440" spans="14:38" x14ac:dyDescent="0.25">
      <c r="N440" s="22"/>
      <c r="O440" s="22"/>
      <c r="P440" s="272"/>
      <c r="Q440" s="22"/>
      <c r="T440" s="595"/>
      <c r="AJ440" s="10"/>
    </row>
    <row r="441" spans="14:38" x14ac:dyDescent="0.25">
      <c r="N441" s="22"/>
      <c r="O441" s="22"/>
      <c r="P441" s="272"/>
      <c r="Q441" s="22"/>
      <c r="T441" s="595"/>
      <c r="AJ441" s="10"/>
    </row>
    <row r="442" spans="14:38" x14ac:dyDescent="0.25">
      <c r="N442" s="22"/>
      <c r="O442" s="22"/>
      <c r="P442" s="272"/>
      <c r="Q442" s="22"/>
      <c r="T442" s="595"/>
      <c r="AJ442" s="10"/>
    </row>
    <row r="443" spans="14:38" x14ac:dyDescent="0.25">
      <c r="N443" s="22"/>
      <c r="O443" s="22"/>
      <c r="P443" s="272"/>
      <c r="Q443" s="22"/>
      <c r="T443" s="595"/>
      <c r="AJ443" s="10"/>
    </row>
    <row r="444" spans="14:38" x14ac:dyDescent="0.25">
      <c r="N444" s="22"/>
      <c r="O444" s="22"/>
      <c r="P444" s="272"/>
      <c r="Q444" s="22"/>
      <c r="T444" s="595"/>
      <c r="AJ444" s="10"/>
    </row>
    <row r="445" spans="14:38" x14ac:dyDescent="0.25">
      <c r="N445" s="22"/>
      <c r="O445" s="22"/>
      <c r="P445" s="272"/>
      <c r="Q445" s="22"/>
      <c r="T445" s="595"/>
      <c r="AJ445" s="10"/>
    </row>
    <row r="446" spans="14:38" x14ac:dyDescent="0.25">
      <c r="N446" s="22"/>
      <c r="O446" s="22"/>
      <c r="P446" s="272"/>
      <c r="Q446" s="22"/>
      <c r="T446" s="595"/>
      <c r="AJ446" s="10"/>
    </row>
    <row r="447" spans="14:38" x14ac:dyDescent="0.25">
      <c r="N447" s="22"/>
      <c r="O447" s="22"/>
      <c r="P447" s="272"/>
      <c r="Q447" s="22"/>
      <c r="T447" s="595"/>
      <c r="AJ447" s="10"/>
    </row>
    <row r="448" spans="14:38" x14ac:dyDescent="0.25">
      <c r="N448" s="22"/>
      <c r="O448" s="22"/>
      <c r="P448" s="272"/>
      <c r="Q448" s="22"/>
      <c r="T448" s="595"/>
      <c r="AJ448" s="10"/>
    </row>
    <row r="449" spans="14:36" x14ac:dyDescent="0.25">
      <c r="N449" s="22"/>
      <c r="O449" s="22"/>
      <c r="P449" s="272"/>
      <c r="Q449" s="22"/>
      <c r="T449" s="595"/>
      <c r="AJ449" s="10"/>
    </row>
    <row r="450" spans="14:36" x14ac:dyDescent="0.25">
      <c r="N450" s="22"/>
      <c r="O450" s="22"/>
      <c r="P450" s="272"/>
      <c r="Q450" s="22"/>
      <c r="T450" s="595"/>
      <c r="AJ450" s="10"/>
    </row>
    <row r="451" spans="14:36" x14ac:dyDescent="0.25">
      <c r="N451" s="22"/>
      <c r="O451" s="22"/>
      <c r="P451" s="272"/>
      <c r="Q451" s="22"/>
      <c r="T451" s="595"/>
      <c r="AJ451" s="10"/>
    </row>
    <row r="452" spans="14:36" x14ac:dyDescent="0.25">
      <c r="N452" s="22"/>
      <c r="O452" s="22"/>
      <c r="P452" s="272"/>
      <c r="Q452" s="22"/>
      <c r="T452" s="595"/>
      <c r="AJ452" s="10"/>
    </row>
    <row r="453" spans="14:36" x14ac:dyDescent="0.25">
      <c r="N453" s="22"/>
      <c r="O453" s="22"/>
      <c r="P453" s="272"/>
      <c r="Q453" s="22"/>
      <c r="T453" s="595"/>
      <c r="AJ453" s="10"/>
    </row>
    <row r="454" spans="14:36" x14ac:dyDescent="0.25">
      <c r="N454" s="22"/>
      <c r="O454" s="22"/>
      <c r="P454" s="272"/>
      <c r="Q454" s="22"/>
      <c r="T454" s="595"/>
      <c r="AJ454" s="10"/>
    </row>
    <row r="455" spans="14:36" x14ac:dyDescent="0.25">
      <c r="N455" s="22"/>
      <c r="O455" s="22"/>
      <c r="P455" s="272"/>
      <c r="Q455" s="22"/>
      <c r="T455" s="595"/>
      <c r="AJ455" s="10"/>
    </row>
    <row r="456" spans="14:36" x14ac:dyDescent="0.25">
      <c r="N456" s="22"/>
      <c r="O456" s="22"/>
      <c r="P456" s="272"/>
      <c r="Q456" s="22"/>
      <c r="T456" s="595"/>
      <c r="AJ456" s="10"/>
    </row>
    <row r="457" spans="14:36" x14ac:dyDescent="0.25">
      <c r="N457" s="22"/>
      <c r="O457" s="22"/>
      <c r="P457" s="272"/>
      <c r="Q457" s="22"/>
      <c r="T457" s="595"/>
      <c r="AJ457" s="10"/>
    </row>
    <row r="458" spans="14:36" x14ac:dyDescent="0.25">
      <c r="N458" s="22"/>
      <c r="O458" s="22"/>
      <c r="P458" s="272"/>
      <c r="Q458" s="22"/>
      <c r="T458" s="595"/>
      <c r="AJ458" s="10"/>
    </row>
    <row r="459" spans="14:36" x14ac:dyDescent="0.25">
      <c r="N459" s="22"/>
      <c r="O459" s="22"/>
      <c r="P459" s="272"/>
      <c r="Q459" s="22"/>
      <c r="T459" s="595"/>
      <c r="AJ459" s="10"/>
    </row>
    <row r="460" spans="14:36" x14ac:dyDescent="0.25">
      <c r="N460" s="22"/>
      <c r="O460" s="22"/>
      <c r="P460" s="272"/>
      <c r="Q460" s="22"/>
      <c r="T460" s="595"/>
      <c r="AJ460" s="10"/>
    </row>
    <row r="461" spans="14:36" x14ac:dyDescent="0.25">
      <c r="N461" s="22"/>
      <c r="O461" s="22"/>
      <c r="P461" s="272"/>
      <c r="Q461" s="22"/>
      <c r="T461" s="595"/>
      <c r="AJ461" s="10"/>
    </row>
    <row r="462" spans="14:36" x14ac:dyDescent="0.25">
      <c r="N462" s="22"/>
      <c r="O462" s="22"/>
      <c r="P462" s="272"/>
      <c r="Q462" s="22"/>
      <c r="T462" s="595"/>
      <c r="AJ462" s="10"/>
    </row>
    <row r="463" spans="14:36" x14ac:dyDescent="0.25">
      <c r="N463" s="22"/>
      <c r="O463" s="22"/>
      <c r="P463" s="272"/>
      <c r="Q463" s="22"/>
      <c r="T463" s="595"/>
      <c r="AJ463" s="10"/>
    </row>
    <row r="464" spans="14:36" x14ac:dyDescent="0.25">
      <c r="N464" s="22"/>
      <c r="O464" s="22"/>
      <c r="P464" s="272"/>
      <c r="Q464" s="22"/>
      <c r="T464" s="595"/>
      <c r="AJ464" s="10"/>
    </row>
    <row r="465" spans="14:36" x14ac:dyDescent="0.25">
      <c r="N465" s="22"/>
      <c r="O465" s="22"/>
      <c r="P465" s="272"/>
      <c r="Q465" s="22"/>
      <c r="T465" s="595"/>
      <c r="AJ465" s="10"/>
    </row>
    <row r="466" spans="14:36" x14ac:dyDescent="0.25">
      <c r="N466" s="22"/>
      <c r="O466" s="22"/>
      <c r="P466" s="272"/>
      <c r="Q466" s="22"/>
      <c r="T466" s="595"/>
      <c r="AJ466" s="10"/>
    </row>
    <row r="467" spans="14:36" x14ac:dyDescent="0.25">
      <c r="N467" s="22"/>
      <c r="O467" s="22"/>
      <c r="P467" s="272"/>
      <c r="Q467" s="22"/>
      <c r="T467" s="595"/>
      <c r="AJ467" s="10"/>
    </row>
    <row r="468" spans="14:36" x14ac:dyDescent="0.25">
      <c r="N468" s="22"/>
      <c r="O468" s="22"/>
      <c r="P468" s="272"/>
      <c r="Q468" s="22"/>
      <c r="T468" s="595"/>
      <c r="AJ468" s="10"/>
    </row>
    <row r="469" spans="14:36" x14ac:dyDescent="0.25">
      <c r="N469" s="22"/>
      <c r="O469" s="22"/>
      <c r="P469" s="272"/>
      <c r="Q469" s="22"/>
      <c r="T469" s="595"/>
      <c r="AJ469" s="10"/>
    </row>
    <row r="470" spans="14:36" x14ac:dyDescent="0.25">
      <c r="N470" s="22"/>
      <c r="O470" s="22"/>
      <c r="P470" s="272"/>
      <c r="Q470" s="22"/>
      <c r="T470" s="595"/>
      <c r="AJ470" s="10"/>
    </row>
    <row r="471" spans="14:36" x14ac:dyDescent="0.25">
      <c r="N471" s="22"/>
      <c r="O471" s="22"/>
      <c r="P471" s="272"/>
      <c r="Q471" s="22"/>
      <c r="T471" s="595"/>
      <c r="AJ471" s="10"/>
    </row>
    <row r="472" spans="14:36" x14ac:dyDescent="0.25">
      <c r="N472" s="22"/>
      <c r="O472" s="22"/>
      <c r="P472" s="272"/>
      <c r="Q472" s="22"/>
      <c r="T472" s="595"/>
      <c r="AJ472" s="10"/>
    </row>
    <row r="473" spans="14:36" x14ac:dyDescent="0.25">
      <c r="N473" s="22"/>
      <c r="O473" s="22"/>
      <c r="P473" s="272"/>
      <c r="Q473" s="22"/>
      <c r="T473" s="595"/>
      <c r="AJ473" s="10"/>
    </row>
    <row r="474" spans="14:36" x14ac:dyDescent="0.25">
      <c r="N474" s="22"/>
      <c r="O474" s="22"/>
      <c r="P474" s="272"/>
      <c r="Q474" s="22"/>
      <c r="T474" s="595"/>
      <c r="AJ474" s="10"/>
    </row>
    <row r="475" spans="14:36" x14ac:dyDescent="0.25">
      <c r="N475" s="22"/>
      <c r="O475" s="22"/>
      <c r="P475" s="272"/>
      <c r="Q475" s="22"/>
      <c r="T475" s="595"/>
      <c r="AJ475" s="10"/>
    </row>
    <row r="476" spans="14:36" x14ac:dyDescent="0.25">
      <c r="N476" s="22"/>
      <c r="O476" s="22"/>
      <c r="P476" s="272"/>
      <c r="Q476" s="22"/>
      <c r="T476" s="595"/>
      <c r="AJ476" s="10"/>
    </row>
    <row r="477" spans="14:36" x14ac:dyDescent="0.25">
      <c r="N477" s="22"/>
      <c r="O477" s="22"/>
      <c r="P477" s="272"/>
      <c r="Q477" s="22"/>
      <c r="T477" s="595"/>
      <c r="AJ477" s="10"/>
    </row>
    <row r="478" spans="14:36" x14ac:dyDescent="0.25">
      <c r="N478" s="22"/>
      <c r="O478" s="22"/>
      <c r="P478" s="272"/>
      <c r="Q478" s="22"/>
      <c r="T478" s="595"/>
      <c r="AJ478" s="10"/>
    </row>
    <row r="479" spans="14:36" x14ac:dyDescent="0.25">
      <c r="N479" s="22"/>
      <c r="O479" s="22"/>
      <c r="P479" s="272"/>
      <c r="Q479" s="22"/>
      <c r="T479" s="595"/>
      <c r="AJ479" s="10"/>
    </row>
    <row r="480" spans="14:36" x14ac:dyDescent="0.25">
      <c r="N480" s="22"/>
      <c r="O480" s="22"/>
      <c r="P480" s="272"/>
      <c r="Q480" s="22"/>
      <c r="T480" s="595"/>
      <c r="AJ480" s="10"/>
    </row>
    <row r="481" spans="14:36" x14ac:dyDescent="0.25">
      <c r="N481" s="22"/>
      <c r="O481" s="22"/>
      <c r="P481" s="272"/>
      <c r="Q481" s="22"/>
      <c r="T481" s="595"/>
      <c r="AJ481" s="10"/>
    </row>
    <row r="482" spans="14:36" x14ac:dyDescent="0.25">
      <c r="N482" s="22"/>
      <c r="O482" s="22"/>
      <c r="P482" s="272"/>
      <c r="Q482" s="22"/>
      <c r="T482" s="595"/>
      <c r="AJ482" s="10"/>
    </row>
    <row r="483" spans="14:36" x14ac:dyDescent="0.25">
      <c r="N483" s="22"/>
      <c r="O483" s="22"/>
      <c r="P483" s="272"/>
      <c r="Q483" s="22"/>
      <c r="T483" s="595"/>
      <c r="AJ483" s="10"/>
    </row>
    <row r="484" spans="14:36" x14ac:dyDescent="0.25">
      <c r="N484" s="22"/>
      <c r="O484" s="22"/>
      <c r="P484" s="272"/>
      <c r="Q484" s="22"/>
      <c r="T484" s="595"/>
      <c r="AJ484" s="10"/>
    </row>
    <row r="485" spans="14:36" x14ac:dyDescent="0.25">
      <c r="N485" s="22"/>
      <c r="O485" s="22"/>
      <c r="P485" s="272"/>
      <c r="Q485" s="22"/>
      <c r="T485" s="595"/>
      <c r="AJ485" s="10"/>
    </row>
    <row r="486" spans="14:36" x14ac:dyDescent="0.25">
      <c r="N486" s="22"/>
      <c r="O486" s="22"/>
      <c r="P486" s="272"/>
      <c r="Q486" s="22"/>
      <c r="T486" s="595"/>
      <c r="AJ486" s="10"/>
    </row>
    <row r="487" spans="14:36" x14ac:dyDescent="0.25">
      <c r="N487" s="22"/>
      <c r="O487" s="22"/>
      <c r="P487" s="272"/>
      <c r="Q487" s="22"/>
      <c r="T487" s="595"/>
      <c r="AJ487" s="10"/>
    </row>
    <row r="488" spans="14:36" x14ac:dyDescent="0.25">
      <c r="N488" s="22"/>
      <c r="O488" s="22"/>
      <c r="P488" s="272"/>
      <c r="Q488" s="22"/>
      <c r="T488" s="595"/>
      <c r="AJ488" s="10"/>
    </row>
    <row r="489" spans="14:36" x14ac:dyDescent="0.25">
      <c r="N489" s="22"/>
      <c r="O489" s="22"/>
      <c r="P489" s="272"/>
      <c r="Q489" s="22"/>
      <c r="T489" s="595"/>
      <c r="AJ489" s="10"/>
    </row>
    <row r="490" spans="14:36" x14ac:dyDescent="0.25">
      <c r="N490" s="22"/>
      <c r="O490" s="22"/>
      <c r="P490" s="272"/>
      <c r="Q490" s="22"/>
      <c r="T490" s="595"/>
      <c r="AJ490" s="10"/>
    </row>
    <row r="491" spans="14:36" x14ac:dyDescent="0.25">
      <c r="N491" s="22"/>
      <c r="O491" s="22"/>
      <c r="P491" s="272"/>
      <c r="Q491" s="22"/>
      <c r="T491" s="595"/>
      <c r="AJ491" s="10"/>
    </row>
    <row r="492" spans="14:36" x14ac:dyDescent="0.25">
      <c r="N492" s="22"/>
      <c r="O492" s="22"/>
      <c r="P492" s="272"/>
      <c r="Q492" s="22"/>
      <c r="T492" s="595"/>
      <c r="AJ492" s="10"/>
    </row>
    <row r="493" spans="14:36" x14ac:dyDescent="0.25">
      <c r="N493" s="22"/>
      <c r="O493" s="22"/>
      <c r="P493" s="272"/>
      <c r="Q493" s="22"/>
      <c r="T493" s="595"/>
      <c r="AJ493" s="10"/>
    </row>
    <row r="494" spans="14:36" x14ac:dyDescent="0.25">
      <c r="N494" s="22"/>
      <c r="O494" s="22"/>
      <c r="P494" s="272"/>
      <c r="Q494" s="22"/>
      <c r="T494" s="595"/>
      <c r="AJ494" s="10"/>
    </row>
    <row r="495" spans="14:36" x14ac:dyDescent="0.25">
      <c r="N495" s="22"/>
      <c r="O495" s="22"/>
      <c r="P495" s="272"/>
      <c r="Q495" s="22"/>
      <c r="T495" s="595"/>
      <c r="AJ495" s="10"/>
    </row>
    <row r="496" spans="14:36" x14ac:dyDescent="0.25">
      <c r="N496" s="22"/>
      <c r="O496" s="22"/>
      <c r="P496" s="272"/>
      <c r="Q496" s="22"/>
      <c r="T496" s="595"/>
      <c r="AJ496" s="10"/>
    </row>
    <row r="497" spans="14:36" x14ac:dyDescent="0.25">
      <c r="N497" s="22"/>
      <c r="O497" s="22"/>
      <c r="P497" s="272"/>
      <c r="Q497" s="22"/>
      <c r="T497" s="595"/>
      <c r="AJ497" s="10"/>
    </row>
    <row r="498" spans="14:36" x14ac:dyDescent="0.25">
      <c r="N498" s="22"/>
      <c r="O498" s="22"/>
      <c r="P498" s="272"/>
      <c r="Q498" s="22"/>
      <c r="T498" s="595"/>
      <c r="AJ498" s="10"/>
    </row>
    <row r="499" spans="14:36" x14ac:dyDescent="0.25">
      <c r="N499" s="22"/>
      <c r="O499" s="22"/>
      <c r="P499" s="272"/>
      <c r="Q499" s="22"/>
      <c r="T499" s="595"/>
      <c r="AJ499" s="10"/>
    </row>
    <row r="500" spans="14:36" x14ac:dyDescent="0.25">
      <c r="N500" s="22"/>
      <c r="O500" s="22"/>
      <c r="P500" s="272"/>
      <c r="Q500" s="22"/>
      <c r="T500" s="595"/>
      <c r="AJ500" s="10"/>
    </row>
    <row r="501" spans="14:36" x14ac:dyDescent="0.25">
      <c r="N501" s="22"/>
      <c r="O501" s="22"/>
      <c r="P501" s="272"/>
      <c r="Q501" s="22"/>
      <c r="T501" s="595"/>
      <c r="AJ501" s="10"/>
    </row>
    <row r="502" spans="14:36" x14ac:dyDescent="0.25">
      <c r="N502" s="22"/>
      <c r="O502" s="22"/>
      <c r="P502" s="272"/>
      <c r="Q502" s="22"/>
      <c r="T502" s="595"/>
      <c r="AJ502" s="10"/>
    </row>
    <row r="503" spans="14:36" x14ac:dyDescent="0.25">
      <c r="N503" s="22"/>
      <c r="O503" s="22"/>
      <c r="P503" s="272"/>
      <c r="Q503" s="22"/>
      <c r="T503" s="595"/>
      <c r="AJ503" s="10"/>
    </row>
    <row r="504" spans="14:36" x14ac:dyDescent="0.25">
      <c r="N504" s="22"/>
      <c r="O504" s="22"/>
      <c r="P504" s="272"/>
      <c r="Q504" s="22"/>
      <c r="T504" s="595"/>
      <c r="AJ504" s="10"/>
    </row>
    <row r="505" spans="14:36" x14ac:dyDescent="0.25">
      <c r="N505" s="22"/>
      <c r="O505" s="22"/>
      <c r="P505" s="272"/>
      <c r="Q505" s="22"/>
      <c r="T505" s="595"/>
      <c r="AJ505" s="10"/>
    </row>
    <row r="506" spans="14:36" x14ac:dyDescent="0.25">
      <c r="N506" s="22"/>
      <c r="O506" s="22"/>
      <c r="P506" s="272"/>
      <c r="Q506" s="22"/>
      <c r="T506" s="595"/>
      <c r="AJ506" s="10"/>
    </row>
    <row r="507" spans="14:36" x14ac:dyDescent="0.25">
      <c r="N507" s="22"/>
      <c r="O507" s="22"/>
      <c r="P507" s="272"/>
      <c r="Q507" s="22"/>
      <c r="T507" s="595"/>
      <c r="AJ507" s="10"/>
    </row>
    <row r="508" spans="14:36" x14ac:dyDescent="0.25">
      <c r="N508" s="22"/>
      <c r="O508" s="22"/>
      <c r="P508" s="272"/>
      <c r="Q508" s="22"/>
      <c r="T508" s="595"/>
      <c r="AJ508" s="10"/>
    </row>
    <row r="509" spans="14:36" x14ac:dyDescent="0.25">
      <c r="N509" s="22"/>
      <c r="O509" s="22"/>
      <c r="P509" s="272"/>
      <c r="Q509" s="22"/>
      <c r="T509" s="595"/>
      <c r="AJ509" s="10"/>
    </row>
    <row r="510" spans="14:36" x14ac:dyDescent="0.25">
      <c r="N510" s="22"/>
      <c r="O510" s="22"/>
      <c r="P510" s="272"/>
      <c r="Q510" s="22"/>
      <c r="T510" s="595"/>
      <c r="AJ510" s="10"/>
    </row>
    <row r="511" spans="14:36" x14ac:dyDescent="0.25">
      <c r="N511" s="22"/>
      <c r="O511" s="22"/>
      <c r="P511" s="272"/>
      <c r="Q511" s="22"/>
      <c r="T511" s="595"/>
      <c r="AJ511" s="10"/>
    </row>
    <row r="512" spans="14:36" x14ac:dyDescent="0.25">
      <c r="N512" s="22"/>
      <c r="O512" s="22"/>
      <c r="P512" s="272"/>
      <c r="Q512" s="22"/>
      <c r="T512" s="595"/>
      <c r="AJ512" s="10"/>
    </row>
    <row r="513" spans="14:36" x14ac:dyDescent="0.25">
      <c r="N513" s="22"/>
      <c r="O513" s="22"/>
      <c r="P513" s="272"/>
      <c r="Q513" s="22"/>
      <c r="T513" s="595"/>
      <c r="AJ513" s="10"/>
    </row>
    <row r="514" spans="14:36" x14ac:dyDescent="0.25">
      <c r="N514" s="22"/>
      <c r="O514" s="22"/>
      <c r="P514" s="272"/>
      <c r="Q514" s="22"/>
      <c r="T514" s="595"/>
      <c r="AJ514" s="10"/>
    </row>
    <row r="515" spans="14:36" x14ac:dyDescent="0.25">
      <c r="N515" s="22"/>
      <c r="O515" s="22"/>
      <c r="P515" s="272"/>
      <c r="Q515" s="22"/>
      <c r="T515" s="595"/>
      <c r="AJ515" s="10"/>
    </row>
    <row r="516" spans="14:36" x14ac:dyDescent="0.25">
      <c r="N516" s="22"/>
      <c r="O516" s="22"/>
      <c r="P516" s="272"/>
      <c r="Q516" s="22"/>
      <c r="T516" s="595"/>
      <c r="AJ516" s="10"/>
    </row>
    <row r="517" spans="14:36" x14ac:dyDescent="0.25">
      <c r="N517" s="22"/>
      <c r="O517" s="22"/>
      <c r="P517" s="272"/>
      <c r="Q517" s="22"/>
      <c r="T517" s="595"/>
      <c r="AJ517" s="10"/>
    </row>
    <row r="518" spans="14:36" x14ac:dyDescent="0.25">
      <c r="N518" s="22"/>
      <c r="O518" s="22"/>
      <c r="P518" s="272"/>
      <c r="Q518" s="22"/>
      <c r="T518" s="595"/>
      <c r="AJ518" s="10"/>
    </row>
    <row r="519" spans="14:36" x14ac:dyDescent="0.25">
      <c r="N519" s="22"/>
      <c r="O519" s="22"/>
      <c r="P519" s="272"/>
      <c r="Q519" s="22"/>
      <c r="T519" s="595"/>
      <c r="AJ519" s="10"/>
    </row>
    <row r="520" spans="14:36" x14ac:dyDescent="0.25">
      <c r="N520" s="22"/>
      <c r="O520" s="22"/>
      <c r="P520" s="272"/>
      <c r="Q520" s="22"/>
      <c r="T520" s="595"/>
      <c r="AJ520" s="10"/>
    </row>
    <row r="521" spans="14:36" x14ac:dyDescent="0.25">
      <c r="N521" s="22"/>
      <c r="O521" s="22"/>
      <c r="P521" s="272"/>
      <c r="Q521" s="22"/>
      <c r="T521" s="595"/>
      <c r="AJ521" s="10"/>
    </row>
    <row r="522" spans="14:36" x14ac:dyDescent="0.25">
      <c r="N522" s="22"/>
      <c r="O522" s="22"/>
      <c r="P522" s="272"/>
      <c r="Q522" s="22"/>
      <c r="T522" s="595"/>
      <c r="AJ522" s="10"/>
    </row>
    <row r="523" spans="14:36" x14ac:dyDescent="0.25">
      <c r="N523" s="22"/>
      <c r="O523" s="22"/>
      <c r="P523" s="272"/>
      <c r="Q523" s="22"/>
      <c r="T523" s="595"/>
      <c r="AJ523" s="10"/>
    </row>
    <row r="524" spans="14:36" x14ac:dyDescent="0.25">
      <c r="N524" s="22"/>
      <c r="O524" s="22"/>
      <c r="P524" s="272"/>
      <c r="Q524" s="22"/>
      <c r="T524" s="595"/>
      <c r="AJ524" s="10"/>
    </row>
    <row r="525" spans="14:36" x14ac:dyDescent="0.25">
      <c r="N525" s="22"/>
      <c r="O525" s="22"/>
      <c r="P525" s="272"/>
      <c r="Q525" s="22"/>
      <c r="T525" s="595"/>
      <c r="AJ525" s="10"/>
    </row>
    <row r="526" spans="14:36" x14ac:dyDescent="0.25">
      <c r="N526" s="22"/>
      <c r="O526" s="22"/>
      <c r="P526" s="272"/>
      <c r="Q526" s="22"/>
      <c r="T526" s="595"/>
      <c r="AJ526" s="10"/>
    </row>
    <row r="527" spans="14:36" x14ac:dyDescent="0.25">
      <c r="N527" s="22"/>
      <c r="O527" s="22"/>
      <c r="P527" s="272"/>
      <c r="Q527" s="22"/>
      <c r="T527" s="595"/>
      <c r="AJ527" s="10"/>
    </row>
    <row r="528" spans="14:36" x14ac:dyDescent="0.25">
      <c r="N528" s="22"/>
      <c r="O528" s="22"/>
      <c r="P528" s="272"/>
      <c r="Q528" s="22"/>
      <c r="T528" s="595"/>
      <c r="AJ528" s="10"/>
    </row>
    <row r="529" spans="14:36" x14ac:dyDescent="0.25">
      <c r="N529" s="22"/>
      <c r="O529" s="22"/>
      <c r="P529" s="272"/>
      <c r="Q529" s="22"/>
      <c r="T529" s="595"/>
      <c r="AJ529" s="10"/>
    </row>
    <row r="530" spans="14:36" x14ac:dyDescent="0.25">
      <c r="N530" s="22"/>
      <c r="O530" s="22"/>
      <c r="P530" s="272"/>
      <c r="Q530" s="22"/>
      <c r="T530" s="595"/>
      <c r="AJ530" s="10"/>
    </row>
    <row r="531" spans="14:36" x14ac:dyDescent="0.25">
      <c r="N531" s="22"/>
      <c r="O531" s="22"/>
      <c r="P531" s="272"/>
      <c r="Q531" s="22"/>
      <c r="T531" s="595"/>
      <c r="AJ531" s="10"/>
    </row>
    <row r="532" spans="14:36" x14ac:dyDescent="0.25">
      <c r="N532" s="22"/>
      <c r="O532" s="22"/>
      <c r="P532" s="272"/>
      <c r="Q532" s="22"/>
      <c r="T532" s="595"/>
      <c r="AJ532" s="10"/>
    </row>
    <row r="533" spans="14:36" x14ac:dyDescent="0.25">
      <c r="N533" s="22"/>
      <c r="O533" s="22"/>
      <c r="P533" s="272"/>
      <c r="Q533" s="22"/>
      <c r="T533" s="595"/>
      <c r="AJ533" s="10"/>
    </row>
    <row r="534" spans="14:36" x14ac:dyDescent="0.25">
      <c r="N534" s="22"/>
      <c r="O534" s="22"/>
      <c r="P534" s="272"/>
      <c r="Q534" s="22"/>
      <c r="T534" s="595"/>
      <c r="AJ534" s="10"/>
    </row>
    <row r="535" spans="14:36" x14ac:dyDescent="0.25">
      <c r="N535" s="22"/>
      <c r="O535" s="22"/>
      <c r="P535" s="272"/>
      <c r="Q535" s="22"/>
      <c r="T535" s="595"/>
      <c r="AJ535" s="10"/>
    </row>
    <row r="536" spans="14:36" x14ac:dyDescent="0.25">
      <c r="N536" s="22"/>
      <c r="O536" s="22"/>
      <c r="P536" s="272"/>
      <c r="Q536" s="22"/>
      <c r="T536" s="595"/>
      <c r="AJ536" s="10"/>
    </row>
    <row r="537" spans="14:36" x14ac:dyDescent="0.25">
      <c r="N537" s="22"/>
      <c r="O537" s="22"/>
      <c r="P537" s="272"/>
      <c r="Q537" s="22"/>
      <c r="T537" s="595"/>
      <c r="AJ537" s="10"/>
    </row>
    <row r="538" spans="14:36" x14ac:dyDescent="0.25">
      <c r="N538" s="22"/>
      <c r="O538" s="22"/>
      <c r="P538" s="272"/>
      <c r="Q538" s="22"/>
      <c r="T538" s="595"/>
      <c r="AJ538" s="10"/>
    </row>
    <row r="539" spans="14:36" x14ac:dyDescent="0.25">
      <c r="N539" s="22"/>
      <c r="O539" s="22"/>
      <c r="P539" s="272"/>
      <c r="Q539" s="22"/>
      <c r="T539" s="595"/>
      <c r="AJ539" s="10"/>
    </row>
    <row r="540" spans="14:36" x14ac:dyDescent="0.25">
      <c r="N540" s="22"/>
      <c r="O540" s="22"/>
      <c r="P540" s="272"/>
      <c r="Q540" s="22"/>
      <c r="T540" s="595"/>
      <c r="AJ540" s="10"/>
    </row>
    <row r="541" spans="14:36" x14ac:dyDescent="0.25">
      <c r="N541" s="22"/>
      <c r="O541" s="22"/>
      <c r="P541" s="272"/>
      <c r="Q541" s="22"/>
      <c r="T541" s="595"/>
      <c r="AJ541" s="10"/>
    </row>
    <row r="542" spans="14:36" x14ac:dyDescent="0.25">
      <c r="N542" s="22"/>
      <c r="O542" s="22"/>
      <c r="P542" s="272"/>
      <c r="Q542" s="22"/>
      <c r="T542" s="595"/>
      <c r="AJ542" s="10"/>
    </row>
    <row r="543" spans="14:36" x14ac:dyDescent="0.25">
      <c r="N543" s="22"/>
      <c r="O543" s="22"/>
      <c r="P543" s="272"/>
      <c r="Q543" s="22"/>
      <c r="T543" s="595"/>
      <c r="AJ543" s="10"/>
    </row>
    <row r="544" spans="14:36" x14ac:dyDescent="0.25">
      <c r="N544" s="22"/>
      <c r="O544" s="22"/>
      <c r="P544" s="272"/>
      <c r="Q544" s="22"/>
      <c r="T544" s="595"/>
      <c r="AJ544" s="10"/>
    </row>
    <row r="545" spans="14:36" x14ac:dyDescent="0.25">
      <c r="N545" s="22"/>
      <c r="O545" s="22"/>
      <c r="P545" s="272"/>
      <c r="Q545" s="22"/>
      <c r="T545" s="595"/>
      <c r="AJ545" s="10"/>
    </row>
    <row r="546" spans="14:36" x14ac:dyDescent="0.25">
      <c r="N546" s="22"/>
      <c r="O546" s="22"/>
      <c r="P546" s="272"/>
      <c r="Q546" s="22"/>
      <c r="T546" s="595"/>
      <c r="AJ546" s="10"/>
    </row>
    <row r="547" spans="14:36" x14ac:dyDescent="0.25">
      <c r="N547" s="22"/>
      <c r="O547" s="22"/>
      <c r="P547" s="272"/>
      <c r="Q547" s="22"/>
      <c r="T547" s="595"/>
      <c r="AJ547" s="10"/>
    </row>
    <row r="548" spans="14:36" x14ac:dyDescent="0.25">
      <c r="N548" s="22"/>
      <c r="O548" s="22"/>
      <c r="P548" s="272"/>
      <c r="Q548" s="22"/>
      <c r="T548" s="595"/>
      <c r="AJ548" s="10"/>
    </row>
    <row r="549" spans="14:36" x14ac:dyDescent="0.25">
      <c r="N549" s="22"/>
      <c r="O549" s="22"/>
      <c r="P549" s="272"/>
      <c r="Q549" s="22"/>
      <c r="T549" s="595"/>
      <c r="AJ549" s="10"/>
    </row>
    <row r="550" spans="14:36" x14ac:dyDescent="0.25">
      <c r="N550" s="22"/>
      <c r="O550" s="22"/>
      <c r="P550" s="272"/>
      <c r="Q550" s="22"/>
      <c r="T550" s="595"/>
      <c r="AJ550" s="10"/>
    </row>
    <row r="551" spans="14:36" x14ac:dyDescent="0.25">
      <c r="N551" s="22"/>
      <c r="O551" s="22"/>
      <c r="P551" s="272"/>
      <c r="Q551" s="22"/>
      <c r="T551" s="595"/>
      <c r="AJ551" s="10"/>
    </row>
    <row r="552" spans="14:36" x14ac:dyDescent="0.25">
      <c r="N552" s="22"/>
      <c r="O552" s="22"/>
      <c r="P552" s="272"/>
      <c r="Q552" s="22"/>
      <c r="T552" s="595"/>
      <c r="AJ552" s="10"/>
    </row>
    <row r="553" spans="14:36" x14ac:dyDescent="0.25">
      <c r="N553" s="22"/>
      <c r="O553" s="22"/>
      <c r="P553" s="272"/>
      <c r="Q553" s="22"/>
      <c r="T553" s="595"/>
      <c r="AJ553" s="10"/>
    </row>
    <row r="554" spans="14:36" x14ac:dyDescent="0.25">
      <c r="N554" s="22"/>
      <c r="O554" s="22"/>
      <c r="P554" s="272"/>
      <c r="Q554" s="22"/>
      <c r="T554" s="595"/>
      <c r="AJ554" s="10"/>
    </row>
    <row r="555" spans="14:36" x14ac:dyDescent="0.25">
      <c r="N555" s="22"/>
      <c r="O555" s="22"/>
      <c r="P555" s="272"/>
      <c r="Q555" s="22"/>
      <c r="T555" s="595"/>
      <c r="AJ555" s="10"/>
    </row>
    <row r="556" spans="14:36" x14ac:dyDescent="0.25">
      <c r="N556" s="22"/>
      <c r="O556" s="22"/>
      <c r="P556" s="272"/>
      <c r="Q556" s="22"/>
      <c r="T556" s="595"/>
      <c r="AJ556" s="10"/>
    </row>
    <row r="557" spans="14:36" x14ac:dyDescent="0.25">
      <c r="N557" s="22"/>
      <c r="O557" s="22"/>
      <c r="P557" s="272"/>
      <c r="Q557" s="22"/>
      <c r="T557" s="595"/>
      <c r="AJ557" s="10"/>
    </row>
    <row r="558" spans="14:36" x14ac:dyDescent="0.25">
      <c r="N558" s="22"/>
      <c r="O558" s="22"/>
      <c r="P558" s="272"/>
      <c r="Q558" s="22"/>
      <c r="T558" s="595"/>
      <c r="AJ558" s="10"/>
    </row>
    <row r="559" spans="14:36" x14ac:dyDescent="0.25">
      <c r="N559" s="22"/>
      <c r="O559" s="22"/>
      <c r="P559" s="272"/>
      <c r="Q559" s="22"/>
      <c r="T559" s="595"/>
      <c r="AJ559" s="10"/>
    </row>
    <row r="560" spans="14:36" x14ac:dyDescent="0.25">
      <c r="N560" s="22"/>
      <c r="O560" s="22"/>
      <c r="P560" s="272"/>
      <c r="Q560" s="22"/>
      <c r="T560" s="595"/>
      <c r="AJ560" s="10"/>
    </row>
    <row r="561" spans="14:36" x14ac:dyDescent="0.25">
      <c r="N561" s="22"/>
      <c r="O561" s="22"/>
      <c r="P561" s="272"/>
      <c r="Q561" s="22"/>
      <c r="T561" s="595"/>
      <c r="AJ561" s="10"/>
    </row>
    <row r="562" spans="14:36" x14ac:dyDescent="0.25">
      <c r="N562" s="22"/>
      <c r="O562" s="22"/>
      <c r="P562" s="272"/>
    </row>
    <row r="563" spans="14:36" x14ac:dyDescent="0.25">
      <c r="N563" s="22"/>
      <c r="O563" s="22"/>
      <c r="P563" s="272"/>
    </row>
    <row r="564" spans="14:36" x14ac:dyDescent="0.25">
      <c r="N564" s="22"/>
      <c r="O564" s="22"/>
      <c r="P564" s="272"/>
    </row>
    <row r="565" spans="14:36" x14ac:dyDescent="0.25">
      <c r="N565" s="22"/>
      <c r="O565" s="22"/>
      <c r="P565" s="272"/>
    </row>
    <row r="566" spans="14:36" x14ac:dyDescent="0.25">
      <c r="N566" s="22"/>
      <c r="O566" s="22"/>
      <c r="P566" s="272"/>
    </row>
    <row r="567" spans="14:36" x14ac:dyDescent="0.25">
      <c r="N567" s="22"/>
      <c r="O567" s="22"/>
      <c r="P567" s="272"/>
    </row>
    <row r="568" spans="14:36" x14ac:dyDescent="0.25">
      <c r="N568" s="22"/>
      <c r="O568" s="22"/>
      <c r="P568" s="272"/>
    </row>
    <row r="569" spans="14:36" x14ac:dyDescent="0.25">
      <c r="N569" s="22"/>
      <c r="O569" s="22"/>
      <c r="P569" s="272"/>
    </row>
    <row r="570" spans="14:36" x14ac:dyDescent="0.25">
      <c r="N570" s="22"/>
      <c r="O570" s="22"/>
      <c r="P570" s="272"/>
    </row>
    <row r="571" spans="14:36" x14ac:dyDescent="0.25">
      <c r="N571" s="22"/>
      <c r="O571" s="22"/>
      <c r="P571" s="272"/>
    </row>
    <row r="572" spans="14:36" x14ac:dyDescent="0.25">
      <c r="N572" s="22"/>
      <c r="O572" s="22"/>
      <c r="P572" s="272"/>
    </row>
    <row r="573" spans="14:36" x14ac:dyDescent="0.25">
      <c r="N573" s="22"/>
      <c r="O573" s="22"/>
      <c r="P573" s="272"/>
    </row>
    <row r="574" spans="14:36" x14ac:dyDescent="0.25">
      <c r="N574" s="22"/>
      <c r="O574" s="22"/>
      <c r="P574" s="272"/>
    </row>
    <row r="575" spans="14:36" x14ac:dyDescent="0.25">
      <c r="N575" s="22"/>
      <c r="O575" s="22"/>
      <c r="P575" s="272"/>
    </row>
    <row r="576" spans="14:36" x14ac:dyDescent="0.25">
      <c r="N576" s="22"/>
      <c r="O576" s="22"/>
      <c r="P576" s="272"/>
    </row>
    <row r="577" spans="14:16" x14ac:dyDescent="0.25">
      <c r="N577" s="22"/>
      <c r="O577" s="22"/>
      <c r="P577" s="272"/>
    </row>
    <row r="578" spans="14:16" x14ac:dyDescent="0.25">
      <c r="N578" s="22"/>
      <c r="O578" s="22"/>
      <c r="P578" s="272"/>
    </row>
    <row r="579" spans="14:16" x14ac:dyDescent="0.25">
      <c r="N579" s="22"/>
      <c r="O579" s="22"/>
      <c r="P579" s="272"/>
    </row>
    <row r="580" spans="14:16" x14ac:dyDescent="0.25">
      <c r="N580" s="22"/>
      <c r="O580" s="22"/>
      <c r="P580" s="272"/>
    </row>
    <row r="581" spans="14:16" x14ac:dyDescent="0.25">
      <c r="N581" s="22"/>
      <c r="O581" s="22"/>
      <c r="P581" s="272"/>
    </row>
    <row r="582" spans="14:16" x14ac:dyDescent="0.25">
      <c r="N582" s="22"/>
      <c r="O582" s="22"/>
      <c r="P582" s="272"/>
    </row>
    <row r="583" spans="14:16" x14ac:dyDescent="0.25">
      <c r="N583" s="22"/>
      <c r="O583" s="22"/>
      <c r="P583" s="272"/>
    </row>
    <row r="584" spans="14:16" x14ac:dyDescent="0.25">
      <c r="N584" s="22"/>
      <c r="O584" s="22"/>
      <c r="P584" s="272"/>
    </row>
    <row r="585" spans="14:16" x14ac:dyDescent="0.25">
      <c r="N585" s="22"/>
      <c r="O585" s="22"/>
      <c r="P585" s="272"/>
    </row>
    <row r="586" spans="14:16" x14ac:dyDescent="0.25">
      <c r="N586" s="22"/>
      <c r="O586" s="22"/>
      <c r="P586" s="272"/>
    </row>
    <row r="587" spans="14:16" x14ac:dyDescent="0.25">
      <c r="N587" s="22"/>
      <c r="O587" s="22"/>
      <c r="P587" s="272"/>
    </row>
    <row r="588" spans="14:16" x14ac:dyDescent="0.25">
      <c r="N588" s="22"/>
      <c r="O588" s="22"/>
      <c r="P588" s="272"/>
    </row>
    <row r="589" spans="14:16" x14ac:dyDescent="0.25">
      <c r="N589" s="22"/>
      <c r="O589" s="22"/>
      <c r="P589" s="272"/>
    </row>
    <row r="590" spans="14:16" x14ac:dyDescent="0.25">
      <c r="N590" s="22"/>
      <c r="O590" s="22"/>
      <c r="P590" s="272"/>
    </row>
    <row r="591" spans="14:16" x14ac:dyDescent="0.25">
      <c r="N591" s="22"/>
      <c r="O591" s="22"/>
      <c r="P591" s="272"/>
    </row>
    <row r="592" spans="14:16" x14ac:dyDescent="0.25">
      <c r="N592" s="22"/>
      <c r="O592" s="22"/>
      <c r="P592" s="272"/>
    </row>
    <row r="593" spans="14:16" x14ac:dyDescent="0.25">
      <c r="N593" s="22"/>
      <c r="O593" s="22"/>
      <c r="P593" s="272"/>
    </row>
    <row r="594" spans="14:16" x14ac:dyDescent="0.25">
      <c r="N594" s="22"/>
      <c r="O594" s="22"/>
      <c r="P594" s="272"/>
    </row>
    <row r="595" spans="14:16" x14ac:dyDescent="0.25">
      <c r="N595" s="22"/>
      <c r="O595" s="22"/>
      <c r="P595" s="272"/>
    </row>
    <row r="596" spans="14:16" x14ac:dyDescent="0.25">
      <c r="N596" s="22"/>
      <c r="O596" s="22"/>
      <c r="P596" s="272"/>
    </row>
    <row r="597" spans="14:16" x14ac:dyDescent="0.25">
      <c r="N597" s="22"/>
      <c r="O597" s="22"/>
      <c r="P597" s="272"/>
    </row>
    <row r="598" spans="14:16" x14ac:dyDescent="0.25">
      <c r="N598" s="22"/>
      <c r="O598" s="22"/>
      <c r="P598" s="272"/>
    </row>
    <row r="599" spans="14:16" x14ac:dyDescent="0.25">
      <c r="N599" s="22"/>
      <c r="O599" s="22"/>
      <c r="P599" s="272"/>
    </row>
    <row r="600" spans="14:16" x14ac:dyDescent="0.25">
      <c r="N600" s="22"/>
      <c r="O600" s="22"/>
      <c r="P600" s="272"/>
    </row>
    <row r="601" spans="14:16" x14ac:dyDescent="0.25">
      <c r="N601" s="22"/>
      <c r="O601" s="22"/>
      <c r="P601" s="272"/>
    </row>
    <row r="602" spans="14:16" x14ac:dyDescent="0.25">
      <c r="N602" s="22"/>
      <c r="O602" s="22"/>
      <c r="P602" s="272"/>
    </row>
    <row r="603" spans="14:16" x14ac:dyDescent="0.25">
      <c r="N603" s="22"/>
      <c r="O603" s="22"/>
      <c r="P603" s="272"/>
    </row>
    <row r="604" spans="14:16" x14ac:dyDescent="0.25">
      <c r="N604" s="22"/>
      <c r="O604" s="22"/>
      <c r="P604" s="272"/>
    </row>
    <row r="605" spans="14:16" x14ac:dyDescent="0.25">
      <c r="N605" s="22"/>
      <c r="O605" s="22"/>
      <c r="P605" s="272"/>
    </row>
    <row r="606" spans="14:16" x14ac:dyDescent="0.25">
      <c r="N606" s="22"/>
      <c r="O606" s="22"/>
      <c r="P606" s="272"/>
    </row>
    <row r="607" spans="14:16" x14ac:dyDescent="0.25">
      <c r="N607" s="22"/>
      <c r="O607" s="22"/>
      <c r="P607" s="272"/>
    </row>
    <row r="608" spans="14:16" x14ac:dyDescent="0.25">
      <c r="N608" s="22"/>
      <c r="O608" s="22"/>
      <c r="P608" s="272"/>
    </row>
    <row r="609" spans="14:16" x14ac:dyDescent="0.25">
      <c r="N609" s="22"/>
      <c r="O609" s="22"/>
      <c r="P609" s="272"/>
    </row>
    <row r="610" spans="14:16" x14ac:dyDescent="0.25">
      <c r="N610" s="22"/>
      <c r="O610" s="22"/>
      <c r="P610" s="272"/>
    </row>
    <row r="611" spans="14:16" x14ac:dyDescent="0.25">
      <c r="N611" s="22"/>
      <c r="O611" s="22"/>
      <c r="P611" s="272"/>
    </row>
    <row r="612" spans="14:16" x14ac:dyDescent="0.25">
      <c r="N612" s="22"/>
      <c r="O612" s="22"/>
      <c r="P612" s="272"/>
    </row>
    <row r="613" spans="14:16" x14ac:dyDescent="0.25">
      <c r="N613" s="22"/>
      <c r="O613" s="22"/>
      <c r="P613" s="272"/>
    </row>
    <row r="614" spans="14:16" x14ac:dyDescent="0.25">
      <c r="N614" s="22"/>
      <c r="O614" s="22"/>
      <c r="P614" s="272"/>
    </row>
    <row r="615" spans="14:16" x14ac:dyDescent="0.25">
      <c r="N615" s="22"/>
      <c r="O615" s="22"/>
      <c r="P615" s="272"/>
    </row>
    <row r="616" spans="14:16" x14ac:dyDescent="0.25">
      <c r="N616" s="22"/>
      <c r="O616" s="22"/>
      <c r="P616" s="272"/>
    </row>
    <row r="617" spans="14:16" x14ac:dyDescent="0.25">
      <c r="N617" s="22"/>
      <c r="O617" s="22"/>
      <c r="P617" s="272"/>
    </row>
    <row r="618" spans="14:16" x14ac:dyDescent="0.25">
      <c r="N618" s="22"/>
      <c r="O618" s="22"/>
      <c r="P618" s="272"/>
    </row>
    <row r="619" spans="14:16" x14ac:dyDescent="0.25">
      <c r="N619" s="22"/>
      <c r="O619" s="22"/>
      <c r="P619" s="272"/>
    </row>
    <row r="620" spans="14:16" x14ac:dyDescent="0.25">
      <c r="N620" s="22"/>
      <c r="O620" s="22"/>
      <c r="P620" s="272"/>
    </row>
    <row r="621" spans="14:16" x14ac:dyDescent="0.25">
      <c r="N621" s="22"/>
      <c r="O621" s="22"/>
      <c r="P621" s="272"/>
    </row>
    <row r="622" spans="14:16" x14ac:dyDescent="0.25">
      <c r="N622" s="22"/>
      <c r="O622" s="22"/>
      <c r="P622" s="272"/>
    </row>
    <row r="623" spans="14:16" x14ac:dyDescent="0.25">
      <c r="N623" s="22"/>
      <c r="O623" s="22"/>
      <c r="P623" s="272"/>
    </row>
    <row r="624" spans="14:16" ht="18.75" customHeight="1" x14ac:dyDescent="0.25">
      <c r="N624" s="22"/>
      <c r="O624" s="22"/>
      <c r="P624" s="272"/>
    </row>
    <row r="625" spans="14:16" x14ac:dyDescent="0.25">
      <c r="N625" s="22"/>
      <c r="O625" s="22"/>
      <c r="P625" s="272"/>
    </row>
    <row r="626" spans="14:16" x14ac:dyDescent="0.25">
      <c r="N626" s="22"/>
      <c r="O626" s="22"/>
      <c r="P626" s="272"/>
    </row>
    <row r="627" spans="14:16" x14ac:dyDescent="0.25">
      <c r="N627" s="22"/>
      <c r="O627" s="22"/>
      <c r="P627" s="272"/>
    </row>
    <row r="628" spans="14:16" x14ac:dyDescent="0.25">
      <c r="N628" s="22"/>
      <c r="O628" s="22"/>
      <c r="P628" s="272"/>
    </row>
    <row r="629" spans="14:16" x14ac:dyDescent="0.25">
      <c r="N629" s="22"/>
      <c r="O629" s="22"/>
      <c r="P629" s="272"/>
    </row>
    <row r="630" spans="14:16" x14ac:dyDescent="0.25">
      <c r="N630" s="22"/>
      <c r="O630" s="22"/>
      <c r="P630" s="272"/>
    </row>
    <row r="631" spans="14:16" x14ac:dyDescent="0.25">
      <c r="N631" s="22"/>
      <c r="O631" s="22"/>
      <c r="P631" s="272"/>
    </row>
    <row r="632" spans="14:16" x14ac:dyDescent="0.25">
      <c r="N632" s="22"/>
      <c r="O632" s="22"/>
      <c r="P632" s="272"/>
    </row>
    <row r="633" spans="14:16" x14ac:dyDescent="0.25">
      <c r="N633" s="22"/>
      <c r="O633" s="22"/>
      <c r="P633" s="272"/>
    </row>
    <row r="634" spans="14:16" x14ac:dyDescent="0.25">
      <c r="N634" s="22"/>
      <c r="O634" s="22"/>
      <c r="P634" s="272"/>
    </row>
    <row r="635" spans="14:16" x14ac:dyDescent="0.25">
      <c r="N635" s="22"/>
      <c r="O635" s="22"/>
      <c r="P635" s="272"/>
    </row>
    <row r="636" spans="14:16" x14ac:dyDescent="0.25">
      <c r="N636" s="22"/>
      <c r="O636" s="22"/>
      <c r="P636" s="272"/>
    </row>
    <row r="637" spans="14:16" x14ac:dyDescent="0.25">
      <c r="N637" s="22"/>
      <c r="O637" s="22"/>
      <c r="P637" s="272"/>
    </row>
    <row r="638" spans="14:16" x14ac:dyDescent="0.25">
      <c r="N638" s="22"/>
      <c r="O638" s="22"/>
      <c r="P638" s="272"/>
    </row>
    <row r="639" spans="14:16" x14ac:dyDescent="0.25">
      <c r="N639" s="22"/>
      <c r="O639" s="22"/>
      <c r="P639" s="272"/>
    </row>
    <row r="640" spans="14:16" x14ac:dyDescent="0.25">
      <c r="N640" s="22"/>
      <c r="O640" s="22"/>
      <c r="P640" s="272"/>
    </row>
    <row r="643" spans="1:14" x14ac:dyDescent="0.25">
      <c r="A643" s="1080"/>
      <c r="B643" s="1080"/>
      <c r="C643" s="1080"/>
      <c r="D643" s="1080"/>
      <c r="E643" s="1080"/>
      <c r="F643" s="1080"/>
      <c r="G643" s="1080"/>
      <c r="H643" s="1080"/>
      <c r="I643" s="1080"/>
      <c r="J643" s="1080"/>
      <c r="K643" s="1080"/>
      <c r="L643" s="1080"/>
      <c r="M643" s="1080"/>
      <c r="N643" s="1080"/>
    </row>
    <row r="644" spans="1:14" x14ac:dyDescent="0.25">
      <c r="A644" s="1080"/>
      <c r="B644" s="1080"/>
      <c r="C644" s="1080"/>
      <c r="D644" s="1080"/>
      <c r="E644" s="1080"/>
      <c r="F644" s="1080"/>
      <c r="G644" s="1080"/>
      <c r="H644" s="1080"/>
      <c r="I644" s="1080"/>
      <c r="J644" s="1080"/>
      <c r="K644" s="1080"/>
      <c r="L644" s="1080"/>
      <c r="M644" s="1080"/>
      <c r="N644" s="1080"/>
    </row>
  </sheetData>
  <mergeCells count="1">
    <mergeCell ref="A643:N644"/>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3"/>
  <sheetViews>
    <sheetView workbookViewId="0">
      <selection activeCell="F14" sqref="F14"/>
    </sheetView>
  </sheetViews>
  <sheetFormatPr defaultColWidth="9.7109375" defaultRowHeight="15" x14ac:dyDescent="0.25"/>
  <cols>
    <col min="1" max="1" width="10" style="592" bestFit="1" customWidth="1"/>
    <col min="2" max="7" width="15" style="594" bestFit="1" customWidth="1"/>
    <col min="8" max="8" width="15" style="591" bestFit="1" customWidth="1"/>
    <col min="9" max="10" width="8.42578125" style="591" bestFit="1" customWidth="1"/>
    <col min="11" max="11" width="4.85546875" style="594" bestFit="1" customWidth="1"/>
    <col min="12" max="16384" width="9.7109375" style="591"/>
  </cols>
  <sheetData>
    <row r="1" spans="1:19" s="701" customFormat="1" ht="32.25" customHeight="1" x14ac:dyDescent="0.25">
      <c r="A1" s="707" t="s">
        <v>245</v>
      </c>
      <c r="B1" s="706" t="s">
        <v>231</v>
      </c>
      <c r="C1" s="706" t="s">
        <v>232</v>
      </c>
      <c r="D1" s="706" t="s">
        <v>233</v>
      </c>
      <c r="E1" s="706" t="s">
        <v>234</v>
      </c>
      <c r="F1" s="706" t="s">
        <v>235</v>
      </c>
      <c r="G1" s="706" t="s">
        <v>236</v>
      </c>
      <c r="H1" s="706" t="s">
        <v>237</v>
      </c>
      <c r="I1" s="708" t="s">
        <v>225</v>
      </c>
      <c r="J1" s="985" t="s">
        <v>230</v>
      </c>
      <c r="K1" s="985" t="s">
        <v>305</v>
      </c>
    </row>
    <row r="2" spans="1:19" x14ac:dyDescent="0.25">
      <c r="A2" s="703">
        <v>41977</v>
      </c>
      <c r="B2" s="704">
        <f ca="1">VLOOKUP(A2,'Used GB Charts'!A:BQ,36,FALSE)+VLOOKUP(A2,'Used GB Charts'!A:BQ,64,FALSE)</f>
        <v>462.97812499999998</v>
      </c>
      <c r="C2" s="704">
        <f ca="1">VLOOKUP(A2,'Used GB Charts'!A:BQ,37,FALSE)+VLOOKUP(A2,'Used GB Charts'!A:BQ,66,FALSE)</f>
        <v>299.52226562500005</v>
      </c>
      <c r="D2" s="704">
        <f ca="1">VLOOKUP(A2,'Used GB Charts'!A:BQ,38,FALSE)+VLOOKUP(A2,'Used GB Charts'!A:BQ,40,FALSE)+VLOOKUP(A2,'Used GB Charts'!A:BQ,42,FALSE)+VLOOKUP(A2,'Used GB Charts'!A:BQ,43,FALSE)+VLOOKUP(A2,'Used GB Charts'!A:BQ,44,FALSE)+VLOOKUP(A2,'Used GB Charts'!A:BQ,56,FALSE)+VLOOKUP(A2,'Used GB Charts'!A:BQ,57,FALSE)+VLOOKUP(A2,'Used GB Charts'!A:BQ,59,FALSE)+VLOOKUP(A2,'Used GB Charts'!A:BQ,65,FALSE)</f>
        <v>1316.8346679687502</v>
      </c>
      <c r="E2" s="704">
        <f ca="1">VLOOKUP(A2,'Used GB Charts'!A:BQ,39,FALSE)+VLOOKUP(A2,'Used GB Charts'!A:BQ,41,FALSE)+VLOOKUP(A2,'Used GB Charts'!A:BQ,45,FALSE)+VLOOKUP(A2,'Used GB Charts'!A:BQ,63,FALSE)+VLOOKUP(A2,'Used GB Charts'!A:BQ,67,FALSE)+VLOOKUP(A2,'Used GB Charts'!A:BQ,68,FALSE)</f>
        <v>1400.9654296874999</v>
      </c>
      <c r="F2" s="704">
        <f ca="1">VLOOKUP(A2,'Used GB Charts'!A:BQ,46,FALSE)+VLOOKUP(A2,'Used GB Charts'!A:BQ,47,FALSE)+VLOOKUP(A2,'Used GB Charts'!A:BQ,52,FALSE)+VLOOKUP(A2,'Used GB Charts'!A:BQ,61,FALSE)+VLOOKUP(A2,'Used GB Charts'!A:BQ,62,FALSE)</f>
        <v>1379.98466796875</v>
      </c>
      <c r="G2" s="704">
        <f ca="1">VLOOKUP(A2,'Used GB Charts'!A:BQ,48,FALSE)+VLOOKUP(A2,'Used GB Charts'!A:BQ,49,FALSE)+VLOOKUP(A2,'Used GB Charts'!A:BQ,50,FALSE)+VLOOKUP(A2,'Used GB Charts'!A:BQ,51,FALSE)+VLOOKUP(A2,'Used GB Charts'!A:BQ,55,FALSE)+VLOOKUP(A2,'Used GB Charts'!A:BQ,58,FALSE)+VLOOKUP(A2,'Used GB Charts'!A:BQ,60,FALSE)</f>
        <v>1127.94501953125</v>
      </c>
      <c r="H2" s="704">
        <f ca="1">VLOOKUP(A2,'Used GB Charts'!A:BQ,53,FALSE)+VLOOKUP(A2,'Used GB Charts'!A:BQ,54,FALSE)</f>
        <v>90.638867187499997</v>
      </c>
      <c r="I2" s="704">
        <f t="shared" ref="I2" ca="1" si="0">SUM(B2:H2)</f>
        <v>6078.8690429687504</v>
      </c>
      <c r="J2" s="987">
        <f ca="1">I2-I20</f>
        <v>144.494140625</v>
      </c>
      <c r="K2" s="987" t="e">
        <f ca="1">SUM(J2:J29)/10</f>
        <v>#VALUE!</v>
      </c>
      <c r="S2" s="591" t="s">
        <v>308</v>
      </c>
    </row>
    <row r="3" spans="1:19" s="947" customFormat="1" x14ac:dyDescent="0.25">
      <c r="A3" s="703">
        <v>41970</v>
      </c>
      <c r="B3" s="704">
        <f ca="1">VLOOKUP(A3,'Used GB Charts'!A:BQ,36,FALSE)+VLOOKUP(A3,'Used GB Charts'!A:BQ,64,FALSE)</f>
        <v>462.97812499999998</v>
      </c>
      <c r="C3" s="704">
        <f ca="1">VLOOKUP(A3,'Used GB Charts'!A:BQ,37,FALSE)+VLOOKUP(A3,'Used GB Charts'!A:BQ,66,FALSE)</f>
        <v>299.52226562500005</v>
      </c>
      <c r="D3" s="704">
        <f ca="1">VLOOKUP(A3,'Used GB Charts'!A:BQ,38,FALSE)+VLOOKUP(A3,'Used GB Charts'!A:BQ,40,FALSE)+VLOOKUP(A3,'Used GB Charts'!A:BQ,42,FALSE)+VLOOKUP(A3,'Used GB Charts'!A:BQ,43,FALSE)+VLOOKUP(A3,'Used GB Charts'!A:BQ,44,FALSE)+VLOOKUP(A3,'Used GB Charts'!A:BQ,56,FALSE)+VLOOKUP(A3,'Used GB Charts'!A:BQ,57,FALSE)+VLOOKUP(A3,'Used GB Charts'!A:BQ,59,FALSE)+VLOOKUP(A3,'Used GB Charts'!A:BQ,65,FALSE)</f>
        <v>1316.8346679687502</v>
      </c>
      <c r="E3" s="704">
        <f ca="1">VLOOKUP(A3,'Used GB Charts'!A:BQ,39,FALSE)+VLOOKUP(A3,'Used GB Charts'!A:BQ,41,FALSE)+VLOOKUP(A3,'Used GB Charts'!A:BQ,45,FALSE)+VLOOKUP(A3,'Used GB Charts'!A:BQ,63,FALSE)+VLOOKUP(A3,'Used GB Charts'!A:BQ,67,FALSE)+VLOOKUP(A3,'Used GB Charts'!A:BQ,68,FALSE)</f>
        <v>1400.9654296874999</v>
      </c>
      <c r="F3" s="704">
        <f ca="1">VLOOKUP(A3,'Used GB Charts'!A:BQ,46,FALSE)+VLOOKUP(A3,'Used GB Charts'!A:BQ,47,FALSE)+VLOOKUP(A3,'Used GB Charts'!A:BQ,52,FALSE)+VLOOKUP(A3,'Used GB Charts'!A:BQ,61,FALSE)+VLOOKUP(A3,'Used GB Charts'!A:BQ,62,FALSE)</f>
        <v>1379.98466796875</v>
      </c>
      <c r="G3" s="704">
        <f ca="1">VLOOKUP(A3,'Used GB Charts'!A:BQ,48,FALSE)+VLOOKUP(A3,'Used GB Charts'!A:BQ,49,FALSE)+VLOOKUP(A3,'Used GB Charts'!A:BQ,50,FALSE)+VLOOKUP(A3,'Used GB Charts'!A:BQ,51,FALSE)+VLOOKUP(A3,'Used GB Charts'!A:BQ,55,FALSE)+VLOOKUP(A3,'Used GB Charts'!A:BQ,58,FALSE)+VLOOKUP(A3,'Used GB Charts'!A:BQ,60,FALSE)</f>
        <v>1127.94501953125</v>
      </c>
      <c r="H3" s="704" t="e">
        <f ca="1">VLOOKUP(A3,'Used GB Charts'!A:BQ,53,FALSE)+VLOOKUP(A3,'Used GB Charts'!A:BQ,54,FALSE)</f>
        <v>#VALUE!</v>
      </c>
      <c r="I3" s="704" t="e">
        <f t="shared" ref="I3" ca="1" si="1">SUM(B3:H3)</f>
        <v>#VALUE!</v>
      </c>
      <c r="J3" s="987" t="e">
        <f ca="1">I3-I21</f>
        <v>#VALUE!</v>
      </c>
      <c r="K3" s="987" t="e">
        <f ca="1">SUM(J3:J30)/10</f>
        <v>#VALUE!</v>
      </c>
      <c r="S3" s="947" t="s">
        <v>308</v>
      </c>
    </row>
    <row r="4" spans="1:19" s="947" customFormat="1" x14ac:dyDescent="0.25">
      <c r="A4" s="703">
        <v>41963</v>
      </c>
      <c r="B4" s="704">
        <f ca="1">VLOOKUP(A4,'Used GB Charts'!A:BQ,36,FALSE)+VLOOKUP(A4,'Used GB Charts'!A:BQ,64,FALSE)</f>
        <v>462.97812499999998</v>
      </c>
      <c r="C4" s="704">
        <f ca="1">VLOOKUP(A4,'Used GB Charts'!A:BQ,37,FALSE)+VLOOKUP(A4,'Used GB Charts'!A:BQ,66,FALSE)</f>
        <v>299.52226562500005</v>
      </c>
      <c r="D4" s="704">
        <f ca="1">VLOOKUP(A4,'Used GB Charts'!A:BQ,38,FALSE)+VLOOKUP(A4,'Used GB Charts'!A:BQ,40,FALSE)+VLOOKUP(A4,'Used GB Charts'!A:BQ,42,FALSE)+VLOOKUP(A4,'Used GB Charts'!A:BQ,43,FALSE)+VLOOKUP(A4,'Used GB Charts'!A:BQ,44,FALSE)+VLOOKUP(A4,'Used GB Charts'!A:BQ,56,FALSE)+VLOOKUP(A4,'Used GB Charts'!A:BQ,57,FALSE)+VLOOKUP(A4,'Used GB Charts'!A:BQ,59,FALSE)+VLOOKUP(A4,'Used GB Charts'!A:BQ,65,FALSE)</f>
        <v>1316.8346679687502</v>
      </c>
      <c r="E4" s="704">
        <f ca="1">VLOOKUP(A4,'Used GB Charts'!A:BQ,39,FALSE)+VLOOKUP(A4,'Used GB Charts'!A:BQ,41,FALSE)+VLOOKUP(A4,'Used GB Charts'!A:BQ,45,FALSE)+VLOOKUP(A4,'Used GB Charts'!A:BQ,63,FALSE)+VLOOKUP(A4,'Used GB Charts'!A:BQ,67,FALSE)+VLOOKUP(A4,'Used GB Charts'!A:BQ,68,FALSE)</f>
        <v>1400.9654296874999</v>
      </c>
      <c r="F4" s="704">
        <f ca="1">VLOOKUP(A4,'Used GB Charts'!A:BQ,46,FALSE)+VLOOKUP(A4,'Used GB Charts'!A:BQ,47,FALSE)+VLOOKUP(A4,'Used GB Charts'!A:BQ,52,FALSE)+VLOOKUP(A4,'Used GB Charts'!A:BQ,61,FALSE)+VLOOKUP(A4,'Used GB Charts'!A:BQ,62,FALSE)</f>
        <v>1379.98466796875</v>
      </c>
      <c r="G4" s="704">
        <f ca="1">VLOOKUP(A4,'Used GB Charts'!A:BQ,48,FALSE)+VLOOKUP(A4,'Used GB Charts'!A:BQ,49,FALSE)+VLOOKUP(A4,'Used GB Charts'!A:BQ,50,FALSE)+VLOOKUP(A4,'Used GB Charts'!A:BQ,51,FALSE)+VLOOKUP(A4,'Used GB Charts'!A:BQ,55,FALSE)+VLOOKUP(A4,'Used GB Charts'!A:BQ,58,FALSE)+VLOOKUP(A4,'Used GB Charts'!A:BQ,60,FALSE)</f>
        <v>1127.94501953125</v>
      </c>
      <c r="H4" s="704">
        <f ca="1">VLOOKUP(A4,'Used GB Charts'!A:BQ,53,FALSE)+VLOOKUP(A4,'Used GB Charts'!A:BQ,54,FALSE)</f>
        <v>90.638867187499997</v>
      </c>
      <c r="I4" s="704">
        <f t="shared" ref="I4" ca="1" si="2">SUM(B4:H4)</f>
        <v>6078.8690429687504</v>
      </c>
      <c r="J4" s="987">
        <f ca="1">I4-I21</f>
        <v>144.494140625</v>
      </c>
      <c r="K4" s="987">
        <f ca="1">SUM(J4:J30)/10</f>
        <v>129.15659179687481</v>
      </c>
      <c r="S4" s="947" t="s">
        <v>308</v>
      </c>
    </row>
    <row r="5" spans="1:19" s="947" customFormat="1" x14ac:dyDescent="0.25">
      <c r="A5" s="703">
        <v>41956</v>
      </c>
      <c r="B5" s="704">
        <f ca="1">VLOOKUP(A5,'Used GB Charts'!A:BQ,36,FALSE)+VLOOKUP(A5,'Used GB Charts'!A:BQ,64,FALSE)</f>
        <v>462.97812499999998</v>
      </c>
      <c r="C5" s="704">
        <f ca="1">VLOOKUP(A5,'Used GB Charts'!A:BQ,37,FALSE)+VLOOKUP(A5,'Used GB Charts'!A:BQ,66,FALSE)</f>
        <v>299.52226562500005</v>
      </c>
      <c r="D5" s="704">
        <f ca="1">VLOOKUP(A5,'Used GB Charts'!A:BQ,38,FALSE)+VLOOKUP(A5,'Used GB Charts'!A:BQ,40,FALSE)+VLOOKUP(A5,'Used GB Charts'!A:BQ,42,FALSE)+VLOOKUP(A5,'Used GB Charts'!A:BQ,43,FALSE)+VLOOKUP(A5,'Used GB Charts'!A:BQ,44,FALSE)+VLOOKUP(A5,'Used GB Charts'!A:BQ,56,FALSE)+VLOOKUP(A5,'Used GB Charts'!A:BQ,57,FALSE)+VLOOKUP(A5,'Used GB Charts'!A:BQ,59,FALSE)+VLOOKUP(A5,'Used GB Charts'!A:BQ,65,FALSE)</f>
        <v>1316.8346679687502</v>
      </c>
      <c r="E5" s="704">
        <f ca="1">VLOOKUP(A5,'Used GB Charts'!A:BQ,39,FALSE)+VLOOKUP(A5,'Used GB Charts'!A:BQ,41,FALSE)+VLOOKUP(A5,'Used GB Charts'!A:BQ,45,FALSE)+VLOOKUP(A5,'Used GB Charts'!A:BQ,63,FALSE)+VLOOKUP(A5,'Used GB Charts'!A:BQ,67,FALSE)+VLOOKUP(A5,'Used GB Charts'!A:BQ,68,FALSE)</f>
        <v>1400.9654296874999</v>
      </c>
      <c r="F5" s="704">
        <f ca="1">VLOOKUP(A5,'Used GB Charts'!A:BQ,46,FALSE)+VLOOKUP(A5,'Used GB Charts'!A:BQ,47,FALSE)+VLOOKUP(A5,'Used GB Charts'!A:BQ,52,FALSE)+VLOOKUP(A5,'Used GB Charts'!A:BQ,61,FALSE)+VLOOKUP(A5,'Used GB Charts'!A:BQ,62,FALSE)</f>
        <v>1379.98466796875</v>
      </c>
      <c r="G5" s="704">
        <f ca="1">VLOOKUP(A5,'Used GB Charts'!A:BQ,48,FALSE)+VLOOKUP(A5,'Used GB Charts'!A:BQ,49,FALSE)+VLOOKUP(A5,'Used GB Charts'!A:BQ,50,FALSE)+VLOOKUP(A5,'Used GB Charts'!A:BQ,51,FALSE)+VLOOKUP(A5,'Used GB Charts'!A:BQ,55,FALSE)+VLOOKUP(A5,'Used GB Charts'!A:BQ,58,FALSE)+VLOOKUP(A5,'Used GB Charts'!A:BQ,60,FALSE)</f>
        <v>1127.94501953125</v>
      </c>
      <c r="H5" s="704">
        <f ca="1">VLOOKUP(A5,'Used GB Charts'!A:BQ,53,FALSE)+VLOOKUP(A5,'Used GB Charts'!A:BQ,54,FALSE)</f>
        <v>90.638867187499997</v>
      </c>
      <c r="I5" s="704">
        <f t="shared" ref="I5" ca="1" si="3">SUM(B5:H5)</f>
        <v>6078.8690429687504</v>
      </c>
      <c r="J5" s="987">
        <f ca="1">I5-I21</f>
        <v>144.494140625</v>
      </c>
      <c r="K5" s="987">
        <f ca="1">SUM(J5:J30)/10</f>
        <v>114.70717773437482</v>
      </c>
    </row>
    <row r="6" spans="1:19" s="947" customFormat="1" x14ac:dyDescent="0.25">
      <c r="A6" s="703">
        <v>41949</v>
      </c>
      <c r="B6" s="704">
        <f ca="1">VLOOKUP(A6,'Used GB Charts'!A:BQ,36,FALSE)+VLOOKUP(A6,'Used GB Charts'!A:BQ,64,FALSE)</f>
        <v>462.97812499999998</v>
      </c>
      <c r="C6" s="704">
        <f ca="1">VLOOKUP(A6,'Used GB Charts'!A:BQ,37,FALSE)+VLOOKUP(A6,'Used GB Charts'!A:BQ,66,FALSE)</f>
        <v>299.52226562500005</v>
      </c>
      <c r="D6" s="704">
        <f ca="1">VLOOKUP(A6,'Used GB Charts'!A:BQ,38,FALSE)+VLOOKUP(A6,'Used GB Charts'!A:BQ,40,FALSE)+VLOOKUP(A6,'Used GB Charts'!A:BQ,42,FALSE)+VLOOKUP(A6,'Used GB Charts'!A:BQ,43,FALSE)+VLOOKUP(A6,'Used GB Charts'!A:BQ,44,FALSE)+VLOOKUP(A6,'Used GB Charts'!A:BQ,56,FALSE)+VLOOKUP(A6,'Used GB Charts'!A:BQ,57,FALSE)+VLOOKUP(A6,'Used GB Charts'!A:BQ,59,FALSE)+VLOOKUP(A6,'Used GB Charts'!A:BQ,65,FALSE)</f>
        <v>1316.8346679687502</v>
      </c>
      <c r="E6" s="704">
        <f ca="1">VLOOKUP(A6,'Used GB Charts'!A:BQ,39,FALSE)+VLOOKUP(A6,'Used GB Charts'!A:BQ,41,FALSE)+VLOOKUP(A6,'Used GB Charts'!A:BQ,45,FALSE)+VLOOKUP(A6,'Used GB Charts'!A:BQ,63,FALSE)+VLOOKUP(A6,'Used GB Charts'!A:BQ,67,FALSE)+VLOOKUP(A6,'Used GB Charts'!A:BQ,68,FALSE)</f>
        <v>1400.9654296874999</v>
      </c>
      <c r="F6" s="704">
        <f ca="1">VLOOKUP(A6,'Used GB Charts'!A:BQ,46,FALSE)+VLOOKUP(A6,'Used GB Charts'!A:BQ,47,FALSE)+VLOOKUP(A6,'Used GB Charts'!A:BQ,52,FALSE)+VLOOKUP(A6,'Used GB Charts'!A:BQ,61,FALSE)+VLOOKUP(A6,'Used GB Charts'!A:BQ,62,FALSE)</f>
        <v>1379.98466796875</v>
      </c>
      <c r="G6" s="704">
        <f ca="1">VLOOKUP(A6,'Used GB Charts'!A:BQ,48,FALSE)+VLOOKUP(A6,'Used GB Charts'!A:BQ,49,FALSE)+VLOOKUP(A6,'Used GB Charts'!A:BQ,50,FALSE)+VLOOKUP(A6,'Used GB Charts'!A:BQ,51,FALSE)+VLOOKUP(A6,'Used GB Charts'!A:BQ,55,FALSE)+VLOOKUP(A6,'Used GB Charts'!A:BQ,58,FALSE)+VLOOKUP(A6,'Used GB Charts'!A:BQ,60,FALSE)</f>
        <v>1127.94501953125</v>
      </c>
      <c r="H6" s="704">
        <f ca="1">VLOOKUP(A6,'Used GB Charts'!A:BQ,53,FALSE)+VLOOKUP(A6,'Used GB Charts'!A:BQ,54,FALSE)</f>
        <v>90.638867187499997</v>
      </c>
      <c r="I6" s="704">
        <f t="shared" ref="I6" ca="1" si="4">SUM(B6:H6)</f>
        <v>6078.8690429687504</v>
      </c>
      <c r="J6" s="987">
        <f ca="1">I6-I21</f>
        <v>144.494140625</v>
      </c>
      <c r="K6" s="987">
        <f ca="1">SUM(J6:J30)/10</f>
        <v>100.25776367187481</v>
      </c>
    </row>
    <row r="7" spans="1:19" s="947" customFormat="1" x14ac:dyDescent="0.25">
      <c r="A7" s="703">
        <v>41942</v>
      </c>
      <c r="B7" s="704">
        <f ca="1">VLOOKUP(A7,'Used GB Charts'!A:BQ,36,FALSE)+VLOOKUP(A7,'Used GB Charts'!A:BQ,64,FALSE)</f>
        <v>462.97812499999998</v>
      </c>
      <c r="C7" s="704">
        <f ca="1">VLOOKUP(A7,'Used GB Charts'!A:BQ,37,FALSE)+VLOOKUP(A7,'Used GB Charts'!A:BQ,66,FALSE)</f>
        <v>299.52226562500005</v>
      </c>
      <c r="D7" s="704">
        <f ca="1">VLOOKUP(A7,'Used GB Charts'!A:BQ,38,FALSE)+VLOOKUP(A7,'Used GB Charts'!A:BQ,40,FALSE)+VLOOKUP(A7,'Used GB Charts'!A:BQ,42,FALSE)+VLOOKUP(A7,'Used GB Charts'!A:BQ,43,FALSE)+VLOOKUP(A7,'Used GB Charts'!A:BQ,44,FALSE)+VLOOKUP(A7,'Used GB Charts'!A:BQ,56,FALSE)+VLOOKUP(A7,'Used GB Charts'!A:BQ,57,FALSE)+VLOOKUP(A7,'Used GB Charts'!A:BQ,59,FALSE)+VLOOKUP(A7,'Used GB Charts'!A:BQ,65,FALSE)</f>
        <v>1316.8346679687502</v>
      </c>
      <c r="E7" s="704">
        <f ca="1">VLOOKUP(A7,'Used GB Charts'!A:BQ,39,FALSE)+VLOOKUP(A7,'Used GB Charts'!A:BQ,41,FALSE)+VLOOKUP(A7,'Used GB Charts'!A:BQ,45,FALSE)+VLOOKUP(A7,'Used GB Charts'!A:BQ,63,FALSE)+VLOOKUP(A7,'Used GB Charts'!A:BQ,67,FALSE)+VLOOKUP(A7,'Used GB Charts'!A:BQ,68,FALSE)</f>
        <v>1400.9654296874999</v>
      </c>
      <c r="F7" s="704">
        <f ca="1">VLOOKUP(A7,'Used GB Charts'!A:BQ,46,FALSE)+VLOOKUP(A7,'Used GB Charts'!A:BQ,47,FALSE)+VLOOKUP(A7,'Used GB Charts'!A:BQ,52,FALSE)+VLOOKUP(A7,'Used GB Charts'!A:BQ,61,FALSE)+VLOOKUP(A7,'Used GB Charts'!A:BQ,62,FALSE)</f>
        <v>1379.98466796875</v>
      </c>
      <c r="G7" s="704">
        <f ca="1">VLOOKUP(A7,'Used GB Charts'!A:BQ,48,FALSE)+VLOOKUP(A7,'Used GB Charts'!A:BQ,49,FALSE)+VLOOKUP(A7,'Used GB Charts'!A:BQ,50,FALSE)+VLOOKUP(A7,'Used GB Charts'!A:BQ,51,FALSE)+VLOOKUP(A7,'Used GB Charts'!A:BQ,55,FALSE)+VLOOKUP(A7,'Used GB Charts'!A:BQ,58,FALSE)+VLOOKUP(A7,'Used GB Charts'!A:BQ,60,FALSE)</f>
        <v>1127.94501953125</v>
      </c>
      <c r="H7" s="704">
        <f ca="1">VLOOKUP(A7,'Used GB Charts'!A:BQ,53,FALSE)+VLOOKUP(A7,'Used GB Charts'!A:BQ,54,FALSE)</f>
        <v>90.638867187499997</v>
      </c>
      <c r="I7" s="704">
        <f t="shared" ref="I7" ca="1" si="5">SUM(B7:H7)</f>
        <v>6078.8690429687504</v>
      </c>
      <c r="J7" s="987">
        <f ca="1">I7-I21</f>
        <v>144.494140625</v>
      </c>
      <c r="K7" s="987">
        <f ca="1">SUM(J7:J30)/10</f>
        <v>85.808349609374815</v>
      </c>
    </row>
    <row r="8" spans="1:19" s="947" customFormat="1" x14ac:dyDescent="0.25">
      <c r="A8" s="703">
        <v>41935</v>
      </c>
      <c r="B8" s="704">
        <f ca="1">VLOOKUP(A8,'Used GB Charts'!A:BQ,36,FALSE)+VLOOKUP(A8,'Used GB Charts'!A:BQ,64,FALSE)</f>
        <v>462.97812499999998</v>
      </c>
      <c r="C8" s="704">
        <f ca="1">VLOOKUP(A8,'Used GB Charts'!A:BQ,37,FALSE)+VLOOKUP(A8,'Used GB Charts'!A:BQ,66,FALSE)</f>
        <v>299.52226562500005</v>
      </c>
      <c r="D8" s="704">
        <f ca="1">VLOOKUP(A8,'Used GB Charts'!A:BQ,38,FALSE)+VLOOKUP(A8,'Used GB Charts'!A:BQ,40,FALSE)+VLOOKUP(A8,'Used GB Charts'!A:BQ,42,FALSE)+VLOOKUP(A8,'Used GB Charts'!A:BQ,43,FALSE)+VLOOKUP(A8,'Used GB Charts'!A:BQ,44,FALSE)+VLOOKUP(A8,'Used GB Charts'!A:BQ,56,FALSE)+VLOOKUP(A8,'Used GB Charts'!A:BQ,57,FALSE)+VLOOKUP(A8,'Used GB Charts'!A:BQ,59,FALSE)+VLOOKUP(A8,'Used GB Charts'!A:BQ,65,FALSE)</f>
        <v>1316.8346679687502</v>
      </c>
      <c r="E8" s="704">
        <f ca="1">VLOOKUP(A8,'Used GB Charts'!A:BQ,39,FALSE)+VLOOKUP(A8,'Used GB Charts'!A:BQ,41,FALSE)+VLOOKUP(A8,'Used GB Charts'!A:BQ,45,FALSE)+VLOOKUP(A8,'Used GB Charts'!A:BQ,63,FALSE)+VLOOKUP(A8,'Used GB Charts'!A:BQ,67,FALSE)+VLOOKUP(A8,'Used GB Charts'!A:BQ,68,FALSE)</f>
        <v>1400.9654296874999</v>
      </c>
      <c r="F8" s="704">
        <f ca="1">VLOOKUP(A8,'Used GB Charts'!A:BQ,46,FALSE)+VLOOKUP(A8,'Used GB Charts'!A:BQ,47,FALSE)+VLOOKUP(A8,'Used GB Charts'!A:BQ,52,FALSE)+VLOOKUP(A8,'Used GB Charts'!A:BQ,61,FALSE)+VLOOKUP(A8,'Used GB Charts'!A:BQ,62,FALSE)</f>
        <v>1379.98466796875</v>
      </c>
      <c r="G8" s="704">
        <f ca="1">VLOOKUP(A8,'Used GB Charts'!A:BQ,48,FALSE)+VLOOKUP(A8,'Used GB Charts'!A:BQ,49,FALSE)+VLOOKUP(A8,'Used GB Charts'!A:BQ,50,FALSE)+VLOOKUP(A8,'Used GB Charts'!A:BQ,51,FALSE)+VLOOKUP(A8,'Used GB Charts'!A:BQ,55,FALSE)+VLOOKUP(A8,'Used GB Charts'!A:BQ,58,FALSE)+VLOOKUP(A8,'Used GB Charts'!A:BQ,60,FALSE)</f>
        <v>1127.94501953125</v>
      </c>
      <c r="H8" s="704">
        <f ca="1">VLOOKUP(A8,'Used GB Charts'!A:BQ,53,FALSE)+VLOOKUP(A8,'Used GB Charts'!A:BQ,54,FALSE)</f>
        <v>32.31494140625</v>
      </c>
      <c r="I8" s="704">
        <f t="shared" ref="I8" ca="1" si="6">SUM(B8:H8)</f>
        <v>6020.5451171875002</v>
      </c>
      <c r="J8" s="987">
        <f ca="1">I8-I21</f>
        <v>86.170214843749818</v>
      </c>
      <c r="K8" s="987">
        <f ca="1">SUM(J8:J30)/10</f>
        <v>71.358935546874818</v>
      </c>
    </row>
    <row r="9" spans="1:19" s="947" customFormat="1" x14ac:dyDescent="0.25">
      <c r="A9" s="703">
        <v>41928</v>
      </c>
      <c r="B9" s="704">
        <f ca="1">VLOOKUP(A9,'Used GB Charts'!A:BQ,36,FALSE)+VLOOKUP(A9,'Used GB Charts'!A:BQ,64,FALSE)</f>
        <v>462.97812499999998</v>
      </c>
      <c r="C9" s="704">
        <f ca="1">VLOOKUP(A9,'Used GB Charts'!A:BQ,37,FALSE)+VLOOKUP(A9,'Used GB Charts'!A:BQ,66,FALSE)</f>
        <v>299.52226562500005</v>
      </c>
      <c r="D9" s="704">
        <f ca="1">VLOOKUP(A9,'Used GB Charts'!A:BQ,38,FALSE)+VLOOKUP(A9,'Used GB Charts'!A:BQ,40,FALSE)+VLOOKUP(A9,'Used GB Charts'!A:BQ,42,FALSE)+VLOOKUP(A9,'Used GB Charts'!A:BQ,43,FALSE)+VLOOKUP(A9,'Used GB Charts'!A:BQ,44,FALSE)+VLOOKUP(A9,'Used GB Charts'!A:BQ,56,FALSE)+VLOOKUP(A9,'Used GB Charts'!A:BQ,57,FALSE)+VLOOKUP(A9,'Used GB Charts'!A:BQ,59,FALSE)+VLOOKUP(A9,'Used GB Charts'!A:BQ,65,FALSE)</f>
        <v>1316.8346679687502</v>
      </c>
      <c r="E9" s="704">
        <f ca="1">VLOOKUP(A9,'Used GB Charts'!A:BQ,39,FALSE)+VLOOKUP(A9,'Used GB Charts'!A:BQ,41,FALSE)+VLOOKUP(A9,'Used GB Charts'!A:BQ,45,FALSE)+VLOOKUP(A9,'Used GB Charts'!A:BQ,63,FALSE)+VLOOKUP(A9,'Used GB Charts'!A:BQ,67,FALSE)+VLOOKUP(A9,'Used GB Charts'!A:BQ,68,FALSE)</f>
        <v>1400.9654296874999</v>
      </c>
      <c r="F9" s="704">
        <f ca="1">VLOOKUP(A9,'Used GB Charts'!A:BQ,46,FALSE)+VLOOKUP(A9,'Used GB Charts'!A:BQ,47,FALSE)+VLOOKUP(A9,'Used GB Charts'!A:BQ,52,FALSE)+VLOOKUP(A9,'Used GB Charts'!A:BQ,61,FALSE)+VLOOKUP(A9,'Used GB Charts'!A:BQ,62,FALSE)</f>
        <v>1379.98466796875</v>
      </c>
      <c r="G9" s="704">
        <f ca="1">VLOOKUP(A9,'Used GB Charts'!A:BQ,48,FALSE)+VLOOKUP(A9,'Used GB Charts'!A:BQ,49,FALSE)+VLOOKUP(A9,'Used GB Charts'!A:BQ,50,FALSE)+VLOOKUP(A9,'Used GB Charts'!A:BQ,51,FALSE)+VLOOKUP(A9,'Used GB Charts'!A:BQ,55,FALSE)+VLOOKUP(A9,'Used GB Charts'!A:BQ,58,FALSE)+VLOOKUP(A9,'Used GB Charts'!A:BQ,60,FALSE)</f>
        <v>1127.94501953125</v>
      </c>
      <c r="H9" s="704">
        <f ca="1">VLOOKUP(A9,'Used GB Charts'!A:BQ,53,FALSE)+VLOOKUP(A9,'Used GB Charts'!A:BQ,54,FALSE)</f>
        <v>32.31494140625</v>
      </c>
      <c r="I9" s="704">
        <f t="shared" ref="I9" ca="1" si="7">SUM(B9:H9)</f>
        <v>6020.5451171875002</v>
      </c>
      <c r="J9" s="987">
        <f ca="1">I9-I21</f>
        <v>86.170214843749818</v>
      </c>
      <c r="K9" s="987">
        <f ca="1">SUM(J9:J30)/10</f>
        <v>62.741914062499838</v>
      </c>
    </row>
    <row r="10" spans="1:19" s="947" customFormat="1" x14ac:dyDescent="0.25">
      <c r="A10" s="703">
        <v>41921</v>
      </c>
      <c r="B10" s="704">
        <f ca="1">VLOOKUP(A10,'Used GB Charts'!A:BQ,36,FALSE)+VLOOKUP(A10,'Used GB Charts'!A:BQ,64,FALSE)</f>
        <v>462.97812499999998</v>
      </c>
      <c r="C10" s="704">
        <f ca="1">VLOOKUP(A10,'Used GB Charts'!A:BQ,37,FALSE)+VLOOKUP(A10,'Used GB Charts'!A:BQ,66,FALSE)</f>
        <v>299.52226562500005</v>
      </c>
      <c r="D10" s="704">
        <f ca="1">VLOOKUP(A10,'Used GB Charts'!A:BQ,38,FALSE)+VLOOKUP(A10,'Used GB Charts'!A:BQ,40,FALSE)+VLOOKUP(A10,'Used GB Charts'!A:BQ,42,FALSE)+VLOOKUP(A10,'Used GB Charts'!A:BQ,43,FALSE)+VLOOKUP(A10,'Used GB Charts'!A:BQ,44,FALSE)+VLOOKUP(A10,'Used GB Charts'!A:BQ,56,FALSE)+VLOOKUP(A10,'Used GB Charts'!A:BQ,57,FALSE)+VLOOKUP(A10,'Used GB Charts'!A:BQ,59,FALSE)+VLOOKUP(A10,'Used GB Charts'!A:BQ,65,FALSE)</f>
        <v>1316.8346679687502</v>
      </c>
      <c r="E10" s="704">
        <f ca="1">VLOOKUP(A10,'Used GB Charts'!A:BQ,39,FALSE)+VLOOKUP(A10,'Used GB Charts'!A:BQ,41,FALSE)+VLOOKUP(A10,'Used GB Charts'!A:BQ,45,FALSE)+VLOOKUP(A10,'Used GB Charts'!A:BQ,63,FALSE)+VLOOKUP(A10,'Used GB Charts'!A:BQ,67,FALSE)+VLOOKUP(A10,'Used GB Charts'!A:BQ,68,FALSE)</f>
        <v>1214.5677734374999</v>
      </c>
      <c r="F10" s="704">
        <f ca="1">VLOOKUP(A10,'Used GB Charts'!A:BQ,46,FALSE)+VLOOKUP(A10,'Used GB Charts'!A:BQ,47,FALSE)+VLOOKUP(A10,'Used GB Charts'!A:BQ,52,FALSE)+VLOOKUP(A10,'Used GB Charts'!A:BQ,61,FALSE)+VLOOKUP(A10,'Used GB Charts'!A:BQ,62,FALSE)</f>
        <v>1379.98466796875</v>
      </c>
      <c r="G10" s="704">
        <f ca="1">VLOOKUP(A10,'Used GB Charts'!A:BQ,48,FALSE)+VLOOKUP(A10,'Used GB Charts'!A:BQ,49,FALSE)+VLOOKUP(A10,'Used GB Charts'!A:BQ,50,FALSE)+VLOOKUP(A10,'Used GB Charts'!A:BQ,51,FALSE)+VLOOKUP(A10,'Used GB Charts'!A:BQ,55,FALSE)+VLOOKUP(A10,'Used GB Charts'!A:BQ,58,FALSE)+VLOOKUP(A10,'Used GB Charts'!A:BQ,60,FALSE)</f>
        <v>1127.94501953125</v>
      </c>
      <c r="H10" s="704">
        <f ca="1">VLOOKUP(A10,'Used GB Charts'!A:BQ,53,FALSE)+VLOOKUP(A10,'Used GB Charts'!A:BQ,54,FALSE)</f>
        <v>32.31494140625</v>
      </c>
      <c r="I10" s="704">
        <f t="shared" ref="I10" ca="1" si="8">SUM(B10:H10)</f>
        <v>5834.1474609375</v>
      </c>
      <c r="J10" s="987">
        <f ca="1">I10-I21</f>
        <v>-100.22744140625036</v>
      </c>
      <c r="K10" s="987">
        <f ca="1">SUM(J10:J30)/10</f>
        <v>54.124892578124857</v>
      </c>
    </row>
    <row r="11" spans="1:19" s="947" customFormat="1" x14ac:dyDescent="0.25">
      <c r="A11" s="703">
        <v>41914</v>
      </c>
      <c r="B11" s="704">
        <f ca="1">VLOOKUP(A11,'Used GB Charts'!A:BQ,36,FALSE)+VLOOKUP(A11,'Used GB Charts'!A:BQ,64,FALSE)</f>
        <v>462.97812499999998</v>
      </c>
      <c r="C11" s="704">
        <f ca="1">VLOOKUP(A11,'Used GB Charts'!A:BQ,37,FALSE)+VLOOKUP(A11,'Used GB Charts'!A:BQ,66,FALSE)</f>
        <v>299.52226562500005</v>
      </c>
      <c r="D11" s="704">
        <f ca="1">VLOOKUP(A11,'Used GB Charts'!A:BQ,38,FALSE)+VLOOKUP(A11,'Used GB Charts'!A:BQ,40,FALSE)+VLOOKUP(A11,'Used GB Charts'!A:BQ,42,FALSE)+VLOOKUP(A11,'Used GB Charts'!A:BQ,43,FALSE)+VLOOKUP(A11,'Used GB Charts'!A:BQ,44,FALSE)+VLOOKUP(A11,'Used GB Charts'!A:BQ,56,FALSE)+VLOOKUP(A11,'Used GB Charts'!A:BQ,57,FALSE)+VLOOKUP(A11,'Used GB Charts'!A:BQ,59,FALSE)+VLOOKUP(A11,'Used GB Charts'!A:BQ,65,FALSE)</f>
        <v>1316.8346679687502</v>
      </c>
      <c r="E11" s="704">
        <f ca="1">VLOOKUP(A11,'Used GB Charts'!A:BQ,39,FALSE)+VLOOKUP(A11,'Used GB Charts'!A:BQ,41,FALSE)+VLOOKUP(A11,'Used GB Charts'!A:BQ,45,FALSE)+VLOOKUP(A11,'Used GB Charts'!A:BQ,63,FALSE)+VLOOKUP(A11,'Used GB Charts'!A:BQ,67,FALSE)+VLOOKUP(A11,'Used GB Charts'!A:BQ,68,FALSE)</f>
        <v>1214.5677734374999</v>
      </c>
      <c r="F11" s="704">
        <f ca="1">VLOOKUP(A11,'Used GB Charts'!A:BQ,46,FALSE)+VLOOKUP(A11,'Used GB Charts'!A:BQ,47,FALSE)+VLOOKUP(A11,'Used GB Charts'!A:BQ,52,FALSE)+VLOOKUP(A11,'Used GB Charts'!A:BQ,61,FALSE)+VLOOKUP(A11,'Used GB Charts'!A:BQ,62,FALSE)</f>
        <v>1379.98466796875</v>
      </c>
      <c r="G11" s="704">
        <f ca="1">VLOOKUP(A11,'Used GB Charts'!A:BQ,48,FALSE)+VLOOKUP(A11,'Used GB Charts'!A:BQ,49,FALSE)+VLOOKUP(A11,'Used GB Charts'!A:BQ,50,FALSE)+VLOOKUP(A11,'Used GB Charts'!A:BQ,51,FALSE)+VLOOKUP(A11,'Used GB Charts'!A:BQ,55,FALSE)+VLOOKUP(A11,'Used GB Charts'!A:BQ,58,FALSE)+VLOOKUP(A11,'Used GB Charts'!A:BQ,60,FALSE)</f>
        <v>1127.94501953125</v>
      </c>
      <c r="H11" s="704">
        <f ca="1">VLOOKUP(A11,'Used GB Charts'!A:BQ,53,FALSE)+VLOOKUP(A11,'Used GB Charts'!A:BQ,54,FALSE)</f>
        <v>32.31494140625</v>
      </c>
      <c r="I11" s="704">
        <f t="shared" ref="I11" ca="1" si="9">SUM(B11:H11)</f>
        <v>5834.1474609375</v>
      </c>
      <c r="J11" s="987">
        <f ca="1">I11-I21</f>
        <v>-100.22744140625036</v>
      </c>
      <c r="K11" s="987">
        <f ca="1">SUM(J11:J30)/10</f>
        <v>64.147636718749894</v>
      </c>
    </row>
    <row r="12" spans="1:19" s="947" customFormat="1" x14ac:dyDescent="0.25">
      <c r="A12" s="703">
        <v>41907</v>
      </c>
      <c r="B12" s="704">
        <f ca="1">VLOOKUP(A12,'Used GB Charts'!A:BQ,36,FALSE)+VLOOKUP(A12,'Used GB Charts'!A:BQ,64,FALSE)</f>
        <v>462.97812499999998</v>
      </c>
      <c r="C12" s="704">
        <f ca="1">VLOOKUP(A12,'Used GB Charts'!A:BQ,37,FALSE)+VLOOKUP(A12,'Used GB Charts'!A:BQ,66,FALSE)</f>
        <v>299.52226562500005</v>
      </c>
      <c r="D12" s="704">
        <f ca="1">VLOOKUP(A12,'Used GB Charts'!A:BQ,38,FALSE)+VLOOKUP(A12,'Used GB Charts'!A:BQ,40,FALSE)+VLOOKUP(A12,'Used GB Charts'!A:BQ,42,FALSE)+VLOOKUP(A12,'Used GB Charts'!A:BQ,43,FALSE)+VLOOKUP(A12,'Used GB Charts'!A:BQ,44,FALSE)+VLOOKUP(A12,'Used GB Charts'!A:BQ,56,FALSE)+VLOOKUP(A12,'Used GB Charts'!A:BQ,57,FALSE)+VLOOKUP(A12,'Used GB Charts'!A:BQ,59,FALSE)+VLOOKUP(A12,'Used GB Charts'!A:BQ,65,FALSE)</f>
        <v>1316.8346679687502</v>
      </c>
      <c r="E12" s="704">
        <f ca="1">VLOOKUP(A12,'Used GB Charts'!A:BQ,39,FALSE)+VLOOKUP(A12,'Used GB Charts'!A:BQ,41,FALSE)+VLOOKUP(A12,'Used GB Charts'!A:BQ,45,FALSE)+VLOOKUP(A12,'Used GB Charts'!A:BQ,63,FALSE)+VLOOKUP(A12,'Used GB Charts'!A:BQ,67,FALSE)+VLOOKUP(A12,'Used GB Charts'!A:BQ,68,FALSE)</f>
        <v>1214.5677734374999</v>
      </c>
      <c r="F12" s="704">
        <f ca="1">VLOOKUP(A12,'Used GB Charts'!A:BQ,46,FALSE)+VLOOKUP(A12,'Used GB Charts'!A:BQ,47,FALSE)+VLOOKUP(A12,'Used GB Charts'!A:BQ,52,FALSE)+VLOOKUP(A12,'Used GB Charts'!A:BQ,61,FALSE)+VLOOKUP(A12,'Used GB Charts'!A:BQ,62,FALSE)</f>
        <v>1379.98466796875</v>
      </c>
      <c r="G12" s="704">
        <f ca="1">VLOOKUP(A12,'Used GB Charts'!A:BQ,48,FALSE)+VLOOKUP(A12,'Used GB Charts'!A:BQ,49,FALSE)+VLOOKUP(A12,'Used GB Charts'!A:BQ,50,FALSE)+VLOOKUP(A12,'Used GB Charts'!A:BQ,51,FALSE)+VLOOKUP(A12,'Used GB Charts'!A:BQ,55,FALSE)+VLOOKUP(A12,'Used GB Charts'!A:BQ,58,FALSE)+VLOOKUP(A12,'Used GB Charts'!A:BQ,60,FALSE)</f>
        <v>1127.94501953125</v>
      </c>
      <c r="H12" s="704">
        <f ca="1">VLOOKUP(A12,'Used GB Charts'!A:BQ,53,FALSE)+VLOOKUP(A12,'Used GB Charts'!A:BQ,54,FALSE)</f>
        <v>32.31494140625</v>
      </c>
      <c r="I12" s="704">
        <f t="shared" ref="I12" ca="1" si="10">SUM(B12:H12)</f>
        <v>5834.1474609375</v>
      </c>
      <c r="J12" s="987">
        <f ca="1">I12-I21</f>
        <v>-100.22744140625036</v>
      </c>
      <c r="K12" s="987">
        <f ca="1">SUM(J12:J30)/10</f>
        <v>74.17038085937493</v>
      </c>
    </row>
    <row r="13" spans="1:19" s="947" customFormat="1" x14ac:dyDescent="0.25">
      <c r="A13" s="703">
        <v>41900</v>
      </c>
      <c r="B13" s="704">
        <f ca="1">VLOOKUP(A13,'Used GB Charts'!A:BQ,36,FALSE)+VLOOKUP(A13,'Used GB Charts'!A:BQ,64,FALSE)</f>
        <v>462.97812499999998</v>
      </c>
      <c r="C13" s="704">
        <f ca="1">VLOOKUP(A13,'Used GB Charts'!A:BQ,37,FALSE)+VLOOKUP(A13,'Used GB Charts'!A:BQ,66,FALSE)</f>
        <v>299.52226562500005</v>
      </c>
      <c r="D13" s="704">
        <f ca="1">VLOOKUP(A13,'Used GB Charts'!A:BQ,38,FALSE)+VLOOKUP(A13,'Used GB Charts'!A:BQ,40,FALSE)+VLOOKUP(A13,'Used GB Charts'!A:BQ,42,FALSE)+VLOOKUP(A13,'Used GB Charts'!A:BQ,43,FALSE)+VLOOKUP(A13,'Used GB Charts'!A:BQ,44,FALSE)+VLOOKUP(A13,'Used GB Charts'!A:BQ,56,FALSE)+VLOOKUP(A13,'Used GB Charts'!A:BQ,57,FALSE)+VLOOKUP(A13,'Used GB Charts'!A:BQ,59,FALSE)+VLOOKUP(A13,'Used GB Charts'!A:BQ,65,FALSE)</f>
        <v>1316.8346679687502</v>
      </c>
      <c r="E13" s="704">
        <f ca="1">VLOOKUP(A13,'Used GB Charts'!A:BQ,39,FALSE)+VLOOKUP(A13,'Used GB Charts'!A:BQ,41,FALSE)+VLOOKUP(A13,'Used GB Charts'!A:BQ,45,FALSE)+VLOOKUP(A13,'Used GB Charts'!A:BQ,63,FALSE)+VLOOKUP(A13,'Used GB Charts'!A:BQ,67,FALSE)+VLOOKUP(A13,'Used GB Charts'!A:BQ,68,FALSE)</f>
        <v>1214.5677734374999</v>
      </c>
      <c r="F13" s="704">
        <f ca="1">VLOOKUP(A13,'Used GB Charts'!A:BQ,46,FALSE)+VLOOKUP(A13,'Used GB Charts'!A:BQ,47,FALSE)+VLOOKUP(A13,'Used GB Charts'!A:BQ,52,FALSE)+VLOOKUP(A13,'Used GB Charts'!A:BQ,61,FALSE)+VLOOKUP(A13,'Used GB Charts'!A:BQ,62,FALSE)</f>
        <v>1379.98466796875</v>
      </c>
      <c r="G13" s="704">
        <f ca="1">VLOOKUP(A13,'Used GB Charts'!A:BQ,48,FALSE)+VLOOKUP(A13,'Used GB Charts'!A:BQ,49,FALSE)+VLOOKUP(A13,'Used GB Charts'!A:BQ,50,FALSE)+VLOOKUP(A13,'Used GB Charts'!A:BQ,51,FALSE)+VLOOKUP(A13,'Used GB Charts'!A:BQ,55,FALSE)+VLOOKUP(A13,'Used GB Charts'!A:BQ,58,FALSE)+VLOOKUP(A13,'Used GB Charts'!A:BQ,60,FALSE)</f>
        <v>1127.94501953125</v>
      </c>
      <c r="H13" s="704">
        <f ca="1">VLOOKUP(A13,'Used GB Charts'!A:BQ,53,FALSE)+VLOOKUP(A13,'Used GB Charts'!A:BQ,54,FALSE)</f>
        <v>32.31494140625</v>
      </c>
      <c r="I13" s="704">
        <f t="shared" ref="I13" ca="1" si="11">SUM(B13:H13)</f>
        <v>5834.1474609375</v>
      </c>
      <c r="J13" s="987">
        <f ca="1">I13-I21</f>
        <v>-100.22744140625036</v>
      </c>
      <c r="K13" s="987">
        <f ca="1">SUM(J13:J30)/10</f>
        <v>84.193124999999966</v>
      </c>
    </row>
    <row r="14" spans="1:19" s="947" customFormat="1" x14ac:dyDescent="0.25">
      <c r="A14" s="703">
        <v>41893</v>
      </c>
      <c r="B14" s="704">
        <f ca="1">VLOOKUP(A14,'Used GB Charts'!A:BQ,36,FALSE)+VLOOKUP(A14,'Used GB Charts'!A:BQ,64,FALSE)</f>
        <v>462.97812499999998</v>
      </c>
      <c r="C14" s="704">
        <f ca="1">VLOOKUP(A14,'Used GB Charts'!A:BQ,37,FALSE)+VLOOKUP(A14,'Used GB Charts'!A:BQ,66,FALSE)</f>
        <v>299.52226562500005</v>
      </c>
      <c r="D14" s="704">
        <f ca="1">VLOOKUP(A14,'Used GB Charts'!A:BQ,38,FALSE)+VLOOKUP(A14,'Used GB Charts'!A:BQ,40,FALSE)+VLOOKUP(A14,'Used GB Charts'!A:BQ,42,FALSE)+VLOOKUP(A14,'Used GB Charts'!A:BQ,43,FALSE)+VLOOKUP(A14,'Used GB Charts'!A:BQ,44,FALSE)+VLOOKUP(A14,'Used GB Charts'!A:BQ,56,FALSE)+VLOOKUP(A14,'Used GB Charts'!A:BQ,57,FALSE)+VLOOKUP(A14,'Used GB Charts'!A:BQ,59,FALSE)+VLOOKUP(A14,'Used GB Charts'!A:BQ,65,FALSE)</f>
        <v>1316.8346679687502</v>
      </c>
      <c r="E14" s="704">
        <f ca="1">VLOOKUP(A14,'Used GB Charts'!A:BQ,39,FALSE)+VLOOKUP(A14,'Used GB Charts'!A:BQ,41,FALSE)+VLOOKUP(A14,'Used GB Charts'!A:BQ,45,FALSE)+VLOOKUP(A14,'Used GB Charts'!A:BQ,63,FALSE)+VLOOKUP(A14,'Used GB Charts'!A:BQ,67,FALSE)+VLOOKUP(A14,'Used GB Charts'!A:BQ,68,FALSE)</f>
        <v>1214.56279296875</v>
      </c>
      <c r="F14" s="704">
        <f ca="1">VLOOKUP(A14,'Used GB Charts'!A:BQ,46,FALSE)+VLOOKUP(A14,'Used GB Charts'!A:BQ,47,FALSE)+VLOOKUP(A14,'Used GB Charts'!A:BQ,52,FALSE)+VLOOKUP(A14,'Used GB Charts'!A:BQ,61,FALSE)+VLOOKUP(A14,'Used GB Charts'!A:BQ,62,FALSE)</f>
        <v>1379.98466796875</v>
      </c>
      <c r="G14" s="704">
        <f ca="1">VLOOKUP(A14,'Used GB Charts'!A:BQ,48,FALSE)+VLOOKUP(A14,'Used GB Charts'!A:BQ,49,FALSE)+VLOOKUP(A14,'Used GB Charts'!A:BQ,50,FALSE)+VLOOKUP(A14,'Used GB Charts'!A:BQ,51,FALSE)+VLOOKUP(A14,'Used GB Charts'!A:BQ,55,FALSE)+VLOOKUP(A14,'Used GB Charts'!A:BQ,58,FALSE)+VLOOKUP(A14,'Used GB Charts'!A:BQ,60,FALSE)</f>
        <v>1127.94501953125</v>
      </c>
      <c r="H14" s="704">
        <f ca="1">VLOOKUP(A14,'Used GB Charts'!A:BQ,53,FALSE)+VLOOKUP(A14,'Used GB Charts'!A:BQ,54,FALSE)</f>
        <v>32.31494140625</v>
      </c>
      <c r="I14" s="704">
        <f t="shared" ref="I14" ca="1" si="12">SUM(B14:H14)</f>
        <v>5834.1424804687504</v>
      </c>
      <c r="J14" s="987">
        <f ca="1">I14-I21</f>
        <v>-100.232421875</v>
      </c>
      <c r="K14" s="987">
        <f ca="1">SUM(J14:J30)/10</f>
        <v>94.215869140625003</v>
      </c>
    </row>
    <row r="15" spans="1:19" s="947" customFormat="1" x14ac:dyDescent="0.25">
      <c r="A15" s="703">
        <v>41886</v>
      </c>
      <c r="B15" s="704">
        <f ca="1">VLOOKUP(A15,'Used GB Charts'!A:BQ,36,FALSE)+VLOOKUP(A15,'Used GB Charts'!A:BQ,64,FALSE)</f>
        <v>462.97812499999998</v>
      </c>
      <c r="C15" s="704">
        <f ca="1">VLOOKUP(A15,'Used GB Charts'!A:BQ,37,FALSE)+VLOOKUP(A15,'Used GB Charts'!A:BQ,66,FALSE)</f>
        <v>299.52226562500005</v>
      </c>
      <c r="D15" s="704">
        <f ca="1">VLOOKUP(A15,'Used GB Charts'!A:BQ,38,FALSE)+VLOOKUP(A15,'Used GB Charts'!A:BQ,40,FALSE)+VLOOKUP(A15,'Used GB Charts'!A:BQ,42,FALSE)+VLOOKUP(A15,'Used GB Charts'!A:BQ,43,FALSE)+VLOOKUP(A15,'Used GB Charts'!A:BQ,44,FALSE)+VLOOKUP(A15,'Used GB Charts'!A:BQ,56,FALSE)+VLOOKUP(A15,'Used GB Charts'!A:BQ,57,FALSE)+VLOOKUP(A15,'Used GB Charts'!A:BQ,59,FALSE)+VLOOKUP(A15,'Used GB Charts'!A:BQ,65,FALSE)</f>
        <v>1316.8346679687502</v>
      </c>
      <c r="E15" s="704">
        <f ca="1">VLOOKUP(A15,'Used GB Charts'!A:BQ,39,FALSE)+VLOOKUP(A15,'Used GB Charts'!A:BQ,41,FALSE)+VLOOKUP(A15,'Used GB Charts'!A:BQ,45,FALSE)+VLOOKUP(A15,'Used GB Charts'!A:BQ,63,FALSE)+VLOOKUP(A15,'Used GB Charts'!A:BQ,67,FALSE)+VLOOKUP(A15,'Used GB Charts'!A:BQ,68,FALSE)</f>
        <v>1214.56279296875</v>
      </c>
      <c r="F15" s="704">
        <f ca="1">VLOOKUP(A15,'Used GB Charts'!A:BQ,46,FALSE)+VLOOKUP(A15,'Used GB Charts'!A:BQ,47,FALSE)+VLOOKUP(A15,'Used GB Charts'!A:BQ,52,FALSE)+VLOOKUP(A15,'Used GB Charts'!A:BQ,61,FALSE)+VLOOKUP(A15,'Used GB Charts'!A:BQ,62,FALSE)</f>
        <v>1379.98466796875</v>
      </c>
      <c r="G15" s="704">
        <f ca="1">VLOOKUP(A15,'Used GB Charts'!A:BQ,48,FALSE)+VLOOKUP(A15,'Used GB Charts'!A:BQ,49,FALSE)+VLOOKUP(A15,'Used GB Charts'!A:BQ,50,FALSE)+VLOOKUP(A15,'Used GB Charts'!A:BQ,51,FALSE)+VLOOKUP(A15,'Used GB Charts'!A:BQ,55,FALSE)+VLOOKUP(A15,'Used GB Charts'!A:BQ,58,FALSE)+VLOOKUP(A15,'Used GB Charts'!A:BQ,60,FALSE)</f>
        <v>1127.94501953125</v>
      </c>
      <c r="H15" s="704">
        <f ca="1">VLOOKUP(A15,'Used GB Charts'!A:BQ,53,FALSE)+VLOOKUP(A15,'Used GB Charts'!A:BQ,54,FALSE)</f>
        <v>32.31494140625</v>
      </c>
      <c r="I15" s="704">
        <f t="shared" ref="I15" ca="1" si="13">SUM(B15:H15)</f>
        <v>5834.1424804687504</v>
      </c>
      <c r="J15" s="987">
        <f ca="1">I15-I21</f>
        <v>-100.232421875</v>
      </c>
      <c r="K15" s="987">
        <f ca="1">SUM(J15:J30)/10</f>
        <v>104.23911132812501</v>
      </c>
    </row>
    <row r="16" spans="1:19" s="947" customFormat="1" x14ac:dyDescent="0.25">
      <c r="A16" s="703">
        <v>41878</v>
      </c>
      <c r="B16" s="704">
        <f ca="1">VLOOKUP(A16,'Used GB Charts'!A:BQ,36,FALSE)+VLOOKUP(A16,'Used GB Charts'!A:BQ,64,FALSE)</f>
        <v>462.97812499999998</v>
      </c>
      <c r="C16" s="704">
        <f ca="1">VLOOKUP(A16,'Used GB Charts'!A:BQ,37,FALSE)+VLOOKUP(A16,'Used GB Charts'!A:BQ,66,FALSE)</f>
        <v>299.52226562500005</v>
      </c>
      <c r="D16" s="704">
        <f ca="1">VLOOKUP(A16,'Used GB Charts'!A:BQ,38,FALSE)+VLOOKUP(A16,'Used GB Charts'!A:BQ,40,FALSE)+VLOOKUP(A16,'Used GB Charts'!A:BQ,42,FALSE)+VLOOKUP(A16,'Used GB Charts'!A:BQ,43,FALSE)+VLOOKUP(A16,'Used GB Charts'!A:BQ,44,FALSE)+VLOOKUP(A16,'Used GB Charts'!A:BQ,56,FALSE)+VLOOKUP(A16,'Used GB Charts'!A:BQ,57,FALSE)+VLOOKUP(A16,'Used GB Charts'!A:BQ,59,FALSE)+VLOOKUP(A16,'Used GB Charts'!A:BQ,65,FALSE)</f>
        <v>1316.8346679687502</v>
      </c>
      <c r="E16" s="704">
        <f ca="1">VLOOKUP(A16,'Used GB Charts'!A:BQ,39,FALSE)+VLOOKUP(A16,'Used GB Charts'!A:BQ,41,FALSE)+VLOOKUP(A16,'Used GB Charts'!A:BQ,45,FALSE)+VLOOKUP(A16,'Used GB Charts'!A:BQ,63,FALSE)+VLOOKUP(A16,'Used GB Charts'!A:BQ,67,FALSE)+VLOOKUP(A16,'Used GB Charts'!A:BQ,68,FALSE)</f>
        <v>1214.56279296875</v>
      </c>
      <c r="F16" s="704">
        <f ca="1">VLOOKUP(A16,'Used GB Charts'!A:BQ,46,FALSE)+VLOOKUP(A16,'Used GB Charts'!A:BQ,47,FALSE)+VLOOKUP(A16,'Used GB Charts'!A:BQ,52,FALSE)+VLOOKUP(A16,'Used GB Charts'!A:BQ,61,FALSE)+VLOOKUP(A16,'Used GB Charts'!A:BQ,62,FALSE)</f>
        <v>1379.98466796875</v>
      </c>
      <c r="G16" s="704">
        <f ca="1">VLOOKUP(A16,'Used GB Charts'!A:BQ,48,FALSE)+VLOOKUP(A16,'Used GB Charts'!A:BQ,49,FALSE)+VLOOKUP(A16,'Used GB Charts'!A:BQ,50,FALSE)+VLOOKUP(A16,'Used GB Charts'!A:BQ,51,FALSE)+VLOOKUP(A16,'Used GB Charts'!A:BQ,55,FALSE)+VLOOKUP(A16,'Used GB Charts'!A:BQ,58,FALSE)+VLOOKUP(A16,'Used GB Charts'!A:BQ,60,FALSE)</f>
        <v>1127.94501953125</v>
      </c>
      <c r="H16" s="704">
        <f ca="1">VLOOKUP(A16,'Used GB Charts'!A:BQ,53,FALSE)+VLOOKUP(A16,'Used GB Charts'!A:BQ,54,FALSE)</f>
        <v>32.31494140625</v>
      </c>
      <c r="I16" s="704">
        <f t="shared" ref="I16" ca="1" si="14">SUM(B16:H16)</f>
        <v>5834.1424804687504</v>
      </c>
      <c r="J16" s="987">
        <f ca="1">I16-I21</f>
        <v>-100.232421875</v>
      </c>
      <c r="K16" s="987">
        <f ca="1">SUM(J16:J30)/10</f>
        <v>114.26235351562499</v>
      </c>
    </row>
    <row r="17" spans="1:11" s="947" customFormat="1" x14ac:dyDescent="0.25">
      <c r="A17" s="703">
        <v>41871</v>
      </c>
      <c r="B17" s="704">
        <f ca="1">VLOOKUP(A17,'Used GB Charts'!A:BQ,36,FALSE)+VLOOKUP(A17,'Used GB Charts'!A:BQ,64,FALSE)</f>
        <v>462.97812499999998</v>
      </c>
      <c r="C17" s="704">
        <f ca="1">VLOOKUP(A17,'Used GB Charts'!A:BQ,37,FALSE)+VLOOKUP(A17,'Used GB Charts'!A:BQ,66,FALSE)</f>
        <v>299.52226562500005</v>
      </c>
      <c r="D17" s="704">
        <f ca="1">VLOOKUP(A17,'Used GB Charts'!A:BQ,38,FALSE)+VLOOKUP(A17,'Used GB Charts'!A:BQ,40,FALSE)+VLOOKUP(A17,'Used GB Charts'!A:BQ,42,FALSE)+VLOOKUP(A17,'Used GB Charts'!A:BQ,43,FALSE)+VLOOKUP(A17,'Used GB Charts'!A:BQ,44,FALSE)+VLOOKUP(A17,'Used GB Charts'!A:BQ,56,FALSE)+VLOOKUP(A17,'Used GB Charts'!A:BQ,57,FALSE)+VLOOKUP(A17,'Used GB Charts'!A:BQ,59,FALSE)+VLOOKUP(A17,'Used GB Charts'!A:BQ,65,FALSE)</f>
        <v>1316.8346679687502</v>
      </c>
      <c r="E17" s="704">
        <f ca="1">VLOOKUP(A17,'Used GB Charts'!A:BQ,39,FALSE)+VLOOKUP(A17,'Used GB Charts'!A:BQ,41,FALSE)+VLOOKUP(A17,'Used GB Charts'!A:BQ,45,FALSE)+VLOOKUP(A17,'Used GB Charts'!A:BQ,63,FALSE)+VLOOKUP(A17,'Used GB Charts'!A:BQ,67,FALSE)+VLOOKUP(A17,'Used GB Charts'!A:BQ,68,FALSE)</f>
        <v>1214.56279296875</v>
      </c>
      <c r="F17" s="704">
        <f ca="1">VLOOKUP(A17,'Used GB Charts'!A:BQ,46,FALSE)+VLOOKUP(A17,'Used GB Charts'!A:BQ,47,FALSE)+VLOOKUP(A17,'Used GB Charts'!A:BQ,52,FALSE)+VLOOKUP(A17,'Used GB Charts'!A:BQ,61,FALSE)+VLOOKUP(A17,'Used GB Charts'!A:BQ,62,FALSE)</f>
        <v>1379.98466796875</v>
      </c>
      <c r="G17" s="704">
        <f ca="1">VLOOKUP(A17,'Used GB Charts'!A:BQ,48,FALSE)+VLOOKUP(A17,'Used GB Charts'!A:BQ,49,FALSE)+VLOOKUP(A17,'Used GB Charts'!A:BQ,50,FALSE)+VLOOKUP(A17,'Used GB Charts'!A:BQ,51,FALSE)+VLOOKUP(A17,'Used GB Charts'!A:BQ,55,FALSE)+VLOOKUP(A17,'Used GB Charts'!A:BQ,58,FALSE)+VLOOKUP(A17,'Used GB Charts'!A:BQ,60,FALSE)</f>
        <v>1127.94501953125</v>
      </c>
      <c r="H17" s="704">
        <f ca="1">VLOOKUP(A17,'Used GB Charts'!A:BQ,53,FALSE)+VLOOKUP(A17,'Used GB Charts'!A:BQ,54,FALSE)</f>
        <v>32.31494140625</v>
      </c>
      <c r="I17" s="704">
        <f t="shared" ref="I17" ca="1" si="15">SUM(B17:H17)</f>
        <v>5834.1424804687504</v>
      </c>
      <c r="J17" s="987">
        <f ca="1">I17-I21</f>
        <v>-100.232421875</v>
      </c>
      <c r="K17" s="987">
        <f ca="1">SUM(J17:J30)/10</f>
        <v>124.285595703125</v>
      </c>
    </row>
    <row r="18" spans="1:11" s="947" customFormat="1" x14ac:dyDescent="0.25">
      <c r="A18" s="703">
        <v>41864</v>
      </c>
      <c r="B18" s="704">
        <f ca="1">VLOOKUP(A18,'Used GB Charts'!A:BQ,36,FALSE)+VLOOKUP(A18,'Used GB Charts'!A:BQ,64,FALSE)</f>
        <v>462.97812499999998</v>
      </c>
      <c r="C18" s="704">
        <f ca="1">VLOOKUP(A18,'Used GB Charts'!A:BQ,37,FALSE)+VLOOKUP(A18,'Used GB Charts'!A:BQ,66,FALSE)</f>
        <v>299.52226562500005</v>
      </c>
      <c r="D18" s="704">
        <f ca="1">VLOOKUP(A18,'Used GB Charts'!A:BQ,38,FALSE)+VLOOKUP(A18,'Used GB Charts'!A:BQ,40,FALSE)+VLOOKUP(A18,'Used GB Charts'!A:BQ,42,FALSE)+VLOOKUP(A18,'Used GB Charts'!A:BQ,43,FALSE)+VLOOKUP(A18,'Used GB Charts'!A:BQ,44,FALSE)+VLOOKUP(A18,'Used GB Charts'!A:BQ,56,FALSE)+VLOOKUP(A18,'Used GB Charts'!A:BQ,57,FALSE)+VLOOKUP(A18,'Used GB Charts'!A:BQ,59,FALSE)+VLOOKUP(A18,'Used GB Charts'!A:BQ,65,FALSE)</f>
        <v>1316.8346679687502</v>
      </c>
      <c r="E18" s="704">
        <f ca="1">VLOOKUP(A18,'Used GB Charts'!A:BQ,39,FALSE)+VLOOKUP(A18,'Used GB Charts'!A:BQ,41,FALSE)+VLOOKUP(A18,'Used GB Charts'!A:BQ,45,FALSE)+VLOOKUP(A18,'Used GB Charts'!A:BQ,63,FALSE)+VLOOKUP(A18,'Used GB Charts'!A:BQ,67,FALSE)+VLOOKUP(A18,'Used GB Charts'!A:BQ,68,FALSE)</f>
        <v>1214.56279296875</v>
      </c>
      <c r="F18" s="704">
        <f ca="1">VLOOKUP(A18,'Used GB Charts'!A:BQ,46,FALSE)+VLOOKUP(A18,'Used GB Charts'!A:BQ,47,FALSE)+VLOOKUP(A18,'Used GB Charts'!A:BQ,52,FALSE)+VLOOKUP(A18,'Used GB Charts'!A:BQ,61,FALSE)+VLOOKUP(A18,'Used GB Charts'!A:BQ,62,FALSE)</f>
        <v>1379.98466796875</v>
      </c>
      <c r="G18" s="704">
        <f ca="1">VLOOKUP(A18,'Used GB Charts'!A:BQ,48,FALSE)+VLOOKUP(A18,'Used GB Charts'!A:BQ,49,FALSE)+VLOOKUP(A18,'Used GB Charts'!A:BQ,50,FALSE)+VLOOKUP(A18,'Used GB Charts'!A:BQ,51,FALSE)+VLOOKUP(A18,'Used GB Charts'!A:BQ,55,FALSE)+VLOOKUP(A18,'Used GB Charts'!A:BQ,58,FALSE)+VLOOKUP(A18,'Used GB Charts'!A:BQ,60,FALSE)</f>
        <v>1127.94501953125</v>
      </c>
      <c r="H18" s="704">
        <f ca="1">VLOOKUP(A18,'Used GB Charts'!A:BQ,53,FALSE)+VLOOKUP(A18,'Used GB Charts'!A:BQ,54,FALSE)</f>
        <v>32.31494140625</v>
      </c>
      <c r="I18" s="704">
        <f t="shared" ref="I18" ca="1" si="16">SUM(B18:H18)</f>
        <v>5834.1424804687504</v>
      </c>
      <c r="J18" s="987">
        <f ca="1">I18-I21</f>
        <v>-100.232421875</v>
      </c>
      <c r="K18" s="987">
        <f ca="1">SUM(J18:J30)/10</f>
        <v>134.308837890625</v>
      </c>
    </row>
    <row r="19" spans="1:11" s="947" customFormat="1" x14ac:dyDescent="0.25">
      <c r="A19" s="703">
        <v>41857</v>
      </c>
      <c r="B19" s="704">
        <f ca="1">VLOOKUP(A19,'Used GB Charts'!A:BQ,36,FALSE)+VLOOKUP(A19,'Used GB Charts'!A:BQ,64,FALSE)</f>
        <v>462.97812499999998</v>
      </c>
      <c r="C19" s="704">
        <f ca="1">VLOOKUP(A19,'Used GB Charts'!A:BQ,37,FALSE)+VLOOKUP(A19,'Used GB Charts'!A:BQ,66,FALSE)</f>
        <v>299.52226562500005</v>
      </c>
      <c r="D19" s="704">
        <f ca="1">VLOOKUP(A19,'Used GB Charts'!A:BQ,38,FALSE)+VLOOKUP(A19,'Used GB Charts'!A:BQ,40,FALSE)+VLOOKUP(A19,'Used GB Charts'!A:BQ,42,FALSE)+VLOOKUP(A19,'Used GB Charts'!A:BQ,43,FALSE)+VLOOKUP(A19,'Used GB Charts'!A:BQ,44,FALSE)+VLOOKUP(A19,'Used GB Charts'!A:BQ,56,FALSE)+VLOOKUP(A19,'Used GB Charts'!A:BQ,57,FALSE)+VLOOKUP(A19,'Used GB Charts'!A:BQ,59,FALSE)+VLOOKUP(A19,'Used GB Charts'!A:BQ,65,FALSE)</f>
        <v>1316.8346679687502</v>
      </c>
      <c r="E19" s="704">
        <f ca="1">VLOOKUP(A19,'Used GB Charts'!A:BQ,39,FALSE)+VLOOKUP(A19,'Used GB Charts'!A:BQ,41,FALSE)+VLOOKUP(A19,'Used GB Charts'!A:BQ,45,FALSE)+VLOOKUP(A19,'Used GB Charts'!A:BQ,63,FALSE)+VLOOKUP(A19,'Used GB Charts'!A:BQ,67,FALSE)+VLOOKUP(A19,'Used GB Charts'!A:BQ,68,FALSE)</f>
        <v>1214.56279296875</v>
      </c>
      <c r="F19" s="704">
        <f ca="1">VLOOKUP(A19,'Used GB Charts'!A:BQ,46,FALSE)+VLOOKUP(A19,'Used GB Charts'!A:BQ,47,FALSE)+VLOOKUP(A19,'Used GB Charts'!A:BQ,52,FALSE)+VLOOKUP(A19,'Used GB Charts'!A:BQ,61,FALSE)+VLOOKUP(A19,'Used GB Charts'!A:BQ,62,FALSE)</f>
        <v>1379.98466796875</v>
      </c>
      <c r="G19" s="704">
        <f ca="1">VLOOKUP(A19,'Used GB Charts'!A:BQ,48,FALSE)+VLOOKUP(A19,'Used GB Charts'!A:BQ,49,FALSE)+VLOOKUP(A19,'Used GB Charts'!A:BQ,50,FALSE)+VLOOKUP(A19,'Used GB Charts'!A:BQ,51,FALSE)+VLOOKUP(A19,'Used GB Charts'!A:BQ,55,FALSE)+VLOOKUP(A19,'Used GB Charts'!A:BQ,58,FALSE)+VLOOKUP(A19,'Used GB Charts'!A:BQ,60,FALSE)</f>
        <v>1127.94501953125</v>
      </c>
      <c r="H19" s="704">
        <f ca="1">VLOOKUP(A19,'Used GB Charts'!A:BQ,53,FALSE)+VLOOKUP(A19,'Used GB Charts'!A:BQ,54,FALSE)</f>
        <v>32.31494140625</v>
      </c>
      <c r="I19" s="704">
        <f t="shared" ref="I19" ca="1" si="17">SUM(B19:H19)</f>
        <v>5834.1424804687504</v>
      </c>
      <c r="J19" s="987">
        <f ca="1">I19-I21</f>
        <v>-100.232421875</v>
      </c>
      <c r="K19" s="987">
        <f ca="1">SUM(J19:J30)/10</f>
        <v>144.33208007812499</v>
      </c>
    </row>
    <row r="20" spans="1:11" s="947" customFormat="1" x14ac:dyDescent="0.25">
      <c r="A20" s="703">
        <v>41850</v>
      </c>
      <c r="B20" s="704">
        <f ca="1">VLOOKUP(A20,'Used GB Charts'!A:BQ,36,FALSE)+VLOOKUP(A20,'Used GB Charts'!A:BQ,64,FALSE)</f>
        <v>462.97812499999998</v>
      </c>
      <c r="C20" s="704">
        <f ca="1">VLOOKUP(A20,'Used GB Charts'!A:BQ,37,FALSE)+VLOOKUP(A20,'Used GB Charts'!A:BQ,66,FALSE)</f>
        <v>299.52226562500005</v>
      </c>
      <c r="D20" s="704">
        <f ca="1">VLOOKUP(A20,'Used GB Charts'!A:BQ,38,FALSE)+VLOOKUP(A20,'Used GB Charts'!A:BQ,40,FALSE)+VLOOKUP(A20,'Used GB Charts'!A:BQ,42,FALSE)+VLOOKUP(A20,'Used GB Charts'!A:BQ,43,FALSE)+VLOOKUP(A20,'Used GB Charts'!A:BQ,44,FALSE)+VLOOKUP(A20,'Used GB Charts'!A:BQ,56,FALSE)+VLOOKUP(A20,'Used GB Charts'!A:BQ,57,FALSE)+VLOOKUP(A20,'Used GB Charts'!A:BQ,59,FALSE)+VLOOKUP(A20,'Used GB Charts'!A:BQ,65,FALSE)</f>
        <v>1316.8346679687502</v>
      </c>
      <c r="E20" s="704">
        <f ca="1">VLOOKUP(A20,'Used GB Charts'!A:BQ,39,FALSE)+VLOOKUP(A20,'Used GB Charts'!A:BQ,41,FALSE)+VLOOKUP(A20,'Used GB Charts'!A:BQ,45,FALSE)+VLOOKUP(A20,'Used GB Charts'!A:BQ,63,FALSE)+VLOOKUP(A20,'Used GB Charts'!A:BQ,67,FALSE)+VLOOKUP(A20,'Used GB Charts'!A:BQ,68,FALSE)</f>
        <v>1214.56279296875</v>
      </c>
      <c r="F20" s="704">
        <f ca="1">VLOOKUP(A20,'Used GB Charts'!A:BQ,46,FALSE)+VLOOKUP(A20,'Used GB Charts'!A:BQ,47,FALSE)+VLOOKUP(A20,'Used GB Charts'!A:BQ,52,FALSE)+VLOOKUP(A20,'Used GB Charts'!A:BQ,61,FALSE)+VLOOKUP(A20,'Used GB Charts'!A:BQ,62,FALSE)</f>
        <v>1379.98466796875</v>
      </c>
      <c r="G20" s="704">
        <f ca="1">VLOOKUP(A20,'Used GB Charts'!A:BQ,42,FALSE)+VLOOKUP(A20,'Used GB Charts'!A:BQ,43,FALSE)+VLOOKUP(A20,'Used GB Charts'!A:BQ,44,FALSE)++VLOOKUP(A20,'Used GB Charts'!A:BQ,45,FALSE)+VLOOKUP(A20,'Used GB Charts'!A:BQ,49,FALSE)+VLOOKUP(A20,'Used GB Charts'!A:BQ,52,FALSE)+VLOOKUP(A20,'Used GB Charts'!A:BQ,54,FALSE)</f>
        <v>1228.1774414062502</v>
      </c>
      <c r="H20" s="704">
        <f ca="1">VLOOKUP(A20,'Used GB Charts'!A:BQ,53,FALSE)+VLOOKUP(A20,'Used GB Charts'!A:BQ,54,FALSE)</f>
        <v>32.31494140625</v>
      </c>
      <c r="I20" s="704">
        <f t="shared" ref="I20" ca="1" si="18">SUM(B20:H20)</f>
        <v>5934.3749023437504</v>
      </c>
      <c r="J20" s="987">
        <f t="shared" ref="J20:J72" ca="1" si="19">I20-I21</f>
        <v>0</v>
      </c>
      <c r="K20" s="987">
        <f t="shared" ref="K20:K73" ca="1" si="20">SUM(J20:J30)/10</f>
        <v>154.35532226562501</v>
      </c>
    </row>
    <row r="21" spans="1:11" s="947" customFormat="1" x14ac:dyDescent="0.25">
      <c r="A21" s="703">
        <v>41843</v>
      </c>
      <c r="B21" s="704">
        <f ca="1">VLOOKUP(A21,'Used GB Charts'!A:BQ,36,FALSE)+VLOOKUP(A21,'Used GB Charts'!A:BQ,64,FALSE)</f>
        <v>462.97812499999998</v>
      </c>
      <c r="C21" s="704">
        <f ca="1">VLOOKUP(A21,'Used GB Charts'!A:BQ,37,FALSE)+VLOOKUP(A21,'Used GB Charts'!A:BQ,66,FALSE)</f>
        <v>299.52226562500005</v>
      </c>
      <c r="D21" s="704">
        <f ca="1">VLOOKUP(A21,'Used GB Charts'!A:BQ,38,FALSE)+VLOOKUP(A21,'Used GB Charts'!A:BQ,40,FALSE)+VLOOKUP(A21,'Used GB Charts'!A:BQ,42,FALSE)+VLOOKUP(A21,'Used GB Charts'!A:BQ,43,FALSE)+VLOOKUP(A21,'Used GB Charts'!A:BQ,44,FALSE)+VLOOKUP(A21,'Used GB Charts'!A:BQ,56,FALSE)+VLOOKUP(A21,'Used GB Charts'!A:BQ,57,FALSE)+VLOOKUP(A21,'Used GB Charts'!A:BQ,59,FALSE)+VLOOKUP(A21,'Used GB Charts'!A:BQ,65,FALSE)</f>
        <v>1316.8346679687502</v>
      </c>
      <c r="E21" s="704">
        <f ca="1">VLOOKUP(A21,'Used GB Charts'!A:BQ,39,FALSE)+VLOOKUP(A21,'Used GB Charts'!A:BQ,41,FALSE)+VLOOKUP(A21,'Used GB Charts'!A:BQ,45,FALSE)+VLOOKUP(A21,'Used GB Charts'!A:BQ,63,FALSE)+VLOOKUP(A21,'Used GB Charts'!A:BQ,67,FALSE)+VLOOKUP(A21,'Used GB Charts'!A:BQ,68,FALSE)</f>
        <v>1214.56279296875</v>
      </c>
      <c r="F21" s="704">
        <f ca="1">VLOOKUP(A21,'Used GB Charts'!A:BQ,46,FALSE)+VLOOKUP(A21,'Used GB Charts'!A:BQ,47,FALSE)+VLOOKUP(A21,'Used GB Charts'!A:BQ,52,FALSE)+VLOOKUP(A21,'Used GB Charts'!A:BQ,61,FALSE)+VLOOKUP(A21,'Used GB Charts'!A:BQ,62,FALSE)</f>
        <v>1379.98466796875</v>
      </c>
      <c r="G21" s="704">
        <f ca="1">VLOOKUP(A21,'Used GB Charts'!A:BQ,42,FALSE)+VLOOKUP(A21,'Used GB Charts'!A:BQ,43,FALSE)+VLOOKUP(A21,'Used GB Charts'!A:BQ,44,FALSE)++VLOOKUP(A21,'Used GB Charts'!A:BQ,45,FALSE)+VLOOKUP(A21,'Used GB Charts'!A:BQ,49,FALSE)+VLOOKUP(A21,'Used GB Charts'!A:BQ,52,FALSE)+VLOOKUP(A21,'Used GB Charts'!A:BQ,54,FALSE)</f>
        <v>1228.1774414062502</v>
      </c>
      <c r="H21" s="704">
        <f ca="1">VLOOKUP(A21,'Used GB Charts'!A:BQ,53,FALSE)+VLOOKUP(A21,'Used GB Charts'!A:BQ,54,FALSE)</f>
        <v>32.31494140625</v>
      </c>
      <c r="I21" s="704">
        <f t="shared" ref="I21" ca="1" si="21">SUM(B21:H21)</f>
        <v>5934.3749023437504</v>
      </c>
      <c r="J21" s="987">
        <f t="shared" ca="1" si="19"/>
        <v>218.81455078125055</v>
      </c>
      <c r="K21" s="987">
        <f t="shared" ca="1" si="20"/>
        <v>154.35506835937503</v>
      </c>
    </row>
    <row r="22" spans="1:11" s="947" customFormat="1" x14ac:dyDescent="0.25">
      <c r="A22" s="703">
        <v>41836</v>
      </c>
      <c r="B22" s="704">
        <f ca="1">VLOOKUP(A22,'Used GB Charts'!A:BQ,36,FALSE)+VLOOKUP(A22,'Used GB Charts'!A:BQ,64,FALSE)</f>
        <v>462.97812499999998</v>
      </c>
      <c r="C22" s="704">
        <f ca="1">VLOOKUP(A22,'Used GB Charts'!A:BQ,37,FALSE)+VLOOKUP(A22,'Used GB Charts'!A:BQ,66,FALSE)</f>
        <v>299.52226562500005</v>
      </c>
      <c r="D22" s="704">
        <f ca="1">VLOOKUP(A22,'Used GB Charts'!A:BQ,38,FALSE)+VLOOKUP(A22,'Used GB Charts'!A:BQ,40,FALSE)+VLOOKUP(A22,'Used GB Charts'!A:BQ,42,FALSE)+VLOOKUP(A22,'Used GB Charts'!A:BQ,43,FALSE)+VLOOKUP(A22,'Used GB Charts'!A:BQ,44,FALSE)+VLOOKUP(A22,'Used GB Charts'!A:BQ,56,FALSE)+VLOOKUP(A22,'Used GB Charts'!A:BQ,57,FALSE)+VLOOKUP(A22,'Used GB Charts'!A:BQ,59,FALSE)+VLOOKUP(A22,'Used GB Charts'!A:BQ,65,FALSE)</f>
        <v>1316.8346679687502</v>
      </c>
      <c r="E22" s="704">
        <f ca="1">VLOOKUP(A22,'Used GB Charts'!A:BQ,39,FALSE)+VLOOKUP(A22,'Used GB Charts'!A:BQ,41,FALSE)+VLOOKUP(A22,'Used GB Charts'!A:BQ,45,FALSE)+VLOOKUP(A22,'Used GB Charts'!A:BQ,63,FALSE)+VLOOKUP(A22,'Used GB Charts'!A:BQ,67,FALSE)+VLOOKUP(A22,'Used GB Charts'!A:BQ,68,FALSE)</f>
        <v>995.74824218749995</v>
      </c>
      <c r="F22" s="704">
        <f ca="1">VLOOKUP(A22,'Used GB Charts'!A:BQ,46,FALSE)+VLOOKUP(A22,'Used GB Charts'!A:BQ,47,FALSE)+VLOOKUP(A22,'Used GB Charts'!A:BQ,52,FALSE)+VLOOKUP(A22,'Used GB Charts'!A:BQ,61,FALSE)+VLOOKUP(A22,'Used GB Charts'!A:BQ,62,FALSE)</f>
        <v>1379.98466796875</v>
      </c>
      <c r="G22" s="704">
        <f ca="1">VLOOKUP(A22,'Used GB Charts'!A:BQ,42,FALSE)+VLOOKUP(A22,'Used GB Charts'!A:BQ,43,FALSE)+VLOOKUP(A22,'Used GB Charts'!A:BQ,44,FALSE)++VLOOKUP(A22,'Used GB Charts'!A:BQ,45,FALSE)+VLOOKUP(A22,'Used GB Charts'!A:BQ,49,FALSE)+VLOOKUP(A22,'Used GB Charts'!A:BQ,52,FALSE)+VLOOKUP(A22,'Used GB Charts'!A:BQ,54,FALSE)</f>
        <v>1228.1774414062502</v>
      </c>
      <c r="H22" s="704">
        <f ca="1">VLOOKUP(A22,'Used GB Charts'!A:BQ,53,FALSE)+VLOOKUP(A22,'Used GB Charts'!A:BQ,54,FALSE)</f>
        <v>32.31494140625</v>
      </c>
      <c r="I22" s="704">
        <f t="shared" ref="I22" ca="1" si="22">SUM(B22:H22)</f>
        <v>5715.5603515624998</v>
      </c>
      <c r="J22" s="987">
        <f t="shared" ca="1" si="19"/>
        <v>0</v>
      </c>
      <c r="K22" s="987">
        <f t="shared" ca="1" si="20"/>
        <v>142.45401367187497</v>
      </c>
    </row>
    <row r="23" spans="1:11" s="947" customFormat="1" x14ac:dyDescent="0.25">
      <c r="A23" s="703">
        <v>41829</v>
      </c>
      <c r="B23" s="704">
        <f ca="1">VLOOKUP(A23,'Used GB Charts'!A:BQ,36,FALSE)+VLOOKUP(A23,'Used GB Charts'!A:BQ,64,FALSE)</f>
        <v>462.97812499999998</v>
      </c>
      <c r="C23" s="704">
        <f ca="1">VLOOKUP(A23,'Used GB Charts'!A:BQ,37,FALSE)+VLOOKUP(A23,'Used GB Charts'!A:BQ,66,FALSE)</f>
        <v>299.52226562500005</v>
      </c>
      <c r="D23" s="704">
        <f ca="1">VLOOKUP(A23,'Used GB Charts'!A:BQ,38,FALSE)+VLOOKUP(A23,'Used GB Charts'!A:BQ,40,FALSE)+VLOOKUP(A23,'Used GB Charts'!A:BQ,42,FALSE)+VLOOKUP(A23,'Used GB Charts'!A:BQ,43,FALSE)+VLOOKUP(A23,'Used GB Charts'!A:BQ,44,FALSE)+VLOOKUP(A23,'Used GB Charts'!A:BQ,56,FALSE)+VLOOKUP(A23,'Used GB Charts'!A:BQ,57,FALSE)+VLOOKUP(A23,'Used GB Charts'!A:BQ,59,FALSE)+VLOOKUP(A23,'Used GB Charts'!A:BQ,65,FALSE)</f>
        <v>1316.8346679687502</v>
      </c>
      <c r="E23" s="704">
        <f ca="1">VLOOKUP(A23,'Used GB Charts'!A:BQ,39,FALSE)+VLOOKUP(A23,'Used GB Charts'!A:BQ,41,FALSE)+VLOOKUP(A23,'Used GB Charts'!A:BQ,45,FALSE)+VLOOKUP(A23,'Used GB Charts'!A:BQ,63,FALSE)+VLOOKUP(A23,'Used GB Charts'!A:BQ,67,FALSE)+VLOOKUP(A23,'Used GB Charts'!A:BQ,68,FALSE)</f>
        <v>995.74824218749995</v>
      </c>
      <c r="F23" s="704">
        <f ca="1">VLOOKUP(A23,'Used GB Charts'!A:BQ,46,FALSE)+VLOOKUP(A23,'Used GB Charts'!A:BQ,47,FALSE)+VLOOKUP(A23,'Used GB Charts'!A:BQ,52,FALSE)+VLOOKUP(A23,'Used GB Charts'!A:BQ,61,FALSE)+VLOOKUP(A23,'Used GB Charts'!A:BQ,62,FALSE)</f>
        <v>1379.98466796875</v>
      </c>
      <c r="G23" s="704">
        <f ca="1">VLOOKUP(A23,'Used GB Charts'!A:BQ,42,FALSE)+VLOOKUP(A23,'Used GB Charts'!A:BQ,43,FALSE)+VLOOKUP(A23,'Used GB Charts'!A:BQ,44,FALSE)++VLOOKUP(A23,'Used GB Charts'!A:BQ,45,FALSE)+VLOOKUP(A23,'Used GB Charts'!A:BQ,49,FALSE)+VLOOKUP(A23,'Used GB Charts'!A:BQ,52,FALSE)+VLOOKUP(A23,'Used GB Charts'!A:BQ,54,FALSE)</f>
        <v>1228.1774414062502</v>
      </c>
      <c r="H23" s="704">
        <f ca="1">VLOOKUP(A23,'Used GB Charts'!A:BQ,53,FALSE)+VLOOKUP(A23,'Used GB Charts'!A:BQ,54,FALSE)</f>
        <v>32.31494140625</v>
      </c>
      <c r="I23" s="704">
        <f t="shared" ref="I23" ca="1" si="23">SUM(B23:H23)</f>
        <v>5715.5603515624998</v>
      </c>
      <c r="J23" s="987">
        <f t="shared" ca="1" si="19"/>
        <v>0</v>
      </c>
      <c r="K23" s="987">
        <f t="shared" ca="1" si="20"/>
        <v>142.45401367187497</v>
      </c>
    </row>
    <row r="24" spans="1:11" s="947" customFormat="1" x14ac:dyDescent="0.25">
      <c r="A24" s="703">
        <v>41822</v>
      </c>
      <c r="B24" s="704">
        <f ca="1">VLOOKUP(A24,'Used GB Charts'!A:BQ,36,FALSE)+VLOOKUP(A24,'Used GB Charts'!A:BQ,64,FALSE)</f>
        <v>462.97812499999998</v>
      </c>
      <c r="C24" s="704">
        <f ca="1">VLOOKUP(A24,'Used GB Charts'!A:BQ,37,FALSE)+VLOOKUP(A24,'Used GB Charts'!A:BQ,66,FALSE)</f>
        <v>299.52226562500005</v>
      </c>
      <c r="D24" s="704">
        <f ca="1">VLOOKUP(A24,'Used GB Charts'!A:BQ,38,FALSE)+VLOOKUP(A24,'Used GB Charts'!A:BQ,40,FALSE)+VLOOKUP(A24,'Used GB Charts'!A:BQ,42,FALSE)+VLOOKUP(A24,'Used GB Charts'!A:BQ,43,FALSE)+VLOOKUP(A24,'Used GB Charts'!A:BQ,44,FALSE)+VLOOKUP(A24,'Used GB Charts'!A:BQ,56,FALSE)+VLOOKUP(A24,'Used GB Charts'!A:BQ,57,FALSE)+VLOOKUP(A24,'Used GB Charts'!A:BQ,59,FALSE)+VLOOKUP(A24,'Used GB Charts'!A:BQ,65,FALSE)</f>
        <v>1316.8346679687502</v>
      </c>
      <c r="E24" s="704">
        <f ca="1">VLOOKUP(A24,'Used GB Charts'!A:BQ,39,FALSE)+VLOOKUP(A24,'Used GB Charts'!A:BQ,41,FALSE)+VLOOKUP(A24,'Used GB Charts'!A:BQ,45,FALSE)+VLOOKUP(A24,'Used GB Charts'!A:BQ,63,FALSE)+VLOOKUP(A24,'Used GB Charts'!A:BQ,67,FALSE)+VLOOKUP(A24,'Used GB Charts'!A:BQ,68,FALSE)</f>
        <v>995.74824218749995</v>
      </c>
      <c r="F24" s="704">
        <f ca="1">VLOOKUP(A24,'Used GB Charts'!A:BQ,46,FALSE)+VLOOKUP(A24,'Used GB Charts'!A:BQ,47,FALSE)+VLOOKUP(A24,'Used GB Charts'!A:BQ,52,FALSE)+VLOOKUP(A24,'Used GB Charts'!A:BQ,61,FALSE)+VLOOKUP(A24,'Used GB Charts'!A:BQ,62,FALSE)</f>
        <v>1379.98466796875</v>
      </c>
      <c r="G24" s="704">
        <f ca="1">VLOOKUP(A24,'Used GB Charts'!A:BQ,42,FALSE)+VLOOKUP(A24,'Used GB Charts'!A:BQ,43,FALSE)+VLOOKUP(A24,'Used GB Charts'!A:BQ,44,FALSE)++VLOOKUP(A24,'Used GB Charts'!A:BQ,45,FALSE)+VLOOKUP(A24,'Used GB Charts'!A:BQ,49,FALSE)+VLOOKUP(A24,'Used GB Charts'!A:BQ,52,FALSE)+VLOOKUP(A24,'Used GB Charts'!A:BQ,54,FALSE)</f>
        <v>1228.1774414062502</v>
      </c>
      <c r="H24" s="704">
        <f ca="1">VLOOKUP(A24,'Used GB Charts'!A:BQ,53,FALSE)+VLOOKUP(A24,'Used GB Charts'!A:BQ,54,FALSE)</f>
        <v>32.31494140625</v>
      </c>
      <c r="I24" s="704">
        <f t="shared" ref="I24" ca="1" si="24">SUM(B24:H24)</f>
        <v>5715.5603515624998</v>
      </c>
      <c r="J24" s="987">
        <f t="shared" ca="1" si="19"/>
        <v>751.30410156249945</v>
      </c>
      <c r="K24" s="987">
        <f t="shared" ca="1" si="20"/>
        <v>152.43414062499997</v>
      </c>
    </row>
    <row r="25" spans="1:11" s="743" customFormat="1" x14ac:dyDescent="0.25">
      <c r="A25" s="703">
        <v>41815</v>
      </c>
      <c r="B25" s="704">
        <f ca="1">VLOOKUP(A25,'Used GB Charts'!A:BQ,36,FALSE)+VLOOKUP(A25,'Used GB Charts'!A:BQ,64,FALSE)</f>
        <v>244.15859374999999</v>
      </c>
      <c r="C25" s="704">
        <f ca="1">VLOOKUP(A25,'Used GB Charts'!A:BQ,37,FALSE)+VLOOKUP(A25,'Used GB Charts'!A:BQ,66,FALSE)</f>
        <v>146.98896484375001</v>
      </c>
      <c r="D25" s="704">
        <f ca="1">VLOOKUP(A25,'Used GB Charts'!A:BQ,38,FALSE)+VLOOKUP(A25,'Used GB Charts'!A:BQ,40,FALSE)+VLOOKUP(A25,'Used GB Charts'!A:BQ,42,FALSE)+VLOOKUP(A25,'Used GB Charts'!A:BQ,43,FALSE)+VLOOKUP(A25,'Used GB Charts'!A:BQ,44,FALSE)+VLOOKUP(A25,'Used GB Charts'!A:BQ,56,FALSE)+VLOOKUP(A25,'Used GB Charts'!A:BQ,57,FALSE)+VLOOKUP(A25,'Used GB Charts'!A:BQ,59,FALSE)+VLOOKUP(A25,'Used GB Charts'!A:BQ,65,FALSE)</f>
        <v>1164.3013671875001</v>
      </c>
      <c r="E25" s="704">
        <f ca="1">VLOOKUP(A25,'Used GB Charts'!A:BQ,39,FALSE)+VLOOKUP(A25,'Used GB Charts'!A:BQ,41,FALSE)+VLOOKUP(A25,'Used GB Charts'!A:BQ,45,FALSE)+VLOOKUP(A25,'Used GB Charts'!A:BQ,63,FALSE)+VLOOKUP(A25,'Used GB Charts'!A:BQ,67,FALSE)+VLOOKUP(A25,'Used GB Charts'!A:BQ,68,FALSE)</f>
        <v>776.9287109375</v>
      </c>
      <c r="F25" s="704">
        <f ca="1">VLOOKUP(A25,'Used GB Charts'!A:BQ,46,FALSE)+VLOOKUP(A25,'Used GB Charts'!A:BQ,47,FALSE)+VLOOKUP(A25,'Used GB Charts'!A:BQ,52,FALSE)+VLOOKUP(A25,'Used GB Charts'!A:BQ,61,FALSE)+VLOOKUP(A25,'Used GB Charts'!A:BQ,62,FALSE)</f>
        <v>1375.6854492187499</v>
      </c>
      <c r="G25" s="704">
        <f ca="1">VLOOKUP(A25,'Used GB Charts'!A:BQ,42,FALSE)+VLOOKUP(A25,'Used GB Charts'!A:BQ,43,FALSE)+VLOOKUP(A25,'Used GB Charts'!A:BQ,44,FALSE)++VLOOKUP(A25,'Used GB Charts'!A:BQ,45,FALSE)+VLOOKUP(A25,'Used GB Charts'!A:BQ,49,FALSE)+VLOOKUP(A25,'Used GB Charts'!A:BQ,52,FALSE)+VLOOKUP(A25,'Used GB Charts'!A:BQ,54,FALSE)</f>
        <v>1223.87822265625</v>
      </c>
      <c r="H25" s="704">
        <f ca="1">VLOOKUP(A25,'Used GB Charts'!A:BQ,53,FALSE)+VLOOKUP(A25,'Used GB Charts'!A:BQ,54,FALSE)</f>
        <v>32.31494140625</v>
      </c>
      <c r="I25" s="704">
        <f t="shared" ref="I25" ca="1" si="25">SUM(B25:H25)</f>
        <v>4964.2562500000004</v>
      </c>
      <c r="J25" s="987">
        <f t="shared" ca="1" si="19"/>
        <v>64.489550781250728</v>
      </c>
      <c r="K25" s="987">
        <f t="shared" ca="1" si="20"/>
        <v>77.303730468750018</v>
      </c>
    </row>
    <row r="26" spans="1:11" s="743" customFormat="1" x14ac:dyDescent="0.25">
      <c r="A26" s="703">
        <v>41808</v>
      </c>
      <c r="B26" s="704">
        <f ca="1">VLOOKUP(A26,'Used GB Charts'!A:BQ,36,FALSE)+VLOOKUP(A26,'Used GB Charts'!A:BQ,64,FALSE)</f>
        <v>244.15859374999999</v>
      </c>
      <c r="C26" s="704">
        <f ca="1">VLOOKUP(A26,'Used GB Charts'!A:BQ,37,FALSE)+VLOOKUP(A26,'Used GB Charts'!A:BQ,66,FALSE)</f>
        <v>146.98896484375001</v>
      </c>
      <c r="D26" s="704">
        <f ca="1">VLOOKUP(A26,'Used GB Charts'!A:BQ,38,FALSE)+VLOOKUP(A26,'Used GB Charts'!A:BQ,40,FALSE)+VLOOKUP(A26,'Used GB Charts'!A:BQ,42,FALSE)+VLOOKUP(A26,'Used GB Charts'!A:BQ,43,FALSE)+VLOOKUP(A26,'Used GB Charts'!A:BQ,44,FALSE)+VLOOKUP(A26,'Used GB Charts'!A:BQ,56,FALSE)+VLOOKUP(A26,'Used GB Charts'!A:BQ,57,FALSE)+VLOOKUP(A26,'Used GB Charts'!A:BQ,59,FALSE)+VLOOKUP(A26,'Used GB Charts'!A:BQ,65,FALSE)</f>
        <v>1164.3013671875001</v>
      </c>
      <c r="E26" s="704">
        <f ca="1">VLOOKUP(A26,'Used GB Charts'!A:BQ,39,FALSE)+VLOOKUP(A26,'Used GB Charts'!A:BQ,41,FALSE)+VLOOKUP(A26,'Used GB Charts'!A:BQ,45,FALSE)+VLOOKUP(A26,'Used GB Charts'!A:BQ,63,FALSE)+VLOOKUP(A26,'Used GB Charts'!A:BQ,67,FALSE)+VLOOKUP(A26,'Used GB Charts'!A:BQ,68,FALSE)</f>
        <v>776.9287109375</v>
      </c>
      <c r="F26" s="704">
        <f ca="1">VLOOKUP(A26,'Used GB Charts'!A:BQ,46,FALSE)+VLOOKUP(A26,'Used GB Charts'!A:BQ,47,FALSE)+VLOOKUP(A26,'Used GB Charts'!A:BQ,52,FALSE)+VLOOKUP(A26,'Used GB Charts'!A:BQ,61,FALSE)+VLOOKUP(A26,'Used GB Charts'!A:BQ,62,FALSE)</f>
        <v>1311.1958984374999</v>
      </c>
      <c r="G26" s="704">
        <f ca="1">VLOOKUP(A26,'Used GB Charts'!A:BQ,42,FALSE)+VLOOKUP(A26,'Used GB Charts'!A:BQ,43,FALSE)+VLOOKUP(A26,'Used GB Charts'!A:BQ,44,FALSE)++VLOOKUP(A26,'Used GB Charts'!A:BQ,45,FALSE)+VLOOKUP(A26,'Used GB Charts'!A:BQ,49,FALSE)+VLOOKUP(A26,'Used GB Charts'!A:BQ,52,FALSE)+VLOOKUP(A26,'Used GB Charts'!A:BQ,54,FALSE)</f>
        <v>1223.87822265625</v>
      </c>
      <c r="H26" s="704">
        <f ca="1">VLOOKUP(A26,'Used GB Charts'!A:BQ,53,FALSE)+VLOOKUP(A26,'Used GB Charts'!A:BQ,54,FALSE)</f>
        <v>32.31494140625</v>
      </c>
      <c r="I26" s="704">
        <f t="shared" ref="I26" ca="1" si="26">SUM(B26:H26)</f>
        <v>4899.7666992187496</v>
      </c>
      <c r="J26" s="987">
        <f t="shared" ca="1" si="19"/>
        <v>219.78076171874909</v>
      </c>
      <c r="K26" s="987">
        <f t="shared" ca="1" si="20"/>
        <v>70.854775390624951</v>
      </c>
    </row>
    <row r="27" spans="1:11" s="743" customFormat="1" x14ac:dyDescent="0.25">
      <c r="A27" s="703">
        <v>41801</v>
      </c>
      <c r="B27" s="704">
        <f ca="1">VLOOKUP(A27,'Used GB Charts'!A:BQ,36,FALSE)+VLOOKUP(A27,'Used GB Charts'!A:BQ,64,FALSE)</f>
        <v>244.15859374999999</v>
      </c>
      <c r="C27" s="704">
        <f ca="1">VLOOKUP(A27,'Used GB Charts'!A:BQ,37,FALSE)+VLOOKUP(A27,'Used GB Charts'!A:BQ,66,FALSE)</f>
        <v>146.98896484375001</v>
      </c>
      <c r="D27" s="704">
        <f ca="1">VLOOKUP(A27,'Used GB Charts'!A:BQ,38,FALSE)+VLOOKUP(A27,'Used GB Charts'!A:BQ,40,FALSE)+VLOOKUP(A27,'Used GB Charts'!A:BQ,42,FALSE)+VLOOKUP(A27,'Used GB Charts'!A:BQ,43,FALSE)+VLOOKUP(A27,'Used GB Charts'!A:BQ,44,FALSE)+VLOOKUP(A27,'Used GB Charts'!A:BQ,56,FALSE)+VLOOKUP(A27,'Used GB Charts'!A:BQ,57,FALSE)+VLOOKUP(A27,'Used GB Charts'!A:BQ,59,FALSE)+VLOOKUP(A27,'Used GB Charts'!A:BQ,65,FALSE)</f>
        <v>1164.3013671875001</v>
      </c>
      <c r="E27" s="704">
        <f ca="1">VLOOKUP(A27,'Used GB Charts'!A:BQ,39,FALSE)+VLOOKUP(A27,'Used GB Charts'!A:BQ,41,FALSE)+VLOOKUP(A27,'Used GB Charts'!A:BQ,45,FALSE)+VLOOKUP(A27,'Used GB Charts'!A:BQ,63,FALSE)+VLOOKUP(A27,'Used GB Charts'!A:BQ,67,FALSE)+VLOOKUP(A27,'Used GB Charts'!A:BQ,68,FALSE)</f>
        <v>776.9287109375</v>
      </c>
      <c r="F27" s="704">
        <f ca="1">VLOOKUP(A27,'Used GB Charts'!A:BQ,46,FALSE)+VLOOKUP(A27,'Used GB Charts'!A:BQ,47,FALSE)+VLOOKUP(A27,'Used GB Charts'!A:BQ,52,FALSE)+VLOOKUP(A27,'Used GB Charts'!A:BQ,61,FALSE)+VLOOKUP(A27,'Used GB Charts'!A:BQ,62,FALSE)</f>
        <v>1091.4151367187501</v>
      </c>
      <c r="G27" s="704">
        <f ca="1">VLOOKUP(A27,'Used GB Charts'!A:BQ,42,FALSE)+VLOOKUP(A27,'Used GB Charts'!A:BQ,43,FALSE)+VLOOKUP(A27,'Used GB Charts'!A:BQ,44,FALSE)++VLOOKUP(A27,'Used GB Charts'!A:BQ,45,FALSE)+VLOOKUP(A27,'Used GB Charts'!A:BQ,49,FALSE)+VLOOKUP(A27,'Used GB Charts'!A:BQ,52,FALSE)+VLOOKUP(A27,'Used GB Charts'!A:BQ,54,FALSE)</f>
        <v>1223.87822265625</v>
      </c>
      <c r="H27" s="704">
        <f ca="1">VLOOKUP(A27,'Used GB Charts'!A:BQ,53,FALSE)+VLOOKUP(A27,'Used GB Charts'!A:BQ,54,FALSE)</f>
        <v>32.31494140625</v>
      </c>
      <c r="I27" s="704">
        <f t="shared" ref="I27" ca="1" si="27">SUM(B27:H27)</f>
        <v>4679.9859375000005</v>
      </c>
      <c r="J27" s="987">
        <f t="shared" ca="1" si="19"/>
        <v>0</v>
      </c>
      <c r="K27" s="987">
        <f t="shared" ca="1" si="20"/>
        <v>48.876699218750034</v>
      </c>
    </row>
    <row r="28" spans="1:11" s="743" customFormat="1" x14ac:dyDescent="0.25">
      <c r="A28" s="703">
        <v>41794</v>
      </c>
      <c r="B28" s="704">
        <f ca="1">VLOOKUP(A28,'Used GB Charts'!A:BQ,36,FALSE)+VLOOKUP(A28,'Used GB Charts'!A:BQ,64,FALSE)</f>
        <v>244.15859374999999</v>
      </c>
      <c r="C28" s="704">
        <f ca="1">VLOOKUP(A28,'Used GB Charts'!A:BQ,37,FALSE)+VLOOKUP(A28,'Used GB Charts'!A:BQ,66,FALSE)</f>
        <v>146.98896484375001</v>
      </c>
      <c r="D28" s="704">
        <f ca="1">VLOOKUP(A28,'Used GB Charts'!A:BQ,38,FALSE)+VLOOKUP(A28,'Used GB Charts'!A:BQ,40,FALSE)+VLOOKUP(A28,'Used GB Charts'!A:BQ,42,FALSE)+VLOOKUP(A28,'Used GB Charts'!A:BQ,43,FALSE)+VLOOKUP(A28,'Used GB Charts'!A:BQ,44,FALSE)+VLOOKUP(A28,'Used GB Charts'!A:BQ,56,FALSE)+VLOOKUP(A28,'Used GB Charts'!A:BQ,57,FALSE)+VLOOKUP(A28,'Used GB Charts'!A:BQ,59,FALSE)+VLOOKUP(A28,'Used GB Charts'!A:BQ,65,FALSE)</f>
        <v>1164.3013671875001</v>
      </c>
      <c r="E28" s="704">
        <f ca="1">VLOOKUP(A28,'Used GB Charts'!A:BQ,39,FALSE)+VLOOKUP(A28,'Used GB Charts'!A:BQ,41,FALSE)+VLOOKUP(A28,'Used GB Charts'!A:BQ,45,FALSE)+VLOOKUP(A28,'Used GB Charts'!A:BQ,63,FALSE)+VLOOKUP(A28,'Used GB Charts'!A:BQ,67,FALSE)+VLOOKUP(A28,'Used GB Charts'!A:BQ,68,FALSE)</f>
        <v>776.9287109375</v>
      </c>
      <c r="F28" s="704">
        <f ca="1">VLOOKUP(A28,'Used GB Charts'!A:BQ,46,FALSE)+VLOOKUP(A28,'Used GB Charts'!A:BQ,47,FALSE)+VLOOKUP(A28,'Used GB Charts'!A:BQ,52,FALSE)+VLOOKUP(A28,'Used GB Charts'!A:BQ,61,FALSE)+VLOOKUP(A28,'Used GB Charts'!A:BQ,62,FALSE)</f>
        <v>1091.4151367187501</v>
      </c>
      <c r="G28" s="704">
        <f ca="1">VLOOKUP(A28,'Used GB Charts'!A:BQ,42,FALSE)+VLOOKUP(A28,'Used GB Charts'!A:BQ,43,FALSE)+VLOOKUP(A28,'Used GB Charts'!A:BQ,44,FALSE)++VLOOKUP(A28,'Used GB Charts'!A:BQ,45,FALSE)+VLOOKUP(A28,'Used GB Charts'!A:BQ,49,FALSE)+VLOOKUP(A28,'Used GB Charts'!A:BQ,52,FALSE)+VLOOKUP(A28,'Used GB Charts'!A:BQ,54,FALSE)</f>
        <v>1223.87822265625</v>
      </c>
      <c r="H28" s="704">
        <f ca="1">VLOOKUP(A28,'Used GB Charts'!A:BQ,53,FALSE)+VLOOKUP(A28,'Used GB Charts'!A:BQ,54,FALSE)</f>
        <v>32.31494140625</v>
      </c>
      <c r="I28" s="704">
        <f t="shared" ref="I28" ca="1" si="28">SUM(B28:H28)</f>
        <v>4679.9859375000005</v>
      </c>
      <c r="J28" s="987">
        <f t="shared" ca="1" si="19"/>
        <v>0</v>
      </c>
      <c r="K28" s="987">
        <f t="shared" ca="1" si="20"/>
        <v>48.876699218750034</v>
      </c>
    </row>
    <row r="29" spans="1:11" s="743" customFormat="1" x14ac:dyDescent="0.25">
      <c r="A29" s="703">
        <v>41787</v>
      </c>
      <c r="B29" s="704">
        <f ca="1">VLOOKUP(A29,'Used GB Charts'!A:BQ,36,FALSE)+VLOOKUP(A29,'Used GB Charts'!A:BQ,64,FALSE)</f>
        <v>244.15859374999999</v>
      </c>
      <c r="C29" s="704">
        <f ca="1">VLOOKUP(A29,'Used GB Charts'!A:BQ,37,FALSE)+VLOOKUP(A29,'Used GB Charts'!A:BQ,66,FALSE)</f>
        <v>146.98896484375001</v>
      </c>
      <c r="D29" s="704">
        <f ca="1">VLOOKUP(A29,'Used GB Charts'!A:BQ,38,FALSE)+VLOOKUP(A29,'Used GB Charts'!A:BQ,40,FALSE)+VLOOKUP(A29,'Used GB Charts'!A:BQ,42,FALSE)+VLOOKUP(A29,'Used GB Charts'!A:BQ,43,FALSE)+VLOOKUP(A29,'Used GB Charts'!A:BQ,44,FALSE)+VLOOKUP(A29,'Used GB Charts'!A:BQ,56,FALSE)+VLOOKUP(A29,'Used GB Charts'!A:BQ,57,FALSE)+VLOOKUP(A29,'Used GB Charts'!A:BQ,59,FALSE)+VLOOKUP(A29,'Used GB Charts'!A:BQ,65,FALSE)</f>
        <v>1164.3013671875001</v>
      </c>
      <c r="E29" s="704">
        <f ca="1">VLOOKUP(A29,'Used GB Charts'!A:BQ,39,FALSE)+VLOOKUP(A29,'Used GB Charts'!A:BQ,41,FALSE)+VLOOKUP(A29,'Used GB Charts'!A:BQ,45,FALSE)+VLOOKUP(A29,'Used GB Charts'!A:BQ,63,FALSE)+VLOOKUP(A29,'Used GB Charts'!A:BQ,67,FALSE)+VLOOKUP(A29,'Used GB Charts'!A:BQ,68,FALSE)</f>
        <v>776.9287109375</v>
      </c>
      <c r="F29" s="704">
        <f ca="1">VLOOKUP(A29,'Used GB Charts'!A:BQ,46,FALSE)+VLOOKUP(A29,'Used GB Charts'!A:BQ,47,FALSE)+VLOOKUP(A29,'Used GB Charts'!A:BQ,52,FALSE)+VLOOKUP(A29,'Used GB Charts'!A:BQ,61,FALSE)+VLOOKUP(A29,'Used GB Charts'!A:BQ,62,FALSE)</f>
        <v>1091.4151367187501</v>
      </c>
      <c r="G29" s="704">
        <f ca="1">VLOOKUP(A29,'Used GB Charts'!A:BQ,42,FALSE)+VLOOKUP(A29,'Used GB Charts'!A:BQ,43,FALSE)+VLOOKUP(A29,'Used GB Charts'!A:BQ,44,FALSE)++VLOOKUP(A29,'Used GB Charts'!A:BQ,45,FALSE)+VLOOKUP(A29,'Used GB Charts'!A:BQ,49,FALSE)+VLOOKUP(A29,'Used GB Charts'!A:BQ,52,FALSE)+VLOOKUP(A29,'Used GB Charts'!A:BQ,54,FALSE)</f>
        <v>1223.87822265625</v>
      </c>
      <c r="H29" s="704">
        <f ca="1">VLOOKUP(A29,'Used GB Charts'!A:BQ,53,FALSE)+VLOOKUP(A29,'Used GB Charts'!A:BQ,54,FALSE)</f>
        <v>32.31494140625</v>
      </c>
      <c r="I29" s="704">
        <f t="shared" ref="I29" ca="1" si="29">SUM(B29:H29)</f>
        <v>4679.9859375000005</v>
      </c>
      <c r="J29" s="987">
        <f t="shared" ca="1" si="19"/>
        <v>0</v>
      </c>
      <c r="K29" s="987">
        <f t="shared" ca="1" si="20"/>
        <v>48.876699218750034</v>
      </c>
    </row>
    <row r="30" spans="1:11" s="743" customFormat="1" x14ac:dyDescent="0.25">
      <c r="A30" s="703">
        <v>41780</v>
      </c>
      <c r="B30" s="704">
        <f ca="1">VLOOKUP(A30,'Used GB Charts'!A:BQ,36,FALSE)+VLOOKUP(A30,'Used GB Charts'!A:BQ,64,FALSE)</f>
        <v>244.15859374999999</v>
      </c>
      <c r="C30" s="704">
        <f ca="1">VLOOKUP(A30,'Used GB Charts'!A:BQ,37,FALSE)+VLOOKUP(A30,'Used GB Charts'!A:BQ,66,FALSE)</f>
        <v>146.98896484375001</v>
      </c>
      <c r="D30" s="704">
        <f ca="1">VLOOKUP(A30,'Used GB Charts'!A:BQ,38,FALSE)+VLOOKUP(A30,'Used GB Charts'!A:BQ,40,FALSE)+VLOOKUP(A30,'Used GB Charts'!A:BQ,42,FALSE)+VLOOKUP(A30,'Used GB Charts'!A:BQ,43,FALSE)+VLOOKUP(A30,'Used GB Charts'!A:BQ,44,FALSE)+VLOOKUP(A30,'Used GB Charts'!A:BQ,56,FALSE)+VLOOKUP(A30,'Used GB Charts'!A:BQ,57,FALSE)+VLOOKUP(A30,'Used GB Charts'!A:BQ,59,FALSE)+VLOOKUP(A30,'Used GB Charts'!A:BQ,65,FALSE)</f>
        <v>1164.3013671875001</v>
      </c>
      <c r="E30" s="704">
        <f ca="1">VLOOKUP(A30,'Used GB Charts'!A:BQ,39,FALSE)+VLOOKUP(A30,'Used GB Charts'!A:BQ,41,FALSE)+VLOOKUP(A30,'Used GB Charts'!A:BQ,45,FALSE)+VLOOKUP(A30,'Used GB Charts'!A:BQ,63,FALSE)+VLOOKUP(A30,'Used GB Charts'!A:BQ,67,FALSE)+VLOOKUP(A30,'Used GB Charts'!A:BQ,68,FALSE)</f>
        <v>776.9287109375</v>
      </c>
      <c r="F30" s="704">
        <f ca="1">VLOOKUP(A30,'Used GB Charts'!A:BQ,46,FALSE)+VLOOKUP(A30,'Used GB Charts'!A:BQ,47,FALSE)+VLOOKUP(A30,'Used GB Charts'!A:BQ,52,FALSE)+VLOOKUP(A30,'Used GB Charts'!A:BQ,61,FALSE)+VLOOKUP(A30,'Used GB Charts'!A:BQ,62,FALSE)</f>
        <v>1091.4151367187501</v>
      </c>
      <c r="G30" s="704">
        <f ca="1">VLOOKUP(A30,'Used GB Charts'!A:BQ,42,FALSE)+VLOOKUP(A30,'Used GB Charts'!A:BQ,43,FALSE)+VLOOKUP(A30,'Used GB Charts'!A:BQ,44,FALSE)++VLOOKUP(A30,'Used GB Charts'!A:BQ,45,FALSE)+VLOOKUP(A30,'Used GB Charts'!A:BQ,49,FALSE)+VLOOKUP(A30,'Used GB Charts'!A:BQ,52,FALSE)+VLOOKUP(A30,'Used GB Charts'!A:BQ,54,FALSE)</f>
        <v>1223.87822265625</v>
      </c>
      <c r="H30" s="704">
        <f ca="1">VLOOKUP(A30,'Used GB Charts'!A:BQ,53,FALSE)+VLOOKUP(A30,'Used GB Charts'!A:BQ,54,FALSE)</f>
        <v>32.31494140625</v>
      </c>
      <c r="I30" s="704">
        <f t="shared" ref="I30" ca="1" si="30">SUM(B30:H30)</f>
        <v>4679.9859375000005</v>
      </c>
      <c r="J30" s="987">
        <f t="shared" ca="1" si="19"/>
        <v>289.16425781250018</v>
      </c>
      <c r="K30" s="987">
        <f t="shared" ca="1" si="20"/>
        <v>49.960185546875074</v>
      </c>
    </row>
    <row r="31" spans="1:11" s="743" customFormat="1" x14ac:dyDescent="0.25">
      <c r="A31" s="703">
        <v>41773</v>
      </c>
      <c r="B31" s="704">
        <f ca="1">VLOOKUP(A31,'Used GB Charts'!A:BQ,36,FALSE)+VLOOKUP(A31,'Used GB Charts'!A:BQ,64,FALSE)</f>
        <v>244.15859374999999</v>
      </c>
      <c r="C31" s="704">
        <f ca="1">VLOOKUP(A31,'Used GB Charts'!A:BQ,37,FALSE)+VLOOKUP(A31,'Used GB Charts'!A:BQ,66,FALSE)</f>
        <v>146.98896484375001</v>
      </c>
      <c r="D31" s="704">
        <f ca="1">VLOOKUP(A31,'Used GB Charts'!A:BQ,38,FALSE)+VLOOKUP(A31,'Used GB Charts'!A:BQ,40,FALSE)+VLOOKUP(A31,'Used GB Charts'!A:BQ,42,FALSE)+VLOOKUP(A31,'Used GB Charts'!A:BQ,43,FALSE)+VLOOKUP(A31,'Used GB Charts'!A:BQ,44,FALSE)+VLOOKUP(A31,'Used GB Charts'!A:BQ,56,FALSE)+VLOOKUP(A31,'Used GB Charts'!A:BQ,57,FALSE)+VLOOKUP(A31,'Used GB Charts'!A:BQ,59,FALSE)+VLOOKUP(A31,'Used GB Charts'!A:BQ,65,FALSE)</f>
        <v>1164.3013671875001</v>
      </c>
      <c r="E31" s="704">
        <f ca="1">VLOOKUP(A31,'Used GB Charts'!A:BQ,39,FALSE)+VLOOKUP(A31,'Used GB Charts'!A:BQ,41,FALSE)+VLOOKUP(A31,'Used GB Charts'!A:BQ,45,FALSE)+VLOOKUP(A31,'Used GB Charts'!A:BQ,63,FALSE)+VLOOKUP(A31,'Used GB Charts'!A:BQ,67,FALSE)+VLOOKUP(A31,'Used GB Charts'!A:BQ,68,FALSE)</f>
        <v>776.9287109375</v>
      </c>
      <c r="F31" s="704">
        <f ca="1">VLOOKUP(A31,'Used GB Charts'!A:BQ,46,FALSE)+VLOOKUP(A31,'Used GB Charts'!A:BQ,47,FALSE)+VLOOKUP(A31,'Used GB Charts'!A:BQ,52,FALSE)+VLOOKUP(A31,'Used GB Charts'!A:BQ,61,FALSE)+VLOOKUP(A31,'Used GB Charts'!A:BQ,62,FALSE)</f>
        <v>835.27363281249995</v>
      </c>
      <c r="G31" s="704">
        <f ca="1">VLOOKUP(A31,'Used GB Charts'!A:BQ,42,FALSE)+VLOOKUP(A31,'Used GB Charts'!A:BQ,43,FALSE)+VLOOKUP(A31,'Used GB Charts'!A:BQ,44,FALSE)++VLOOKUP(A31,'Used GB Charts'!A:BQ,45,FALSE)+VLOOKUP(A31,'Used GB Charts'!A:BQ,49,FALSE)+VLOOKUP(A31,'Used GB Charts'!A:BQ,52,FALSE)+VLOOKUP(A31,'Used GB Charts'!A:BQ,54,FALSE)</f>
        <v>1190.85546875</v>
      </c>
      <c r="H31" s="704">
        <f ca="1">VLOOKUP(A31,'Used GB Charts'!A:BQ,53,FALSE)+VLOOKUP(A31,'Used GB Charts'!A:BQ,54,FALSE)</f>
        <v>32.31494140625</v>
      </c>
      <c r="I31" s="704">
        <f t="shared" ref="I31" ca="1" si="31">SUM(B31:H31)</f>
        <v>4390.8216796875004</v>
      </c>
      <c r="J31" s="987">
        <f t="shared" ca="1" si="19"/>
        <v>-2.5390624996362021E-3</v>
      </c>
      <c r="K31" s="987">
        <f t="shared" ca="1" si="20"/>
        <v>141.51103515625005</v>
      </c>
    </row>
    <row r="32" spans="1:11" s="743" customFormat="1" x14ac:dyDescent="0.25">
      <c r="A32" s="703">
        <v>41766</v>
      </c>
      <c r="B32" s="704">
        <f ca="1">VLOOKUP(A32,'Used GB Charts'!A:BQ,36,FALSE)+VLOOKUP(A32,'Used GB Charts'!A:BQ,64,FALSE)</f>
        <v>244.158203125</v>
      </c>
      <c r="C32" s="704">
        <f ca="1">VLOOKUP(A32,'Used GB Charts'!A:BQ,37,FALSE)+VLOOKUP(A32,'Used GB Charts'!A:BQ,66,FALSE)</f>
        <v>146.9892578125</v>
      </c>
      <c r="D32" s="704">
        <f ca="1">VLOOKUP(A32,'Used GB Charts'!A:BQ,38,FALSE)+VLOOKUP(A32,'Used GB Charts'!A:BQ,40,FALSE)+VLOOKUP(A32,'Used GB Charts'!A:BQ,42,FALSE)+VLOOKUP(A32,'Used GB Charts'!A:BQ,43,FALSE)+VLOOKUP(A32,'Used GB Charts'!A:BQ,44,FALSE)+VLOOKUP(A32,'Used GB Charts'!A:BQ,56,FALSE)+VLOOKUP(A32,'Used GB Charts'!A:BQ,57,FALSE)+VLOOKUP(A32,'Used GB Charts'!A:BQ,59,FALSE)+VLOOKUP(A32,'Used GB Charts'!A:BQ,65,FALSE)</f>
        <v>1164.3037109375</v>
      </c>
      <c r="E32" s="704">
        <f ca="1">VLOOKUP(A32,'Used GB Charts'!A:BQ,39,FALSE)+VLOOKUP(A32,'Used GB Charts'!A:BQ,41,FALSE)+VLOOKUP(A32,'Used GB Charts'!A:BQ,45,FALSE)+VLOOKUP(A32,'Used GB Charts'!A:BQ,63,FALSE)+VLOOKUP(A32,'Used GB Charts'!A:BQ,67,FALSE)+VLOOKUP(A32,'Used GB Charts'!A:BQ,68,FALSE)</f>
        <v>776.9287109375</v>
      </c>
      <c r="F32" s="704">
        <f ca="1">VLOOKUP(A32,'Used GB Charts'!A:BQ,46,FALSE)+VLOOKUP(A32,'Used GB Charts'!A:BQ,47,FALSE)+VLOOKUP(A32,'Used GB Charts'!A:BQ,52,FALSE)+VLOOKUP(A32,'Used GB Charts'!A:BQ,61,FALSE)+VLOOKUP(A32,'Used GB Charts'!A:BQ,62,FALSE)</f>
        <v>835.2734375</v>
      </c>
      <c r="G32" s="704">
        <f ca="1">VLOOKUP(A32,'Used GB Charts'!A:BQ,42,FALSE)+VLOOKUP(A32,'Used GB Charts'!A:BQ,43,FALSE)+VLOOKUP(A32,'Used GB Charts'!A:BQ,44,FALSE)++VLOOKUP(A32,'Used GB Charts'!A:BQ,45,FALSE)+VLOOKUP(A32,'Used GB Charts'!A:BQ,49,FALSE)+VLOOKUP(A32,'Used GB Charts'!A:BQ,52,FALSE)+VLOOKUP(A32,'Used GB Charts'!A:BQ,54,FALSE)</f>
        <v>1190.85546875</v>
      </c>
      <c r="H32" s="704">
        <f ca="1">VLOOKUP(A32,'Used GB Charts'!A:BQ,53,FALSE)+VLOOKUP(A32,'Used GB Charts'!A:BQ,54,FALSE)</f>
        <v>32.3154296875</v>
      </c>
      <c r="I32" s="704">
        <f t="shared" ref="I32" ca="1" si="32">SUM(B32:H32)</f>
        <v>4390.82421875</v>
      </c>
      <c r="J32" s="987">
        <f t="shared" ca="1" si="19"/>
        <v>99.804003906249818</v>
      </c>
      <c r="K32" s="987">
        <f t="shared" ca="1" si="20"/>
        <v>161.78716796875</v>
      </c>
    </row>
    <row r="33" spans="1:11" s="743" customFormat="1" x14ac:dyDescent="0.25">
      <c r="A33" s="703">
        <v>41752</v>
      </c>
      <c r="B33" s="704">
        <f ca="1">VLOOKUP(A33,'Used GB Charts'!A:BQ,36,FALSE)+VLOOKUP(A33,'Used GB Charts'!A:BQ,64,FALSE)</f>
        <v>244.15859374999999</v>
      </c>
      <c r="C33" s="704">
        <f ca="1">VLOOKUP(A33,'Used GB Charts'!A:BQ,37,FALSE)+VLOOKUP(A33,'Used GB Charts'!A:BQ,66,FALSE)</f>
        <v>146.98896484375001</v>
      </c>
      <c r="D33" s="704">
        <f ca="1">VLOOKUP(A33,'Used GB Charts'!A:BQ,38,FALSE)+VLOOKUP(A33,'Used GB Charts'!A:BQ,40,FALSE)+VLOOKUP(A33,'Used GB Charts'!A:BQ,42,FALSE)+VLOOKUP(A33,'Used GB Charts'!A:BQ,43,FALSE)+VLOOKUP(A33,'Used GB Charts'!A:BQ,44,FALSE)+VLOOKUP(A33,'Used GB Charts'!A:BQ,56,FALSE)+VLOOKUP(A33,'Used GB Charts'!A:BQ,57,FALSE)+VLOOKUP(A33,'Used GB Charts'!A:BQ,59,FALSE)+VLOOKUP(A33,'Used GB Charts'!A:BQ,65,FALSE)</f>
        <v>1064.5</v>
      </c>
      <c r="E33" s="704">
        <f ca="1">VLOOKUP(A33,'Used GB Charts'!A:BQ,39,FALSE)+VLOOKUP(A33,'Used GB Charts'!A:BQ,41,FALSE)+VLOOKUP(A33,'Used GB Charts'!A:BQ,45,FALSE)+VLOOKUP(A33,'Used GB Charts'!A:BQ,63,FALSE)+VLOOKUP(A33,'Used GB Charts'!A:BQ,67,FALSE)+VLOOKUP(A33,'Used GB Charts'!A:BQ,68,FALSE)</f>
        <v>776.9287109375</v>
      </c>
      <c r="F33" s="704">
        <f ca="1">VLOOKUP(A33,'Used GB Charts'!A:BQ,46,FALSE)+VLOOKUP(A33,'Used GB Charts'!A:BQ,47,FALSE)+VLOOKUP(A33,'Used GB Charts'!A:BQ,52,FALSE)+VLOOKUP(A33,'Used GB Charts'!A:BQ,61,FALSE)+VLOOKUP(A33,'Used GB Charts'!A:BQ,62,FALSE)</f>
        <v>835.27363281249995</v>
      </c>
      <c r="G33" s="704">
        <f ca="1">VLOOKUP(A33,'Used GB Charts'!A:BQ,42,FALSE)+VLOOKUP(A33,'Used GB Charts'!A:BQ,43,FALSE)+VLOOKUP(A33,'Used GB Charts'!A:BQ,44,FALSE)++VLOOKUP(A33,'Used GB Charts'!A:BQ,45,FALSE)+VLOOKUP(A33,'Used GB Charts'!A:BQ,49,FALSE)+VLOOKUP(A33,'Used GB Charts'!A:BQ,52,FALSE)+VLOOKUP(A33,'Used GB Charts'!A:BQ,54,FALSE)</f>
        <v>1190.8553710937501</v>
      </c>
      <c r="H33" s="704">
        <f ca="1">VLOOKUP(A33,'Used GB Charts'!A:BQ,53,FALSE)+VLOOKUP(A33,'Used GB Charts'!A:BQ,54,FALSE)</f>
        <v>32.31494140625</v>
      </c>
      <c r="I33" s="704">
        <f t="shared" ref="I33" ca="1" si="33">SUM(B33:H33)</f>
        <v>4291.0202148437502</v>
      </c>
      <c r="J33" s="987">
        <f t="shared" ca="1" si="19"/>
        <v>0</v>
      </c>
      <c r="K33" s="987">
        <f t="shared" ca="1" si="20"/>
        <v>151.80676757812503</v>
      </c>
    </row>
    <row r="34" spans="1:11" s="743" customFormat="1" x14ac:dyDescent="0.25">
      <c r="A34" s="703">
        <v>41745</v>
      </c>
      <c r="B34" s="704">
        <f ca="1">VLOOKUP(A34,'Used GB Charts'!A:BQ,36,FALSE)+VLOOKUP(A34,'Used GB Charts'!A:BQ,64,FALSE)</f>
        <v>244.15859374999999</v>
      </c>
      <c r="C34" s="704">
        <f ca="1">VLOOKUP(A34,'Used GB Charts'!A:BQ,37,FALSE)+VLOOKUP(A34,'Used GB Charts'!A:BQ,66,FALSE)</f>
        <v>146.98896484375001</v>
      </c>
      <c r="D34" s="704">
        <f ca="1">VLOOKUP(A34,'Used GB Charts'!A:BQ,38,FALSE)+VLOOKUP(A34,'Used GB Charts'!A:BQ,40,FALSE)+VLOOKUP(A34,'Used GB Charts'!A:BQ,42,FALSE)+VLOOKUP(A34,'Used GB Charts'!A:BQ,43,FALSE)+VLOOKUP(A34,'Used GB Charts'!A:BQ,44,FALSE)+VLOOKUP(A34,'Used GB Charts'!A:BQ,56,FALSE)+VLOOKUP(A34,'Used GB Charts'!A:BQ,57,FALSE)+VLOOKUP(A34,'Used GB Charts'!A:BQ,59,FALSE)+VLOOKUP(A34,'Used GB Charts'!A:BQ,65,FALSE)</f>
        <v>1064.5</v>
      </c>
      <c r="E34" s="704">
        <f ca="1">VLOOKUP(A34,'Used GB Charts'!A:BQ,39,FALSE)+VLOOKUP(A34,'Used GB Charts'!A:BQ,41,FALSE)+VLOOKUP(A34,'Used GB Charts'!A:BQ,45,FALSE)+VLOOKUP(A34,'Used GB Charts'!A:BQ,63,FALSE)+VLOOKUP(A34,'Used GB Charts'!A:BQ,67,FALSE)+VLOOKUP(A34,'Used GB Charts'!A:BQ,68,FALSE)</f>
        <v>776.9287109375</v>
      </c>
      <c r="F34" s="704">
        <f ca="1">VLOOKUP(A34,'Used GB Charts'!A:BQ,46,FALSE)+VLOOKUP(A34,'Used GB Charts'!A:BQ,47,FALSE)+VLOOKUP(A34,'Used GB Charts'!A:BQ,52,FALSE)+VLOOKUP(A34,'Used GB Charts'!A:BQ,61,FALSE)+VLOOKUP(A34,'Used GB Charts'!A:BQ,62,FALSE)</f>
        <v>835.27363281249995</v>
      </c>
      <c r="G34" s="704">
        <f ca="1">VLOOKUP(A34,'Used GB Charts'!A:BQ,42,FALSE)+VLOOKUP(A34,'Used GB Charts'!A:BQ,43,FALSE)+VLOOKUP(A34,'Used GB Charts'!A:BQ,44,FALSE)++VLOOKUP(A34,'Used GB Charts'!A:BQ,45,FALSE)+VLOOKUP(A34,'Used GB Charts'!A:BQ,49,FALSE)+VLOOKUP(A34,'Used GB Charts'!A:BQ,52,FALSE)+VLOOKUP(A34,'Used GB Charts'!A:BQ,54,FALSE)</f>
        <v>1190.8553710937501</v>
      </c>
      <c r="H34" s="704">
        <f ca="1">VLOOKUP(A34,'Used GB Charts'!A:BQ,53,FALSE)+VLOOKUP(A34,'Used GB Charts'!A:BQ,54,FALSE)</f>
        <v>32.31494140625</v>
      </c>
      <c r="I34" s="704">
        <f t="shared" ref="I34" ca="1" si="34">SUM(B34:H34)</f>
        <v>4291.0202148437502</v>
      </c>
      <c r="J34" s="987">
        <f t="shared" ca="1" si="19"/>
        <v>99.80126953125</v>
      </c>
      <c r="K34" s="987">
        <f t="shared" ca="1" si="20"/>
        <v>151.80676757812503</v>
      </c>
    </row>
    <row r="35" spans="1:11" s="743" customFormat="1" x14ac:dyDescent="0.25">
      <c r="A35" s="703">
        <v>41739</v>
      </c>
      <c r="B35" s="704">
        <f ca="1">VLOOKUP(A35,'Used GB Charts'!A:BQ,36,FALSE)+VLOOKUP(A35,'Used GB Charts'!A:BQ,64,FALSE)</f>
        <v>244.15859374999999</v>
      </c>
      <c r="C35" s="704">
        <f ca="1">VLOOKUP(A35,'Used GB Charts'!A:BQ,37,FALSE)+VLOOKUP(A35,'Used GB Charts'!A:BQ,66,FALSE)</f>
        <v>146.98896484375001</v>
      </c>
      <c r="D35" s="704">
        <f ca="1">VLOOKUP(A35,'Used GB Charts'!A:BQ,38,FALSE)+VLOOKUP(A35,'Used GB Charts'!A:BQ,40,FALSE)+VLOOKUP(A35,'Used GB Charts'!A:BQ,42,FALSE)+VLOOKUP(A35,'Used GB Charts'!A:BQ,43,FALSE)+VLOOKUP(A35,'Used GB Charts'!A:BQ,44,FALSE)+VLOOKUP(A35,'Used GB Charts'!A:BQ,56,FALSE)+VLOOKUP(A35,'Used GB Charts'!A:BQ,57,FALSE)+VLOOKUP(A35,'Used GB Charts'!A:BQ,59,FALSE)+VLOOKUP(A35,'Used GB Charts'!A:BQ,65,FALSE)</f>
        <v>964.69873046875</v>
      </c>
      <c r="E35" s="704">
        <f ca="1">VLOOKUP(A35,'Used GB Charts'!A:BQ,39,FALSE)+VLOOKUP(A35,'Used GB Charts'!A:BQ,41,FALSE)+VLOOKUP(A35,'Used GB Charts'!A:BQ,45,FALSE)+VLOOKUP(A35,'Used GB Charts'!A:BQ,63,FALSE)+VLOOKUP(A35,'Used GB Charts'!A:BQ,67,FALSE)+VLOOKUP(A35,'Used GB Charts'!A:BQ,68,FALSE)</f>
        <v>776.9287109375</v>
      </c>
      <c r="F35" s="704">
        <f ca="1">VLOOKUP(A35,'Used GB Charts'!A:BQ,46,FALSE)+VLOOKUP(A35,'Used GB Charts'!A:BQ,47,FALSE)+VLOOKUP(A35,'Used GB Charts'!A:BQ,52,FALSE)+VLOOKUP(A35,'Used GB Charts'!A:BQ,61,FALSE)+VLOOKUP(A35,'Used GB Charts'!A:BQ,62,FALSE)</f>
        <v>835.27363281249995</v>
      </c>
      <c r="G35" s="704">
        <f ca="1">VLOOKUP(A35,'Used GB Charts'!A:BQ,42,FALSE)+VLOOKUP(A35,'Used GB Charts'!A:BQ,43,FALSE)+VLOOKUP(A35,'Used GB Charts'!A:BQ,44,FALSE)++VLOOKUP(A35,'Used GB Charts'!A:BQ,45,FALSE)+VLOOKUP(A35,'Used GB Charts'!A:BQ,49,FALSE)+VLOOKUP(A35,'Used GB Charts'!A:BQ,52,FALSE)+VLOOKUP(A35,'Used GB Charts'!A:BQ,54,FALSE)</f>
        <v>1190.8553710937501</v>
      </c>
      <c r="H35" s="704">
        <f ca="1">VLOOKUP(A35,'Used GB Charts'!A:BQ,53,FALSE)+VLOOKUP(A35,'Used GB Charts'!A:BQ,54,FALSE)</f>
        <v>32.31494140625</v>
      </c>
      <c r="I35" s="704">
        <f t="shared" ref="I35" ca="1" si="35">SUM(B35:H35)</f>
        <v>4191.2189453125002</v>
      </c>
      <c r="J35" s="987">
        <f t="shared" ca="1" si="19"/>
        <v>0</v>
      </c>
      <c r="K35" s="987">
        <f t="shared" ca="1" si="20"/>
        <v>147.48503906250002</v>
      </c>
    </row>
    <row r="36" spans="1:11" s="743" customFormat="1" x14ac:dyDescent="0.25">
      <c r="A36" s="703">
        <v>41732</v>
      </c>
      <c r="B36" s="704">
        <f ca="1">VLOOKUP(A36,'Used GB Charts'!A:BQ,36,FALSE)+VLOOKUP(A36,'Used GB Charts'!A:BQ,64,FALSE)</f>
        <v>244.15859374999999</v>
      </c>
      <c r="C36" s="704">
        <f ca="1">VLOOKUP(A36,'Used GB Charts'!A:BQ,37,FALSE)+VLOOKUP(A36,'Used GB Charts'!A:BQ,66,FALSE)</f>
        <v>146.98896484375001</v>
      </c>
      <c r="D36" s="704">
        <f ca="1">VLOOKUP(A36,'Used GB Charts'!A:BQ,38,FALSE)+VLOOKUP(A36,'Used GB Charts'!A:BQ,40,FALSE)+VLOOKUP(A36,'Used GB Charts'!A:BQ,42,FALSE)+VLOOKUP(A36,'Used GB Charts'!A:BQ,43,FALSE)+VLOOKUP(A36,'Used GB Charts'!A:BQ,44,FALSE)+VLOOKUP(A36,'Used GB Charts'!A:BQ,56,FALSE)+VLOOKUP(A36,'Used GB Charts'!A:BQ,57,FALSE)+VLOOKUP(A36,'Used GB Charts'!A:BQ,59,FALSE)+VLOOKUP(A36,'Used GB Charts'!A:BQ,65,FALSE)</f>
        <v>964.69873046875</v>
      </c>
      <c r="E36" s="704">
        <f ca="1">VLOOKUP(A36,'Used GB Charts'!A:BQ,39,FALSE)+VLOOKUP(A36,'Used GB Charts'!A:BQ,41,FALSE)+VLOOKUP(A36,'Used GB Charts'!A:BQ,45,FALSE)+VLOOKUP(A36,'Used GB Charts'!A:BQ,63,FALSE)+VLOOKUP(A36,'Used GB Charts'!A:BQ,67,FALSE)+VLOOKUP(A36,'Used GB Charts'!A:BQ,68,FALSE)</f>
        <v>776.9287109375</v>
      </c>
      <c r="F36" s="704">
        <f ca="1">VLOOKUP(A36,'Used GB Charts'!A:BQ,46,FALSE)+VLOOKUP(A36,'Used GB Charts'!A:BQ,47,FALSE)+VLOOKUP(A36,'Used GB Charts'!A:BQ,52,FALSE)+VLOOKUP(A36,'Used GB Charts'!A:BQ,61,FALSE)+VLOOKUP(A36,'Used GB Charts'!A:BQ,62,FALSE)</f>
        <v>835.27363281249995</v>
      </c>
      <c r="G36" s="704">
        <f ca="1">VLOOKUP(A36,'Used GB Charts'!A:BQ,42,FALSE)+VLOOKUP(A36,'Used GB Charts'!A:BQ,43,FALSE)+VLOOKUP(A36,'Used GB Charts'!A:BQ,44,FALSE)++VLOOKUP(A36,'Used GB Charts'!A:BQ,45,FALSE)+VLOOKUP(A36,'Used GB Charts'!A:BQ,49,FALSE)+VLOOKUP(A36,'Used GB Charts'!A:BQ,52,FALSE)+VLOOKUP(A36,'Used GB Charts'!A:BQ,54,FALSE)</f>
        <v>1190.8553710937501</v>
      </c>
      <c r="H36" s="704">
        <f ca="1">VLOOKUP(A36,'Used GB Charts'!A:BQ,53,FALSE)+VLOOKUP(A36,'Used GB Charts'!A:BQ,54,FALSE)</f>
        <v>32.31494140625</v>
      </c>
      <c r="I36" s="704">
        <f t="shared" ref="I36" ca="1" si="36">SUM(B36:H36)</f>
        <v>4191.2189453125002</v>
      </c>
      <c r="J36" s="987">
        <f t="shared" ca="1" si="19"/>
        <v>0</v>
      </c>
      <c r="K36" s="987">
        <f t="shared" ca="1" si="20"/>
        <v>147.48503906250002</v>
      </c>
    </row>
    <row r="37" spans="1:11" s="743" customFormat="1" x14ac:dyDescent="0.25">
      <c r="A37" s="703">
        <v>41725</v>
      </c>
      <c r="B37" s="704">
        <f ca="1">VLOOKUP(A37,'Used GB Charts'!A:BQ,36,FALSE)+VLOOKUP(A37,'Used GB Charts'!A:BQ,64,FALSE)</f>
        <v>244.15859374999999</v>
      </c>
      <c r="C37" s="704">
        <f ca="1">VLOOKUP(A37,'Used GB Charts'!A:BQ,37,FALSE)+VLOOKUP(A37,'Used GB Charts'!A:BQ,66,FALSE)</f>
        <v>146.98896484375001</v>
      </c>
      <c r="D37" s="704">
        <f ca="1">VLOOKUP(A37,'Used GB Charts'!A:BQ,38,FALSE)+VLOOKUP(A37,'Used GB Charts'!A:BQ,40,FALSE)+VLOOKUP(A37,'Used GB Charts'!A:BQ,42,FALSE)+VLOOKUP(A37,'Used GB Charts'!A:BQ,43,FALSE)+VLOOKUP(A37,'Used GB Charts'!A:BQ,44,FALSE)+VLOOKUP(A37,'Used GB Charts'!A:BQ,56,FALSE)+VLOOKUP(A37,'Used GB Charts'!A:BQ,57,FALSE)+VLOOKUP(A37,'Used GB Charts'!A:BQ,59,FALSE)+VLOOKUP(A37,'Used GB Charts'!A:BQ,65,FALSE)</f>
        <v>964.69873046875</v>
      </c>
      <c r="E37" s="704">
        <f ca="1">VLOOKUP(A37,'Used GB Charts'!A:BQ,39,FALSE)+VLOOKUP(A37,'Used GB Charts'!A:BQ,41,FALSE)+VLOOKUP(A37,'Used GB Charts'!A:BQ,45,FALSE)+VLOOKUP(A37,'Used GB Charts'!A:BQ,63,FALSE)+VLOOKUP(A37,'Used GB Charts'!A:BQ,67,FALSE)+VLOOKUP(A37,'Used GB Charts'!A:BQ,68,FALSE)</f>
        <v>776.9287109375</v>
      </c>
      <c r="F37" s="704">
        <f ca="1">VLOOKUP(A37,'Used GB Charts'!A:BQ,46,FALSE)+VLOOKUP(A37,'Used GB Charts'!A:BQ,47,FALSE)+VLOOKUP(A37,'Used GB Charts'!A:BQ,52,FALSE)+VLOOKUP(A37,'Used GB Charts'!A:BQ,61,FALSE)+VLOOKUP(A37,'Used GB Charts'!A:BQ,62,FALSE)</f>
        <v>835.27363281249995</v>
      </c>
      <c r="G37" s="704">
        <f ca="1">VLOOKUP(A37,'Used GB Charts'!A:BQ,42,FALSE)+VLOOKUP(A37,'Used GB Charts'!A:BQ,43,FALSE)+VLOOKUP(A37,'Used GB Charts'!A:BQ,44,FALSE)++VLOOKUP(A37,'Used GB Charts'!A:BQ,45,FALSE)+VLOOKUP(A37,'Used GB Charts'!A:BQ,49,FALSE)+VLOOKUP(A37,'Used GB Charts'!A:BQ,52,FALSE)+VLOOKUP(A37,'Used GB Charts'!A:BQ,54,FALSE)</f>
        <v>1190.8553710937501</v>
      </c>
      <c r="H37" s="704">
        <f ca="1">VLOOKUP(A37,'Used GB Charts'!A:BQ,53,FALSE)+VLOOKUP(A37,'Used GB Charts'!A:BQ,54,FALSE)</f>
        <v>32.31494140625</v>
      </c>
      <c r="I37" s="704">
        <f t="shared" ref="I37" ca="1" si="37">SUM(B37:H37)</f>
        <v>4191.2189453125002</v>
      </c>
      <c r="J37" s="987">
        <f t="shared" ca="1" si="19"/>
        <v>0</v>
      </c>
      <c r="K37" s="987">
        <f t="shared" ca="1" si="20"/>
        <v>67.350185546875039</v>
      </c>
    </row>
    <row r="38" spans="1:11" s="743" customFormat="1" x14ac:dyDescent="0.25">
      <c r="A38" s="703">
        <v>41709</v>
      </c>
      <c r="B38" s="704">
        <f ca="1">VLOOKUP(A38,'Used GB Charts'!A:BQ,36,FALSE)+VLOOKUP(A38,'Used GB Charts'!A:BQ,64,FALSE)</f>
        <v>244.15859374999999</v>
      </c>
      <c r="C38" s="704">
        <f ca="1">VLOOKUP(A38,'Used GB Charts'!A:BQ,37,FALSE)+VLOOKUP(A38,'Used GB Charts'!A:BQ,66,FALSE)</f>
        <v>146.98896484375001</v>
      </c>
      <c r="D38" s="704">
        <f ca="1">VLOOKUP(A38,'Used GB Charts'!A:BQ,38,FALSE)+VLOOKUP(A38,'Used GB Charts'!A:BQ,40,FALSE)+VLOOKUP(A38,'Used GB Charts'!A:BQ,42,FALSE)+VLOOKUP(A38,'Used GB Charts'!A:BQ,43,FALSE)+VLOOKUP(A38,'Used GB Charts'!A:BQ,44,FALSE)+VLOOKUP(A38,'Used GB Charts'!A:BQ,56,FALSE)+VLOOKUP(A38,'Used GB Charts'!A:BQ,57,FALSE)+VLOOKUP(A38,'Used GB Charts'!A:BQ,59,FALSE)+VLOOKUP(A38,'Used GB Charts'!A:BQ,65,FALSE)</f>
        <v>964.69873046875</v>
      </c>
      <c r="E38" s="704">
        <f ca="1">VLOOKUP(A38,'Used GB Charts'!A:BQ,39,FALSE)+VLOOKUP(A38,'Used GB Charts'!A:BQ,41,FALSE)+VLOOKUP(A38,'Used GB Charts'!A:BQ,45,FALSE)+VLOOKUP(A38,'Used GB Charts'!A:BQ,63,FALSE)+VLOOKUP(A38,'Used GB Charts'!A:BQ,67,FALSE)+VLOOKUP(A38,'Used GB Charts'!A:BQ,68,FALSE)</f>
        <v>776.9287109375</v>
      </c>
      <c r="F38" s="704">
        <f ca="1">VLOOKUP(A38,'Used GB Charts'!A:BQ,46,FALSE)+VLOOKUP(A38,'Used GB Charts'!A:BQ,47,FALSE)+VLOOKUP(A38,'Used GB Charts'!A:BQ,52,FALSE)+VLOOKUP(A38,'Used GB Charts'!A:BQ,61,FALSE)+VLOOKUP(A38,'Used GB Charts'!A:BQ,62,FALSE)</f>
        <v>835.27363281249995</v>
      </c>
      <c r="G38" s="704">
        <f ca="1">VLOOKUP(A38,'Used GB Charts'!A:BQ,42,FALSE)+VLOOKUP(A38,'Used GB Charts'!A:BQ,43,FALSE)+VLOOKUP(A38,'Used GB Charts'!A:BQ,44,FALSE)++VLOOKUP(A38,'Used GB Charts'!A:BQ,45,FALSE)+VLOOKUP(A38,'Used GB Charts'!A:BQ,49,FALSE)+VLOOKUP(A38,'Used GB Charts'!A:BQ,52,FALSE)+VLOOKUP(A38,'Used GB Charts'!A:BQ,54,FALSE)</f>
        <v>1190.8553710937501</v>
      </c>
      <c r="H38" s="704">
        <f ca="1">VLOOKUP(A38,'Used GB Charts'!A:BQ,53,FALSE)+VLOOKUP(A38,'Used GB Charts'!A:BQ,54,FALSE)</f>
        <v>32.31494140625</v>
      </c>
      <c r="I38" s="704">
        <f t="shared" ref="I38" ca="1" si="38">SUM(B38:H38)</f>
        <v>4191.2189453125002</v>
      </c>
      <c r="J38" s="987">
        <f t="shared" ca="1" si="19"/>
        <v>0</v>
      </c>
      <c r="K38" s="987">
        <f t="shared" ca="1" si="20"/>
        <v>67.350185546875039</v>
      </c>
    </row>
    <row r="39" spans="1:11" x14ac:dyDescent="0.25">
      <c r="A39" s="703">
        <v>41704</v>
      </c>
      <c r="B39" s="704">
        <f ca="1">VLOOKUP(A39,'Used GB Charts'!A:BQ,36,FALSE)+VLOOKUP(A39,'Used GB Charts'!A:BQ,64,FALSE)</f>
        <v>244.15859374999999</v>
      </c>
      <c r="C39" s="704">
        <f ca="1">VLOOKUP(A39,'Used GB Charts'!A:BQ,37,FALSE)+VLOOKUP(A39,'Used GB Charts'!A:BQ,66,FALSE)</f>
        <v>146.98896484375001</v>
      </c>
      <c r="D39" s="704">
        <f ca="1">VLOOKUP(A39,'Used GB Charts'!A:BQ,38,FALSE)+VLOOKUP(A39,'Used GB Charts'!A:BQ,40,FALSE)+VLOOKUP(A39,'Used GB Charts'!A:BQ,42,FALSE)+VLOOKUP(A39,'Used GB Charts'!A:BQ,43,FALSE)+VLOOKUP(A39,'Used GB Charts'!A:BQ,44,FALSE)+VLOOKUP(A39,'Used GB Charts'!A:BQ,56,FALSE)+VLOOKUP(A39,'Used GB Charts'!A:BQ,57,FALSE)+VLOOKUP(A39,'Used GB Charts'!A:BQ,59,FALSE)+VLOOKUP(A39,'Used GB Charts'!A:BQ,65,FALSE)</f>
        <v>964.69873046875</v>
      </c>
      <c r="E39" s="704">
        <f ca="1">VLOOKUP(A39,'Used GB Charts'!A:BQ,39,FALSE)+VLOOKUP(A39,'Used GB Charts'!A:BQ,41,FALSE)+VLOOKUP(A39,'Used GB Charts'!A:BQ,45,FALSE)+VLOOKUP(A39,'Used GB Charts'!A:BQ,63,FALSE)+VLOOKUP(A39,'Used GB Charts'!A:BQ,67,FALSE)+VLOOKUP(A39,'Used GB Charts'!A:BQ,68,FALSE)</f>
        <v>776.9287109375</v>
      </c>
      <c r="F39" s="704">
        <f ca="1">VLOOKUP(A39,'Used GB Charts'!A:BQ,46,FALSE)+VLOOKUP(A39,'Used GB Charts'!A:BQ,47,FALSE)+VLOOKUP(A39,'Used GB Charts'!A:BQ,52,FALSE)+VLOOKUP(A39,'Used GB Charts'!A:BQ,61,FALSE)+VLOOKUP(A39,'Used GB Charts'!A:BQ,62,FALSE)</f>
        <v>835.27363281249995</v>
      </c>
      <c r="G39" s="704">
        <f ca="1">VLOOKUP(A39,'Used GB Charts'!A:BQ,42,FALSE)+VLOOKUP(A39,'Used GB Charts'!A:BQ,43,FALSE)+VLOOKUP(A39,'Used GB Charts'!A:BQ,44,FALSE)++VLOOKUP(A39,'Used GB Charts'!A:BQ,45,FALSE)+VLOOKUP(A39,'Used GB Charts'!A:BQ,49,FALSE)+VLOOKUP(A39,'Used GB Charts'!A:BQ,52,FALSE)+VLOOKUP(A39,'Used GB Charts'!A:BQ,54,FALSE)</f>
        <v>1190.8553710937501</v>
      </c>
      <c r="H39" s="704">
        <f ca="1">VLOOKUP(A39,'Used GB Charts'!A:BQ,53,FALSE)+VLOOKUP(A39,'Used GB Charts'!A:BQ,54,FALSE)</f>
        <v>32.31494140625</v>
      </c>
      <c r="I39" s="704">
        <f t="shared" ref="I39" ca="1" si="39">SUM(B39:H39)</f>
        <v>4191.2189453125002</v>
      </c>
      <c r="J39" s="987">
        <f t="shared" ca="1" si="19"/>
        <v>0</v>
      </c>
      <c r="K39" s="987">
        <f t="shared" ca="1" si="20"/>
        <v>67.350185546875039</v>
      </c>
    </row>
    <row r="40" spans="1:11" x14ac:dyDescent="0.25">
      <c r="A40" s="703">
        <v>41703</v>
      </c>
      <c r="B40" s="704">
        <f ca="1">VLOOKUP(A40,'Used GB Charts'!A:BQ,36,FALSE)+VLOOKUP(A40,'Used GB Charts'!A:BQ,64,FALSE)</f>
        <v>244.15859374999999</v>
      </c>
      <c r="C40" s="704">
        <f ca="1">VLOOKUP(A40,'Used GB Charts'!A:BQ,37,FALSE)+VLOOKUP(A40,'Used GB Charts'!A:BQ,66,FALSE)</f>
        <v>146.98896484375001</v>
      </c>
      <c r="D40" s="704">
        <f ca="1">VLOOKUP(A40,'Used GB Charts'!A:BQ,38,FALSE)+VLOOKUP(A40,'Used GB Charts'!A:BQ,40,FALSE)+VLOOKUP(A40,'Used GB Charts'!A:BQ,42,FALSE)+VLOOKUP(A40,'Used GB Charts'!A:BQ,43,FALSE)+VLOOKUP(A40,'Used GB Charts'!A:BQ,44,FALSE)+VLOOKUP(A40,'Used GB Charts'!A:BQ,56,FALSE)+VLOOKUP(A40,'Used GB Charts'!A:BQ,57,FALSE)+VLOOKUP(A40,'Used GB Charts'!A:BQ,59,FALSE)+VLOOKUP(A40,'Used GB Charts'!A:BQ,65,FALSE)</f>
        <v>964.69873046875</v>
      </c>
      <c r="E40" s="704">
        <f ca="1">VLOOKUP(A40,'Used GB Charts'!A:BQ,39,FALSE)+VLOOKUP(A40,'Used GB Charts'!A:BQ,41,FALSE)+VLOOKUP(A40,'Used GB Charts'!A:BQ,45,FALSE)+VLOOKUP(A40,'Used GB Charts'!A:BQ,63,FALSE)+VLOOKUP(A40,'Used GB Charts'!A:BQ,67,FALSE)+VLOOKUP(A40,'Used GB Charts'!A:BQ,68,FALSE)</f>
        <v>776.9287109375</v>
      </c>
      <c r="F40" s="704">
        <f ca="1">VLOOKUP(A40,'Used GB Charts'!A:BQ,46,FALSE)+VLOOKUP(A40,'Used GB Charts'!A:BQ,47,FALSE)+VLOOKUP(A40,'Used GB Charts'!A:BQ,52,FALSE)+VLOOKUP(A40,'Used GB Charts'!A:BQ,61,FALSE)+VLOOKUP(A40,'Used GB Charts'!A:BQ,62,FALSE)</f>
        <v>835.27363281249995</v>
      </c>
      <c r="G40" s="704">
        <f ca="1">VLOOKUP(A40,'Used GB Charts'!A:BQ,42,FALSE)+VLOOKUP(A40,'Used GB Charts'!A:BQ,43,FALSE)+VLOOKUP(A40,'Used GB Charts'!A:BQ,44,FALSE)++VLOOKUP(A40,'Used GB Charts'!A:BQ,45,FALSE)+VLOOKUP(A40,'Used GB Charts'!A:BQ,49,FALSE)+VLOOKUP(A40,'Used GB Charts'!A:BQ,52,FALSE)+VLOOKUP(A40,'Used GB Charts'!A:BQ,54,FALSE)</f>
        <v>1190.8553710937501</v>
      </c>
      <c r="H40" s="704">
        <f ca="1">VLOOKUP(A40,'Used GB Charts'!A:BQ,53,FALSE)+VLOOKUP(A40,'Used GB Charts'!A:BQ,54,FALSE)</f>
        <v>32.31494140625</v>
      </c>
      <c r="I40" s="704">
        <f t="shared" ref="I40:I73" ca="1" si="40">SUM(B40:H40)</f>
        <v>4191.2189453125002</v>
      </c>
      <c r="J40" s="987">
        <f t="shared" ca="1" si="19"/>
        <v>10.834863281250364</v>
      </c>
      <c r="K40" s="987">
        <f t="shared" ca="1" si="20"/>
        <v>67.350185546875039</v>
      </c>
    </row>
    <row r="41" spans="1:11" x14ac:dyDescent="0.25">
      <c r="A41" s="703">
        <v>41702</v>
      </c>
      <c r="B41" s="704">
        <f ca="1">VLOOKUP(A41,'Used GB Charts'!A:BQ,36,FALSE)+VLOOKUP(A41,'Used GB Charts'!A:BQ,64,FALSE)</f>
        <v>244.15859374999999</v>
      </c>
      <c r="C41" s="704">
        <f ca="1">VLOOKUP(A41,'Used GB Charts'!A:BQ,37,FALSE)+VLOOKUP(A41,'Used GB Charts'!A:BQ,66,FALSE)</f>
        <v>146.98896484375001</v>
      </c>
      <c r="D41" s="704">
        <f ca="1">VLOOKUP(A41,'Used GB Charts'!A:BQ,38,FALSE)+VLOOKUP(A41,'Used GB Charts'!A:BQ,40,FALSE)+VLOOKUP(A41,'Used GB Charts'!A:BQ,42,FALSE)+VLOOKUP(A41,'Used GB Charts'!A:BQ,43,FALSE)+VLOOKUP(A41,'Used GB Charts'!A:BQ,44,FALSE)+VLOOKUP(A41,'Used GB Charts'!A:BQ,56,FALSE)+VLOOKUP(A41,'Used GB Charts'!A:BQ,57,FALSE)+VLOOKUP(A41,'Used GB Charts'!A:BQ,59,FALSE)+VLOOKUP(A41,'Used GB Charts'!A:BQ,65,FALSE)</f>
        <v>958.39833984375002</v>
      </c>
      <c r="E41" s="704">
        <f ca="1">VLOOKUP(A41,'Used GB Charts'!A:BQ,39,FALSE)+VLOOKUP(A41,'Used GB Charts'!A:BQ,41,FALSE)+VLOOKUP(A41,'Used GB Charts'!A:BQ,45,FALSE)+VLOOKUP(A41,'Used GB Charts'!A:BQ,63,FALSE)+VLOOKUP(A41,'Used GB Charts'!A:BQ,67,FALSE)+VLOOKUP(A41,'Used GB Charts'!A:BQ,68,FALSE)</f>
        <v>776.9287109375</v>
      </c>
      <c r="F41" s="704">
        <f ca="1">VLOOKUP(A41,'Used GB Charts'!A:BQ,46,FALSE)+VLOOKUP(A41,'Used GB Charts'!A:BQ,47,FALSE)+VLOOKUP(A41,'Used GB Charts'!A:BQ,52,FALSE)+VLOOKUP(A41,'Used GB Charts'!A:BQ,61,FALSE)+VLOOKUP(A41,'Used GB Charts'!A:BQ,62,FALSE)</f>
        <v>835.27363281249995</v>
      </c>
      <c r="G41" s="704">
        <f ca="1">VLOOKUP(A41,'Used GB Charts'!A:BQ,42,FALSE)+VLOOKUP(A41,'Used GB Charts'!A:BQ,43,FALSE)+VLOOKUP(A41,'Used GB Charts'!A:BQ,44,FALSE)++VLOOKUP(A41,'Used GB Charts'!A:BQ,45,FALSE)+VLOOKUP(A41,'Used GB Charts'!A:BQ,49,FALSE)+VLOOKUP(A41,'Used GB Charts'!A:BQ,52,FALSE)+VLOOKUP(A41,'Used GB Charts'!A:BQ,54,FALSE)</f>
        <v>1186.3208984374999</v>
      </c>
      <c r="H41" s="704">
        <f ca="1">VLOOKUP(A41,'Used GB Charts'!A:BQ,53,FALSE)+VLOOKUP(A41,'Used GB Charts'!A:BQ,54,FALSE)</f>
        <v>32.31494140625</v>
      </c>
      <c r="I41" s="704">
        <f t="shared" ca="1" si="40"/>
        <v>4180.3840820312498</v>
      </c>
      <c r="J41" s="987">
        <f t="shared" ca="1" si="19"/>
        <v>1204.6727539062499</v>
      </c>
      <c r="K41" s="987">
        <f t="shared" ca="1" si="20"/>
        <v>66.266699218750006</v>
      </c>
    </row>
    <row r="42" spans="1:11" x14ac:dyDescent="0.25">
      <c r="A42" s="703">
        <v>41695</v>
      </c>
      <c r="B42" s="704">
        <f ca="1">VLOOKUP(A42,'Used GB Charts'!A:BQ,36,FALSE)+VLOOKUP(A42,'Used GB Charts'!A:BQ,64,FALSE)</f>
        <v>140.0322265625</v>
      </c>
      <c r="C42" s="704">
        <f ca="1">VLOOKUP(A42,'Used GB Charts'!A:BQ,37,FALSE)+VLOOKUP(A42,'Used GB Charts'!A:BQ,66,FALSE)</f>
        <v>146.98896484375001</v>
      </c>
      <c r="D42" s="704">
        <f ca="1">VLOOKUP(A42,'Used GB Charts'!A:BQ,38,FALSE)+VLOOKUP(A42,'Used GB Charts'!A:BQ,40,FALSE)+VLOOKUP(A42,'Used GB Charts'!A:BQ,42,FALSE)+VLOOKUP(A42,'Used GB Charts'!A:BQ,43,FALSE)+VLOOKUP(A42,'Used GB Charts'!A:BQ,44,FALSE)+VLOOKUP(A42,'Used GB Charts'!A:BQ,56,FALSE)+VLOOKUP(A42,'Used GB Charts'!A:BQ,57,FALSE)+VLOOKUP(A42,'Used GB Charts'!A:BQ,59,FALSE)+VLOOKUP(A42,'Used GB Charts'!A:BQ,65,FALSE)</f>
        <v>958.39833984375002</v>
      </c>
      <c r="E42" s="704">
        <f ca="1">VLOOKUP(A42,'Used GB Charts'!A:BQ,39,FALSE)+VLOOKUP(A42,'Used GB Charts'!A:BQ,41,FALSE)+VLOOKUP(A42,'Used GB Charts'!A:BQ,45,FALSE)+VLOOKUP(A42,'Used GB Charts'!A:BQ,63,FALSE)+VLOOKUP(A42,'Used GB Charts'!A:BQ,67,FALSE)+VLOOKUP(A42,'Used GB Charts'!A:BQ,68,FALSE)</f>
        <v>388.01542968749993</v>
      </c>
      <c r="F42" s="704">
        <f ca="1">VLOOKUP(A42,'Used GB Charts'!A:BQ,46,FALSE)+VLOOKUP(A42,'Used GB Charts'!A:BQ,47,FALSE)+VLOOKUP(A42,'Used GB Charts'!A:BQ,52,FALSE)+VLOOKUP(A42,'Used GB Charts'!A:BQ,61,FALSE)+VLOOKUP(A42,'Used GB Charts'!A:BQ,62,FALSE)</f>
        <v>398.78720703124998</v>
      </c>
      <c r="G42" s="704">
        <f ca="1">VLOOKUP(A42,'Used GB Charts'!A:BQ,42,FALSE)+VLOOKUP(A42,'Used GB Charts'!A:BQ,43,FALSE)+VLOOKUP(A42,'Used GB Charts'!A:BQ,44,FALSE)++VLOOKUP(A42,'Used GB Charts'!A:BQ,45,FALSE)+VLOOKUP(A42,'Used GB Charts'!A:BQ,49,FALSE)+VLOOKUP(A42,'Used GB Charts'!A:BQ,52,FALSE)+VLOOKUP(A42,'Used GB Charts'!A:BQ,54,FALSE)</f>
        <v>911.17421874999991</v>
      </c>
      <c r="H42" s="704">
        <f ca="1">VLOOKUP(A42,'Used GB Charts'!A:BQ,53,FALSE)+VLOOKUP(A42,'Used GB Charts'!A:BQ,54,FALSE)</f>
        <v>32.31494140625</v>
      </c>
      <c r="I42" s="704">
        <f t="shared" ca="1" si="40"/>
        <v>2975.7113281249999</v>
      </c>
      <c r="J42" s="987">
        <f t="shared" ca="1" si="19"/>
        <v>202.7587890625</v>
      </c>
      <c r="K42" s="987">
        <f t="shared" ca="1" si="20"/>
        <v>-54.200576171874992</v>
      </c>
    </row>
    <row r="43" spans="1:11" x14ac:dyDescent="0.25">
      <c r="A43" s="703">
        <v>41690</v>
      </c>
      <c r="B43" s="704">
        <f ca="1">VLOOKUP(A43,'Used GB Charts'!A:BQ,36,FALSE)+VLOOKUP(A43,'Used GB Charts'!A:BQ,64,FALSE)</f>
        <v>140.0322265625</v>
      </c>
      <c r="C43" s="704">
        <f ca="1">VLOOKUP(A43,'Used GB Charts'!A:BQ,37,FALSE)+VLOOKUP(A43,'Used GB Charts'!A:BQ,66,FALSE)</f>
        <v>146.98896484375001</v>
      </c>
      <c r="D43" s="704">
        <f ca="1">VLOOKUP(A43,'Used GB Charts'!A:BQ,38,FALSE)+VLOOKUP(A43,'Used GB Charts'!A:BQ,40,FALSE)+VLOOKUP(A43,'Used GB Charts'!A:BQ,42,FALSE)+VLOOKUP(A43,'Used GB Charts'!A:BQ,43,FALSE)+VLOOKUP(A43,'Used GB Charts'!A:BQ,44,FALSE)+VLOOKUP(A43,'Used GB Charts'!A:BQ,56,FALSE)+VLOOKUP(A43,'Used GB Charts'!A:BQ,57,FALSE)+VLOOKUP(A43,'Used GB Charts'!A:BQ,59,FALSE)+VLOOKUP(A43,'Used GB Charts'!A:BQ,65,FALSE)</f>
        <v>755.63955078125002</v>
      </c>
      <c r="E43" s="704">
        <f ca="1">VLOOKUP(A43,'Used GB Charts'!A:BQ,39,FALSE)+VLOOKUP(A43,'Used GB Charts'!A:BQ,41,FALSE)+VLOOKUP(A43,'Used GB Charts'!A:BQ,45,FALSE)+VLOOKUP(A43,'Used GB Charts'!A:BQ,63,FALSE)+VLOOKUP(A43,'Used GB Charts'!A:BQ,67,FALSE)+VLOOKUP(A43,'Used GB Charts'!A:BQ,68,FALSE)</f>
        <v>388.01542968749993</v>
      </c>
      <c r="F43" s="704">
        <f ca="1">VLOOKUP(A43,'Used GB Charts'!A:BQ,46,FALSE)+VLOOKUP(A43,'Used GB Charts'!A:BQ,47,FALSE)+VLOOKUP(A43,'Used GB Charts'!A:BQ,52,FALSE)+VLOOKUP(A43,'Used GB Charts'!A:BQ,61,FALSE)+VLOOKUP(A43,'Used GB Charts'!A:BQ,62,FALSE)</f>
        <v>398.78720703124998</v>
      </c>
      <c r="G43" s="704">
        <f ca="1">VLOOKUP(A43,'Used GB Charts'!A:BQ,42,FALSE)+VLOOKUP(A43,'Used GB Charts'!A:BQ,43,FALSE)+VLOOKUP(A43,'Used GB Charts'!A:BQ,44,FALSE)++VLOOKUP(A43,'Used GB Charts'!A:BQ,45,FALSE)+VLOOKUP(A43,'Used GB Charts'!A:BQ,49,FALSE)+VLOOKUP(A43,'Used GB Charts'!A:BQ,52,FALSE)+VLOOKUP(A43,'Used GB Charts'!A:BQ,54,FALSE)</f>
        <v>911.17421874999991</v>
      </c>
      <c r="H43" s="704">
        <f ca="1">VLOOKUP(A43,'Used GB Charts'!A:BQ,53,FALSE)+VLOOKUP(A43,'Used GB Charts'!A:BQ,54,FALSE)</f>
        <v>32.31494140625</v>
      </c>
      <c r="I43" s="704">
        <f t="shared" ca="1" si="40"/>
        <v>2772.9525390624999</v>
      </c>
      <c r="J43" s="987">
        <f t="shared" ca="1" si="19"/>
        <v>0</v>
      </c>
      <c r="K43" s="987">
        <f t="shared" ca="1" si="20"/>
        <v>-74.476455078124985</v>
      </c>
    </row>
    <row r="44" spans="1:11" x14ac:dyDescent="0.25">
      <c r="A44" s="703">
        <v>41684</v>
      </c>
      <c r="B44" s="704">
        <f ca="1">VLOOKUP(A44,'Used GB Charts'!A:BQ,36,FALSE)+VLOOKUP(A44,'Used GB Charts'!A:BQ,64,FALSE)</f>
        <v>140.0322265625</v>
      </c>
      <c r="C44" s="704">
        <f ca="1">VLOOKUP(A44,'Used GB Charts'!A:BQ,37,FALSE)+VLOOKUP(A44,'Used GB Charts'!A:BQ,66,FALSE)</f>
        <v>146.98896484375001</v>
      </c>
      <c r="D44" s="704">
        <f ca="1">VLOOKUP(A44,'Used GB Charts'!A:BQ,38,FALSE)+VLOOKUP(A44,'Used GB Charts'!A:BQ,40,FALSE)+VLOOKUP(A44,'Used GB Charts'!A:BQ,42,FALSE)+VLOOKUP(A44,'Used GB Charts'!A:BQ,43,FALSE)+VLOOKUP(A44,'Used GB Charts'!A:BQ,44,FALSE)+VLOOKUP(A44,'Used GB Charts'!A:BQ,56,FALSE)+VLOOKUP(A44,'Used GB Charts'!A:BQ,57,FALSE)+VLOOKUP(A44,'Used GB Charts'!A:BQ,59,FALSE)+VLOOKUP(A44,'Used GB Charts'!A:BQ,65,FALSE)</f>
        <v>755.63955078125002</v>
      </c>
      <c r="E44" s="704">
        <f ca="1">VLOOKUP(A44,'Used GB Charts'!A:BQ,39,FALSE)+VLOOKUP(A44,'Used GB Charts'!A:BQ,41,FALSE)+VLOOKUP(A44,'Used GB Charts'!A:BQ,45,FALSE)+VLOOKUP(A44,'Used GB Charts'!A:BQ,63,FALSE)+VLOOKUP(A44,'Used GB Charts'!A:BQ,67,FALSE)+VLOOKUP(A44,'Used GB Charts'!A:BQ,68,FALSE)</f>
        <v>388.01542968749993</v>
      </c>
      <c r="F44" s="704">
        <f ca="1">VLOOKUP(A44,'Used GB Charts'!A:BQ,46,FALSE)+VLOOKUP(A44,'Used GB Charts'!A:BQ,47,FALSE)+VLOOKUP(A44,'Used GB Charts'!A:BQ,52,FALSE)+VLOOKUP(A44,'Used GB Charts'!A:BQ,61,FALSE)+VLOOKUP(A44,'Used GB Charts'!A:BQ,62,FALSE)</f>
        <v>398.78720703124998</v>
      </c>
      <c r="G44" s="704">
        <f ca="1">VLOOKUP(A44,'Used GB Charts'!A:BQ,42,FALSE)+VLOOKUP(A44,'Used GB Charts'!A:BQ,43,FALSE)+VLOOKUP(A44,'Used GB Charts'!A:BQ,44,FALSE)++VLOOKUP(A44,'Used GB Charts'!A:BQ,45,FALSE)+VLOOKUP(A44,'Used GB Charts'!A:BQ,49,FALSE)+VLOOKUP(A44,'Used GB Charts'!A:BQ,52,FALSE)+VLOOKUP(A44,'Used GB Charts'!A:BQ,54,FALSE)</f>
        <v>911.17421874999991</v>
      </c>
      <c r="H44" s="704">
        <f ca="1">VLOOKUP(A44,'Used GB Charts'!A:BQ,53,FALSE)+VLOOKUP(A44,'Used GB Charts'!A:BQ,54,FALSE)</f>
        <v>32.31494140625</v>
      </c>
      <c r="I44" s="704">
        <f t="shared" ca="1" si="40"/>
        <v>2772.9525390624999</v>
      </c>
      <c r="J44" s="987">
        <f t="shared" ca="1" si="19"/>
        <v>0</v>
      </c>
      <c r="K44" s="987">
        <f t="shared" ca="1" si="20"/>
        <v>5.8775390625000004</v>
      </c>
    </row>
    <row r="45" spans="1:11" x14ac:dyDescent="0.25">
      <c r="A45" s="703">
        <v>41676</v>
      </c>
      <c r="B45" s="704">
        <f ca="1">VLOOKUP(A45,'Used GB Charts'!A:BQ,36,FALSE)+VLOOKUP(A45,'Used GB Charts'!A:BQ,64,FALSE)</f>
        <v>140.0322265625</v>
      </c>
      <c r="C45" s="704">
        <f ca="1">VLOOKUP(A45,'Used GB Charts'!A:BQ,37,FALSE)+VLOOKUP(A45,'Used GB Charts'!A:BQ,66,FALSE)</f>
        <v>146.98896484375001</v>
      </c>
      <c r="D45" s="704">
        <f ca="1">VLOOKUP(A45,'Used GB Charts'!A:BQ,38,FALSE)+VLOOKUP(A45,'Used GB Charts'!A:BQ,40,FALSE)+VLOOKUP(A45,'Used GB Charts'!A:BQ,42,FALSE)+VLOOKUP(A45,'Used GB Charts'!A:BQ,43,FALSE)+VLOOKUP(A45,'Used GB Charts'!A:BQ,44,FALSE)+VLOOKUP(A45,'Used GB Charts'!A:BQ,56,FALSE)+VLOOKUP(A45,'Used GB Charts'!A:BQ,57,FALSE)+VLOOKUP(A45,'Used GB Charts'!A:BQ,59,FALSE)+VLOOKUP(A45,'Used GB Charts'!A:BQ,65,FALSE)</f>
        <v>755.63955078125002</v>
      </c>
      <c r="E45" s="704">
        <f ca="1">VLOOKUP(A45,'Used GB Charts'!A:BQ,39,FALSE)+VLOOKUP(A45,'Used GB Charts'!A:BQ,41,FALSE)+VLOOKUP(A45,'Used GB Charts'!A:BQ,45,FALSE)+VLOOKUP(A45,'Used GB Charts'!A:BQ,63,FALSE)+VLOOKUP(A45,'Used GB Charts'!A:BQ,67,FALSE)+VLOOKUP(A45,'Used GB Charts'!A:BQ,68,FALSE)</f>
        <v>388.01542968749993</v>
      </c>
      <c r="F45" s="704">
        <f ca="1">VLOOKUP(A45,'Used GB Charts'!A:BQ,46,FALSE)+VLOOKUP(A45,'Used GB Charts'!A:BQ,47,FALSE)+VLOOKUP(A45,'Used GB Charts'!A:BQ,52,FALSE)+VLOOKUP(A45,'Used GB Charts'!A:BQ,61,FALSE)+VLOOKUP(A45,'Used GB Charts'!A:BQ,62,FALSE)</f>
        <v>398.78720703124998</v>
      </c>
      <c r="G45" s="704">
        <f ca="1">VLOOKUP(A45,'Used GB Charts'!A:BQ,42,FALSE)+VLOOKUP(A45,'Used GB Charts'!A:BQ,43,FALSE)+VLOOKUP(A45,'Used GB Charts'!A:BQ,44,FALSE)++VLOOKUP(A45,'Used GB Charts'!A:BQ,45,FALSE)+VLOOKUP(A45,'Used GB Charts'!A:BQ,49,FALSE)+VLOOKUP(A45,'Used GB Charts'!A:BQ,52,FALSE)+VLOOKUP(A45,'Used GB Charts'!A:BQ,54,FALSE)</f>
        <v>911.17421874999991</v>
      </c>
      <c r="H45" s="704">
        <f ca="1">VLOOKUP(A45,'Used GB Charts'!A:BQ,53,FALSE)+VLOOKUP(A45,'Used GB Charts'!A:BQ,54,FALSE)</f>
        <v>32.31494140625</v>
      </c>
      <c r="I45" s="704">
        <f t="shared" ca="1" si="40"/>
        <v>2772.9525390624999</v>
      </c>
      <c r="J45" s="987">
        <f t="shared" ca="1" si="19"/>
        <v>56.583984375</v>
      </c>
      <c r="K45" s="987">
        <f t="shared" ca="1" si="20"/>
        <v>5.8775390625000004</v>
      </c>
    </row>
    <row r="46" spans="1:11" x14ac:dyDescent="0.25">
      <c r="A46" s="703">
        <v>41642</v>
      </c>
      <c r="B46" s="704">
        <f ca="1">VLOOKUP(A46,'Used GB Charts'!A:BQ,36,FALSE)+VLOOKUP(A46,'Used GB Charts'!A:BQ,64,FALSE)</f>
        <v>140.0322265625</v>
      </c>
      <c r="C46" s="704">
        <f ca="1">VLOOKUP(A46,'Used GB Charts'!A:BQ,37,FALSE)+VLOOKUP(A46,'Used GB Charts'!A:BQ,66,FALSE)</f>
        <v>146.98896484375001</v>
      </c>
      <c r="D46" s="704">
        <f ca="1">VLOOKUP(A46,'Used GB Charts'!A:BQ,38,FALSE)+VLOOKUP(A46,'Used GB Charts'!A:BQ,40,FALSE)+VLOOKUP(A46,'Used GB Charts'!A:BQ,42,FALSE)+VLOOKUP(A46,'Used GB Charts'!A:BQ,43,FALSE)+VLOOKUP(A46,'Used GB Charts'!A:BQ,44,FALSE)+VLOOKUP(A46,'Used GB Charts'!A:BQ,56,FALSE)+VLOOKUP(A46,'Used GB Charts'!A:BQ,57,FALSE)+VLOOKUP(A46,'Used GB Charts'!A:BQ,59,FALSE)+VLOOKUP(A46,'Used GB Charts'!A:BQ,65,FALSE)</f>
        <v>727.34755859375002</v>
      </c>
      <c r="E46" s="704">
        <f ca="1">VLOOKUP(A46,'Used GB Charts'!A:BQ,39,FALSE)+VLOOKUP(A46,'Used GB Charts'!A:BQ,41,FALSE)+VLOOKUP(A46,'Used GB Charts'!A:BQ,45,FALSE)+VLOOKUP(A46,'Used GB Charts'!A:BQ,63,FALSE)+VLOOKUP(A46,'Used GB Charts'!A:BQ,67,FALSE)+VLOOKUP(A46,'Used GB Charts'!A:BQ,68,FALSE)</f>
        <v>388.01542968749993</v>
      </c>
      <c r="F46" s="704">
        <f ca="1">VLOOKUP(A46,'Used GB Charts'!A:BQ,46,FALSE)+VLOOKUP(A46,'Used GB Charts'!A:BQ,47,FALSE)+VLOOKUP(A46,'Used GB Charts'!A:BQ,52,FALSE)+VLOOKUP(A46,'Used GB Charts'!A:BQ,61,FALSE)+VLOOKUP(A46,'Used GB Charts'!A:BQ,62,FALSE)</f>
        <v>398.78720703124998</v>
      </c>
      <c r="G46" s="704">
        <f ca="1">VLOOKUP(A46,'Used GB Charts'!A:BQ,42,FALSE)+VLOOKUP(A46,'Used GB Charts'!A:BQ,43,FALSE)+VLOOKUP(A46,'Used GB Charts'!A:BQ,44,FALSE)++VLOOKUP(A46,'Used GB Charts'!A:BQ,45,FALSE)+VLOOKUP(A46,'Used GB Charts'!A:BQ,49,FALSE)+VLOOKUP(A46,'Used GB Charts'!A:BQ,52,FALSE)+VLOOKUP(A46,'Used GB Charts'!A:BQ,54,FALSE)</f>
        <v>882.88222656249991</v>
      </c>
      <c r="H46" s="704">
        <f ca="1">VLOOKUP(A46,'Used GB Charts'!A:BQ,53,FALSE)+VLOOKUP(A46,'Used GB Charts'!A:BQ,54,FALSE)</f>
        <v>32.31494140625</v>
      </c>
      <c r="I46" s="704">
        <f t="shared" ca="1" si="40"/>
        <v>2716.3685546874999</v>
      </c>
      <c r="J46" s="987">
        <f t="shared" ca="1" si="19"/>
        <v>0</v>
      </c>
      <c r="K46" s="987">
        <f t="shared" ca="1" si="20"/>
        <v>-51.590000000000011</v>
      </c>
    </row>
    <row r="47" spans="1:11" x14ac:dyDescent="0.25">
      <c r="A47" s="703">
        <v>41626</v>
      </c>
      <c r="B47" s="704">
        <f ca="1">VLOOKUP(A47,'Used GB Charts'!A:BQ,36,FALSE)+VLOOKUP(A47,'Used GB Charts'!A:BQ,64,FALSE)</f>
        <v>140.0322265625</v>
      </c>
      <c r="C47" s="704">
        <f ca="1">VLOOKUP(A47,'Used GB Charts'!A:BQ,37,FALSE)+VLOOKUP(A47,'Used GB Charts'!A:BQ,66,FALSE)</f>
        <v>146.98896484375001</v>
      </c>
      <c r="D47" s="704">
        <f ca="1">VLOOKUP(A47,'Used GB Charts'!A:BQ,38,FALSE)+VLOOKUP(A47,'Used GB Charts'!A:BQ,40,FALSE)+VLOOKUP(A47,'Used GB Charts'!A:BQ,42,FALSE)+VLOOKUP(A47,'Used GB Charts'!A:BQ,43,FALSE)+VLOOKUP(A47,'Used GB Charts'!A:BQ,44,FALSE)+VLOOKUP(A47,'Used GB Charts'!A:BQ,56,FALSE)+VLOOKUP(A47,'Used GB Charts'!A:BQ,57,FALSE)+VLOOKUP(A47,'Used GB Charts'!A:BQ,59,FALSE)+VLOOKUP(A47,'Used GB Charts'!A:BQ,65,FALSE)</f>
        <v>727.34755859375002</v>
      </c>
      <c r="E47" s="704">
        <f ca="1">VLOOKUP(A47,'Used GB Charts'!A:BQ,39,FALSE)+VLOOKUP(A47,'Used GB Charts'!A:BQ,41,FALSE)+VLOOKUP(A47,'Used GB Charts'!A:BQ,45,FALSE)+VLOOKUP(A47,'Used GB Charts'!A:BQ,63,FALSE)+VLOOKUP(A47,'Used GB Charts'!A:BQ,67,FALSE)+VLOOKUP(A47,'Used GB Charts'!A:BQ,68,FALSE)</f>
        <v>388.01542968749993</v>
      </c>
      <c r="F47" s="704">
        <f ca="1">VLOOKUP(A47,'Used GB Charts'!A:BQ,46,FALSE)+VLOOKUP(A47,'Used GB Charts'!A:BQ,47,FALSE)+VLOOKUP(A47,'Used GB Charts'!A:BQ,52,FALSE)+VLOOKUP(A47,'Used GB Charts'!A:BQ,61,FALSE)+VLOOKUP(A47,'Used GB Charts'!A:BQ,62,FALSE)</f>
        <v>398.78720703124998</v>
      </c>
      <c r="G47" s="704">
        <f ca="1">VLOOKUP(A47,'Used GB Charts'!A:BQ,42,FALSE)+VLOOKUP(A47,'Used GB Charts'!A:BQ,43,FALSE)+VLOOKUP(A47,'Used GB Charts'!A:BQ,44,FALSE)++VLOOKUP(A47,'Used GB Charts'!A:BQ,45,FALSE)+VLOOKUP(A47,'Used GB Charts'!A:BQ,49,FALSE)+VLOOKUP(A47,'Used GB Charts'!A:BQ,52,FALSE)+VLOOKUP(A47,'Used GB Charts'!A:BQ,54,FALSE)</f>
        <v>882.88222656249991</v>
      </c>
      <c r="H47" s="704">
        <f ca="1">VLOOKUP(A47,'Used GB Charts'!A:BQ,53,FALSE)+VLOOKUP(A47,'Used GB Charts'!A:BQ,54,FALSE)</f>
        <v>32.31494140625</v>
      </c>
      <c r="I47" s="704">
        <f t="shared" ca="1" si="40"/>
        <v>2716.3685546874999</v>
      </c>
      <c r="J47" s="987">
        <f t="shared" ca="1" si="19"/>
        <v>-801.34853515624991</v>
      </c>
      <c r="K47" s="987">
        <f t="shared" ca="1" si="20"/>
        <v>-51.590000000000011</v>
      </c>
    </row>
    <row r="48" spans="1:11" x14ac:dyDescent="0.25">
      <c r="A48" s="703">
        <v>41617</v>
      </c>
      <c r="B48" s="704">
        <f ca="1">VLOOKUP(A48,'Used GB Charts'!A:BQ,36,FALSE)+VLOOKUP(A48,'Used GB Charts'!A:BQ,64,FALSE)</f>
        <v>140.0322265625</v>
      </c>
      <c r="C48" s="704">
        <f ca="1">VLOOKUP(A48,'Used GB Charts'!A:BQ,37,FALSE)+VLOOKUP(A48,'Used GB Charts'!A:BQ,66,FALSE)</f>
        <v>146.98896484375001</v>
      </c>
      <c r="D48" s="704">
        <f ca="1">VLOOKUP(A48,'Used GB Charts'!A:BQ,38,FALSE)+VLOOKUP(A48,'Used GB Charts'!A:BQ,40,FALSE)+VLOOKUP(A48,'Used GB Charts'!A:BQ,42,FALSE)+VLOOKUP(A48,'Used GB Charts'!A:BQ,43,FALSE)+VLOOKUP(A48,'Used GB Charts'!A:BQ,44,FALSE)+VLOOKUP(A48,'Used GB Charts'!A:BQ,56,FALSE)+VLOOKUP(A48,'Used GB Charts'!A:BQ,57,FALSE)+VLOOKUP(A48,'Used GB Charts'!A:BQ,59,FALSE)+VLOOKUP(A48,'Used GB Charts'!A:BQ,65,FALSE)</f>
        <v>727.34755859375002</v>
      </c>
      <c r="E48" s="704">
        <f ca="1">VLOOKUP(A48,'Used GB Charts'!A:BQ,39,FALSE)+VLOOKUP(A48,'Used GB Charts'!A:BQ,41,FALSE)+VLOOKUP(A48,'Used GB Charts'!A:BQ,45,FALSE)+VLOOKUP(A48,'Used GB Charts'!A:BQ,63,FALSE)+VLOOKUP(A48,'Used GB Charts'!A:BQ,67,FALSE)+VLOOKUP(A48,'Used GB Charts'!A:BQ,68,FALSE)</f>
        <v>516.99042968749995</v>
      </c>
      <c r="F48" s="704">
        <f ca="1">VLOOKUP(A48,'Used GB Charts'!A:BQ,46,FALSE)+VLOOKUP(A48,'Used GB Charts'!A:BQ,47,FALSE)+VLOOKUP(A48,'Used GB Charts'!A:BQ,52,FALSE)+VLOOKUP(A48,'Used GB Charts'!A:BQ,61,FALSE)+VLOOKUP(A48,'Used GB Charts'!A:BQ,62,FALSE)</f>
        <v>813.21074218749993</v>
      </c>
      <c r="G48" s="704">
        <f ca="1">VLOOKUP(A48,'Used GB Charts'!A:BQ,42,FALSE)+VLOOKUP(A48,'Used GB Charts'!A:BQ,43,FALSE)+VLOOKUP(A48,'Used GB Charts'!A:BQ,44,FALSE)++VLOOKUP(A48,'Used GB Charts'!A:BQ,45,FALSE)+VLOOKUP(A48,'Used GB Charts'!A:BQ,49,FALSE)+VLOOKUP(A48,'Used GB Charts'!A:BQ,52,FALSE)+VLOOKUP(A48,'Used GB Charts'!A:BQ,54,FALSE)</f>
        <v>1140.8322265625</v>
      </c>
      <c r="H48" s="704">
        <f ca="1">VLOOKUP(A48,'Used GB Charts'!A:BQ,53,FALSE)+VLOOKUP(A48,'Used GB Charts'!A:BQ,54,FALSE)</f>
        <v>32.31494140625</v>
      </c>
      <c r="I48" s="704">
        <f t="shared" ca="1" si="40"/>
        <v>3517.7170898437498</v>
      </c>
      <c r="J48" s="987">
        <f t="shared" ca="1" si="19"/>
        <v>0</v>
      </c>
      <c r="K48" s="987">
        <f t="shared" ca="1" si="20"/>
        <v>28.544853515624983</v>
      </c>
    </row>
    <row r="49" spans="1:11" x14ac:dyDescent="0.25">
      <c r="A49" s="703">
        <v>41610</v>
      </c>
      <c r="B49" s="704">
        <f ca="1">VLOOKUP(A49,'Used GB Charts'!A:BQ,36,FALSE)+VLOOKUP(A49,'Used GB Charts'!A:BQ,64,FALSE)</f>
        <v>140.0322265625</v>
      </c>
      <c r="C49" s="704">
        <f ca="1">VLOOKUP(A49,'Used GB Charts'!A:BQ,37,FALSE)+VLOOKUP(A49,'Used GB Charts'!A:BQ,66,FALSE)</f>
        <v>146.98896484375001</v>
      </c>
      <c r="D49" s="704">
        <f ca="1">VLOOKUP(A49,'Used GB Charts'!A:BQ,38,FALSE)+VLOOKUP(A49,'Used GB Charts'!A:BQ,40,FALSE)+VLOOKUP(A49,'Used GB Charts'!A:BQ,42,FALSE)+VLOOKUP(A49,'Used GB Charts'!A:BQ,43,FALSE)+VLOOKUP(A49,'Used GB Charts'!A:BQ,44,FALSE)+VLOOKUP(A49,'Used GB Charts'!A:BQ,56,FALSE)+VLOOKUP(A49,'Used GB Charts'!A:BQ,57,FALSE)+VLOOKUP(A49,'Used GB Charts'!A:BQ,59,FALSE)+VLOOKUP(A49,'Used GB Charts'!A:BQ,65,FALSE)</f>
        <v>727.34755859375002</v>
      </c>
      <c r="E49" s="704">
        <f ca="1">VLOOKUP(A49,'Used GB Charts'!A:BQ,39,FALSE)+VLOOKUP(A49,'Used GB Charts'!A:BQ,41,FALSE)+VLOOKUP(A49,'Used GB Charts'!A:BQ,45,FALSE)+VLOOKUP(A49,'Used GB Charts'!A:BQ,63,FALSE)+VLOOKUP(A49,'Used GB Charts'!A:BQ,67,FALSE)+VLOOKUP(A49,'Used GB Charts'!A:BQ,68,FALSE)</f>
        <v>516.99042968749995</v>
      </c>
      <c r="F49" s="704">
        <f ca="1">VLOOKUP(A49,'Used GB Charts'!A:BQ,46,FALSE)+VLOOKUP(A49,'Used GB Charts'!A:BQ,47,FALSE)+VLOOKUP(A49,'Used GB Charts'!A:BQ,52,FALSE)+VLOOKUP(A49,'Used GB Charts'!A:BQ,61,FALSE)+VLOOKUP(A49,'Used GB Charts'!A:BQ,62,FALSE)</f>
        <v>813.21074218749993</v>
      </c>
      <c r="G49" s="704">
        <f ca="1">VLOOKUP(A49,'Used GB Charts'!A:BQ,42,FALSE)+VLOOKUP(A49,'Used GB Charts'!A:BQ,43,FALSE)+VLOOKUP(A49,'Used GB Charts'!A:BQ,44,FALSE)++VLOOKUP(A49,'Used GB Charts'!A:BQ,45,FALSE)+VLOOKUP(A49,'Used GB Charts'!A:BQ,49,FALSE)+VLOOKUP(A49,'Used GB Charts'!A:BQ,52,FALSE)+VLOOKUP(A49,'Used GB Charts'!A:BQ,54,FALSE)</f>
        <v>1140.8322265625</v>
      </c>
      <c r="H49" s="704">
        <f ca="1">VLOOKUP(A49,'Used GB Charts'!A:BQ,53,FALSE)+VLOOKUP(A49,'Used GB Charts'!A:BQ,54,FALSE)</f>
        <v>32.31494140625</v>
      </c>
      <c r="I49" s="704">
        <f t="shared" ca="1" si="40"/>
        <v>3517.7170898437498</v>
      </c>
      <c r="J49" s="987">
        <f t="shared" ca="1" si="19"/>
        <v>0</v>
      </c>
      <c r="K49" s="987">
        <f t="shared" ca="1" si="20"/>
        <v>28.544853515624983</v>
      </c>
    </row>
    <row r="50" spans="1:11" x14ac:dyDescent="0.25">
      <c r="A50" s="703">
        <v>41603</v>
      </c>
      <c r="B50" s="704">
        <f ca="1">VLOOKUP(A50,'Used GB Charts'!A:BQ,36,FALSE)+VLOOKUP(A50,'Used GB Charts'!A:BQ,64,FALSE)</f>
        <v>140.0322265625</v>
      </c>
      <c r="C50" s="704">
        <f ca="1">VLOOKUP(A50,'Used GB Charts'!A:BQ,37,FALSE)+VLOOKUP(A50,'Used GB Charts'!A:BQ,66,FALSE)</f>
        <v>146.98896484375001</v>
      </c>
      <c r="D50" s="704">
        <f ca="1">VLOOKUP(A50,'Used GB Charts'!A:BQ,38,FALSE)+VLOOKUP(A50,'Used GB Charts'!A:BQ,40,FALSE)+VLOOKUP(A50,'Used GB Charts'!A:BQ,42,FALSE)+VLOOKUP(A50,'Used GB Charts'!A:BQ,43,FALSE)+VLOOKUP(A50,'Used GB Charts'!A:BQ,44,FALSE)+VLOOKUP(A50,'Used GB Charts'!A:BQ,56,FALSE)+VLOOKUP(A50,'Used GB Charts'!A:BQ,57,FALSE)+VLOOKUP(A50,'Used GB Charts'!A:BQ,59,FALSE)+VLOOKUP(A50,'Used GB Charts'!A:BQ,65,FALSE)</f>
        <v>727.34755859375002</v>
      </c>
      <c r="E50" s="704">
        <f ca="1">VLOOKUP(A50,'Used GB Charts'!A:BQ,39,FALSE)+VLOOKUP(A50,'Used GB Charts'!A:BQ,41,FALSE)+VLOOKUP(A50,'Used GB Charts'!A:BQ,45,FALSE)+VLOOKUP(A50,'Used GB Charts'!A:BQ,63,FALSE)+VLOOKUP(A50,'Used GB Charts'!A:BQ,67,FALSE)+VLOOKUP(A50,'Used GB Charts'!A:BQ,68,FALSE)</f>
        <v>516.99042968749995</v>
      </c>
      <c r="F50" s="704">
        <f ca="1">VLOOKUP(A50,'Used GB Charts'!A:BQ,46,FALSE)+VLOOKUP(A50,'Used GB Charts'!A:BQ,47,FALSE)+VLOOKUP(A50,'Used GB Charts'!A:BQ,52,FALSE)+VLOOKUP(A50,'Used GB Charts'!A:BQ,61,FALSE)+VLOOKUP(A50,'Used GB Charts'!A:BQ,62,FALSE)</f>
        <v>813.21074218749993</v>
      </c>
      <c r="G50" s="704">
        <f ca="1">VLOOKUP(A50,'Used GB Charts'!A:BQ,42,FALSE)+VLOOKUP(A50,'Used GB Charts'!A:BQ,43,FALSE)+VLOOKUP(A50,'Used GB Charts'!A:BQ,44,FALSE)++VLOOKUP(A50,'Used GB Charts'!A:BQ,45,FALSE)+VLOOKUP(A50,'Used GB Charts'!A:BQ,49,FALSE)+VLOOKUP(A50,'Used GB Charts'!A:BQ,52,FALSE)+VLOOKUP(A50,'Used GB Charts'!A:BQ,54,FALSE)</f>
        <v>1140.8322265625</v>
      </c>
      <c r="H50" s="704">
        <f ca="1">VLOOKUP(A50,'Used GB Charts'!A:BQ,53,FALSE)+VLOOKUP(A50,'Used GB Charts'!A:BQ,54,FALSE)</f>
        <v>32.31494140625</v>
      </c>
      <c r="I50" s="704">
        <f t="shared" ca="1" si="40"/>
        <v>3517.7170898437498</v>
      </c>
      <c r="J50" s="987">
        <f t="shared" ca="1" si="19"/>
        <v>0</v>
      </c>
      <c r="K50" s="987">
        <f t="shared" ca="1" si="20"/>
        <v>28.544853515624983</v>
      </c>
    </row>
    <row r="51" spans="1:11" x14ac:dyDescent="0.25">
      <c r="A51" s="703">
        <v>41596</v>
      </c>
      <c r="B51" s="704">
        <f ca="1">VLOOKUP(A51,'Used GB Charts'!A:BQ,36,FALSE)+VLOOKUP(A51,'Used GB Charts'!A:BQ,64,FALSE)</f>
        <v>140.0322265625</v>
      </c>
      <c r="C51" s="704">
        <f ca="1">VLOOKUP(A51,'Used GB Charts'!A:BQ,37,FALSE)+VLOOKUP(A51,'Used GB Charts'!A:BQ,66,FALSE)</f>
        <v>146.98896484375001</v>
      </c>
      <c r="D51" s="704">
        <f ca="1">VLOOKUP(A51,'Used GB Charts'!A:BQ,38,FALSE)+VLOOKUP(A51,'Used GB Charts'!A:BQ,40,FALSE)+VLOOKUP(A51,'Used GB Charts'!A:BQ,42,FALSE)+VLOOKUP(A51,'Used GB Charts'!A:BQ,43,FALSE)+VLOOKUP(A51,'Used GB Charts'!A:BQ,44,FALSE)+VLOOKUP(A51,'Used GB Charts'!A:BQ,56,FALSE)+VLOOKUP(A51,'Used GB Charts'!A:BQ,57,FALSE)+VLOOKUP(A51,'Used GB Charts'!A:BQ,59,FALSE)+VLOOKUP(A51,'Used GB Charts'!A:BQ,65,FALSE)</f>
        <v>727.34755859375002</v>
      </c>
      <c r="E51" s="704">
        <f ca="1">VLOOKUP(A51,'Used GB Charts'!A:BQ,39,FALSE)+VLOOKUP(A51,'Used GB Charts'!A:BQ,41,FALSE)+VLOOKUP(A51,'Used GB Charts'!A:BQ,45,FALSE)+VLOOKUP(A51,'Used GB Charts'!A:BQ,63,FALSE)+VLOOKUP(A51,'Used GB Charts'!A:BQ,67,FALSE)+VLOOKUP(A51,'Used GB Charts'!A:BQ,68,FALSE)</f>
        <v>516.99042968749995</v>
      </c>
      <c r="F51" s="704">
        <f ca="1">VLOOKUP(A51,'Used GB Charts'!A:BQ,46,FALSE)+VLOOKUP(A51,'Used GB Charts'!A:BQ,47,FALSE)+VLOOKUP(A51,'Used GB Charts'!A:BQ,52,FALSE)+VLOOKUP(A51,'Used GB Charts'!A:BQ,61,FALSE)+VLOOKUP(A51,'Used GB Charts'!A:BQ,62,FALSE)</f>
        <v>813.21074218749993</v>
      </c>
      <c r="G51" s="704">
        <f ca="1">VLOOKUP(A51,'Used GB Charts'!A:BQ,42,FALSE)+VLOOKUP(A51,'Used GB Charts'!A:BQ,43,FALSE)+VLOOKUP(A51,'Used GB Charts'!A:BQ,44,FALSE)++VLOOKUP(A51,'Used GB Charts'!A:BQ,45,FALSE)+VLOOKUP(A51,'Used GB Charts'!A:BQ,49,FALSE)+VLOOKUP(A51,'Used GB Charts'!A:BQ,52,FALSE)+VLOOKUP(A51,'Used GB Charts'!A:BQ,54,FALSE)</f>
        <v>1140.8322265625</v>
      </c>
      <c r="H51" s="704">
        <f ca="1">VLOOKUP(A51,'Used GB Charts'!A:BQ,53,FALSE)+VLOOKUP(A51,'Used GB Charts'!A:BQ,54,FALSE)</f>
        <v>32.31494140625</v>
      </c>
      <c r="I51" s="704">
        <f t="shared" ca="1" si="40"/>
        <v>3517.7170898437498</v>
      </c>
      <c r="J51" s="987">
        <f t="shared" ca="1" si="19"/>
        <v>0</v>
      </c>
      <c r="K51" s="987">
        <f t="shared" ca="1" si="20"/>
        <v>28.544853515624983</v>
      </c>
    </row>
    <row r="52" spans="1:11" x14ac:dyDescent="0.25">
      <c r="A52" s="703">
        <v>41589</v>
      </c>
      <c r="B52" s="704">
        <f ca="1">VLOOKUP(A52,'Used GB Charts'!A:BQ,36,FALSE)+VLOOKUP(A52,'Used GB Charts'!A:BQ,64,FALSE)</f>
        <v>140.0322265625</v>
      </c>
      <c r="C52" s="704">
        <f ca="1">VLOOKUP(A52,'Used GB Charts'!A:BQ,37,FALSE)+VLOOKUP(A52,'Used GB Charts'!A:BQ,66,FALSE)</f>
        <v>146.98896484375001</v>
      </c>
      <c r="D52" s="704">
        <f ca="1">VLOOKUP(A52,'Used GB Charts'!A:BQ,38,FALSE)+VLOOKUP(A52,'Used GB Charts'!A:BQ,40,FALSE)+VLOOKUP(A52,'Used GB Charts'!A:BQ,42,FALSE)+VLOOKUP(A52,'Used GB Charts'!A:BQ,43,FALSE)+VLOOKUP(A52,'Used GB Charts'!A:BQ,44,FALSE)+VLOOKUP(A52,'Used GB Charts'!A:BQ,56,FALSE)+VLOOKUP(A52,'Used GB Charts'!A:BQ,57,FALSE)+VLOOKUP(A52,'Used GB Charts'!A:BQ,59,FALSE)+VLOOKUP(A52,'Used GB Charts'!A:BQ,65,FALSE)</f>
        <v>727.34755859375002</v>
      </c>
      <c r="E52" s="704">
        <f ca="1">VLOOKUP(A52,'Used GB Charts'!A:BQ,39,FALSE)+VLOOKUP(A52,'Used GB Charts'!A:BQ,41,FALSE)+VLOOKUP(A52,'Used GB Charts'!A:BQ,45,FALSE)+VLOOKUP(A52,'Used GB Charts'!A:BQ,63,FALSE)+VLOOKUP(A52,'Used GB Charts'!A:BQ,67,FALSE)+VLOOKUP(A52,'Used GB Charts'!A:BQ,68,FALSE)</f>
        <v>516.99042968749995</v>
      </c>
      <c r="F52" s="704">
        <f ca="1">VLOOKUP(A52,'Used GB Charts'!A:BQ,46,FALSE)+VLOOKUP(A52,'Used GB Charts'!A:BQ,47,FALSE)+VLOOKUP(A52,'Used GB Charts'!A:BQ,52,FALSE)+VLOOKUP(A52,'Used GB Charts'!A:BQ,61,FALSE)+VLOOKUP(A52,'Used GB Charts'!A:BQ,62,FALSE)</f>
        <v>813.21074218749993</v>
      </c>
      <c r="G52" s="704">
        <f ca="1">VLOOKUP(A52,'Used GB Charts'!A:BQ,42,FALSE)+VLOOKUP(A52,'Used GB Charts'!A:BQ,43,FALSE)+VLOOKUP(A52,'Used GB Charts'!A:BQ,44,FALSE)++VLOOKUP(A52,'Used GB Charts'!A:BQ,45,FALSE)+VLOOKUP(A52,'Used GB Charts'!A:BQ,49,FALSE)+VLOOKUP(A52,'Used GB Charts'!A:BQ,52,FALSE)+VLOOKUP(A52,'Used GB Charts'!A:BQ,54,FALSE)</f>
        <v>1140.8322265625</v>
      </c>
      <c r="H52" s="704">
        <f ca="1">VLOOKUP(A52,'Used GB Charts'!A:BQ,53,FALSE)+VLOOKUP(A52,'Used GB Charts'!A:BQ,54,FALSE)</f>
        <v>32.31494140625</v>
      </c>
      <c r="I52" s="704">
        <f t="shared" ca="1" si="40"/>
        <v>3517.7170898437498</v>
      </c>
      <c r="J52" s="987">
        <f t="shared" ca="1" si="19"/>
        <v>0</v>
      </c>
      <c r="K52" s="987">
        <f t="shared" ca="1" si="20"/>
        <v>28.544853515624983</v>
      </c>
    </row>
    <row r="53" spans="1:11" x14ac:dyDescent="0.25">
      <c r="A53" s="703">
        <v>41561</v>
      </c>
      <c r="B53" s="704">
        <f ca="1">VLOOKUP(A53,'Used GB Charts'!A:BQ,36,FALSE)+VLOOKUP(A53,'Used GB Charts'!A:BQ,64,FALSE)</f>
        <v>140.0322265625</v>
      </c>
      <c r="C53" s="704">
        <f ca="1">VLOOKUP(A53,'Used GB Charts'!A:BQ,37,FALSE)+VLOOKUP(A53,'Used GB Charts'!A:BQ,66,FALSE)</f>
        <v>146.98896484375001</v>
      </c>
      <c r="D53" s="704">
        <f ca="1">VLOOKUP(A53,'Used GB Charts'!A:BQ,38,FALSE)+VLOOKUP(A53,'Used GB Charts'!A:BQ,40,FALSE)+VLOOKUP(A53,'Used GB Charts'!A:BQ,42,FALSE)+VLOOKUP(A53,'Used GB Charts'!A:BQ,43,FALSE)+VLOOKUP(A53,'Used GB Charts'!A:BQ,44,FALSE)+VLOOKUP(A53,'Used GB Charts'!A:BQ,56,FALSE)+VLOOKUP(A53,'Used GB Charts'!A:BQ,57,FALSE)+VLOOKUP(A53,'Used GB Charts'!A:BQ,59,FALSE)+VLOOKUP(A53,'Used GB Charts'!A:BQ,65,FALSE)</f>
        <v>727.34755859375002</v>
      </c>
      <c r="E53" s="704">
        <f ca="1">VLOOKUP(A53,'Used GB Charts'!A:BQ,39,FALSE)+VLOOKUP(A53,'Used GB Charts'!A:BQ,41,FALSE)+VLOOKUP(A53,'Used GB Charts'!A:BQ,45,FALSE)+VLOOKUP(A53,'Used GB Charts'!A:BQ,63,FALSE)+VLOOKUP(A53,'Used GB Charts'!A:BQ,67,FALSE)+VLOOKUP(A53,'Used GB Charts'!A:BQ,68,FALSE)</f>
        <v>516.99042968749995</v>
      </c>
      <c r="F53" s="704">
        <f ca="1">VLOOKUP(A53,'Used GB Charts'!A:BQ,46,FALSE)+VLOOKUP(A53,'Used GB Charts'!A:BQ,47,FALSE)+VLOOKUP(A53,'Used GB Charts'!A:BQ,52,FALSE)+VLOOKUP(A53,'Used GB Charts'!A:BQ,61,FALSE)+VLOOKUP(A53,'Used GB Charts'!A:BQ,62,FALSE)</f>
        <v>813.21074218749993</v>
      </c>
      <c r="G53" s="704">
        <f ca="1">VLOOKUP(A53,'Used GB Charts'!A:BQ,42,FALSE)+VLOOKUP(A53,'Used GB Charts'!A:BQ,43,FALSE)+VLOOKUP(A53,'Used GB Charts'!A:BQ,44,FALSE)++VLOOKUP(A53,'Used GB Charts'!A:BQ,45,FALSE)+VLOOKUP(A53,'Used GB Charts'!A:BQ,49,FALSE)+VLOOKUP(A53,'Used GB Charts'!A:BQ,52,FALSE)+VLOOKUP(A53,'Used GB Charts'!A:BQ,54,FALSE)</f>
        <v>1140.8322265625</v>
      </c>
      <c r="H53" s="704">
        <f ca="1">VLOOKUP(A53,'Used GB Charts'!A:BQ,53,FALSE)+VLOOKUP(A53,'Used GB Charts'!A:BQ,54,FALSE)</f>
        <v>32.31494140625</v>
      </c>
      <c r="I53" s="704">
        <f t="shared" ca="1" si="40"/>
        <v>3517.7170898437498</v>
      </c>
      <c r="J53" s="987">
        <f t="shared" ca="1" si="19"/>
        <v>0</v>
      </c>
      <c r="K53" s="987">
        <f t="shared" ca="1" si="20"/>
        <v>61.043681640624982</v>
      </c>
    </row>
    <row r="54" spans="1:11" x14ac:dyDescent="0.25">
      <c r="A54" s="703">
        <v>41548</v>
      </c>
      <c r="B54" s="704">
        <f ca="1">VLOOKUP(A54,'Used GB Charts'!A:BQ,36,FALSE)+VLOOKUP(A54,'Used GB Charts'!A:BQ,64,FALSE)</f>
        <v>140.0322265625</v>
      </c>
      <c r="C54" s="704">
        <f ca="1">VLOOKUP(A54,'Used GB Charts'!A:BQ,37,FALSE)+VLOOKUP(A54,'Used GB Charts'!A:BQ,66,FALSE)</f>
        <v>146.98896484375001</v>
      </c>
      <c r="D54" s="704">
        <f ca="1">VLOOKUP(A54,'Used GB Charts'!A:BQ,38,FALSE)+VLOOKUP(A54,'Used GB Charts'!A:BQ,40,FALSE)+VLOOKUP(A54,'Used GB Charts'!A:BQ,42,FALSE)+VLOOKUP(A54,'Used GB Charts'!A:BQ,43,FALSE)+VLOOKUP(A54,'Used GB Charts'!A:BQ,44,FALSE)+VLOOKUP(A54,'Used GB Charts'!A:BQ,56,FALSE)+VLOOKUP(A54,'Used GB Charts'!A:BQ,57,FALSE)+VLOOKUP(A54,'Used GB Charts'!A:BQ,59,FALSE)+VLOOKUP(A54,'Used GB Charts'!A:BQ,65,FALSE)</f>
        <v>727.34755859375002</v>
      </c>
      <c r="E54" s="704">
        <f ca="1">VLOOKUP(A54,'Used GB Charts'!A:BQ,39,FALSE)+VLOOKUP(A54,'Used GB Charts'!A:BQ,41,FALSE)+VLOOKUP(A54,'Used GB Charts'!A:BQ,45,FALSE)+VLOOKUP(A54,'Used GB Charts'!A:BQ,63,FALSE)+VLOOKUP(A54,'Used GB Charts'!A:BQ,67,FALSE)+VLOOKUP(A54,'Used GB Charts'!A:BQ,68,FALSE)</f>
        <v>516.99042968749995</v>
      </c>
      <c r="F54" s="704">
        <f ca="1">VLOOKUP(A54,'Used GB Charts'!A:BQ,46,FALSE)+VLOOKUP(A54,'Used GB Charts'!A:BQ,47,FALSE)+VLOOKUP(A54,'Used GB Charts'!A:BQ,52,FALSE)+VLOOKUP(A54,'Used GB Charts'!A:BQ,61,FALSE)+VLOOKUP(A54,'Used GB Charts'!A:BQ,62,FALSE)</f>
        <v>813.21074218749993</v>
      </c>
      <c r="G54" s="704">
        <f ca="1">VLOOKUP(A54,'Used GB Charts'!A:BQ,42,FALSE)+VLOOKUP(A54,'Used GB Charts'!A:BQ,43,FALSE)+VLOOKUP(A54,'Used GB Charts'!A:BQ,44,FALSE)++VLOOKUP(A54,'Used GB Charts'!A:BQ,45,FALSE)+VLOOKUP(A54,'Used GB Charts'!A:BQ,49,FALSE)+VLOOKUP(A54,'Used GB Charts'!A:BQ,52,FALSE)+VLOOKUP(A54,'Used GB Charts'!A:BQ,54,FALSE)</f>
        <v>1140.8322265625</v>
      </c>
      <c r="H54" s="704">
        <f ca="1">VLOOKUP(A54,'Used GB Charts'!A:BQ,53,FALSE)+VLOOKUP(A54,'Used GB Charts'!A:BQ,54,FALSE)</f>
        <v>32.31494140625</v>
      </c>
      <c r="I54" s="704">
        <f t="shared" ca="1" si="40"/>
        <v>3517.7170898437498</v>
      </c>
      <c r="J54" s="987">
        <f t="shared" ca="1" si="19"/>
        <v>803.53994140624991</v>
      </c>
      <c r="K54" s="987">
        <f t="shared" ca="1" si="20"/>
        <v>28.544853515624983</v>
      </c>
    </row>
    <row r="55" spans="1:11" x14ac:dyDescent="0.25">
      <c r="A55" s="703">
        <v>41541</v>
      </c>
      <c r="B55" s="704">
        <f ca="1">VLOOKUP(A55,'Used GB Charts'!A:BQ,36,FALSE)+VLOOKUP(A55,'Used GB Charts'!A:BQ,64,FALSE)</f>
        <v>140.0322265625</v>
      </c>
      <c r="C55" s="704">
        <f ca="1">VLOOKUP(A55,'Used GB Charts'!A:BQ,37,FALSE)+VLOOKUP(A55,'Used GB Charts'!A:BQ,66,FALSE)</f>
        <v>146.98896484375001</v>
      </c>
      <c r="D55" s="704">
        <f ca="1">VLOOKUP(A55,'Used GB Charts'!A:BQ,38,FALSE)+VLOOKUP(A55,'Used GB Charts'!A:BQ,40,FALSE)+VLOOKUP(A55,'Used GB Charts'!A:BQ,42,FALSE)+VLOOKUP(A55,'Used GB Charts'!A:BQ,43,FALSE)+VLOOKUP(A55,'Used GB Charts'!A:BQ,44,FALSE)+VLOOKUP(A55,'Used GB Charts'!A:BQ,56,FALSE)+VLOOKUP(A55,'Used GB Charts'!A:BQ,57,FALSE)+VLOOKUP(A55,'Used GB Charts'!A:BQ,59,FALSE)+VLOOKUP(A55,'Used GB Charts'!A:BQ,65,FALSE)</f>
        <v>727.34755859375002</v>
      </c>
      <c r="E55" s="704">
        <f ca="1">VLOOKUP(A55,'Used GB Charts'!A:BQ,39,FALSE)+VLOOKUP(A55,'Used GB Charts'!A:BQ,41,FALSE)+VLOOKUP(A55,'Used GB Charts'!A:BQ,45,FALSE)+VLOOKUP(A55,'Used GB Charts'!A:BQ,63,FALSE)+VLOOKUP(A55,'Used GB Charts'!A:BQ,67,FALSE)+VLOOKUP(A55,'Used GB Charts'!A:BQ,68,FALSE)</f>
        <v>386.91972656249993</v>
      </c>
      <c r="F55" s="704">
        <f ca="1">VLOOKUP(A55,'Used GB Charts'!A:BQ,46,FALSE)+VLOOKUP(A55,'Used GB Charts'!A:BQ,47,FALSE)+VLOOKUP(A55,'Used GB Charts'!A:BQ,52,FALSE)+VLOOKUP(A55,'Used GB Charts'!A:BQ,61,FALSE)+VLOOKUP(A55,'Used GB Charts'!A:BQ,62,FALSE)</f>
        <v>398.78720703124998</v>
      </c>
      <c r="G55" s="704">
        <f ca="1">VLOOKUP(A55,'Used GB Charts'!A:BQ,42,FALSE)+VLOOKUP(A55,'Used GB Charts'!A:BQ,43,FALSE)+VLOOKUP(A55,'Used GB Charts'!A:BQ,44,FALSE)++VLOOKUP(A55,'Used GB Charts'!A:BQ,45,FALSE)+VLOOKUP(A55,'Used GB Charts'!A:BQ,49,FALSE)+VLOOKUP(A55,'Used GB Charts'!A:BQ,52,FALSE)+VLOOKUP(A55,'Used GB Charts'!A:BQ,54,FALSE)</f>
        <v>881.78652343749991</v>
      </c>
      <c r="H55" s="704">
        <f ca="1">VLOOKUP(A55,'Used GB Charts'!A:BQ,53,FALSE)+VLOOKUP(A55,'Used GB Charts'!A:BQ,54,FALSE)</f>
        <v>32.31494140625</v>
      </c>
      <c r="I55" s="704">
        <f t="shared" ca="1" si="40"/>
        <v>2714.1771484374999</v>
      </c>
      <c r="J55" s="987">
        <f t="shared" ca="1" si="19"/>
        <v>0</v>
      </c>
      <c r="K55" s="987">
        <f t="shared" ca="1" si="20"/>
        <v>-51.809140625000012</v>
      </c>
    </row>
    <row r="56" spans="1:11" x14ac:dyDescent="0.25">
      <c r="A56" s="703">
        <v>41534</v>
      </c>
      <c r="B56" s="704">
        <f ca="1">VLOOKUP(A56,'Used GB Charts'!A:BQ,36,FALSE)+VLOOKUP(A56,'Used GB Charts'!A:BQ,64,FALSE)</f>
        <v>140.0322265625</v>
      </c>
      <c r="C56" s="704">
        <f ca="1">VLOOKUP(A56,'Used GB Charts'!A:BQ,37,FALSE)+VLOOKUP(A56,'Used GB Charts'!A:BQ,66,FALSE)</f>
        <v>146.98896484375001</v>
      </c>
      <c r="D56" s="704">
        <f ca="1">VLOOKUP(A56,'Used GB Charts'!A:BQ,38,FALSE)+VLOOKUP(A56,'Used GB Charts'!A:BQ,40,FALSE)+VLOOKUP(A56,'Used GB Charts'!A:BQ,42,FALSE)+VLOOKUP(A56,'Used GB Charts'!A:BQ,43,FALSE)+VLOOKUP(A56,'Used GB Charts'!A:BQ,44,FALSE)+VLOOKUP(A56,'Used GB Charts'!A:BQ,56,FALSE)+VLOOKUP(A56,'Used GB Charts'!A:BQ,57,FALSE)+VLOOKUP(A56,'Used GB Charts'!A:BQ,59,FALSE)+VLOOKUP(A56,'Used GB Charts'!A:BQ,65,FALSE)</f>
        <v>727.34755859375002</v>
      </c>
      <c r="E56" s="704">
        <f ca="1">VLOOKUP(A56,'Used GB Charts'!A:BQ,39,FALSE)+VLOOKUP(A56,'Used GB Charts'!A:BQ,41,FALSE)+VLOOKUP(A56,'Used GB Charts'!A:BQ,45,FALSE)+VLOOKUP(A56,'Used GB Charts'!A:BQ,63,FALSE)+VLOOKUP(A56,'Used GB Charts'!A:BQ,67,FALSE)+VLOOKUP(A56,'Used GB Charts'!A:BQ,68,FALSE)</f>
        <v>386.91972656249993</v>
      </c>
      <c r="F56" s="704">
        <f ca="1">VLOOKUP(A56,'Used GB Charts'!A:BQ,46,FALSE)+VLOOKUP(A56,'Used GB Charts'!A:BQ,47,FALSE)+VLOOKUP(A56,'Used GB Charts'!A:BQ,52,FALSE)+VLOOKUP(A56,'Used GB Charts'!A:BQ,61,FALSE)+VLOOKUP(A56,'Used GB Charts'!A:BQ,62,FALSE)</f>
        <v>398.78720703124998</v>
      </c>
      <c r="G56" s="704">
        <f ca="1">VLOOKUP(A56,'Used GB Charts'!A:BQ,42,FALSE)+VLOOKUP(A56,'Used GB Charts'!A:BQ,43,FALSE)+VLOOKUP(A56,'Used GB Charts'!A:BQ,44,FALSE)++VLOOKUP(A56,'Used GB Charts'!A:BQ,45,FALSE)+VLOOKUP(A56,'Used GB Charts'!A:BQ,49,FALSE)+VLOOKUP(A56,'Used GB Charts'!A:BQ,52,FALSE)+VLOOKUP(A56,'Used GB Charts'!A:BQ,54,FALSE)</f>
        <v>881.78652343749991</v>
      </c>
      <c r="H56" s="704">
        <f ca="1">VLOOKUP(A56,'Used GB Charts'!A:BQ,53,FALSE)+VLOOKUP(A56,'Used GB Charts'!A:BQ,54,FALSE)</f>
        <v>32.31494140625</v>
      </c>
      <c r="I56" s="704">
        <f t="shared" ca="1" si="40"/>
        <v>2714.1771484374999</v>
      </c>
      <c r="J56" s="987">
        <f t="shared" ca="1" si="19"/>
        <v>-518.09140625000009</v>
      </c>
      <c r="K56" s="987">
        <f t="shared" ca="1" si="20"/>
        <v>-51.809140625000012</v>
      </c>
    </row>
    <row r="57" spans="1:11" x14ac:dyDescent="0.25">
      <c r="A57" s="703">
        <v>41519</v>
      </c>
      <c r="B57" s="704">
        <f ca="1">VLOOKUP(A57,'Used GB Charts'!A:BQ,36,FALSE)+VLOOKUP(A57,'Used GB Charts'!A:BQ,64,FALSE)</f>
        <v>140.0322265625</v>
      </c>
      <c r="C57" s="704">
        <f ca="1">VLOOKUP(A57,'Used GB Charts'!A:BQ,37,FALSE)+VLOOKUP(A57,'Used GB Charts'!A:BQ,66,FALSE)</f>
        <v>146.98896484375001</v>
      </c>
      <c r="D57" s="704">
        <f ca="1">VLOOKUP(A57,'Used GB Charts'!A:BQ,38,FALSE)+VLOOKUP(A57,'Used GB Charts'!A:BQ,40,FALSE)+VLOOKUP(A57,'Used GB Charts'!A:BQ,42,FALSE)+VLOOKUP(A57,'Used GB Charts'!A:BQ,43,FALSE)+VLOOKUP(A57,'Used GB Charts'!A:BQ,44,FALSE)+VLOOKUP(A57,'Used GB Charts'!A:BQ,56,FALSE)+VLOOKUP(A57,'Used GB Charts'!A:BQ,57,FALSE)+VLOOKUP(A57,'Used GB Charts'!A:BQ,59,FALSE)+VLOOKUP(A57,'Used GB Charts'!A:BQ,65,FALSE)</f>
        <v>727.34755859375002</v>
      </c>
      <c r="E57" s="704">
        <f ca="1">VLOOKUP(A57,'Used GB Charts'!A:BQ,39,FALSE)+VLOOKUP(A57,'Used GB Charts'!A:BQ,41,FALSE)+VLOOKUP(A57,'Used GB Charts'!A:BQ,45,FALSE)+VLOOKUP(A57,'Used GB Charts'!A:BQ,63,FALSE)+VLOOKUP(A57,'Used GB Charts'!A:BQ,67,FALSE)+VLOOKUP(A57,'Used GB Charts'!A:BQ,68,FALSE)</f>
        <v>516.99042968749995</v>
      </c>
      <c r="F57" s="704">
        <f ca="1">VLOOKUP(A57,'Used GB Charts'!A:BQ,46,FALSE)+VLOOKUP(A57,'Used GB Charts'!A:BQ,47,FALSE)+VLOOKUP(A57,'Used GB Charts'!A:BQ,52,FALSE)+VLOOKUP(A57,'Used GB Charts'!A:BQ,61,FALSE)+VLOOKUP(A57,'Used GB Charts'!A:BQ,62,FALSE)</f>
        <v>527.76220703125</v>
      </c>
      <c r="G57" s="704">
        <f ca="1">VLOOKUP(A57,'Used GB Charts'!A:BQ,42,FALSE)+VLOOKUP(A57,'Used GB Charts'!A:BQ,43,FALSE)+VLOOKUP(A57,'Used GB Charts'!A:BQ,44,FALSE)++VLOOKUP(A57,'Used GB Charts'!A:BQ,45,FALSE)+VLOOKUP(A57,'Used GB Charts'!A:BQ,49,FALSE)+VLOOKUP(A57,'Used GB Charts'!A:BQ,52,FALSE)+VLOOKUP(A57,'Used GB Charts'!A:BQ,54,FALSE)</f>
        <v>1140.8322265625</v>
      </c>
      <c r="H57" s="704">
        <f ca="1">VLOOKUP(A57,'Used GB Charts'!A:BQ,53,FALSE)+VLOOKUP(A57,'Used GB Charts'!A:BQ,54,FALSE)</f>
        <v>32.31494140625</v>
      </c>
      <c r="I57" s="704">
        <f t="shared" ca="1" si="40"/>
        <v>3232.2685546875</v>
      </c>
      <c r="J57" s="987">
        <f t="shared" ca="1" si="19"/>
        <v>0</v>
      </c>
      <c r="K57" s="987">
        <f t="shared" ca="1" si="20"/>
        <v>0</v>
      </c>
    </row>
    <row r="58" spans="1:11" x14ac:dyDescent="0.25">
      <c r="A58" s="703">
        <v>41513</v>
      </c>
      <c r="B58" s="704">
        <f ca="1">VLOOKUP(A58,'Used GB Charts'!A:BQ,36,FALSE)+VLOOKUP(A58,'Used GB Charts'!A:BQ,64,FALSE)</f>
        <v>140.0322265625</v>
      </c>
      <c r="C58" s="704">
        <f ca="1">VLOOKUP(A58,'Used GB Charts'!A:BQ,37,FALSE)+VLOOKUP(A58,'Used GB Charts'!A:BQ,66,FALSE)</f>
        <v>146.98896484375001</v>
      </c>
      <c r="D58" s="704">
        <f ca="1">VLOOKUP(A58,'Used GB Charts'!A:BQ,38,FALSE)+VLOOKUP(A58,'Used GB Charts'!A:BQ,40,FALSE)+VLOOKUP(A58,'Used GB Charts'!A:BQ,42,FALSE)+VLOOKUP(A58,'Used GB Charts'!A:BQ,43,FALSE)+VLOOKUP(A58,'Used GB Charts'!A:BQ,44,FALSE)+VLOOKUP(A58,'Used GB Charts'!A:BQ,56,FALSE)+VLOOKUP(A58,'Used GB Charts'!A:BQ,57,FALSE)+VLOOKUP(A58,'Used GB Charts'!A:BQ,59,FALSE)+VLOOKUP(A58,'Used GB Charts'!A:BQ,65,FALSE)</f>
        <v>727.34755859375002</v>
      </c>
      <c r="E58" s="704">
        <f ca="1">VLOOKUP(A58,'Used GB Charts'!A:BQ,39,FALSE)+VLOOKUP(A58,'Used GB Charts'!A:BQ,41,FALSE)+VLOOKUP(A58,'Used GB Charts'!A:BQ,45,FALSE)+VLOOKUP(A58,'Used GB Charts'!A:BQ,63,FALSE)+VLOOKUP(A58,'Used GB Charts'!A:BQ,67,FALSE)+VLOOKUP(A58,'Used GB Charts'!A:BQ,68,FALSE)</f>
        <v>516.99042968749995</v>
      </c>
      <c r="F58" s="704">
        <f ca="1">VLOOKUP(A58,'Used GB Charts'!A:BQ,46,FALSE)+VLOOKUP(A58,'Used GB Charts'!A:BQ,47,FALSE)+VLOOKUP(A58,'Used GB Charts'!A:BQ,52,FALSE)+VLOOKUP(A58,'Used GB Charts'!A:BQ,61,FALSE)+VLOOKUP(A58,'Used GB Charts'!A:BQ,62,FALSE)</f>
        <v>527.76220703125</v>
      </c>
      <c r="G58" s="704">
        <f ca="1">VLOOKUP(A58,'Used GB Charts'!A:BQ,42,FALSE)+VLOOKUP(A58,'Used GB Charts'!A:BQ,43,FALSE)+VLOOKUP(A58,'Used GB Charts'!A:BQ,44,FALSE)++VLOOKUP(A58,'Used GB Charts'!A:BQ,45,FALSE)+VLOOKUP(A58,'Used GB Charts'!A:BQ,49,FALSE)+VLOOKUP(A58,'Used GB Charts'!A:BQ,52,FALSE)+VLOOKUP(A58,'Used GB Charts'!A:BQ,54,FALSE)</f>
        <v>1140.8322265625</v>
      </c>
      <c r="H58" s="704">
        <f ca="1">VLOOKUP(A58,'Used GB Charts'!A:BQ,53,FALSE)+VLOOKUP(A58,'Used GB Charts'!A:BQ,54,FALSE)</f>
        <v>32.31494140625</v>
      </c>
      <c r="I58" s="704">
        <f t="shared" ca="1" si="40"/>
        <v>3232.2685546875</v>
      </c>
      <c r="J58" s="987">
        <f t="shared" ca="1" si="19"/>
        <v>0</v>
      </c>
      <c r="K58" s="987">
        <f t="shared" ca="1" si="20"/>
        <v>32.498828125000003</v>
      </c>
    </row>
    <row r="59" spans="1:11" x14ac:dyDescent="0.25">
      <c r="A59" s="703">
        <v>41498</v>
      </c>
      <c r="B59" s="704">
        <f ca="1">VLOOKUP(A59,'Used GB Charts'!A:BQ,36,FALSE)+VLOOKUP(A59,'Used GB Charts'!A:BQ,64,FALSE)</f>
        <v>140.0322265625</v>
      </c>
      <c r="C59" s="704">
        <f ca="1">VLOOKUP(A59,'Used GB Charts'!A:BQ,37,FALSE)+VLOOKUP(A59,'Used GB Charts'!A:BQ,66,FALSE)</f>
        <v>146.98896484375001</v>
      </c>
      <c r="D59" s="704">
        <f ca="1">VLOOKUP(A59,'Used GB Charts'!A:BQ,38,FALSE)+VLOOKUP(A59,'Used GB Charts'!A:BQ,40,FALSE)+VLOOKUP(A59,'Used GB Charts'!A:BQ,42,FALSE)+VLOOKUP(A59,'Used GB Charts'!A:BQ,43,FALSE)+VLOOKUP(A59,'Used GB Charts'!A:BQ,44,FALSE)+VLOOKUP(A59,'Used GB Charts'!A:BQ,56,FALSE)+VLOOKUP(A59,'Used GB Charts'!A:BQ,57,FALSE)+VLOOKUP(A59,'Used GB Charts'!A:BQ,59,FALSE)+VLOOKUP(A59,'Used GB Charts'!A:BQ,65,FALSE)</f>
        <v>727.34755859375002</v>
      </c>
      <c r="E59" s="704">
        <f ca="1">VLOOKUP(A59,'Used GB Charts'!A:BQ,39,FALSE)+VLOOKUP(A59,'Used GB Charts'!A:BQ,41,FALSE)+VLOOKUP(A59,'Used GB Charts'!A:BQ,45,FALSE)+VLOOKUP(A59,'Used GB Charts'!A:BQ,63,FALSE)+VLOOKUP(A59,'Used GB Charts'!A:BQ,67,FALSE)+VLOOKUP(A59,'Used GB Charts'!A:BQ,68,FALSE)</f>
        <v>516.99042968749995</v>
      </c>
      <c r="F59" s="704">
        <f ca="1">VLOOKUP(A59,'Used GB Charts'!A:BQ,46,FALSE)+VLOOKUP(A59,'Used GB Charts'!A:BQ,47,FALSE)+VLOOKUP(A59,'Used GB Charts'!A:BQ,52,FALSE)+VLOOKUP(A59,'Used GB Charts'!A:BQ,61,FALSE)+VLOOKUP(A59,'Used GB Charts'!A:BQ,62,FALSE)</f>
        <v>527.76220703125</v>
      </c>
      <c r="G59" s="704">
        <f ca="1">VLOOKUP(A59,'Used GB Charts'!A:BQ,42,FALSE)+VLOOKUP(A59,'Used GB Charts'!A:BQ,43,FALSE)+VLOOKUP(A59,'Used GB Charts'!A:BQ,44,FALSE)++VLOOKUP(A59,'Used GB Charts'!A:BQ,45,FALSE)+VLOOKUP(A59,'Used GB Charts'!A:BQ,49,FALSE)+VLOOKUP(A59,'Used GB Charts'!A:BQ,52,FALSE)+VLOOKUP(A59,'Used GB Charts'!A:BQ,54,FALSE)</f>
        <v>1140.8322265625</v>
      </c>
      <c r="H59" s="704">
        <f ca="1">VLOOKUP(A59,'Used GB Charts'!A:BQ,53,FALSE)+VLOOKUP(A59,'Used GB Charts'!A:BQ,54,FALSE)</f>
        <v>32.31494140625</v>
      </c>
      <c r="I59" s="704">
        <f t="shared" ca="1" si="40"/>
        <v>3232.2685546875</v>
      </c>
      <c r="J59" s="987">
        <f t="shared" ca="1" si="19"/>
        <v>0</v>
      </c>
      <c r="K59" s="987">
        <f t="shared" ca="1" si="20"/>
        <v>32.498828125000003</v>
      </c>
    </row>
    <row r="60" spans="1:11" x14ac:dyDescent="0.25">
      <c r="A60" s="703">
        <v>41491</v>
      </c>
      <c r="B60" s="704">
        <f ca="1">VLOOKUP(A60,'Used GB Charts'!A:BQ,36,FALSE)+VLOOKUP(A60,'Used GB Charts'!A:BQ,64,FALSE)</f>
        <v>140.0322265625</v>
      </c>
      <c r="C60" s="704">
        <f ca="1">VLOOKUP(A60,'Used GB Charts'!A:BQ,37,FALSE)+VLOOKUP(A60,'Used GB Charts'!A:BQ,66,FALSE)</f>
        <v>146.98896484375001</v>
      </c>
      <c r="D60" s="704">
        <f ca="1">VLOOKUP(A60,'Used GB Charts'!A:BQ,38,FALSE)+VLOOKUP(A60,'Used GB Charts'!A:BQ,40,FALSE)+VLOOKUP(A60,'Used GB Charts'!A:BQ,42,FALSE)+VLOOKUP(A60,'Used GB Charts'!A:BQ,43,FALSE)+VLOOKUP(A60,'Used GB Charts'!A:BQ,44,FALSE)+VLOOKUP(A60,'Used GB Charts'!A:BQ,56,FALSE)+VLOOKUP(A60,'Used GB Charts'!A:BQ,57,FALSE)+VLOOKUP(A60,'Used GB Charts'!A:BQ,59,FALSE)+VLOOKUP(A60,'Used GB Charts'!A:BQ,65,FALSE)</f>
        <v>727.34755859375002</v>
      </c>
      <c r="E60" s="704">
        <f ca="1">VLOOKUP(A60,'Used GB Charts'!A:BQ,39,FALSE)+VLOOKUP(A60,'Used GB Charts'!A:BQ,41,FALSE)+VLOOKUP(A60,'Used GB Charts'!A:BQ,45,FALSE)+VLOOKUP(A60,'Used GB Charts'!A:BQ,63,FALSE)+VLOOKUP(A60,'Used GB Charts'!A:BQ,67,FALSE)+VLOOKUP(A60,'Used GB Charts'!A:BQ,68,FALSE)</f>
        <v>516.99042968749995</v>
      </c>
      <c r="F60" s="704">
        <f ca="1">VLOOKUP(A60,'Used GB Charts'!A:BQ,46,FALSE)+VLOOKUP(A60,'Used GB Charts'!A:BQ,47,FALSE)+VLOOKUP(A60,'Used GB Charts'!A:BQ,52,FALSE)+VLOOKUP(A60,'Used GB Charts'!A:BQ,61,FALSE)+VLOOKUP(A60,'Used GB Charts'!A:BQ,62,FALSE)</f>
        <v>527.76220703125</v>
      </c>
      <c r="G60" s="704">
        <f ca="1">VLOOKUP(A60,'Used GB Charts'!A:BQ,42,FALSE)+VLOOKUP(A60,'Used GB Charts'!A:BQ,43,FALSE)+VLOOKUP(A60,'Used GB Charts'!A:BQ,44,FALSE)++VLOOKUP(A60,'Used GB Charts'!A:BQ,45,FALSE)+VLOOKUP(A60,'Used GB Charts'!A:BQ,49,FALSE)+VLOOKUP(A60,'Used GB Charts'!A:BQ,52,FALSE)+VLOOKUP(A60,'Used GB Charts'!A:BQ,54,FALSE)</f>
        <v>1140.8322265625</v>
      </c>
      <c r="H60" s="704">
        <f ca="1">VLOOKUP(A60,'Used GB Charts'!A:BQ,53,FALSE)+VLOOKUP(A60,'Used GB Charts'!A:BQ,54,FALSE)</f>
        <v>32.31494140625</v>
      </c>
      <c r="I60" s="704">
        <f t="shared" ca="1" si="40"/>
        <v>3232.2685546875</v>
      </c>
      <c r="J60" s="987">
        <f t="shared" ca="1" si="19"/>
        <v>0</v>
      </c>
      <c r="K60" s="987">
        <f t="shared" ca="1" si="20"/>
        <v>32.498828125000003</v>
      </c>
    </row>
    <row r="61" spans="1:11" x14ac:dyDescent="0.25">
      <c r="A61" s="703">
        <v>41485</v>
      </c>
      <c r="B61" s="704">
        <f ca="1">VLOOKUP(A61,'Used GB Charts'!A:BQ,36,FALSE)+VLOOKUP(A61,'Used GB Charts'!A:BQ,64,FALSE)</f>
        <v>140.0322265625</v>
      </c>
      <c r="C61" s="704">
        <f ca="1">VLOOKUP(A61,'Used GB Charts'!A:BQ,37,FALSE)+VLOOKUP(A61,'Used GB Charts'!A:BQ,66,FALSE)</f>
        <v>146.98896484375001</v>
      </c>
      <c r="D61" s="704">
        <f ca="1">VLOOKUP(A61,'Used GB Charts'!A:BQ,38,FALSE)+VLOOKUP(A61,'Used GB Charts'!A:BQ,40,FALSE)+VLOOKUP(A61,'Used GB Charts'!A:BQ,42,FALSE)+VLOOKUP(A61,'Used GB Charts'!A:BQ,43,FALSE)+VLOOKUP(A61,'Used GB Charts'!A:BQ,44,FALSE)+VLOOKUP(A61,'Used GB Charts'!A:BQ,56,FALSE)+VLOOKUP(A61,'Used GB Charts'!A:BQ,57,FALSE)+VLOOKUP(A61,'Used GB Charts'!A:BQ,59,FALSE)+VLOOKUP(A61,'Used GB Charts'!A:BQ,65,FALSE)</f>
        <v>727.34755859375002</v>
      </c>
      <c r="E61" s="704">
        <f ca="1">VLOOKUP(A61,'Used GB Charts'!A:BQ,39,FALSE)+VLOOKUP(A61,'Used GB Charts'!A:BQ,41,FALSE)+VLOOKUP(A61,'Used GB Charts'!A:BQ,45,FALSE)+VLOOKUP(A61,'Used GB Charts'!A:BQ,63,FALSE)+VLOOKUP(A61,'Used GB Charts'!A:BQ,67,FALSE)+VLOOKUP(A61,'Used GB Charts'!A:BQ,68,FALSE)</f>
        <v>516.99042968749995</v>
      </c>
      <c r="F61" s="704">
        <f ca="1">VLOOKUP(A61,'Used GB Charts'!A:BQ,46,FALSE)+VLOOKUP(A61,'Used GB Charts'!A:BQ,47,FALSE)+VLOOKUP(A61,'Used GB Charts'!A:BQ,52,FALSE)+VLOOKUP(A61,'Used GB Charts'!A:BQ,61,FALSE)+VLOOKUP(A61,'Used GB Charts'!A:BQ,62,FALSE)</f>
        <v>527.76220703125</v>
      </c>
      <c r="G61" s="704">
        <f ca="1">VLOOKUP(A61,'Used GB Charts'!A:BQ,42,FALSE)+VLOOKUP(A61,'Used GB Charts'!A:BQ,43,FALSE)+VLOOKUP(A61,'Used GB Charts'!A:BQ,44,FALSE)++VLOOKUP(A61,'Used GB Charts'!A:BQ,45,FALSE)+VLOOKUP(A61,'Used GB Charts'!A:BQ,49,FALSE)+VLOOKUP(A61,'Used GB Charts'!A:BQ,52,FALSE)+VLOOKUP(A61,'Used GB Charts'!A:BQ,54,FALSE)</f>
        <v>1140.8322265625</v>
      </c>
      <c r="H61" s="704">
        <f ca="1">VLOOKUP(A61,'Used GB Charts'!A:BQ,53,FALSE)+VLOOKUP(A61,'Used GB Charts'!A:BQ,54,FALSE)</f>
        <v>32.31494140625</v>
      </c>
      <c r="I61" s="704">
        <f t="shared" ca="1" si="40"/>
        <v>3232.2685546875</v>
      </c>
      <c r="J61" s="987">
        <f t="shared" ca="1" si="19"/>
        <v>0</v>
      </c>
      <c r="K61" s="987">
        <f t="shared" ca="1" si="20"/>
        <v>32.498828125000003</v>
      </c>
    </row>
    <row r="62" spans="1:11" x14ac:dyDescent="0.25">
      <c r="A62" s="703">
        <v>41478</v>
      </c>
      <c r="B62" s="704">
        <f ca="1">VLOOKUP(A62,'Used GB Charts'!A:BQ,36,FALSE)+VLOOKUP(A62,'Used GB Charts'!A:BQ,64,FALSE)</f>
        <v>140.0322265625</v>
      </c>
      <c r="C62" s="704">
        <f ca="1">VLOOKUP(A62,'Used GB Charts'!A:BQ,37,FALSE)+VLOOKUP(A62,'Used GB Charts'!A:BQ,66,FALSE)</f>
        <v>146.98896484375001</v>
      </c>
      <c r="D62" s="704">
        <f ca="1">VLOOKUP(A62,'Used GB Charts'!A:BQ,38,FALSE)+VLOOKUP(A62,'Used GB Charts'!A:BQ,40,FALSE)+VLOOKUP(A62,'Used GB Charts'!A:BQ,42,FALSE)+VLOOKUP(A62,'Used GB Charts'!A:BQ,43,FALSE)+VLOOKUP(A62,'Used GB Charts'!A:BQ,44,FALSE)+VLOOKUP(A62,'Used GB Charts'!A:BQ,56,FALSE)+VLOOKUP(A62,'Used GB Charts'!A:BQ,57,FALSE)+VLOOKUP(A62,'Used GB Charts'!A:BQ,59,FALSE)+VLOOKUP(A62,'Used GB Charts'!A:BQ,65,FALSE)</f>
        <v>727.34755859375002</v>
      </c>
      <c r="E62" s="704">
        <f ca="1">VLOOKUP(A62,'Used GB Charts'!A:BQ,39,FALSE)+VLOOKUP(A62,'Used GB Charts'!A:BQ,41,FALSE)+VLOOKUP(A62,'Used GB Charts'!A:BQ,45,FALSE)+VLOOKUP(A62,'Used GB Charts'!A:BQ,63,FALSE)+VLOOKUP(A62,'Used GB Charts'!A:BQ,67,FALSE)+VLOOKUP(A62,'Used GB Charts'!A:BQ,68,FALSE)</f>
        <v>516.99042968749995</v>
      </c>
      <c r="F62" s="704">
        <f ca="1">VLOOKUP(A62,'Used GB Charts'!A:BQ,46,FALSE)+VLOOKUP(A62,'Used GB Charts'!A:BQ,47,FALSE)+VLOOKUP(A62,'Used GB Charts'!A:BQ,52,FALSE)+VLOOKUP(A62,'Used GB Charts'!A:BQ,61,FALSE)+VLOOKUP(A62,'Used GB Charts'!A:BQ,62,FALSE)</f>
        <v>527.76220703125</v>
      </c>
      <c r="G62" s="704">
        <f ca="1">VLOOKUP(A62,'Used GB Charts'!A:BQ,42,FALSE)+VLOOKUP(A62,'Used GB Charts'!A:BQ,43,FALSE)+VLOOKUP(A62,'Used GB Charts'!A:BQ,44,FALSE)++VLOOKUP(A62,'Used GB Charts'!A:BQ,45,FALSE)+VLOOKUP(A62,'Used GB Charts'!A:BQ,49,FALSE)+VLOOKUP(A62,'Used GB Charts'!A:BQ,52,FALSE)+VLOOKUP(A62,'Used GB Charts'!A:BQ,54,FALSE)</f>
        <v>1140.8322265625</v>
      </c>
      <c r="H62" s="704">
        <f ca="1">VLOOKUP(A62,'Used GB Charts'!A:BQ,53,FALSE)+VLOOKUP(A62,'Used GB Charts'!A:BQ,54,FALSE)</f>
        <v>32.31494140625</v>
      </c>
      <c r="I62" s="704">
        <f t="shared" ca="1" si="40"/>
        <v>3232.2685546875</v>
      </c>
      <c r="J62" s="987">
        <f t="shared" ca="1" si="19"/>
        <v>0</v>
      </c>
      <c r="K62" s="987">
        <f t="shared" ca="1" si="20"/>
        <v>32.498828125000003</v>
      </c>
    </row>
    <row r="63" spans="1:11" x14ac:dyDescent="0.25">
      <c r="A63" s="703">
        <v>41470</v>
      </c>
      <c r="B63" s="704">
        <f ca="1">VLOOKUP(A63,'Used GB Charts'!A:BQ,36,FALSE)+VLOOKUP(A63,'Used GB Charts'!A:BQ,64,FALSE)</f>
        <v>140.0322265625</v>
      </c>
      <c r="C63" s="704">
        <f ca="1">VLOOKUP(A63,'Used GB Charts'!A:BQ,37,FALSE)+VLOOKUP(A63,'Used GB Charts'!A:BQ,66,FALSE)</f>
        <v>146.98896484375001</v>
      </c>
      <c r="D63" s="704">
        <f ca="1">VLOOKUP(A63,'Used GB Charts'!A:BQ,38,FALSE)+VLOOKUP(A63,'Used GB Charts'!A:BQ,40,FALSE)+VLOOKUP(A63,'Used GB Charts'!A:BQ,42,FALSE)+VLOOKUP(A63,'Used GB Charts'!A:BQ,43,FALSE)+VLOOKUP(A63,'Used GB Charts'!A:BQ,44,FALSE)+VLOOKUP(A63,'Used GB Charts'!A:BQ,56,FALSE)+VLOOKUP(A63,'Used GB Charts'!A:BQ,57,FALSE)+VLOOKUP(A63,'Used GB Charts'!A:BQ,59,FALSE)+VLOOKUP(A63,'Used GB Charts'!A:BQ,65,FALSE)</f>
        <v>727.34755859375002</v>
      </c>
      <c r="E63" s="704">
        <f ca="1">VLOOKUP(A63,'Used GB Charts'!A:BQ,39,FALSE)+VLOOKUP(A63,'Used GB Charts'!A:BQ,41,FALSE)+VLOOKUP(A63,'Used GB Charts'!A:BQ,45,FALSE)+VLOOKUP(A63,'Used GB Charts'!A:BQ,63,FALSE)+VLOOKUP(A63,'Used GB Charts'!A:BQ,67,FALSE)+VLOOKUP(A63,'Used GB Charts'!A:BQ,68,FALSE)</f>
        <v>516.99042968749995</v>
      </c>
      <c r="F63" s="704">
        <f ca="1">VLOOKUP(A63,'Used GB Charts'!A:BQ,46,FALSE)+VLOOKUP(A63,'Used GB Charts'!A:BQ,47,FALSE)+VLOOKUP(A63,'Used GB Charts'!A:BQ,52,FALSE)+VLOOKUP(A63,'Used GB Charts'!A:BQ,61,FALSE)+VLOOKUP(A63,'Used GB Charts'!A:BQ,62,FALSE)</f>
        <v>527.76220703125</v>
      </c>
      <c r="G63" s="704">
        <f ca="1">VLOOKUP(A63,'Used GB Charts'!A:BQ,42,FALSE)+VLOOKUP(A63,'Used GB Charts'!A:BQ,43,FALSE)+VLOOKUP(A63,'Used GB Charts'!A:BQ,44,FALSE)++VLOOKUP(A63,'Used GB Charts'!A:BQ,45,FALSE)+VLOOKUP(A63,'Used GB Charts'!A:BQ,49,FALSE)+VLOOKUP(A63,'Used GB Charts'!A:BQ,52,FALSE)+VLOOKUP(A63,'Used GB Charts'!A:BQ,54,FALSE)</f>
        <v>1140.8322265625</v>
      </c>
      <c r="H63" s="704">
        <f ca="1">VLOOKUP(A63,'Used GB Charts'!A:BQ,53,FALSE)+VLOOKUP(A63,'Used GB Charts'!A:BQ,54,FALSE)</f>
        <v>32.31494140625</v>
      </c>
      <c r="I63" s="704">
        <f t="shared" ca="1" si="40"/>
        <v>3232.2685546875</v>
      </c>
      <c r="J63" s="987">
        <f t="shared" ca="1" si="19"/>
        <v>324.98828125</v>
      </c>
      <c r="K63" s="987">
        <f t="shared" ca="1" si="20"/>
        <v>32.498828125000003</v>
      </c>
    </row>
    <row r="64" spans="1:11" x14ac:dyDescent="0.25">
      <c r="A64" s="703">
        <v>41464</v>
      </c>
      <c r="B64" s="704">
        <f ca="1">VLOOKUP(A64,'Used GB Charts'!A:BQ,36,FALSE)+VLOOKUP(A64,'Used GB Charts'!A:BQ,64,FALSE)</f>
        <v>140.0322265625</v>
      </c>
      <c r="C64" s="704">
        <f ca="1">VLOOKUP(A64,'Used GB Charts'!A:BQ,37,FALSE)+VLOOKUP(A64,'Used GB Charts'!A:BQ,66,FALSE)</f>
        <v>146.98896484375001</v>
      </c>
      <c r="D64" s="704">
        <f ca="1">VLOOKUP(A64,'Used GB Charts'!A:BQ,38,FALSE)+VLOOKUP(A64,'Used GB Charts'!A:BQ,40,FALSE)+VLOOKUP(A64,'Used GB Charts'!A:BQ,42,FALSE)+VLOOKUP(A64,'Used GB Charts'!A:BQ,43,FALSE)+VLOOKUP(A64,'Used GB Charts'!A:BQ,44,FALSE)+VLOOKUP(A64,'Used GB Charts'!A:BQ,56,FALSE)+VLOOKUP(A64,'Used GB Charts'!A:BQ,57,FALSE)+VLOOKUP(A64,'Used GB Charts'!A:BQ,59,FALSE)+VLOOKUP(A64,'Used GB Charts'!A:BQ,65,FALSE)</f>
        <v>727.34658203125002</v>
      </c>
      <c r="E64" s="704">
        <f ca="1">VLOOKUP(A64,'Used GB Charts'!A:BQ,39,FALSE)+VLOOKUP(A64,'Used GB Charts'!A:BQ,41,FALSE)+VLOOKUP(A64,'Used GB Charts'!A:BQ,45,FALSE)+VLOOKUP(A64,'Used GB Charts'!A:BQ,63,FALSE)+VLOOKUP(A64,'Used GB Charts'!A:BQ,67,FALSE)+VLOOKUP(A64,'Used GB Charts'!A:BQ,68,FALSE)</f>
        <v>435.74287109374995</v>
      </c>
      <c r="F64" s="704">
        <f ca="1">VLOOKUP(A64,'Used GB Charts'!A:BQ,46,FALSE)+VLOOKUP(A64,'Used GB Charts'!A:BQ,47,FALSE)+VLOOKUP(A64,'Used GB Charts'!A:BQ,52,FALSE)+VLOOKUP(A64,'Used GB Charts'!A:BQ,61,FALSE)+VLOOKUP(A64,'Used GB Charts'!A:BQ,62,FALSE)</f>
        <v>446.515625</v>
      </c>
      <c r="G64" s="704">
        <f ca="1">VLOOKUP(A64,'Used GB Charts'!A:BQ,42,FALSE)+VLOOKUP(A64,'Used GB Charts'!A:BQ,43,FALSE)+VLOOKUP(A64,'Used GB Charts'!A:BQ,44,FALSE)++VLOOKUP(A64,'Used GB Charts'!A:BQ,45,FALSE)+VLOOKUP(A64,'Used GB Charts'!A:BQ,49,FALSE)+VLOOKUP(A64,'Used GB Charts'!A:BQ,52,FALSE)+VLOOKUP(A64,'Used GB Charts'!A:BQ,54,FALSE)</f>
        <v>978.33906249999995</v>
      </c>
      <c r="H64" s="704">
        <f ca="1">VLOOKUP(A64,'Used GB Charts'!A:BQ,53,FALSE)+VLOOKUP(A64,'Used GB Charts'!A:BQ,54,FALSE)</f>
        <v>32.31494140625</v>
      </c>
      <c r="I64" s="704">
        <f t="shared" ca="1" si="40"/>
        <v>2907.2802734375</v>
      </c>
      <c r="J64" s="987">
        <f t="shared" ca="1" si="19"/>
        <v>-324.98828125</v>
      </c>
      <c r="K64" s="987">
        <f t="shared" ca="1" si="20"/>
        <v>0</v>
      </c>
    </row>
    <row r="65" spans="1:11" x14ac:dyDescent="0.25">
      <c r="A65" s="703">
        <v>41491</v>
      </c>
      <c r="B65" s="704">
        <f ca="1">VLOOKUP(A65,'Used GB Charts'!A:BQ,36,FALSE)+VLOOKUP(A65,'Used GB Charts'!A:BQ,64,FALSE)</f>
        <v>140.0322265625</v>
      </c>
      <c r="C65" s="704">
        <f ca="1">VLOOKUP(A65,'Used GB Charts'!A:BQ,37,FALSE)+VLOOKUP(A65,'Used GB Charts'!A:BQ,66,FALSE)</f>
        <v>146.98896484375001</v>
      </c>
      <c r="D65" s="704">
        <f ca="1">VLOOKUP(A65,'Used GB Charts'!A:BQ,38,FALSE)+VLOOKUP(A65,'Used GB Charts'!A:BQ,40,FALSE)+VLOOKUP(A65,'Used GB Charts'!A:BQ,42,FALSE)+VLOOKUP(A65,'Used GB Charts'!A:BQ,43,FALSE)+VLOOKUP(A65,'Used GB Charts'!A:BQ,44,FALSE)+VLOOKUP(A65,'Used GB Charts'!A:BQ,56,FALSE)+VLOOKUP(A65,'Used GB Charts'!A:BQ,57,FALSE)+VLOOKUP(A65,'Used GB Charts'!A:BQ,59,FALSE)+VLOOKUP(A65,'Used GB Charts'!A:BQ,65,FALSE)</f>
        <v>727.34755859375002</v>
      </c>
      <c r="E65" s="704">
        <f ca="1">VLOOKUP(A65,'Used GB Charts'!A:BQ,39,FALSE)+VLOOKUP(A65,'Used GB Charts'!A:BQ,41,FALSE)+VLOOKUP(A65,'Used GB Charts'!A:BQ,45,FALSE)+VLOOKUP(A65,'Used GB Charts'!A:BQ,63,FALSE)+VLOOKUP(A65,'Used GB Charts'!A:BQ,67,FALSE)+VLOOKUP(A65,'Used GB Charts'!A:BQ,68,FALSE)</f>
        <v>516.99042968749995</v>
      </c>
      <c r="F65" s="704">
        <f ca="1">VLOOKUP(A65,'Used GB Charts'!A:BQ,46,FALSE)+VLOOKUP(A65,'Used GB Charts'!A:BQ,47,FALSE)+VLOOKUP(A65,'Used GB Charts'!A:BQ,52,FALSE)+VLOOKUP(A65,'Used GB Charts'!A:BQ,61,FALSE)+VLOOKUP(A65,'Used GB Charts'!A:BQ,62,FALSE)</f>
        <v>527.76220703125</v>
      </c>
      <c r="G65" s="704">
        <f ca="1">VLOOKUP(A65,'Used GB Charts'!A:BQ,42,FALSE)+VLOOKUP(A65,'Used GB Charts'!A:BQ,43,FALSE)+VLOOKUP(A65,'Used GB Charts'!A:BQ,44,FALSE)++VLOOKUP(A65,'Used GB Charts'!A:BQ,45,FALSE)+VLOOKUP(A65,'Used GB Charts'!A:BQ,49,FALSE)+VLOOKUP(A65,'Used GB Charts'!A:BQ,52,FALSE)+VLOOKUP(A65,'Used GB Charts'!A:BQ,54,FALSE)</f>
        <v>1140.8322265625</v>
      </c>
      <c r="H65" s="704">
        <f ca="1">VLOOKUP(A65,'Used GB Charts'!A:BQ,53,FALSE)+VLOOKUP(A65,'Used GB Charts'!A:BQ,54,FALSE)</f>
        <v>32.31494140625</v>
      </c>
      <c r="I65" s="704">
        <f t="shared" ca="1" si="40"/>
        <v>3232.2685546875</v>
      </c>
      <c r="J65" s="987">
        <f t="shared" ca="1" si="19"/>
        <v>0</v>
      </c>
      <c r="K65" s="987">
        <f t="shared" ca="1" si="20"/>
        <v>32.498828125000003</v>
      </c>
    </row>
    <row r="66" spans="1:11" x14ac:dyDescent="0.25">
      <c r="A66" s="703">
        <v>41485</v>
      </c>
      <c r="B66" s="704">
        <f ca="1">VLOOKUP(A66,'Used GB Charts'!A:BQ,36,FALSE)+VLOOKUP(A66,'Used GB Charts'!A:BQ,64,FALSE)</f>
        <v>140.0322265625</v>
      </c>
      <c r="C66" s="704">
        <f ca="1">VLOOKUP(A66,'Used GB Charts'!A:BQ,37,FALSE)+VLOOKUP(A66,'Used GB Charts'!A:BQ,66,FALSE)</f>
        <v>146.98896484375001</v>
      </c>
      <c r="D66" s="704">
        <f ca="1">VLOOKUP(A66,'Used GB Charts'!A:BQ,38,FALSE)+VLOOKUP(A66,'Used GB Charts'!A:BQ,40,FALSE)+VLOOKUP(A66,'Used GB Charts'!A:BQ,42,FALSE)+VLOOKUP(A66,'Used GB Charts'!A:BQ,43,FALSE)+VLOOKUP(A66,'Used GB Charts'!A:BQ,44,FALSE)+VLOOKUP(A66,'Used GB Charts'!A:BQ,56,FALSE)+VLOOKUP(A66,'Used GB Charts'!A:BQ,57,FALSE)+VLOOKUP(A66,'Used GB Charts'!A:BQ,59,FALSE)+VLOOKUP(A66,'Used GB Charts'!A:BQ,65,FALSE)</f>
        <v>727.34755859375002</v>
      </c>
      <c r="E66" s="704">
        <f ca="1">VLOOKUP(A66,'Used GB Charts'!A:BQ,39,FALSE)+VLOOKUP(A66,'Used GB Charts'!A:BQ,41,FALSE)+VLOOKUP(A66,'Used GB Charts'!A:BQ,45,FALSE)+VLOOKUP(A66,'Used GB Charts'!A:BQ,63,FALSE)+VLOOKUP(A66,'Used GB Charts'!A:BQ,67,FALSE)+VLOOKUP(A66,'Used GB Charts'!A:BQ,68,FALSE)</f>
        <v>516.99042968749995</v>
      </c>
      <c r="F66" s="704">
        <f ca="1">VLOOKUP(A66,'Used GB Charts'!A:BQ,46,FALSE)+VLOOKUP(A66,'Used GB Charts'!A:BQ,47,FALSE)+VLOOKUP(A66,'Used GB Charts'!A:BQ,52,FALSE)+VLOOKUP(A66,'Used GB Charts'!A:BQ,61,FALSE)+VLOOKUP(A66,'Used GB Charts'!A:BQ,62,FALSE)</f>
        <v>527.76220703125</v>
      </c>
      <c r="G66" s="704">
        <f ca="1">VLOOKUP(A66,'Used GB Charts'!A:BQ,42,FALSE)+VLOOKUP(A66,'Used GB Charts'!A:BQ,43,FALSE)+VLOOKUP(A66,'Used GB Charts'!A:BQ,44,FALSE)++VLOOKUP(A66,'Used GB Charts'!A:BQ,45,FALSE)+VLOOKUP(A66,'Used GB Charts'!A:BQ,49,FALSE)+VLOOKUP(A66,'Used GB Charts'!A:BQ,52,FALSE)+VLOOKUP(A66,'Used GB Charts'!A:BQ,54,FALSE)</f>
        <v>1140.8322265625</v>
      </c>
      <c r="H66" s="704">
        <f ca="1">VLOOKUP(A66,'Used GB Charts'!A:BQ,53,FALSE)+VLOOKUP(A66,'Used GB Charts'!A:BQ,54,FALSE)</f>
        <v>32.31494140625</v>
      </c>
      <c r="I66" s="704">
        <f t="shared" ca="1" si="40"/>
        <v>3232.2685546875</v>
      </c>
      <c r="J66" s="987">
        <f t="shared" ca="1" si="19"/>
        <v>0</v>
      </c>
      <c r="K66" s="987">
        <f t="shared" ca="1" si="20"/>
        <v>32.498828125000003</v>
      </c>
    </row>
    <row r="67" spans="1:11" x14ac:dyDescent="0.25">
      <c r="A67" s="703">
        <v>41478</v>
      </c>
      <c r="B67" s="704">
        <f ca="1">VLOOKUP(A67,'Used GB Charts'!A:BQ,36,FALSE)+VLOOKUP(A67,'Used GB Charts'!A:BQ,64,FALSE)</f>
        <v>140.0322265625</v>
      </c>
      <c r="C67" s="704">
        <f ca="1">VLOOKUP(A67,'Used GB Charts'!A:BQ,37,FALSE)+VLOOKUP(A67,'Used GB Charts'!A:BQ,66,FALSE)</f>
        <v>146.98896484375001</v>
      </c>
      <c r="D67" s="704">
        <f ca="1">VLOOKUP(A67,'Used GB Charts'!A:BQ,38,FALSE)+VLOOKUP(A67,'Used GB Charts'!A:BQ,40,FALSE)+VLOOKUP(A67,'Used GB Charts'!A:BQ,42,FALSE)+VLOOKUP(A67,'Used GB Charts'!A:BQ,43,FALSE)+VLOOKUP(A67,'Used GB Charts'!A:BQ,44,FALSE)+VLOOKUP(A67,'Used GB Charts'!A:BQ,56,FALSE)+VLOOKUP(A67,'Used GB Charts'!A:BQ,57,FALSE)+VLOOKUP(A67,'Used GB Charts'!A:BQ,59,FALSE)+VLOOKUP(A67,'Used GB Charts'!A:BQ,65,FALSE)</f>
        <v>727.34755859375002</v>
      </c>
      <c r="E67" s="704">
        <f ca="1">VLOOKUP(A67,'Used GB Charts'!A:BQ,39,FALSE)+VLOOKUP(A67,'Used GB Charts'!A:BQ,41,FALSE)+VLOOKUP(A67,'Used GB Charts'!A:BQ,45,FALSE)+VLOOKUP(A67,'Used GB Charts'!A:BQ,63,FALSE)+VLOOKUP(A67,'Used GB Charts'!A:BQ,67,FALSE)+VLOOKUP(A67,'Used GB Charts'!A:BQ,68,FALSE)</f>
        <v>516.99042968749995</v>
      </c>
      <c r="F67" s="704">
        <f ca="1">VLOOKUP(A67,'Used GB Charts'!A:BQ,46,FALSE)+VLOOKUP(A67,'Used GB Charts'!A:BQ,47,FALSE)+VLOOKUP(A67,'Used GB Charts'!A:BQ,52,FALSE)+VLOOKUP(A67,'Used GB Charts'!A:BQ,61,FALSE)+VLOOKUP(A67,'Used GB Charts'!A:BQ,62,FALSE)</f>
        <v>527.76220703125</v>
      </c>
      <c r="G67" s="704">
        <f ca="1">VLOOKUP(A67,'Used GB Charts'!A:BQ,42,FALSE)+VLOOKUP(A67,'Used GB Charts'!A:BQ,43,FALSE)+VLOOKUP(A67,'Used GB Charts'!A:BQ,44,FALSE)++VLOOKUP(A67,'Used GB Charts'!A:BQ,45,FALSE)+VLOOKUP(A67,'Used GB Charts'!A:BQ,49,FALSE)+VLOOKUP(A67,'Used GB Charts'!A:BQ,52,FALSE)+VLOOKUP(A67,'Used GB Charts'!A:BQ,54,FALSE)</f>
        <v>1140.8322265625</v>
      </c>
      <c r="H67" s="704">
        <f ca="1">VLOOKUP(A67,'Used GB Charts'!A:BQ,53,FALSE)+VLOOKUP(A67,'Used GB Charts'!A:BQ,54,FALSE)</f>
        <v>32.31494140625</v>
      </c>
      <c r="I67" s="704">
        <f t="shared" ca="1" si="40"/>
        <v>3232.2685546875</v>
      </c>
      <c r="J67" s="987">
        <f t="shared" ca="1" si="19"/>
        <v>0</v>
      </c>
      <c r="K67" s="987">
        <f t="shared" ca="1" si="20"/>
        <v>32.498828125000003</v>
      </c>
    </row>
    <row r="68" spans="1:11" x14ac:dyDescent="0.25">
      <c r="A68" s="703">
        <v>41470</v>
      </c>
      <c r="B68" s="704">
        <f ca="1">VLOOKUP(A68,'Used GB Charts'!A:BQ,36,FALSE)+VLOOKUP(A68,'Used GB Charts'!A:BQ,64,FALSE)</f>
        <v>140.0322265625</v>
      </c>
      <c r="C68" s="704">
        <f ca="1">VLOOKUP(A68,'Used GB Charts'!A:BQ,37,FALSE)+VLOOKUP(A68,'Used GB Charts'!A:BQ,66,FALSE)</f>
        <v>146.98896484375001</v>
      </c>
      <c r="D68" s="704">
        <f ca="1">VLOOKUP(A68,'Used GB Charts'!A:BQ,38,FALSE)+VLOOKUP(A68,'Used GB Charts'!A:BQ,40,FALSE)+VLOOKUP(A68,'Used GB Charts'!A:BQ,42,FALSE)+VLOOKUP(A68,'Used GB Charts'!A:BQ,43,FALSE)+VLOOKUP(A68,'Used GB Charts'!A:BQ,44,FALSE)+VLOOKUP(A68,'Used GB Charts'!A:BQ,56,FALSE)+VLOOKUP(A68,'Used GB Charts'!A:BQ,57,FALSE)+VLOOKUP(A68,'Used GB Charts'!A:BQ,59,FALSE)+VLOOKUP(A68,'Used GB Charts'!A:BQ,65,FALSE)</f>
        <v>727.34755859375002</v>
      </c>
      <c r="E68" s="704">
        <f ca="1">VLOOKUP(A68,'Used GB Charts'!A:BQ,39,FALSE)+VLOOKUP(A68,'Used GB Charts'!A:BQ,41,FALSE)+VLOOKUP(A68,'Used GB Charts'!A:BQ,45,FALSE)+VLOOKUP(A68,'Used GB Charts'!A:BQ,63,FALSE)+VLOOKUP(A68,'Used GB Charts'!A:BQ,67,FALSE)+VLOOKUP(A68,'Used GB Charts'!A:BQ,68,FALSE)</f>
        <v>516.99042968749995</v>
      </c>
      <c r="F68" s="704">
        <f ca="1">VLOOKUP(A68,'Used GB Charts'!A:BQ,46,FALSE)+VLOOKUP(A68,'Used GB Charts'!A:BQ,47,FALSE)+VLOOKUP(A68,'Used GB Charts'!A:BQ,52,FALSE)+VLOOKUP(A68,'Used GB Charts'!A:BQ,61,FALSE)+VLOOKUP(A68,'Used GB Charts'!A:BQ,62,FALSE)</f>
        <v>527.76220703125</v>
      </c>
      <c r="G68" s="704">
        <f ca="1">VLOOKUP(A68,'Used GB Charts'!A:BQ,42,FALSE)+VLOOKUP(A68,'Used GB Charts'!A:BQ,43,FALSE)+VLOOKUP(A68,'Used GB Charts'!A:BQ,44,FALSE)++VLOOKUP(A68,'Used GB Charts'!A:BQ,45,FALSE)+VLOOKUP(A68,'Used GB Charts'!A:BQ,49,FALSE)+VLOOKUP(A68,'Used GB Charts'!A:BQ,52,FALSE)+VLOOKUP(A68,'Used GB Charts'!A:BQ,54,FALSE)</f>
        <v>1140.8322265625</v>
      </c>
      <c r="H68" s="704">
        <f ca="1">VLOOKUP(A68,'Used GB Charts'!A:BQ,53,FALSE)+VLOOKUP(A68,'Used GB Charts'!A:BQ,54,FALSE)</f>
        <v>32.31494140625</v>
      </c>
      <c r="I68" s="704">
        <f t="shared" ca="1" si="40"/>
        <v>3232.2685546875</v>
      </c>
      <c r="J68" s="987">
        <f t="shared" ca="1" si="19"/>
        <v>324.98828125</v>
      </c>
      <c r="K68" s="987">
        <f t="shared" ca="1" si="20"/>
        <v>32.498828125000003</v>
      </c>
    </row>
    <row r="69" spans="1:11" x14ac:dyDescent="0.25">
      <c r="A69" s="703">
        <v>41464</v>
      </c>
      <c r="B69" s="704">
        <f ca="1">VLOOKUP(A69,'Used GB Charts'!A:BQ,36,FALSE)+VLOOKUP(A69,'Used GB Charts'!A:BQ,64,FALSE)</f>
        <v>140.0322265625</v>
      </c>
      <c r="C69" s="704">
        <f ca="1">VLOOKUP(A69,'Used GB Charts'!A:BQ,37,FALSE)+VLOOKUP(A69,'Used GB Charts'!A:BQ,66,FALSE)</f>
        <v>146.98896484375001</v>
      </c>
      <c r="D69" s="704">
        <f ca="1">VLOOKUP(A69,'Used GB Charts'!A:BQ,38,FALSE)+VLOOKUP(A69,'Used GB Charts'!A:BQ,40,FALSE)+VLOOKUP(A69,'Used GB Charts'!A:BQ,42,FALSE)+VLOOKUP(A69,'Used GB Charts'!A:BQ,43,FALSE)+VLOOKUP(A69,'Used GB Charts'!A:BQ,44,FALSE)+VLOOKUP(A69,'Used GB Charts'!A:BQ,56,FALSE)+VLOOKUP(A69,'Used GB Charts'!A:BQ,57,FALSE)+VLOOKUP(A69,'Used GB Charts'!A:BQ,59,FALSE)+VLOOKUP(A69,'Used GB Charts'!A:BQ,65,FALSE)</f>
        <v>727.34658203125002</v>
      </c>
      <c r="E69" s="704">
        <f ca="1">VLOOKUP(A69,'Used GB Charts'!A:BQ,39,FALSE)+VLOOKUP(A69,'Used GB Charts'!A:BQ,41,FALSE)+VLOOKUP(A69,'Used GB Charts'!A:BQ,45,FALSE)+VLOOKUP(A69,'Used GB Charts'!A:BQ,63,FALSE)+VLOOKUP(A69,'Used GB Charts'!A:BQ,67,FALSE)+VLOOKUP(A69,'Used GB Charts'!A:BQ,68,FALSE)</f>
        <v>435.74287109374995</v>
      </c>
      <c r="F69" s="704">
        <f ca="1">VLOOKUP(A69,'Used GB Charts'!A:BQ,46,FALSE)+VLOOKUP(A69,'Used GB Charts'!A:BQ,47,FALSE)+VLOOKUP(A69,'Used GB Charts'!A:BQ,52,FALSE)+VLOOKUP(A69,'Used GB Charts'!A:BQ,61,FALSE)+VLOOKUP(A69,'Used GB Charts'!A:BQ,62,FALSE)</f>
        <v>446.515625</v>
      </c>
      <c r="G69" s="704">
        <f ca="1">VLOOKUP(A69,'Used GB Charts'!A:BQ,42,FALSE)+VLOOKUP(A69,'Used GB Charts'!A:BQ,43,FALSE)+VLOOKUP(A69,'Used GB Charts'!A:BQ,44,FALSE)++VLOOKUP(A69,'Used GB Charts'!A:BQ,45,FALSE)+VLOOKUP(A69,'Used GB Charts'!A:BQ,49,FALSE)+VLOOKUP(A69,'Used GB Charts'!A:BQ,52,FALSE)+VLOOKUP(A69,'Used GB Charts'!A:BQ,54,FALSE)</f>
        <v>978.33906249999995</v>
      </c>
      <c r="H69" s="704">
        <f ca="1">VLOOKUP(A69,'Used GB Charts'!A:BQ,53,FALSE)+VLOOKUP(A69,'Used GB Charts'!A:BQ,54,FALSE)</f>
        <v>32.31494140625</v>
      </c>
      <c r="I69" s="704">
        <f t="shared" ca="1" si="40"/>
        <v>2907.2802734375</v>
      </c>
      <c r="J69" s="987">
        <f t="shared" ca="1" si="19"/>
        <v>0</v>
      </c>
      <c r="K69" s="987">
        <f t="shared" ca="1" si="20"/>
        <v>0</v>
      </c>
    </row>
    <row r="70" spans="1:11" x14ac:dyDescent="0.25">
      <c r="A70" s="703">
        <v>41449</v>
      </c>
      <c r="B70" s="704">
        <f ca="1">VLOOKUP(A70,'Used GB Charts'!A:BQ,36,FALSE)+VLOOKUP(A70,'Used GB Charts'!A:BQ,64,FALSE)</f>
        <v>140.0322265625</v>
      </c>
      <c r="C70" s="704">
        <f ca="1">VLOOKUP(A70,'Used GB Charts'!A:BQ,37,FALSE)+VLOOKUP(A70,'Used GB Charts'!A:BQ,66,FALSE)</f>
        <v>146.98896484375001</v>
      </c>
      <c r="D70" s="704">
        <f ca="1">VLOOKUP(A70,'Used GB Charts'!A:BQ,38,FALSE)+VLOOKUP(A70,'Used GB Charts'!A:BQ,40,FALSE)+VLOOKUP(A70,'Used GB Charts'!A:BQ,42,FALSE)+VLOOKUP(A70,'Used GB Charts'!A:BQ,43,FALSE)+VLOOKUP(A70,'Used GB Charts'!A:BQ,44,FALSE)+VLOOKUP(A70,'Used GB Charts'!A:BQ,56,FALSE)+VLOOKUP(A70,'Used GB Charts'!A:BQ,57,FALSE)+VLOOKUP(A70,'Used GB Charts'!A:BQ,59,FALSE)+VLOOKUP(A70,'Used GB Charts'!A:BQ,65,FALSE)</f>
        <v>727.34658203125002</v>
      </c>
      <c r="E70" s="704">
        <f ca="1">VLOOKUP(A70,'Used GB Charts'!A:BQ,39,FALSE)+VLOOKUP(A70,'Used GB Charts'!A:BQ,41,FALSE)+VLOOKUP(A70,'Used GB Charts'!A:BQ,45,FALSE)+VLOOKUP(A70,'Used GB Charts'!A:BQ,63,FALSE)+VLOOKUP(A70,'Used GB Charts'!A:BQ,67,FALSE)+VLOOKUP(A70,'Used GB Charts'!A:BQ,68,FALSE)</f>
        <v>435.74287109374995</v>
      </c>
      <c r="F70" s="704">
        <f ca="1">VLOOKUP(A70,'Used GB Charts'!A:BQ,46,FALSE)+VLOOKUP(A70,'Used GB Charts'!A:BQ,47,FALSE)+VLOOKUP(A70,'Used GB Charts'!A:BQ,52,FALSE)+VLOOKUP(A70,'Used GB Charts'!A:BQ,61,FALSE)+VLOOKUP(A70,'Used GB Charts'!A:BQ,62,FALSE)</f>
        <v>446.515625</v>
      </c>
      <c r="G70" s="704">
        <f ca="1">VLOOKUP(A70,'Used GB Charts'!A:BQ,42,FALSE)+VLOOKUP(A70,'Used GB Charts'!A:BQ,43,FALSE)+VLOOKUP(A70,'Used GB Charts'!A:BQ,44,FALSE)++VLOOKUP(A70,'Used GB Charts'!A:BQ,45,FALSE)+VLOOKUP(A70,'Used GB Charts'!A:BQ,49,FALSE)+VLOOKUP(A70,'Used GB Charts'!A:BQ,52,FALSE)+VLOOKUP(A70,'Used GB Charts'!A:BQ,54,FALSE)</f>
        <v>978.33906249999995</v>
      </c>
      <c r="H70" s="704">
        <f ca="1">VLOOKUP(A70,'Used GB Charts'!A:BQ,53,FALSE)+VLOOKUP(A70,'Used GB Charts'!A:BQ,54,FALSE)</f>
        <v>32.31494140625</v>
      </c>
      <c r="I70" s="704">
        <f t="shared" ca="1" si="40"/>
        <v>2907.2802734375</v>
      </c>
      <c r="J70" s="987">
        <f t="shared" ca="1" si="19"/>
        <v>0</v>
      </c>
      <c r="K70" s="987">
        <f t="shared" ca="1" si="20"/>
        <v>0</v>
      </c>
    </row>
    <row r="71" spans="1:11" x14ac:dyDescent="0.25">
      <c r="A71" s="703">
        <v>41445</v>
      </c>
      <c r="B71" s="704">
        <f ca="1">VLOOKUP(A71,'Used GB Charts'!A:BQ,36,FALSE)+VLOOKUP(A71,'Used GB Charts'!A:BQ,64,FALSE)</f>
        <v>140.0322265625</v>
      </c>
      <c r="C71" s="704">
        <f ca="1">VLOOKUP(A71,'Used GB Charts'!A:BQ,37,FALSE)+VLOOKUP(A71,'Used GB Charts'!A:BQ,66,FALSE)</f>
        <v>146.98896484375001</v>
      </c>
      <c r="D71" s="704">
        <f ca="1">VLOOKUP(A71,'Used GB Charts'!A:BQ,38,FALSE)+VLOOKUP(A71,'Used GB Charts'!A:BQ,40,FALSE)+VLOOKUP(A71,'Used GB Charts'!A:BQ,42,FALSE)+VLOOKUP(A71,'Used GB Charts'!A:BQ,43,FALSE)+VLOOKUP(A71,'Used GB Charts'!A:BQ,44,FALSE)+VLOOKUP(A71,'Used GB Charts'!A:BQ,56,FALSE)+VLOOKUP(A71,'Used GB Charts'!A:BQ,57,FALSE)+VLOOKUP(A71,'Used GB Charts'!A:BQ,59,FALSE)+VLOOKUP(A71,'Used GB Charts'!A:BQ,65,FALSE)</f>
        <v>727.34658203125002</v>
      </c>
      <c r="E71" s="704">
        <f ca="1">VLOOKUP(A71,'Used GB Charts'!A:BQ,39,FALSE)+VLOOKUP(A71,'Used GB Charts'!A:BQ,41,FALSE)+VLOOKUP(A71,'Used GB Charts'!A:BQ,45,FALSE)+VLOOKUP(A71,'Used GB Charts'!A:BQ,63,FALSE)+VLOOKUP(A71,'Used GB Charts'!A:BQ,67,FALSE)+VLOOKUP(A71,'Used GB Charts'!A:BQ,68,FALSE)</f>
        <v>435.74287109374995</v>
      </c>
      <c r="F71" s="704">
        <f ca="1">VLOOKUP(A71,'Used GB Charts'!A:BQ,46,FALSE)+VLOOKUP(A71,'Used GB Charts'!A:BQ,47,FALSE)+VLOOKUP(A71,'Used GB Charts'!A:BQ,52,FALSE)+VLOOKUP(A71,'Used GB Charts'!A:BQ,61,FALSE)+VLOOKUP(A71,'Used GB Charts'!A:BQ,62,FALSE)</f>
        <v>446.515625</v>
      </c>
      <c r="G71" s="704">
        <f ca="1">VLOOKUP(A71,'Used GB Charts'!A:BQ,42,FALSE)+VLOOKUP(A71,'Used GB Charts'!A:BQ,43,FALSE)+VLOOKUP(A71,'Used GB Charts'!A:BQ,44,FALSE)++VLOOKUP(A71,'Used GB Charts'!A:BQ,45,FALSE)+VLOOKUP(A71,'Used GB Charts'!A:BQ,49,FALSE)+VLOOKUP(A71,'Used GB Charts'!A:BQ,52,FALSE)+VLOOKUP(A71,'Used GB Charts'!A:BQ,54,FALSE)</f>
        <v>978.33906249999995</v>
      </c>
      <c r="H71" s="704">
        <f ca="1">VLOOKUP(A71,'Used GB Charts'!A:BQ,53,FALSE)+VLOOKUP(A71,'Used GB Charts'!A:BQ,54,FALSE)</f>
        <v>32.31494140625</v>
      </c>
      <c r="I71" s="704">
        <f t="shared" ca="1" si="40"/>
        <v>2907.2802734375</v>
      </c>
      <c r="J71" s="987">
        <f t="shared" ca="1" si="19"/>
        <v>0</v>
      </c>
      <c r="K71" s="987">
        <f t="shared" ca="1" si="20"/>
        <v>0</v>
      </c>
    </row>
    <row r="72" spans="1:11" x14ac:dyDescent="0.25">
      <c r="A72" s="703">
        <v>41443</v>
      </c>
      <c r="B72" s="704">
        <f ca="1">VLOOKUP(A72,'Used GB Charts'!A:BQ,36,FALSE)+VLOOKUP(A72,'Used GB Charts'!A:BQ,64,FALSE)</f>
        <v>140.0322265625</v>
      </c>
      <c r="C72" s="704">
        <f ca="1">VLOOKUP(A72,'Used GB Charts'!A:BQ,37,FALSE)+VLOOKUP(A72,'Used GB Charts'!A:BQ,66,FALSE)</f>
        <v>146.98896484375001</v>
      </c>
      <c r="D72" s="704">
        <f ca="1">VLOOKUP(A72,'Used GB Charts'!A:BQ,38,FALSE)+VLOOKUP(A72,'Used GB Charts'!A:BQ,40,FALSE)+VLOOKUP(A72,'Used GB Charts'!A:BQ,42,FALSE)+VLOOKUP(A72,'Used GB Charts'!A:BQ,43,FALSE)+VLOOKUP(A72,'Used GB Charts'!A:BQ,44,FALSE)+VLOOKUP(A72,'Used GB Charts'!A:BQ,56,FALSE)+VLOOKUP(A72,'Used GB Charts'!A:BQ,57,FALSE)+VLOOKUP(A72,'Used GB Charts'!A:BQ,59,FALSE)+VLOOKUP(A72,'Used GB Charts'!A:BQ,65,FALSE)</f>
        <v>727.34658203125002</v>
      </c>
      <c r="E72" s="704">
        <f ca="1">VLOOKUP(A72,'Used GB Charts'!A:BQ,39,FALSE)+VLOOKUP(A72,'Used GB Charts'!A:BQ,41,FALSE)+VLOOKUP(A72,'Used GB Charts'!A:BQ,45,FALSE)+VLOOKUP(A72,'Used GB Charts'!A:BQ,63,FALSE)+VLOOKUP(A72,'Used GB Charts'!A:BQ,67,FALSE)+VLOOKUP(A72,'Used GB Charts'!A:BQ,68,FALSE)</f>
        <v>435.74287109374995</v>
      </c>
      <c r="F72" s="704">
        <f ca="1">VLOOKUP(A72,'Used GB Charts'!A:BQ,46,FALSE)+VLOOKUP(A72,'Used GB Charts'!A:BQ,47,FALSE)+VLOOKUP(A72,'Used GB Charts'!A:BQ,52,FALSE)+VLOOKUP(A72,'Used GB Charts'!A:BQ,61,FALSE)+VLOOKUP(A72,'Used GB Charts'!A:BQ,62,FALSE)</f>
        <v>446.515625</v>
      </c>
      <c r="G72" s="704">
        <f ca="1">VLOOKUP(A72,'Used GB Charts'!A:BQ,42,FALSE)+VLOOKUP(A72,'Used GB Charts'!A:BQ,43,FALSE)+VLOOKUP(A72,'Used GB Charts'!A:BQ,44,FALSE)++VLOOKUP(A72,'Used GB Charts'!A:BQ,45,FALSE)+VLOOKUP(A72,'Used GB Charts'!A:BQ,49,FALSE)+VLOOKUP(A72,'Used GB Charts'!A:BQ,52,FALSE)+VLOOKUP(A72,'Used GB Charts'!A:BQ,54,FALSE)</f>
        <v>978.33906249999995</v>
      </c>
      <c r="H72" s="704">
        <f ca="1">VLOOKUP(A72,'Used GB Charts'!A:BQ,53,FALSE)+VLOOKUP(A72,'Used GB Charts'!A:BQ,54,FALSE)</f>
        <v>32.31494140625</v>
      </c>
      <c r="I72" s="704">
        <f t="shared" ca="1" si="40"/>
        <v>2907.2802734375</v>
      </c>
      <c r="J72" s="987">
        <f t="shared" ca="1" si="19"/>
        <v>0</v>
      </c>
      <c r="K72" s="987">
        <f t="shared" ca="1" si="20"/>
        <v>0</v>
      </c>
    </row>
    <row r="73" spans="1:11" x14ac:dyDescent="0.25">
      <c r="A73" s="703">
        <v>41437</v>
      </c>
      <c r="B73" s="704">
        <f ca="1">VLOOKUP(A73,'Used GB Charts'!A:BQ,36,FALSE)+VLOOKUP(A73,'Used GB Charts'!A:BQ,64,FALSE)</f>
        <v>140.0322265625</v>
      </c>
      <c r="C73" s="704">
        <f ca="1">VLOOKUP(A73,'Used GB Charts'!A:BQ,37,FALSE)+VLOOKUP(A73,'Used GB Charts'!A:BQ,66,FALSE)</f>
        <v>146.98896484375001</v>
      </c>
      <c r="D73" s="704">
        <f ca="1">VLOOKUP(A73,'Used GB Charts'!A:BQ,38,FALSE)+VLOOKUP(A73,'Used GB Charts'!A:BQ,40,FALSE)+VLOOKUP(A73,'Used GB Charts'!A:BQ,42,FALSE)+VLOOKUP(A73,'Used GB Charts'!A:BQ,43,FALSE)+VLOOKUP(A73,'Used GB Charts'!A:BQ,44,FALSE)+VLOOKUP(A73,'Used GB Charts'!A:BQ,56,FALSE)+VLOOKUP(A73,'Used GB Charts'!A:BQ,57,FALSE)+VLOOKUP(A73,'Used GB Charts'!A:BQ,59,FALSE)+VLOOKUP(A73,'Used GB Charts'!A:BQ,65,FALSE)</f>
        <v>727.34658203125002</v>
      </c>
      <c r="E73" s="704">
        <f ca="1">VLOOKUP(A73,'Used GB Charts'!A:BQ,39,FALSE)+VLOOKUP(A73,'Used GB Charts'!A:BQ,41,FALSE)+VLOOKUP(A73,'Used GB Charts'!A:BQ,45,FALSE)+VLOOKUP(A73,'Used GB Charts'!A:BQ,63,FALSE)+VLOOKUP(A73,'Used GB Charts'!A:BQ,67,FALSE)+VLOOKUP(A73,'Used GB Charts'!A:BQ,68,FALSE)</f>
        <v>435.74287109374995</v>
      </c>
      <c r="F73" s="704">
        <f ca="1">VLOOKUP(A73,'Used GB Charts'!A:BQ,46,FALSE)+VLOOKUP(A73,'Used GB Charts'!A:BQ,47,FALSE)+VLOOKUP(A73,'Used GB Charts'!A:BQ,52,FALSE)+VLOOKUP(A73,'Used GB Charts'!A:BQ,61,FALSE)+VLOOKUP(A73,'Used GB Charts'!A:BQ,62,FALSE)</f>
        <v>446.515625</v>
      </c>
      <c r="G73" s="704">
        <f ca="1">VLOOKUP(A73,'Used GB Charts'!A:BQ,42,FALSE)+VLOOKUP(A73,'Used GB Charts'!A:BQ,43,FALSE)+VLOOKUP(A73,'Used GB Charts'!A:BQ,44,FALSE)++VLOOKUP(A73,'Used GB Charts'!A:BQ,45,FALSE)+VLOOKUP(A73,'Used GB Charts'!A:BQ,49,FALSE)+VLOOKUP(A73,'Used GB Charts'!A:BQ,52,FALSE)+VLOOKUP(A73,'Used GB Charts'!A:BQ,54,FALSE)</f>
        <v>978.33906249999995</v>
      </c>
      <c r="H73" s="704">
        <f ca="1">VLOOKUP(A73,'Used GB Charts'!A:BQ,53,FALSE)+VLOOKUP(A73,'Used GB Charts'!A:BQ,54,FALSE)</f>
        <v>32.31494140625</v>
      </c>
      <c r="I73" s="704">
        <f t="shared" ca="1" si="40"/>
        <v>2907.2802734375</v>
      </c>
      <c r="J73" s="949"/>
      <c r="K73" s="987">
        <f t="shared" si="20"/>
        <v>0</v>
      </c>
    </row>
  </sheetData>
  <pageMargins left="0.7" right="0.7" top="0.75" bottom="0.75" header="0.3" footer="0.3"/>
  <pageSetup paperSize="9" orientation="portrait" r:id="rId1"/>
  <ignoredErrors>
    <ignoredError sqref="H7" evalError="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
  <sheetViews>
    <sheetView tabSelected="1" workbookViewId="0">
      <selection activeCell="C2" sqref="C2"/>
    </sheetView>
  </sheetViews>
  <sheetFormatPr defaultRowHeight="15" x14ac:dyDescent="0.25"/>
  <cols>
    <col min="1" max="1" width="10.140625" style="592" bestFit="1" customWidth="1"/>
    <col min="2" max="2" width="15.140625" style="594" customWidth="1"/>
    <col min="3" max="3" width="12" style="594" bestFit="1" customWidth="1"/>
    <col min="4" max="4" width="14.28515625" style="594" customWidth="1"/>
    <col min="5" max="5" width="13.140625" style="594" customWidth="1"/>
    <col min="6" max="6" width="12.85546875" style="594" customWidth="1"/>
    <col min="7" max="7" width="11.28515625" style="594" customWidth="1"/>
    <col min="8" max="8" width="12.7109375" style="591" customWidth="1"/>
    <col min="9" max="10" width="9.140625" style="591"/>
    <col min="11" max="11" width="9.140625" style="947"/>
    <col min="12" max="16384" width="9.140625" style="591"/>
  </cols>
  <sheetData>
    <row r="1" spans="1:19" ht="29.25" x14ac:dyDescent="0.25">
      <c r="A1" s="707" t="s">
        <v>245</v>
      </c>
      <c r="B1" s="706" t="s">
        <v>238</v>
      </c>
      <c r="C1" s="706" t="s">
        <v>239</v>
      </c>
      <c r="D1" s="706" t="s">
        <v>240</v>
      </c>
      <c r="E1" s="706" t="s">
        <v>241</v>
      </c>
      <c r="F1" s="706" t="s">
        <v>242</v>
      </c>
      <c r="G1" s="706" t="s">
        <v>243</v>
      </c>
      <c r="H1" s="706" t="s">
        <v>244</v>
      </c>
      <c r="I1" s="708" t="s">
        <v>225</v>
      </c>
      <c r="J1" s="985" t="s">
        <v>230</v>
      </c>
      <c r="K1" s="985" t="s">
        <v>305</v>
      </c>
    </row>
    <row r="2" spans="1:19" x14ac:dyDescent="0.25">
      <c r="A2" s="703">
        <v>41977</v>
      </c>
      <c r="B2" s="704">
        <f ca="1">VLOOKUP(A2,'Used GB Charts'!A:AH,2,FALSE)+VLOOKUP(A2,'Used GB Charts'!A:AH,30,FALSE)</f>
        <v>133.06611328125001</v>
      </c>
      <c r="C2" s="704">
        <f ca="1">VLOOKUP(A2,'Used GB Charts'!A:AH,3,FALSE)+VLOOKUP(A2,'Used GB Charts'!A:AH,32,FALSE)</f>
        <v>117.25986328125001</v>
      </c>
      <c r="D2" s="704">
        <f ca="1">VLOOKUP(A2,'Used GB Charts'!A:AH,4,FALSE)+VLOOKUP(A2,'Used GB Charts'!A:AH,6,FALSE)+VLOOKUP(A2,'Used GB Charts'!A:AH,8,FALSE)+VLOOKUP(A2,'Used GB Charts'!A:AH,9,FALSE)+VLOOKUP(A2,'Used GB Charts'!A:AH,10,FALSE)+VLOOKUP(A2,'Used GB Charts'!A:AH,22,FALSE)+VLOOKUP(A2,'Used GB Charts'!A:AH,23,FALSE)+VLOOKUP(A2,'Used GB Charts'!A:AH,25,FALSE)+VLOOKUP(A2,'Used GB Charts'!A:AH,31,FALSE)</f>
        <v>572.98984374999998</v>
      </c>
      <c r="E2" s="704">
        <f ca="1">VLOOKUP(A2,'Used GB Charts'!A:AH,5,FALSE)+VLOOKUP(A2,'Used GB Charts'!A:AH,7,FALSE)+VLOOKUP(A2,'Used GB Charts'!A:AH,11,FALSE)+VLOOKUP(A2,'Used GB Charts'!A:AH,29,FALSE)+VLOOKUP(A2,'Used GB Charts'!A:AH,33,FALSE)+VLOOKUP(A2,'Used GB Charts'!A:AH,34,FALSE)</f>
        <v>483.32783203124995</v>
      </c>
      <c r="F2" s="704">
        <f ca="1">VLOOKUP(A2,'Used GB Charts'!A:AH,12,FALSE)+VLOOKUP(A2,'Used GB Charts'!A:AH,13,FALSE)+VLOOKUP(A2,'Used GB Charts'!A:AH,18,FALSE)+VLOOKUP(A2,'Used GB Charts'!A:AH,27,FALSE)+VLOOKUP(A2,'Used GB Charts'!A:AH,28,FALSE)</f>
        <v>583.10361328125009</v>
      </c>
      <c r="G2" s="704">
        <f ca="1">VLOOKUP(A2,'Used GB Charts'!A:AH,14,FALSE)+VLOOKUP(A2,'Used GB Charts'!A:AH,15,FALSE)+VLOOKUP(A2,'Used GB Charts'!A:AH,16,FALSE)+VLOOKUP(A2,'Used GB Charts'!A:AH,17,FALSE)+VLOOKUP(A2,'Used GB Charts'!A:AH,21,FALSE)+VLOOKUP(A2,'Used GB Charts'!A:AH,24,FALSE)+VLOOKUP(A2,'Used GB Charts'!A:AH,26,FALSE)</f>
        <v>617.62539062500002</v>
      </c>
      <c r="H2" s="704">
        <f ca="1">VLOOKUP(A2,'Used GB Charts'!A:AH,19,FALSE)+VLOOKUP(A2,'Used GB Charts'!A:AH,20,FALSE)</f>
        <v>53.499902343749994</v>
      </c>
      <c r="I2" s="704">
        <f t="shared" ref="I2:I72" ca="1" si="0">SUM(B2:H2)</f>
        <v>2560.87255859375</v>
      </c>
      <c r="J2" s="987">
        <f ca="1">I2-I19</f>
        <v>352.50253906250009</v>
      </c>
      <c r="K2" s="987" t="e">
        <f ca="1">SUM(J2:J28)/10</f>
        <v>#VALUE!</v>
      </c>
      <c r="S2" s="591" t="s">
        <v>308</v>
      </c>
    </row>
    <row r="3" spans="1:19" s="947" customFormat="1" x14ac:dyDescent="0.25">
      <c r="A3" s="703">
        <v>41970</v>
      </c>
      <c r="B3" s="704">
        <f ca="1">VLOOKUP(A3,'Used GB Charts'!A:AH,2,FALSE)+VLOOKUP(A3,'Used GB Charts'!A:AH,30,FALSE)</f>
        <v>131.53466796875</v>
      </c>
      <c r="C3" s="704">
        <f ca="1">VLOOKUP(A3,'Used GB Charts'!A:AH,3,FALSE)+VLOOKUP(A3,'Used GB Charts'!A:AH,32,FALSE)</f>
        <v>117.24775390625</v>
      </c>
      <c r="D3" s="704">
        <f ca="1">VLOOKUP(A3,'Used GB Charts'!A:AH,4,FALSE)+VLOOKUP(A3,'Used GB Charts'!A:AH,6,FALSE)+VLOOKUP(A3,'Used GB Charts'!A:AH,8,FALSE)+VLOOKUP(A3,'Used GB Charts'!A:AH,9,FALSE)+VLOOKUP(A3,'Used GB Charts'!A:AH,10,FALSE)+VLOOKUP(A3,'Used GB Charts'!A:AH,22,FALSE)+VLOOKUP(A3,'Used GB Charts'!A:AH,23,FALSE)+VLOOKUP(A3,'Used GB Charts'!A:AH,25,FALSE)+VLOOKUP(A3,'Used GB Charts'!A:AH,31,FALSE)</f>
        <v>570.57353515624993</v>
      </c>
      <c r="E3" s="704">
        <f ca="1">VLOOKUP(A3,'Used GB Charts'!A:AH,5,FALSE)+VLOOKUP(A3,'Used GB Charts'!A:AH,7,FALSE)+VLOOKUP(A3,'Used GB Charts'!A:AH,11,FALSE)+VLOOKUP(A3,'Used GB Charts'!A:AH,29,FALSE)+VLOOKUP(A3,'Used GB Charts'!A:AH,33,FALSE)+VLOOKUP(A3,'Used GB Charts'!A:AH,34,FALSE)</f>
        <v>480.06357421875009</v>
      </c>
      <c r="F3" s="704">
        <f ca="1">VLOOKUP(A3,'Used GB Charts'!A:AH,12,FALSE)+VLOOKUP(A3,'Used GB Charts'!A:AH,13,FALSE)+VLOOKUP(A3,'Used GB Charts'!A:AH,18,FALSE)+VLOOKUP(A3,'Used GB Charts'!A:AH,27,FALSE)+VLOOKUP(A3,'Used GB Charts'!A:AH,28,FALSE)</f>
        <v>581.12255859375011</v>
      </c>
      <c r="G3" s="704">
        <f ca="1">VLOOKUP(A3,'Used GB Charts'!A:AH,14,FALSE)+VLOOKUP(A3,'Used GB Charts'!A:AH,15,FALSE)+VLOOKUP(A3,'Used GB Charts'!A:AH,16,FALSE)+VLOOKUP(A3,'Used GB Charts'!A:AH,17,FALSE)+VLOOKUP(A3,'Used GB Charts'!A:AH,21,FALSE)+VLOOKUP(A3,'Used GB Charts'!A:AH,24,FALSE)+VLOOKUP(A3,'Used GB Charts'!A:AH,26,FALSE)</f>
        <v>613.93515624999998</v>
      </c>
      <c r="H3" s="704" t="e">
        <f ca="1">VLOOKUP(A3,'Used GB Charts'!A:AH,19,FALSE)+VLOOKUP(A3,'Used GB Charts'!A:AH,20,FALSE)</f>
        <v>#VALUE!</v>
      </c>
      <c r="I3" s="704" t="e">
        <f t="shared" ref="I3" ca="1" si="1">SUM(B3:H3)</f>
        <v>#VALUE!</v>
      </c>
      <c r="J3" s="987" t="e">
        <f ca="1">I3-I20</f>
        <v>#VALUE!</v>
      </c>
      <c r="K3" s="987" t="e">
        <f ca="1">SUM(J3:J29)/10</f>
        <v>#VALUE!</v>
      </c>
      <c r="S3" s="947" t="s">
        <v>308</v>
      </c>
    </row>
    <row r="4" spans="1:19" s="947" customFormat="1" x14ac:dyDescent="0.25">
      <c r="A4" s="703">
        <v>41963</v>
      </c>
      <c r="B4" s="704">
        <f ca="1">VLOOKUP(A4,'Used GB Charts'!A:AH,2,FALSE)+VLOOKUP(A4,'Used GB Charts'!A:AH,30,FALSE)</f>
        <v>128.84511718749999</v>
      </c>
      <c r="C4" s="704">
        <f ca="1">VLOOKUP(A4,'Used GB Charts'!A:AH,3,FALSE)+VLOOKUP(A4,'Used GB Charts'!A:AH,32,FALSE)</f>
        <v>116.49638671874999</v>
      </c>
      <c r="D4" s="704">
        <f ca="1">VLOOKUP(A4,'Used GB Charts'!A:AH,4,FALSE)+VLOOKUP(A4,'Used GB Charts'!A:AH,6,FALSE)+VLOOKUP(A4,'Used GB Charts'!A:AH,8,FALSE)+VLOOKUP(A4,'Used GB Charts'!A:AH,9,FALSE)+VLOOKUP(A4,'Used GB Charts'!A:AH,10,FALSE)+VLOOKUP(A4,'Used GB Charts'!A:AH,22,FALSE)+VLOOKUP(A4,'Used GB Charts'!A:AH,23,FALSE)+VLOOKUP(A4,'Used GB Charts'!A:AH,25,FALSE)+VLOOKUP(A4,'Used GB Charts'!A:AH,31,FALSE)</f>
        <v>569.79609375000007</v>
      </c>
      <c r="E4" s="704">
        <f ca="1">VLOOKUP(A4,'Used GB Charts'!A:AH,5,FALSE)+VLOOKUP(A4,'Used GB Charts'!A:AH,7,FALSE)+VLOOKUP(A4,'Used GB Charts'!A:AH,11,FALSE)+VLOOKUP(A4,'Used GB Charts'!A:AH,29,FALSE)+VLOOKUP(A4,'Used GB Charts'!A:AH,33,FALSE)+VLOOKUP(A4,'Used GB Charts'!A:AH,34,FALSE)</f>
        <v>472.73222656250005</v>
      </c>
      <c r="F4" s="704">
        <f ca="1">VLOOKUP(A4,'Used GB Charts'!A:AH,12,FALSE)+VLOOKUP(A4,'Used GB Charts'!A:AH,13,FALSE)+VLOOKUP(A4,'Used GB Charts'!A:AH,18,FALSE)+VLOOKUP(A4,'Used GB Charts'!A:AH,27,FALSE)+VLOOKUP(A4,'Used GB Charts'!A:AH,28,FALSE)</f>
        <v>613.50341796875</v>
      </c>
      <c r="G4" s="704">
        <f ca="1">VLOOKUP(A4,'Used GB Charts'!A:AH,14,FALSE)+VLOOKUP(A4,'Used GB Charts'!A:AH,15,FALSE)+VLOOKUP(A4,'Used GB Charts'!A:AH,16,FALSE)+VLOOKUP(A4,'Used GB Charts'!A:AH,17,FALSE)+VLOOKUP(A4,'Used GB Charts'!A:AH,21,FALSE)+VLOOKUP(A4,'Used GB Charts'!A:AH,24,FALSE)+VLOOKUP(A4,'Used GB Charts'!A:AH,26,FALSE)</f>
        <v>614.36904296875002</v>
      </c>
      <c r="H4" s="704">
        <f ca="1">VLOOKUP(A4,'Used GB Charts'!A:AH,19,FALSE)+VLOOKUP(A4,'Used GB Charts'!A:AH,20,FALSE)</f>
        <v>53.499902343749994</v>
      </c>
      <c r="I4" s="704">
        <f t="shared" ref="I4" ca="1" si="2">SUM(B4:H4)</f>
        <v>2569.2421875</v>
      </c>
      <c r="J4" s="987">
        <f ca="1">I4-I20</f>
        <v>360.87216796875009</v>
      </c>
      <c r="K4" s="987">
        <f ca="1">SUM(J4:J29)/10</f>
        <v>139.33463867187513</v>
      </c>
      <c r="S4" s="947" t="s">
        <v>308</v>
      </c>
    </row>
    <row r="5" spans="1:19" s="947" customFormat="1" x14ac:dyDescent="0.25">
      <c r="A5" s="703">
        <v>41956</v>
      </c>
      <c r="B5" s="704">
        <f ca="1">VLOOKUP(A5,'Used GB Charts'!A:AH,2,FALSE)+VLOOKUP(A5,'Used GB Charts'!A:AH,30,FALSE)</f>
        <v>127.58701171875001</v>
      </c>
      <c r="C5" s="704">
        <f ca="1">VLOOKUP(A5,'Used GB Charts'!A:AH,3,FALSE)+VLOOKUP(A5,'Used GB Charts'!A:AH,32,FALSE)</f>
        <v>110.49277343750001</v>
      </c>
      <c r="D5" s="704">
        <f ca="1">VLOOKUP(A5,'Used GB Charts'!A:AH,4,FALSE)+VLOOKUP(A5,'Used GB Charts'!A:AH,6,FALSE)+VLOOKUP(A5,'Used GB Charts'!A:AH,8,FALSE)+VLOOKUP(A5,'Used GB Charts'!A:AH,9,FALSE)+VLOOKUP(A5,'Used GB Charts'!A:AH,10,FALSE)+VLOOKUP(A5,'Used GB Charts'!A:AH,22,FALSE)+VLOOKUP(A5,'Used GB Charts'!A:AH,23,FALSE)+VLOOKUP(A5,'Used GB Charts'!A:AH,25,FALSE)+VLOOKUP(A5,'Used GB Charts'!A:AH,31,FALSE)</f>
        <v>557.888671875</v>
      </c>
      <c r="E5" s="704">
        <f ca="1">VLOOKUP(A5,'Used GB Charts'!A:AH,5,FALSE)+VLOOKUP(A5,'Used GB Charts'!A:AH,7,FALSE)+VLOOKUP(A5,'Used GB Charts'!A:AH,11,FALSE)+VLOOKUP(A5,'Used GB Charts'!A:AH,29,FALSE)+VLOOKUP(A5,'Used GB Charts'!A:AH,33,FALSE)+VLOOKUP(A5,'Used GB Charts'!A:AH,34,FALSE)</f>
        <v>469.98642578125009</v>
      </c>
      <c r="F5" s="704">
        <f ca="1">VLOOKUP(A5,'Used GB Charts'!A:AH,12,FALSE)+VLOOKUP(A5,'Used GB Charts'!A:AH,13,FALSE)+VLOOKUP(A5,'Used GB Charts'!A:AH,18,FALSE)+VLOOKUP(A5,'Used GB Charts'!A:AH,27,FALSE)+VLOOKUP(A5,'Used GB Charts'!A:AH,28,FALSE)</f>
        <v>610.22265625</v>
      </c>
      <c r="G5" s="704">
        <f ca="1">VLOOKUP(A5,'Used GB Charts'!A:AH,14,FALSE)+VLOOKUP(A5,'Used GB Charts'!A:AH,15,FALSE)+VLOOKUP(A5,'Used GB Charts'!A:AH,16,FALSE)+VLOOKUP(A5,'Used GB Charts'!A:AH,17,FALSE)+VLOOKUP(A5,'Used GB Charts'!A:AH,21,FALSE)+VLOOKUP(A5,'Used GB Charts'!A:AH,24,FALSE)+VLOOKUP(A5,'Used GB Charts'!A:AH,26,FALSE)</f>
        <v>603.966796875</v>
      </c>
      <c r="H5" s="704">
        <f ca="1">VLOOKUP(A5,'Used GB Charts'!A:AH,19,FALSE)+VLOOKUP(A5,'Used GB Charts'!A:AH,20,FALSE)</f>
        <v>53.499902343749994</v>
      </c>
      <c r="I5" s="704">
        <f t="shared" ref="I5" ca="1" si="3">SUM(B5:H5)</f>
        <v>2533.6442382812497</v>
      </c>
      <c r="J5" s="987">
        <f ca="1">I5-I20</f>
        <v>325.27421874999982</v>
      </c>
      <c r="K5" s="987">
        <f ca="1">SUM(J5:J29)/10</f>
        <v>103.24742187500013</v>
      </c>
    </row>
    <row r="6" spans="1:19" s="947" customFormat="1" x14ac:dyDescent="0.25">
      <c r="A6" s="703">
        <v>41949</v>
      </c>
      <c r="B6" s="704">
        <f ca="1">VLOOKUP(A6,'Used GB Charts'!A:AH,2,FALSE)+VLOOKUP(A6,'Used GB Charts'!A:AH,30,FALSE)</f>
        <v>127.38027343749999</v>
      </c>
      <c r="C6" s="704">
        <f ca="1">VLOOKUP(A6,'Used GB Charts'!A:AH,3,FALSE)+VLOOKUP(A6,'Used GB Charts'!A:AH,32,FALSE)</f>
        <v>109.26103515625</v>
      </c>
      <c r="D6" s="704">
        <f ca="1">VLOOKUP(A6,'Used GB Charts'!A:AH,4,FALSE)+VLOOKUP(A6,'Used GB Charts'!A:AH,6,FALSE)+VLOOKUP(A6,'Used GB Charts'!A:AH,8,FALSE)+VLOOKUP(A6,'Used GB Charts'!A:AH,9,FALSE)+VLOOKUP(A6,'Used GB Charts'!A:AH,10,FALSE)+VLOOKUP(A6,'Used GB Charts'!A:AH,22,FALSE)+VLOOKUP(A6,'Used GB Charts'!A:AH,23,FALSE)+VLOOKUP(A6,'Used GB Charts'!A:AH,25,FALSE)+VLOOKUP(A6,'Used GB Charts'!A:AH,31,FALSE)</f>
        <v>544.94697265624995</v>
      </c>
      <c r="E6" s="704">
        <f ca="1">VLOOKUP(A6,'Used GB Charts'!A:AH,5,FALSE)+VLOOKUP(A6,'Used GB Charts'!A:AH,7,FALSE)+VLOOKUP(A6,'Used GB Charts'!A:AH,11,FALSE)+VLOOKUP(A6,'Used GB Charts'!A:AH,29,FALSE)+VLOOKUP(A6,'Used GB Charts'!A:AH,33,FALSE)+VLOOKUP(A6,'Used GB Charts'!A:AH,34,FALSE)</f>
        <v>460.71787109375009</v>
      </c>
      <c r="F6" s="704">
        <f ca="1">VLOOKUP(A6,'Used GB Charts'!A:AH,12,FALSE)+VLOOKUP(A6,'Used GB Charts'!A:AH,13,FALSE)+VLOOKUP(A6,'Used GB Charts'!A:AH,18,FALSE)+VLOOKUP(A6,'Used GB Charts'!A:AH,27,FALSE)+VLOOKUP(A6,'Used GB Charts'!A:AH,28,FALSE)</f>
        <v>606.24375000000009</v>
      </c>
      <c r="G6" s="704">
        <f ca="1">VLOOKUP(A6,'Used GB Charts'!A:AH,14,FALSE)+VLOOKUP(A6,'Used GB Charts'!A:AH,15,FALSE)+VLOOKUP(A6,'Used GB Charts'!A:AH,16,FALSE)+VLOOKUP(A6,'Used GB Charts'!A:AH,17,FALSE)+VLOOKUP(A6,'Used GB Charts'!A:AH,21,FALSE)+VLOOKUP(A6,'Used GB Charts'!A:AH,24,FALSE)+VLOOKUP(A6,'Used GB Charts'!A:AH,26,FALSE)</f>
        <v>580.94892578125007</v>
      </c>
      <c r="H6" s="704">
        <f ca="1">VLOOKUP(A6,'Used GB Charts'!A:AH,19,FALSE)+VLOOKUP(A6,'Used GB Charts'!A:AH,20,FALSE)</f>
        <v>53.499902343749994</v>
      </c>
      <c r="I6" s="704">
        <f t="shared" ref="I6" ca="1" si="4">SUM(B6:H6)</f>
        <v>2482.9987304687502</v>
      </c>
      <c r="J6" s="987">
        <f ca="1">I6-I20</f>
        <v>274.62871093750027</v>
      </c>
      <c r="K6" s="987">
        <f ca="1">SUM(J6:J29)/10</f>
        <v>70.720000000000141</v>
      </c>
    </row>
    <row r="7" spans="1:19" s="947" customFormat="1" x14ac:dyDescent="0.25">
      <c r="A7" s="703">
        <v>41935</v>
      </c>
      <c r="B7" s="704">
        <f ca="1">VLOOKUP(A7,'Used GB Charts'!A:AH,2,FALSE)+VLOOKUP(A7,'Used GB Charts'!A:AH,30,FALSE)</f>
        <v>123.68007812499999</v>
      </c>
      <c r="C7" s="704">
        <f ca="1">VLOOKUP(A7,'Used GB Charts'!A:AH,3,FALSE)+VLOOKUP(A7,'Used GB Charts'!A:AH,32,FALSE)</f>
        <v>105.93984374999999</v>
      </c>
      <c r="D7" s="704">
        <f ca="1">VLOOKUP(A7,'Used GB Charts'!A:AH,4,FALSE)+VLOOKUP(A7,'Used GB Charts'!A:AH,6,FALSE)+VLOOKUP(A7,'Used GB Charts'!A:AH,8,FALSE)+VLOOKUP(A7,'Used GB Charts'!A:AH,9,FALSE)+VLOOKUP(A7,'Used GB Charts'!A:AH,10,FALSE)+VLOOKUP(A7,'Used GB Charts'!A:AH,22,FALSE)+VLOOKUP(A7,'Used GB Charts'!A:AH,23,FALSE)+VLOOKUP(A7,'Used GB Charts'!A:AH,25,FALSE)+VLOOKUP(A7,'Used GB Charts'!A:AH,31,FALSE)</f>
        <v>521.65292968749998</v>
      </c>
      <c r="E7" s="704">
        <f ca="1">VLOOKUP(A7,'Used GB Charts'!A:AH,5,FALSE)+VLOOKUP(A7,'Used GB Charts'!A:AH,7,FALSE)+VLOOKUP(A7,'Used GB Charts'!A:AH,11,FALSE)+VLOOKUP(A7,'Used GB Charts'!A:AH,29,FALSE)+VLOOKUP(A7,'Used GB Charts'!A:AH,33,FALSE)+VLOOKUP(A7,'Used GB Charts'!A:AH,34,FALSE)</f>
        <v>436.58056640625</v>
      </c>
      <c r="F7" s="704">
        <f ca="1">VLOOKUP(A7,'Used GB Charts'!A:AH,12,FALSE)+VLOOKUP(A7,'Used GB Charts'!A:AH,13,FALSE)+VLOOKUP(A7,'Used GB Charts'!A:AH,18,FALSE)+VLOOKUP(A7,'Used GB Charts'!A:AH,27,FALSE)+VLOOKUP(A7,'Used GB Charts'!A:AH,28,FALSE)</f>
        <v>601.12539062500002</v>
      </c>
      <c r="G7" s="704">
        <f ca="1">VLOOKUP(A7,'Used GB Charts'!A:AH,14,FALSE)+VLOOKUP(A7,'Used GB Charts'!A:AH,15,FALSE)+VLOOKUP(A7,'Used GB Charts'!A:AH,16,FALSE)+VLOOKUP(A7,'Used GB Charts'!A:AH,17,FALSE)+VLOOKUP(A7,'Used GB Charts'!A:AH,21,FALSE)+VLOOKUP(A7,'Used GB Charts'!A:AH,24,FALSE)+VLOOKUP(A7,'Used GB Charts'!A:AH,26,FALSE)</f>
        <v>552.41083984374995</v>
      </c>
      <c r="H7" s="704">
        <f ca="1">VLOOKUP(A7,'Used GB Charts'!A:AH,19,FALSE)+VLOOKUP(A7,'Used GB Charts'!A:AH,20,FALSE)</f>
        <v>11.2826171875</v>
      </c>
      <c r="I7" s="704">
        <f t="shared" ref="I7" ca="1" si="5">SUM(B7:H7)</f>
        <v>2352.6722656249999</v>
      </c>
      <c r="J7" s="987">
        <f ca="1">I7-I20</f>
        <v>144.30224609375</v>
      </c>
      <c r="K7" s="987">
        <f ca="1">SUM(J7:J29)/10</f>
        <v>43.257128906250117</v>
      </c>
    </row>
    <row r="8" spans="1:19" s="947" customFormat="1" x14ac:dyDescent="0.25">
      <c r="A8" s="703">
        <v>41928</v>
      </c>
      <c r="B8" s="704">
        <f ca="1">VLOOKUP(A8,'Used GB Charts'!A:AH,2,FALSE)+VLOOKUP(A8,'Used GB Charts'!A:AH,30,FALSE)</f>
        <v>118.65107421875001</v>
      </c>
      <c r="C8" s="704">
        <f ca="1">VLOOKUP(A8,'Used GB Charts'!A:AH,3,FALSE)+VLOOKUP(A8,'Used GB Charts'!A:AH,32,FALSE)</f>
        <v>105.15371093749999</v>
      </c>
      <c r="D8" s="704">
        <f ca="1">VLOOKUP(A8,'Used GB Charts'!A:AH,4,FALSE)+VLOOKUP(A8,'Used GB Charts'!A:AH,6,FALSE)+VLOOKUP(A8,'Used GB Charts'!A:AH,8,FALSE)+VLOOKUP(A8,'Used GB Charts'!A:AH,9,FALSE)+VLOOKUP(A8,'Used GB Charts'!A:AH,10,FALSE)+VLOOKUP(A8,'Used GB Charts'!A:AH,22,FALSE)+VLOOKUP(A8,'Used GB Charts'!A:AH,23,FALSE)+VLOOKUP(A8,'Used GB Charts'!A:AH,25,FALSE)+VLOOKUP(A8,'Used GB Charts'!A:AH,31,FALSE)</f>
        <v>517.2958984375</v>
      </c>
      <c r="E8" s="704">
        <f ca="1">VLOOKUP(A8,'Used GB Charts'!A:AH,5,FALSE)+VLOOKUP(A8,'Used GB Charts'!A:AH,7,FALSE)+VLOOKUP(A8,'Used GB Charts'!A:AH,11,FALSE)+VLOOKUP(A8,'Used GB Charts'!A:AH,29,FALSE)+VLOOKUP(A8,'Used GB Charts'!A:AH,33,FALSE)+VLOOKUP(A8,'Used GB Charts'!A:AH,34,FALSE)</f>
        <v>427.74580078125001</v>
      </c>
      <c r="F8" s="704">
        <f ca="1">VLOOKUP(A8,'Used GB Charts'!A:AH,12,FALSE)+VLOOKUP(A8,'Used GB Charts'!A:AH,13,FALSE)+VLOOKUP(A8,'Used GB Charts'!A:AH,18,FALSE)+VLOOKUP(A8,'Used GB Charts'!A:AH,27,FALSE)+VLOOKUP(A8,'Used GB Charts'!A:AH,28,FALSE)</f>
        <v>598.23759765624993</v>
      </c>
      <c r="G8" s="704">
        <f ca="1">VLOOKUP(A8,'Used GB Charts'!A:AH,14,FALSE)+VLOOKUP(A8,'Used GB Charts'!A:AH,15,FALSE)+VLOOKUP(A8,'Used GB Charts'!A:AH,16,FALSE)+VLOOKUP(A8,'Used GB Charts'!A:AH,17,FALSE)+VLOOKUP(A8,'Used GB Charts'!A:AH,21,FALSE)+VLOOKUP(A8,'Used GB Charts'!A:AH,24,FALSE)+VLOOKUP(A8,'Used GB Charts'!A:AH,26,FALSE)</f>
        <v>545.58769531250005</v>
      </c>
      <c r="H8" s="704">
        <f ca="1">VLOOKUP(A8,'Used GB Charts'!A:AH,19,FALSE)+VLOOKUP(A8,'Used GB Charts'!A:AH,20,FALSE)</f>
        <v>11.2826171875</v>
      </c>
      <c r="I8" s="704">
        <f t="shared" ref="I8" ca="1" si="6">SUM(B8:H8)</f>
        <v>2323.9543945312503</v>
      </c>
      <c r="J8" s="987">
        <f ca="1">I8-I20</f>
        <v>115.58437500000036</v>
      </c>
      <c r="K8" s="987">
        <f ca="1">SUM(J8:J29)/10</f>
        <v>28.826904296875114</v>
      </c>
    </row>
    <row r="9" spans="1:19" s="947" customFormat="1" x14ac:dyDescent="0.25">
      <c r="A9" s="703">
        <v>41921</v>
      </c>
      <c r="B9" s="704">
        <f ca="1">VLOOKUP(A9,'Used GB Charts'!A:AH,2,FALSE)+VLOOKUP(A9,'Used GB Charts'!A:AH,30,FALSE)</f>
        <v>118.28701171875001</v>
      </c>
      <c r="C9" s="704">
        <f ca="1">VLOOKUP(A9,'Used GB Charts'!A:AH,3,FALSE)+VLOOKUP(A9,'Used GB Charts'!A:AH,32,FALSE)</f>
        <v>103.48574218750001</v>
      </c>
      <c r="D9" s="704">
        <f ca="1">VLOOKUP(A9,'Used GB Charts'!A:AH,4,FALSE)+VLOOKUP(A9,'Used GB Charts'!A:AH,6,FALSE)+VLOOKUP(A9,'Used GB Charts'!A:AH,8,FALSE)+VLOOKUP(A9,'Used GB Charts'!A:AH,9,FALSE)+VLOOKUP(A9,'Used GB Charts'!A:AH,10,FALSE)+VLOOKUP(A9,'Used GB Charts'!A:AH,22,FALSE)+VLOOKUP(A9,'Used GB Charts'!A:AH,23,FALSE)+VLOOKUP(A9,'Used GB Charts'!A:AH,25,FALSE)+VLOOKUP(A9,'Used GB Charts'!A:AH,31,FALSE)</f>
        <v>504.45878906250005</v>
      </c>
      <c r="E9" s="704">
        <f ca="1">VLOOKUP(A9,'Used GB Charts'!A:AH,5,FALSE)+VLOOKUP(A9,'Used GB Charts'!A:AH,7,FALSE)+VLOOKUP(A9,'Used GB Charts'!A:AH,11,FALSE)+VLOOKUP(A9,'Used GB Charts'!A:AH,29,FALSE)+VLOOKUP(A9,'Used GB Charts'!A:AH,33,FALSE)+VLOOKUP(A9,'Used GB Charts'!A:AH,34,FALSE)</f>
        <v>422.45126953125003</v>
      </c>
      <c r="F9" s="704">
        <f ca="1">VLOOKUP(A9,'Used GB Charts'!A:AH,12,FALSE)+VLOOKUP(A9,'Used GB Charts'!A:AH,13,FALSE)+VLOOKUP(A9,'Used GB Charts'!A:AH,18,FALSE)+VLOOKUP(A9,'Used GB Charts'!A:AH,27,FALSE)+VLOOKUP(A9,'Used GB Charts'!A:AH,28,FALSE)</f>
        <v>596.00556640624995</v>
      </c>
      <c r="G9" s="704">
        <f ca="1">VLOOKUP(A9,'Used GB Charts'!A:AH,14,FALSE)+VLOOKUP(A9,'Used GB Charts'!A:AH,15,FALSE)+VLOOKUP(A9,'Used GB Charts'!A:AH,16,FALSE)+VLOOKUP(A9,'Used GB Charts'!A:AH,17,FALSE)+VLOOKUP(A9,'Used GB Charts'!A:AH,21,FALSE)+VLOOKUP(A9,'Used GB Charts'!A:AH,24,FALSE)+VLOOKUP(A9,'Used GB Charts'!A:AH,26,FALSE)</f>
        <v>523.837890625</v>
      </c>
      <c r="H9" s="704">
        <f ca="1">VLOOKUP(A9,'Used GB Charts'!A:AH,19,FALSE)+VLOOKUP(A9,'Used GB Charts'!A:AH,20,FALSE)</f>
        <v>11.2826171875</v>
      </c>
      <c r="I9" s="704">
        <f t="shared" ref="I9" ca="1" si="7">SUM(B9:H9)</f>
        <v>2279.8088867187503</v>
      </c>
      <c r="J9" s="987">
        <f ca="1">I9-I20</f>
        <v>71.438867187500364</v>
      </c>
      <c r="K9" s="987">
        <f ca="1">SUM(J9:J29)/10</f>
        <v>17.268466796875078</v>
      </c>
    </row>
    <row r="10" spans="1:19" s="947" customFormat="1" x14ac:dyDescent="0.25">
      <c r="A10" s="703">
        <v>41914</v>
      </c>
      <c r="B10" s="704">
        <f ca="1">VLOOKUP(A10,'Used GB Charts'!A:AH,2,FALSE)+VLOOKUP(A10,'Used GB Charts'!A:AH,30,FALSE)</f>
        <v>114.6169921875</v>
      </c>
      <c r="C10" s="704">
        <f ca="1">VLOOKUP(A10,'Used GB Charts'!A:AH,3,FALSE)+VLOOKUP(A10,'Used GB Charts'!A:AH,32,FALSE)</f>
        <v>102.77587890625</v>
      </c>
      <c r="D10" s="704">
        <f ca="1">VLOOKUP(A10,'Used GB Charts'!A:AH,4,FALSE)+VLOOKUP(A10,'Used GB Charts'!A:AH,6,FALSE)+VLOOKUP(A10,'Used GB Charts'!A:AH,8,FALSE)+VLOOKUP(A10,'Used GB Charts'!A:AH,9,FALSE)+VLOOKUP(A10,'Used GB Charts'!A:AH,10,FALSE)+VLOOKUP(A10,'Used GB Charts'!A:AH,22,FALSE)+VLOOKUP(A10,'Used GB Charts'!A:AH,23,FALSE)+VLOOKUP(A10,'Used GB Charts'!A:AH,25,FALSE)+VLOOKUP(A10,'Used GB Charts'!A:AH,31,FALSE)</f>
        <v>500.40937500000001</v>
      </c>
      <c r="E10" s="704">
        <f ca="1">VLOOKUP(A10,'Used GB Charts'!A:AH,5,FALSE)+VLOOKUP(A10,'Used GB Charts'!A:AH,7,FALSE)+VLOOKUP(A10,'Used GB Charts'!A:AH,11,FALSE)+VLOOKUP(A10,'Used GB Charts'!A:AH,29,FALSE)+VLOOKUP(A10,'Used GB Charts'!A:AH,33,FALSE)+VLOOKUP(A10,'Used GB Charts'!A:AH,34,FALSE)</f>
        <v>418.66220703125003</v>
      </c>
      <c r="F10" s="704">
        <f ca="1">VLOOKUP(A10,'Used GB Charts'!A:AH,12,FALSE)+VLOOKUP(A10,'Used GB Charts'!A:AH,13,FALSE)+VLOOKUP(A10,'Used GB Charts'!A:AH,18,FALSE)+VLOOKUP(A10,'Used GB Charts'!A:AH,27,FALSE)+VLOOKUP(A10,'Used GB Charts'!A:AH,28,FALSE)</f>
        <v>588.14150390625002</v>
      </c>
      <c r="G10" s="704">
        <f ca="1">VLOOKUP(A10,'Used GB Charts'!A:AH,14,FALSE)+VLOOKUP(A10,'Used GB Charts'!A:AH,15,FALSE)+VLOOKUP(A10,'Used GB Charts'!A:AH,16,FALSE)+VLOOKUP(A10,'Used GB Charts'!A:AH,17,FALSE)+VLOOKUP(A10,'Used GB Charts'!A:AH,21,FALSE)+VLOOKUP(A10,'Used GB Charts'!A:AH,24,FALSE)+VLOOKUP(A10,'Used GB Charts'!A:AH,26,FALSE)</f>
        <v>519.48291015625</v>
      </c>
      <c r="H10" s="704">
        <f ca="1">VLOOKUP(A10,'Used GB Charts'!A:AH,19,FALSE)+VLOOKUP(A10,'Used GB Charts'!A:AH,20,FALSE)</f>
        <v>11.2826171875</v>
      </c>
      <c r="I10" s="704">
        <f t="shared" ref="I10" ca="1" si="8">SUM(B10:H10)</f>
        <v>2255.3714843749999</v>
      </c>
      <c r="J10" s="987">
        <f ca="1">I10-I20</f>
        <v>47.00146484375</v>
      </c>
      <c r="K10" s="987">
        <f ca="1">SUM(J10:J29)/10</f>
        <v>10.124580078125041</v>
      </c>
    </row>
    <row r="11" spans="1:19" s="947" customFormat="1" x14ac:dyDescent="0.25">
      <c r="A11" s="703">
        <v>41907</v>
      </c>
      <c r="B11" s="704">
        <f ca="1">VLOOKUP(A11,'Used GB Charts'!A:AH,2,FALSE)+VLOOKUP(A11,'Used GB Charts'!A:AH,30,FALSE)</f>
        <v>114.4607421875</v>
      </c>
      <c r="C11" s="704">
        <f ca="1">VLOOKUP(A11,'Used GB Charts'!A:AH,3,FALSE)+VLOOKUP(A11,'Used GB Charts'!A:AH,32,FALSE)</f>
        <v>102.73007812500001</v>
      </c>
      <c r="D11" s="704">
        <f ca="1">VLOOKUP(A11,'Used GB Charts'!A:AH,4,FALSE)+VLOOKUP(A11,'Used GB Charts'!A:AH,6,FALSE)+VLOOKUP(A11,'Used GB Charts'!A:AH,8,FALSE)+VLOOKUP(A11,'Used GB Charts'!A:AH,9,FALSE)+VLOOKUP(A11,'Used GB Charts'!A:AH,10,FALSE)+VLOOKUP(A11,'Used GB Charts'!A:AH,22,FALSE)+VLOOKUP(A11,'Used GB Charts'!A:AH,23,FALSE)+VLOOKUP(A11,'Used GB Charts'!A:AH,25,FALSE)+VLOOKUP(A11,'Used GB Charts'!A:AH,31,FALSE)</f>
        <v>499.5071289062501</v>
      </c>
      <c r="E11" s="704">
        <f ca="1">VLOOKUP(A11,'Used GB Charts'!A:AH,5,FALSE)+VLOOKUP(A11,'Used GB Charts'!A:AH,7,FALSE)+VLOOKUP(A11,'Used GB Charts'!A:AH,11,FALSE)+VLOOKUP(A11,'Used GB Charts'!A:AH,29,FALSE)+VLOOKUP(A11,'Used GB Charts'!A:AH,33,FALSE)+VLOOKUP(A11,'Used GB Charts'!A:AH,34,FALSE)</f>
        <v>415.56181640624999</v>
      </c>
      <c r="F11" s="704">
        <f ca="1">VLOOKUP(A11,'Used GB Charts'!A:AH,12,FALSE)+VLOOKUP(A11,'Used GB Charts'!A:AH,13,FALSE)+VLOOKUP(A11,'Used GB Charts'!A:AH,18,FALSE)+VLOOKUP(A11,'Used GB Charts'!A:AH,27,FALSE)+VLOOKUP(A11,'Used GB Charts'!A:AH,28,FALSE)</f>
        <v>578.56005859375</v>
      </c>
      <c r="G11" s="704">
        <f ca="1">VLOOKUP(A11,'Used GB Charts'!A:AH,14,FALSE)+VLOOKUP(A11,'Used GB Charts'!A:AH,15,FALSE)+VLOOKUP(A11,'Used GB Charts'!A:AH,16,FALSE)+VLOOKUP(A11,'Used GB Charts'!A:AH,17,FALSE)+VLOOKUP(A11,'Used GB Charts'!A:AH,21,FALSE)+VLOOKUP(A11,'Used GB Charts'!A:AH,24,FALSE)+VLOOKUP(A11,'Used GB Charts'!A:AH,26,FALSE)</f>
        <v>518.12968750000005</v>
      </c>
      <c r="H11" s="704">
        <f ca="1">VLOOKUP(A11,'Used GB Charts'!A:AH,19,FALSE)+VLOOKUP(A11,'Used GB Charts'!A:AH,20,FALSE)</f>
        <v>11.2826171875</v>
      </c>
      <c r="I11" s="704">
        <f t="shared" ref="I11" ca="1" si="9">SUM(B11:H11)</f>
        <v>2240.2321289062502</v>
      </c>
      <c r="J11" s="987">
        <f ca="1">I11-I20</f>
        <v>31.862109375000273</v>
      </c>
      <c r="K11" s="987">
        <f ca="1">SUM(J11:J29)/10</f>
        <v>5.4244335937500407</v>
      </c>
    </row>
    <row r="12" spans="1:19" s="947" customFormat="1" x14ac:dyDescent="0.25">
      <c r="A12" s="703">
        <v>41900</v>
      </c>
      <c r="B12" s="704">
        <f ca="1">VLOOKUP(A12,'Used GB Charts'!A:AH,2,FALSE)+VLOOKUP(A12,'Used GB Charts'!A:AH,30,FALSE)</f>
        <v>111.21142578125</v>
      </c>
      <c r="C12" s="704">
        <f ca="1">VLOOKUP(A12,'Used GB Charts'!A:AH,3,FALSE)+VLOOKUP(A12,'Used GB Charts'!A:AH,32,FALSE)</f>
        <v>98.002148437499997</v>
      </c>
      <c r="D12" s="704">
        <f ca="1">VLOOKUP(A12,'Used GB Charts'!A:AH,4,FALSE)+VLOOKUP(A12,'Used GB Charts'!A:AH,6,FALSE)+VLOOKUP(A12,'Used GB Charts'!A:AH,8,FALSE)+VLOOKUP(A12,'Used GB Charts'!A:AH,9,FALSE)+VLOOKUP(A12,'Used GB Charts'!A:AH,10,FALSE)+VLOOKUP(A12,'Used GB Charts'!A:AH,22,FALSE)+VLOOKUP(A12,'Used GB Charts'!A:AH,23,FALSE)+VLOOKUP(A12,'Used GB Charts'!A:AH,25,FALSE)+VLOOKUP(A12,'Used GB Charts'!A:AH,31,FALSE)</f>
        <v>493.27880859375</v>
      </c>
      <c r="E12" s="704">
        <f ca="1">VLOOKUP(A12,'Used GB Charts'!A:AH,5,FALSE)+VLOOKUP(A12,'Used GB Charts'!A:AH,7,FALSE)+VLOOKUP(A12,'Used GB Charts'!A:AH,11,FALSE)+VLOOKUP(A12,'Used GB Charts'!A:AH,29,FALSE)+VLOOKUP(A12,'Used GB Charts'!A:AH,33,FALSE)+VLOOKUP(A12,'Used GB Charts'!A:AH,34,FALSE)</f>
        <v>408.32451171874999</v>
      </c>
      <c r="F12" s="704">
        <f ca="1">VLOOKUP(A12,'Used GB Charts'!A:AH,12,FALSE)+VLOOKUP(A12,'Used GB Charts'!A:AH,13,FALSE)+VLOOKUP(A12,'Used GB Charts'!A:AH,18,FALSE)+VLOOKUP(A12,'Used GB Charts'!A:AH,27,FALSE)+VLOOKUP(A12,'Used GB Charts'!A:AH,28,FALSE)</f>
        <v>558.98564453125005</v>
      </c>
      <c r="G12" s="704">
        <f ca="1">VLOOKUP(A12,'Used GB Charts'!A:AH,14,FALSE)+VLOOKUP(A12,'Used GB Charts'!A:AH,15,FALSE)+VLOOKUP(A12,'Used GB Charts'!A:AH,16,FALSE)+VLOOKUP(A12,'Used GB Charts'!A:AH,17,FALSE)+VLOOKUP(A12,'Used GB Charts'!A:AH,21,FALSE)+VLOOKUP(A12,'Used GB Charts'!A:AH,24,FALSE)+VLOOKUP(A12,'Used GB Charts'!A:AH,26,FALSE)</f>
        <v>515.98388671875011</v>
      </c>
      <c r="H12" s="704">
        <f ca="1">VLOOKUP(A12,'Used GB Charts'!A:AH,19,FALSE)+VLOOKUP(A12,'Used GB Charts'!A:AH,20,FALSE)</f>
        <v>11.2826171875</v>
      </c>
      <c r="I12" s="704">
        <f t="shared" ref="I12" ca="1" si="10">SUM(B12:H12)</f>
        <v>2197.0690429687502</v>
      </c>
      <c r="J12" s="987">
        <f ca="1">I12-I20</f>
        <v>-11.300976562499727</v>
      </c>
      <c r="K12" s="987">
        <f ca="1">SUM(J12:J29)/10</f>
        <v>2.2382226562500138</v>
      </c>
    </row>
    <row r="13" spans="1:19" s="947" customFormat="1" x14ac:dyDescent="0.25">
      <c r="A13" s="703">
        <v>41893</v>
      </c>
      <c r="B13" s="704">
        <f ca="1">VLOOKUP(A13,'Used GB Charts'!A:AH,2,FALSE)+VLOOKUP(A13,'Used GB Charts'!A:AH,30,FALSE)</f>
        <v>109.6013671875</v>
      </c>
      <c r="C13" s="704">
        <f ca="1">VLOOKUP(A13,'Used GB Charts'!A:AH,3,FALSE)+VLOOKUP(A13,'Used GB Charts'!A:AH,32,FALSE)</f>
        <v>97.342578124999989</v>
      </c>
      <c r="D13" s="704">
        <f ca="1">VLOOKUP(A13,'Used GB Charts'!A:AH,4,FALSE)+VLOOKUP(A13,'Used GB Charts'!A:AH,6,FALSE)+VLOOKUP(A13,'Used GB Charts'!A:AH,8,FALSE)+VLOOKUP(A13,'Used GB Charts'!A:AH,9,FALSE)+VLOOKUP(A13,'Used GB Charts'!A:AH,10,FALSE)+VLOOKUP(A13,'Used GB Charts'!A:AH,22,FALSE)+VLOOKUP(A13,'Used GB Charts'!A:AH,23,FALSE)+VLOOKUP(A13,'Used GB Charts'!A:AH,25,FALSE)+VLOOKUP(A13,'Used GB Charts'!A:AH,31,FALSE)</f>
        <v>490.93212890625006</v>
      </c>
      <c r="E13" s="704">
        <f ca="1">VLOOKUP(A13,'Used GB Charts'!A:AH,5,FALSE)+VLOOKUP(A13,'Used GB Charts'!A:AH,7,FALSE)+VLOOKUP(A13,'Used GB Charts'!A:AH,11,FALSE)+VLOOKUP(A13,'Used GB Charts'!A:AH,29,FALSE)+VLOOKUP(A13,'Used GB Charts'!A:AH,33,FALSE)+VLOOKUP(A13,'Used GB Charts'!A:AH,34,FALSE)</f>
        <v>409.18339843749999</v>
      </c>
      <c r="F13" s="704">
        <f ca="1">VLOOKUP(A13,'Used GB Charts'!A:AH,12,FALSE)+VLOOKUP(A13,'Used GB Charts'!A:AH,13,FALSE)+VLOOKUP(A13,'Used GB Charts'!A:AH,18,FALSE)+VLOOKUP(A13,'Used GB Charts'!A:AH,27,FALSE)+VLOOKUP(A13,'Used GB Charts'!A:AH,28,FALSE)</f>
        <v>551.50664062500005</v>
      </c>
      <c r="G13" s="704">
        <f ca="1">VLOOKUP(A13,'Used GB Charts'!A:AH,14,FALSE)+VLOOKUP(A13,'Used GB Charts'!A:AH,15,FALSE)+VLOOKUP(A13,'Used GB Charts'!A:AH,16,FALSE)+VLOOKUP(A13,'Used GB Charts'!A:AH,17,FALSE)+VLOOKUP(A13,'Used GB Charts'!A:AH,21,FALSE)+VLOOKUP(A13,'Used GB Charts'!A:AH,24,FALSE)+VLOOKUP(A13,'Used GB Charts'!A:AH,26,FALSE)</f>
        <v>513.0361328125</v>
      </c>
      <c r="H13" s="704">
        <f ca="1">VLOOKUP(A13,'Used GB Charts'!A:AH,19,FALSE)+VLOOKUP(A13,'Used GB Charts'!A:AH,20,FALSE)</f>
        <v>11.2826171875</v>
      </c>
      <c r="I13" s="704">
        <f t="shared" ref="I13" ca="1" si="11">SUM(B13:H13)</f>
        <v>2182.8848632812501</v>
      </c>
      <c r="J13" s="987">
        <f ca="1">I13-I20</f>
        <v>-25.485156249999818</v>
      </c>
      <c r="K13" s="987">
        <f ca="1">SUM(J13:J29)/10</f>
        <v>3.3683203124999865</v>
      </c>
    </row>
    <row r="14" spans="1:19" s="947" customFormat="1" x14ac:dyDescent="0.25">
      <c r="A14" s="703">
        <v>41886</v>
      </c>
      <c r="B14" s="704">
        <f ca="1">VLOOKUP(A14,'Used GB Charts'!A:AH,2,FALSE)+VLOOKUP(A14,'Used GB Charts'!A:AH,30,FALSE)</f>
        <v>111.244921875</v>
      </c>
      <c r="C14" s="704">
        <f ca="1">VLOOKUP(A14,'Used GB Charts'!A:AH,3,FALSE)+VLOOKUP(A14,'Used GB Charts'!A:AH,32,FALSE)</f>
        <v>92.297949218750006</v>
      </c>
      <c r="D14" s="704">
        <f ca="1">VLOOKUP(A14,'Used GB Charts'!A:AH,4,FALSE)+VLOOKUP(A14,'Used GB Charts'!A:AH,6,FALSE)+VLOOKUP(A14,'Used GB Charts'!A:AH,8,FALSE)+VLOOKUP(A14,'Used GB Charts'!A:AH,9,FALSE)+VLOOKUP(A14,'Used GB Charts'!A:AH,10,FALSE)+VLOOKUP(A14,'Used GB Charts'!A:AH,22,FALSE)+VLOOKUP(A14,'Used GB Charts'!A:AH,23,FALSE)+VLOOKUP(A14,'Used GB Charts'!A:AH,25,FALSE)+VLOOKUP(A14,'Used GB Charts'!A:AH,31,FALSE)</f>
        <v>487.33828124999997</v>
      </c>
      <c r="E14" s="704">
        <f ca="1">VLOOKUP(A14,'Used GB Charts'!A:AH,5,FALSE)+VLOOKUP(A14,'Used GB Charts'!A:AH,7,FALSE)+VLOOKUP(A14,'Used GB Charts'!A:AH,11,FALSE)+VLOOKUP(A14,'Used GB Charts'!A:AH,29,FALSE)+VLOOKUP(A14,'Used GB Charts'!A:AH,33,FALSE)+VLOOKUP(A14,'Used GB Charts'!A:AH,34,FALSE)</f>
        <v>401.10556640624998</v>
      </c>
      <c r="F14" s="704">
        <f ca="1">VLOOKUP(A14,'Used GB Charts'!A:AH,12,FALSE)+VLOOKUP(A14,'Used GB Charts'!A:AH,13,FALSE)+VLOOKUP(A14,'Used GB Charts'!A:AH,18,FALSE)+VLOOKUP(A14,'Used GB Charts'!A:AH,27,FALSE)+VLOOKUP(A14,'Used GB Charts'!A:AH,28,FALSE)</f>
        <v>542.22246093750005</v>
      </c>
      <c r="G14" s="704">
        <f ca="1">VLOOKUP(A14,'Used GB Charts'!A:AH,14,FALSE)+VLOOKUP(A14,'Used GB Charts'!A:AH,15,FALSE)+VLOOKUP(A14,'Used GB Charts'!A:AH,16,FALSE)+VLOOKUP(A14,'Used GB Charts'!A:AH,17,FALSE)+VLOOKUP(A14,'Used GB Charts'!A:AH,21,FALSE)+VLOOKUP(A14,'Used GB Charts'!A:AH,24,FALSE)+VLOOKUP(A14,'Used GB Charts'!A:AH,26,FALSE)</f>
        <v>517.50449218749998</v>
      </c>
      <c r="H14" s="704">
        <f ca="1">VLOOKUP(A14,'Used GB Charts'!A:AH,19,FALSE)+VLOOKUP(A14,'Used GB Charts'!A:AH,20,FALSE)</f>
        <v>11.2826171875</v>
      </c>
      <c r="I14" s="704">
        <f t="shared" ref="I14" ca="1" si="12">SUM(B14:H14)</f>
        <v>2162.9962890624997</v>
      </c>
      <c r="J14" s="987">
        <f ca="1">I14-I20</f>
        <v>-45.373730468750182</v>
      </c>
      <c r="K14" s="987">
        <f ca="1">SUM(J14:J29)/10</f>
        <v>5.9168359374999682</v>
      </c>
    </row>
    <row r="15" spans="1:19" s="947" customFormat="1" x14ac:dyDescent="0.25">
      <c r="A15" s="703">
        <v>41878</v>
      </c>
      <c r="B15" s="704">
        <f ca="1">VLOOKUP(A15,'Used GB Charts'!A:AH,2,FALSE)+VLOOKUP(A15,'Used GB Charts'!A:AH,30,FALSE)</f>
        <v>110.40048828125001</v>
      </c>
      <c r="C15" s="704">
        <f ca="1">VLOOKUP(A15,'Used GB Charts'!A:AH,3,FALSE)+VLOOKUP(A15,'Used GB Charts'!A:AH,32,FALSE)</f>
        <v>92.130273437499994</v>
      </c>
      <c r="D15" s="704">
        <f ca="1">VLOOKUP(A15,'Used GB Charts'!A:AH,4,FALSE)+VLOOKUP(A15,'Used GB Charts'!A:AH,6,FALSE)+VLOOKUP(A15,'Used GB Charts'!A:AH,8,FALSE)+VLOOKUP(A15,'Used GB Charts'!A:AH,9,FALSE)+VLOOKUP(A15,'Used GB Charts'!A:AH,10,FALSE)+VLOOKUP(A15,'Used GB Charts'!A:AH,22,FALSE)+VLOOKUP(A15,'Used GB Charts'!A:AH,23,FALSE)+VLOOKUP(A15,'Used GB Charts'!A:AH,25,FALSE)+VLOOKUP(A15,'Used GB Charts'!A:AH,31,FALSE)</f>
        <v>485.24091796875007</v>
      </c>
      <c r="E15" s="704">
        <f ca="1">VLOOKUP(A15,'Used GB Charts'!A:AH,5,FALSE)+VLOOKUP(A15,'Used GB Charts'!A:AH,7,FALSE)+VLOOKUP(A15,'Used GB Charts'!A:AH,11,FALSE)+VLOOKUP(A15,'Used GB Charts'!A:AH,29,FALSE)+VLOOKUP(A15,'Used GB Charts'!A:AH,33,FALSE)+VLOOKUP(A15,'Used GB Charts'!A:AH,34,FALSE)</f>
        <v>398.82851562500002</v>
      </c>
      <c r="F15" s="704">
        <f ca="1">VLOOKUP(A15,'Used GB Charts'!A:AH,12,FALSE)+VLOOKUP(A15,'Used GB Charts'!A:AH,13,FALSE)+VLOOKUP(A15,'Used GB Charts'!A:AH,18,FALSE)+VLOOKUP(A15,'Used GB Charts'!A:AH,27,FALSE)+VLOOKUP(A15,'Used GB Charts'!A:AH,28,FALSE)</f>
        <v>524.38691406250007</v>
      </c>
      <c r="G15" s="704">
        <f ca="1">VLOOKUP(A15,'Used GB Charts'!A:AH,14,FALSE)+VLOOKUP(A15,'Used GB Charts'!A:AH,15,FALSE)+VLOOKUP(A15,'Used GB Charts'!A:AH,16,FALSE)+VLOOKUP(A15,'Used GB Charts'!A:AH,17,FALSE)+VLOOKUP(A15,'Used GB Charts'!A:AH,21,FALSE)+VLOOKUP(A15,'Used GB Charts'!A:AH,24,FALSE)+VLOOKUP(A15,'Used GB Charts'!A:AH,26,FALSE)</f>
        <v>514.41484374999993</v>
      </c>
      <c r="H15" s="704">
        <f ca="1">VLOOKUP(A15,'Used GB Charts'!A:AH,19,FALSE)+VLOOKUP(A15,'Used GB Charts'!A:AH,20,FALSE)</f>
        <v>11.2826171875</v>
      </c>
      <c r="I15" s="704">
        <f t="shared" ref="I15" ca="1" si="13">SUM(B15:H15)</f>
        <v>2136.6845703125</v>
      </c>
      <c r="J15" s="987">
        <f ca="1">I15-I20</f>
        <v>-71.685449218749909</v>
      </c>
      <c r="K15" s="987">
        <f ca="1">SUM(J15:J29)/10</f>
        <v>10.454208984374986</v>
      </c>
    </row>
    <row r="16" spans="1:19" s="947" customFormat="1" x14ac:dyDescent="0.25">
      <c r="A16" s="703">
        <v>41871</v>
      </c>
      <c r="B16" s="704">
        <f ca="1">VLOOKUP(A16,'Used GB Charts'!A:AH,2,FALSE)+VLOOKUP(A16,'Used GB Charts'!A:AH,30,FALSE)</f>
        <v>127.4814453125</v>
      </c>
      <c r="C16" s="704">
        <f ca="1">VLOOKUP(A16,'Used GB Charts'!A:AH,3,FALSE)+VLOOKUP(A16,'Used GB Charts'!A:AH,32,FALSE)</f>
        <v>90.557421874999989</v>
      </c>
      <c r="D16" s="704">
        <f ca="1">VLOOKUP(A16,'Used GB Charts'!A:AH,4,FALSE)+VLOOKUP(A16,'Used GB Charts'!A:AH,6,FALSE)+VLOOKUP(A16,'Used GB Charts'!A:AH,8,FALSE)+VLOOKUP(A16,'Used GB Charts'!A:AH,9,FALSE)+VLOOKUP(A16,'Used GB Charts'!A:AH,10,FALSE)+VLOOKUP(A16,'Used GB Charts'!A:AH,22,FALSE)+VLOOKUP(A16,'Used GB Charts'!A:AH,23,FALSE)+VLOOKUP(A16,'Used GB Charts'!A:AH,25,FALSE)+VLOOKUP(A16,'Used GB Charts'!A:AH,31,FALSE)</f>
        <v>482.15263671875005</v>
      </c>
      <c r="E16" s="704">
        <f ca="1">VLOOKUP(A16,'Used GB Charts'!A:AH,5,FALSE)+VLOOKUP(A16,'Used GB Charts'!A:AH,7,FALSE)+VLOOKUP(A16,'Used GB Charts'!A:AH,11,FALSE)+VLOOKUP(A16,'Used GB Charts'!A:AH,29,FALSE)+VLOOKUP(A16,'Used GB Charts'!A:AH,33,FALSE)+VLOOKUP(A16,'Used GB Charts'!A:AH,34,FALSE)</f>
        <v>439.25830078125006</v>
      </c>
      <c r="F16" s="704">
        <f ca="1">VLOOKUP(A16,'Used GB Charts'!A:AH,12,FALSE)+VLOOKUP(A16,'Used GB Charts'!A:AH,13,FALSE)+VLOOKUP(A16,'Used GB Charts'!A:AH,18,FALSE)+VLOOKUP(A16,'Used GB Charts'!A:AH,27,FALSE)+VLOOKUP(A16,'Used GB Charts'!A:AH,28,FALSE)</f>
        <v>524.20351562500002</v>
      </c>
      <c r="G16" s="704">
        <f ca="1">VLOOKUP(A16,'Used GB Charts'!A:AH,14,FALSE)+VLOOKUP(A16,'Used GB Charts'!A:AH,15,FALSE)+VLOOKUP(A16,'Used GB Charts'!A:AH,16,FALSE)+VLOOKUP(A16,'Used GB Charts'!A:AH,17,FALSE)+VLOOKUP(A16,'Used GB Charts'!A:AH,21,FALSE)+VLOOKUP(A16,'Used GB Charts'!A:AH,24,FALSE)+VLOOKUP(A16,'Used GB Charts'!A:AH,26,FALSE)</f>
        <v>511.88564453125008</v>
      </c>
      <c r="H16" s="704">
        <f ca="1">VLOOKUP(A16,'Used GB Charts'!A:AH,19,FALSE)+VLOOKUP(A16,'Used GB Charts'!A:AH,20,FALSE)</f>
        <v>11.2826171875</v>
      </c>
      <c r="I16" s="704">
        <f t="shared" ref="I16" ca="1" si="14">SUM(B16:H16)</f>
        <v>2186.8215820312498</v>
      </c>
      <c r="J16" s="987">
        <f ca="1">I16-I20</f>
        <v>-21.548437500000091</v>
      </c>
      <c r="K16" s="987">
        <f ca="1">SUM(J16:J29)/10</f>
        <v>17.622753906249976</v>
      </c>
    </row>
    <row r="17" spans="1:11" s="947" customFormat="1" x14ac:dyDescent="0.25">
      <c r="A17" s="703">
        <v>41864</v>
      </c>
      <c r="B17" s="704">
        <f ca="1">VLOOKUP(A17,'Used GB Charts'!A:AH,2,FALSE)+VLOOKUP(A17,'Used GB Charts'!A:AH,30,FALSE)</f>
        <v>127.16875</v>
      </c>
      <c r="C17" s="704">
        <f ca="1">VLOOKUP(A17,'Used GB Charts'!A:AH,3,FALSE)+VLOOKUP(A17,'Used GB Charts'!A:AH,32,FALSE)</f>
        <v>89.617480468750003</v>
      </c>
      <c r="D17" s="704">
        <f ca="1">VLOOKUP(A17,'Used GB Charts'!A:AH,4,FALSE)+VLOOKUP(A17,'Used GB Charts'!A:AH,6,FALSE)+VLOOKUP(A17,'Used GB Charts'!A:AH,8,FALSE)+VLOOKUP(A17,'Used GB Charts'!A:AH,9,FALSE)+VLOOKUP(A17,'Used GB Charts'!A:AH,10,FALSE)+VLOOKUP(A17,'Used GB Charts'!A:AH,22,FALSE)+VLOOKUP(A17,'Used GB Charts'!A:AH,23,FALSE)+VLOOKUP(A17,'Used GB Charts'!A:AH,25,FALSE)+VLOOKUP(A17,'Used GB Charts'!A:AH,31,FALSE)</f>
        <v>486.12841796874994</v>
      </c>
      <c r="E17" s="704">
        <f ca="1">VLOOKUP(A17,'Used GB Charts'!A:AH,5,FALSE)+VLOOKUP(A17,'Used GB Charts'!A:AH,7,FALSE)+VLOOKUP(A17,'Used GB Charts'!A:AH,11,FALSE)+VLOOKUP(A17,'Used GB Charts'!A:AH,29,FALSE)+VLOOKUP(A17,'Used GB Charts'!A:AH,33,FALSE)+VLOOKUP(A17,'Used GB Charts'!A:AH,34,FALSE)</f>
        <v>436.3447265625</v>
      </c>
      <c r="F17" s="704">
        <f ca="1">VLOOKUP(A17,'Used GB Charts'!A:AH,12,FALSE)+VLOOKUP(A17,'Used GB Charts'!A:AH,13,FALSE)+VLOOKUP(A17,'Used GB Charts'!A:AH,18,FALSE)+VLOOKUP(A17,'Used GB Charts'!A:AH,27,FALSE)+VLOOKUP(A17,'Used GB Charts'!A:AH,28,FALSE)</f>
        <v>531.72998046875</v>
      </c>
      <c r="G17" s="704">
        <f ca="1">VLOOKUP(A17,'Used GB Charts'!A:AH,14,FALSE)+VLOOKUP(A17,'Used GB Charts'!A:AH,15,FALSE)+VLOOKUP(A17,'Used GB Charts'!A:AH,16,FALSE)+VLOOKUP(A17,'Used GB Charts'!A:AH,17,FALSE)+VLOOKUP(A17,'Used GB Charts'!A:AH,21,FALSE)+VLOOKUP(A17,'Used GB Charts'!A:AH,24,FALSE)+VLOOKUP(A17,'Used GB Charts'!A:AH,26,FALSE)</f>
        <v>522.01416015625</v>
      </c>
      <c r="H17" s="704">
        <f ca="1">VLOOKUP(A17,'Used GB Charts'!A:AH,19,FALSE)+VLOOKUP(A17,'Used GB Charts'!A:AH,20,FALSE)</f>
        <v>11.2826171875</v>
      </c>
      <c r="I17" s="704">
        <f t="shared" ref="I17" ca="1" si="15">SUM(B17:H17)</f>
        <v>2204.2861328125</v>
      </c>
      <c r="J17" s="987">
        <f ca="1">I17-I20</f>
        <v>-4.0838867187499091</v>
      </c>
      <c r="K17" s="987">
        <f ca="1">SUM(J17:J29)/10</f>
        <v>19.777597656249988</v>
      </c>
    </row>
    <row r="18" spans="1:11" s="947" customFormat="1" x14ac:dyDescent="0.25">
      <c r="A18" s="703">
        <v>41857</v>
      </c>
      <c r="B18" s="704">
        <f ca="1">VLOOKUP(A18,'Used GB Charts'!A:AH,2,FALSE)+VLOOKUP(A18,'Used GB Charts'!A:AH,30,FALSE)</f>
        <v>130.75322265624999</v>
      </c>
      <c r="C18" s="704">
        <f ca="1">VLOOKUP(A18,'Used GB Charts'!A:AH,3,FALSE)+VLOOKUP(A18,'Used GB Charts'!A:AH,32,FALSE)</f>
        <v>87.874121093750006</v>
      </c>
      <c r="D18" s="704">
        <f ca="1">VLOOKUP(A18,'Used GB Charts'!A:AH,4,FALSE)+VLOOKUP(A18,'Used GB Charts'!A:AH,6,FALSE)+VLOOKUP(A18,'Used GB Charts'!A:AH,8,FALSE)+VLOOKUP(A18,'Used GB Charts'!A:AH,9,FALSE)+VLOOKUP(A18,'Used GB Charts'!A:AH,10,FALSE)+VLOOKUP(A18,'Used GB Charts'!A:AH,22,FALSE)+VLOOKUP(A18,'Used GB Charts'!A:AH,23,FALSE)+VLOOKUP(A18,'Used GB Charts'!A:AH,25,FALSE)+VLOOKUP(A18,'Used GB Charts'!A:AH,31,FALSE)</f>
        <v>487.30166015624997</v>
      </c>
      <c r="E18" s="704">
        <f ca="1">VLOOKUP(A18,'Used GB Charts'!A:AH,5,FALSE)+VLOOKUP(A18,'Used GB Charts'!A:AH,7,FALSE)+VLOOKUP(A18,'Used GB Charts'!A:AH,11,FALSE)+VLOOKUP(A18,'Used GB Charts'!A:AH,29,FALSE)+VLOOKUP(A18,'Used GB Charts'!A:AH,33,FALSE)+VLOOKUP(A18,'Used GB Charts'!A:AH,34,FALSE)</f>
        <v>431.53603515624997</v>
      </c>
      <c r="F18" s="704">
        <f ca="1">VLOOKUP(A18,'Used GB Charts'!A:AH,12,FALSE)+VLOOKUP(A18,'Used GB Charts'!A:AH,13,FALSE)+VLOOKUP(A18,'Used GB Charts'!A:AH,18,FALSE)+VLOOKUP(A18,'Used GB Charts'!A:AH,27,FALSE)+VLOOKUP(A18,'Used GB Charts'!A:AH,28,FALSE)</f>
        <v>546.97089843750007</v>
      </c>
      <c r="G18" s="704">
        <f ca="1">VLOOKUP(A18,'Used GB Charts'!A:AH,14,FALSE)+VLOOKUP(A18,'Used GB Charts'!A:AH,15,FALSE)+VLOOKUP(A18,'Used GB Charts'!A:AH,16,FALSE)+VLOOKUP(A18,'Used GB Charts'!A:AH,17,FALSE)+VLOOKUP(A18,'Used GB Charts'!A:AH,21,FALSE)+VLOOKUP(A18,'Used GB Charts'!A:AH,24,FALSE)+VLOOKUP(A18,'Used GB Charts'!A:AH,26,FALSE)</f>
        <v>526.29570312499993</v>
      </c>
      <c r="H18" s="704">
        <f ca="1">VLOOKUP(A18,'Used GB Charts'!A:AH,19,FALSE)+VLOOKUP(A18,'Used GB Charts'!A:AH,20,FALSE)</f>
        <v>11.2826171875</v>
      </c>
      <c r="I18" s="704">
        <f t="shared" ref="I18" ca="1" si="16">SUM(B18:H18)</f>
        <v>2222.0142578124996</v>
      </c>
      <c r="J18" s="987">
        <f ca="1">I18-I20</f>
        <v>13.644238281249727</v>
      </c>
      <c r="K18" s="987">
        <f ca="1">SUM(J18:J29)/10</f>
        <v>20.185986328124976</v>
      </c>
    </row>
    <row r="19" spans="1:11" s="947" customFormat="1" x14ac:dyDescent="0.25">
      <c r="A19" s="703">
        <v>41850</v>
      </c>
      <c r="B19" s="704">
        <f ca="1">VLOOKUP(A19,'Used GB Charts'!A:AH,2,FALSE)+VLOOKUP(A19,'Used GB Charts'!A:AH,30,FALSE)</f>
        <v>141.38408203124999</v>
      </c>
      <c r="C19" s="704">
        <f ca="1">VLOOKUP(A19,'Used GB Charts'!A:AH,3,FALSE)+VLOOKUP(A19,'Used GB Charts'!A:AH,32,FALSE)</f>
        <v>86.966503906249997</v>
      </c>
      <c r="D19" s="704">
        <f ca="1">VLOOKUP(A19,'Used GB Charts'!A:AH,4,FALSE)+VLOOKUP(A19,'Used GB Charts'!A:AH,6,FALSE)+VLOOKUP(A19,'Used GB Charts'!A:AH,8,FALSE)+VLOOKUP(A19,'Used GB Charts'!A:AH,9,FALSE)+VLOOKUP(A19,'Used GB Charts'!A:AH,10,FALSE)+VLOOKUP(A19,'Used GB Charts'!A:AH,22,FALSE)+VLOOKUP(A19,'Used GB Charts'!A:AH,23,FALSE)+VLOOKUP(A19,'Used GB Charts'!A:AH,25,FALSE)+VLOOKUP(A19,'Used GB Charts'!A:AH,31,FALSE)</f>
        <v>481.05009765624999</v>
      </c>
      <c r="E19" s="704">
        <f ca="1">VLOOKUP(A19,'Used GB Charts'!A:AH,5,FALSE)+VLOOKUP(A19,'Used GB Charts'!A:AH,7,FALSE)+VLOOKUP(A19,'Used GB Charts'!A:AH,11,FALSE)+VLOOKUP(A19,'Used GB Charts'!A:AH,29,FALSE)+VLOOKUP(A19,'Used GB Charts'!A:AH,33,FALSE)+VLOOKUP(A19,'Used GB Charts'!A:AH,34,FALSE)</f>
        <v>427.88847656249999</v>
      </c>
      <c r="F19" s="704">
        <f ca="1">VLOOKUP(A19,'Used GB Charts'!A:AB,12,FALSE)+VLOOKUP(A19,'Used GB Charts'!A:AB,13,FALSE)+VLOOKUP(A19,'Used GB Charts'!A:AB,18,FALSE)+VLOOKUP(A19,'Used GB Charts'!A:AB,27,FALSE)+VLOOKUP(A19,'Used GB Charts'!A:AB,28,FALSE)</f>
        <v>542.51630859374995</v>
      </c>
      <c r="G19" s="704">
        <f ca="1">VLOOKUP(A19,'Used GB Charts'!A:AB,14,FALSE)+VLOOKUP(A19,'Used GB Charts'!A:AB,15,FALSE)+VLOOKUP(A19,'Used GB Charts'!A:AB,16,FALSE)+VLOOKUP(A19,'Used GB Charts'!A:AB,17,FALSE)+VLOOKUP(A19,'Used GB Charts'!A:AB,21,FALSE)+VLOOKUP(A19,'Used GB Charts'!A:AB,24,FALSE)+VLOOKUP(A19,'Used GB Charts'!A:AB,26,FALSE)</f>
        <v>517.28193359374995</v>
      </c>
      <c r="H19" s="704">
        <f ca="1">VLOOKUP(A19,'Used GB Charts'!A:AB,19,FALSE)+VLOOKUP(A19,'Used GB Charts'!A:AB,20,FALSE)</f>
        <v>11.2826171875</v>
      </c>
      <c r="I19" s="704">
        <f t="shared" ref="I19" ca="1" si="17">SUM(B19:H19)</f>
        <v>2208.3700195312499</v>
      </c>
      <c r="J19" s="987">
        <f t="shared" ref="J19:J70" ca="1" si="18">I19-I20</f>
        <v>0</v>
      </c>
      <c r="K19" s="987">
        <f t="shared" ref="K19:K72" ca="1" si="19">SUM(J19:J29)/10</f>
        <v>18.821562500000006</v>
      </c>
    </row>
    <row r="20" spans="1:11" s="947" customFormat="1" x14ac:dyDescent="0.25">
      <c r="A20" s="703">
        <v>41843</v>
      </c>
      <c r="B20" s="704">
        <f ca="1">VLOOKUP(A20,'Used GB Charts'!A:AH,2,FALSE)+VLOOKUP(A20,'Used GB Charts'!A:AH,30,FALSE)</f>
        <v>141.38408203124999</v>
      </c>
      <c r="C20" s="704">
        <f ca="1">VLOOKUP(A20,'Used GB Charts'!A:AH,3,FALSE)+VLOOKUP(A20,'Used GB Charts'!A:AH,32,FALSE)</f>
        <v>86.966503906249997</v>
      </c>
      <c r="D20" s="704">
        <f ca="1">VLOOKUP(A20,'Used GB Charts'!A:AH,4,FALSE)+VLOOKUP(A20,'Used GB Charts'!A:AH,6,FALSE)+VLOOKUP(A20,'Used GB Charts'!A:AH,8,FALSE)+VLOOKUP(A20,'Used GB Charts'!A:AH,9,FALSE)+VLOOKUP(A20,'Used GB Charts'!A:AH,10,FALSE)+VLOOKUP(A20,'Used GB Charts'!A:AH,22,FALSE)+VLOOKUP(A20,'Used GB Charts'!A:AH,23,FALSE)+VLOOKUP(A20,'Used GB Charts'!A:AH,25,FALSE)+VLOOKUP(A20,'Used GB Charts'!A:AH,31,FALSE)</f>
        <v>481.05009765624999</v>
      </c>
      <c r="E20" s="704">
        <f ca="1">VLOOKUP(A20,'Used GB Charts'!A:AH,5,FALSE)+VLOOKUP(A20,'Used GB Charts'!A:AH,7,FALSE)+VLOOKUP(A20,'Used GB Charts'!A:AH,11,FALSE)+VLOOKUP(A20,'Used GB Charts'!A:AH,29,FALSE)+VLOOKUP(A20,'Used GB Charts'!A:AH,33,FALSE)+VLOOKUP(A20,'Used GB Charts'!A:AH,34,FALSE)</f>
        <v>427.88847656249999</v>
      </c>
      <c r="F20" s="704">
        <f ca="1">VLOOKUP(A20,'Used GB Charts'!A:AB,12,FALSE)+VLOOKUP(A20,'Used GB Charts'!A:AB,13,FALSE)+VLOOKUP(A20,'Used GB Charts'!A:AB,18,FALSE)+VLOOKUP(A20,'Used GB Charts'!A:AB,27,FALSE)+VLOOKUP(A20,'Used GB Charts'!A:AB,28,FALSE)</f>
        <v>542.51630859374995</v>
      </c>
      <c r="G20" s="704">
        <f ca="1">VLOOKUP(A20,'Used GB Charts'!A:AB,14,FALSE)+VLOOKUP(A20,'Used GB Charts'!A:AB,15,FALSE)+VLOOKUP(A20,'Used GB Charts'!A:AB,16,FALSE)+VLOOKUP(A20,'Used GB Charts'!A:AB,17,FALSE)+VLOOKUP(A20,'Used GB Charts'!A:AB,21,FALSE)+VLOOKUP(A20,'Used GB Charts'!A:AB,24,FALSE)+VLOOKUP(A20,'Used GB Charts'!A:AB,26,FALSE)</f>
        <v>517.28193359374995</v>
      </c>
      <c r="H20" s="704">
        <f ca="1">VLOOKUP(A20,'Used GB Charts'!A:AB,19,FALSE)+VLOOKUP(A20,'Used GB Charts'!A:AB,20,FALSE)</f>
        <v>11.2826171875</v>
      </c>
      <c r="I20" s="704">
        <f t="shared" ref="I20" ca="1" si="20">SUM(B20:H20)</f>
        <v>2208.3700195312499</v>
      </c>
      <c r="J20" s="987">
        <f t="shared" ca="1" si="18"/>
        <v>57.912207031249636</v>
      </c>
      <c r="K20" s="987">
        <f t="shared" ca="1" si="19"/>
        <v>20.562773437499981</v>
      </c>
    </row>
    <row r="21" spans="1:11" s="947" customFormat="1" x14ac:dyDescent="0.25">
      <c r="A21" s="703">
        <v>41836</v>
      </c>
      <c r="B21" s="704">
        <f ca="1">VLOOKUP(A21,'Used GB Charts'!A:AH,2,FALSE)+VLOOKUP(A21,'Used GB Charts'!A:AH,30,FALSE)</f>
        <v>102.18076171875001</v>
      </c>
      <c r="C21" s="704">
        <f ca="1">VLOOKUP(A21,'Used GB Charts'!A:AH,3,FALSE)+VLOOKUP(A21,'Used GB Charts'!A:AH,32,FALSE)</f>
        <v>84.624902343749994</v>
      </c>
      <c r="D21" s="704">
        <f ca="1">VLOOKUP(A21,'Used GB Charts'!A:AH,4,FALSE)+VLOOKUP(A21,'Used GB Charts'!A:AH,6,FALSE)+VLOOKUP(A21,'Used GB Charts'!A:AH,8,FALSE)+VLOOKUP(A21,'Used GB Charts'!A:AH,9,FALSE)+VLOOKUP(A21,'Used GB Charts'!A:AH,10,FALSE)+VLOOKUP(A21,'Used GB Charts'!A:AH,22,FALSE)+VLOOKUP(A21,'Used GB Charts'!A:AH,23,FALSE)+VLOOKUP(A21,'Used GB Charts'!A:AH,25,FALSE)+VLOOKUP(A21,'Used GB Charts'!A:AH,31,FALSE)</f>
        <v>476.29941406249998</v>
      </c>
      <c r="E21" s="704">
        <f ca="1">VLOOKUP(A21,'Used GB Charts'!A:AH,5,FALSE)+VLOOKUP(A21,'Used GB Charts'!A:AH,7,FALSE)+VLOOKUP(A21,'Used GB Charts'!A:AH,11,FALSE)+VLOOKUP(A21,'Used GB Charts'!A:AH,29,FALSE)+VLOOKUP(A21,'Used GB Charts'!A:AH,33,FALSE)+VLOOKUP(A21,'Used GB Charts'!A:AH,34,FALSE)</f>
        <v>422.74960937499998</v>
      </c>
      <c r="F21" s="704">
        <f ca="1">VLOOKUP(A21,'Used GB Charts'!A:AB,12,FALSE)+VLOOKUP(A21,'Used GB Charts'!A:AB,13,FALSE)+VLOOKUP(A21,'Used GB Charts'!A:AB,18,FALSE)+VLOOKUP(A21,'Used GB Charts'!A:AB,27,FALSE)+VLOOKUP(A21,'Used GB Charts'!A:AB,28,FALSE)</f>
        <v>540.21865234375002</v>
      </c>
      <c r="G21" s="704">
        <f ca="1">VLOOKUP(A21,'Used GB Charts'!A:AB,14,FALSE)+VLOOKUP(A21,'Used GB Charts'!A:AB,15,FALSE)+VLOOKUP(A21,'Used GB Charts'!A:AB,16,FALSE)+VLOOKUP(A21,'Used GB Charts'!A:AB,17,FALSE)+VLOOKUP(A21,'Used GB Charts'!A:AB,21,FALSE)+VLOOKUP(A21,'Used GB Charts'!A:AB,24,FALSE)+VLOOKUP(A21,'Used GB Charts'!A:AB,26,FALSE)</f>
        <v>513.10185546875005</v>
      </c>
      <c r="H21" s="704">
        <f ca="1">VLOOKUP(A21,'Used GB Charts'!A:AB,19,FALSE)+VLOOKUP(A21,'Used GB Charts'!A:AB,20,FALSE)</f>
        <v>11.2826171875</v>
      </c>
      <c r="I21" s="704">
        <f t="shared" ref="I21" ca="1" si="21">SUM(B21:H21)</f>
        <v>2150.4578125000003</v>
      </c>
      <c r="J21" s="987">
        <f t="shared" ca="1" si="18"/>
        <v>23.7197265625</v>
      </c>
      <c r="K21" s="987">
        <f t="shared" ca="1" si="19"/>
        <v>18.232900390625058</v>
      </c>
    </row>
    <row r="22" spans="1:11" s="947" customFormat="1" x14ac:dyDescent="0.25">
      <c r="A22" s="703">
        <v>41829</v>
      </c>
      <c r="B22" s="704">
        <f ca="1">VLOOKUP(A22,'Used GB Charts'!A:AH,2,FALSE)+VLOOKUP(A22,'Used GB Charts'!A:AH,30,FALSE)</f>
        <v>101.2490234375</v>
      </c>
      <c r="C22" s="704">
        <f ca="1">VLOOKUP(A22,'Used GB Charts'!A:AH,3,FALSE)+VLOOKUP(A22,'Used GB Charts'!A:AH,32,FALSE)</f>
        <v>83.279101562499989</v>
      </c>
      <c r="D22" s="704">
        <f ca="1">VLOOKUP(A22,'Used GB Charts'!A:AH,4,FALSE)+VLOOKUP(A22,'Used GB Charts'!A:AH,6,FALSE)+VLOOKUP(A22,'Used GB Charts'!A:AH,8,FALSE)+VLOOKUP(A22,'Used GB Charts'!A:AH,9,FALSE)+VLOOKUP(A22,'Used GB Charts'!A:AH,10,FALSE)+VLOOKUP(A22,'Used GB Charts'!A:AH,22,FALSE)+VLOOKUP(A22,'Used GB Charts'!A:AH,23,FALSE)+VLOOKUP(A22,'Used GB Charts'!A:AH,25,FALSE)+VLOOKUP(A22,'Used GB Charts'!A:AH,31,FALSE)</f>
        <v>470.22119140624994</v>
      </c>
      <c r="E22" s="704">
        <f ca="1">VLOOKUP(A22,'Used GB Charts'!A:AH,5,FALSE)+VLOOKUP(A22,'Used GB Charts'!A:AH,7,FALSE)+VLOOKUP(A22,'Used GB Charts'!A:AH,11,FALSE)+VLOOKUP(A22,'Used GB Charts'!A:AH,29,FALSE)+VLOOKUP(A22,'Used GB Charts'!A:AH,33,FALSE)+VLOOKUP(A22,'Used GB Charts'!A:AH,34,FALSE)</f>
        <v>423.41933593750002</v>
      </c>
      <c r="F22" s="704">
        <f ca="1">VLOOKUP(A22,'Used GB Charts'!A:AB,12,FALSE)+VLOOKUP(A22,'Used GB Charts'!A:AB,13,FALSE)+VLOOKUP(A22,'Used GB Charts'!A:AB,18,FALSE)+VLOOKUP(A22,'Used GB Charts'!A:AB,27,FALSE)+VLOOKUP(A22,'Used GB Charts'!A:AB,28,FALSE)</f>
        <v>533.63984374999995</v>
      </c>
      <c r="G22" s="704">
        <f ca="1">VLOOKUP(A22,'Used GB Charts'!A:AB,14,FALSE)+VLOOKUP(A22,'Used GB Charts'!A:AB,15,FALSE)+VLOOKUP(A22,'Used GB Charts'!A:AB,16,FALSE)+VLOOKUP(A22,'Used GB Charts'!A:AB,17,FALSE)+VLOOKUP(A22,'Used GB Charts'!A:AB,21,FALSE)+VLOOKUP(A22,'Used GB Charts'!A:AB,24,FALSE)+VLOOKUP(A22,'Used GB Charts'!A:AB,26,FALSE)</f>
        <v>504.94267578125005</v>
      </c>
      <c r="H22" s="704">
        <f ca="1">VLOOKUP(A22,'Used GB Charts'!A:AB,19,FALSE)+VLOOKUP(A22,'Used GB Charts'!A:AB,20,FALSE)</f>
        <v>9.9869140625000004</v>
      </c>
      <c r="I22" s="704">
        <f t="shared" ref="I22" ca="1" si="22">SUM(B22:H22)</f>
        <v>2126.7380859375003</v>
      </c>
      <c r="J22" s="987">
        <f t="shared" ca="1" si="18"/>
        <v>0</v>
      </c>
      <c r="K22" s="987">
        <f t="shared" ca="1" si="19"/>
        <v>17.716171875000033</v>
      </c>
    </row>
    <row r="23" spans="1:11" s="947" customFormat="1" x14ac:dyDescent="0.25">
      <c r="A23" s="703">
        <v>41822</v>
      </c>
      <c r="B23" s="704">
        <f ca="1">VLOOKUP(A23,'Used GB Charts'!A:AH,2,FALSE)+VLOOKUP(A23,'Used GB Charts'!A:AH,30,FALSE)</f>
        <v>101.2490234375</v>
      </c>
      <c r="C23" s="704">
        <f ca="1">VLOOKUP(A23,'Used GB Charts'!A:AH,3,FALSE)+VLOOKUP(A23,'Used GB Charts'!A:AH,32,FALSE)</f>
        <v>83.279101562499989</v>
      </c>
      <c r="D23" s="704">
        <f ca="1">VLOOKUP(A23,'Used GB Charts'!A:AH,4,FALSE)+VLOOKUP(A23,'Used GB Charts'!A:AH,6,FALSE)+VLOOKUP(A23,'Used GB Charts'!A:AH,8,FALSE)+VLOOKUP(A23,'Used GB Charts'!A:AH,9,FALSE)+VLOOKUP(A23,'Used GB Charts'!A:AH,10,FALSE)+VLOOKUP(A23,'Used GB Charts'!A:AH,22,FALSE)+VLOOKUP(A23,'Used GB Charts'!A:AH,23,FALSE)+VLOOKUP(A23,'Used GB Charts'!A:AH,25,FALSE)+VLOOKUP(A23,'Used GB Charts'!A:AH,31,FALSE)</f>
        <v>470.22119140624994</v>
      </c>
      <c r="E23" s="704">
        <f ca="1">VLOOKUP(A23,'Used GB Charts'!A:AH,5,FALSE)+VLOOKUP(A23,'Used GB Charts'!A:AH,7,FALSE)+VLOOKUP(A23,'Used GB Charts'!A:AH,11,FALSE)+VLOOKUP(A23,'Used GB Charts'!A:AH,29,FALSE)+VLOOKUP(A23,'Used GB Charts'!A:AH,33,FALSE)+VLOOKUP(A23,'Used GB Charts'!A:AH,34,FALSE)</f>
        <v>423.41933593750002</v>
      </c>
      <c r="F23" s="704">
        <f ca="1">VLOOKUP(A23,'Used GB Charts'!A:AB,12,FALSE)+VLOOKUP(A23,'Used GB Charts'!A:AB,13,FALSE)+VLOOKUP(A23,'Used GB Charts'!A:AB,18,FALSE)+VLOOKUP(A23,'Used GB Charts'!A:AB,27,FALSE)+VLOOKUP(A23,'Used GB Charts'!A:AB,28,FALSE)</f>
        <v>533.63984374999995</v>
      </c>
      <c r="G23" s="704">
        <f ca="1">VLOOKUP(A23,'Used GB Charts'!A:AB,14,FALSE)+VLOOKUP(A23,'Used GB Charts'!A:AB,15,FALSE)+VLOOKUP(A23,'Used GB Charts'!A:AB,16,FALSE)+VLOOKUP(A23,'Used GB Charts'!A:AB,17,FALSE)+VLOOKUP(A23,'Used GB Charts'!A:AB,21,FALSE)+VLOOKUP(A23,'Used GB Charts'!A:AB,24,FALSE)+VLOOKUP(A23,'Used GB Charts'!A:AB,26,FALSE)</f>
        <v>504.94267578125005</v>
      </c>
      <c r="H23" s="704">
        <f ca="1">VLOOKUP(A23,'Used GB Charts'!A:AB,19,FALSE)+VLOOKUP(A23,'Used GB Charts'!A:AB,20,FALSE)</f>
        <v>9.9869140625000004</v>
      </c>
      <c r="I23" s="704">
        <f t="shared" ref="I23" ca="1" si="23">SUM(B23:H23)</f>
        <v>2126.7380859375003</v>
      </c>
      <c r="J23" s="987">
        <f t="shared" ca="1" si="18"/>
        <v>10.796875</v>
      </c>
      <c r="K23" s="987">
        <f t="shared" ca="1" si="19"/>
        <v>19.248486328125022</v>
      </c>
    </row>
    <row r="24" spans="1:11" s="743" customFormat="1" x14ac:dyDescent="0.25">
      <c r="A24" s="703">
        <v>41815</v>
      </c>
      <c r="B24" s="704">
        <f ca="1">VLOOKUP(A24,'Used GB Charts'!A:AH,2,FALSE)+VLOOKUP(A24,'Used GB Charts'!A:AH,30,FALSE)</f>
        <v>100.90361328125</v>
      </c>
      <c r="C24" s="704">
        <f ca="1">VLOOKUP(A24,'Used GB Charts'!A:AH,3,FALSE)+VLOOKUP(A24,'Used GB Charts'!A:AH,32,FALSE)</f>
        <v>81.887597656249994</v>
      </c>
      <c r="D24" s="704">
        <f ca="1">VLOOKUP(A24,'Used GB Charts'!A:AH,4,FALSE)+VLOOKUP(A24,'Used GB Charts'!A:AH,6,FALSE)+VLOOKUP(A24,'Used GB Charts'!A:AH,8,FALSE)+VLOOKUP(A24,'Used GB Charts'!A:AH,9,FALSE)+VLOOKUP(A24,'Used GB Charts'!A:AH,10,FALSE)+VLOOKUP(A24,'Used GB Charts'!A:AH,22,FALSE)+VLOOKUP(A24,'Used GB Charts'!A:AH,23,FALSE)+VLOOKUP(A24,'Used GB Charts'!A:AH,25,FALSE)+VLOOKUP(A24,'Used GB Charts'!A:AH,31,FALSE)</f>
        <v>467.24326171874998</v>
      </c>
      <c r="E24" s="704">
        <f ca="1">VLOOKUP(A24,'Used GB Charts'!A:AH,5,FALSE)+VLOOKUP(A24,'Used GB Charts'!A:AH,7,FALSE)+VLOOKUP(A24,'Used GB Charts'!A:AH,11,FALSE)+VLOOKUP(A24,'Used GB Charts'!A:AH,29,FALSE)+VLOOKUP(A24,'Used GB Charts'!A:AH,33,FALSE)+VLOOKUP(A24,'Used GB Charts'!A:AH,34,FALSE)</f>
        <v>421.64257812500006</v>
      </c>
      <c r="F24" s="704">
        <f ca="1">VLOOKUP(A24,'Used GB Charts'!A:AB,12,FALSE)+VLOOKUP(A24,'Used GB Charts'!A:AB,13,FALSE)+VLOOKUP(A24,'Used GB Charts'!A:AB,18,FALSE)+VLOOKUP(A24,'Used GB Charts'!A:AB,27,FALSE)+VLOOKUP(A24,'Used GB Charts'!A:AB,28,FALSE)</f>
        <v>531.9091796875</v>
      </c>
      <c r="G24" s="704">
        <f ca="1">VLOOKUP(A24,'Used GB Charts'!A:AB,14,FALSE)+VLOOKUP(A24,'Used GB Charts'!A:AB,15,FALSE)+VLOOKUP(A24,'Used GB Charts'!A:AB,16,FALSE)+VLOOKUP(A24,'Used GB Charts'!A:AB,17,FALSE)+VLOOKUP(A24,'Used GB Charts'!A:AB,21,FALSE)+VLOOKUP(A24,'Used GB Charts'!A:AB,24,FALSE)+VLOOKUP(A24,'Used GB Charts'!A:AB,26,FALSE)</f>
        <v>502.36806640625008</v>
      </c>
      <c r="H24" s="704">
        <f ca="1">VLOOKUP(A24,'Used GB Charts'!A:AB,19,FALSE)+VLOOKUP(A24,'Used GB Charts'!A:AB,20,FALSE)</f>
        <v>9.9869140625000004</v>
      </c>
      <c r="I24" s="704">
        <f t="shared" ref="I24" ca="1" si="24">SUM(B24:H24)</f>
        <v>2115.9412109375003</v>
      </c>
      <c r="J24" s="987">
        <f t="shared" ca="1" si="18"/>
        <v>21.408593749999909</v>
      </c>
      <c r="K24" s="987">
        <f t="shared" ca="1" si="19"/>
        <v>20.871728515625023</v>
      </c>
    </row>
    <row r="25" spans="1:11" s="743" customFormat="1" x14ac:dyDescent="0.25">
      <c r="A25" s="703">
        <v>41808</v>
      </c>
      <c r="B25" s="704">
        <f ca="1">VLOOKUP(A25,'Used GB Charts'!A:AH,2,FALSE)+VLOOKUP(A25,'Used GB Charts'!A:AH,30,FALSE)</f>
        <v>100.29677734374999</v>
      </c>
      <c r="C25" s="704">
        <f ca="1">VLOOKUP(A25,'Used GB Charts'!A:AH,3,FALSE)+VLOOKUP(A25,'Used GB Charts'!A:AH,32,FALSE)</f>
        <v>81.599414062500003</v>
      </c>
      <c r="D25" s="704">
        <f ca="1">VLOOKUP(A25,'Used GB Charts'!A:AH,4,FALSE)+VLOOKUP(A25,'Used GB Charts'!A:AH,6,FALSE)+VLOOKUP(A25,'Used GB Charts'!A:AH,8,FALSE)+VLOOKUP(A25,'Used GB Charts'!A:AH,9,FALSE)+VLOOKUP(A25,'Used GB Charts'!A:AH,10,FALSE)+VLOOKUP(A25,'Used GB Charts'!A:AH,22,FALSE)+VLOOKUP(A25,'Used GB Charts'!A:AH,23,FALSE)+VLOOKUP(A25,'Used GB Charts'!A:AH,25,FALSE)+VLOOKUP(A25,'Used GB Charts'!A:AH,31,FALSE)</f>
        <v>464.51123046875</v>
      </c>
      <c r="E25" s="704">
        <f ca="1">VLOOKUP(A25,'Used GB Charts'!A:AH,5,FALSE)+VLOOKUP(A25,'Used GB Charts'!A:AH,7,FALSE)+VLOOKUP(A25,'Used GB Charts'!A:AH,11,FALSE)+VLOOKUP(A25,'Used GB Charts'!A:AH,29,FALSE)+VLOOKUP(A25,'Used GB Charts'!A:AH,33,FALSE)+VLOOKUP(A25,'Used GB Charts'!A:AH,34,FALSE)</f>
        <v>415.46318359374999</v>
      </c>
      <c r="F25" s="704">
        <f ca="1">VLOOKUP(A25,'Used GB Charts'!A:AB,12,FALSE)+VLOOKUP(A25,'Used GB Charts'!A:AB,13,FALSE)+VLOOKUP(A25,'Used GB Charts'!A:AB,18,FALSE)+VLOOKUP(A25,'Used GB Charts'!A:AB,27,FALSE)+VLOOKUP(A25,'Used GB Charts'!A:AB,28,FALSE)</f>
        <v>523.94248046874998</v>
      </c>
      <c r="G25" s="704">
        <f ca="1">VLOOKUP(A25,'Used GB Charts'!A:AB,14,FALSE)+VLOOKUP(A25,'Used GB Charts'!A:AB,15,FALSE)+VLOOKUP(A25,'Used GB Charts'!A:AB,16,FALSE)+VLOOKUP(A25,'Used GB Charts'!A:AB,17,FALSE)+VLOOKUP(A25,'Used GB Charts'!A:AB,21,FALSE)+VLOOKUP(A25,'Used GB Charts'!A:AB,24,FALSE)+VLOOKUP(A25,'Used GB Charts'!A:AB,26,FALSE)</f>
        <v>498.73261718750001</v>
      </c>
      <c r="H25" s="704">
        <f ca="1">VLOOKUP(A25,'Used GB Charts'!A:AB,19,FALSE)+VLOOKUP(A25,'Used GB Charts'!A:AB,20,FALSE)</f>
        <v>9.9869140625000004</v>
      </c>
      <c r="I25" s="704">
        <f t="shared" ref="I25" ca="1" si="25">SUM(B25:H25)</f>
        <v>2094.5326171875004</v>
      </c>
      <c r="J25" s="987">
        <f t="shared" ca="1" si="18"/>
        <v>14.495214843750546</v>
      </c>
      <c r="K25" s="987">
        <f t="shared" ca="1" si="19"/>
        <v>20.15817382812504</v>
      </c>
    </row>
    <row r="26" spans="1:11" s="743" customFormat="1" x14ac:dyDescent="0.25">
      <c r="A26" s="703">
        <v>41801</v>
      </c>
      <c r="B26" s="704">
        <f ca="1">VLOOKUP(A26,'Used GB Charts'!A:AH,2,FALSE)+VLOOKUP(A26,'Used GB Charts'!A:AH,30,FALSE)</f>
        <v>100.29677734374999</v>
      </c>
      <c r="C26" s="704">
        <f ca="1">VLOOKUP(A26,'Used GB Charts'!A:AH,3,FALSE)+VLOOKUP(A26,'Used GB Charts'!A:AH,32,FALSE)</f>
        <v>81.599414062500003</v>
      </c>
      <c r="D26" s="704">
        <f ca="1">VLOOKUP(A26,'Used GB Charts'!A:AH,4,FALSE)+VLOOKUP(A26,'Used GB Charts'!A:AH,6,FALSE)+VLOOKUP(A26,'Used GB Charts'!A:AH,8,FALSE)+VLOOKUP(A26,'Used GB Charts'!A:AH,9,FALSE)+VLOOKUP(A26,'Used GB Charts'!A:AH,10,FALSE)+VLOOKUP(A26,'Used GB Charts'!A:AH,22,FALSE)+VLOOKUP(A26,'Used GB Charts'!A:AH,23,FALSE)+VLOOKUP(A26,'Used GB Charts'!A:AH,25,FALSE)+VLOOKUP(A26,'Used GB Charts'!A:AH,31,FALSE)</f>
        <v>455.29482421874997</v>
      </c>
      <c r="E26" s="704">
        <f ca="1">VLOOKUP(A26,'Used GB Charts'!A:AH,5,FALSE)+VLOOKUP(A26,'Used GB Charts'!A:AH,7,FALSE)+VLOOKUP(A26,'Used GB Charts'!A:AH,11,FALSE)+VLOOKUP(A26,'Used GB Charts'!A:AH,29,FALSE)+VLOOKUP(A26,'Used GB Charts'!A:AH,33,FALSE)+VLOOKUP(A26,'Used GB Charts'!A:AH,34,FALSE)</f>
        <v>423.41054687499997</v>
      </c>
      <c r="F26" s="704">
        <f ca="1">VLOOKUP(A26,'Used GB Charts'!A:AB,12,FALSE)+VLOOKUP(A26,'Used GB Charts'!A:AB,13,FALSE)+VLOOKUP(A26,'Used GB Charts'!A:AB,18,FALSE)+VLOOKUP(A26,'Used GB Charts'!A:AB,27,FALSE)+VLOOKUP(A26,'Used GB Charts'!A:AB,28,FALSE)</f>
        <v>531.34111328124993</v>
      </c>
      <c r="G26" s="704">
        <f ca="1">VLOOKUP(A26,'Used GB Charts'!A:AB,14,FALSE)+VLOOKUP(A26,'Used GB Charts'!A:AB,15,FALSE)+VLOOKUP(A26,'Used GB Charts'!A:AB,16,FALSE)++VLOOKUP(A26,'Used GB Charts'!A:AB,17,FALSE)+VLOOKUP(A26,'Used GB Charts'!A:AB,21,FALSE)+VLOOKUP(A26,'Used GB Charts'!A:AB,24,FALSE)+VLOOKUP(A26,'Used GB Charts'!A:AB,26,FALSE)</f>
        <v>478.10781250000002</v>
      </c>
      <c r="H26" s="704">
        <f ca="1">VLOOKUP(A26,'Used GB Charts'!A:AB,19,FALSE)+VLOOKUP(A26,'Used GB Charts'!A:AB,20,FALSE)</f>
        <v>9.9869140625000004</v>
      </c>
      <c r="I26" s="704">
        <f t="shared" ref="I26" ca="1" si="26">SUM(B26:H26)</f>
        <v>2080.0374023437498</v>
      </c>
      <c r="J26" s="987">
        <f t="shared" ca="1" si="18"/>
        <v>24.558300781250182</v>
      </c>
      <c r="K26" s="987">
        <f t="shared" ca="1" si="19"/>
        <v>24.29248046875</v>
      </c>
    </row>
    <row r="27" spans="1:11" s="743" customFormat="1" x14ac:dyDescent="0.25">
      <c r="A27" s="703">
        <v>41794</v>
      </c>
      <c r="B27" s="704">
        <f ca="1">VLOOKUP(A27,'Used GB Charts'!A:AH,2,FALSE)+VLOOKUP(A27,'Used GB Charts'!A:AH,30,FALSE)</f>
        <v>99.743945312500003</v>
      </c>
      <c r="C27" s="704">
        <f ca="1">VLOOKUP(A27,'Used GB Charts'!A:AH,3,FALSE)+VLOOKUP(A27,'Used GB Charts'!A:AH,32,FALSE)</f>
        <v>81.565624999999997</v>
      </c>
      <c r="D27" s="704">
        <f ca="1">VLOOKUP(A27,'Used GB Charts'!A:AH,4,FALSE)+VLOOKUP(A27,'Used GB Charts'!A:AH,6,FALSE)+VLOOKUP(A27,'Used GB Charts'!A:AH,8,FALSE)+VLOOKUP(A27,'Used GB Charts'!A:AH,9,FALSE)+VLOOKUP(A27,'Used GB Charts'!A:AH,10,FALSE)+VLOOKUP(A27,'Used GB Charts'!A:AH,22,FALSE)+VLOOKUP(A27,'Used GB Charts'!A:AH,23,FALSE)+VLOOKUP(A27,'Used GB Charts'!A:AH,25,FALSE)+VLOOKUP(A27,'Used GB Charts'!A:AH,31,FALSE)</f>
        <v>448.68671874999995</v>
      </c>
      <c r="E27" s="704">
        <f ca="1">VLOOKUP(A27,'Used GB Charts'!A:AH,5,FALSE)+VLOOKUP(A27,'Used GB Charts'!A:AH,7,FALSE)+VLOOKUP(A27,'Used GB Charts'!A:AH,11,FALSE)+VLOOKUP(A27,'Used GB Charts'!A:AH,29,FALSE)+VLOOKUP(A27,'Used GB Charts'!A:AH,33,FALSE)+VLOOKUP(A27,'Used GB Charts'!A:AH,34,FALSE)</f>
        <v>418.314453125</v>
      </c>
      <c r="F27" s="704">
        <f ca="1">VLOOKUP(A27,'Used GB Charts'!A:AB,12,FALSE)+VLOOKUP(A27,'Used GB Charts'!A:AB,13,FALSE)+VLOOKUP(A27,'Used GB Charts'!A:AB,18,FALSE)+VLOOKUP(A27,'Used GB Charts'!A:AB,27,FALSE)+VLOOKUP(A27,'Used GB Charts'!A:AB,28,FALSE)</f>
        <v>525.97314453124989</v>
      </c>
      <c r="G27" s="704">
        <f ca="1">VLOOKUP(A27,'Used GB Charts'!A:AB,14,FALSE)+VLOOKUP(A27,'Used GB Charts'!A:AB,15,FALSE)+VLOOKUP(A27,'Used GB Charts'!A:AB,16,FALSE)++VLOOKUP(A27,'Used GB Charts'!A:AB,17,FALSE)+VLOOKUP(A27,'Used GB Charts'!A:AB,21,FALSE)+VLOOKUP(A27,'Used GB Charts'!A:AB,24,FALSE)+VLOOKUP(A27,'Used GB Charts'!A:AB,26,FALSE)</f>
        <v>471.20830078125005</v>
      </c>
      <c r="H27" s="704">
        <f ca="1">VLOOKUP(A27,'Used GB Charts'!A:AB,19,FALSE)+VLOOKUP(A27,'Used GB Charts'!A:AB,20,FALSE)</f>
        <v>9.9869140625000004</v>
      </c>
      <c r="I27" s="704">
        <f t="shared" ref="I27" ca="1" si="27">SUM(B27:H27)</f>
        <v>2055.4791015624996</v>
      </c>
      <c r="J27" s="987">
        <f t="shared" ca="1" si="18"/>
        <v>2.1516601562493634</v>
      </c>
      <c r="K27" s="987">
        <f t="shared" ca="1" si="19"/>
        <v>20.952812499999958</v>
      </c>
    </row>
    <row r="28" spans="1:11" s="743" customFormat="1" x14ac:dyDescent="0.25">
      <c r="A28" s="703">
        <v>41787</v>
      </c>
      <c r="B28" s="704">
        <f ca="1">VLOOKUP(A28,'Used GB Charts'!A:AH,2,FALSE)+VLOOKUP(A28,'Used GB Charts'!A:AH,30,FALSE)</f>
        <v>101.85146484374999</v>
      </c>
      <c r="C28" s="704">
        <f ca="1">VLOOKUP(A28,'Used GB Charts'!A:AH,3,FALSE)+VLOOKUP(A28,'Used GB Charts'!A:AH,32,FALSE)</f>
        <v>81.4814453125</v>
      </c>
      <c r="D28" s="704">
        <f ca="1">VLOOKUP(A28,'Used GB Charts'!A:AH,4,FALSE)+VLOOKUP(A28,'Used GB Charts'!A:AH,6,FALSE)+VLOOKUP(A28,'Used GB Charts'!A:AH,8,FALSE)+VLOOKUP(A28,'Used GB Charts'!A:AH,9,FALSE)+VLOOKUP(A28,'Used GB Charts'!A:AH,10,FALSE)+VLOOKUP(A28,'Used GB Charts'!A:AH,22,FALSE)+VLOOKUP(A28,'Used GB Charts'!A:AH,23,FALSE)+VLOOKUP(A28,'Used GB Charts'!A:AH,25,FALSE)+VLOOKUP(A28,'Used GB Charts'!A:AH,31,FALSE)</f>
        <v>450.64277343749995</v>
      </c>
      <c r="E28" s="704">
        <f ca="1">VLOOKUP(A28,'Used GB Charts'!A:AH,5,FALSE)+VLOOKUP(A28,'Used GB Charts'!A:AH,7,FALSE)+VLOOKUP(A28,'Used GB Charts'!A:AH,11,FALSE)+VLOOKUP(A28,'Used GB Charts'!A:AH,29,FALSE)+VLOOKUP(A28,'Used GB Charts'!A:AH,33,FALSE)+VLOOKUP(A28,'Used GB Charts'!A:AH,34,FALSE)</f>
        <v>409.56826171875002</v>
      </c>
      <c r="F28" s="704">
        <f ca="1">VLOOKUP(A28,'Used GB Charts'!A:AB,12,FALSE)+VLOOKUP(A28,'Used GB Charts'!A:AB,13,FALSE)+VLOOKUP(A28,'Used GB Charts'!A:AB,18,FALSE)+VLOOKUP(A28,'Used GB Charts'!A:AB,27,FALSE)+VLOOKUP(A28,'Used GB Charts'!A:AB,28,FALSE)</f>
        <v>520.97617187500009</v>
      </c>
      <c r="G28" s="704">
        <f ca="1">VLOOKUP(A28,'Used GB Charts'!A:AB,14,FALSE)+VLOOKUP(A28,'Used GB Charts'!A:AB,15,FALSE)+VLOOKUP(A28,'Used GB Charts'!A:AB,16,FALSE)++VLOOKUP(A28,'Used GB Charts'!A:AB,17,FALSE)+VLOOKUP(A28,'Used GB Charts'!A:AB,21,FALSE)+VLOOKUP(A28,'Used GB Charts'!A:AB,24,FALSE)+VLOOKUP(A28,'Used GB Charts'!A:AB,26,FALSE)</f>
        <v>478.82041015624998</v>
      </c>
      <c r="H28" s="704">
        <f ca="1">VLOOKUP(A28,'Used GB Charts'!A:AB,19,FALSE)+VLOOKUP(A28,'Used GB Charts'!A:AB,20,FALSE)</f>
        <v>9.9869140625000004</v>
      </c>
      <c r="I28" s="704">
        <f t="shared" ref="I28" ca="1" si="28">SUM(B28:H28)</f>
        <v>2053.3274414062503</v>
      </c>
      <c r="J28" s="987">
        <f t="shared" ca="1" si="18"/>
        <v>4.0692382812503638</v>
      </c>
      <c r="K28" s="987">
        <f t="shared" ca="1" si="19"/>
        <v>21.306152343750021</v>
      </c>
    </row>
    <row r="29" spans="1:11" s="743" customFormat="1" x14ac:dyDescent="0.25">
      <c r="A29" s="703">
        <v>41780</v>
      </c>
      <c r="B29" s="704">
        <f ca="1">VLOOKUP(A29,'Used GB Charts'!A:AH,2,FALSE)+VLOOKUP(A29,'Used GB Charts'!A:AH,30,FALSE)</f>
        <v>101.87138671875</v>
      </c>
      <c r="C29" s="704">
        <f ca="1">VLOOKUP(A29,'Used GB Charts'!A:AH,3,FALSE)+VLOOKUP(A29,'Used GB Charts'!A:AH,32,FALSE)</f>
        <v>82.491601562499994</v>
      </c>
      <c r="D29" s="704">
        <f ca="1">VLOOKUP(A29,'Used GB Charts'!A:AH,4,FALSE)+VLOOKUP(A29,'Used GB Charts'!A:AH,6,FALSE)+VLOOKUP(A29,'Used GB Charts'!A:AH,8,FALSE)+VLOOKUP(A29,'Used GB Charts'!A:AH,9,FALSE)+VLOOKUP(A29,'Used GB Charts'!A:AH,10,FALSE)+VLOOKUP(A29,'Used GB Charts'!A:AH,22,FALSE)+VLOOKUP(A29,'Used GB Charts'!A:AH,23,FALSE)+VLOOKUP(A29,'Used GB Charts'!A:AH,25,FALSE)+VLOOKUP(A29,'Used GB Charts'!A:AH,31,FALSE)</f>
        <v>450.22167968749989</v>
      </c>
      <c r="E29" s="704">
        <f ca="1">VLOOKUP(A29,'Used GB Charts'!A:AH,5,FALSE)+VLOOKUP(A29,'Used GB Charts'!A:AH,7,FALSE)+VLOOKUP(A29,'Used GB Charts'!A:AH,11,FALSE)+VLOOKUP(A29,'Used GB Charts'!A:AH,29,FALSE)+VLOOKUP(A29,'Used GB Charts'!A:AH,33,FALSE)+VLOOKUP(A29,'Used GB Charts'!A:AH,34,FALSE)</f>
        <v>411.93994140625</v>
      </c>
      <c r="F29" s="704">
        <f ca="1">VLOOKUP(A29,'Used GB Charts'!A:AB,12,FALSE)+VLOOKUP(A29,'Used GB Charts'!A:AB,13,FALSE)+VLOOKUP(A29,'Used GB Charts'!A:AB,18,FALSE)+VLOOKUP(A29,'Used GB Charts'!A:AB,27,FALSE)+VLOOKUP(A29,'Used GB Charts'!A:AB,28,FALSE)</f>
        <v>515.77509765624995</v>
      </c>
      <c r="G29" s="704">
        <f ca="1">VLOOKUP(A29,'Used GB Charts'!A:AB,14,FALSE)+VLOOKUP(A29,'Used GB Charts'!A:AB,15,FALSE)+VLOOKUP(A29,'Used GB Charts'!A:AB,16,FALSE)++VLOOKUP(A29,'Used GB Charts'!A:AB,17,FALSE)+VLOOKUP(A29,'Used GB Charts'!A:AB,21,FALSE)+VLOOKUP(A29,'Used GB Charts'!A:AB,24,FALSE)+VLOOKUP(A29,'Used GB Charts'!A:AB,26,FALSE)</f>
        <v>476.97158203125008</v>
      </c>
      <c r="H29" s="704">
        <f ca="1">VLOOKUP(A29,'Used GB Charts'!A:AB,19,FALSE)+VLOOKUP(A29,'Used GB Charts'!A:AB,20,FALSE)</f>
        <v>9.9869140625000004</v>
      </c>
      <c r="I29" s="704">
        <f t="shared" ref="I29" ca="1" si="29">SUM(B29:H29)</f>
        <v>2049.2582031249999</v>
      </c>
      <c r="J29" s="987">
        <f t="shared" ca="1" si="18"/>
        <v>29.103808593750045</v>
      </c>
      <c r="K29" s="987">
        <f t="shared" ca="1" si="19"/>
        <v>20.893154296874968</v>
      </c>
    </row>
    <row r="30" spans="1:11" s="743" customFormat="1" x14ac:dyDescent="0.25">
      <c r="A30" s="703">
        <v>41773</v>
      </c>
      <c r="B30" s="704">
        <f ca="1">VLOOKUP(A30,'Used GB Charts'!A:AH,2,FALSE)+VLOOKUP(A30,'Used GB Charts'!A:AH,30,FALSE)</f>
        <v>101.54648437500001</v>
      </c>
      <c r="C30" s="704">
        <f ca="1">VLOOKUP(A30,'Used GB Charts'!A:AH,3,FALSE)+VLOOKUP(A30,'Used GB Charts'!A:AH,32,FALSE)</f>
        <v>82.464648437500003</v>
      </c>
      <c r="D30" s="704">
        <f ca="1">VLOOKUP(A30,'Used GB Charts'!A:AH,4,FALSE)+VLOOKUP(A30,'Used GB Charts'!A:AH,6,FALSE)+VLOOKUP(A30,'Used GB Charts'!A:AH,8,FALSE)+VLOOKUP(A30,'Used GB Charts'!A:AH,9,FALSE)+VLOOKUP(A30,'Used GB Charts'!A:AH,10,FALSE)+VLOOKUP(A30,'Used GB Charts'!A:AH,22,FALSE)+VLOOKUP(A30,'Used GB Charts'!A:AH,23,FALSE)+VLOOKUP(A30,'Used GB Charts'!A:AH,25,FALSE)+VLOOKUP(A30,'Used GB Charts'!A:AH,31,FALSE)</f>
        <v>444.19218749999999</v>
      </c>
      <c r="E30" s="704">
        <f ca="1">VLOOKUP(A30,'Used GB Charts'!A:AH,5,FALSE)+VLOOKUP(A30,'Used GB Charts'!A:AH,7,FALSE)+VLOOKUP(A30,'Used GB Charts'!A:AH,11,FALSE)+VLOOKUP(A30,'Used GB Charts'!A:AH,29,FALSE)+VLOOKUP(A30,'Used GB Charts'!A:AH,33,FALSE)+VLOOKUP(A30,'Used GB Charts'!A:AH,34,FALSE)</f>
        <v>407.21796875000001</v>
      </c>
      <c r="F30" s="704">
        <f ca="1">VLOOKUP(A30,'Used GB Charts'!A:AB,12,FALSE)+VLOOKUP(A30,'Used GB Charts'!A:AB,13,FALSE)+VLOOKUP(A30,'Used GB Charts'!A:AB,18,FALSE)+VLOOKUP(A30,'Used GB Charts'!A:AB,27,FALSE)+VLOOKUP(A30,'Used GB Charts'!A:AB,28,FALSE)</f>
        <v>508.98154296874998</v>
      </c>
      <c r="G30" s="704">
        <f ca="1">VLOOKUP(A30,'Used GB Charts'!A:AB,14,FALSE)+VLOOKUP(A30,'Used GB Charts'!A:AB,15,FALSE)+VLOOKUP(A30,'Used GB Charts'!A:AB,16,FALSE)++VLOOKUP(A30,'Used GB Charts'!A:AB,17,FALSE)+VLOOKUP(A30,'Used GB Charts'!A:AB,21,FALSE)+VLOOKUP(A30,'Used GB Charts'!A:AB,24,FALSE)+VLOOKUP(A30,'Used GB Charts'!A:AB,26,FALSE)</f>
        <v>466.51679687499995</v>
      </c>
      <c r="H30" s="704">
        <f ca="1">VLOOKUP(A30,'Used GB Charts'!A:AB,19,FALSE)+VLOOKUP(A30,'Used GB Charts'!A:AB,20,FALSE)</f>
        <v>9.2347656249999996</v>
      </c>
      <c r="I30" s="704">
        <f t="shared" ref="I30" ca="1" si="30">SUM(B30:H30)</f>
        <v>2020.1543945312499</v>
      </c>
      <c r="J30" s="987">
        <f t="shared" ca="1" si="18"/>
        <v>17.412109374999773</v>
      </c>
      <c r="K30" s="987">
        <f t="shared" ca="1" si="19"/>
        <v>56.817910156249965</v>
      </c>
    </row>
    <row r="31" spans="1:11" s="743" customFormat="1" x14ac:dyDescent="0.25">
      <c r="A31" s="703">
        <v>41766</v>
      </c>
      <c r="B31" s="704">
        <f ca="1">VLOOKUP(A31,'Used GB Charts'!A:AH,2,FALSE)+VLOOKUP(A31,'Used GB Charts'!A:AH,30,FALSE)</f>
        <v>101.45986328124999</v>
      </c>
      <c r="C31" s="704">
        <f ca="1">VLOOKUP(A31,'Used GB Charts'!A:AH,3,FALSE)+VLOOKUP(A31,'Used GB Charts'!A:AH,32,FALSE)</f>
        <v>82.121972656249994</v>
      </c>
      <c r="D31" s="704">
        <f ca="1">VLOOKUP(A31,'Used GB Charts'!A:AH,4,FALSE)+VLOOKUP(A31,'Used GB Charts'!A:AH,6,FALSE)+VLOOKUP(A31,'Used GB Charts'!A:AH,8,FALSE)+VLOOKUP(A31,'Used GB Charts'!A:AH,9,FALSE)+VLOOKUP(A31,'Used GB Charts'!A:AH,10,FALSE)+VLOOKUP(A31,'Used GB Charts'!A:AH,22,FALSE)+VLOOKUP(A31,'Used GB Charts'!A:AH,23,FALSE)+VLOOKUP(A31,'Used GB Charts'!A:AH,25,FALSE)+VLOOKUP(A31,'Used GB Charts'!A:AH,31,FALSE)</f>
        <v>437.73916015624991</v>
      </c>
      <c r="E31" s="704">
        <f ca="1">VLOOKUP(A31,'Used GB Charts'!A:AH,5,FALSE)+VLOOKUP(A31,'Used GB Charts'!A:AH,7,FALSE)+VLOOKUP(A31,'Used GB Charts'!A:AH,11,FALSE)+VLOOKUP(A31,'Used GB Charts'!A:AH,29,FALSE)+VLOOKUP(A31,'Used GB Charts'!A:AH,33,FALSE)+VLOOKUP(A31,'Used GB Charts'!A:AH,34,FALSE)</f>
        <v>404.03437499999995</v>
      </c>
      <c r="F31" s="704">
        <f ca="1">VLOOKUP(A31,'Used GB Charts'!A:AB,12,FALSE)+VLOOKUP(A31,'Used GB Charts'!A:AB,13,FALSE)+VLOOKUP(A31,'Used GB Charts'!A:AB,18,FALSE)+VLOOKUP(A31,'Used GB Charts'!A:AB,27,FALSE)+VLOOKUP(A31,'Used GB Charts'!A:AB,28,FALSE)</f>
        <v>505.79521484375005</v>
      </c>
      <c r="G31" s="704">
        <f ca="1">VLOOKUP(A31,'Used GB Charts'!A:AB,14,FALSE)+VLOOKUP(A31,'Used GB Charts'!A:AB,15,FALSE)+VLOOKUP(A31,'Used GB Charts'!A:AB,16,FALSE)++VLOOKUP(A31,'Used GB Charts'!A:AB,17,FALSE)+VLOOKUP(A31,'Used GB Charts'!A:AB,21,FALSE)+VLOOKUP(A31,'Used GB Charts'!A:AB,24,FALSE)+VLOOKUP(A31,'Used GB Charts'!A:AB,26,FALSE)</f>
        <v>462.35693359375011</v>
      </c>
      <c r="H31" s="704">
        <f ca="1">VLOOKUP(A31,'Used GB Charts'!A:AB,19,FALSE)+VLOOKUP(A31,'Used GB Charts'!A:AB,20,FALSE)</f>
        <v>9.2347656249999996</v>
      </c>
      <c r="I31" s="704">
        <f t="shared" ref="I31" ca="1" si="31">SUM(B31:H31)</f>
        <v>2002.7422851562501</v>
      </c>
      <c r="J31" s="987">
        <f t="shared" ca="1" si="18"/>
        <v>34.613476562500409</v>
      </c>
      <c r="K31" s="987">
        <f t="shared" ca="1" si="19"/>
        <v>57.299667968750008</v>
      </c>
    </row>
    <row r="32" spans="1:11" s="743" customFormat="1" x14ac:dyDescent="0.25">
      <c r="A32" s="703">
        <v>41752</v>
      </c>
      <c r="B32" s="704">
        <f ca="1">VLOOKUP(A32,'Used GB Charts'!A:AH,2,FALSE)+VLOOKUP(A32,'Used GB Charts'!A:AH,30,FALSE)</f>
        <v>102.39833984374999</v>
      </c>
      <c r="C32" s="704">
        <f ca="1">VLOOKUP(A32,'Used GB Charts'!A:AH,3,FALSE)+VLOOKUP(A32,'Used GB Charts'!A:AH,32,FALSE)</f>
        <v>81.948046875000003</v>
      </c>
      <c r="D32" s="704">
        <f ca="1">VLOOKUP(A32,'Used GB Charts'!A:AH,4,FALSE)+VLOOKUP(A32,'Used GB Charts'!A:AH,6,FALSE)+VLOOKUP(A32,'Used GB Charts'!A:AH,8,FALSE)+VLOOKUP(A32,'Used GB Charts'!A:AH,9,FALSE)+VLOOKUP(A32,'Used GB Charts'!A:AH,10,FALSE)+VLOOKUP(A32,'Used GB Charts'!A:AH,22,FALSE)+VLOOKUP(A32,'Used GB Charts'!A:AH,23,FALSE)+VLOOKUP(A32,'Used GB Charts'!A:AH,25,FALSE)+VLOOKUP(A32,'Used GB Charts'!A:AH,31,FALSE)</f>
        <v>429.41650390625</v>
      </c>
      <c r="E32" s="704">
        <f ca="1">VLOOKUP(A32,'Used GB Charts'!A:AH,5,FALSE)+VLOOKUP(A32,'Used GB Charts'!A:AH,7,FALSE)+VLOOKUP(A32,'Used GB Charts'!A:AH,11,FALSE)+VLOOKUP(A32,'Used GB Charts'!A:AH,29,FALSE)+VLOOKUP(A32,'Used GB Charts'!A:AH,33,FALSE)+VLOOKUP(A32,'Used GB Charts'!A:AH,34,FALSE)</f>
        <v>395.46259765625001</v>
      </c>
      <c r="F32" s="704">
        <f ca="1">VLOOKUP(A32,'Used GB Charts'!A:AB,12,FALSE)+VLOOKUP(A32,'Used GB Charts'!A:AB,13,FALSE)+VLOOKUP(A32,'Used GB Charts'!A:AB,18,FALSE)+VLOOKUP(A32,'Used GB Charts'!A:AB,27,FALSE)+VLOOKUP(A32,'Used GB Charts'!A:AB,28,FALSE)</f>
        <v>498.95576171875001</v>
      </c>
      <c r="G32" s="704">
        <f ca="1">VLOOKUP(A32,'Used GB Charts'!A:AB,14,FALSE)+VLOOKUP(A32,'Used GB Charts'!A:AB,15,FALSE)+VLOOKUP(A32,'Used GB Charts'!A:AB,16,FALSE)++VLOOKUP(A32,'Used GB Charts'!A:AB,17,FALSE)+VLOOKUP(A32,'Used GB Charts'!A:AB,21,FALSE)+VLOOKUP(A32,'Used GB Charts'!A:AB,24,FALSE)+VLOOKUP(A32,'Used GB Charts'!A:AB,26,FALSE)</f>
        <v>450.71279296874997</v>
      </c>
      <c r="H32" s="704">
        <f ca="1">VLOOKUP(A32,'Used GB Charts'!A:AB,19,FALSE)+VLOOKUP(A32,'Used GB Charts'!A:AB,20,FALSE)</f>
        <v>9.2347656249999996</v>
      </c>
      <c r="I32" s="704">
        <f t="shared" ref="I32" ca="1" si="32">SUM(B32:H32)</f>
        <v>1968.1288085937497</v>
      </c>
      <c r="J32" s="987">
        <f t="shared" ca="1" si="18"/>
        <v>18.552441406249727</v>
      </c>
      <c r="K32" s="987">
        <f t="shared" ca="1" si="19"/>
        <v>54.46556640624997</v>
      </c>
    </row>
    <row r="33" spans="1:11" s="743" customFormat="1" x14ac:dyDescent="0.25">
      <c r="A33" s="703">
        <v>41745</v>
      </c>
      <c r="B33" s="704">
        <f ca="1">VLOOKUP(A33,'Used GB Charts'!A:AH,2,FALSE)+VLOOKUP(A33,'Used GB Charts'!A:AH,30,FALSE)</f>
        <v>103.059765625</v>
      </c>
      <c r="C33" s="704">
        <f ca="1">VLOOKUP(A33,'Used GB Charts'!A:AH,3,FALSE)+VLOOKUP(A33,'Used GB Charts'!A:AH,32,FALSE)</f>
        <v>81.91845703125</v>
      </c>
      <c r="D33" s="704">
        <f ca="1">VLOOKUP(A33,'Used GB Charts'!A:AH,4,FALSE)+VLOOKUP(A33,'Used GB Charts'!A:AH,6,FALSE)+VLOOKUP(A33,'Used GB Charts'!A:AH,8,FALSE)+VLOOKUP(A33,'Used GB Charts'!A:AH,9,FALSE)+VLOOKUP(A33,'Used GB Charts'!A:AH,10,FALSE)+VLOOKUP(A33,'Used GB Charts'!A:AH,22,FALSE)+VLOOKUP(A33,'Used GB Charts'!A:AH,23,FALSE)+VLOOKUP(A33,'Used GB Charts'!A:AH,25,FALSE)+VLOOKUP(A33,'Used GB Charts'!A:AH,31,FALSE)</f>
        <v>424.75917968749997</v>
      </c>
      <c r="E33" s="704">
        <f ca="1">VLOOKUP(A33,'Used GB Charts'!A:AH,5,FALSE)+VLOOKUP(A33,'Used GB Charts'!A:AH,7,FALSE)+VLOOKUP(A33,'Used GB Charts'!A:AH,11,FALSE)+VLOOKUP(A33,'Used GB Charts'!A:AH,29,FALSE)+VLOOKUP(A33,'Used GB Charts'!A:AH,33,FALSE)+VLOOKUP(A33,'Used GB Charts'!A:AH,34,FALSE)</f>
        <v>391.58564453125001</v>
      </c>
      <c r="F33" s="704">
        <f ca="1">VLOOKUP(A33,'Used GB Charts'!A:AB,12,FALSE)+VLOOKUP(A33,'Used GB Charts'!A:AB,13,FALSE)+VLOOKUP(A33,'Used GB Charts'!A:AB,18,FALSE)+VLOOKUP(A33,'Used GB Charts'!A:AB,27,FALSE)+VLOOKUP(A33,'Used GB Charts'!A:AB,28,FALSE)</f>
        <v>496.0087890625</v>
      </c>
      <c r="G33" s="704">
        <f ca="1">VLOOKUP(A33,'Used GB Charts'!A:AB,14,FALSE)+VLOOKUP(A33,'Used GB Charts'!A:AB,15,FALSE)+VLOOKUP(A33,'Used GB Charts'!A:AB,16,FALSE)++VLOOKUP(A33,'Used GB Charts'!A:AB,17,FALSE)+VLOOKUP(A33,'Used GB Charts'!A:AB,21,FALSE)+VLOOKUP(A33,'Used GB Charts'!A:AB,24,FALSE)+VLOOKUP(A33,'Used GB Charts'!A:AB,26,FALSE)</f>
        <v>443.00976562500006</v>
      </c>
      <c r="H33" s="704">
        <f ca="1">VLOOKUP(A33,'Used GB Charts'!A:AB,19,FALSE)+VLOOKUP(A33,'Used GB Charts'!A:AB,20,FALSE)</f>
        <v>9.2347656249999996</v>
      </c>
      <c r="I33" s="704">
        <f t="shared" ref="I33" ca="1" si="33">SUM(B33:H33)</f>
        <v>1949.5763671875</v>
      </c>
      <c r="J33" s="987">
        <f t="shared" ca="1" si="18"/>
        <v>15.323144531249909</v>
      </c>
      <c r="K33" s="987">
        <f t="shared" ca="1" si="19"/>
        <v>54.549257812499988</v>
      </c>
    </row>
    <row r="34" spans="1:11" s="743" customFormat="1" x14ac:dyDescent="0.25">
      <c r="A34" s="703">
        <v>41739</v>
      </c>
      <c r="B34" s="704">
        <f ca="1">VLOOKUP(A34,'Used GB Charts'!A:AH,2,FALSE)+VLOOKUP(A34,'Used GB Charts'!A:AH,30,FALSE)</f>
        <v>102.97402343749999</v>
      </c>
      <c r="C34" s="704">
        <f ca="1">VLOOKUP(A34,'Used GB Charts'!A:AH,3,FALSE)+VLOOKUP(A34,'Used GB Charts'!A:AH,32,FALSE)</f>
        <v>81.835742187500003</v>
      </c>
      <c r="D34" s="704">
        <f ca="1">VLOOKUP(A34,'Used GB Charts'!A:AH,4,FALSE)+VLOOKUP(A34,'Used GB Charts'!A:AH,6,FALSE)+VLOOKUP(A34,'Used GB Charts'!A:AH,8,FALSE)+VLOOKUP(A34,'Used GB Charts'!A:AH,9,FALSE)+VLOOKUP(A34,'Used GB Charts'!A:AH,10,FALSE)+VLOOKUP(A34,'Used GB Charts'!A:AH,22,FALSE)+VLOOKUP(A34,'Used GB Charts'!A:AH,23,FALSE)+VLOOKUP(A34,'Used GB Charts'!A:AH,25,FALSE)+VLOOKUP(A34,'Used GB Charts'!A:AH,31,FALSE)</f>
        <v>425.74492187500005</v>
      </c>
      <c r="E34" s="704">
        <f ca="1">VLOOKUP(A34,'Used GB Charts'!A:AH,5,FALSE)+VLOOKUP(A34,'Used GB Charts'!A:AH,7,FALSE)+VLOOKUP(A34,'Used GB Charts'!A:AH,11,FALSE)+VLOOKUP(A34,'Used GB Charts'!A:AH,29,FALSE)+VLOOKUP(A34,'Used GB Charts'!A:AH,33,FALSE)+VLOOKUP(A34,'Used GB Charts'!A:AH,34,FALSE)</f>
        <v>383.015625</v>
      </c>
      <c r="F34" s="704">
        <f ca="1">VLOOKUP(A34,'Used GB Charts'!A:AB,12,FALSE)+VLOOKUP(A34,'Used GB Charts'!A:AB,13,FALSE)+VLOOKUP(A34,'Used GB Charts'!A:AB,18,FALSE)+VLOOKUP(A34,'Used GB Charts'!A:AB,27,FALSE)+VLOOKUP(A34,'Used GB Charts'!A:AB,28,FALSE)</f>
        <v>491.60625000000005</v>
      </c>
      <c r="G34" s="704">
        <f ca="1">VLOOKUP(A34,'Used GB Charts'!A:AB,14,FALSE)+VLOOKUP(A34,'Used GB Charts'!A:AB,15,FALSE)+VLOOKUP(A34,'Used GB Charts'!A:AB,16,FALSE)++VLOOKUP(A34,'Used GB Charts'!A:AB,17,FALSE)+VLOOKUP(A34,'Used GB Charts'!A:AB,21,FALSE)+VLOOKUP(A34,'Used GB Charts'!A:AB,24,FALSE)+VLOOKUP(A34,'Used GB Charts'!A:AB,26,FALSE)</f>
        <v>441.92871093750006</v>
      </c>
      <c r="H34" s="704">
        <f ca="1">VLOOKUP(A34,'Used GB Charts'!A:AB,19,FALSE)+VLOOKUP(A34,'Used GB Charts'!A:AB,20,FALSE)</f>
        <v>7.14794921875</v>
      </c>
      <c r="I34" s="704">
        <f t="shared" ref="I34" ca="1" si="34">SUM(B34:H34)</f>
        <v>1934.25322265625</v>
      </c>
      <c r="J34" s="987">
        <f t="shared" ca="1" si="18"/>
        <v>27.029296875</v>
      </c>
      <c r="K34" s="987">
        <f t="shared" ca="1" si="19"/>
        <v>57.784824218750011</v>
      </c>
    </row>
    <row r="35" spans="1:11" s="743" customFormat="1" x14ac:dyDescent="0.25">
      <c r="A35" s="703">
        <v>41732</v>
      </c>
      <c r="B35" s="704">
        <f ca="1">VLOOKUP(A35,'Used GB Charts'!A:AH,2,FALSE)+VLOOKUP(A35,'Used GB Charts'!A:AH,30,FALSE)</f>
        <v>102.10400390625</v>
      </c>
      <c r="C35" s="704">
        <f ca="1">VLOOKUP(A35,'Used GB Charts'!A:AH,3,FALSE)+VLOOKUP(A35,'Used GB Charts'!A:AH,32,FALSE)</f>
        <v>81.38916015625</v>
      </c>
      <c r="D35" s="704">
        <f ca="1">VLOOKUP(A35,'Used GB Charts'!A:AH,4,FALSE)+VLOOKUP(A35,'Used GB Charts'!A:AH,6,FALSE)+VLOOKUP(A35,'Used GB Charts'!A:AH,8,FALSE)+VLOOKUP(A35,'Used GB Charts'!A:AH,9,FALSE)+VLOOKUP(A35,'Used GB Charts'!A:AH,10,FALSE)+VLOOKUP(A35,'Used GB Charts'!A:AH,22,FALSE)+VLOOKUP(A35,'Used GB Charts'!A:AH,23,FALSE)+VLOOKUP(A35,'Used GB Charts'!A:AH,25,FALSE)+VLOOKUP(A35,'Used GB Charts'!A:AH,31,FALSE)</f>
        <v>423.23554687500001</v>
      </c>
      <c r="E35" s="704">
        <f ca="1">VLOOKUP(A35,'Used GB Charts'!A:AH,5,FALSE)+VLOOKUP(A35,'Used GB Charts'!A:AH,7,FALSE)+VLOOKUP(A35,'Used GB Charts'!A:AH,11,FALSE)+VLOOKUP(A35,'Used GB Charts'!A:AH,29,FALSE)+VLOOKUP(A35,'Used GB Charts'!A:AH,33,FALSE)+VLOOKUP(A35,'Used GB Charts'!A:AH,34,FALSE)</f>
        <v>379.21249999999998</v>
      </c>
      <c r="F35" s="704">
        <f ca="1">VLOOKUP(A35,'Used GB Charts'!A:AB,12,FALSE)+VLOOKUP(A35,'Used GB Charts'!A:AB,13,FALSE)+VLOOKUP(A35,'Used GB Charts'!A:AB,18,FALSE)+VLOOKUP(A35,'Used GB Charts'!A:AB,27,FALSE)+VLOOKUP(A35,'Used GB Charts'!A:AB,28,FALSE)</f>
        <v>475.96191406250006</v>
      </c>
      <c r="G35" s="704">
        <f ca="1">VLOOKUP(A35,'Used GB Charts'!A:AB,14,FALSE)+VLOOKUP(A35,'Used GB Charts'!A:AB,15,FALSE)+VLOOKUP(A35,'Used GB Charts'!A:AB,16,FALSE)++VLOOKUP(A35,'Used GB Charts'!A:AB,17,FALSE)+VLOOKUP(A35,'Used GB Charts'!A:AB,21,FALSE)+VLOOKUP(A35,'Used GB Charts'!A:AB,24,FALSE)+VLOOKUP(A35,'Used GB Charts'!A:AB,26,FALSE)</f>
        <v>438.1728515625</v>
      </c>
      <c r="H35" s="704">
        <f ca="1">VLOOKUP(A35,'Used GB Charts'!A:AB,19,FALSE)+VLOOKUP(A35,'Used GB Charts'!A:AB,20,FALSE)</f>
        <v>7.14794921875</v>
      </c>
      <c r="I35" s="704">
        <f t="shared" ref="I35" ca="1" si="35">SUM(B35:H35)</f>
        <v>1907.22392578125</v>
      </c>
      <c r="J35" s="987">
        <f t="shared" ca="1" si="18"/>
        <v>14.273046875000091</v>
      </c>
      <c r="K35" s="987">
        <f t="shared" ca="1" si="19"/>
        <v>54.657675781250006</v>
      </c>
    </row>
    <row r="36" spans="1:11" s="743" customFormat="1" x14ac:dyDescent="0.25">
      <c r="A36" s="703">
        <v>41725</v>
      </c>
      <c r="B36" s="704">
        <f ca="1">VLOOKUP(A36,'Used GB Charts'!A:AH,2,FALSE)+VLOOKUP(A36,'Used GB Charts'!A:AH,30,FALSE)</f>
        <v>101.59218749999999</v>
      </c>
      <c r="C36" s="704">
        <f ca="1">VLOOKUP(A36,'Used GB Charts'!A:AH,3,FALSE)+VLOOKUP(A36,'Used GB Charts'!A:AH,32,FALSE)</f>
        <v>81.294042968750006</v>
      </c>
      <c r="D36" s="704">
        <f ca="1">VLOOKUP(A36,'Used GB Charts'!A:AH,4,FALSE)+VLOOKUP(A36,'Used GB Charts'!A:AH,6,FALSE)+VLOOKUP(A36,'Used GB Charts'!A:AH,8,FALSE)+VLOOKUP(A36,'Used GB Charts'!A:AH,9,FALSE)+VLOOKUP(A36,'Used GB Charts'!A:AH,10,FALSE)+VLOOKUP(A36,'Used GB Charts'!A:AH,22,FALSE)+VLOOKUP(A36,'Used GB Charts'!A:AH,23,FALSE)+VLOOKUP(A36,'Used GB Charts'!A:AH,25,FALSE)+VLOOKUP(A36,'Used GB Charts'!A:AH,31,FALSE)</f>
        <v>419.50839843749998</v>
      </c>
      <c r="E36" s="704">
        <f ca="1">VLOOKUP(A36,'Used GB Charts'!A:AH,5,FALSE)+VLOOKUP(A36,'Used GB Charts'!A:AH,7,FALSE)+VLOOKUP(A36,'Used GB Charts'!A:AH,11,FALSE)+VLOOKUP(A36,'Used GB Charts'!A:AH,29,FALSE)+VLOOKUP(A36,'Used GB Charts'!A:AH,33,FALSE)+VLOOKUP(A36,'Used GB Charts'!A:AH,34,FALSE)</f>
        <v>378.03154296875005</v>
      </c>
      <c r="F36" s="704">
        <f ca="1">VLOOKUP(A36,'Used GB Charts'!A:AB,12,FALSE)+VLOOKUP(A36,'Used GB Charts'!A:AB,13,FALSE)+VLOOKUP(A36,'Used GB Charts'!A:AB,18,FALSE)+VLOOKUP(A36,'Used GB Charts'!A:AB,27,FALSE)+VLOOKUP(A36,'Used GB Charts'!A:AB,28,FALSE)</f>
        <v>470.43417968750003</v>
      </c>
      <c r="G36" s="704">
        <f ca="1">VLOOKUP(A36,'Used GB Charts'!A:AB,14,FALSE)+VLOOKUP(A36,'Used GB Charts'!A:AB,15,FALSE)+VLOOKUP(A36,'Used GB Charts'!A:AB,16,FALSE)++VLOOKUP(A36,'Used GB Charts'!A:AB,17,FALSE)+VLOOKUP(A36,'Used GB Charts'!A:AB,21,FALSE)+VLOOKUP(A36,'Used GB Charts'!A:AB,24,FALSE)+VLOOKUP(A36,'Used GB Charts'!A:AB,26,FALSE)</f>
        <v>434.94257812500001</v>
      </c>
      <c r="H36" s="704">
        <f ca="1">VLOOKUP(A36,'Used GB Charts'!A:AB,19,FALSE)+VLOOKUP(A36,'Used GB Charts'!A:AB,20,FALSE)</f>
        <v>7.14794921875</v>
      </c>
      <c r="I36" s="704">
        <f t="shared" ref="I36" ca="1" si="36">SUM(B36:H36)</f>
        <v>1892.95087890625</v>
      </c>
      <c r="J36" s="987">
        <f t="shared" ca="1" si="18"/>
        <v>55.838281250000136</v>
      </c>
      <c r="K36" s="987">
        <f t="shared" ca="1" si="19"/>
        <v>48.523505859375021</v>
      </c>
    </row>
    <row r="37" spans="1:11" s="743" customFormat="1" x14ac:dyDescent="0.25">
      <c r="A37" s="703">
        <v>41709</v>
      </c>
      <c r="B37" s="704">
        <f ca="1">VLOOKUP(A37,'Used GB Charts'!A:AH,2,FALSE)+VLOOKUP(A37,'Used GB Charts'!A:AH,30,FALSE)</f>
        <v>98.920605468749997</v>
      </c>
      <c r="C37" s="704">
        <f ca="1">VLOOKUP(A37,'Used GB Charts'!A:AH,3,FALSE)+VLOOKUP(A37,'Used GB Charts'!A:AH,32,FALSE)</f>
        <v>81.162011718749994</v>
      </c>
      <c r="D37" s="704">
        <f ca="1">VLOOKUP(A37,'Used GB Charts'!A:AH,4,FALSE)+VLOOKUP(A37,'Used GB Charts'!A:AH,6,FALSE)+VLOOKUP(A37,'Used GB Charts'!A:AH,8,FALSE)+VLOOKUP(A37,'Used GB Charts'!A:AH,9,FALSE)+VLOOKUP(A37,'Used GB Charts'!A:AH,10,FALSE)+VLOOKUP(A37,'Used GB Charts'!A:AH,22,FALSE)+VLOOKUP(A37,'Used GB Charts'!A:AH,23,FALSE)+VLOOKUP(A37,'Used GB Charts'!A:AH,25,FALSE)+VLOOKUP(A37,'Used GB Charts'!A:AH,31,FALSE)</f>
        <v>400.84814453125</v>
      </c>
      <c r="E37" s="704">
        <f ca="1">VLOOKUP(A37,'Used GB Charts'!A:AH,5,FALSE)+VLOOKUP(A37,'Used GB Charts'!A:AH,7,FALSE)+VLOOKUP(A37,'Used GB Charts'!A:AH,11,FALSE)+VLOOKUP(A37,'Used GB Charts'!A:AH,29,FALSE)+VLOOKUP(A37,'Used GB Charts'!A:AH,33,FALSE)+VLOOKUP(A37,'Used GB Charts'!A:AH,34,FALSE)</f>
        <v>367.13984374999995</v>
      </c>
      <c r="F37" s="704">
        <f ca="1">VLOOKUP(A37,'Used GB Charts'!A:AB,12,FALSE)+VLOOKUP(A37,'Used GB Charts'!A:AB,13,FALSE)+VLOOKUP(A37,'Used GB Charts'!A:AB,18,FALSE)+VLOOKUP(A37,'Used GB Charts'!A:AB,27,FALSE)+VLOOKUP(A37,'Used GB Charts'!A:AB,28,FALSE)</f>
        <v>462.91904296874998</v>
      </c>
      <c r="G37" s="704">
        <f ca="1">VLOOKUP(A37,'Used GB Charts'!A:AB,14,FALSE)+VLOOKUP(A37,'Used GB Charts'!A:AB,15,FALSE)+VLOOKUP(A37,'Used GB Charts'!A:AB,16,FALSE)++VLOOKUP(A37,'Used GB Charts'!A:AB,17,FALSE)+VLOOKUP(A37,'Used GB Charts'!A:AB,21,FALSE)+VLOOKUP(A37,'Used GB Charts'!A:AB,24,FALSE)+VLOOKUP(A37,'Used GB Charts'!A:AB,26,FALSE)</f>
        <v>418.97500000000002</v>
      </c>
      <c r="H37" s="704">
        <f ca="1">VLOOKUP(A37,'Used GB Charts'!A:AB,19,FALSE)+VLOOKUP(A37,'Used GB Charts'!A:AB,20,FALSE)</f>
        <v>7.14794921875</v>
      </c>
      <c r="I37" s="704">
        <f t="shared" ref="I37" ca="1" si="37">SUM(B37:H37)</f>
        <v>1837.1125976562498</v>
      </c>
      <c r="J37" s="987">
        <f t="shared" ca="1" si="18"/>
        <v>-8.8383789062502274</v>
      </c>
      <c r="K37" s="987">
        <f t="shared" ca="1" si="19"/>
        <v>44.565429687499957</v>
      </c>
    </row>
    <row r="38" spans="1:11" x14ac:dyDescent="0.25">
      <c r="A38" s="703">
        <v>41704</v>
      </c>
      <c r="B38" s="704">
        <f ca="1">VLOOKUP(A38,'Used GB Charts'!A:AH,2,FALSE)+VLOOKUP(A38,'Used GB Charts'!A:AH,30,FALSE)</f>
        <v>98.359667968750003</v>
      </c>
      <c r="C38" s="704">
        <f ca="1">VLOOKUP(A38,'Used GB Charts'!A:AH,3,FALSE)+VLOOKUP(A38,'Used GB Charts'!A:AH,32,FALSE)</f>
        <v>80.8115234375</v>
      </c>
      <c r="D38" s="704">
        <f ca="1">VLOOKUP(A38,'Used GB Charts'!A:AH,4,FALSE)+VLOOKUP(A38,'Used GB Charts'!A:AH,6,FALSE)+VLOOKUP(A38,'Used GB Charts'!A:AH,8,FALSE)+VLOOKUP(A38,'Used GB Charts'!A:AH,9,FALSE)+VLOOKUP(A38,'Used GB Charts'!A:AH,10,FALSE)+VLOOKUP(A38,'Used GB Charts'!A:AH,22,FALSE)+VLOOKUP(A38,'Used GB Charts'!A:AH,23,FALSE)+VLOOKUP(A38,'Used GB Charts'!A:AH,25,FALSE)+VLOOKUP(A38,'Used GB Charts'!A:AH,31,FALSE)</f>
        <v>398.84550781249999</v>
      </c>
      <c r="E38" s="704">
        <f ca="1">VLOOKUP(A38,'Used GB Charts'!A:AH,5,FALSE)+VLOOKUP(A38,'Used GB Charts'!A:AH,7,FALSE)+VLOOKUP(A38,'Used GB Charts'!A:AH,11,FALSE)+VLOOKUP(A38,'Used GB Charts'!A:AH,29,FALSE)+VLOOKUP(A38,'Used GB Charts'!A:AH,33,FALSE)+VLOOKUP(A38,'Used GB Charts'!A:AH,34,FALSE)</f>
        <v>374.67109375000001</v>
      </c>
      <c r="F38" s="704">
        <f ca="1">VLOOKUP(A38,'Used GB Charts'!A:AB,12,FALSE)+VLOOKUP(A38,'Used GB Charts'!A:AB,13,FALSE)+VLOOKUP(A38,'Used GB Charts'!A:AB,18,FALSE)</f>
        <v>469.97685546874999</v>
      </c>
      <c r="G38" s="704">
        <f ca="1">VLOOKUP(A38,'Used GB Charts'!A:AB,14,FALSE)+VLOOKUP(A38,'Used GB Charts'!A:AB,15,FALSE)+VLOOKUP(A38,'Used GB Charts'!A:AB,16,FALSE)++VLOOKUP(A38,'Used GB Charts'!A:AB,17,FALSE)+VLOOKUP(A38,'Used GB Charts'!A:AB,21,FALSE)</f>
        <v>416.13837890625001</v>
      </c>
      <c r="H38" s="704">
        <f ca="1">VLOOKUP(A38,'Used GB Charts'!A:AB,19,FALSE)+VLOOKUP(A38,'Used GB Charts'!A:AB,20,FALSE)</f>
        <v>7.14794921875</v>
      </c>
      <c r="I38" s="704">
        <f t="shared" ref="I38" ca="1" si="38">SUM(B38:H38)</f>
        <v>1845.9509765625</v>
      </c>
      <c r="J38" s="987">
        <f t="shared" ca="1" si="18"/>
        <v>5.68505859375</v>
      </c>
      <c r="K38" s="987">
        <f t="shared" ca="1" si="19"/>
        <v>46.875937499999985</v>
      </c>
    </row>
    <row r="39" spans="1:11" x14ac:dyDescent="0.25">
      <c r="A39" s="703">
        <v>41703</v>
      </c>
      <c r="B39" s="704">
        <f ca="1">VLOOKUP(A39,'Used GB Charts'!A:AH,2,FALSE)+VLOOKUP(A39,'Used GB Charts'!A:AH,30,FALSE)</f>
        <v>98.325976562500003</v>
      </c>
      <c r="C39" s="704">
        <f ca="1">VLOOKUP(A39,'Used GB Charts'!A:AH,3,FALSE)+VLOOKUP(A39,'Used GB Charts'!A:AH,32,FALSE)</f>
        <v>80.810351562500003</v>
      </c>
      <c r="D39" s="704">
        <f ca="1">VLOOKUP(A39,'Used GB Charts'!A:AH,4,FALSE)+VLOOKUP(A39,'Used GB Charts'!A:AH,6,FALSE)+VLOOKUP(A39,'Used GB Charts'!A:AH,8,FALSE)+VLOOKUP(A39,'Used GB Charts'!A:AH,9,FALSE)+VLOOKUP(A39,'Used GB Charts'!A:AH,10,FALSE)+VLOOKUP(A39,'Used GB Charts'!A:AH,22,FALSE)+VLOOKUP(A39,'Used GB Charts'!A:AH,23,FALSE)+VLOOKUP(A39,'Used GB Charts'!A:AH,25,FALSE)+VLOOKUP(A39,'Used GB Charts'!A:AH,31,FALSE)</f>
        <v>398.41142578124999</v>
      </c>
      <c r="E39" s="704">
        <f ca="1">VLOOKUP(A39,'Used GB Charts'!A:AH,5,FALSE)+VLOOKUP(A39,'Used GB Charts'!A:AH,7,FALSE)+VLOOKUP(A39,'Used GB Charts'!A:AH,11,FALSE)+VLOOKUP(A39,'Used GB Charts'!A:AH,29,FALSE)+VLOOKUP(A39,'Used GB Charts'!A:AH,33,FALSE)+VLOOKUP(A39,'Used GB Charts'!A:AH,34,FALSE)</f>
        <v>373.67910156249997</v>
      </c>
      <c r="F39" s="704">
        <f ca="1">VLOOKUP(A39,'Used GB Charts'!A:AB,12,FALSE)+VLOOKUP(A39,'Used GB Charts'!A:AB,13,FALSE)+VLOOKUP(A39,'Used GB Charts'!A:AB,18,FALSE)</f>
        <v>466.25361328125001</v>
      </c>
      <c r="G39" s="704">
        <f ca="1">VLOOKUP(A39,'Used GB Charts'!A:AB,14,FALSE)+VLOOKUP(A39,'Used GB Charts'!A:AB,15,FALSE)+VLOOKUP(A39,'Used GB Charts'!A:AB,16,FALSE)++VLOOKUP(A39,'Used GB Charts'!A:AB,17,FALSE)+VLOOKUP(A39,'Used GB Charts'!A:AB,21,FALSE)</f>
        <v>415.63749999999999</v>
      </c>
      <c r="H39" s="704">
        <f ca="1">VLOOKUP(A39,'Used GB Charts'!A:AB,19,FALSE)+VLOOKUP(A39,'Used GB Charts'!A:AB,20,FALSE)</f>
        <v>7.14794921875</v>
      </c>
      <c r="I39" s="704">
        <f t="shared" ref="I39" ca="1" si="39">SUM(B39:H39)</f>
        <v>1840.26591796875</v>
      </c>
      <c r="J39" s="987">
        <f t="shared" ca="1" si="18"/>
        <v>-6.0742187500181899E-2</v>
      </c>
      <c r="K39" s="987">
        <f t="shared" ca="1" si="19"/>
        <v>47.695888671875011</v>
      </c>
    </row>
    <row r="40" spans="1:11" x14ac:dyDescent="0.25">
      <c r="A40" s="703">
        <v>41702</v>
      </c>
      <c r="B40" s="704">
        <f ca="1">VLOOKUP(A40,'Used GB Charts'!A:AH,2,FALSE)+VLOOKUP(A40,'Used GB Charts'!A:AH,30,FALSE)</f>
        <v>98.328808593749997</v>
      </c>
      <c r="C40" s="704">
        <f ca="1">VLOOKUP(A40,'Used GB Charts'!A:AH,3,FALSE)+VLOOKUP(A40,'Used GB Charts'!A:AH,32,FALSE)</f>
        <v>80.810351562500003</v>
      </c>
      <c r="D40" s="704">
        <f ca="1">VLOOKUP(A40,'Used GB Charts'!A:AH,4,FALSE)+VLOOKUP(A40,'Used GB Charts'!A:AH,6,FALSE)+VLOOKUP(A40,'Used GB Charts'!A:AH,8,FALSE)+VLOOKUP(A40,'Used GB Charts'!A:AH,9,FALSE)+VLOOKUP(A40,'Used GB Charts'!A:AH,10,FALSE)+VLOOKUP(A40,'Used GB Charts'!A:AH,22,FALSE)+VLOOKUP(A40,'Used GB Charts'!A:AH,23,FALSE)+VLOOKUP(A40,'Used GB Charts'!A:AH,25,FALSE)+VLOOKUP(A40,'Used GB Charts'!A:AH,31,FALSE)</f>
        <v>398.41142578124999</v>
      </c>
      <c r="E40" s="704">
        <f ca="1">VLOOKUP(A40,'Used GB Charts'!A:AH,5,FALSE)+VLOOKUP(A40,'Used GB Charts'!A:AH,7,FALSE)+VLOOKUP(A40,'Used GB Charts'!A:AH,11,FALSE)+VLOOKUP(A40,'Used GB Charts'!A:AH,29,FALSE)+VLOOKUP(A40,'Used GB Charts'!A:AH,33,FALSE)+VLOOKUP(A40,'Used GB Charts'!A:AH,34,FALSE)</f>
        <v>373.70175781249998</v>
      </c>
      <c r="F40" s="704">
        <f ca="1">VLOOKUP(A40,'Used GB Charts'!A:AB,12,FALSE)+VLOOKUP(A40,'Used GB Charts'!A:AB,13,FALSE)+VLOOKUP(A40,'Used GB Charts'!A:AB,18,FALSE)</f>
        <v>466.28886718750005</v>
      </c>
      <c r="G40" s="704">
        <f ca="1">VLOOKUP(A40,'Used GB Charts'!A:AB,14,FALSE)+VLOOKUP(A40,'Used GB Charts'!A:AB,15,FALSE)+VLOOKUP(A40,'Used GB Charts'!A:AB,16,FALSE)++VLOOKUP(A40,'Used GB Charts'!A:AB,17,FALSE)+VLOOKUP(A40,'Used GB Charts'!A:AB,21,FALSE)</f>
        <v>415.63749999999999</v>
      </c>
      <c r="H40" s="704">
        <f ca="1">VLOOKUP(A40,'Used GB Charts'!A:AB,19,FALSE)+VLOOKUP(A40,'Used GB Charts'!A:AB,20,FALSE)</f>
        <v>7.14794921875</v>
      </c>
      <c r="I40" s="704">
        <f t="shared" ca="1" si="0"/>
        <v>1840.3266601562502</v>
      </c>
      <c r="J40" s="987">
        <f t="shared" ca="1" si="18"/>
        <v>388.35136718750005</v>
      </c>
      <c r="K40" s="987">
        <f t="shared" ca="1" si="19"/>
        <v>41.578837890625003</v>
      </c>
    </row>
    <row r="41" spans="1:11" x14ac:dyDescent="0.25">
      <c r="A41" s="703">
        <v>41695</v>
      </c>
      <c r="B41" s="704">
        <f ca="1">VLOOKUP(A41,'Used GB Charts'!A:AH,2,FALSE)+VLOOKUP(A41,'Used GB Charts'!A:AH,30,FALSE)</f>
        <v>51.736035156249997</v>
      </c>
      <c r="C41" s="704">
        <f ca="1">VLOOKUP(A41,'Used GB Charts'!A:AH,3,FALSE)+VLOOKUP(A41,'Used GB Charts'!A:AH,32,FALSE)</f>
        <v>80.800585937500003</v>
      </c>
      <c r="D41" s="704">
        <f ca="1">VLOOKUP(A41,'Used GB Charts'!A:AH,4,FALSE)+VLOOKUP(A41,'Used GB Charts'!A:AH,6,FALSE)+VLOOKUP(A41,'Used GB Charts'!A:AH,8,FALSE)+VLOOKUP(A41,'Used GB Charts'!A:AH,9,FALSE)+VLOOKUP(A41,'Used GB Charts'!A:AH,10,FALSE)+VLOOKUP(A41,'Used GB Charts'!A:AH,22,FALSE)+VLOOKUP(A41,'Used GB Charts'!A:AH,23,FALSE)+VLOOKUP(A41,'Used GB Charts'!A:AH,25,FALSE)+VLOOKUP(A41,'Used GB Charts'!A:AH,31,FALSE)</f>
        <v>389.43662109375003</v>
      </c>
      <c r="E41" s="704">
        <f ca="1">VLOOKUP(A41,'Used GB Charts'!A:AH,5,FALSE)+VLOOKUP(A41,'Used GB Charts'!A:AH,7,FALSE)+VLOOKUP(A41,'Used GB Charts'!A:AH,11,FALSE)+VLOOKUP(A41,'Used GB Charts'!A:AH,29,FALSE)+VLOOKUP(A41,'Used GB Charts'!A:AH,33,FALSE)+VLOOKUP(A41,'Used GB Charts'!A:AH,34,FALSE)</f>
        <v>226.26035156249998</v>
      </c>
      <c r="F41" s="704">
        <f ca="1">VLOOKUP(A41,'Used GB Charts'!A:AB,12,FALSE)+VLOOKUP(A41,'Used GB Charts'!A:AB,13,FALSE)+VLOOKUP(A41,'Used GB Charts'!A:AB,18,FALSE)</f>
        <v>290.70957031249998</v>
      </c>
      <c r="G41" s="704">
        <f ca="1">VLOOKUP(A41,'Used GB Charts'!A:AB,14,FALSE)+VLOOKUP(A41,'Used GB Charts'!A:AB,15,FALSE)+VLOOKUP(A41,'Used GB Charts'!A:AB,16,FALSE)++VLOOKUP(A41,'Used GB Charts'!A:AB,17,FALSE)+VLOOKUP(A41,'Used GB Charts'!A:AB,21,FALSE)</f>
        <v>405.88417968750002</v>
      </c>
      <c r="H41" s="704">
        <f ca="1">VLOOKUP(A41,'Used GB Charts'!A:AB,19,FALSE)+VLOOKUP(A41,'Used GB Charts'!A:AB,20,FALSE)</f>
        <v>7.14794921875</v>
      </c>
      <c r="I41" s="704">
        <f t="shared" ca="1" si="0"/>
        <v>1451.9752929687502</v>
      </c>
      <c r="J41" s="987">
        <f t="shared" ca="1" si="18"/>
        <v>22.229687500000182</v>
      </c>
      <c r="K41" s="987">
        <f t="shared" ca="1" si="19"/>
        <v>7.5818066406250182</v>
      </c>
    </row>
    <row r="42" spans="1:11" x14ac:dyDescent="0.25">
      <c r="A42" s="703">
        <v>41690</v>
      </c>
      <c r="B42" s="704">
        <f ca="1">VLOOKUP(A42,'Used GB Charts'!A:AH,2,FALSE)+VLOOKUP(A42,'Used GB Charts'!A:AH,30,FALSE)</f>
        <v>51.684863281250003</v>
      </c>
      <c r="C42" s="704">
        <f ca="1">VLOOKUP(A42,'Used GB Charts'!A:AH,3,FALSE)+VLOOKUP(A42,'Used GB Charts'!A:AH,32,FALSE)</f>
        <v>80.777929687500006</v>
      </c>
      <c r="D42" s="704">
        <f ca="1">VLOOKUP(A42,'Used GB Charts'!A:AH,4,FALSE)+VLOOKUP(A42,'Used GB Charts'!A:AH,6,FALSE)+VLOOKUP(A42,'Used GB Charts'!A:AH,8,FALSE)+VLOOKUP(A42,'Used GB Charts'!A:AH,9,FALSE)+VLOOKUP(A42,'Used GB Charts'!A:AH,10,FALSE)+VLOOKUP(A42,'Used GB Charts'!A:AH,22,FALSE)+VLOOKUP(A42,'Used GB Charts'!A:AH,23,FALSE)+VLOOKUP(A42,'Used GB Charts'!A:AH,25,FALSE)+VLOOKUP(A42,'Used GB Charts'!A:AH,31,FALSE)</f>
        <v>384.24238281250001</v>
      </c>
      <c r="E42" s="704">
        <f ca="1">VLOOKUP(A42,'Used GB Charts'!A:AH,5,FALSE)+VLOOKUP(A42,'Used GB Charts'!A:AH,7,FALSE)+VLOOKUP(A42,'Used GB Charts'!A:AH,11,FALSE)+VLOOKUP(A42,'Used GB Charts'!A:AH,29,FALSE)+VLOOKUP(A42,'Used GB Charts'!A:AH,33,FALSE)+VLOOKUP(A42,'Used GB Charts'!A:AH,34,FALSE)</f>
        <v>222.46953125000002</v>
      </c>
      <c r="F42" s="704">
        <f ca="1">VLOOKUP(A42,'Used GB Charts'!A:AB,12,FALSE)+VLOOKUP(A42,'Used GB Charts'!A:AB,13,FALSE)+VLOOKUP(A42,'Used GB Charts'!A:AB,18,FALSE)</f>
        <v>282.88818359375</v>
      </c>
      <c r="G42" s="704">
        <f ca="1">VLOOKUP(A42,'Used GB Charts'!A:AB,14,FALSE)+VLOOKUP(A42,'Used GB Charts'!A:AB,15,FALSE)+VLOOKUP(A42,'Used GB Charts'!A:AB,16,FALSE)++VLOOKUP(A42,'Used GB Charts'!A:AB,17,FALSE)+VLOOKUP(A42,'Used GB Charts'!A:AB,21,FALSE)</f>
        <v>400.53476562499998</v>
      </c>
      <c r="H42" s="704">
        <f ca="1">VLOOKUP(A42,'Used GB Charts'!A:AB,19,FALSE)+VLOOKUP(A42,'Used GB Charts'!A:AB,20,FALSE)</f>
        <v>7.14794921875</v>
      </c>
      <c r="I42" s="704">
        <f t="shared" ca="1" si="0"/>
        <v>1429.74560546875</v>
      </c>
      <c r="J42" s="987">
        <f t="shared" ca="1" si="18"/>
        <v>6.2724609375</v>
      </c>
      <c r="K42" s="987">
        <f t="shared" ca="1" si="19"/>
        <v>7.185556640624986</v>
      </c>
    </row>
    <row r="43" spans="1:11" x14ac:dyDescent="0.25">
      <c r="A43" s="703">
        <v>41684</v>
      </c>
      <c r="B43" s="704">
        <f ca="1">VLOOKUP(A43,'Used GB Charts'!A:AH,2,FALSE)+VLOOKUP(A43,'Used GB Charts'!A:AH,30,FALSE)</f>
        <v>51.684863281250003</v>
      </c>
      <c r="C43" s="704">
        <f ca="1">VLOOKUP(A43,'Used GB Charts'!A:AH,3,FALSE)+VLOOKUP(A43,'Used GB Charts'!A:AH,32,FALSE)</f>
        <v>80.777929687500006</v>
      </c>
      <c r="D43" s="704">
        <f ca="1">VLOOKUP(A43,'Used GB Charts'!A:AH,4,FALSE)+VLOOKUP(A43,'Used GB Charts'!A:AH,6,FALSE)+VLOOKUP(A43,'Used GB Charts'!A:AH,8,FALSE)+VLOOKUP(A43,'Used GB Charts'!A:AH,9,FALSE)+VLOOKUP(A43,'Used GB Charts'!A:AH,10,FALSE)+VLOOKUP(A43,'Used GB Charts'!A:AH,22,FALSE)+VLOOKUP(A43,'Used GB Charts'!A:AH,23,FALSE)+VLOOKUP(A43,'Used GB Charts'!A:AH,25,FALSE)+VLOOKUP(A43,'Used GB Charts'!A:AH,31,FALSE)</f>
        <v>383.96708984374999</v>
      </c>
      <c r="E43" s="704">
        <f ca="1">VLOOKUP(A43,'Used GB Charts'!A:AH,5,FALSE)+VLOOKUP(A43,'Used GB Charts'!A:AH,7,FALSE)+VLOOKUP(A43,'Used GB Charts'!A:AH,11,FALSE)+VLOOKUP(A43,'Used GB Charts'!A:AH,29,FALSE)+VLOOKUP(A43,'Used GB Charts'!A:AH,33,FALSE)+VLOOKUP(A43,'Used GB Charts'!A:AH,34,FALSE)</f>
        <v>222.46953125000002</v>
      </c>
      <c r="F43" s="704">
        <f ca="1">VLOOKUP(A43,'Used GB Charts'!A:AB,12,FALSE)+VLOOKUP(A43,'Used GB Charts'!A:AB,13,FALSE)+VLOOKUP(A43,'Used GB Charts'!A:AB,18,FALSE)</f>
        <v>278.70839843750002</v>
      </c>
      <c r="G43" s="704">
        <f ca="1">VLOOKUP(A43,'Used GB Charts'!A:AB,14,FALSE)+VLOOKUP(A43,'Used GB Charts'!A:AB,15,FALSE)+VLOOKUP(A43,'Used GB Charts'!A:AB,16,FALSE)++VLOOKUP(A43,'Used GB Charts'!A:AB,17,FALSE)</f>
        <v>398.71738281249998</v>
      </c>
      <c r="H43" s="704">
        <f ca="1">VLOOKUP(A43,'Used GB Charts'!A:AB,19,FALSE)+VLOOKUP(A43,'Used GB Charts'!A:AB,20,FALSE)</f>
        <v>7.14794921875</v>
      </c>
      <c r="I43" s="704">
        <f t="shared" ca="1" si="0"/>
        <v>1423.47314453125</v>
      </c>
      <c r="J43" s="987">
        <f t="shared" ca="1" si="18"/>
        <v>19.389355468749955</v>
      </c>
      <c r="K43" s="987">
        <f t="shared" ca="1" si="19"/>
        <v>17.162783203124992</v>
      </c>
    </row>
    <row r="44" spans="1:11" x14ac:dyDescent="0.25">
      <c r="A44" s="703">
        <v>41676</v>
      </c>
      <c r="B44" s="704">
        <f ca="1">VLOOKUP(A44,'Used GB Charts'!A:AH,2,FALSE)+VLOOKUP(A44,'Used GB Charts'!A:AH,30,FALSE)</f>
        <v>51.081152343749999</v>
      </c>
      <c r="C44" s="704">
        <f ca="1">VLOOKUP(A44,'Used GB Charts'!A:AH,3,FALSE)+VLOOKUP(A44,'Used GB Charts'!A:AH,32,FALSE)</f>
        <v>80.741503906250003</v>
      </c>
      <c r="D44" s="704">
        <f ca="1">VLOOKUP(A44,'Used GB Charts'!A:AH,4,FALSE)+VLOOKUP(A44,'Used GB Charts'!A:AH,6,FALSE)+VLOOKUP(A44,'Used GB Charts'!A:AH,8,FALSE)+VLOOKUP(A44,'Used GB Charts'!A:AH,9,FALSE)+VLOOKUP(A44,'Used GB Charts'!A:AH,10,FALSE)+VLOOKUP(A44,'Used GB Charts'!A:AH,22,FALSE)+VLOOKUP(A44,'Used GB Charts'!A:AH,23,FALSE)+VLOOKUP(A44,'Used GB Charts'!A:AH,25,FALSE)+VLOOKUP(A44,'Used GB Charts'!A:AH,31,FALSE)</f>
        <v>380.10488281250002</v>
      </c>
      <c r="E44" s="704">
        <f ca="1">VLOOKUP(A44,'Used GB Charts'!A:AH,5,FALSE)+VLOOKUP(A44,'Used GB Charts'!A:AH,7,FALSE)+VLOOKUP(A44,'Used GB Charts'!A:AH,11,FALSE)+VLOOKUP(A44,'Used GB Charts'!A:AH,29,FALSE)+VLOOKUP(A44,'Used GB Charts'!A:AH,33,FALSE)+VLOOKUP(A44,'Used GB Charts'!A:AH,34,FALSE)</f>
        <v>222.25400390624998</v>
      </c>
      <c r="F44" s="704">
        <f ca="1">VLOOKUP(A44,'Used GB Charts'!A:AB,12,FALSE)+VLOOKUP(A44,'Used GB Charts'!A:AB,13,FALSE)+VLOOKUP(A44,'Used GB Charts'!A:AB,18,FALSE)</f>
        <v>273.82675781249998</v>
      </c>
      <c r="G44" s="704">
        <f ca="1">VLOOKUP(A44,'Used GB Charts'!A:AB,14,FALSE)+VLOOKUP(A44,'Used GB Charts'!A:AB,15,FALSE)+VLOOKUP(A44,'Used GB Charts'!A:AB,16,FALSE)++VLOOKUP(A44,'Used GB Charts'!A:AB,17,FALSE)</f>
        <v>388.92753906249999</v>
      </c>
      <c r="H44" s="704">
        <f ca="1">VLOOKUP(A44,'Used GB Charts'!A:AB,19,FALSE)+VLOOKUP(A44,'Used GB Charts'!A:AB,20,FALSE)</f>
        <v>7.14794921875</v>
      </c>
      <c r="I44" s="704">
        <f t="shared" ca="1" si="0"/>
        <v>1404.0837890625</v>
      </c>
      <c r="J44" s="987">
        <f t="shared" ca="1" si="18"/>
        <v>47.678808593750091</v>
      </c>
      <c r="K44" s="987">
        <f t="shared" ca="1" si="19"/>
        <v>16.35404296874999</v>
      </c>
    </row>
    <row r="45" spans="1:11" x14ac:dyDescent="0.25">
      <c r="A45" s="703">
        <v>41642</v>
      </c>
      <c r="B45" s="704">
        <f ca="1">VLOOKUP(A45,'Used GB Charts'!A:AH,2,FALSE)+VLOOKUP(A45,'Used GB Charts'!A:AH,30,FALSE)</f>
        <v>50.74609375</v>
      </c>
      <c r="C45" s="704">
        <f ca="1">VLOOKUP(A45,'Used GB Charts'!A:AH,3,FALSE)+VLOOKUP(A45,'Used GB Charts'!A:AH,32,FALSE)</f>
        <v>80.017773437499997</v>
      </c>
      <c r="D45" s="704">
        <f ca="1">VLOOKUP(A45,'Used GB Charts'!A:AH,4,FALSE)+VLOOKUP(A45,'Used GB Charts'!A:AH,6,FALSE)+VLOOKUP(A45,'Used GB Charts'!A:AH,8,FALSE)+VLOOKUP(A45,'Used GB Charts'!A:AH,9,FALSE)+VLOOKUP(A45,'Used GB Charts'!A:AH,10,FALSE)+VLOOKUP(A45,'Used GB Charts'!A:AH,22,FALSE)+VLOOKUP(A45,'Used GB Charts'!A:AH,23,FALSE)+VLOOKUP(A45,'Used GB Charts'!A:AH,25,FALSE)+VLOOKUP(A45,'Used GB Charts'!A:AH,31,FALSE)</f>
        <v>367.84423828125</v>
      </c>
      <c r="E45" s="704">
        <f ca="1">VLOOKUP(A45,'Used GB Charts'!A:AH,5,FALSE)+VLOOKUP(A45,'Used GB Charts'!A:AH,7,FALSE)+VLOOKUP(A45,'Used GB Charts'!A:AH,11,FALSE)+VLOOKUP(A45,'Used GB Charts'!A:AH,29,FALSE)+VLOOKUP(A45,'Used GB Charts'!A:AH,33,FALSE)+VLOOKUP(A45,'Used GB Charts'!A:AH,34,FALSE)</f>
        <v>211.60683593749999</v>
      </c>
      <c r="F45" s="704">
        <f ca="1">VLOOKUP(A45,'Used GB Charts'!A:AB,12,FALSE)+VLOOKUP(A45,'Used GB Charts'!A:AB,13,FALSE)+VLOOKUP(A45,'Used GB Charts'!A:AB,18,FALSE)</f>
        <v>264.89248046875002</v>
      </c>
      <c r="G45" s="704">
        <f ca="1">VLOOKUP(A45,'Used GB Charts'!A:AB,14,FALSE)+VLOOKUP(A45,'Used GB Charts'!A:AB,15,FALSE)+VLOOKUP(A45,'Used GB Charts'!A:AB,16,FALSE)++VLOOKUP(A45,'Used GB Charts'!A:AB,17,FALSE)</f>
        <v>374.46357421875001</v>
      </c>
      <c r="H45" s="704">
        <f ca="1">VLOOKUP(A45,'Used GB Charts'!A:AB,19,FALSE)+VLOOKUP(A45,'Used GB Charts'!A:AB,20,FALSE)</f>
        <v>6.833984375</v>
      </c>
      <c r="I45" s="704">
        <f t="shared" ca="1" si="0"/>
        <v>1356.40498046875</v>
      </c>
      <c r="J45" s="987">
        <f t="shared" ca="1" si="18"/>
        <v>-4.2421875</v>
      </c>
      <c r="K45" s="987">
        <f t="shared" ca="1" si="19"/>
        <v>14.563730468749986</v>
      </c>
    </row>
    <row r="46" spans="1:11" x14ac:dyDescent="0.25">
      <c r="A46" s="703">
        <v>41626</v>
      </c>
      <c r="B46" s="704">
        <f ca="1">VLOOKUP(A46,'Used GB Charts'!A:AH,2,FALSE)+VLOOKUP(A46,'Used GB Charts'!A:AH,30,FALSE)</f>
        <v>49.7373046875</v>
      </c>
      <c r="C46" s="704">
        <f ca="1">VLOOKUP(A46,'Used GB Charts'!A:AH,3,FALSE)+VLOOKUP(A46,'Used GB Charts'!A:AH,32,FALSE)</f>
        <v>80.017773437499997</v>
      </c>
      <c r="D46" s="704">
        <f ca="1">VLOOKUP(A46,'Used GB Charts'!A:AH,4,FALSE)+VLOOKUP(A46,'Used GB Charts'!A:AH,6,FALSE)+VLOOKUP(A46,'Used GB Charts'!A:AH,8,FALSE)+VLOOKUP(A46,'Used GB Charts'!A:AH,9,FALSE)+VLOOKUP(A46,'Used GB Charts'!A:AH,10,FALSE)+VLOOKUP(A46,'Used GB Charts'!A:AH,22,FALSE)+VLOOKUP(A46,'Used GB Charts'!A:AH,23,FALSE)+VLOOKUP(A46,'Used GB Charts'!A:AH,25,FALSE)+VLOOKUP(A46,'Used GB Charts'!A:AH,31,FALSE)</f>
        <v>366.02763671875005</v>
      </c>
      <c r="E46" s="704">
        <f ca="1">VLOOKUP(A46,'Used GB Charts'!A:AH,5,FALSE)+VLOOKUP(A46,'Used GB Charts'!A:AH,7,FALSE)+VLOOKUP(A46,'Used GB Charts'!A:AH,11,FALSE)+VLOOKUP(A46,'Used GB Charts'!A:AH,29,FALSE)+VLOOKUP(A46,'Used GB Charts'!A:AH,33,FALSE)+VLOOKUP(A46,'Used GB Charts'!A:AH,34,FALSE)</f>
        <v>215.47207031249999</v>
      </c>
      <c r="F46" s="704">
        <f ca="1">VLOOKUP(A46,'Used GB Charts'!A:AB,12,FALSE)+VLOOKUP(A46,'Used GB Charts'!A:AB,13,FALSE)+VLOOKUP(A46,'Used GB Charts'!A:AB,18,FALSE)</f>
        <v>270.82929687500001</v>
      </c>
      <c r="G46" s="704">
        <f ca="1">VLOOKUP(A46,'Used GB Charts'!A:AB,14,FALSE)+VLOOKUP(A46,'Used GB Charts'!A:AB,15,FALSE)+VLOOKUP(A46,'Used GB Charts'!A:AB,16,FALSE)++VLOOKUP(A46,'Used GB Charts'!A:AB,17,FALSE)</f>
        <v>371.82490234375001</v>
      </c>
      <c r="H46" s="704">
        <f ca="1">VLOOKUP(A46,'Used GB Charts'!A:AB,19,FALSE)+VLOOKUP(A46,'Used GB Charts'!A:AB,20,FALSE)</f>
        <v>6.7381835937499996</v>
      </c>
      <c r="I46" s="704">
        <f t="shared" ca="1" si="0"/>
        <v>1360.64716796875</v>
      </c>
      <c r="J46" s="987">
        <f t="shared" ca="1" si="18"/>
        <v>-47.068652343749818</v>
      </c>
      <c r="K46" s="987">
        <f t="shared" ca="1" si="19"/>
        <v>15.822089843749996</v>
      </c>
    </row>
    <row r="47" spans="1:11" x14ac:dyDescent="0.25">
      <c r="A47" s="703">
        <v>41617</v>
      </c>
      <c r="B47" s="704">
        <f ca="1">VLOOKUP(A47,'Used GB Charts'!A:AH,2,FALSE)+VLOOKUP(A47,'Used GB Charts'!A:AH,30,FALSE)</f>
        <v>49.086328125000001</v>
      </c>
      <c r="C47" s="704">
        <f ca="1">VLOOKUP(A47,'Used GB Charts'!A:AH,3,FALSE)+VLOOKUP(A47,'Used GB Charts'!A:AH,32,FALSE)</f>
        <v>79.679492187500003</v>
      </c>
      <c r="D47" s="704">
        <f ca="1">VLOOKUP(A47,'Used GB Charts'!A:AH,4,FALSE)+VLOOKUP(A47,'Used GB Charts'!A:AH,6,FALSE)+VLOOKUP(A47,'Used GB Charts'!A:AH,8,FALSE)+VLOOKUP(A47,'Used GB Charts'!A:AH,9,FALSE)+VLOOKUP(A47,'Used GB Charts'!A:AH,10,FALSE)+VLOOKUP(A47,'Used GB Charts'!A:AH,22,FALSE)+VLOOKUP(A47,'Used GB Charts'!A:AH,23,FALSE)+VLOOKUP(A47,'Used GB Charts'!A:AH,25,FALSE)+VLOOKUP(A47,'Used GB Charts'!A:AH,31,FALSE)</f>
        <v>372.96005859374998</v>
      </c>
      <c r="E47" s="704">
        <f ca="1">VLOOKUP(A47,'Used GB Charts'!A:AH,5,FALSE)+VLOOKUP(A47,'Used GB Charts'!A:AH,7,FALSE)+VLOOKUP(A47,'Used GB Charts'!A:AH,11,FALSE)+VLOOKUP(A47,'Used GB Charts'!A:AH,29,FALSE)+VLOOKUP(A47,'Used GB Charts'!A:AH,33,FALSE)+VLOOKUP(A47,'Used GB Charts'!A:AH,34,FALSE)</f>
        <v>218.76845703125002</v>
      </c>
      <c r="F47" s="704">
        <f ca="1">VLOOKUP(A47,'Used GB Charts'!A:AB,12,FALSE)+VLOOKUP(A47,'Used GB Charts'!A:AB,13,FALSE)+VLOOKUP(A47,'Used GB Charts'!A:AB,18,FALSE)</f>
        <v>306.09345703125001</v>
      </c>
      <c r="G47" s="704">
        <f ca="1">VLOOKUP(A47,'Used GB Charts'!A:AB,14,FALSE)+VLOOKUP(A47,'Used GB Charts'!A:AB,15,FALSE)+VLOOKUP(A47,'Used GB Charts'!A:AB,16,FALSE)++VLOOKUP(A47,'Used GB Charts'!A:AB,17,FALSE)</f>
        <v>374.38984375000001</v>
      </c>
      <c r="H47" s="704">
        <f ca="1">VLOOKUP(A47,'Used GB Charts'!A:AB,19,FALSE)+VLOOKUP(A47,'Used GB Charts'!A:AB,20,FALSE)</f>
        <v>6.7381835937499996</v>
      </c>
      <c r="I47" s="704">
        <f t="shared" ca="1" si="0"/>
        <v>1407.7158203124998</v>
      </c>
      <c r="J47" s="987">
        <f t="shared" ca="1" si="18"/>
        <v>16.2575195312495</v>
      </c>
      <c r="K47" s="987">
        <f t="shared" ca="1" si="19"/>
        <v>23.387441406249991</v>
      </c>
    </row>
    <row r="48" spans="1:11" x14ac:dyDescent="0.25">
      <c r="A48" s="703">
        <v>41610</v>
      </c>
      <c r="B48" s="704">
        <f ca="1">VLOOKUP(A48,'Used GB Charts'!A:AH,2,FALSE)+VLOOKUP(A48,'Used GB Charts'!A:AH,30,FALSE)</f>
        <v>49.3544921875</v>
      </c>
      <c r="C48" s="704">
        <f ca="1">VLOOKUP(A48,'Used GB Charts'!A:AH,3,FALSE)+VLOOKUP(A48,'Used GB Charts'!A:AH,32,FALSE)</f>
        <v>79.467871093750006</v>
      </c>
      <c r="D48" s="704">
        <f ca="1">VLOOKUP(A48,'Used GB Charts'!A:AH,4,FALSE)+VLOOKUP(A48,'Used GB Charts'!A:AH,6,FALSE)+VLOOKUP(A48,'Used GB Charts'!A:AH,8,FALSE)+VLOOKUP(A48,'Used GB Charts'!A:AH,9,FALSE)+VLOOKUP(A48,'Used GB Charts'!A:AH,10,FALSE)+VLOOKUP(A48,'Used GB Charts'!A:AH,22,FALSE)+VLOOKUP(A48,'Used GB Charts'!A:AH,23,FALSE)+VLOOKUP(A48,'Used GB Charts'!A:AH,25,FALSE)+VLOOKUP(A48,'Used GB Charts'!A:AH,31,FALSE)</f>
        <v>369.69804687500005</v>
      </c>
      <c r="E48" s="704">
        <f ca="1">VLOOKUP(A48,'Used GB Charts'!A:AH,5,FALSE)+VLOOKUP(A48,'Used GB Charts'!A:AH,7,FALSE)+VLOOKUP(A48,'Used GB Charts'!A:AH,11,FALSE)+VLOOKUP(A48,'Used GB Charts'!A:AH,29,FALSE)+VLOOKUP(A48,'Used GB Charts'!A:AH,33,FALSE)+VLOOKUP(A48,'Used GB Charts'!A:AH,34,FALSE)</f>
        <v>217.26806640625</v>
      </c>
      <c r="F48" s="704">
        <f ca="1">VLOOKUP(A48,'Used GB Charts'!A:AB,12,FALSE)+VLOOKUP(A48,'Used GB Charts'!A:AB,13,FALSE)+VLOOKUP(A48,'Used GB Charts'!A:AB,18,FALSE)</f>
        <v>300.96044921875</v>
      </c>
      <c r="G48" s="704">
        <f ca="1">VLOOKUP(A48,'Used GB Charts'!A:AB,14,FALSE)+VLOOKUP(A48,'Used GB Charts'!A:AB,15,FALSE)+VLOOKUP(A48,'Used GB Charts'!A:AB,16,FALSE)++VLOOKUP(A48,'Used GB Charts'!A:AB,17,FALSE)</f>
        <v>368.22392578125005</v>
      </c>
      <c r="H48" s="704">
        <f ca="1">VLOOKUP(A48,'Used GB Charts'!A:AB,19,FALSE)+VLOOKUP(A48,'Used GB Charts'!A:AB,20,FALSE)</f>
        <v>6.4854492187500004</v>
      </c>
      <c r="I48" s="704">
        <f t="shared" ca="1" si="0"/>
        <v>1391.4583007812503</v>
      </c>
      <c r="J48" s="987">
        <f t="shared" ca="1" si="18"/>
        <v>14.266699218750091</v>
      </c>
      <c r="K48" s="987">
        <f t="shared" ca="1" si="19"/>
        <v>21.791064453125024</v>
      </c>
    </row>
    <row r="49" spans="1:11" x14ac:dyDescent="0.25">
      <c r="A49" s="703">
        <v>41603</v>
      </c>
      <c r="B49" s="704">
        <f ca="1">VLOOKUP(A49,'Used GB Charts'!A:AH,2,FALSE)+VLOOKUP(A49,'Used GB Charts'!A:AH,30,FALSE)</f>
        <v>48.391015625000001</v>
      </c>
      <c r="C49" s="704">
        <f ca="1">VLOOKUP(A49,'Used GB Charts'!A:AH,3,FALSE)+VLOOKUP(A49,'Used GB Charts'!A:AH,32,FALSE)</f>
        <v>79.280957031249997</v>
      </c>
      <c r="D49" s="704">
        <f ca="1">VLOOKUP(A49,'Used GB Charts'!A:AH,4,FALSE)+VLOOKUP(A49,'Used GB Charts'!A:AH,6,FALSE)+VLOOKUP(A49,'Used GB Charts'!A:AH,8,FALSE)+VLOOKUP(A49,'Used GB Charts'!A:AH,9,FALSE)+VLOOKUP(A49,'Used GB Charts'!A:AH,10,FALSE)+VLOOKUP(A49,'Used GB Charts'!A:AH,22,FALSE)+VLOOKUP(A49,'Used GB Charts'!A:AH,23,FALSE)+VLOOKUP(A49,'Used GB Charts'!A:AH,25,FALSE)+VLOOKUP(A49,'Used GB Charts'!A:AH,31,FALSE)</f>
        <v>365.37783203125002</v>
      </c>
      <c r="E49" s="704">
        <f ca="1">VLOOKUP(A49,'Used GB Charts'!A:AH,5,FALSE)+VLOOKUP(A49,'Used GB Charts'!A:AH,7,FALSE)+VLOOKUP(A49,'Used GB Charts'!A:AH,11,FALSE)+VLOOKUP(A49,'Used GB Charts'!A:AH,29,FALSE)+VLOOKUP(A49,'Used GB Charts'!A:AH,33,FALSE)+VLOOKUP(A49,'Used GB Charts'!A:AH,34,FALSE)</f>
        <v>218.63398437499998</v>
      </c>
      <c r="F49" s="704">
        <f ca="1">VLOOKUP(A49,'Used GB Charts'!A:AB,12,FALSE)+VLOOKUP(A49,'Used GB Charts'!A:AB,13,FALSE)+VLOOKUP(A49,'Used GB Charts'!A:AB,18,FALSE)</f>
        <v>298.23330078125002</v>
      </c>
      <c r="G49" s="704">
        <f ca="1">VLOOKUP(A49,'Used GB Charts'!A:AB,14,FALSE)+VLOOKUP(A49,'Used GB Charts'!A:AB,15,FALSE)+VLOOKUP(A49,'Used GB Charts'!A:AB,16,FALSE)++VLOOKUP(A49,'Used GB Charts'!A:AB,17,FALSE)</f>
        <v>360.7890625</v>
      </c>
      <c r="H49" s="704">
        <f ca="1">VLOOKUP(A49,'Used GB Charts'!A:AB,19,FALSE)+VLOOKUP(A49,'Used GB Charts'!A:AB,20,FALSE)</f>
        <v>6.4854492187500004</v>
      </c>
      <c r="I49" s="704">
        <f t="shared" ca="1" si="0"/>
        <v>1377.1916015625002</v>
      </c>
      <c r="J49" s="987">
        <f t="shared" ca="1" si="18"/>
        <v>13.884570312500273</v>
      </c>
      <c r="K49" s="987">
        <f t="shared" ca="1" si="19"/>
        <v>21.251376953125011</v>
      </c>
    </row>
    <row r="50" spans="1:11" x14ac:dyDescent="0.25">
      <c r="A50" s="703">
        <v>41596</v>
      </c>
      <c r="B50" s="704">
        <f ca="1">VLOOKUP(A50,'Used GB Charts'!A:AH,2,FALSE)+VLOOKUP(A50,'Used GB Charts'!A:AH,30,FALSE)</f>
        <v>48.4384765625</v>
      </c>
      <c r="C50" s="704">
        <f ca="1">VLOOKUP(A50,'Used GB Charts'!A:AH,3,FALSE)+VLOOKUP(A50,'Used GB Charts'!A:AH,32,FALSE)</f>
        <v>79.24658203125</v>
      </c>
      <c r="D50" s="704">
        <f ca="1">VLOOKUP(A50,'Used GB Charts'!A:AH,4,FALSE)+VLOOKUP(A50,'Used GB Charts'!A:AH,6,FALSE)+VLOOKUP(A50,'Used GB Charts'!A:AH,8,FALSE)+VLOOKUP(A50,'Used GB Charts'!A:AH,9,FALSE)+VLOOKUP(A50,'Used GB Charts'!A:AH,10,FALSE)+VLOOKUP(A50,'Used GB Charts'!A:AH,22,FALSE)+VLOOKUP(A50,'Used GB Charts'!A:AH,23,FALSE)+VLOOKUP(A50,'Used GB Charts'!A:AH,25,FALSE)+VLOOKUP(A50,'Used GB Charts'!A:AH,31,FALSE)</f>
        <v>360.56806640625001</v>
      </c>
      <c r="E50" s="704">
        <f ca="1">VLOOKUP(A50,'Used GB Charts'!A:AH,5,FALSE)+VLOOKUP(A50,'Used GB Charts'!A:AH,7,FALSE)+VLOOKUP(A50,'Used GB Charts'!A:AH,11,FALSE)+VLOOKUP(A50,'Used GB Charts'!A:AH,29,FALSE)+VLOOKUP(A50,'Used GB Charts'!A:AH,33,FALSE)+VLOOKUP(A50,'Used GB Charts'!A:AH,34,FALSE)</f>
        <v>217.7255859375</v>
      </c>
      <c r="F50" s="704">
        <f ca="1">VLOOKUP(A50,'Used GB Charts'!A:AB,12,FALSE)+VLOOKUP(A50,'Used GB Charts'!A:AB,13,FALSE)+VLOOKUP(A50,'Used GB Charts'!A:AB,18,FALSE)</f>
        <v>296.43798828125</v>
      </c>
      <c r="G50" s="704">
        <f ca="1">VLOOKUP(A50,'Used GB Charts'!A:AB,14,FALSE)+VLOOKUP(A50,'Used GB Charts'!A:AB,15,FALSE)+VLOOKUP(A50,'Used GB Charts'!A:AB,16,FALSE)++VLOOKUP(A50,'Used GB Charts'!A:AB,17,FALSE)</f>
        <v>354.40488281249998</v>
      </c>
      <c r="H50" s="704">
        <f ca="1">VLOOKUP(A50,'Used GB Charts'!A:AB,19,FALSE)+VLOOKUP(A50,'Used GB Charts'!A:AB,20,FALSE)</f>
        <v>6.4854492187500004</v>
      </c>
      <c r="I50" s="704">
        <f t="shared" ca="1" si="0"/>
        <v>1363.3070312499999</v>
      </c>
      <c r="J50" s="987">
        <f t="shared" ca="1" si="18"/>
        <v>-61.231250000000273</v>
      </c>
      <c r="K50" s="987">
        <f t="shared" ca="1" si="19"/>
        <v>21.703046874999973</v>
      </c>
    </row>
    <row r="51" spans="1:11" x14ac:dyDescent="0.25">
      <c r="A51" s="703">
        <v>41589</v>
      </c>
      <c r="B51" s="704">
        <f ca="1">VLOOKUP(A51,'Used GB Charts'!A:AH,2,FALSE)+VLOOKUP(A51,'Used GB Charts'!A:AH,30,FALSE)</f>
        <v>48.048535156249997</v>
      </c>
      <c r="C51" s="704">
        <f ca="1">VLOOKUP(A51,'Used GB Charts'!A:AH,3,FALSE)+VLOOKUP(A51,'Used GB Charts'!A:AH,32,FALSE)</f>
        <v>79.209667968749997</v>
      </c>
      <c r="D51" s="704">
        <f ca="1">VLOOKUP(A51,'Used GB Charts'!A:AH,4,FALSE)+VLOOKUP(A51,'Used GB Charts'!A:AH,6,FALSE)+VLOOKUP(A51,'Used GB Charts'!A:AH,8,FALSE)+VLOOKUP(A51,'Used GB Charts'!A:AH,9,FALSE)+VLOOKUP(A51,'Used GB Charts'!A:AH,10,FALSE)+VLOOKUP(A51,'Used GB Charts'!A:AH,22,FALSE)+VLOOKUP(A51,'Used GB Charts'!A:AH,23,FALSE)+VLOOKUP(A51,'Used GB Charts'!A:AH,25,FALSE)+VLOOKUP(A51,'Used GB Charts'!A:AH,31,FALSE)</f>
        <v>359.69619140625002</v>
      </c>
      <c r="E51" s="704">
        <f ca="1">VLOOKUP(A51,'Used GB Charts'!A:AH,5,FALSE)+VLOOKUP(A51,'Used GB Charts'!A:AH,7,FALSE)+VLOOKUP(A51,'Used GB Charts'!A:AH,11,FALSE)+VLOOKUP(A51,'Used GB Charts'!A:AH,29,FALSE)+VLOOKUP(A51,'Used GB Charts'!A:AH,33,FALSE)+VLOOKUP(A51,'Used GB Charts'!A:AH,34,FALSE)</f>
        <v>215.21757812499999</v>
      </c>
      <c r="F51" s="704">
        <f ca="1">VLOOKUP(A51,'Used GB Charts'!A:AB,12,FALSE)+VLOOKUP(A51,'Used GB Charts'!A:AB,13,FALSE)+VLOOKUP(A51,'Used GB Charts'!A:AB,18,FALSE)</f>
        <v>366.94492187500003</v>
      </c>
      <c r="G51" s="704">
        <f ca="1">VLOOKUP(A51,'Used GB Charts'!A:AB,14,FALSE)+VLOOKUP(A51,'Used GB Charts'!A:AB,15,FALSE)+VLOOKUP(A51,'Used GB Charts'!A:AB,16,FALSE)++VLOOKUP(A51,'Used GB Charts'!A:AB,17,FALSE)</f>
        <v>348.93593750000002</v>
      </c>
      <c r="H51" s="704">
        <f ca="1">VLOOKUP(A51,'Used GB Charts'!A:AB,19,FALSE)+VLOOKUP(A51,'Used GB Charts'!A:AB,20,FALSE)</f>
        <v>6.4854492187500004</v>
      </c>
      <c r="I51" s="704">
        <f t="shared" ca="1" si="0"/>
        <v>1424.5382812500002</v>
      </c>
      <c r="J51" s="987">
        <f t="shared" ca="1" si="18"/>
        <v>48.381054687500182</v>
      </c>
      <c r="K51" s="987">
        <f t="shared" ca="1" si="19"/>
        <v>26.007646484375027</v>
      </c>
    </row>
    <row r="52" spans="1:11" x14ac:dyDescent="0.25">
      <c r="A52" s="703">
        <v>41561</v>
      </c>
      <c r="B52" s="704">
        <f ca="1">VLOOKUP(A52,'Used GB Charts'!A:AH,2,FALSE)+VLOOKUP(A52,'Used GB Charts'!A:AH,30,FALSE)</f>
        <v>47.148730468750003</v>
      </c>
      <c r="C52" s="704">
        <f ca="1">VLOOKUP(A52,'Used GB Charts'!A:AH,3,FALSE)+VLOOKUP(A52,'Used GB Charts'!A:AH,32,FALSE)</f>
        <v>78.768945312499994</v>
      </c>
      <c r="D52" s="704">
        <f ca="1">VLOOKUP(A52,'Used GB Charts'!A:AH,4,FALSE)+VLOOKUP(A52,'Used GB Charts'!A:AH,6,FALSE)+VLOOKUP(A52,'Used GB Charts'!A:AH,8,FALSE)+VLOOKUP(A52,'Used GB Charts'!A:AH,9,FALSE)+VLOOKUP(A52,'Used GB Charts'!A:AH,10,FALSE)+VLOOKUP(A52,'Used GB Charts'!A:AH,22,FALSE)+VLOOKUP(A52,'Used GB Charts'!A:AH,23,FALSE)+VLOOKUP(A52,'Used GB Charts'!A:AH,25,FALSE)+VLOOKUP(A52,'Used GB Charts'!A:AH,31,FALSE)</f>
        <v>353.38124999999997</v>
      </c>
      <c r="E52" s="704">
        <f ca="1">VLOOKUP(A52,'Used GB Charts'!A:AH,5,FALSE)+VLOOKUP(A52,'Used GB Charts'!A:AH,7,FALSE)+VLOOKUP(A52,'Used GB Charts'!A:AH,11,FALSE)+VLOOKUP(A52,'Used GB Charts'!A:AH,29,FALSE)+VLOOKUP(A52,'Used GB Charts'!A:AH,33,FALSE)+VLOOKUP(A52,'Used GB Charts'!A:AH,34,FALSE)</f>
        <v>211.06806640625001</v>
      </c>
      <c r="F52" s="704">
        <f ca="1">VLOOKUP(A52,'Used GB Charts'!A:AB,12,FALSE)+VLOOKUP(A52,'Used GB Charts'!A:AB,13,FALSE)+VLOOKUP(A52,'Used GB Charts'!A:AB,18,FALSE)</f>
        <v>347.197265625</v>
      </c>
      <c r="G52" s="704">
        <f ca="1">VLOOKUP(A52,'Used GB Charts'!A:AB,14,FALSE)+VLOOKUP(A52,'Used GB Charts'!A:AB,15,FALSE)+VLOOKUP(A52,'Used GB Charts'!A:AB,16,FALSE)++VLOOKUP(A52,'Used GB Charts'!A:AB,17,FALSE)</f>
        <v>332.47968750000001</v>
      </c>
      <c r="H52" s="704">
        <f ca="1">VLOOKUP(A52,'Used GB Charts'!A:AB,19,FALSE)+VLOOKUP(A52,'Used GB Charts'!A:AB,20,FALSE)</f>
        <v>6.11328125</v>
      </c>
      <c r="I52" s="704">
        <f t="shared" ca="1" si="0"/>
        <v>1376.1572265625</v>
      </c>
      <c r="J52" s="987">
        <f t="shared" ca="1" si="18"/>
        <v>18.267187499999864</v>
      </c>
      <c r="K52" s="987">
        <f t="shared" ca="1" si="19"/>
        <v>31.685488281250013</v>
      </c>
    </row>
    <row r="53" spans="1:11" x14ac:dyDescent="0.25">
      <c r="A53" s="703">
        <v>41548</v>
      </c>
      <c r="B53" s="704">
        <f ca="1">VLOOKUP(A53,'Used GB Charts'!A:AH,2,FALSE)+VLOOKUP(A53,'Used GB Charts'!A:AH,30,FALSE)</f>
        <v>47.033886718749997</v>
      </c>
      <c r="C53" s="704">
        <f ca="1">VLOOKUP(A53,'Used GB Charts'!A:AH,3,FALSE)+VLOOKUP(A53,'Used GB Charts'!A:AH,32,FALSE)</f>
        <v>78.558203125000006</v>
      </c>
      <c r="D53" s="704">
        <f ca="1">VLOOKUP(A53,'Used GB Charts'!A:AH,4,FALSE)+VLOOKUP(A53,'Used GB Charts'!A:AH,6,FALSE)+VLOOKUP(A53,'Used GB Charts'!A:AH,8,FALSE)+VLOOKUP(A53,'Used GB Charts'!A:AH,9,FALSE)+VLOOKUP(A53,'Used GB Charts'!A:AH,10,FALSE)+VLOOKUP(A53,'Used GB Charts'!A:AH,22,FALSE)+VLOOKUP(A53,'Used GB Charts'!A:AH,23,FALSE)+VLOOKUP(A53,'Used GB Charts'!A:AH,25,FALSE)+VLOOKUP(A53,'Used GB Charts'!A:AH,31,FALSE)</f>
        <v>348.85917968750005</v>
      </c>
      <c r="E53" s="704">
        <f ca="1">VLOOKUP(A53,'Used GB Charts'!A:AH,5,FALSE)+VLOOKUP(A53,'Used GB Charts'!A:AH,7,FALSE)+VLOOKUP(A53,'Used GB Charts'!A:AH,11,FALSE)+VLOOKUP(A53,'Used GB Charts'!A:AH,29,FALSE)+VLOOKUP(A53,'Used GB Charts'!A:AH,33,FALSE)+VLOOKUP(A53,'Used GB Charts'!A:AH,34,FALSE)</f>
        <v>206.80703125000002</v>
      </c>
      <c r="F53" s="704">
        <f ca="1">VLOOKUP(A53,'Used GB Charts'!A:AB,12,FALSE)+VLOOKUP(A53,'Used GB Charts'!A:AB,13,FALSE)+VLOOKUP(A53,'Used GB Charts'!A:AB,18,FALSE)</f>
        <v>343.76787109374999</v>
      </c>
      <c r="G53" s="704">
        <f ca="1">VLOOKUP(A53,'Used GB Charts'!A:AB,14,FALSE)+VLOOKUP(A53,'Used GB Charts'!A:AB,15,FALSE)+VLOOKUP(A53,'Used GB Charts'!A:AB,16,FALSE)++VLOOKUP(A53,'Used GB Charts'!A:AB,17,FALSE)</f>
        <v>326.8994140625</v>
      </c>
      <c r="H53" s="704">
        <f ca="1">VLOOKUP(A53,'Used GB Charts'!A:AB,19,FALSE)+VLOOKUP(A53,'Used GB Charts'!A:AB,20,FALSE)</f>
        <v>5.9644531250000004</v>
      </c>
      <c r="I53" s="704">
        <f t="shared" ca="1" si="0"/>
        <v>1357.8900390625001</v>
      </c>
      <c r="J53" s="987">
        <f t="shared" ca="1" si="18"/>
        <v>106.04472656250005</v>
      </c>
      <c r="K53" s="987">
        <f t="shared" ca="1" si="19"/>
        <v>18.434238281250011</v>
      </c>
    </row>
    <row r="54" spans="1:11" x14ac:dyDescent="0.25">
      <c r="A54" s="703">
        <v>41541</v>
      </c>
      <c r="B54" s="704">
        <f ca="1">VLOOKUP(A54,'Used GB Charts'!A:AH,2,FALSE)+VLOOKUP(A54,'Used GB Charts'!A:AH,30,FALSE)</f>
        <v>46.930761718749999</v>
      </c>
      <c r="C54" s="704">
        <f ca="1">VLOOKUP(A54,'Used GB Charts'!A:AH,3,FALSE)+VLOOKUP(A54,'Used GB Charts'!A:AH,32,FALSE)</f>
        <v>78.530371093750006</v>
      </c>
      <c r="D54" s="704">
        <f ca="1">VLOOKUP(A54,'Used GB Charts'!A:AH,4,FALSE)+VLOOKUP(A54,'Used GB Charts'!A:AH,6,FALSE)+VLOOKUP(A54,'Used GB Charts'!A:AH,8,FALSE)+VLOOKUP(A54,'Used GB Charts'!A:AH,9,FALSE)+VLOOKUP(A54,'Used GB Charts'!A:AH,10,FALSE)+VLOOKUP(A54,'Used GB Charts'!A:AH,22,FALSE)+VLOOKUP(A54,'Used GB Charts'!A:AH,23,FALSE)+VLOOKUP(A54,'Used GB Charts'!A:AH,25,FALSE)+VLOOKUP(A54,'Used GB Charts'!A:AH,31,FALSE)</f>
        <v>347.08505859374998</v>
      </c>
      <c r="E54" s="704">
        <f ca="1">VLOOKUP(A54,'Used GB Charts'!A:AH,5,FALSE)+VLOOKUP(A54,'Used GB Charts'!A:AH,7,FALSE)+VLOOKUP(A54,'Used GB Charts'!A:AH,11,FALSE)+VLOOKUP(A54,'Used GB Charts'!A:AH,29,FALSE)+VLOOKUP(A54,'Used GB Charts'!A:AH,33,FALSE)+VLOOKUP(A54,'Used GB Charts'!A:AH,34,FALSE)</f>
        <v>205.01923828125001</v>
      </c>
      <c r="F54" s="704">
        <f ca="1">VLOOKUP(A54,'Used GB Charts'!A:AB,12,FALSE)+VLOOKUP(A54,'Used GB Charts'!A:AB,13,FALSE)+VLOOKUP(A54,'Used GB Charts'!A:AB,18,FALSE)</f>
        <v>241.46376953124999</v>
      </c>
      <c r="G54" s="704">
        <f ca="1">VLOOKUP(A54,'Used GB Charts'!A:AB,14,FALSE)+VLOOKUP(A54,'Used GB Charts'!A:AB,15,FALSE)+VLOOKUP(A54,'Used GB Charts'!A:AB,16,FALSE)++VLOOKUP(A54,'Used GB Charts'!A:AB,17,FALSE)</f>
        <v>326.90166015625005</v>
      </c>
      <c r="H54" s="704">
        <f ca="1">VLOOKUP(A54,'Used GB Charts'!A:AB,19,FALSE)+VLOOKUP(A54,'Used GB Charts'!A:AB,20,FALSE)</f>
        <v>5.9144531249999996</v>
      </c>
      <c r="I54" s="704">
        <f t="shared" ca="1" si="0"/>
        <v>1251.8453125000001</v>
      </c>
      <c r="J54" s="987">
        <f t="shared" ca="1" si="18"/>
        <v>11.301953124999955</v>
      </c>
      <c r="K54" s="987">
        <f t="shared" ca="1" si="19"/>
        <v>8.7167480468750007</v>
      </c>
    </row>
    <row r="55" spans="1:11" x14ac:dyDescent="0.25">
      <c r="A55" s="703">
        <v>41534</v>
      </c>
      <c r="B55" s="704">
        <f ca="1">VLOOKUP(A55,'Used GB Charts'!A:AH,2,FALSE)+VLOOKUP(A55,'Used GB Charts'!A:AH,30,FALSE)</f>
        <v>46.769921875000001</v>
      </c>
      <c r="C55" s="704">
        <f ca="1">VLOOKUP(A55,'Used GB Charts'!A:AH,3,FALSE)+VLOOKUP(A55,'Used GB Charts'!A:AH,32,FALSE)</f>
        <v>78.435156250000006</v>
      </c>
      <c r="D55" s="704">
        <f ca="1">VLOOKUP(A55,'Used GB Charts'!A:AH,4,FALSE)+VLOOKUP(A55,'Used GB Charts'!A:AH,6,FALSE)+VLOOKUP(A55,'Used GB Charts'!A:AH,8,FALSE)+VLOOKUP(A55,'Used GB Charts'!A:AH,9,FALSE)+VLOOKUP(A55,'Used GB Charts'!A:AH,10,FALSE)+VLOOKUP(A55,'Used GB Charts'!A:AH,22,FALSE)+VLOOKUP(A55,'Used GB Charts'!A:AH,23,FALSE)+VLOOKUP(A55,'Used GB Charts'!A:AH,25,FALSE)+VLOOKUP(A55,'Used GB Charts'!A:AH,31,FALSE)</f>
        <v>345.16289062500005</v>
      </c>
      <c r="E55" s="704">
        <f ca="1">VLOOKUP(A55,'Used GB Charts'!A:AH,5,FALSE)+VLOOKUP(A55,'Used GB Charts'!A:AH,7,FALSE)+VLOOKUP(A55,'Used GB Charts'!A:AH,11,FALSE)+VLOOKUP(A55,'Used GB Charts'!A:AH,29,FALSE)+VLOOKUP(A55,'Used GB Charts'!A:AH,33,FALSE)+VLOOKUP(A55,'Used GB Charts'!A:AH,34,FALSE)</f>
        <v>204.51972656249998</v>
      </c>
      <c r="F55" s="704">
        <f ca="1">VLOOKUP(A55,'Used GB Charts'!A:AB,12,FALSE)+VLOOKUP(A55,'Used GB Charts'!A:AB,13,FALSE)+VLOOKUP(A55,'Used GB Charts'!A:AB,18,FALSE)</f>
        <v>236.05947265624999</v>
      </c>
      <c r="G55" s="704">
        <f ca="1">VLOOKUP(A55,'Used GB Charts'!A:AB,14,FALSE)+VLOOKUP(A55,'Used GB Charts'!A:AB,15,FALSE)+VLOOKUP(A55,'Used GB Charts'!A:AB,16,FALSE)++VLOOKUP(A55,'Used GB Charts'!A:AB,17,FALSE)</f>
        <v>323.77041015625002</v>
      </c>
      <c r="H55" s="704">
        <f ca="1">VLOOKUP(A55,'Used GB Charts'!A:AB,19,FALSE)+VLOOKUP(A55,'Used GB Charts'!A:AB,20,FALSE)</f>
        <v>5.8257812500000004</v>
      </c>
      <c r="I55" s="704">
        <f t="shared" ca="1" si="0"/>
        <v>1240.5433593750001</v>
      </c>
      <c r="J55" s="987">
        <f t="shared" ca="1" si="18"/>
        <v>29.775683593750045</v>
      </c>
      <c r="K55" s="987">
        <f t="shared" ca="1" si="19"/>
        <v>9.4266796874999947</v>
      </c>
    </row>
    <row r="56" spans="1:11" x14ac:dyDescent="0.25">
      <c r="A56" s="703">
        <v>41519</v>
      </c>
      <c r="B56" s="704">
        <f ca="1">VLOOKUP(A56,'Used GB Charts'!A:AH,2,FALSE)+VLOOKUP(A56,'Used GB Charts'!A:AH,30,FALSE)</f>
        <v>45.914257812499997</v>
      </c>
      <c r="C56" s="704">
        <f ca="1">VLOOKUP(A56,'Used GB Charts'!A:AH,3,FALSE)+VLOOKUP(A56,'Used GB Charts'!A:AH,32,FALSE)</f>
        <v>77.705273437499997</v>
      </c>
      <c r="D56" s="704">
        <f ca="1">VLOOKUP(A56,'Used GB Charts'!A:AH,4,FALSE)+VLOOKUP(A56,'Used GB Charts'!A:AH,6,FALSE)+VLOOKUP(A56,'Used GB Charts'!A:AH,8,FALSE)+VLOOKUP(A56,'Used GB Charts'!A:AH,9,FALSE)+VLOOKUP(A56,'Used GB Charts'!A:AH,10,FALSE)+VLOOKUP(A56,'Used GB Charts'!A:AH,22,FALSE)+VLOOKUP(A56,'Used GB Charts'!A:AH,23,FALSE)+VLOOKUP(A56,'Used GB Charts'!A:AH,25,FALSE)+VLOOKUP(A56,'Used GB Charts'!A:AH,31,FALSE)</f>
        <v>329.58212890624998</v>
      </c>
      <c r="E56" s="704">
        <f ca="1">VLOOKUP(A56,'Used GB Charts'!A:AH,5,FALSE)+VLOOKUP(A56,'Used GB Charts'!A:AH,7,FALSE)+VLOOKUP(A56,'Used GB Charts'!A:AH,11,FALSE)+VLOOKUP(A56,'Used GB Charts'!A:AH,29,FALSE)+VLOOKUP(A56,'Used GB Charts'!A:AH,33,FALSE)+VLOOKUP(A56,'Used GB Charts'!A:AH,34,FALSE)</f>
        <v>203.99912109375003</v>
      </c>
      <c r="F56" s="704">
        <f ca="1">VLOOKUP(A56,'Used GB Charts'!A:AB,12,FALSE)+VLOOKUP(A56,'Used GB Charts'!A:AB,13,FALSE)+VLOOKUP(A56,'Used GB Charts'!A:AB,18,FALSE)</f>
        <v>242.294921875</v>
      </c>
      <c r="G56" s="704">
        <f ca="1">VLOOKUP(A56,'Used GB Charts'!A:AB,14,FALSE)+VLOOKUP(A56,'Used GB Charts'!A:AB,15,FALSE)+VLOOKUP(A56,'Used GB Charts'!A:AB,16,FALSE)++VLOOKUP(A56,'Used GB Charts'!A:AB,17,FALSE)</f>
        <v>305.53642578124999</v>
      </c>
      <c r="H56" s="704">
        <f ca="1">VLOOKUP(A56,'Used GB Charts'!A:AB,19,FALSE)+VLOOKUP(A56,'Used GB Charts'!A:AB,20,FALSE)</f>
        <v>5.7355468749999998</v>
      </c>
      <c r="I56" s="704">
        <f t="shared" ca="1" si="0"/>
        <v>1210.7676757812501</v>
      </c>
      <c r="J56" s="987">
        <f t="shared" ca="1" si="18"/>
        <v>8.3414062500000909</v>
      </c>
      <c r="K56" s="987">
        <f t="shared" ca="1" si="19"/>
        <v>4.630585937500018</v>
      </c>
    </row>
    <row r="57" spans="1:11" x14ac:dyDescent="0.25">
      <c r="A57" s="703">
        <v>41513</v>
      </c>
      <c r="B57" s="704">
        <f ca="1">VLOOKUP(A57,'Used GB Charts'!A:AH,2,FALSE)+VLOOKUP(A57,'Used GB Charts'!A:AH,30,FALSE)</f>
        <v>45.476269531249997</v>
      </c>
      <c r="C57" s="704">
        <f ca="1">VLOOKUP(A57,'Used GB Charts'!A:AH,3,FALSE)+VLOOKUP(A57,'Used GB Charts'!A:AH,32,FALSE)</f>
        <v>77.598730468750006</v>
      </c>
      <c r="D57" s="704">
        <f ca="1">VLOOKUP(A57,'Used GB Charts'!A:AH,4,FALSE)+VLOOKUP(A57,'Used GB Charts'!A:AH,6,FALSE)+VLOOKUP(A57,'Used GB Charts'!A:AH,8,FALSE)+VLOOKUP(A57,'Used GB Charts'!A:AH,9,FALSE)+VLOOKUP(A57,'Used GB Charts'!A:AH,10,FALSE)+VLOOKUP(A57,'Used GB Charts'!A:AH,22,FALSE)+VLOOKUP(A57,'Used GB Charts'!A:AH,23,FALSE)+VLOOKUP(A57,'Used GB Charts'!A:AH,25,FALSE)+VLOOKUP(A57,'Used GB Charts'!A:AH,31,FALSE)</f>
        <v>328.32499999999999</v>
      </c>
      <c r="E57" s="704">
        <f ca="1">VLOOKUP(A57,'Used GB Charts'!A:AH,5,FALSE)+VLOOKUP(A57,'Used GB Charts'!A:AH,7,FALSE)+VLOOKUP(A57,'Used GB Charts'!A:AH,11,FALSE)+VLOOKUP(A57,'Used GB Charts'!A:AH,29,FALSE)+VLOOKUP(A57,'Used GB Charts'!A:AH,33,FALSE)+VLOOKUP(A57,'Used GB Charts'!A:AH,34,FALSE)</f>
        <v>202.33027343750001</v>
      </c>
      <c r="F57" s="704">
        <f ca="1">VLOOKUP(A57,'Used GB Charts'!A:AB,12,FALSE)+VLOOKUP(A57,'Used GB Charts'!A:AB,13,FALSE)+VLOOKUP(A57,'Used GB Charts'!A:AB,18,FALSE)</f>
        <v>239.40371093749999</v>
      </c>
      <c r="G57" s="704">
        <f ca="1">VLOOKUP(A57,'Used GB Charts'!A:AB,14,FALSE)+VLOOKUP(A57,'Used GB Charts'!A:AB,15,FALSE)+VLOOKUP(A57,'Used GB Charts'!A:AB,16,FALSE)++VLOOKUP(A57,'Used GB Charts'!A:AB,17,FALSE)</f>
        <v>303.56367187499995</v>
      </c>
      <c r="H57" s="704">
        <f ca="1">VLOOKUP(A57,'Used GB Charts'!A:AB,19,FALSE)+VLOOKUP(A57,'Used GB Charts'!A:AB,20,FALSE)</f>
        <v>5.7286132812500004</v>
      </c>
      <c r="I57" s="704">
        <f t="shared" ca="1" si="0"/>
        <v>1202.42626953125</v>
      </c>
      <c r="J57" s="987">
        <f t="shared" ca="1" si="18"/>
        <v>28.584863281250136</v>
      </c>
      <c r="K57" s="987">
        <f t="shared" ca="1" si="19"/>
        <v>14.312392578125014</v>
      </c>
    </row>
    <row r="58" spans="1:11" x14ac:dyDescent="0.25">
      <c r="A58" s="703">
        <v>41498</v>
      </c>
      <c r="B58" s="704">
        <f ca="1">VLOOKUP(A58,'Used GB Charts'!A:AH,2,FALSE)+VLOOKUP(A58,'Used GB Charts'!A:AH,30,FALSE)</f>
        <v>44.67431640625</v>
      </c>
      <c r="C58" s="704">
        <f ca="1">VLOOKUP(A58,'Used GB Charts'!A:AH,3,FALSE)+VLOOKUP(A58,'Used GB Charts'!A:AH,32,FALSE)</f>
        <v>77.346972656250003</v>
      </c>
      <c r="D58" s="704">
        <f ca="1">VLOOKUP(A58,'Used GB Charts'!A:AH,4,FALSE)+VLOOKUP(A58,'Used GB Charts'!A:AH,6,FALSE)+VLOOKUP(A58,'Used GB Charts'!A:AH,8,FALSE)+VLOOKUP(A58,'Used GB Charts'!A:AH,9,FALSE)+VLOOKUP(A58,'Used GB Charts'!A:AH,10,FALSE)+VLOOKUP(A58,'Used GB Charts'!A:AH,22,FALSE)+VLOOKUP(A58,'Used GB Charts'!A:AH,23,FALSE)+VLOOKUP(A58,'Used GB Charts'!A:AH,25,FALSE)+VLOOKUP(A58,'Used GB Charts'!A:AH,31,FALSE)</f>
        <v>317.123046875</v>
      </c>
      <c r="E58" s="704">
        <f ca="1">VLOOKUP(A58,'Used GB Charts'!A:AH,5,FALSE)+VLOOKUP(A58,'Used GB Charts'!A:AH,7,FALSE)+VLOOKUP(A58,'Used GB Charts'!A:AH,11,FALSE)+VLOOKUP(A58,'Used GB Charts'!A:AH,29,FALSE)+VLOOKUP(A58,'Used GB Charts'!A:AH,33,FALSE)+VLOOKUP(A58,'Used GB Charts'!A:AH,34,FALSE)</f>
        <v>198.84541015625001</v>
      </c>
      <c r="F58" s="704">
        <f ca="1">VLOOKUP(A58,'Used GB Charts'!A:AB,12,FALSE)+VLOOKUP(A58,'Used GB Charts'!A:AB,13,FALSE)+VLOOKUP(A58,'Used GB Charts'!A:AB,18,FALSE)</f>
        <v>246.39130859374998</v>
      </c>
      <c r="G58" s="704">
        <f ca="1">VLOOKUP(A58,'Used GB Charts'!A:AB,14,FALSE)+VLOOKUP(A58,'Used GB Charts'!A:AB,15,FALSE)+VLOOKUP(A58,'Used GB Charts'!A:AB,16,FALSE)++VLOOKUP(A58,'Used GB Charts'!A:AB,17,FALSE)</f>
        <v>283.81806640624995</v>
      </c>
      <c r="H58" s="704">
        <f ca="1">VLOOKUP(A58,'Used GB Charts'!A:AB,19,FALSE)+VLOOKUP(A58,'Used GB Charts'!A:AB,20,FALSE)</f>
        <v>5.6422851562499998</v>
      </c>
      <c r="I58" s="704">
        <f t="shared" ca="1" si="0"/>
        <v>1173.8414062499999</v>
      </c>
      <c r="J58" s="987">
        <f t="shared" ca="1" si="18"/>
        <v>0.2937499999998181</v>
      </c>
      <c r="K58" s="987">
        <f t="shared" ca="1" si="19"/>
        <v>11.453906249999999</v>
      </c>
    </row>
    <row r="59" spans="1:11" x14ac:dyDescent="0.25">
      <c r="A59" s="703">
        <v>41491</v>
      </c>
      <c r="B59" s="704">
        <f ca="1">VLOOKUP(A59,'Used GB Charts'!A:AH,2,FALSE)+VLOOKUP(A59,'Used GB Charts'!A:AH,30,FALSE)</f>
        <v>44.549023437499997</v>
      </c>
      <c r="C59" s="704">
        <f ca="1">VLOOKUP(A59,'Used GB Charts'!A:AH,3,FALSE)+VLOOKUP(A59,'Used GB Charts'!A:AH,32,FALSE)</f>
        <v>77.274707031250003</v>
      </c>
      <c r="D59" s="704">
        <f ca="1">VLOOKUP(A59,'Used GB Charts'!A:AH,4,FALSE)+VLOOKUP(A59,'Used GB Charts'!A:AH,6,FALSE)+VLOOKUP(A59,'Used GB Charts'!A:AH,8,FALSE)+VLOOKUP(A59,'Used GB Charts'!A:AH,9,FALSE)+VLOOKUP(A59,'Used GB Charts'!A:AH,10,FALSE)+VLOOKUP(A59,'Used GB Charts'!A:AH,22,FALSE)+VLOOKUP(A59,'Used GB Charts'!A:AH,23,FALSE)+VLOOKUP(A59,'Used GB Charts'!A:AH,25,FALSE)+VLOOKUP(A59,'Used GB Charts'!A:AH,31,FALSE)</f>
        <v>315.29316406249995</v>
      </c>
      <c r="E59" s="704">
        <f ca="1">VLOOKUP(A59,'Used GB Charts'!A:AH,5,FALSE)+VLOOKUP(A59,'Used GB Charts'!A:AH,7,FALSE)+VLOOKUP(A59,'Used GB Charts'!A:AH,11,FALSE)+VLOOKUP(A59,'Used GB Charts'!A:AH,29,FALSE)+VLOOKUP(A59,'Used GB Charts'!A:AH,33,FALSE)+VLOOKUP(A59,'Used GB Charts'!A:AH,34,FALSE)</f>
        <v>198.29765625000002</v>
      </c>
      <c r="F59" s="704">
        <f ca="1">VLOOKUP(A59,'Used GB Charts'!A:AB,12,FALSE)+VLOOKUP(A59,'Used GB Charts'!A:AB,13,FALSE)+VLOOKUP(A59,'Used GB Charts'!A:AB,18,FALSE)</f>
        <v>250.41982421874999</v>
      </c>
      <c r="G59" s="704">
        <f ca="1">VLOOKUP(A59,'Used GB Charts'!A:AB,14,FALSE)+VLOOKUP(A59,'Used GB Charts'!A:AB,15,FALSE)+VLOOKUP(A59,'Used GB Charts'!A:AB,16,FALSE)++VLOOKUP(A59,'Used GB Charts'!A:AB,17,FALSE)</f>
        <v>282.12519531250001</v>
      </c>
      <c r="H59" s="704">
        <f ca="1">VLOOKUP(A59,'Used GB Charts'!A:AB,19,FALSE)+VLOOKUP(A59,'Used GB Charts'!A:AB,20,FALSE)</f>
        <v>5.5880859374999998</v>
      </c>
      <c r="I59" s="704">
        <f t="shared" ca="1" si="0"/>
        <v>1173.54765625</v>
      </c>
      <c r="J59" s="987">
        <f t="shared" ca="1" si="18"/>
        <v>8.8698242187499545</v>
      </c>
      <c r="K59" s="987">
        <f t="shared" ca="1" si="19"/>
        <v>13.639951171875008</v>
      </c>
    </row>
    <row r="60" spans="1:11" x14ac:dyDescent="0.25">
      <c r="A60" s="703">
        <v>41485</v>
      </c>
      <c r="B60" s="704">
        <f ca="1">VLOOKUP(A60,'Used GB Charts'!A:AH,2,FALSE)+VLOOKUP(A60,'Used GB Charts'!A:AH,30,FALSE)</f>
        <v>44.630761718750001</v>
      </c>
      <c r="C60" s="704">
        <f ca="1">VLOOKUP(A60,'Used GB Charts'!A:AH,3,FALSE)+VLOOKUP(A60,'Used GB Charts'!A:AH,32,FALSE)</f>
        <v>77.111328125</v>
      </c>
      <c r="D60" s="704">
        <f ca="1">VLOOKUP(A60,'Used GB Charts'!A:AH,4,FALSE)+VLOOKUP(A60,'Used GB Charts'!A:AH,6,FALSE)+VLOOKUP(A60,'Used GB Charts'!A:AH,8,FALSE)+VLOOKUP(A60,'Used GB Charts'!A:AH,9,FALSE)+VLOOKUP(A60,'Used GB Charts'!A:AH,10,FALSE)+VLOOKUP(A60,'Used GB Charts'!A:AH,22,FALSE)+VLOOKUP(A60,'Used GB Charts'!A:AH,23,FALSE)+VLOOKUP(A60,'Used GB Charts'!A:AH,25,FALSE)+VLOOKUP(A60,'Used GB Charts'!A:AH,31,FALSE)</f>
        <v>311.8251953125</v>
      </c>
      <c r="E60" s="704">
        <f ca="1">VLOOKUP(A60,'Used GB Charts'!A:AH,5,FALSE)+VLOOKUP(A60,'Used GB Charts'!A:AH,7,FALSE)+VLOOKUP(A60,'Used GB Charts'!A:AH,11,FALSE)+VLOOKUP(A60,'Used GB Charts'!A:AH,29,FALSE)+VLOOKUP(A60,'Used GB Charts'!A:AH,33,FALSE)+VLOOKUP(A60,'Used GB Charts'!A:AH,34,FALSE)</f>
        <v>197.68203124999999</v>
      </c>
      <c r="F60" s="704">
        <f ca="1">VLOOKUP(A60,'Used GB Charts'!A:AB,12,FALSE)+VLOOKUP(A60,'Used GB Charts'!A:AB,13,FALSE)+VLOOKUP(A60,'Used GB Charts'!A:AB,18,FALSE)</f>
        <v>251.80771484375001</v>
      </c>
      <c r="G60" s="704">
        <f ca="1">VLOOKUP(A60,'Used GB Charts'!A:AB,14,FALSE)+VLOOKUP(A60,'Used GB Charts'!A:AB,15,FALSE)+VLOOKUP(A60,'Used GB Charts'!A:AB,16,FALSE)++VLOOKUP(A60,'Used GB Charts'!A:AB,17,FALSE)</f>
        <v>276.09511718750002</v>
      </c>
      <c r="H60" s="704">
        <f ca="1">VLOOKUP(A60,'Used GB Charts'!A:AB,19,FALSE)+VLOOKUP(A60,'Used GB Charts'!A:AB,20,FALSE)</f>
        <v>5.5256835937500002</v>
      </c>
      <c r="I60" s="704">
        <f t="shared" ca="1" si="0"/>
        <v>1164.6778320312501</v>
      </c>
      <c r="J60" s="987">
        <f t="shared" ca="1" si="18"/>
        <v>18.401269531249909</v>
      </c>
      <c r="K60" s="987">
        <f t="shared" ca="1" si="19"/>
        <v>12.905371093750023</v>
      </c>
    </row>
    <row r="61" spans="1:11" x14ac:dyDescent="0.25">
      <c r="A61" s="703">
        <v>41478</v>
      </c>
      <c r="B61" s="704">
        <f ca="1">VLOOKUP(A61,'Used GB Charts'!A:AH,2,FALSE)+VLOOKUP(A61,'Used GB Charts'!A:AH,30,FALSE)</f>
        <v>44.386328124999999</v>
      </c>
      <c r="C61" s="704">
        <f ca="1">VLOOKUP(A61,'Used GB Charts'!A:AH,3,FALSE)+VLOOKUP(A61,'Used GB Charts'!A:AH,32,FALSE)</f>
        <v>77.057324218749997</v>
      </c>
      <c r="D61" s="704">
        <f ca="1">VLOOKUP(A61,'Used GB Charts'!A:AH,4,FALSE)+VLOOKUP(A61,'Used GB Charts'!A:AH,6,FALSE)+VLOOKUP(A61,'Used GB Charts'!A:AH,8,FALSE)+VLOOKUP(A61,'Used GB Charts'!A:AH,9,FALSE)+VLOOKUP(A61,'Used GB Charts'!A:AH,10,FALSE)+VLOOKUP(A61,'Used GB Charts'!A:AH,22,FALSE)+VLOOKUP(A61,'Used GB Charts'!A:AH,23,FALSE)+VLOOKUP(A61,'Used GB Charts'!A:AH,25,FALSE)+VLOOKUP(A61,'Used GB Charts'!A:AH,31,FALSE)</f>
        <v>308.77822265625002</v>
      </c>
      <c r="E61" s="704">
        <f ca="1">VLOOKUP(A61,'Used GB Charts'!A:AH,5,FALSE)+VLOOKUP(A61,'Used GB Charts'!A:AH,7,FALSE)+VLOOKUP(A61,'Used GB Charts'!A:AH,11,FALSE)+VLOOKUP(A61,'Used GB Charts'!A:AH,29,FALSE)+VLOOKUP(A61,'Used GB Charts'!A:AH,33,FALSE)+VLOOKUP(A61,'Used GB Charts'!A:AH,34,FALSE)</f>
        <v>200.05673828125001</v>
      </c>
      <c r="F61" s="704">
        <f ca="1">VLOOKUP(A61,'Used GB Charts'!A:AB,12,FALSE)+VLOOKUP(A61,'Used GB Charts'!A:AB,13,FALSE)+VLOOKUP(A61,'Used GB Charts'!A:AB,18,FALSE)</f>
        <v>239.23339843749997</v>
      </c>
      <c r="G61" s="704">
        <f ca="1">VLOOKUP(A61,'Used GB Charts'!A:AB,14,FALSE)+VLOOKUP(A61,'Used GB Charts'!A:AB,15,FALSE)+VLOOKUP(A61,'Used GB Charts'!A:AB,16,FALSE)++VLOOKUP(A61,'Used GB Charts'!A:AB,17,FALSE)</f>
        <v>271.30283203125003</v>
      </c>
      <c r="H61" s="704">
        <f ca="1">VLOOKUP(A61,'Used GB Charts'!A:AB,19,FALSE)+VLOOKUP(A61,'Used GB Charts'!A:AB,20,FALSE)</f>
        <v>5.4617187500000002</v>
      </c>
      <c r="I61" s="704">
        <f t="shared" ca="1" si="0"/>
        <v>1146.2765625000002</v>
      </c>
      <c r="J61" s="987">
        <f t="shared" ca="1" si="18"/>
        <v>-18.185253906249727</v>
      </c>
      <c r="K61" s="987">
        <f t="shared" ca="1" si="19"/>
        <v>11.065244140625031</v>
      </c>
    </row>
    <row r="62" spans="1:11" x14ac:dyDescent="0.25">
      <c r="A62" s="703">
        <v>41470</v>
      </c>
      <c r="B62" s="704">
        <f ca="1">VLOOKUP(A62,'Used GB Charts'!A:AH,2,FALSE)+VLOOKUP(A62,'Used GB Charts'!A:AH,30,FALSE)</f>
        <v>43.751074218749999</v>
      </c>
      <c r="C62" s="704">
        <f ca="1">VLOOKUP(A62,'Used GB Charts'!A:AH,3,FALSE)+VLOOKUP(A62,'Used GB Charts'!A:AH,32,FALSE)</f>
        <v>76.949804687500006</v>
      </c>
      <c r="D62" s="704">
        <f ca="1">VLOOKUP(A62,'Used GB Charts'!A:AH,4,FALSE)+VLOOKUP(A62,'Used GB Charts'!A:AH,6,FALSE)+VLOOKUP(A62,'Used GB Charts'!A:AH,8,FALSE)+VLOOKUP(A62,'Used GB Charts'!A:AH,9,FALSE)+VLOOKUP(A62,'Used GB Charts'!A:AH,10,FALSE)+VLOOKUP(A62,'Used GB Charts'!A:AH,22,FALSE)+VLOOKUP(A62,'Used GB Charts'!A:AH,23,FALSE)+VLOOKUP(A62,'Used GB Charts'!A:AH,25,FALSE)+VLOOKUP(A62,'Used GB Charts'!A:AH,31,FALSE)</f>
        <v>356.33964843749999</v>
      </c>
      <c r="E62" s="704">
        <f ca="1">VLOOKUP(A62,'Used GB Charts'!A:AH,5,FALSE)+VLOOKUP(A62,'Used GB Charts'!A:AH,7,FALSE)+VLOOKUP(A62,'Used GB Charts'!A:AH,11,FALSE)+VLOOKUP(A62,'Used GB Charts'!A:AH,29,FALSE)+VLOOKUP(A62,'Used GB Charts'!A:AH,33,FALSE)+VLOOKUP(A62,'Used GB Charts'!A:AH,34,FALSE)</f>
        <v>199.64257812499997</v>
      </c>
      <c r="F62" s="704">
        <f ca="1">VLOOKUP(A62,'Used GB Charts'!A:AB,12,FALSE)+VLOOKUP(A62,'Used GB Charts'!A:AB,13,FALSE)+VLOOKUP(A62,'Used GB Charts'!A:AB,18,FALSE)</f>
        <v>226.62265625000001</v>
      </c>
      <c r="G62" s="704">
        <f ca="1">VLOOKUP(A62,'Used GB Charts'!A:AB,14,FALSE)+VLOOKUP(A62,'Used GB Charts'!A:AB,15,FALSE)+VLOOKUP(A62,'Used GB Charts'!A:AB,16,FALSE)++VLOOKUP(A62,'Used GB Charts'!A:AB,17,FALSE)</f>
        <v>255.73447265624998</v>
      </c>
      <c r="H62" s="704">
        <f ca="1">VLOOKUP(A62,'Used GB Charts'!A:AB,19,FALSE)+VLOOKUP(A62,'Used GB Charts'!A:AB,20,FALSE)</f>
        <v>5.4215820312499998</v>
      </c>
      <c r="I62" s="704">
        <f t="shared" ca="1" si="0"/>
        <v>1164.4618164062499</v>
      </c>
      <c r="J62" s="987">
        <f t="shared" ca="1" si="18"/>
        <v>105.15947265625005</v>
      </c>
      <c r="K62" s="987">
        <f t="shared" ca="1" si="19"/>
        <v>12.883769531250005</v>
      </c>
    </row>
    <row r="63" spans="1:11" x14ac:dyDescent="0.25">
      <c r="A63" s="703">
        <v>41464</v>
      </c>
      <c r="B63" s="704">
        <f ca="1">VLOOKUP(A63,'Used GB Charts'!A:AH,2,FALSE)+VLOOKUP(A63,'Used GB Charts'!A:AH,30,FALSE)</f>
        <v>42.384570312500003</v>
      </c>
      <c r="C63" s="704">
        <f ca="1">VLOOKUP(A63,'Used GB Charts'!A:AH,3,FALSE)+VLOOKUP(A63,'Used GB Charts'!A:AH,32,FALSE)</f>
        <v>76.84765625</v>
      </c>
      <c r="D63" s="704">
        <f ca="1">VLOOKUP(A63,'Used GB Charts'!A:AH,4,FALSE)+VLOOKUP(A63,'Used GB Charts'!A:AH,6,FALSE)+VLOOKUP(A63,'Used GB Charts'!A:AH,8,FALSE)+VLOOKUP(A63,'Used GB Charts'!A:AH,9,FALSE)+VLOOKUP(A63,'Used GB Charts'!A:AH,10,FALSE)+VLOOKUP(A63,'Used GB Charts'!A:AH,22,FALSE)+VLOOKUP(A63,'Used GB Charts'!A:AH,23,FALSE)+VLOOKUP(A63,'Used GB Charts'!A:AH,25,FALSE)+VLOOKUP(A63,'Used GB Charts'!A:AH,31,FALSE)</f>
        <v>284.48623046874997</v>
      </c>
      <c r="E63" s="704">
        <f ca="1">VLOOKUP(A63,'Used GB Charts'!A:AH,5,FALSE)+VLOOKUP(A63,'Used GB Charts'!A:AH,7,FALSE)+VLOOKUP(A63,'Used GB Charts'!A:AH,11,FALSE)+VLOOKUP(A63,'Used GB Charts'!A:AH,29,FALSE)+VLOOKUP(A63,'Used GB Charts'!A:AH,33,FALSE)+VLOOKUP(A63,'Used GB Charts'!A:AH,34,FALSE)</f>
        <v>197.73310546875001</v>
      </c>
      <c r="F63" s="704">
        <f ca="1">VLOOKUP(A63,'Used GB Charts'!A:AB,12,FALSE)+VLOOKUP(A63,'Used GB Charts'!A:AB,13,FALSE)+VLOOKUP(A63,'Used GB Charts'!A:AB,18,FALSE)</f>
        <v>212.08144531249999</v>
      </c>
      <c r="G63" s="704">
        <f ca="1">VLOOKUP(A63,'Used GB Charts'!A:AB,14,FALSE)+VLOOKUP(A63,'Used GB Charts'!A:AB,15,FALSE)+VLOOKUP(A63,'Used GB Charts'!A:AB,16,FALSE)++VLOOKUP(A63,'Used GB Charts'!A:AB,17,FALSE)</f>
        <v>240.83378906249999</v>
      </c>
      <c r="H63" s="704">
        <f ca="1">VLOOKUP(A63,'Used GB Charts'!A:AB,19,FALSE)+VLOOKUP(A63,'Used GB Charts'!A:AB,20,FALSE)</f>
        <v>4.935546875</v>
      </c>
      <c r="I63" s="704">
        <f t="shared" ca="1" si="0"/>
        <v>1059.3023437499999</v>
      </c>
      <c r="J63" s="987">
        <f t="shared" ca="1" si="18"/>
        <v>-114.24531250000018</v>
      </c>
      <c r="K63" s="987">
        <f t="shared" ca="1" si="19"/>
        <v>2.3678222656250001</v>
      </c>
    </row>
    <row r="64" spans="1:11" x14ac:dyDescent="0.25">
      <c r="A64" s="703">
        <v>41491</v>
      </c>
      <c r="B64" s="704">
        <f ca="1">VLOOKUP(A64,'Used GB Charts'!A:AH,2,FALSE)+VLOOKUP(A64,'Used GB Charts'!A:AH,30,FALSE)</f>
        <v>44.549023437499997</v>
      </c>
      <c r="C64" s="704">
        <f ca="1">VLOOKUP(A64,'Used GB Charts'!A:AH,3,FALSE)+VLOOKUP(A64,'Used GB Charts'!A:AH,32,FALSE)</f>
        <v>77.274707031250003</v>
      </c>
      <c r="D64" s="704">
        <f ca="1">VLOOKUP(A64,'Used GB Charts'!A:AH,4,FALSE)+VLOOKUP(A64,'Used GB Charts'!A:AH,6,FALSE)+VLOOKUP(A64,'Used GB Charts'!A:AH,8,FALSE)+VLOOKUP(A64,'Used GB Charts'!A:AH,9,FALSE)+VLOOKUP(A64,'Used GB Charts'!A:AH,10,FALSE)+VLOOKUP(A64,'Used GB Charts'!A:AH,22,FALSE)+VLOOKUP(A64,'Used GB Charts'!A:AH,23,FALSE)+VLOOKUP(A64,'Used GB Charts'!A:AH,25,FALSE)+VLOOKUP(A64,'Used GB Charts'!A:AH,31,FALSE)</f>
        <v>315.29316406249995</v>
      </c>
      <c r="E64" s="704">
        <f ca="1">VLOOKUP(A64,'Used GB Charts'!A:AH,5,FALSE)+VLOOKUP(A64,'Used GB Charts'!A:AH,7,FALSE)+VLOOKUP(A64,'Used GB Charts'!A:AH,11,FALSE)+VLOOKUP(A64,'Used GB Charts'!A:AH,29,FALSE)+VLOOKUP(A64,'Used GB Charts'!A:AH,33,FALSE)+VLOOKUP(A64,'Used GB Charts'!A:AH,34,FALSE)</f>
        <v>198.29765625000002</v>
      </c>
      <c r="F64" s="704">
        <f ca="1">VLOOKUP(A64,'Used GB Charts'!A:AB,12,FALSE)+VLOOKUP(A64,'Used GB Charts'!A:AB,13,FALSE)+VLOOKUP(A64,'Used GB Charts'!A:AB,18,FALSE)</f>
        <v>250.41982421874999</v>
      </c>
      <c r="G64" s="704">
        <f ca="1">VLOOKUP(A64,'Used GB Charts'!A:AB,14,FALSE)+VLOOKUP(A64,'Used GB Charts'!A:AB,15,FALSE)+VLOOKUP(A64,'Used GB Charts'!A:AB,16,FALSE)++VLOOKUP(A64,'Used GB Charts'!A:AB,17,FALSE)</f>
        <v>282.12519531250001</v>
      </c>
      <c r="H64" s="704">
        <f ca="1">VLOOKUP(A64,'Used GB Charts'!A:AB,19,FALSE)+VLOOKUP(A64,'Used GB Charts'!A:AB,20,FALSE)</f>
        <v>5.5880859374999998</v>
      </c>
      <c r="I64" s="704">
        <f t="shared" ca="1" si="0"/>
        <v>1173.54765625</v>
      </c>
      <c r="J64" s="987">
        <f t="shared" ca="1" si="18"/>
        <v>8.8698242187499545</v>
      </c>
      <c r="K64" s="987">
        <f t="shared" ca="1" si="19"/>
        <v>13.792353515625019</v>
      </c>
    </row>
    <row r="65" spans="1:11" x14ac:dyDescent="0.25">
      <c r="A65" s="703">
        <v>41485</v>
      </c>
      <c r="B65" s="704">
        <f ca="1">VLOOKUP(A65,'Used GB Charts'!A:AH,2,FALSE)+VLOOKUP(A65,'Used GB Charts'!A:AH,30,FALSE)</f>
        <v>44.630761718750001</v>
      </c>
      <c r="C65" s="704">
        <f ca="1">VLOOKUP(A65,'Used GB Charts'!A:AH,3,FALSE)+VLOOKUP(A65,'Used GB Charts'!A:AH,32,FALSE)</f>
        <v>77.111328125</v>
      </c>
      <c r="D65" s="704">
        <f ca="1">VLOOKUP(A65,'Used GB Charts'!A:AH,4,FALSE)+VLOOKUP(A65,'Used GB Charts'!A:AH,6,FALSE)+VLOOKUP(A65,'Used GB Charts'!A:AH,8,FALSE)+VLOOKUP(A65,'Used GB Charts'!A:AH,9,FALSE)+VLOOKUP(A65,'Used GB Charts'!A:AH,10,FALSE)+VLOOKUP(A65,'Used GB Charts'!A:AH,22,FALSE)+VLOOKUP(A65,'Used GB Charts'!A:AH,23,FALSE)+VLOOKUP(A65,'Used GB Charts'!A:AH,25,FALSE)+VLOOKUP(A65,'Used GB Charts'!A:AH,31,FALSE)</f>
        <v>311.8251953125</v>
      </c>
      <c r="E65" s="704">
        <f ca="1">VLOOKUP(A65,'Used GB Charts'!A:AH,5,FALSE)+VLOOKUP(A65,'Used GB Charts'!A:AH,7,FALSE)+VLOOKUP(A65,'Used GB Charts'!A:AH,11,FALSE)+VLOOKUP(A65,'Used GB Charts'!A:AH,29,FALSE)+VLOOKUP(A65,'Used GB Charts'!A:AH,33,FALSE)+VLOOKUP(A65,'Used GB Charts'!A:AH,34,FALSE)</f>
        <v>197.68203124999999</v>
      </c>
      <c r="F65" s="704">
        <f ca="1">VLOOKUP(A65,'Used GB Charts'!A:AB,12,FALSE)+VLOOKUP(A65,'Used GB Charts'!A:AB,13,FALSE)+VLOOKUP(A65,'Used GB Charts'!A:AB,18,FALSE)</f>
        <v>251.80771484375001</v>
      </c>
      <c r="G65" s="704">
        <f ca="1">VLOOKUP(A65,'Used GB Charts'!A:AB,14,FALSE)+VLOOKUP(A65,'Used GB Charts'!A:AB,15,FALSE)+VLOOKUP(A65,'Used GB Charts'!A:AB,16,FALSE)++VLOOKUP(A65,'Used GB Charts'!A:AB,17,FALSE)</f>
        <v>276.09511718750002</v>
      </c>
      <c r="H65" s="704">
        <f ca="1">VLOOKUP(A65,'Used GB Charts'!A:AB,19,FALSE)+VLOOKUP(A65,'Used GB Charts'!A:AB,20,FALSE)</f>
        <v>5.5256835937500002</v>
      </c>
      <c r="I65" s="704">
        <f t="shared" ca="1" si="0"/>
        <v>1164.6778320312501</v>
      </c>
      <c r="J65" s="987">
        <f t="shared" ca="1" si="18"/>
        <v>18.401269531249909</v>
      </c>
      <c r="K65" s="987">
        <f t="shared" ca="1" si="19"/>
        <v>12.905371093750023</v>
      </c>
    </row>
    <row r="66" spans="1:11" x14ac:dyDescent="0.25">
      <c r="A66" s="703">
        <v>41478</v>
      </c>
      <c r="B66" s="704">
        <f ca="1">VLOOKUP(A66,'Used GB Charts'!A:AH,2,FALSE)+VLOOKUP(A66,'Used GB Charts'!A:AH,30,FALSE)</f>
        <v>44.386328124999999</v>
      </c>
      <c r="C66" s="704">
        <f ca="1">VLOOKUP(A66,'Used GB Charts'!A:AH,3,FALSE)+VLOOKUP(A66,'Used GB Charts'!A:AH,32,FALSE)</f>
        <v>77.057324218749997</v>
      </c>
      <c r="D66" s="704">
        <f ca="1">VLOOKUP(A66,'Used GB Charts'!A:AH,4,FALSE)+VLOOKUP(A66,'Used GB Charts'!A:AH,6,FALSE)+VLOOKUP(A66,'Used GB Charts'!A:AH,8,FALSE)+VLOOKUP(A66,'Used GB Charts'!A:AH,9,FALSE)+VLOOKUP(A66,'Used GB Charts'!A:AH,10,FALSE)+VLOOKUP(A66,'Used GB Charts'!A:AH,22,FALSE)+VLOOKUP(A66,'Used GB Charts'!A:AH,23,FALSE)+VLOOKUP(A66,'Used GB Charts'!A:AH,25,FALSE)+VLOOKUP(A66,'Used GB Charts'!A:AH,31,FALSE)</f>
        <v>308.77822265625002</v>
      </c>
      <c r="E66" s="704">
        <f ca="1">VLOOKUP(A66,'Used GB Charts'!A:AH,5,FALSE)+VLOOKUP(A66,'Used GB Charts'!A:AH,7,FALSE)+VLOOKUP(A66,'Used GB Charts'!A:AH,11,FALSE)+VLOOKUP(A66,'Used GB Charts'!A:AH,29,FALSE)+VLOOKUP(A66,'Used GB Charts'!A:AH,33,FALSE)+VLOOKUP(A66,'Used GB Charts'!A:AH,34,FALSE)</f>
        <v>200.05673828125001</v>
      </c>
      <c r="F66" s="704">
        <f ca="1">VLOOKUP(A66,'Used GB Charts'!A:AB,12,FALSE)+VLOOKUP(A66,'Used GB Charts'!A:AB,13,FALSE)+VLOOKUP(A66,'Used GB Charts'!A:AB,18,FALSE)</f>
        <v>239.23339843749997</v>
      </c>
      <c r="G66" s="704">
        <f ca="1">VLOOKUP(A66,'Used GB Charts'!A:AB,14,FALSE)+VLOOKUP(A66,'Used GB Charts'!A:AB,15,FALSE)+VLOOKUP(A66,'Used GB Charts'!A:AB,16,FALSE)++VLOOKUP(A66,'Used GB Charts'!A:AB,17,FALSE)</f>
        <v>271.30283203125003</v>
      </c>
      <c r="H66" s="704">
        <f ca="1">VLOOKUP(A66,'Used GB Charts'!A:AB,19,FALSE)+VLOOKUP(A66,'Used GB Charts'!A:AB,20,FALSE)</f>
        <v>5.4617187500000002</v>
      </c>
      <c r="I66" s="704">
        <f t="shared" ca="1" si="0"/>
        <v>1146.2765625000002</v>
      </c>
      <c r="J66" s="987">
        <f t="shared" ca="1" si="18"/>
        <v>-18.185253906249727</v>
      </c>
      <c r="K66" s="987">
        <f t="shared" ca="1" si="19"/>
        <v>11.065244140625031</v>
      </c>
    </row>
    <row r="67" spans="1:11" x14ac:dyDescent="0.25">
      <c r="A67" s="703">
        <v>41470</v>
      </c>
      <c r="B67" s="704">
        <f ca="1">VLOOKUP(A67,'Used GB Charts'!A:AH,2,FALSE)+VLOOKUP(A67,'Used GB Charts'!A:AH,30,FALSE)</f>
        <v>43.751074218749999</v>
      </c>
      <c r="C67" s="704">
        <f ca="1">VLOOKUP(A67,'Used GB Charts'!A:AH,3,FALSE)+VLOOKUP(A67,'Used GB Charts'!A:AH,32,FALSE)</f>
        <v>76.949804687500006</v>
      </c>
      <c r="D67" s="704">
        <f ca="1">VLOOKUP(A67,'Used GB Charts'!A:AH,4,FALSE)+VLOOKUP(A67,'Used GB Charts'!A:AH,6,FALSE)+VLOOKUP(A67,'Used GB Charts'!A:AH,8,FALSE)+VLOOKUP(A67,'Used GB Charts'!A:AH,9,FALSE)+VLOOKUP(A67,'Used GB Charts'!A:AH,10,FALSE)+VLOOKUP(A67,'Used GB Charts'!A:AH,22,FALSE)+VLOOKUP(A67,'Used GB Charts'!A:AH,23,FALSE)+VLOOKUP(A67,'Used GB Charts'!A:AH,25,FALSE)+VLOOKUP(A67,'Used GB Charts'!A:AH,31,FALSE)</f>
        <v>356.33964843749999</v>
      </c>
      <c r="E67" s="704">
        <f ca="1">VLOOKUP(A67,'Used GB Charts'!A:AH,5,FALSE)+VLOOKUP(A67,'Used GB Charts'!A:AH,7,FALSE)+VLOOKUP(A67,'Used GB Charts'!A:AH,11,FALSE)+VLOOKUP(A67,'Used GB Charts'!A:AH,29,FALSE)+VLOOKUP(A67,'Used GB Charts'!A:AH,33,FALSE)+VLOOKUP(A67,'Used GB Charts'!A:AH,34,FALSE)</f>
        <v>199.64257812499997</v>
      </c>
      <c r="F67" s="704">
        <f ca="1">VLOOKUP(A67,'Used GB Charts'!A:AB,12,FALSE)+VLOOKUP(A67,'Used GB Charts'!A:AB,13,FALSE)+VLOOKUP(A67,'Used GB Charts'!A:AB,18,FALSE)</f>
        <v>226.62265625000001</v>
      </c>
      <c r="G67" s="704">
        <f ca="1">VLOOKUP(A67,'Used GB Charts'!A:AB,14,FALSE)+VLOOKUP(A67,'Used GB Charts'!A:AB,15,FALSE)+VLOOKUP(A67,'Used GB Charts'!A:AB,16,FALSE)++VLOOKUP(A67,'Used GB Charts'!A:AB,17,FALSE)</f>
        <v>255.73447265624998</v>
      </c>
      <c r="H67" s="704">
        <f ca="1">VLOOKUP(A67,'Used GB Charts'!A:AB,19,FALSE)+VLOOKUP(A67,'Used GB Charts'!A:AB,20,FALSE)</f>
        <v>5.4215820312499998</v>
      </c>
      <c r="I67" s="704">
        <f t="shared" ca="1" si="0"/>
        <v>1164.4618164062499</v>
      </c>
      <c r="J67" s="987">
        <f t="shared" ca="1" si="18"/>
        <v>105.15947265625005</v>
      </c>
      <c r="K67" s="987">
        <f t="shared" ca="1" si="19"/>
        <v>12.883769531250005</v>
      </c>
    </row>
    <row r="68" spans="1:11" x14ac:dyDescent="0.25">
      <c r="A68" s="703">
        <v>41464</v>
      </c>
      <c r="B68" s="704">
        <f ca="1">VLOOKUP(A68,'Used GB Charts'!A:AH,2,FALSE)+VLOOKUP(A68,'Used GB Charts'!A:AH,30,FALSE)</f>
        <v>42.384570312500003</v>
      </c>
      <c r="C68" s="704">
        <f ca="1">VLOOKUP(A68,'Used GB Charts'!A:AH,3,FALSE)+VLOOKUP(A68,'Used GB Charts'!A:AH,32,FALSE)</f>
        <v>76.84765625</v>
      </c>
      <c r="D68" s="704">
        <f ca="1">VLOOKUP(A68,'Used GB Charts'!A:AH,4,FALSE)+VLOOKUP(A68,'Used GB Charts'!A:AH,6,FALSE)+VLOOKUP(A68,'Used GB Charts'!A:AH,8,FALSE)+VLOOKUP(A68,'Used GB Charts'!A:AH,9,FALSE)+VLOOKUP(A68,'Used GB Charts'!A:AH,10,FALSE)+VLOOKUP(A68,'Used GB Charts'!A:AH,22,FALSE)+VLOOKUP(A68,'Used GB Charts'!A:AH,23,FALSE)+VLOOKUP(A68,'Used GB Charts'!A:AH,25,FALSE)+VLOOKUP(A68,'Used GB Charts'!A:AH,31,FALSE)</f>
        <v>284.48623046874997</v>
      </c>
      <c r="E68" s="704">
        <f ca="1">VLOOKUP(A68,'Used GB Charts'!A:AH,5,FALSE)+VLOOKUP(A68,'Used GB Charts'!A:AH,7,FALSE)+VLOOKUP(A68,'Used GB Charts'!A:AH,11,FALSE)+VLOOKUP(A68,'Used GB Charts'!A:AH,29,FALSE)+VLOOKUP(A68,'Used GB Charts'!A:AH,33,FALSE)+VLOOKUP(A68,'Used GB Charts'!A:AH,34,FALSE)</f>
        <v>197.73310546875001</v>
      </c>
      <c r="F68" s="704">
        <f ca="1">VLOOKUP(A68,'Used GB Charts'!A:AB,12,FALSE)+VLOOKUP(A68,'Used GB Charts'!A:AB,13,FALSE)+VLOOKUP(A68,'Used GB Charts'!A:AB,18,FALSE)</f>
        <v>212.08144531249999</v>
      </c>
      <c r="G68" s="704">
        <f ca="1">VLOOKUP(A68,'Used GB Charts'!A:AB,14,FALSE)+VLOOKUP(A68,'Used GB Charts'!A:AB,15,FALSE)+VLOOKUP(A68,'Used GB Charts'!A:AB,16,FALSE)++VLOOKUP(A68,'Used GB Charts'!A:AB,17,FALSE)</f>
        <v>240.83378906249999</v>
      </c>
      <c r="H68" s="704">
        <f ca="1">VLOOKUP(A68,'Used GB Charts'!A:AB,19,FALSE)+VLOOKUP(A68,'Used GB Charts'!A:AB,20,FALSE)</f>
        <v>4.935546875</v>
      </c>
      <c r="I68" s="704">
        <f t="shared" ca="1" si="0"/>
        <v>1059.3023437499999</v>
      </c>
      <c r="J68" s="987">
        <f t="shared" ca="1" si="18"/>
        <v>0</v>
      </c>
      <c r="K68" s="987">
        <f t="shared" ca="1" si="19"/>
        <v>2.3678222656250001</v>
      </c>
    </row>
    <row r="69" spans="1:11" x14ac:dyDescent="0.25">
      <c r="A69" s="703">
        <v>41449</v>
      </c>
      <c r="B69" s="704">
        <f ca="1">VLOOKUP(A69,'Used GB Charts'!A:AH,2,FALSE)+VLOOKUP(A69,'Used GB Charts'!A:AH,30,FALSE)</f>
        <v>42.384570312500003</v>
      </c>
      <c r="C69" s="704">
        <f ca="1">VLOOKUP(A69,'Used GB Charts'!A:AH,3,FALSE)+VLOOKUP(A69,'Used GB Charts'!A:AH,32,FALSE)</f>
        <v>76.84765625</v>
      </c>
      <c r="D69" s="704">
        <f ca="1">VLOOKUP(A69,'Used GB Charts'!A:AH,4,FALSE)+VLOOKUP(A69,'Used GB Charts'!A:AH,6,FALSE)+VLOOKUP(A69,'Used GB Charts'!A:AH,8,FALSE)+VLOOKUP(A69,'Used GB Charts'!A:AH,9,FALSE)+VLOOKUP(A69,'Used GB Charts'!A:AH,10,FALSE)+VLOOKUP(A69,'Used GB Charts'!A:AH,22,FALSE)+VLOOKUP(A69,'Used GB Charts'!A:AH,23,FALSE)+VLOOKUP(A69,'Used GB Charts'!A:AH,25,FALSE)+VLOOKUP(A69,'Used GB Charts'!A:AH,31,FALSE)</f>
        <v>284.48623046874997</v>
      </c>
      <c r="E69" s="704">
        <f ca="1">VLOOKUP(A69,'Used GB Charts'!A:AH,5,FALSE)+VLOOKUP(A69,'Used GB Charts'!A:AH,7,FALSE)+VLOOKUP(A69,'Used GB Charts'!A:AH,11,FALSE)+VLOOKUP(A69,'Used GB Charts'!A:AH,29,FALSE)+VLOOKUP(A69,'Used GB Charts'!A:AH,33,FALSE)+VLOOKUP(A69,'Used GB Charts'!A:AH,34,FALSE)</f>
        <v>197.73310546875001</v>
      </c>
      <c r="F69" s="704">
        <f ca="1">VLOOKUP(A69,'Used GB Charts'!A:AB,12,FALSE)+VLOOKUP(A69,'Used GB Charts'!A:AB,13,FALSE)+VLOOKUP(A69,'Used GB Charts'!A:AB,18,FALSE)</f>
        <v>212.08144531249999</v>
      </c>
      <c r="G69" s="704">
        <f ca="1">VLOOKUP(A69,'Used GB Charts'!A:AB,14,FALSE)+VLOOKUP(A69,'Used GB Charts'!A:AB,15,FALSE)+VLOOKUP(A69,'Used GB Charts'!A:AB,16,FALSE)++VLOOKUP(A69,'Used GB Charts'!A:AB,17,FALSE)</f>
        <v>240.83378906249999</v>
      </c>
      <c r="H69" s="704">
        <f ca="1">VLOOKUP(A69,'Used GB Charts'!A:AB,19,FALSE)+VLOOKUP(A69,'Used GB Charts'!A:AB,20,FALSE)</f>
        <v>4.935546875</v>
      </c>
      <c r="I69" s="704">
        <f t="shared" ca="1" si="0"/>
        <v>1059.3023437499999</v>
      </c>
      <c r="J69" s="987">
        <f t="shared" ca="1" si="18"/>
        <v>22.154199218749909</v>
      </c>
      <c r="K69" s="987">
        <f t="shared" ca="1" si="19"/>
        <v>2.3678222656250001</v>
      </c>
    </row>
    <row r="70" spans="1:11" x14ac:dyDescent="0.25">
      <c r="A70" s="703">
        <v>41445</v>
      </c>
      <c r="B70" s="704">
        <f ca="1">VLOOKUP(A70,'Used GB Charts'!A:AH,2,FALSE)+VLOOKUP(A70,'Used GB Charts'!A:AH,30,FALSE)</f>
        <v>42.542871093750001</v>
      </c>
      <c r="C70" s="704">
        <f ca="1">VLOOKUP(A70,'Used GB Charts'!A:AH,3,FALSE)+VLOOKUP(A70,'Used GB Charts'!A:AH,32,FALSE)</f>
        <v>76.749218749999997</v>
      </c>
      <c r="D70" s="704">
        <f ca="1">VLOOKUP(A70,'Used GB Charts'!A:AH,4,FALSE)+VLOOKUP(A70,'Used GB Charts'!A:AH,6,FALSE)+VLOOKUP(A70,'Used GB Charts'!A:AH,8,FALSE)+VLOOKUP(A70,'Used GB Charts'!A:AH,9,FALSE)+VLOOKUP(A70,'Used GB Charts'!A:AH,10,FALSE)+VLOOKUP(A70,'Used GB Charts'!A:AH,22,FALSE)+VLOOKUP(A70,'Used GB Charts'!A:AH,23,FALSE)+VLOOKUP(A70,'Used GB Charts'!A:AH,25,FALSE)+VLOOKUP(A70,'Used GB Charts'!A:AH,31,FALSE)</f>
        <v>276.17060546875001</v>
      </c>
      <c r="E70" s="704">
        <f ca="1">VLOOKUP(A70,'Used GB Charts'!A:AH,5,FALSE)+VLOOKUP(A70,'Used GB Charts'!A:AH,7,FALSE)+VLOOKUP(A70,'Used GB Charts'!A:AH,11,FALSE)+VLOOKUP(A70,'Used GB Charts'!A:AH,29,FALSE)+VLOOKUP(A70,'Used GB Charts'!A:AH,33,FALSE)+VLOOKUP(A70,'Used GB Charts'!A:AH,34,FALSE)</f>
        <v>196.24335937500001</v>
      </c>
      <c r="F70" s="704">
        <f ca="1">VLOOKUP(A70,'Used GB Charts'!A:AB,12,FALSE)+VLOOKUP(A70,'Used GB Charts'!A:AB,13,FALSE)+VLOOKUP(A70,'Used GB Charts'!A:AB,18,FALSE)</f>
        <v>212.9326171875</v>
      </c>
      <c r="G70" s="704">
        <f ca="1">VLOOKUP(A70,'Used GB Charts'!A:AB,14,FALSE)+VLOOKUP(A70,'Used GB Charts'!A:AB,15,FALSE)+VLOOKUP(A70,'Used GB Charts'!A:AB,16,FALSE)++VLOOKUP(A70,'Used GB Charts'!A:AB,17,FALSE)</f>
        <v>227.59658203124999</v>
      </c>
      <c r="H70" s="704">
        <f ca="1">VLOOKUP(A70,'Used GB Charts'!A:AB,19,FALSE)+VLOOKUP(A70,'Used GB Charts'!A:AB,20,FALSE)</f>
        <v>4.9128906250000002</v>
      </c>
      <c r="I70" s="704">
        <f t="shared" ca="1" si="0"/>
        <v>1037.14814453125</v>
      </c>
      <c r="J70" s="987">
        <f t="shared" ca="1" si="18"/>
        <v>1.5240234375000909</v>
      </c>
      <c r="K70" s="987">
        <f t="shared" ca="1" si="19"/>
        <v>0.15240234375000911</v>
      </c>
    </row>
    <row r="71" spans="1:11" x14ac:dyDescent="0.25">
      <c r="A71" s="703">
        <v>41443</v>
      </c>
      <c r="B71" s="704">
        <f ca="1">VLOOKUP(A71,'Used GB Charts'!A:AH,2,FALSE)+VLOOKUP(A71,'Used GB Charts'!A:AH,30,FALSE)</f>
        <v>40.8876953125</v>
      </c>
      <c r="C71" s="704">
        <f ca="1">VLOOKUP(A71,'Used GB Charts'!A:AH,3,FALSE)+VLOOKUP(A71,'Used GB Charts'!A:AH,32,FALSE)</f>
        <v>76.744531249999994</v>
      </c>
      <c r="D71" s="704">
        <f ca="1">VLOOKUP(A71,'Used GB Charts'!A:AH,4,FALSE)+VLOOKUP(A71,'Used GB Charts'!A:AH,6,FALSE)+VLOOKUP(A71,'Used GB Charts'!A:AH,8,FALSE)+VLOOKUP(A71,'Used GB Charts'!A:AH,9,FALSE)+VLOOKUP(A71,'Used GB Charts'!A:AH,10,FALSE)+VLOOKUP(A71,'Used GB Charts'!A:AH,22,FALSE)+VLOOKUP(A71,'Used GB Charts'!A:AH,23,FALSE)+VLOOKUP(A71,'Used GB Charts'!A:AH,25,FALSE)+VLOOKUP(A71,'Used GB Charts'!A:AH,31,FALSE)</f>
        <v>275.72158203124997</v>
      </c>
      <c r="E71" s="704">
        <f ca="1">VLOOKUP(A71,'Used GB Charts'!A:AH,5,FALSE)+VLOOKUP(A71,'Used GB Charts'!A:AH,7,FALSE)+VLOOKUP(A71,'Used GB Charts'!A:AH,11,FALSE)+VLOOKUP(A71,'Used GB Charts'!A:AH,29,FALSE)+VLOOKUP(A71,'Used GB Charts'!A:AH,33,FALSE)+VLOOKUP(A71,'Used GB Charts'!A:AH,34,FALSE)</f>
        <v>196.01552734375002</v>
      </c>
      <c r="F71" s="704">
        <f ca="1">VLOOKUP(A71,'Used GB Charts'!A:AB,12,FALSE)+VLOOKUP(A71,'Used GB Charts'!A:AB,13,FALSE)+VLOOKUP(A71,'Used GB Charts'!A:AB,18,FALSE)</f>
        <v>214.34443359375001</v>
      </c>
      <c r="G71" s="704">
        <f ca="1">VLOOKUP(A71,'Used GB Charts'!A:AB,14,FALSE)+VLOOKUP(A71,'Used GB Charts'!A:AB,15,FALSE)+VLOOKUP(A71,'Used GB Charts'!A:AB,16,FALSE)++VLOOKUP(A71,'Used GB Charts'!A:AB,17,FALSE)</f>
        <v>227.06298828125</v>
      </c>
      <c r="H71" s="704">
        <f ca="1">VLOOKUP(A71,'Used GB Charts'!A:AB,19,FALSE)+VLOOKUP(A71,'Used GB Charts'!A:AB,20,FALSE)</f>
        <v>4.8473632812499998</v>
      </c>
      <c r="I71" s="704">
        <f t="shared" ca="1" si="0"/>
        <v>1035.6241210937499</v>
      </c>
      <c r="J71" s="949"/>
      <c r="K71" s="987">
        <f t="shared" si="19"/>
        <v>0</v>
      </c>
    </row>
    <row r="72" spans="1:11" x14ac:dyDescent="0.25">
      <c r="A72" s="703">
        <v>41437</v>
      </c>
      <c r="B72" s="704">
        <f ca="1">VLOOKUP(A72,'Used GB Charts'!A:AH,2,FALSE)+VLOOKUP(A72,'Used GB Charts'!A:AH,30,FALSE)</f>
        <v>40.69482421875</v>
      </c>
      <c r="C72" s="704">
        <f ca="1">VLOOKUP(A72,'Used GB Charts'!A:AH,3,FALSE)+VLOOKUP(A72,'Used GB Charts'!A:AH,32,FALSE)</f>
        <v>76.722363281249997</v>
      </c>
      <c r="D72" s="704">
        <f ca="1">VLOOKUP(A72,'Used GB Charts'!A:AH,4,FALSE)+VLOOKUP(A72,'Used GB Charts'!A:AH,6,FALSE)+VLOOKUP(A72,'Used GB Charts'!A:AH,8,FALSE)+VLOOKUP(A72,'Used GB Charts'!A:AH,9,FALSE)+VLOOKUP(A72,'Used GB Charts'!A:AH,10,FALSE)+VLOOKUP(A72,'Used GB Charts'!A:AH,22,FALSE)+VLOOKUP(A72,'Used GB Charts'!A:AH,23,FALSE)+VLOOKUP(A72,'Used GB Charts'!A:AH,25,FALSE)+VLOOKUP(A72,'Used GB Charts'!A:AH,31,FALSE)</f>
        <v>273.49833984374999</v>
      </c>
      <c r="E72" s="704">
        <f ca="1">VLOOKUP(A72,'Used GB Charts'!A:AH,5,FALSE)+VLOOKUP(A72,'Used GB Charts'!A:AH,7,FALSE)+VLOOKUP(A72,'Used GB Charts'!A:AH,11,FALSE)+VLOOKUP(A72,'Used GB Charts'!A:AH,29,FALSE)+VLOOKUP(A72,'Used GB Charts'!A:AH,33,FALSE)+VLOOKUP(A72,'Used GB Charts'!A:AH,34,FALSE)</f>
        <v>211.11230468750003</v>
      </c>
      <c r="F72" s="704">
        <f ca="1">VLOOKUP(A72,'Used GB Charts'!A:AB,12,FALSE)+VLOOKUP(A72,'Used GB Charts'!A:AB,13,FALSE)+VLOOKUP(A72,'Used GB Charts'!A:AB,18,FALSE)</f>
        <v>212.4443359375</v>
      </c>
      <c r="G72" s="704">
        <f ca="1">VLOOKUP(A72,'Used GB Charts'!A:AB,14,FALSE)+VLOOKUP(A72,'Used GB Charts'!A:AB,15,FALSE)+VLOOKUP(A72,'Used GB Charts'!A:AB,16,FALSE)++VLOOKUP(A72,'Used GB Charts'!A:AB,17,FALSE)</f>
        <v>224.57197265625001</v>
      </c>
      <c r="H72" s="704">
        <f ca="1">VLOOKUP(A72,'Used GB Charts'!A:AB,19,FALSE)+VLOOKUP(A72,'Used GB Charts'!A:AB,20,FALSE)</f>
        <v>4.5880859374999998</v>
      </c>
      <c r="I72" s="704">
        <f t="shared" ca="1" si="0"/>
        <v>1043.6322265624999</v>
      </c>
      <c r="J72" s="949"/>
      <c r="K72" s="987">
        <f t="shared" si="19"/>
        <v>0</v>
      </c>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
  <sheetViews>
    <sheetView workbookViewId="0">
      <selection activeCell="A2" sqref="A2:XFD2"/>
    </sheetView>
  </sheetViews>
  <sheetFormatPr defaultColWidth="12.5703125" defaultRowHeight="15" x14ac:dyDescent="0.25"/>
  <cols>
    <col min="1" max="1" width="10" style="592" bestFit="1" customWidth="1"/>
    <col min="2" max="7" width="12.5703125" style="594"/>
    <col min="8" max="13" width="12.5703125" style="947"/>
    <col min="14" max="22" width="16.28515625" style="947" bestFit="1" customWidth="1"/>
    <col min="23" max="23" width="11.28515625" style="947" customWidth="1"/>
    <col min="24" max="16384" width="12.5703125" style="947"/>
  </cols>
  <sheetData>
    <row r="1" spans="1:19" ht="29.25" x14ac:dyDescent="0.25">
      <c r="A1" s="983" t="s">
        <v>245</v>
      </c>
      <c r="B1" s="984" t="s">
        <v>276</v>
      </c>
      <c r="C1" s="984" t="s">
        <v>270</v>
      </c>
      <c r="D1" s="984" t="s">
        <v>271</v>
      </c>
      <c r="E1" s="984" t="s">
        <v>272</v>
      </c>
      <c r="F1" s="984" t="s">
        <v>273</v>
      </c>
      <c r="G1" s="984" t="s">
        <v>274</v>
      </c>
      <c r="H1" s="984" t="s">
        <v>275</v>
      </c>
      <c r="I1" s="985" t="s">
        <v>225</v>
      </c>
      <c r="J1" s="985" t="s">
        <v>230</v>
      </c>
      <c r="K1" s="985" t="s">
        <v>305</v>
      </c>
    </row>
    <row r="2" spans="1:19" x14ac:dyDescent="0.25">
      <c r="A2" s="703">
        <v>41977</v>
      </c>
      <c r="B2" s="704">
        <f ca="1">VLOOKUP(A2,'Allocated charts'!A:AH,2,FALSE)+VLOOKUP(A2,'Allocated charts'!A:AH,30,FALSE)</f>
        <v>196.30933007812502</v>
      </c>
      <c r="C2" s="704">
        <f ca="1">VLOOKUP(A2,'Allocated charts'!A:AH,3,FALSE)+VLOOKUP(A2,'Allocated charts'!A:AH,32,FALSE)</f>
        <v>105.7278193359375</v>
      </c>
      <c r="D2" s="704">
        <f ca="1">VLOOKUP(A2,'Allocated charts'!A:AH,4,FALSE)+VLOOKUP(A2,'Allocated charts'!A:AH,6,FALSE)+VLOOKUP(A2,'Allocated charts'!A:AH,8,FALSE)+VLOOKUP(A2,'Allocated charts'!A:AH,9,FALSE)+VLOOKUP(A2,'Allocated charts'!A:AH,10,FALSE)+VLOOKUP(A2,'Allocated charts'!A:AH,22,FALSE)+VLOOKUP(A2,'Allocated charts'!A:AH,23,FALSE)+VLOOKUP(A2,'Allocated charts'!A:AH,25,FALSE)+VLOOKUP(A2,'Allocated charts'!A:AH,31,FALSE)</f>
        <v>866.82982617187497</v>
      </c>
      <c r="E2" s="704">
        <f ca="1">VLOOKUP(A2,'Allocated charts'!A:AH,5,FALSE)+VLOOKUP(A2,'Allocated charts'!A:AH,7,FALSE)+VLOOKUP(A2,'Allocated charts'!A:AH,11,FALSE)+VLOOKUP(A2,'Allocated charts'!A:AH,29,FALSE)+VLOOKUP(A2,'Allocated charts'!A:AH,33,FALSE)+VLOOKUP(A2,'Allocated charts'!A:AH,34,FALSE)</f>
        <v>1044.56846484375</v>
      </c>
      <c r="F2" s="704">
        <f ca="1">VLOOKUP(A2,'Allocated charts'!A:AH,12,FALSE)+VLOOKUP(A2,'Allocated charts'!A:AH,13,FALSE)+VLOOKUP(A2,'Allocated charts'!A:AH,18,FALSE)+VLOOKUP(A2,'Allocated charts'!A:AH,27,FALSE)+VLOOKUP(A2,'Allocated charts'!A:AH,28,FALSE)</f>
        <v>1067.6830488281248</v>
      </c>
      <c r="G2" s="704">
        <f ca="1">VLOOKUP(A2,'Allocated charts'!A:AH,14,FALSE)+VLOOKUP(A2,'Allocated charts'!A:AH,15,FALSE)+VLOOKUP(A2,'Allocated charts'!A:AH,16,FALSE)+VLOOKUP(A2,'Allocated charts'!A:AH,17,FALSE)+VLOOKUP(A2,'Allocated charts'!A:AH,21,FALSE)+VLOOKUP(A2,'Allocated charts'!A:AH,24,FALSE)+VLOOKUP(A2,'Allocated charts'!A:AH,26,FALSE)</f>
        <v>729.75573339843743</v>
      </c>
      <c r="H2" s="704">
        <f ca="1">VLOOKUP(A2,'Allocated charts'!A:AH,19,FALSE)+VLOOKUP(A2,'Allocated charts'!A:AH,20,FALSE)</f>
        <v>101.67782812499999</v>
      </c>
      <c r="I2" s="704">
        <f t="shared" ref="I2" ca="1" si="0">SUM(B2:H2)</f>
        <v>4112.5520507812498</v>
      </c>
      <c r="J2" s="987">
        <f ca="1">I2-I19</f>
        <v>133.02410156250016</v>
      </c>
      <c r="K2" s="987" t="e">
        <f ca="1">SUM(J2:J28)/10</f>
        <v>#VALUE!</v>
      </c>
      <c r="S2" s="947" t="s">
        <v>308</v>
      </c>
    </row>
    <row r="3" spans="1:19" x14ac:dyDescent="0.25">
      <c r="A3" s="703">
        <v>41970</v>
      </c>
      <c r="B3" s="704">
        <f ca="1">VLOOKUP(A3,'Allocated charts'!A:AH,2,FALSE)+VLOOKUP(A3,'Allocated charts'!A:AH,30,FALSE)</f>
        <v>194.30079785156249</v>
      </c>
      <c r="C3" s="704">
        <f ca="1">VLOOKUP(A3,'Allocated charts'!A:AH,3,FALSE)+VLOOKUP(A3,'Allocated charts'!A:AH,32,FALSE)</f>
        <v>101.80953515625001</v>
      </c>
      <c r="D3" s="704">
        <f ca="1">VLOOKUP(A3,'Allocated charts'!A:AH,4,FALSE)+VLOOKUP(A3,'Allocated charts'!A:AH,6,FALSE)+VLOOKUP(A3,'Allocated charts'!A:AH,8,FALSE)+VLOOKUP(A3,'Allocated charts'!A:AH,9,FALSE)+VLOOKUP(A3,'Allocated charts'!A:AH,10,FALSE)+VLOOKUP(A3,'Allocated charts'!A:AH,22,FALSE)+VLOOKUP(A3,'Allocated charts'!A:AH,23,FALSE)+VLOOKUP(A3,'Allocated charts'!A:AH,25,FALSE)+VLOOKUP(A3,'Allocated charts'!A:AH,31,FALSE)</f>
        <v>861.49569140624999</v>
      </c>
      <c r="E3" s="704">
        <f ca="1">VLOOKUP(A3,'Allocated charts'!A:AH,5,FALSE)+VLOOKUP(A3,'Allocated charts'!A:AH,7,FALSE)+VLOOKUP(A3,'Allocated charts'!A:AH,11,FALSE)+VLOOKUP(A3,'Allocated charts'!A:AH,29,FALSE)+VLOOKUP(A3,'Allocated charts'!A:AH,33,FALSE)+VLOOKUP(A3,'Allocated charts'!A:AH,34,FALSE)</f>
        <v>1042.0331044921875</v>
      </c>
      <c r="F3" s="704">
        <f ca="1">VLOOKUP(A3,'Allocated charts'!A:AH,12,FALSE)+VLOOKUP(A3,'Allocated charts'!A:AH,13,FALSE)+VLOOKUP(A3,'Allocated charts'!A:AH,18,FALSE)+VLOOKUP(A3,'Allocated charts'!A:AH,27,FALSE)+VLOOKUP(A3,'Allocated charts'!A:AH,28,FALSE)</f>
        <v>1066.7281728515622</v>
      </c>
      <c r="G3" s="704">
        <f ca="1">VLOOKUP(A3,'Allocated charts'!A:AH,14,FALSE)+VLOOKUP(A3,'Allocated charts'!A:AH,15,FALSE)+VLOOKUP(A3,'Allocated charts'!A:AH,16,FALSE)+VLOOKUP(A3,'Allocated charts'!A:AH,17,FALSE)+VLOOKUP(A3,'Allocated charts'!A:AH,21,FALSE)+VLOOKUP(A3,'Allocated charts'!A:AH,24,FALSE)+VLOOKUP(A3,'Allocated charts'!A:AH,26,FALSE)</f>
        <v>728.33988281250004</v>
      </c>
      <c r="H3" s="704" t="e">
        <f ca="1">VLOOKUP(A3,'Allocated charts'!A:AH,19,FALSE)+VLOOKUP(A3,'Allocated charts'!A:AH,20,FALSE)</f>
        <v>#VALUE!</v>
      </c>
      <c r="I3" s="704" t="e">
        <f t="shared" ref="I3" ca="1" si="1">SUM(B3:H3)</f>
        <v>#VALUE!</v>
      </c>
      <c r="J3" s="987" t="e">
        <f ca="1">I3-I20</f>
        <v>#VALUE!</v>
      </c>
      <c r="K3" s="987" t="e">
        <f ca="1">SUM(J3:J29)/10</f>
        <v>#VALUE!</v>
      </c>
      <c r="S3" s="947" t="s">
        <v>308</v>
      </c>
    </row>
    <row r="4" spans="1:19" x14ac:dyDescent="0.25">
      <c r="A4" s="703">
        <v>41963</v>
      </c>
      <c r="B4" s="704">
        <f ca="1">VLOOKUP(A4,'Allocated charts'!A:AH,2,FALSE)+VLOOKUP(A4,'Allocated charts'!A:AH,30,FALSE)</f>
        <v>192.02885156249999</v>
      </c>
      <c r="C4" s="704">
        <f ca="1">VLOOKUP(A4,'Allocated charts'!A:AH,3,FALSE)+VLOOKUP(A4,'Allocated charts'!A:AH,32,FALSE)</f>
        <v>100.5912451171875</v>
      </c>
      <c r="D4" s="704">
        <f ca="1">VLOOKUP(A4,'Allocated charts'!A:AH,4,FALSE)+VLOOKUP(A4,'Allocated charts'!A:AH,6,FALSE)+VLOOKUP(A4,'Allocated charts'!A:AH,8,FALSE)+VLOOKUP(A4,'Allocated charts'!A:AH,9,FALSE)+VLOOKUP(A4,'Allocated charts'!A:AH,10,FALSE)+VLOOKUP(A4,'Allocated charts'!A:AH,22,FALSE)+VLOOKUP(A4,'Allocated charts'!A:AH,23,FALSE)+VLOOKUP(A4,'Allocated charts'!A:AH,25,FALSE)+VLOOKUP(A4,'Allocated charts'!A:AH,31,FALSE)</f>
        <v>877.13590136718733</v>
      </c>
      <c r="E4" s="704">
        <f ca="1">VLOOKUP(A4,'Allocated charts'!A:AH,5,FALSE)+VLOOKUP(A4,'Allocated charts'!A:AH,7,FALSE)+VLOOKUP(A4,'Allocated charts'!A:AH,11,FALSE)+VLOOKUP(A4,'Allocated charts'!A:AH,29,FALSE)+VLOOKUP(A4,'Allocated charts'!A:AH,33,FALSE)+VLOOKUP(A4,'Allocated charts'!A:AH,34,FALSE)</f>
        <v>1032.6819052734375</v>
      </c>
      <c r="F4" s="704">
        <f ca="1">VLOOKUP(A4,'Allocated charts'!A:AH,12,FALSE)+VLOOKUP(A4,'Allocated charts'!A:AH,13,FALSE)+VLOOKUP(A4,'Allocated charts'!A:AH,18,FALSE)+VLOOKUP(A4,'Allocated charts'!A:AH,27,FALSE)+VLOOKUP(A4,'Allocated charts'!A:AH,28,FALSE)</f>
        <v>1080.4915576171875</v>
      </c>
      <c r="G4" s="704">
        <f ca="1">VLOOKUP(A4,'Allocated charts'!A:AH,14,FALSE)+VLOOKUP(A4,'Allocated charts'!A:AH,15,FALSE)+VLOOKUP(A4,'Allocated charts'!A:AH,16,FALSE)+VLOOKUP(A4,'Allocated charts'!A:AH,17,FALSE)+VLOOKUP(A4,'Allocated charts'!A:AH,21,FALSE)+VLOOKUP(A4,'Allocated charts'!A:AH,24,FALSE)+VLOOKUP(A4,'Allocated charts'!A:AH,26,FALSE)</f>
        <v>761.66176171875009</v>
      </c>
      <c r="H4" s="704">
        <f ca="1">VLOOKUP(A4,'Allocated charts'!A:AH,19,FALSE)+VLOOKUP(A4,'Allocated charts'!A:AH,20,FALSE)</f>
        <v>101.67782812499999</v>
      </c>
      <c r="I4" s="704">
        <f t="shared" ref="I4" ca="1" si="2">SUM(B4:H4)</f>
        <v>4146.2690507812495</v>
      </c>
      <c r="J4" s="987">
        <f ca="1">I4-I20</f>
        <v>166.74110156249981</v>
      </c>
      <c r="K4" s="987">
        <f ca="1">SUM(J4:J29)/10</f>
        <v>168.53890253906246</v>
      </c>
      <c r="S4" s="947" t="s">
        <v>308</v>
      </c>
    </row>
    <row r="5" spans="1:19" x14ac:dyDescent="0.25">
      <c r="A5" s="703">
        <v>41956</v>
      </c>
      <c r="B5" s="704">
        <f ca="1">VLOOKUP(A5,'Allocated charts'!A:AH,2,FALSE)+VLOOKUP(A5,'Allocated charts'!A:AH,30,FALSE)</f>
        <v>190.97519531249998</v>
      </c>
      <c r="C5" s="704">
        <f ca="1">VLOOKUP(A5,'Allocated charts'!A:AH,3,FALSE)+VLOOKUP(A5,'Allocated charts'!A:AH,32,FALSE)</f>
        <v>93.413211914062501</v>
      </c>
      <c r="D5" s="704">
        <f ca="1">VLOOKUP(A5,'Allocated charts'!A:AH,4,FALSE)+VLOOKUP(A5,'Allocated charts'!A:AH,6,FALSE)+VLOOKUP(A5,'Allocated charts'!A:AH,8,FALSE)+VLOOKUP(A5,'Allocated charts'!A:AH,9,FALSE)+VLOOKUP(A5,'Allocated charts'!A:AH,10,FALSE)+VLOOKUP(A5,'Allocated charts'!A:AH,22,FALSE)+VLOOKUP(A5,'Allocated charts'!A:AH,23,FALSE)+VLOOKUP(A5,'Allocated charts'!A:AH,25,FALSE)+VLOOKUP(A5,'Allocated charts'!A:AH,31,FALSE)</f>
        <v>873.77737207031248</v>
      </c>
      <c r="E5" s="704">
        <f ca="1">VLOOKUP(A5,'Allocated charts'!A:AH,5,FALSE)+VLOOKUP(A5,'Allocated charts'!A:AH,7,FALSE)+VLOOKUP(A5,'Allocated charts'!A:AH,11,FALSE)+VLOOKUP(A5,'Allocated charts'!A:AH,29,FALSE)+VLOOKUP(A5,'Allocated charts'!A:AH,33,FALSE)+VLOOKUP(A5,'Allocated charts'!A:AH,34,FALSE)</f>
        <v>1001.0392910156251</v>
      </c>
      <c r="F5" s="704">
        <f ca="1">VLOOKUP(A5,'Allocated charts'!A:AH,12,FALSE)+VLOOKUP(A5,'Allocated charts'!A:AH,13,FALSE)+VLOOKUP(A5,'Allocated charts'!A:AH,18,FALSE)+VLOOKUP(A5,'Allocated charts'!A:AH,27,FALSE)+VLOOKUP(A5,'Allocated charts'!A:AH,28,FALSE)</f>
        <v>1080.4257041015626</v>
      </c>
      <c r="G5" s="704">
        <f ca="1">VLOOKUP(A5,'Allocated charts'!A:AH,14,FALSE)+VLOOKUP(A5,'Allocated charts'!A:AH,15,FALSE)+VLOOKUP(A5,'Allocated charts'!A:AH,16,FALSE)+VLOOKUP(A5,'Allocated charts'!A:AH,17,FALSE)+VLOOKUP(A5,'Allocated charts'!A:AH,21,FALSE)+VLOOKUP(A5,'Allocated charts'!A:AH,24,FALSE)+VLOOKUP(A5,'Allocated charts'!A:AH,26,FALSE)</f>
        <v>760.31176464843759</v>
      </c>
      <c r="H5" s="704">
        <f ca="1">VLOOKUP(A5,'Allocated charts'!A:AH,19,FALSE)+VLOOKUP(A5,'Allocated charts'!A:AH,20,FALSE)</f>
        <v>101.67782812499999</v>
      </c>
      <c r="I5" s="704">
        <f t="shared" ref="I5" ca="1" si="3">SUM(B5:H5)</f>
        <v>4101.6203671875001</v>
      </c>
      <c r="J5" s="987">
        <f ca="1">I5-I20</f>
        <v>122.0924179687504</v>
      </c>
      <c r="K5" s="987">
        <f ca="1">SUM(J5:J29)/10</f>
        <v>151.86479238281248</v>
      </c>
    </row>
    <row r="6" spans="1:19" x14ac:dyDescent="0.25">
      <c r="A6" s="703">
        <v>41949</v>
      </c>
      <c r="B6" s="704">
        <f ca="1">VLOOKUP(A6,'Allocated charts'!A:AH,2,FALSE)+VLOOKUP(A6,'Allocated charts'!A:AH,30,FALSE)</f>
        <v>190.97519531249998</v>
      </c>
      <c r="C6" s="704">
        <f ca="1">VLOOKUP(A6,'Allocated charts'!A:AH,3,FALSE)+VLOOKUP(A6,'Allocated charts'!A:AH,32,FALSE)</f>
        <v>92.194921875000006</v>
      </c>
      <c r="D6" s="704">
        <f ca="1">VLOOKUP(A6,'Allocated charts'!A:AH,4,FALSE)+VLOOKUP(A6,'Allocated charts'!A:AH,6,FALSE)+VLOOKUP(A6,'Allocated charts'!A:AH,8,FALSE)+VLOOKUP(A6,'Allocated charts'!A:AH,9,FALSE)+VLOOKUP(A6,'Allocated charts'!A:AH,10,FALSE)+VLOOKUP(A6,'Allocated charts'!A:AH,22,FALSE)+VLOOKUP(A6,'Allocated charts'!A:AH,23,FALSE)+VLOOKUP(A6,'Allocated charts'!A:AH,25,FALSE)+VLOOKUP(A6,'Allocated charts'!A:AH,31,FALSE)</f>
        <v>862.31886035156231</v>
      </c>
      <c r="E6" s="704">
        <f ca="1">VLOOKUP(A6,'Allocated charts'!A:AH,5,FALSE)+VLOOKUP(A6,'Allocated charts'!A:AH,7,FALSE)+VLOOKUP(A6,'Allocated charts'!A:AH,11,FALSE)+VLOOKUP(A6,'Allocated charts'!A:AH,29,FALSE)+VLOOKUP(A6,'Allocated charts'!A:AH,33,FALSE)+VLOOKUP(A6,'Allocated charts'!A:AH,34,FALSE)</f>
        <v>1002.553921875</v>
      </c>
      <c r="F6" s="704">
        <f ca="1">VLOOKUP(A6,'Allocated charts'!A:AH,12,FALSE)+VLOOKUP(A6,'Allocated charts'!A:AH,13,FALSE)+VLOOKUP(A6,'Allocated charts'!A:AH,18,FALSE)+VLOOKUP(A6,'Allocated charts'!A:AH,27,FALSE)+VLOOKUP(A6,'Allocated charts'!A:AH,28,FALSE)</f>
        <v>1110.5207607421873</v>
      </c>
      <c r="G6" s="704">
        <f ca="1">VLOOKUP(A6,'Allocated charts'!A:AH,14,FALSE)+VLOOKUP(A6,'Allocated charts'!A:AH,15,FALSE)+VLOOKUP(A6,'Allocated charts'!A:AH,16,FALSE)+VLOOKUP(A6,'Allocated charts'!A:AH,17,FALSE)+VLOOKUP(A6,'Allocated charts'!A:AH,21,FALSE)+VLOOKUP(A6,'Allocated charts'!A:AH,24,FALSE)+VLOOKUP(A6,'Allocated charts'!A:AH,26,FALSE)</f>
        <v>746.84472070312506</v>
      </c>
      <c r="H6" s="704">
        <f ca="1">VLOOKUP(A6,'Allocated charts'!A:AH,19,FALSE)+VLOOKUP(A6,'Allocated charts'!A:AH,20,FALSE)</f>
        <v>101.67782812499999</v>
      </c>
      <c r="I6" s="704">
        <f t="shared" ref="I6" ca="1" si="4">SUM(B6:H6)</f>
        <v>4107.086208984374</v>
      </c>
      <c r="J6" s="987">
        <f ca="1">I6-I20</f>
        <v>127.55825976562437</v>
      </c>
      <c r="K6" s="987">
        <f ca="1">SUM(J6:J29)/10</f>
        <v>139.65555058593745</v>
      </c>
    </row>
    <row r="7" spans="1:19" x14ac:dyDescent="0.25">
      <c r="A7" s="703">
        <v>41935</v>
      </c>
      <c r="B7" s="704">
        <f ca="1">VLOOKUP(A7,'Allocated charts'!A:AH,2,FALSE)+VLOOKUP(A7,'Allocated charts'!A:AH,30,FALSE)</f>
        <v>188.57154199218749</v>
      </c>
      <c r="C7" s="704">
        <f ca="1">VLOOKUP(A7,'Allocated charts'!A:AH,3,FALSE)+VLOOKUP(A7,'Allocated charts'!A:AH,32,FALSE)</f>
        <v>93.21565136718749</v>
      </c>
      <c r="D7" s="704">
        <f ca="1">VLOOKUP(A7,'Allocated charts'!A:AH,4,FALSE)+VLOOKUP(A7,'Allocated charts'!A:AH,6,FALSE)+VLOOKUP(A7,'Allocated charts'!A:AH,8,FALSE)+VLOOKUP(A7,'Allocated charts'!A:AH,9,FALSE)+VLOOKUP(A7,'Allocated charts'!A:AH,10,FALSE)+VLOOKUP(A7,'Allocated charts'!A:AH,22,FALSE)+VLOOKUP(A7,'Allocated charts'!A:AH,23,FALSE)+VLOOKUP(A7,'Allocated charts'!A:AH,25,FALSE)+VLOOKUP(A7,'Allocated charts'!A:AH,31,FALSE)</f>
        <v>847.37011230468761</v>
      </c>
      <c r="E7" s="704">
        <f ca="1">VLOOKUP(A7,'Allocated charts'!A:AH,5,FALSE)+VLOOKUP(A7,'Allocated charts'!A:AH,7,FALSE)+VLOOKUP(A7,'Allocated charts'!A:AH,11,FALSE)+VLOOKUP(A7,'Allocated charts'!A:AH,29,FALSE)+VLOOKUP(A7,'Allocated charts'!A:AH,33,FALSE)+VLOOKUP(A7,'Allocated charts'!A:AH,34,FALSE)</f>
        <v>1006.7026933593751</v>
      </c>
      <c r="F7" s="704">
        <f ca="1">VLOOKUP(A7,'Allocated charts'!A:AH,12,FALSE)+VLOOKUP(A7,'Allocated charts'!A:AH,13,FALSE)+VLOOKUP(A7,'Allocated charts'!A:AH,18,FALSE)+VLOOKUP(A7,'Allocated charts'!A:AH,27,FALSE)+VLOOKUP(A7,'Allocated charts'!A:AH,28,FALSE)</f>
        <v>1096.5927421875001</v>
      </c>
      <c r="G7" s="704">
        <f ca="1">VLOOKUP(A7,'Allocated charts'!A:AH,14,FALSE)+VLOOKUP(A7,'Allocated charts'!A:AH,15,FALSE)+VLOOKUP(A7,'Allocated charts'!A:AH,16,FALSE)+VLOOKUP(A7,'Allocated charts'!A:AH,17,FALSE)+VLOOKUP(A7,'Allocated charts'!A:AH,21,FALSE)+VLOOKUP(A7,'Allocated charts'!A:AH,24,FALSE)+VLOOKUP(A7,'Allocated charts'!A:AH,26,FALSE)</f>
        <v>741.67521972656255</v>
      </c>
      <c r="H7" s="704">
        <f ca="1">VLOOKUP(A7,'Allocated charts'!A:AH,19,FALSE)+VLOOKUP(A7,'Allocated charts'!A:AH,20,FALSE)</f>
        <v>39.413329101562496</v>
      </c>
      <c r="I7" s="704">
        <f t="shared" ref="I7" ca="1" si="5">SUM(B7:H7)</f>
        <v>4013.5412900390629</v>
      </c>
      <c r="J7" s="987">
        <f ca="1">I7-I20</f>
        <v>34.01334082031326</v>
      </c>
      <c r="K7" s="987">
        <f ca="1">SUM(J7:J29)/10</f>
        <v>126.89972460937501</v>
      </c>
    </row>
    <row r="8" spans="1:19" x14ac:dyDescent="0.25">
      <c r="A8" s="703">
        <v>41928</v>
      </c>
      <c r="B8" s="704">
        <f ca="1">VLOOKUP(A8,'Allocated charts'!A:AH,2,FALSE)+VLOOKUP(A8,'Allocated charts'!A:AH,30,FALSE)</f>
        <v>183.03984667968751</v>
      </c>
      <c r="C8" s="704">
        <f ca="1">VLOOKUP(A8,'Allocated charts'!A:AH,3,FALSE)+VLOOKUP(A8,'Allocated charts'!A:AH,32,FALSE)</f>
        <v>92.52418945312499</v>
      </c>
      <c r="D8" s="704">
        <f ca="1">VLOOKUP(A8,'Allocated charts'!A:AH,4,FALSE)+VLOOKUP(A8,'Allocated charts'!A:AH,6,FALSE)+VLOOKUP(A8,'Allocated charts'!A:AH,8,FALSE)+VLOOKUP(A8,'Allocated charts'!A:AH,9,FALSE)+VLOOKUP(A8,'Allocated charts'!A:AH,10,FALSE)+VLOOKUP(A8,'Allocated charts'!A:AH,22,FALSE)+VLOOKUP(A8,'Allocated charts'!A:AH,23,FALSE)+VLOOKUP(A8,'Allocated charts'!A:AH,25,FALSE)+VLOOKUP(A8,'Allocated charts'!A:AH,31,FALSE)</f>
        <v>838.41403417968752</v>
      </c>
      <c r="E8" s="704">
        <f ca="1">VLOOKUP(A8,'Allocated charts'!A:AH,5,FALSE)+VLOOKUP(A8,'Allocated charts'!A:AH,7,FALSE)+VLOOKUP(A8,'Allocated charts'!A:AH,11,FALSE)+VLOOKUP(A8,'Allocated charts'!A:AH,29,FALSE)+VLOOKUP(A8,'Allocated charts'!A:AH,33,FALSE)+VLOOKUP(A8,'Allocated charts'!A:AH,34,FALSE)</f>
        <v>1000.6770966796875</v>
      </c>
      <c r="F8" s="704">
        <f ca="1">VLOOKUP(A8,'Allocated charts'!A:AH,12,FALSE)+VLOOKUP(A8,'Allocated charts'!A:AH,13,FALSE)+VLOOKUP(A8,'Allocated charts'!A:AH,18,FALSE)+VLOOKUP(A8,'Allocated charts'!A:AH,27,FALSE)+VLOOKUP(A8,'Allocated charts'!A:AH,28,FALSE)</f>
        <v>1104.3963837890626</v>
      </c>
      <c r="G8" s="704">
        <f ca="1">VLOOKUP(A8,'Allocated charts'!A:AH,14,FALSE)+VLOOKUP(A8,'Allocated charts'!A:AH,15,FALSE)+VLOOKUP(A8,'Allocated charts'!A:AH,16,FALSE)+VLOOKUP(A8,'Allocated charts'!A:AH,17,FALSE)+VLOOKUP(A8,'Allocated charts'!A:AH,21,FALSE)+VLOOKUP(A8,'Allocated charts'!A:AH,24,FALSE)+VLOOKUP(A8,'Allocated charts'!A:AH,26,FALSE)</f>
        <v>724.8167197265625</v>
      </c>
      <c r="H8" s="704">
        <f ca="1">VLOOKUP(A8,'Allocated charts'!A:AH,19,FALSE)+VLOOKUP(A8,'Allocated charts'!A:AH,20,FALSE)</f>
        <v>39.413329101562496</v>
      </c>
      <c r="I8" s="704">
        <f t="shared" ref="I8" ca="1" si="6">SUM(B8:H8)</f>
        <v>3983.2815996093746</v>
      </c>
      <c r="J8" s="987">
        <f ca="1">I8-I20</f>
        <v>3.7536503906248981</v>
      </c>
      <c r="K8" s="987">
        <f ca="1">SUM(J8:J29)/10</f>
        <v>123.49839052734369</v>
      </c>
    </row>
    <row r="9" spans="1:19" x14ac:dyDescent="0.25">
      <c r="A9" s="703">
        <v>41921</v>
      </c>
      <c r="B9" s="704">
        <f ca="1">VLOOKUP(A9,'Allocated charts'!A:AH,2,FALSE)+VLOOKUP(A9,'Allocated charts'!A:AH,30,FALSE)</f>
        <v>184.55447753906247</v>
      </c>
      <c r="C9" s="704">
        <f ca="1">VLOOKUP(A9,'Allocated charts'!A:AH,3,FALSE)+VLOOKUP(A9,'Allocated charts'!A:AH,32,FALSE)</f>
        <v>105.33269824218749</v>
      </c>
      <c r="D9" s="704">
        <f ca="1">VLOOKUP(A9,'Allocated charts'!A:AH,4,FALSE)+VLOOKUP(A9,'Allocated charts'!A:AH,6,FALSE)+VLOOKUP(A9,'Allocated charts'!A:AH,8,FALSE)+VLOOKUP(A9,'Allocated charts'!A:AH,9,FALSE)+VLOOKUP(A9,'Allocated charts'!A:AH,10,FALSE)+VLOOKUP(A9,'Allocated charts'!A:AH,22,FALSE)+VLOOKUP(A9,'Allocated charts'!A:AH,23,FALSE)+VLOOKUP(A9,'Allocated charts'!A:AH,25,FALSE)+VLOOKUP(A9,'Allocated charts'!A:AH,31,FALSE)</f>
        <v>851.51888378906256</v>
      </c>
      <c r="E9" s="704">
        <f ca="1">VLOOKUP(A9,'Allocated charts'!A:AH,5,FALSE)+VLOOKUP(A9,'Allocated charts'!A:AH,7,FALSE)+VLOOKUP(A9,'Allocated charts'!A:AH,11,FALSE)+VLOOKUP(A9,'Allocated charts'!A:AH,29,FALSE)+VLOOKUP(A9,'Allocated charts'!A:AH,33,FALSE)+VLOOKUP(A9,'Allocated charts'!A:AH,34,FALSE)</f>
        <v>931.66261230468751</v>
      </c>
      <c r="F9" s="704">
        <f ca="1">VLOOKUP(A9,'Allocated charts'!A:AH,12,FALSE)+VLOOKUP(A9,'Allocated charts'!A:AH,13,FALSE)+VLOOKUP(A9,'Allocated charts'!A:AH,18,FALSE)+VLOOKUP(A9,'Allocated charts'!A:AH,27,FALSE)+VLOOKUP(A9,'Allocated charts'!A:AH,28,FALSE)</f>
        <v>1108.8085693359374</v>
      </c>
      <c r="G9" s="704">
        <f ca="1">VLOOKUP(A9,'Allocated charts'!A:AH,14,FALSE)+VLOOKUP(A9,'Allocated charts'!A:AH,15,FALSE)+VLOOKUP(A9,'Allocated charts'!A:AH,16,FALSE)+VLOOKUP(A9,'Allocated charts'!A:AH,17,FALSE)+VLOOKUP(A9,'Allocated charts'!A:AH,21,FALSE)+VLOOKUP(A9,'Allocated charts'!A:AH,24,FALSE)+VLOOKUP(A9,'Allocated charts'!A:AH,26,FALSE)</f>
        <v>691.4619140625</v>
      </c>
      <c r="H9" s="704">
        <f ca="1">VLOOKUP(A9,'Allocated charts'!A:AH,19,FALSE)+VLOOKUP(A9,'Allocated charts'!A:AH,20,FALSE)</f>
        <v>39.413329101562496</v>
      </c>
      <c r="I9" s="704">
        <f t="shared" ref="I9" ca="1" si="7">SUM(B9:H9)</f>
        <v>3912.7524843749998</v>
      </c>
      <c r="J9" s="987">
        <f ca="1">I9-I20</f>
        <v>-66.775464843749887</v>
      </c>
      <c r="K9" s="987">
        <f ca="1">SUM(J9:J29)/10</f>
        <v>123.1230254882812</v>
      </c>
    </row>
    <row r="10" spans="1:19" x14ac:dyDescent="0.25">
      <c r="A10" s="703">
        <v>41914</v>
      </c>
      <c r="B10" s="704">
        <f ca="1">VLOOKUP(A10,'Allocated charts'!A:AH,2,FALSE)+VLOOKUP(A10,'Allocated charts'!A:AH,30,FALSE)</f>
        <v>200.9520029296875</v>
      </c>
      <c r="C10" s="704">
        <f ca="1">VLOOKUP(A10,'Allocated charts'!A:AH,3,FALSE)+VLOOKUP(A10,'Allocated charts'!A:AH,32,FALSE)</f>
        <v>104.9375771484375</v>
      </c>
      <c r="D10" s="704">
        <f ca="1">VLOOKUP(A10,'Allocated charts'!A:AH,4,FALSE)+VLOOKUP(A10,'Allocated charts'!A:AH,6,FALSE)+VLOOKUP(A10,'Allocated charts'!A:AH,8,FALSE)+VLOOKUP(A10,'Allocated charts'!A:AH,9,FALSE)+VLOOKUP(A10,'Allocated charts'!A:AH,10,FALSE)+VLOOKUP(A10,'Allocated charts'!A:AH,22,FALSE)+VLOOKUP(A10,'Allocated charts'!A:AH,23,FALSE)+VLOOKUP(A10,'Allocated charts'!A:AH,25,FALSE)+VLOOKUP(A10,'Allocated charts'!A:AH,31,FALSE)</f>
        <v>842.62865917968747</v>
      </c>
      <c r="E10" s="704">
        <f ca="1">VLOOKUP(A10,'Allocated charts'!A:AH,5,FALSE)+VLOOKUP(A10,'Allocated charts'!A:AH,7,FALSE)+VLOOKUP(A10,'Allocated charts'!A:AH,11,FALSE)+VLOOKUP(A10,'Allocated charts'!A:AH,29,FALSE)+VLOOKUP(A10,'Allocated charts'!A:AH,33,FALSE)+VLOOKUP(A10,'Allocated charts'!A:AH,34,FALSE)</f>
        <v>924.35287207031251</v>
      </c>
      <c r="F10" s="704">
        <f ca="1">VLOOKUP(A10,'Allocated charts'!A:AH,12,FALSE)+VLOOKUP(A10,'Allocated charts'!A:AH,13,FALSE)+VLOOKUP(A10,'Allocated charts'!A:AH,18,FALSE)+VLOOKUP(A10,'Allocated charts'!A:AH,27,FALSE)+VLOOKUP(A10,'Allocated charts'!A:AH,28,FALSE)</f>
        <v>1117.9292812499998</v>
      </c>
      <c r="G10" s="704">
        <f ca="1">VLOOKUP(A10,'Allocated charts'!A:AH,14,FALSE)+VLOOKUP(A10,'Allocated charts'!A:AH,15,FALSE)+VLOOKUP(A10,'Allocated charts'!A:AH,16,FALSE)+VLOOKUP(A10,'Allocated charts'!A:AH,17,FALSE)+VLOOKUP(A10,'Allocated charts'!A:AH,21,FALSE)+VLOOKUP(A10,'Allocated charts'!A:AH,24,FALSE)+VLOOKUP(A10,'Allocated charts'!A:AH,26,FALSE)</f>
        <v>671.40951855468734</v>
      </c>
      <c r="H10" s="704">
        <f ca="1">VLOOKUP(A10,'Allocated charts'!A:AH,19,FALSE)+VLOOKUP(A10,'Allocated charts'!A:AH,20,FALSE)</f>
        <v>39.413329101562496</v>
      </c>
      <c r="I10" s="704">
        <f t="shared" ref="I10" ca="1" si="8">SUM(B10:H10)</f>
        <v>3901.6232402343749</v>
      </c>
      <c r="J10" s="987">
        <f ca="1">I10-I20</f>
        <v>-77.904708984374793</v>
      </c>
      <c r="K10" s="987">
        <f ca="1">SUM(J10:J29)/10</f>
        <v>129.8005719726562</v>
      </c>
    </row>
    <row r="11" spans="1:19" x14ac:dyDescent="0.25">
      <c r="A11" s="703">
        <v>41907</v>
      </c>
      <c r="B11" s="704">
        <f ca="1">VLOOKUP(A11,'Allocated charts'!A:AH,2,FALSE)+VLOOKUP(A11,'Allocated charts'!A:AH,30,FALSE)</f>
        <v>200.9520029296875</v>
      </c>
      <c r="C11" s="704">
        <f ca="1">VLOOKUP(A11,'Allocated charts'!A:AH,3,FALSE)+VLOOKUP(A11,'Allocated charts'!A:AH,32,FALSE)</f>
        <v>104.9375771484375</v>
      </c>
      <c r="D11" s="704">
        <f ca="1">VLOOKUP(A11,'Allocated charts'!A:AH,4,FALSE)+VLOOKUP(A11,'Allocated charts'!A:AH,6,FALSE)+VLOOKUP(A11,'Allocated charts'!A:AH,8,FALSE)+VLOOKUP(A11,'Allocated charts'!A:AH,9,FALSE)+VLOOKUP(A11,'Allocated charts'!A:AH,10,FALSE)+VLOOKUP(A11,'Allocated charts'!A:AH,22,FALSE)+VLOOKUP(A11,'Allocated charts'!A:AH,23,FALSE)+VLOOKUP(A11,'Allocated charts'!A:AH,25,FALSE)+VLOOKUP(A11,'Allocated charts'!A:AH,31,FALSE)</f>
        <v>842.62865917968747</v>
      </c>
      <c r="E11" s="704">
        <f ca="1">VLOOKUP(A11,'Allocated charts'!A:AH,5,FALSE)+VLOOKUP(A11,'Allocated charts'!A:AH,7,FALSE)+VLOOKUP(A11,'Allocated charts'!A:AH,11,FALSE)+VLOOKUP(A11,'Allocated charts'!A:AH,29,FALSE)+VLOOKUP(A11,'Allocated charts'!A:AH,33,FALSE)+VLOOKUP(A11,'Allocated charts'!A:AH,34,FALSE)</f>
        <v>923.56262988281253</v>
      </c>
      <c r="F11" s="704">
        <f ca="1">VLOOKUP(A11,'Allocated charts'!A:AH,12,FALSE)+VLOOKUP(A11,'Allocated charts'!A:AH,13,FALSE)+VLOOKUP(A11,'Allocated charts'!A:AH,18,FALSE)+VLOOKUP(A11,'Allocated charts'!A:AH,27,FALSE)+VLOOKUP(A11,'Allocated charts'!A:AH,28,FALSE)</f>
        <v>1112.3975859374998</v>
      </c>
      <c r="G11" s="704">
        <f ca="1">VLOOKUP(A11,'Allocated charts'!A:AH,14,FALSE)+VLOOKUP(A11,'Allocated charts'!A:AH,15,FALSE)+VLOOKUP(A11,'Allocated charts'!A:AH,16,FALSE)+VLOOKUP(A11,'Allocated charts'!A:AH,17,FALSE)+VLOOKUP(A11,'Allocated charts'!A:AH,21,FALSE)+VLOOKUP(A11,'Allocated charts'!A:AH,24,FALSE)+VLOOKUP(A11,'Allocated charts'!A:AH,26,FALSE)</f>
        <v>671.40951855468734</v>
      </c>
      <c r="H11" s="704">
        <f ca="1">VLOOKUP(A11,'Allocated charts'!A:AH,19,FALSE)+VLOOKUP(A11,'Allocated charts'!A:AH,20,FALSE)</f>
        <v>39.413329101562496</v>
      </c>
      <c r="I11" s="704">
        <f t="shared" ref="I11" ca="1" si="9">SUM(B11:H11)</f>
        <v>3895.301302734375</v>
      </c>
      <c r="J11" s="987">
        <f ca="1">I11-I20</f>
        <v>-84.226646484374669</v>
      </c>
      <c r="K11" s="987">
        <f ca="1">SUM(J11:J29)/10</f>
        <v>137.59104287109366</v>
      </c>
    </row>
    <row r="12" spans="1:19" x14ac:dyDescent="0.25">
      <c r="A12" s="703">
        <v>41900</v>
      </c>
      <c r="B12" s="704">
        <f ca="1">VLOOKUP(A12,'Allocated charts'!A:AH,2,FALSE)+VLOOKUP(A12,'Allocated charts'!A:AH,30,FALSE)</f>
        <v>193.60933593749999</v>
      </c>
      <c r="C12" s="704">
        <f ca="1">VLOOKUP(A12,'Allocated charts'!A:AH,3,FALSE)+VLOOKUP(A12,'Allocated charts'!A:AH,32,FALSE)</f>
        <v>104.9375771484375</v>
      </c>
      <c r="D12" s="704">
        <f ca="1">VLOOKUP(A12,'Allocated charts'!A:AH,4,FALSE)+VLOOKUP(A12,'Allocated charts'!A:AH,6,FALSE)+VLOOKUP(A12,'Allocated charts'!A:AH,8,FALSE)+VLOOKUP(A12,'Allocated charts'!A:AH,9,FALSE)+VLOOKUP(A12,'Allocated charts'!A:AH,10,FALSE)+VLOOKUP(A12,'Allocated charts'!A:AH,22,FALSE)+VLOOKUP(A12,'Allocated charts'!A:AH,23,FALSE)+VLOOKUP(A12,'Allocated charts'!A:AH,25,FALSE)+VLOOKUP(A12,'Allocated charts'!A:AH,31,FALSE)</f>
        <v>833.21160644531244</v>
      </c>
      <c r="E12" s="704">
        <f ca="1">VLOOKUP(A12,'Allocated charts'!A:AH,5,FALSE)+VLOOKUP(A12,'Allocated charts'!A:AH,7,FALSE)+VLOOKUP(A12,'Allocated charts'!A:AH,11,FALSE)+VLOOKUP(A12,'Allocated charts'!A:AH,29,FALSE)+VLOOKUP(A12,'Allocated charts'!A:AH,33,FALSE)+VLOOKUP(A12,'Allocated charts'!A:AH,34,FALSE)</f>
        <v>917.50410644531257</v>
      </c>
      <c r="F12" s="704">
        <f ca="1">VLOOKUP(A12,'Allocated charts'!A:AH,12,FALSE)+VLOOKUP(A12,'Allocated charts'!A:AH,13,FALSE)+VLOOKUP(A12,'Allocated charts'!A:AH,18,FALSE)+VLOOKUP(A12,'Allocated charts'!A:AH,27,FALSE)+VLOOKUP(A12,'Allocated charts'!A:AH,28,FALSE)</f>
        <v>1106.5366230468751</v>
      </c>
      <c r="G12" s="704">
        <f ca="1">VLOOKUP(A12,'Allocated charts'!A:AH,14,FALSE)+VLOOKUP(A12,'Allocated charts'!A:AH,15,FALSE)+VLOOKUP(A12,'Allocated charts'!A:AH,16,FALSE)+VLOOKUP(A12,'Allocated charts'!A:AH,17,FALSE)+VLOOKUP(A12,'Allocated charts'!A:AH,21,FALSE)+VLOOKUP(A12,'Allocated charts'!A:AH,24,FALSE)+VLOOKUP(A12,'Allocated charts'!A:AH,26,FALSE)</f>
        <v>669.07171874999995</v>
      </c>
      <c r="H12" s="704">
        <f ca="1">VLOOKUP(A12,'Allocated charts'!A:AH,19,FALSE)+VLOOKUP(A12,'Allocated charts'!A:AH,20,FALSE)</f>
        <v>39.413329101562496</v>
      </c>
      <c r="I12" s="704">
        <f t="shared" ref="I12" ca="1" si="10">SUM(B12:H12)</f>
        <v>3864.2842968749997</v>
      </c>
      <c r="J12" s="987">
        <f ca="1">I12-I20</f>
        <v>-115.24365234375</v>
      </c>
      <c r="K12" s="987">
        <f ca="1">SUM(J12:J29)/10</f>
        <v>146.01370751953112</v>
      </c>
    </row>
    <row r="13" spans="1:19" x14ac:dyDescent="0.25">
      <c r="A13" s="703">
        <v>41893</v>
      </c>
      <c r="B13" s="704">
        <f ca="1">VLOOKUP(A13,'Allocated charts'!A:AH,2,FALSE)+VLOOKUP(A13,'Allocated charts'!A:AH,30,FALSE)</f>
        <v>186.20081542968751</v>
      </c>
      <c r="C13" s="704">
        <f ca="1">VLOOKUP(A13,'Allocated charts'!A:AH,3,FALSE)+VLOOKUP(A13,'Allocated charts'!A:AH,32,FALSE)</f>
        <v>104.70708984375</v>
      </c>
      <c r="D13" s="704">
        <f ca="1">VLOOKUP(A13,'Allocated charts'!A:AH,4,FALSE)+VLOOKUP(A13,'Allocated charts'!A:AH,6,FALSE)+VLOOKUP(A13,'Allocated charts'!A:AH,8,FALSE)+VLOOKUP(A13,'Allocated charts'!A:AH,9,FALSE)+VLOOKUP(A13,'Allocated charts'!A:AH,10,FALSE)+VLOOKUP(A13,'Allocated charts'!A:AH,22,FALSE)+VLOOKUP(A13,'Allocated charts'!A:AH,23,FALSE)+VLOOKUP(A13,'Allocated charts'!A:AH,25,FALSE)+VLOOKUP(A13,'Allocated charts'!A:AH,31,FALSE)</f>
        <v>830.57746582031245</v>
      </c>
      <c r="E13" s="704">
        <f ca="1">VLOOKUP(A13,'Allocated charts'!A:AH,5,FALSE)+VLOOKUP(A13,'Allocated charts'!A:AH,7,FALSE)+VLOOKUP(A13,'Allocated charts'!A:AH,11,FALSE)+VLOOKUP(A13,'Allocated charts'!A:AH,29,FALSE)+VLOOKUP(A13,'Allocated charts'!A:AH,33,FALSE)+VLOOKUP(A13,'Allocated charts'!A:AH,34,FALSE)</f>
        <v>1063.468423828125</v>
      </c>
      <c r="F13" s="704">
        <f ca="1">VLOOKUP(A13,'Allocated charts'!A:AH,12,FALSE)+VLOOKUP(A13,'Allocated charts'!A:AH,13,FALSE)+VLOOKUP(A13,'Allocated charts'!A:AH,18,FALSE)+VLOOKUP(A13,'Allocated charts'!A:AH,27,FALSE)+VLOOKUP(A13,'Allocated charts'!A:AH,28,FALSE)</f>
        <v>1053.9855175781249</v>
      </c>
      <c r="G13" s="704">
        <f ca="1">VLOOKUP(A13,'Allocated charts'!A:AH,14,FALSE)+VLOOKUP(A13,'Allocated charts'!A:AH,15,FALSE)+VLOOKUP(A13,'Allocated charts'!A:AH,16,FALSE)+VLOOKUP(A13,'Allocated charts'!A:AH,17,FALSE)+VLOOKUP(A13,'Allocated charts'!A:AH,21,FALSE)+VLOOKUP(A13,'Allocated charts'!A:AH,24,FALSE)+VLOOKUP(A13,'Allocated charts'!A:AH,26,FALSE)</f>
        <v>668.87415820312492</v>
      </c>
      <c r="H13" s="704">
        <f ca="1">VLOOKUP(A13,'Allocated charts'!A:AH,19,FALSE)+VLOOKUP(A13,'Allocated charts'!A:AH,20,FALSE)</f>
        <v>39.413329101562496</v>
      </c>
      <c r="I13" s="704">
        <f t="shared" ref="I13" ca="1" si="11">SUM(B13:H13)</f>
        <v>3947.2267998046868</v>
      </c>
      <c r="J13" s="987">
        <f ca="1">I13-I20</f>
        <v>-32.30114941406282</v>
      </c>
      <c r="K13" s="987">
        <f ca="1">SUM(J13:J29)/10</f>
        <v>157.53807275390614</v>
      </c>
    </row>
    <row r="14" spans="1:19" x14ac:dyDescent="0.25">
      <c r="A14" s="703">
        <v>41886</v>
      </c>
      <c r="B14" s="704">
        <f ca="1">VLOOKUP(A14,'Allocated charts'!A:AH,2,FALSE)+VLOOKUP(A14,'Allocated charts'!A:AH,30,FALSE)</f>
        <v>185.04837890624998</v>
      </c>
      <c r="C14" s="704">
        <f ca="1">VLOOKUP(A14,'Allocated charts'!A:AH,3,FALSE)+VLOOKUP(A14,'Allocated charts'!A:AH,32,FALSE)</f>
        <v>99.965636718749991</v>
      </c>
      <c r="D14" s="704">
        <f ca="1">VLOOKUP(A14,'Allocated charts'!A:AH,4,FALSE)+VLOOKUP(A14,'Allocated charts'!A:AH,6,FALSE)+VLOOKUP(A14,'Allocated charts'!A:AH,8,FALSE)+VLOOKUP(A14,'Allocated charts'!A:AH,9,FALSE)+VLOOKUP(A14,'Allocated charts'!A:AH,10,FALSE)+VLOOKUP(A14,'Allocated charts'!A:AH,22,FALSE)+VLOOKUP(A14,'Allocated charts'!A:AH,23,FALSE)+VLOOKUP(A14,'Allocated charts'!A:AH,25,FALSE)+VLOOKUP(A14,'Allocated charts'!A:AH,31,FALSE)</f>
        <v>829.02990820312493</v>
      </c>
      <c r="E14" s="704">
        <f ca="1">VLOOKUP(A14,'Allocated charts'!A:AH,5,FALSE)+VLOOKUP(A14,'Allocated charts'!A:AH,7,FALSE)+VLOOKUP(A14,'Allocated charts'!A:AH,11,FALSE)+VLOOKUP(A14,'Allocated charts'!A:AH,29,FALSE)+VLOOKUP(A14,'Allocated charts'!A:AH,33,FALSE)+VLOOKUP(A14,'Allocated charts'!A:AH,34,FALSE)</f>
        <v>1055.7964892578125</v>
      </c>
      <c r="F14" s="704">
        <f ca="1">VLOOKUP(A14,'Allocated charts'!A:AH,12,FALSE)+VLOOKUP(A14,'Allocated charts'!A:AH,13,FALSE)+VLOOKUP(A14,'Allocated charts'!A:AH,18,FALSE)+VLOOKUP(A14,'Allocated charts'!A:AH,27,FALSE)+VLOOKUP(A14,'Allocated charts'!A:AH,28,FALSE)</f>
        <v>1055.0721005859375</v>
      </c>
      <c r="G14" s="704">
        <f ca="1">VLOOKUP(A14,'Allocated charts'!A:AH,14,FALSE)+VLOOKUP(A14,'Allocated charts'!A:AH,15,FALSE)+VLOOKUP(A14,'Allocated charts'!A:AH,16,FALSE)+VLOOKUP(A14,'Allocated charts'!A:AH,17,FALSE)+VLOOKUP(A14,'Allocated charts'!A:AH,21,FALSE)+VLOOKUP(A14,'Allocated charts'!A:AH,24,FALSE)+VLOOKUP(A14,'Allocated charts'!A:AH,26,FALSE)</f>
        <v>669.36805957031231</v>
      </c>
      <c r="H14" s="704">
        <f ca="1">VLOOKUP(A14,'Allocated charts'!A:AH,19,FALSE)+VLOOKUP(A14,'Allocated charts'!A:AH,20,FALSE)</f>
        <v>39.413329101562496</v>
      </c>
      <c r="I14" s="704">
        <f t="shared" ref="I14" ca="1" si="12">SUM(B14:H14)</f>
        <v>3933.6939023437494</v>
      </c>
      <c r="J14" s="987">
        <f ca="1">I14-I20</f>
        <v>-45.83404687500024</v>
      </c>
      <c r="K14" s="987">
        <f ca="1">SUM(J14:J29)/10</f>
        <v>160.76818769531241</v>
      </c>
    </row>
    <row r="15" spans="1:19" x14ac:dyDescent="0.25">
      <c r="A15" s="703">
        <v>41878</v>
      </c>
      <c r="B15" s="704">
        <f ca="1">VLOOKUP(A15,'Allocated charts'!A:AH,2,FALSE)+VLOOKUP(A15,'Allocated charts'!A:AH,30,FALSE)</f>
        <v>184.78496484375</v>
      </c>
      <c r="C15" s="704">
        <f ca="1">VLOOKUP(A15,'Allocated charts'!A:AH,3,FALSE)+VLOOKUP(A15,'Allocated charts'!A:AH,32,FALSE)</f>
        <v>99.965636718749991</v>
      </c>
      <c r="D15" s="704">
        <f ca="1">VLOOKUP(A15,'Allocated charts'!A:AH,4,FALSE)+VLOOKUP(A15,'Allocated charts'!A:AH,6,FALSE)+VLOOKUP(A15,'Allocated charts'!A:AH,8,FALSE)+VLOOKUP(A15,'Allocated charts'!A:AH,9,FALSE)+VLOOKUP(A15,'Allocated charts'!A:AH,10,FALSE)+VLOOKUP(A15,'Allocated charts'!A:AH,22,FALSE)+VLOOKUP(A15,'Allocated charts'!A:AH,23,FALSE)+VLOOKUP(A15,'Allocated charts'!A:AH,25,FALSE)+VLOOKUP(A15,'Allocated charts'!A:AH,31,FALSE)</f>
        <v>826.42869433593751</v>
      </c>
      <c r="E15" s="704">
        <f ca="1">VLOOKUP(A15,'Allocated charts'!A:AH,5,FALSE)+VLOOKUP(A15,'Allocated charts'!A:AH,7,FALSE)+VLOOKUP(A15,'Allocated charts'!A:AH,11,FALSE)+VLOOKUP(A15,'Allocated charts'!A:AH,29,FALSE)+VLOOKUP(A15,'Allocated charts'!A:AH,33,FALSE)+VLOOKUP(A15,'Allocated charts'!A:AH,34,FALSE)</f>
        <v>1054.3147851562501</v>
      </c>
      <c r="F15" s="704">
        <f ca="1">VLOOKUP(A15,'Allocated charts'!A:AH,12,FALSE)+VLOOKUP(A15,'Allocated charts'!A:AH,13,FALSE)+VLOOKUP(A15,'Allocated charts'!A:AH,18,FALSE)+VLOOKUP(A15,'Allocated charts'!A:AH,27,FALSE)+VLOOKUP(A15,'Allocated charts'!A:AH,28,FALSE)</f>
        <v>990.50272851562499</v>
      </c>
      <c r="G15" s="704">
        <f ca="1">VLOOKUP(A15,'Allocated charts'!A:AH,14,FALSE)+VLOOKUP(A15,'Allocated charts'!A:AH,15,FALSE)+VLOOKUP(A15,'Allocated charts'!A:AH,16,FALSE)+VLOOKUP(A15,'Allocated charts'!A:AH,17,FALSE)+VLOOKUP(A15,'Allocated charts'!A:AH,21,FALSE)+VLOOKUP(A15,'Allocated charts'!A:AH,24,FALSE)+VLOOKUP(A15,'Allocated charts'!A:AH,26,FALSE)</f>
        <v>666.766845703125</v>
      </c>
      <c r="H15" s="704">
        <f ca="1">VLOOKUP(A15,'Allocated charts'!A:AH,19,FALSE)+VLOOKUP(A15,'Allocated charts'!A:AH,20,FALSE)</f>
        <v>39.413329101562496</v>
      </c>
      <c r="I15" s="704">
        <f t="shared" ref="I15" ca="1" si="13">SUM(B15:H15)</f>
        <v>3862.1769843749998</v>
      </c>
      <c r="J15" s="987">
        <f ca="1">I15-I20</f>
        <v>-117.35096484374981</v>
      </c>
      <c r="K15" s="987">
        <f ca="1">SUM(J15:J29)/10</f>
        <v>165.35159238281244</v>
      </c>
    </row>
    <row r="16" spans="1:19" x14ac:dyDescent="0.25">
      <c r="A16" s="703">
        <v>41871</v>
      </c>
      <c r="B16" s="704">
        <f ca="1">VLOOKUP(A16,'Allocated charts'!A:AH,2,FALSE)+VLOOKUP(A16,'Allocated charts'!A:AH,30,FALSE)</f>
        <v>183.53374804687499</v>
      </c>
      <c r="C16" s="704">
        <f ca="1">VLOOKUP(A16,'Allocated charts'!A:AH,3,FALSE)+VLOOKUP(A16,'Allocated charts'!A:AH,32,FALSE)</f>
        <v>99.702222656249987</v>
      </c>
      <c r="D16" s="704">
        <f ca="1">VLOOKUP(A16,'Allocated charts'!A:AH,4,FALSE)+VLOOKUP(A16,'Allocated charts'!A:AH,6,FALSE)+VLOOKUP(A16,'Allocated charts'!A:AH,8,FALSE)+VLOOKUP(A16,'Allocated charts'!A:AH,9,FALSE)+VLOOKUP(A16,'Allocated charts'!A:AH,10,FALSE)+VLOOKUP(A16,'Allocated charts'!A:AH,22,FALSE)+VLOOKUP(A16,'Allocated charts'!A:AH,23,FALSE)+VLOOKUP(A16,'Allocated charts'!A:AH,25,FALSE)+VLOOKUP(A16,'Allocated charts'!A:AH,31,FALSE)</f>
        <v>823.99211425781255</v>
      </c>
      <c r="E16" s="704">
        <f ca="1">VLOOKUP(A16,'Allocated charts'!A:AH,5,FALSE)+VLOOKUP(A16,'Allocated charts'!A:AH,7,FALSE)+VLOOKUP(A16,'Allocated charts'!A:AH,11,FALSE)+VLOOKUP(A16,'Allocated charts'!A:AH,29,FALSE)+VLOOKUP(A16,'Allocated charts'!A:AH,33,FALSE)+VLOOKUP(A16,'Allocated charts'!A:AH,34,FALSE)</f>
        <v>1088.55861328125</v>
      </c>
      <c r="F16" s="704">
        <f ca="1">VLOOKUP(A16,'Allocated charts'!A:AH,12,FALSE)+VLOOKUP(A16,'Allocated charts'!A:AH,13,FALSE)+VLOOKUP(A16,'Allocated charts'!A:AH,18,FALSE)+VLOOKUP(A16,'Allocated charts'!A:AH,27,FALSE)+VLOOKUP(A16,'Allocated charts'!A:AH,28,FALSE)</f>
        <v>993.13686914062498</v>
      </c>
      <c r="G16" s="704">
        <f ca="1">VLOOKUP(A16,'Allocated charts'!A:AH,14,FALSE)+VLOOKUP(A16,'Allocated charts'!A:AH,15,FALSE)+VLOOKUP(A16,'Allocated charts'!A:AH,16,FALSE)+VLOOKUP(A16,'Allocated charts'!A:AH,17,FALSE)+VLOOKUP(A16,'Allocated charts'!A:AH,21,FALSE)+VLOOKUP(A16,'Allocated charts'!A:AH,24,FALSE)+VLOOKUP(A16,'Allocated charts'!A:AH,26,FALSE)</f>
        <v>666.766845703125</v>
      </c>
      <c r="H16" s="704">
        <f ca="1">VLOOKUP(A16,'Allocated charts'!A:AH,19,FALSE)+VLOOKUP(A16,'Allocated charts'!A:AH,20,FALSE)</f>
        <v>39.413329101562496</v>
      </c>
      <c r="I16" s="704">
        <f t="shared" ref="I16" ca="1" si="14">SUM(B16:H16)</f>
        <v>3895.1037421874998</v>
      </c>
      <c r="J16" s="987">
        <f ca="1">I16-I20</f>
        <v>-84.424207031249807</v>
      </c>
      <c r="K16" s="987">
        <f ca="1">SUM(J16:J29)/10</f>
        <v>177.08668886718743</v>
      </c>
    </row>
    <row r="17" spans="1:11" x14ac:dyDescent="0.25">
      <c r="A17" s="703">
        <v>41864</v>
      </c>
      <c r="B17" s="704">
        <f ca="1">VLOOKUP(A17,'Allocated charts'!A:AH,2,FALSE)+VLOOKUP(A17,'Allocated charts'!A:AH,30,FALSE)</f>
        <v>183.33618749999999</v>
      </c>
      <c r="C17" s="704">
        <f ca="1">VLOOKUP(A17,'Allocated charts'!A:AH,3,FALSE)+VLOOKUP(A17,'Allocated charts'!A:AH,32,FALSE)</f>
        <v>99.636369140625007</v>
      </c>
      <c r="D17" s="704">
        <f ca="1">VLOOKUP(A17,'Allocated charts'!A:AH,4,FALSE)+VLOOKUP(A17,'Allocated charts'!A:AH,6,FALSE)+VLOOKUP(A17,'Allocated charts'!A:AH,8,FALSE)+VLOOKUP(A17,'Allocated charts'!A:AH,9,FALSE)+VLOOKUP(A17,'Allocated charts'!A:AH,10,FALSE)+VLOOKUP(A17,'Allocated charts'!A:AH,22,FALSE)+VLOOKUP(A17,'Allocated charts'!A:AH,23,FALSE)+VLOOKUP(A17,'Allocated charts'!A:AH,25,FALSE)+VLOOKUP(A17,'Allocated charts'!A:AH,31,FALSE)</f>
        <v>820.53480468750001</v>
      </c>
      <c r="E17" s="704">
        <f ca="1">VLOOKUP(A17,'Allocated charts'!A:AH,5,FALSE)+VLOOKUP(A17,'Allocated charts'!A:AH,7,FALSE)+VLOOKUP(A17,'Allocated charts'!A:AH,11,FALSE)+VLOOKUP(A17,'Allocated charts'!A:AH,29,FALSE)+VLOOKUP(A17,'Allocated charts'!A:AH,33,FALSE)+VLOOKUP(A17,'Allocated charts'!A:AH,34,FALSE)</f>
        <v>1083.6525263671874</v>
      </c>
      <c r="F17" s="704">
        <f ca="1">VLOOKUP(A17,'Allocated charts'!A:AH,12,FALSE)+VLOOKUP(A17,'Allocated charts'!A:AH,13,FALSE)+VLOOKUP(A17,'Allocated charts'!A:AH,18,FALSE)+VLOOKUP(A17,'Allocated charts'!A:AH,27,FALSE)+VLOOKUP(A17,'Allocated charts'!A:AH,28,FALSE)</f>
        <v>1008.7112255859374</v>
      </c>
      <c r="G17" s="704">
        <f ca="1">VLOOKUP(A17,'Allocated charts'!A:AH,14,FALSE)+VLOOKUP(A17,'Allocated charts'!A:AH,15,FALSE)+VLOOKUP(A17,'Allocated charts'!A:AH,16,FALSE)+VLOOKUP(A17,'Allocated charts'!A:AH,17,FALSE)+VLOOKUP(A17,'Allocated charts'!A:AH,21,FALSE)+VLOOKUP(A17,'Allocated charts'!A:AH,24,FALSE)+VLOOKUP(A17,'Allocated charts'!A:AH,26,FALSE)</f>
        <v>642.5656787109375</v>
      </c>
      <c r="H17" s="704">
        <f ca="1">VLOOKUP(A17,'Allocated charts'!A:AH,19,FALSE)+VLOOKUP(A17,'Allocated charts'!A:AH,20,FALSE)</f>
        <v>39.413329101562496</v>
      </c>
      <c r="I17" s="704">
        <f t="shared" ref="I17" ca="1" si="15">SUM(B17:H17)</f>
        <v>3877.8501210937493</v>
      </c>
      <c r="J17" s="987">
        <f ca="1">I17-I20</f>
        <v>-101.67782812500036</v>
      </c>
      <c r="K17" s="987">
        <f ca="1">SUM(J17:J29)/10</f>
        <v>185.52910957031241</v>
      </c>
    </row>
    <row r="18" spans="1:11" x14ac:dyDescent="0.25">
      <c r="A18" s="703">
        <v>41857</v>
      </c>
      <c r="B18" s="704">
        <f ca="1">VLOOKUP(A18,'Allocated charts'!A:AH,2,FALSE)+VLOOKUP(A18,'Allocated charts'!A:AH,30,FALSE)</f>
        <v>178.792294921875</v>
      </c>
      <c r="C18" s="704">
        <f ca="1">VLOOKUP(A18,'Allocated charts'!A:AH,3,FALSE)+VLOOKUP(A18,'Allocated charts'!A:AH,32,FALSE)</f>
        <v>99.965636718750005</v>
      </c>
      <c r="D18" s="704">
        <f ca="1">VLOOKUP(A18,'Allocated charts'!A:AH,4,FALSE)+VLOOKUP(A18,'Allocated charts'!A:AH,6,FALSE)+VLOOKUP(A18,'Allocated charts'!A:AH,8,FALSE)+VLOOKUP(A18,'Allocated charts'!A:AH,9,FALSE)+VLOOKUP(A18,'Allocated charts'!A:AH,10,FALSE)+VLOOKUP(A18,'Allocated charts'!A:AH,22,FALSE)+VLOOKUP(A18,'Allocated charts'!A:AH,23,FALSE)+VLOOKUP(A18,'Allocated charts'!A:AH,25,FALSE)+VLOOKUP(A18,'Allocated charts'!A:AH,31,FALSE)</f>
        <v>817.24212890624995</v>
      </c>
      <c r="E18" s="704">
        <f ca="1">VLOOKUP(A18,'Allocated charts'!A:AH,5,FALSE)+VLOOKUP(A18,'Allocated charts'!A:AH,7,FALSE)+VLOOKUP(A18,'Allocated charts'!A:AH,11,FALSE)+VLOOKUP(A18,'Allocated charts'!A:AH,29,FALSE)+VLOOKUP(A18,'Allocated charts'!A:AH,33,FALSE)+VLOOKUP(A18,'Allocated charts'!A:AH,34,FALSE)</f>
        <v>1090.2378779296876</v>
      </c>
      <c r="F18" s="704">
        <f ca="1">VLOOKUP(A18,'Allocated charts'!A:AH,12,FALSE)+VLOOKUP(A18,'Allocated charts'!A:AH,13,FALSE)+VLOOKUP(A18,'Allocated charts'!A:AH,18,FALSE)+VLOOKUP(A18,'Allocated charts'!A:AH,27,FALSE)+VLOOKUP(A18,'Allocated charts'!A:AH,28,FALSE)</f>
        <v>1069.0330458984374</v>
      </c>
      <c r="G18" s="704">
        <f ca="1">VLOOKUP(A18,'Allocated charts'!A:AH,14,FALSE)+VLOOKUP(A18,'Allocated charts'!A:AH,15,FALSE)+VLOOKUP(A18,'Allocated charts'!A:AH,16,FALSE)+VLOOKUP(A18,'Allocated charts'!A:AH,17,FALSE)+VLOOKUP(A18,'Allocated charts'!A:AH,21,FALSE)+VLOOKUP(A18,'Allocated charts'!A:AH,24,FALSE)+VLOOKUP(A18,'Allocated charts'!A:AH,26,FALSE)</f>
        <v>645.46323339843741</v>
      </c>
      <c r="H18" s="704">
        <f ca="1">VLOOKUP(A18,'Allocated charts'!A:AH,19,FALSE)+VLOOKUP(A18,'Allocated charts'!A:AH,20,FALSE)</f>
        <v>39.413329101562496</v>
      </c>
      <c r="I18" s="704">
        <f t="shared" ref="I18" ca="1" si="16">SUM(B18:H18)</f>
        <v>3940.1475468749995</v>
      </c>
      <c r="J18" s="987">
        <f ca="1">I18-I20</f>
        <v>-39.38040234375012</v>
      </c>
      <c r="K18" s="987">
        <f ca="1">SUM(J18:J29)/10</f>
        <v>195.69689238281245</v>
      </c>
    </row>
    <row r="19" spans="1:11" x14ac:dyDescent="0.25">
      <c r="A19" s="703">
        <v>41850</v>
      </c>
      <c r="B19" s="704">
        <f ca="1">VLOOKUP(A19,'Allocated charts'!A:AH,2,FALSE)+VLOOKUP(A19,'Allocated charts'!A:AH,30,FALSE)</f>
        <v>225.38365722656249</v>
      </c>
      <c r="C19" s="704">
        <f ca="1">VLOOKUP(A19,'Allocated charts'!A:AH,3,FALSE)+VLOOKUP(A19,'Allocated charts'!A:AH,32,FALSE)</f>
        <v>98.977833984374996</v>
      </c>
      <c r="D19" s="704">
        <f ca="1">VLOOKUP(A19,'Allocated charts'!A:AH,4,FALSE)+VLOOKUP(A19,'Allocated charts'!A:AH,6,FALSE)+VLOOKUP(A19,'Allocated charts'!A:AH,8,FALSE)+VLOOKUP(A19,'Allocated charts'!A:AH,9,FALSE)+VLOOKUP(A19,'Allocated charts'!A:AH,10,FALSE)+VLOOKUP(A19,'Allocated charts'!A:AH,22,FALSE)+VLOOKUP(A19,'Allocated charts'!A:AH,23,FALSE)+VLOOKUP(A19,'Allocated charts'!A:AH,25,FALSE)+VLOOKUP(A19,'Allocated charts'!A:AH,31,FALSE)</f>
        <v>812.00677441406253</v>
      </c>
      <c r="E19" s="704">
        <f ca="1">VLOOKUP(A19,'Allocated charts'!A:AH,5,FALSE)+VLOOKUP(A19,'Allocated charts'!A:AH,7,FALSE)+VLOOKUP(A19,'Allocated charts'!A:AH,11,FALSE)+VLOOKUP(A19,'Allocated charts'!A:AH,29,FALSE)+VLOOKUP(A19,'Allocated charts'!A:AH,33,FALSE)+VLOOKUP(A19,'Allocated charts'!A:AH,34,FALSE)</f>
        <v>1097.2183505859375</v>
      </c>
      <c r="F19" s="704">
        <f ca="1">VLOOKUP(A19,'Allocated charts'!A:AH,12,FALSE)+VLOOKUP(A19,'Allocated charts'!A:AH,13,FALSE)+VLOOKUP(A19,'Allocated charts'!A:AH,18,FALSE)+VLOOKUP(A19,'Allocated charts'!A:AH,27,FALSE)+VLOOKUP(A19,'Allocated charts'!A:AH,28,FALSE)</f>
        <v>1066.4647587890624</v>
      </c>
      <c r="G19" s="704">
        <f ca="1">VLOOKUP(A19,'Allocated charts'!A:AH,14,FALSE)+VLOOKUP(A19,'Allocated charts'!A:AH,15,FALSE)+VLOOKUP(A19,'Allocated charts'!A:AH,16,FALSE)+VLOOKUP(A19,'Allocated charts'!A:AH,17,FALSE)+VLOOKUP(A19,'Allocated charts'!A:AH,21,FALSE)+VLOOKUP(A19,'Allocated charts'!A:AH,24,FALSE)+VLOOKUP(A19,'Allocated charts'!A:AH,26,FALSE)</f>
        <v>640.06324511718742</v>
      </c>
      <c r="H19" s="704">
        <f ca="1">VLOOKUP(A19,'Allocated charts'!A:AH,19,FALSE)+VLOOKUP(A19,'Allocated charts'!A:AH,20,FALSE)</f>
        <v>39.413329101562496</v>
      </c>
      <c r="I19" s="704">
        <f t="shared" ref="I19:I22" ca="1" si="17">SUM(B19:H19)</f>
        <v>3979.5279492187497</v>
      </c>
      <c r="J19" s="987">
        <f t="shared" ref="J19:J23" ca="1" si="18">I19-I20</f>
        <v>0</v>
      </c>
      <c r="K19" s="987">
        <f t="shared" ref="K19:K72" ca="1" si="19">SUM(J19:J29)/10</f>
        <v>199.63493261718745</v>
      </c>
    </row>
    <row r="20" spans="1:11" x14ac:dyDescent="0.25">
      <c r="A20" s="703">
        <v>41843</v>
      </c>
      <c r="B20" s="704">
        <f ca="1">VLOOKUP(A20,'Allocated charts'!A:AH,2,FALSE)+VLOOKUP(A20,'Allocated charts'!A:AH,30,FALSE)</f>
        <v>225.38365722656249</v>
      </c>
      <c r="C20" s="704">
        <f ca="1">VLOOKUP(A20,'Allocated charts'!A:AH,3,FALSE)+VLOOKUP(A20,'Allocated charts'!A:AH,32,FALSE)</f>
        <v>98.977833984374996</v>
      </c>
      <c r="D20" s="704">
        <f ca="1">VLOOKUP(A20,'Allocated charts'!A:AH,4,FALSE)+VLOOKUP(A20,'Allocated charts'!A:AH,6,FALSE)+VLOOKUP(A20,'Allocated charts'!A:AH,8,FALSE)+VLOOKUP(A20,'Allocated charts'!A:AH,9,FALSE)+VLOOKUP(A20,'Allocated charts'!A:AH,10,FALSE)+VLOOKUP(A20,'Allocated charts'!A:AH,22,FALSE)+VLOOKUP(A20,'Allocated charts'!A:AH,23,FALSE)+VLOOKUP(A20,'Allocated charts'!A:AH,25,FALSE)+VLOOKUP(A20,'Allocated charts'!A:AH,31,FALSE)</f>
        <v>812.00677441406253</v>
      </c>
      <c r="E20" s="704">
        <f ca="1">VLOOKUP(A20,'Allocated charts'!A:AH,5,FALSE)+VLOOKUP(A20,'Allocated charts'!A:AH,7,FALSE)+VLOOKUP(A20,'Allocated charts'!A:AH,11,FALSE)+VLOOKUP(A20,'Allocated charts'!A:AH,29,FALSE)+VLOOKUP(A20,'Allocated charts'!A:AH,33,FALSE)+VLOOKUP(A20,'Allocated charts'!A:AH,34,FALSE)</f>
        <v>1097.2183505859375</v>
      </c>
      <c r="F20" s="704">
        <f ca="1">VLOOKUP(A20,'Allocated charts'!A:AH,12,FALSE)+VLOOKUP(A20,'Allocated charts'!A:AH,13,FALSE)+VLOOKUP(A20,'Allocated charts'!A:AH,18,FALSE)+VLOOKUP(A20,'Allocated charts'!A:AH,27,FALSE)+VLOOKUP(A20,'Allocated charts'!A:AH,28,FALSE)</f>
        <v>1066.4647587890624</v>
      </c>
      <c r="G20" s="704">
        <f ca="1">VLOOKUP(A20,'Allocated charts'!A:AH,14,FALSE)+VLOOKUP(A20,'Allocated charts'!A:AH,15,FALSE)+VLOOKUP(A20,'Allocated charts'!A:AH,16,FALSE)+VLOOKUP(A20,'Allocated charts'!A:AH,17,FALSE)+VLOOKUP(A20,'Allocated charts'!A:AH,21,FALSE)+VLOOKUP(A20,'Allocated charts'!A:AH,24,FALSE)+VLOOKUP(A20,'Allocated charts'!A:AH,26,FALSE)</f>
        <v>640.06324511718742</v>
      </c>
      <c r="H20" s="704">
        <f ca="1">VLOOKUP(A20,'Allocated charts'!A:AH,19,FALSE)+VLOOKUP(A20,'Allocated charts'!A:AH,20,FALSE)</f>
        <v>39.413329101562496</v>
      </c>
      <c r="I20" s="704">
        <f t="shared" ca="1" si="17"/>
        <v>3979.5279492187497</v>
      </c>
      <c r="J20" s="987">
        <f t="shared" ca="1" si="18"/>
        <v>307.1078701171873</v>
      </c>
      <c r="K20" s="987">
        <f t="shared" ca="1" si="19"/>
        <v>220.60927734374997</v>
      </c>
    </row>
    <row r="21" spans="1:11" x14ac:dyDescent="0.25">
      <c r="A21" s="986">
        <v>41836</v>
      </c>
      <c r="B21" s="704">
        <f ca="1">VLOOKUP(A21,'Allocated charts'!A:AH,2,FALSE)+VLOOKUP(A21,'Allocated charts'!A:AH,30,FALSE)</f>
        <v>179.31912304687498</v>
      </c>
      <c r="C21" s="704">
        <f ca="1">VLOOKUP(A21,'Allocated charts'!A:AH,3,FALSE)+VLOOKUP(A21,'Allocated charts'!A:AH,32,FALSE)</f>
        <v>99.208321289062496</v>
      </c>
      <c r="D21" s="704">
        <f ca="1">VLOOKUP(A21,'Allocated charts'!A:AH,4,FALSE)+VLOOKUP(A21,'Allocated charts'!A:AH,6,FALSE)+VLOOKUP(A21,'Allocated charts'!A:AH,8,FALSE)+VLOOKUP(A21,'Allocated charts'!A:AH,9,FALSE)+VLOOKUP(A21,'Allocated charts'!A:AH,10,FALSE)+VLOOKUP(A21,'Allocated charts'!A:AH,22,FALSE)+VLOOKUP(A21,'Allocated charts'!A:AH,23,FALSE)+VLOOKUP(A21,'Allocated charts'!A:AH,25,FALSE)+VLOOKUP(A21,'Allocated charts'!A:AH,31,FALSE)</f>
        <v>809.37263378906243</v>
      </c>
      <c r="E21" s="704">
        <f ca="1">VLOOKUP(A21,'Allocated charts'!A:AH,5,FALSE)+VLOOKUP(A21,'Allocated charts'!A:AH,7,FALSE)+VLOOKUP(A21,'Allocated charts'!A:AH,11,FALSE)+VLOOKUP(A21,'Allocated charts'!A:AH,29,FALSE)+VLOOKUP(A21,'Allocated charts'!A:AH,33,FALSE)+VLOOKUP(A21,'Allocated charts'!A:AH,34,FALSE)</f>
        <v>908.21876074218744</v>
      </c>
      <c r="F21" s="704">
        <f ca="1">VLOOKUP(A21,'Allocated charts'!A:AH,12,FALSE)+VLOOKUP(A21,'Allocated charts'!A:AH,13,FALSE)+VLOOKUP(A21,'Allocated charts'!A:AH,18,FALSE)+VLOOKUP(A21,'Allocated charts'!A:AH,27,FALSE)+VLOOKUP(A21,'Allocated charts'!A:AH,28,FALSE)</f>
        <v>997.48320117187495</v>
      </c>
      <c r="G21" s="704">
        <f ca="1">VLOOKUP(A21,'Allocated charts'!A:AH,14,FALSE)+VLOOKUP(A21,'Allocated charts'!A:AH,15,FALSE)+VLOOKUP(A21,'Allocated charts'!A:AH,16,FALSE)+VLOOKUP(A21,'Allocated charts'!A:AH,17,FALSE)+VLOOKUP(A21,'Allocated charts'!A:AH,21,FALSE)+VLOOKUP(A21,'Allocated charts'!A:AH,24,FALSE)+VLOOKUP(A21,'Allocated charts'!A:AH,26,FALSE)</f>
        <v>639.40470996093734</v>
      </c>
      <c r="H21" s="704">
        <f ca="1">VLOOKUP(A21,'Allocated charts'!A:AH,19,FALSE)+VLOOKUP(A21,'Allocated charts'!A:AH,20,FALSE)</f>
        <v>39.413329101562496</v>
      </c>
      <c r="I21" s="704">
        <f t="shared" ca="1" si="17"/>
        <v>3672.4200791015624</v>
      </c>
      <c r="J21" s="987">
        <f t="shared" ca="1" si="18"/>
        <v>10.734123046875538</v>
      </c>
      <c r="K21" s="987">
        <f t="shared" ca="1" si="19"/>
        <v>203.68825263671874</v>
      </c>
    </row>
    <row r="22" spans="1:11" x14ac:dyDescent="0.25">
      <c r="A22" s="986">
        <v>41829</v>
      </c>
      <c r="B22" s="704">
        <f ca="1">VLOOKUP(A22,'Allocated charts'!A:AH,2,FALSE)+VLOOKUP(A22,'Allocated charts'!A:AH,30,FALSE)</f>
        <v>174.61059667968749</v>
      </c>
      <c r="C22" s="704">
        <f ca="1">VLOOKUP(A22,'Allocated charts'!A:AH,3,FALSE)+VLOOKUP(A22,'Allocated charts'!A:AH,32,FALSE)</f>
        <v>99.076614257812494</v>
      </c>
      <c r="D22" s="704">
        <f ca="1">VLOOKUP(A22,'Allocated charts'!A:AH,4,FALSE)+VLOOKUP(A22,'Allocated charts'!A:AH,6,FALSE)+VLOOKUP(A22,'Allocated charts'!A:AH,8,FALSE)+VLOOKUP(A22,'Allocated charts'!A:AH,9,FALSE)+VLOOKUP(A22,'Allocated charts'!A:AH,10,FALSE)+VLOOKUP(A22,'Allocated charts'!A:AH,22,FALSE)+VLOOKUP(A22,'Allocated charts'!A:AH,23,FALSE)+VLOOKUP(A22,'Allocated charts'!A:AH,25,FALSE)+VLOOKUP(A22,'Allocated charts'!A:AH,31,FALSE)</f>
        <v>822.41162988281235</v>
      </c>
      <c r="E22" s="704">
        <f ca="1">VLOOKUP(A22,'Allocated charts'!A:AH,5,FALSE)+VLOOKUP(A22,'Allocated charts'!A:AH,7,FALSE)+VLOOKUP(A22,'Allocated charts'!A:AH,11,FALSE)+VLOOKUP(A22,'Allocated charts'!A:AH,29,FALSE)+VLOOKUP(A22,'Allocated charts'!A:AH,33,FALSE)+VLOOKUP(A22,'Allocated charts'!A:AH,34,FALSE)</f>
        <v>913.2236279296875</v>
      </c>
      <c r="F22" s="704">
        <f ca="1">VLOOKUP(A22,'Allocated charts'!A:AH,12,FALSE)+VLOOKUP(A22,'Allocated charts'!A:AH,13,FALSE)+VLOOKUP(A22,'Allocated charts'!A:AH,18,FALSE)+VLOOKUP(A22,'Allocated charts'!A:AH,27,FALSE)+VLOOKUP(A22,'Allocated charts'!A:AH,28,FALSE)</f>
        <v>974.99422558593744</v>
      </c>
      <c r="G22" s="704">
        <f ca="1">VLOOKUP(A22,'Allocated charts'!A:AH,14,FALSE)+VLOOKUP(A22,'Allocated charts'!A:AH,15,FALSE)+VLOOKUP(A22,'Allocated charts'!A:AH,16,FALSE)+VLOOKUP(A22,'Allocated charts'!A:AH,17,FALSE)+VLOOKUP(A22,'Allocated charts'!A:AH,21,FALSE)+VLOOKUP(A22,'Allocated charts'!A:AH,24,FALSE)+VLOOKUP(A22,'Allocated charts'!A:AH,26,FALSE)</f>
        <v>641.05104785156243</v>
      </c>
      <c r="H22" s="704">
        <f ca="1">VLOOKUP(A22,'Allocated charts'!A:AH,19,FALSE)+VLOOKUP(A22,'Allocated charts'!A:AH,20,FALSE)</f>
        <v>36.318213867187495</v>
      </c>
      <c r="I22" s="704">
        <f t="shared" ca="1" si="17"/>
        <v>3661.6859560546868</v>
      </c>
      <c r="J22" s="987">
        <f t="shared" ca="1" si="18"/>
        <v>0</v>
      </c>
      <c r="K22" s="987">
        <f t="shared" ca="1" si="19"/>
        <v>209.72043466796862</v>
      </c>
    </row>
    <row r="23" spans="1:11" x14ac:dyDescent="0.25">
      <c r="A23" s="986">
        <v>41822</v>
      </c>
      <c r="B23" s="704">
        <f ca="1">VLOOKUP(A23,'Allocated charts'!A:AH,2,FALSE)+VLOOKUP(A23,'Allocated charts'!A:AH,30,FALSE)</f>
        <v>174.61059667968749</v>
      </c>
      <c r="C23" s="704">
        <f ca="1">VLOOKUP(A23,'Allocated charts'!A:AH,3,FALSE)+VLOOKUP(A23,'Allocated charts'!A:AH,32,FALSE)</f>
        <v>99.076614257812494</v>
      </c>
      <c r="D23" s="704">
        <f ca="1">VLOOKUP(A23,'Allocated charts'!A:AH,4,FALSE)+VLOOKUP(A23,'Allocated charts'!A:AH,6,FALSE)+VLOOKUP(A23,'Allocated charts'!A:AH,8,FALSE)+VLOOKUP(A23,'Allocated charts'!A:AH,9,FALSE)+VLOOKUP(A23,'Allocated charts'!A:AH,10,FALSE)+VLOOKUP(A23,'Allocated charts'!A:AH,22,FALSE)+VLOOKUP(A23,'Allocated charts'!A:AH,23,FALSE)+VLOOKUP(A23,'Allocated charts'!A:AH,25,FALSE)+VLOOKUP(A23,'Allocated charts'!A:AH,31,FALSE)</f>
        <v>822.41162988281235</v>
      </c>
      <c r="E23" s="704">
        <f ca="1">VLOOKUP(A23,'Allocated charts'!A:AH,5,FALSE)+VLOOKUP(A23,'Allocated charts'!A:AH,7,FALSE)+VLOOKUP(A23,'Allocated charts'!A:AH,11,FALSE)+VLOOKUP(A23,'Allocated charts'!A:AH,29,FALSE)+VLOOKUP(A23,'Allocated charts'!A:AH,33,FALSE)+VLOOKUP(A23,'Allocated charts'!A:AH,34,FALSE)</f>
        <v>913.2236279296875</v>
      </c>
      <c r="F23" s="704">
        <f ca="1">VLOOKUP(A23,'Allocated charts'!A:AH,12,FALSE)+VLOOKUP(A23,'Allocated charts'!A:AH,13,FALSE)+VLOOKUP(A23,'Allocated charts'!A:AH,18,FALSE)+VLOOKUP(A23,'Allocated charts'!A:AH,27,FALSE)+VLOOKUP(A23,'Allocated charts'!A:AH,28,FALSE)</f>
        <v>974.99422558593744</v>
      </c>
      <c r="G23" s="704">
        <f ca="1">VLOOKUP(A23,'Allocated charts'!A:AH,14,FALSE)+VLOOKUP(A23,'Allocated charts'!A:AH,15,FALSE)+VLOOKUP(A23,'Allocated charts'!A:AH,16,FALSE)+VLOOKUP(A23,'Allocated charts'!A:AH,17,FALSE)+VLOOKUP(A23,'Allocated charts'!A:AH,21,FALSE)+VLOOKUP(A23,'Allocated charts'!A:AH,24,FALSE)+VLOOKUP(A23,'Allocated charts'!A:AH,26,FALSE)</f>
        <v>641.05104785156243</v>
      </c>
      <c r="H23" s="704">
        <f ca="1">VLOOKUP(A23,'Allocated charts'!A:AH,19,FALSE)+VLOOKUP(A23,'Allocated charts'!A:AH,20,FALSE)</f>
        <v>36.318213867187495</v>
      </c>
      <c r="I23" s="704">
        <f t="shared" ref="I23" ca="1" si="20">SUM(B23:H23)</f>
        <v>3661.6859560546868</v>
      </c>
      <c r="J23" s="987">
        <f t="shared" ca="1" si="18"/>
        <v>35.626751953125222</v>
      </c>
      <c r="K23" s="987">
        <f t="shared" ca="1" si="19"/>
        <v>217.32322304687486</v>
      </c>
    </row>
    <row r="24" spans="1:11" x14ac:dyDescent="0.25">
      <c r="A24" s="986">
        <v>41815</v>
      </c>
      <c r="B24" s="987">
        <f ca="1">VLOOKUP(A24,'Allocated charts'!A:AB,2,FALSE)</f>
        <v>174.34718261718749</v>
      </c>
      <c r="C24" s="987">
        <f ca="1">VLOOKUP(A24,'Allocated charts'!A:AB,3,FALSE)</f>
        <v>99.076614257812494</v>
      </c>
      <c r="D24" s="987">
        <f ca="1">VLOOKUP(A24,'Allocated charts'!A:AB,4,FALSE)+VLOOKUP(A24,'Allocated charts'!A:AB,6,FALSE)+VLOOKUP(A24,'Allocated charts'!A:AB,8,FALSE)+VLOOKUP(A24,'Allocated charts'!A:AB,9,FALSE)+VLOOKUP(A24,'Allocated charts'!A:AB,10,FALSE)+VLOOKUP(A24,'Allocated charts'!A:AB,22,FALSE)+VLOOKUP(A24,'Allocated charts'!A:AB,23,FALSE)+VLOOKUP(A24,'Allocated charts'!A:AB,25,FALSE)</f>
        <v>818.16407812499983</v>
      </c>
      <c r="E24" s="987">
        <f ca="1">VLOOKUP(A24,'Allocated charts'!A:AB,5,FALSE)+VLOOKUP(A24,'Allocated charts'!A:AB,7,FALSE)+VLOOKUP(A24,'Allocated charts'!A:AB,11,FALSE)</f>
        <v>893.23708593749996</v>
      </c>
      <c r="F24" s="987">
        <f ca="1">VLOOKUP(A24,'Allocated charts'!A:AB,12,FALSE)+VLOOKUP(A24,'Allocated charts'!A:AB,13,FALSE)+VLOOKUP(A24,'Allocated charts'!A:AB,18,FALSE)+VLOOKUP(A24,'Allocated charts'!A:AB,27,FALSE)+VLOOKUP(A24,'Allocated charts'!A:AB,28,FALSE)</f>
        <v>966.69668261718743</v>
      </c>
      <c r="G24" s="987">
        <f ca="1">VLOOKUP(A24,'Allocated charts'!A:AB,14,FALSE)+VLOOKUP(A24,'Allocated charts'!A:AB,15,FALSE)+VLOOKUP(A24,'Allocated charts'!A:AB,16,FALSE)++VLOOKUP(A24,'Allocated charts'!A:AB,17,FALSE)+VLOOKUP(A24,'Allocated charts'!A:AB,21,FALSE)+VLOOKUP(A24,'Allocated charts'!A:AB,24,FALSE)+VLOOKUP(A24,'Allocated charts'!A:AB,26,FALSE)</f>
        <v>638.21934667968731</v>
      </c>
      <c r="H24" s="987">
        <f ca="1">VLOOKUP(A24,'Allocated charts'!A:AB,19,FALSE)+VLOOKUP(A24,'Allocated charts'!A:AB,20,FALSE)</f>
        <v>36.318213867187495</v>
      </c>
      <c r="I24" s="987">
        <f t="shared" ref="I24:I72" ca="1" si="21">SUM(B24:H24)</f>
        <v>3626.0592041015616</v>
      </c>
      <c r="J24" s="987">
        <f ca="1">I24-I38</f>
        <v>392.58573339843679</v>
      </c>
      <c r="K24" s="987">
        <f t="shared" ca="1" si="19"/>
        <v>220.21089970703116</v>
      </c>
    </row>
    <row r="25" spans="1:11" x14ac:dyDescent="0.25">
      <c r="A25" s="986">
        <v>41808</v>
      </c>
      <c r="B25" s="987">
        <f ca="1">VLOOKUP(A25,'Allocated charts'!A:AB,2,FALSE)</f>
        <v>175.20327832031251</v>
      </c>
      <c r="C25" s="987">
        <f ca="1">VLOOKUP(A25,'Allocated charts'!A:AB,3,FALSE)</f>
        <v>97.06808203125</v>
      </c>
      <c r="D25" s="987">
        <f ca="1">VLOOKUP(A25,'Allocated charts'!A:AB,4,FALSE)+VLOOKUP(A25,'Allocated charts'!A:AB,6,FALSE)+VLOOKUP(A25,'Allocated charts'!A:AB,8,FALSE)+VLOOKUP(A25,'Allocated charts'!A:AB,9,FALSE)+VLOOKUP(A25,'Allocated charts'!A:AB,10,FALSE)+VLOOKUP(A25,'Allocated charts'!A:AB,22,FALSE)+VLOOKUP(A25,'Allocated charts'!A:AB,23,FALSE)+VLOOKUP(A25,'Allocated charts'!A:AB,25,FALSE)</f>
        <v>810.39336328124989</v>
      </c>
      <c r="E25" s="987">
        <f ca="1">VLOOKUP(A25,'Allocated charts'!A:AB,5,FALSE)+VLOOKUP(A25,'Allocated charts'!A:AB,7,FALSE)+VLOOKUP(A25,'Allocated charts'!A:AB,11,FALSE)</f>
        <v>901.43584863281251</v>
      </c>
      <c r="F25" s="987">
        <f ca="1">VLOOKUP(A25,'Allocated charts'!A:AB,12,FALSE)+VLOOKUP(A25,'Allocated charts'!A:AB,13,FALSE)+VLOOKUP(A25,'Allocated charts'!A:AB,18,FALSE)+VLOOKUP(A25,'Allocated charts'!A:AB,27,FALSE)+VLOOKUP(A25,'Allocated charts'!A:AB,28,FALSE)</f>
        <v>933.63821777343753</v>
      </c>
      <c r="G25" s="987">
        <f ca="1">VLOOKUP(A25,'Allocated charts'!A:AB,14,FALSE)+VLOOKUP(A25,'Allocated charts'!A:AB,15,FALSE)+VLOOKUP(A25,'Allocated charts'!A:AB,16,FALSE)++VLOOKUP(A25,'Allocated charts'!A:AB,17,FALSE)+VLOOKUP(A25,'Allocated charts'!A:AB,21,FALSE)+VLOOKUP(A25,'Allocated charts'!A:AB,24,FALSE)+VLOOKUP(A25,'Allocated charts'!A:AB,26,FALSE)</f>
        <v>633.60960058593741</v>
      </c>
      <c r="H25" s="987">
        <f ca="1">VLOOKUP(A25,'Allocated charts'!A:AB,19,FALSE)+VLOOKUP(A25,'Allocated charts'!A:AB,20,FALSE)</f>
        <v>36.318213867187495</v>
      </c>
      <c r="I25" s="987">
        <f t="shared" ca="1" si="21"/>
        <v>3587.6666044921876</v>
      </c>
      <c r="J25" s="987">
        <f ca="1">I25-I38</f>
        <v>354.19313378906281</v>
      </c>
      <c r="K25" s="987">
        <f t="shared" ca="1" si="19"/>
        <v>185.07146376953125</v>
      </c>
    </row>
    <row r="26" spans="1:11" x14ac:dyDescent="0.25">
      <c r="A26" s="986">
        <v>41801</v>
      </c>
      <c r="B26" s="987">
        <f ca="1">VLOOKUP(A26,'Allocated charts'!A:AB,2,FALSE)</f>
        <v>175.20327832031251</v>
      </c>
      <c r="C26" s="987">
        <f ca="1">VLOOKUP(A26,'Allocated charts'!A:AB,3,FALSE)</f>
        <v>97.06808203125</v>
      </c>
      <c r="D26" s="987">
        <f ca="1">VLOOKUP(A26,'Allocated charts'!A:AB,4,FALSE)+VLOOKUP(A26,'Allocated charts'!A:AB,6,FALSE)+VLOOKUP(A26,'Allocated charts'!A:AB,8,FALSE)+VLOOKUP(A26,'Allocated charts'!A:AB,9,FALSE)+VLOOKUP(A26,'Allocated charts'!A:AB,10,FALSE)+VLOOKUP(A26,'Allocated charts'!A:AB,22,FALSE)</f>
        <v>759.29103515625002</v>
      </c>
      <c r="E26" s="987">
        <f ca="1">VLOOKUP(A26,'Allocated charts'!A:AB,5,FALSE)+VLOOKUP(A26,'Allocated charts'!A:AB,7,FALSE)+VLOOKUP(A26,'Allocated charts'!A:AB,11,FALSE)</f>
        <v>912.99314062499991</v>
      </c>
      <c r="F26" s="987">
        <f ca="1">VLOOKUP(A26,'Allocated charts'!A:AB,12,FALSE)+VLOOKUP(A26,'Allocated charts'!A:AB,13,FALSE)+VLOOKUP(A26,'Allocated charts'!A:AB,18,FALSE)</f>
        <v>919.57849218749993</v>
      </c>
      <c r="G26" s="987">
        <f ca="1">VLOOKUP(A26,'Allocated charts'!A:AB,14,FALSE)+VLOOKUP(A26,'Allocated charts'!A:AB,15,FALSE)+VLOOKUP(A26,'Allocated charts'!A:AB,16,FALSE)++VLOOKUP(A26,'Allocated charts'!A:AB,17,FALSE)+VLOOKUP(A26,'Allocated charts'!A:AB,21,FALSE)</f>
        <v>564.26584863281244</v>
      </c>
      <c r="H26" s="987">
        <f ca="1">VLOOKUP(A26,'Allocated charts'!A:AB,19,FALSE)+VLOOKUP(A26,'Allocated charts'!A:AB,20,FALSE)</f>
        <v>36.318213867187495</v>
      </c>
      <c r="I26" s="987">
        <f t="shared" ca="1" si="21"/>
        <v>3464.7180908203122</v>
      </c>
      <c r="J26" s="987">
        <f ca="1">I26-I38</f>
        <v>231.24462011718742</v>
      </c>
      <c r="K26" s="987">
        <f t="shared" ca="1" si="19"/>
        <v>153.77128779296874</v>
      </c>
    </row>
    <row r="27" spans="1:11" x14ac:dyDescent="0.25">
      <c r="A27" s="986">
        <v>41794</v>
      </c>
      <c r="B27" s="987">
        <f ca="1">VLOOKUP(A27,'Allocated charts'!A:AB,2,FALSE)</f>
        <v>175.20327832031251</v>
      </c>
      <c r="C27" s="987">
        <f ca="1">VLOOKUP(A27,'Allocated charts'!A:AB,3,FALSE)</f>
        <v>97.06808203125</v>
      </c>
      <c r="D27" s="987">
        <f ca="1">VLOOKUP(A27,'Allocated charts'!A:AB,4,FALSE)+VLOOKUP(A27,'Allocated charts'!A:AB,6,FALSE)+VLOOKUP(A27,'Allocated charts'!A:AB,8,FALSE)+VLOOKUP(A27,'Allocated charts'!A:AB,9,FALSE)+VLOOKUP(A27,'Allocated charts'!A:AB,10,FALSE)+VLOOKUP(A27,'Allocated charts'!A:AB,22,FALSE)</f>
        <v>758.92884082031253</v>
      </c>
      <c r="E27" s="987">
        <f ca="1">VLOOKUP(A27,'Allocated charts'!A:AB,5,FALSE)+VLOOKUP(A27,'Allocated charts'!A:AB,7,FALSE)+VLOOKUP(A27,'Allocated charts'!A:AB,11,FALSE)</f>
        <v>912.59801953124986</v>
      </c>
      <c r="F27" s="987">
        <f ca="1">VLOOKUP(A27,'Allocated charts'!A:AB,12,FALSE)+VLOOKUP(A27,'Allocated charts'!A:AB,13,FALSE)+VLOOKUP(A27,'Allocated charts'!A:AB,18,FALSE)</f>
        <v>918.19556835937499</v>
      </c>
      <c r="G27" s="987">
        <f ca="1">VLOOKUP(A27,'Allocated charts'!A:AB,14,FALSE)+VLOOKUP(A27,'Allocated charts'!A:AB,15,FALSE)+VLOOKUP(A27,'Allocated charts'!A:AB,16,FALSE)++VLOOKUP(A27,'Allocated charts'!A:AB,17,FALSE)+VLOOKUP(A27,'Allocated charts'!A:AB,21,FALSE)</f>
        <v>563.90365429687495</v>
      </c>
      <c r="H27" s="987">
        <f ca="1">VLOOKUP(A27,'Allocated charts'!A:AB,19,FALSE)+VLOOKUP(A27,'Allocated charts'!A:AB,20,FALSE)</f>
        <v>36.318213867187495</v>
      </c>
      <c r="I27" s="987">
        <f t="shared" ca="1" si="21"/>
        <v>3462.2156572265621</v>
      </c>
      <c r="J27" s="987">
        <f ca="1">I27-I38</f>
        <v>228.74218652343734</v>
      </c>
      <c r="K27" s="987">
        <f t="shared" ca="1" si="19"/>
        <v>131.48316542968752</v>
      </c>
    </row>
    <row r="28" spans="1:11" x14ac:dyDescent="0.25">
      <c r="A28" s="986">
        <v>41787</v>
      </c>
      <c r="B28" s="987">
        <f ca="1">VLOOKUP(A28,'Allocated charts'!A:AB,2,FALSE)</f>
        <v>176.65205566406249</v>
      </c>
      <c r="C28" s="987">
        <f ca="1">VLOOKUP(A28,'Allocated charts'!A:AB,3,FALSE)</f>
        <v>97.06808203125</v>
      </c>
      <c r="D28" s="987">
        <f ca="1">VLOOKUP(A28,'Allocated charts'!A:AB,4,FALSE)+VLOOKUP(A28,'Allocated charts'!A:AB,6,FALSE)+VLOOKUP(A28,'Allocated charts'!A:AB,8,FALSE)+VLOOKUP(A28,'Allocated charts'!A:AB,9,FALSE)+VLOOKUP(A28,'Allocated charts'!A:AB,10,FALSE)+VLOOKUP(A28,'Allocated charts'!A:AB,22,FALSE)</f>
        <v>761.06908007812501</v>
      </c>
      <c r="E28" s="987">
        <f ca="1">VLOOKUP(A28,'Allocated charts'!A:AB,5,FALSE)+VLOOKUP(A28,'Allocated charts'!A:AB,7,FALSE)+VLOOKUP(A28,'Allocated charts'!A:AB,11,FALSE)</f>
        <v>893.36879296874986</v>
      </c>
      <c r="F28" s="987">
        <f ca="1">VLOOKUP(A28,'Allocated charts'!A:AB,12,FALSE)+VLOOKUP(A28,'Allocated charts'!A:AB,13,FALSE)+VLOOKUP(A28,'Allocated charts'!A:AB,18,FALSE)</f>
        <v>917.405326171875</v>
      </c>
      <c r="G28" s="987">
        <f ca="1">VLOOKUP(A28,'Allocated charts'!A:AB,14,FALSE)+VLOOKUP(A28,'Allocated charts'!A:AB,15,FALSE)+VLOOKUP(A28,'Allocated charts'!A:AB,16,FALSE)++VLOOKUP(A28,'Allocated charts'!A:AB,17,FALSE)+VLOOKUP(A28,'Allocated charts'!A:AB,21,FALSE)</f>
        <v>567.52559765624994</v>
      </c>
      <c r="H28" s="987">
        <f ca="1">VLOOKUP(A28,'Allocated charts'!A:AB,19,FALSE)+VLOOKUP(A28,'Allocated charts'!A:AB,20,FALSE)</f>
        <v>36.318213867187495</v>
      </c>
      <c r="I28" s="987">
        <f t="shared" ca="1" si="21"/>
        <v>3449.4071484374995</v>
      </c>
      <c r="J28" s="987">
        <f ca="1">I28-I38</f>
        <v>215.93367773437467</v>
      </c>
      <c r="K28" s="987">
        <f t="shared" ca="1" si="19"/>
        <v>110.97967333984374</v>
      </c>
    </row>
    <row r="29" spans="1:11" x14ac:dyDescent="0.25">
      <c r="A29" s="986">
        <v>41780</v>
      </c>
      <c r="B29" s="987">
        <f ca="1">VLOOKUP(A29,'Allocated charts'!A:AB,2,FALSE)</f>
        <v>177.7057119140625</v>
      </c>
      <c r="C29" s="987">
        <f ca="1">VLOOKUP(A29,'Allocated charts'!A:AB,3,FALSE)</f>
        <v>98.154665039062493</v>
      </c>
      <c r="D29" s="987">
        <f ca="1">VLOOKUP(A29,'Allocated charts'!A:AB,4,FALSE)+VLOOKUP(A29,'Allocated charts'!A:AB,6,FALSE)+VLOOKUP(A29,'Allocated charts'!A:AB,8,FALSE)+VLOOKUP(A29,'Allocated charts'!A:AB,9,FALSE)+VLOOKUP(A29,'Allocated charts'!A:AB,10,FALSE)+VLOOKUP(A29,'Allocated charts'!A:AB,22,FALSE)</f>
        <v>762.68249121093754</v>
      </c>
      <c r="E29" s="987">
        <f ca="1">VLOOKUP(A29,'Allocated charts'!A:AB,5,FALSE)+VLOOKUP(A29,'Allocated charts'!A:AB,7,FALSE)+VLOOKUP(A29,'Allocated charts'!A:AB,11,FALSE)</f>
        <v>887.87002441406241</v>
      </c>
      <c r="F29" s="987">
        <f ca="1">VLOOKUP(A29,'Allocated charts'!A:AB,12,FALSE)+VLOOKUP(A29,'Allocated charts'!A:AB,13,FALSE)+VLOOKUP(A29,'Allocated charts'!A:AB,18,FALSE)</f>
        <v>926.42725781249987</v>
      </c>
      <c r="G29" s="987">
        <f ca="1">VLOOKUP(A29,'Allocated charts'!A:AB,14,FALSE)+VLOOKUP(A29,'Allocated charts'!A:AB,15,FALSE)+VLOOKUP(A29,'Allocated charts'!A:AB,16,FALSE)++VLOOKUP(A29,'Allocated charts'!A:AB,17,FALSE)+VLOOKUP(A29,'Allocated charts'!A:AB,21,FALSE)</f>
        <v>564.49633593749991</v>
      </c>
      <c r="H29" s="987">
        <f ca="1">VLOOKUP(A29,'Allocated charts'!A:AB,19,FALSE)+VLOOKUP(A29,'Allocated charts'!A:AB,20,FALSE)</f>
        <v>36.318213867187495</v>
      </c>
      <c r="I29" s="987">
        <f t="shared" ca="1" si="21"/>
        <v>3453.6547001953122</v>
      </c>
      <c r="J29" s="987">
        <f ca="1">I29-I38</f>
        <v>220.18122949218741</v>
      </c>
      <c r="K29" s="987">
        <f t="shared" ca="1" si="19"/>
        <v>93.31776044921881</v>
      </c>
    </row>
    <row r="30" spans="1:11" x14ac:dyDescent="0.25">
      <c r="A30" s="986">
        <v>41773</v>
      </c>
      <c r="B30" s="987">
        <f ca="1">VLOOKUP(A30,'Allocated charts'!A:AB,2,FALSE)</f>
        <v>177.7057119140625</v>
      </c>
      <c r="C30" s="987">
        <f ca="1">VLOOKUP(A30,'Allocated charts'!A:AB,3,FALSE)</f>
        <v>97.858324218749999</v>
      </c>
      <c r="D30" s="987">
        <f ca="1">VLOOKUP(A30,'Allocated charts'!A:AB,4,FALSE)+VLOOKUP(A30,'Allocated charts'!A:AB,6,FALSE)+VLOOKUP(A30,'Allocated charts'!A:AB,8,FALSE)+VLOOKUP(A30,'Allocated charts'!A:AB,9,FALSE)+VLOOKUP(A30,'Allocated charts'!A:AB,10,FALSE)+VLOOKUP(A30,'Allocated charts'!A:AB,22,FALSE)</f>
        <v>762.38615039062495</v>
      </c>
      <c r="E30" s="987">
        <f ca="1">VLOOKUP(A30,'Allocated charts'!A:AB,5,FALSE)+VLOOKUP(A30,'Allocated charts'!A:AB,7,FALSE)+VLOOKUP(A30,'Allocated charts'!A:AB,11,FALSE)</f>
        <v>880.790771484375</v>
      </c>
      <c r="F30" s="987">
        <f ca="1">VLOOKUP(A30,'Allocated charts'!A:AB,12,FALSE)+VLOOKUP(A30,'Allocated charts'!A:AB,13,FALSE)+VLOOKUP(A30,'Allocated charts'!A:AB,18,FALSE)</f>
        <v>921.22483007812502</v>
      </c>
      <c r="G30" s="987">
        <f ca="1">VLOOKUP(A30,'Allocated charts'!A:AB,14,FALSE)+VLOOKUP(A30,'Allocated charts'!A:AB,15,FALSE)+VLOOKUP(A30,'Allocated charts'!A:AB,16,FALSE)++VLOOKUP(A30,'Allocated charts'!A:AB,17,FALSE)+VLOOKUP(A30,'Allocated charts'!A:AB,21,FALSE)</f>
        <v>566.93291601562487</v>
      </c>
      <c r="H30" s="987">
        <f ca="1">VLOOKUP(A30,'Allocated charts'!A:AB,19,FALSE)+VLOOKUP(A30,'Allocated charts'!A:AB,20,FALSE)</f>
        <v>36.318213867187495</v>
      </c>
      <c r="I30" s="987">
        <f t="shared" ca="1" si="21"/>
        <v>3443.2169179687498</v>
      </c>
      <c r="J30" s="987">
        <f ca="1">I30-I38</f>
        <v>209.74344726562504</v>
      </c>
      <c r="K30" s="987">
        <f t="shared" ca="1" si="19"/>
        <v>75.695359667968802</v>
      </c>
    </row>
    <row r="31" spans="1:11" x14ac:dyDescent="0.25">
      <c r="A31" s="986">
        <v>41766</v>
      </c>
      <c r="B31" s="987">
        <f ca="1">VLOOKUP(A31,'Allocated charts'!A:AB,2,FALSE)</f>
        <v>177.7060546875</v>
      </c>
      <c r="C31" s="987">
        <f ca="1">VLOOKUP(A31,'Allocated charts'!A:AB,3,FALSE)</f>
        <v>97.529296875</v>
      </c>
      <c r="D31" s="987">
        <f ca="1">VLOOKUP(A31,'Allocated charts'!A:AB,4,FALSE)+VLOOKUP(A31,'Allocated charts'!A:AB,6,FALSE)+VLOOKUP(A31,'Allocated charts'!A:AB,8,FALSE)+VLOOKUP(A31,'Allocated charts'!A:AB,9,FALSE)+VLOOKUP(A31,'Allocated charts'!A:AB,10,FALSE)+VLOOKUP(A31,'Allocated charts'!A:AB,22,FALSE)</f>
        <v>719.6142578125</v>
      </c>
      <c r="E31" s="987">
        <f ca="1">VLOOKUP(A31,'Allocated charts'!A:AB,5,FALSE)+VLOOKUP(A31,'Allocated charts'!A:AB,7,FALSE)+VLOOKUP(A31,'Allocated charts'!A:AB,11,FALSE)</f>
        <v>876.279296875</v>
      </c>
      <c r="F31" s="987">
        <f ca="1">VLOOKUP(A31,'Allocated charts'!A:AB,12,FALSE)+VLOOKUP(A31,'Allocated charts'!A:AB,13,FALSE)+VLOOKUP(A31,'Allocated charts'!A:AB,18,FALSE)</f>
        <v>918.6240234375</v>
      </c>
      <c r="G31" s="987">
        <f ca="1">VLOOKUP(A31,'Allocated charts'!A:AB,14,FALSE)+VLOOKUP(A31,'Allocated charts'!A:AB,15,FALSE)+VLOOKUP(A31,'Allocated charts'!A:AB,16,FALSE)++VLOOKUP(A31,'Allocated charts'!A:AB,17,FALSE)+VLOOKUP(A31,'Allocated charts'!A:AB,21,FALSE)</f>
        <v>545.2998046875</v>
      </c>
      <c r="H31" s="987">
        <f ca="1">VLOOKUP(A31,'Allocated charts'!A:AB,19,FALSE)+VLOOKUP(A31,'Allocated charts'!A:AB,20,FALSE)</f>
        <v>36.318359375</v>
      </c>
      <c r="I31" s="987">
        <f t="shared" ca="1" si="21"/>
        <v>3371.37109375</v>
      </c>
      <c r="J31" s="987">
        <f ca="1">I31-I38</f>
        <v>137.8976230468752</v>
      </c>
      <c r="K31" s="987">
        <f t="shared" ca="1" si="19"/>
        <v>61.632341406250042</v>
      </c>
    </row>
    <row r="32" spans="1:11" x14ac:dyDescent="0.25">
      <c r="A32" s="986">
        <v>41752</v>
      </c>
      <c r="B32" s="987">
        <f ca="1">VLOOKUP(A32,'Allocated charts'!A:AB,2,FALSE)</f>
        <v>181.7886298828125</v>
      </c>
      <c r="C32" s="987">
        <f ca="1">VLOOKUP(A32,'Allocated charts'!A:AB,3,FALSE)</f>
        <v>97.430276367187503</v>
      </c>
      <c r="D32" s="987">
        <f ca="1">VLOOKUP(A32,'Allocated charts'!A:AB,4,FALSE)+VLOOKUP(A32,'Allocated charts'!A:AB,6,FALSE)+VLOOKUP(A32,'Allocated charts'!A:AB,8,FALSE)+VLOOKUP(A32,'Allocated charts'!A:AB,9,FALSE)+VLOOKUP(A32,'Allocated charts'!A:AB,10,FALSE)+VLOOKUP(A32,'Allocated charts'!A:AB,22,FALSE)</f>
        <v>661.56441796874992</v>
      </c>
      <c r="E32" s="987">
        <f ca="1">VLOOKUP(A32,'Allocated charts'!A:AB,5,FALSE)+VLOOKUP(A32,'Allocated charts'!A:AB,7,FALSE)+VLOOKUP(A32,'Allocated charts'!A:AB,11,FALSE)</f>
        <v>865.87495019531241</v>
      </c>
      <c r="F32" s="987">
        <f ca="1">VLOOKUP(A32,'Allocated charts'!A:AB,12,FALSE)+VLOOKUP(A32,'Allocated charts'!A:AB,13,FALSE)+VLOOKUP(A32,'Allocated charts'!A:AB,18,FALSE)</f>
        <v>912.56509277343741</v>
      </c>
      <c r="G32" s="987">
        <f ca="1">VLOOKUP(A32,'Allocated charts'!A:AB,14,FALSE)+VLOOKUP(A32,'Allocated charts'!A:AB,15,FALSE)+VLOOKUP(A32,'Allocated charts'!A:AB,16,FALSE)++VLOOKUP(A32,'Allocated charts'!A:AB,17,FALSE)+VLOOKUP(A32,'Allocated charts'!A:AB,21,FALSE)</f>
        <v>548.98783300781247</v>
      </c>
      <c r="H32" s="987">
        <f ca="1">VLOOKUP(A32,'Allocated charts'!A:AB,19,FALSE)+VLOOKUP(A32,'Allocated charts'!A:AB,20,FALSE)</f>
        <v>36.318213867187495</v>
      </c>
      <c r="I32" s="987">
        <f t="shared" ca="1" si="21"/>
        <v>3304.5294140624992</v>
      </c>
      <c r="J32" s="987">
        <f ca="1">I32-I38</f>
        <v>71.055943359374396</v>
      </c>
      <c r="K32" s="987">
        <f t="shared" ca="1" si="19"/>
        <v>55.356465234374994</v>
      </c>
    </row>
    <row r="33" spans="1:11" x14ac:dyDescent="0.25">
      <c r="A33" s="986">
        <v>41745</v>
      </c>
      <c r="B33" s="987">
        <f ca="1">VLOOKUP(A33,'Allocated charts'!A:AB,2,FALSE)</f>
        <v>181.755703125</v>
      </c>
      <c r="C33" s="987">
        <f ca="1">VLOOKUP(A33,'Allocated charts'!A:AB,3,FALSE)</f>
        <v>96.771741210937492</v>
      </c>
      <c r="D33" s="987">
        <f ca="1">VLOOKUP(A33,'Allocated charts'!A:AB,4,FALSE)+VLOOKUP(A33,'Allocated charts'!A:AB,6,FALSE)+VLOOKUP(A33,'Allocated charts'!A:AB,8,FALSE)+VLOOKUP(A33,'Allocated charts'!A:AB,9,FALSE)+VLOOKUP(A33,'Allocated charts'!A:AB,10,FALSE)+VLOOKUP(A33,'Allocated charts'!A:AB,22,FALSE)</f>
        <v>663.01319531249999</v>
      </c>
      <c r="E33" s="987">
        <f ca="1">VLOOKUP(A33,'Allocated charts'!A:AB,5,FALSE)+VLOOKUP(A33,'Allocated charts'!A:AB,7,FALSE)+VLOOKUP(A33,'Allocated charts'!A:AB,11,FALSE)</f>
        <v>864.8871474609374</v>
      </c>
      <c r="F33" s="987">
        <f ca="1">VLOOKUP(A33,'Allocated charts'!A:AB,12,FALSE)+VLOOKUP(A33,'Allocated charts'!A:AB,13,FALSE)+VLOOKUP(A33,'Allocated charts'!A:AB,18,FALSE)</f>
        <v>911.74192382812498</v>
      </c>
      <c r="G33" s="987">
        <f ca="1">VLOOKUP(A33,'Allocated charts'!A:AB,14,FALSE)+VLOOKUP(A33,'Allocated charts'!A:AB,15,FALSE)+VLOOKUP(A33,'Allocated charts'!A:AB,16,FALSE)++VLOOKUP(A33,'Allocated charts'!A:AB,17,FALSE)+VLOOKUP(A33,'Allocated charts'!A:AB,21,FALSE)</f>
        <v>555.01342968749998</v>
      </c>
      <c r="H33" s="987">
        <f ca="1">VLOOKUP(A33,'Allocated charts'!A:AB,19,FALSE)+VLOOKUP(A33,'Allocated charts'!A:AB,20,FALSE)</f>
        <v>36.318213867187495</v>
      </c>
      <c r="I33" s="987">
        <f t="shared" ca="1" si="21"/>
        <v>3309.5013544921871</v>
      </c>
      <c r="J33" s="987">
        <f ca="1">I33-I38</f>
        <v>76.027883789062344</v>
      </c>
      <c r="K33" s="987">
        <f t="shared" ca="1" si="19"/>
        <v>46.946971289062546</v>
      </c>
    </row>
    <row r="34" spans="1:11" x14ac:dyDescent="0.25">
      <c r="A34" s="986">
        <v>41739</v>
      </c>
      <c r="B34" s="987">
        <f ca="1">VLOOKUP(A34,'Allocated charts'!A:AB,2,FALSE)</f>
        <v>181.72277636718749</v>
      </c>
      <c r="C34" s="987">
        <f ca="1">VLOOKUP(A34,'Allocated charts'!A:AB,3,FALSE)</f>
        <v>96.771741210937492</v>
      </c>
      <c r="D34" s="987">
        <f ca="1">VLOOKUP(A34,'Allocated charts'!A:AB,4,FALSE)+VLOOKUP(A34,'Allocated charts'!A:AB,6,FALSE)+VLOOKUP(A34,'Allocated charts'!A:AB,8,FALSE)+VLOOKUP(A34,'Allocated charts'!A:AB,9,FALSE)+VLOOKUP(A34,'Allocated charts'!A:AB,10,FALSE)+VLOOKUP(A34,'Allocated charts'!A:AB,22,FALSE)</f>
        <v>655.83516210937501</v>
      </c>
      <c r="E34" s="987">
        <f ca="1">VLOOKUP(A34,'Allocated charts'!A:AB,5,FALSE)+VLOOKUP(A34,'Allocated charts'!A:AB,7,FALSE)+VLOOKUP(A34,'Allocated charts'!A:AB,11,FALSE)</f>
        <v>864.55787988281247</v>
      </c>
      <c r="F34" s="987">
        <f ca="1">VLOOKUP(A34,'Allocated charts'!A:AB,12,FALSE)+VLOOKUP(A34,'Allocated charts'!A:AB,13,FALSE)+VLOOKUP(A34,'Allocated charts'!A:AB,18,FALSE)</f>
        <v>911.74192382812498</v>
      </c>
      <c r="G34" s="987">
        <f ca="1">VLOOKUP(A34,'Allocated charts'!A:AB,14,FALSE)+VLOOKUP(A34,'Allocated charts'!A:AB,15,FALSE)+VLOOKUP(A34,'Allocated charts'!A:AB,16,FALSE)++VLOOKUP(A34,'Allocated charts'!A:AB,17,FALSE)+VLOOKUP(A34,'Allocated charts'!A:AB,21,FALSE)</f>
        <v>551.55612011718756</v>
      </c>
      <c r="H34" s="987">
        <f ca="1">VLOOKUP(A34,'Allocated charts'!A:AB,19,FALSE)+VLOOKUP(A34,'Allocated charts'!A:AB,20,FALSE)</f>
        <v>35.791385742187501</v>
      </c>
      <c r="I34" s="987">
        <f t="shared" ca="1" si="21"/>
        <v>3297.9769892578129</v>
      </c>
      <c r="J34" s="987">
        <f ca="1">I34-I38</f>
        <v>64.503518554688071</v>
      </c>
      <c r="K34" s="987">
        <f t="shared" ca="1" si="19"/>
        <v>50.012452441406367</v>
      </c>
    </row>
    <row r="35" spans="1:11" x14ac:dyDescent="0.25">
      <c r="A35" s="986">
        <v>41732</v>
      </c>
      <c r="B35" s="987">
        <f ca="1">VLOOKUP(A35,'Allocated charts'!A:AB,2,FALSE)</f>
        <v>181.45936230468749</v>
      </c>
      <c r="C35" s="987">
        <f ca="1">VLOOKUP(A35,'Allocated charts'!A:AB,3,FALSE)</f>
        <v>96.771741210937492</v>
      </c>
      <c r="D35" s="987">
        <f ca="1">VLOOKUP(A35,'Allocated charts'!A:AB,4,FALSE)+VLOOKUP(A35,'Allocated charts'!A:AB,6,FALSE)+VLOOKUP(A35,'Allocated charts'!A:AB,8,FALSE)+VLOOKUP(A35,'Allocated charts'!A:AB,9,FALSE)+VLOOKUP(A35,'Allocated charts'!A:AB,10,FALSE)+VLOOKUP(A35,'Allocated charts'!A:AB,22,FALSE)</f>
        <v>654.38638476562494</v>
      </c>
      <c r="E35" s="987">
        <f ca="1">VLOOKUP(A35,'Allocated charts'!A:AB,5,FALSE)+VLOOKUP(A35,'Allocated charts'!A:AB,7,FALSE)+VLOOKUP(A35,'Allocated charts'!A:AB,11,FALSE)</f>
        <v>862.41764062499988</v>
      </c>
      <c r="F35" s="987">
        <f ca="1">VLOOKUP(A35,'Allocated charts'!A:AB,12,FALSE)+VLOOKUP(A35,'Allocated charts'!A:AB,13,FALSE)+VLOOKUP(A35,'Allocated charts'!A:AB,18,FALSE)</f>
        <v>894.55415625000001</v>
      </c>
      <c r="G35" s="987">
        <f ca="1">VLOOKUP(A35,'Allocated charts'!A:AB,14,FALSE)+VLOOKUP(A35,'Allocated charts'!A:AB,15,FALSE)+VLOOKUP(A35,'Allocated charts'!A:AB,16,FALSE)++VLOOKUP(A35,'Allocated charts'!A:AB,17,FALSE)+VLOOKUP(A35,'Allocated charts'!A:AB,21,FALSE)</f>
        <v>549.28417382812495</v>
      </c>
      <c r="H35" s="987">
        <f ca="1">VLOOKUP(A35,'Allocated charts'!A:AB,19,FALSE)+VLOOKUP(A35,'Allocated charts'!A:AB,20,FALSE)</f>
        <v>35.791385742187501</v>
      </c>
      <c r="I35" s="987">
        <f t="shared" ca="1" si="21"/>
        <v>3274.6648447265625</v>
      </c>
      <c r="J35" s="987">
        <f ca="1">I35-I38</f>
        <v>41.191374023437675</v>
      </c>
      <c r="K35" s="987">
        <f t="shared" ca="1" si="19"/>
        <v>43.809051269531345</v>
      </c>
    </row>
    <row r="36" spans="1:11" x14ac:dyDescent="0.25">
      <c r="A36" s="986">
        <v>41725</v>
      </c>
      <c r="B36" s="987">
        <f ca="1">VLOOKUP(A36,'Allocated charts'!A:AB,2,FALSE)</f>
        <v>181.45936230468749</v>
      </c>
      <c r="C36" s="987">
        <f ca="1">VLOOKUP(A36,'Allocated charts'!A:AB,3,FALSE)</f>
        <v>96.771741210937492</v>
      </c>
      <c r="D36" s="987">
        <f ca="1">VLOOKUP(A36,'Allocated charts'!A:AB,4,FALSE)+VLOOKUP(A36,'Allocated charts'!A:AB,6,FALSE)+VLOOKUP(A36,'Allocated charts'!A:AB,8,FALSE)+VLOOKUP(A36,'Allocated charts'!A:AB,9,FALSE)+VLOOKUP(A36,'Allocated charts'!A:AB,10,FALSE)+VLOOKUP(A36,'Allocated charts'!A:AB,22,FALSE)</f>
        <v>654.38638476562494</v>
      </c>
      <c r="E36" s="987">
        <f ca="1">VLOOKUP(A36,'Allocated charts'!A:AB,5,FALSE)+VLOOKUP(A36,'Allocated charts'!A:AB,7,FALSE)+VLOOKUP(A36,'Allocated charts'!A:AB,11,FALSE)</f>
        <v>862.41764062499988</v>
      </c>
      <c r="F36" s="987">
        <f ca="1">VLOOKUP(A36,'Allocated charts'!A:AB,12,FALSE)+VLOOKUP(A36,'Allocated charts'!A:AB,13,FALSE)+VLOOKUP(A36,'Allocated charts'!A:AB,18,FALSE)</f>
        <v>894.55415625000001</v>
      </c>
      <c r="G36" s="987">
        <f ca="1">VLOOKUP(A36,'Allocated charts'!A:AB,14,FALSE)+VLOOKUP(A36,'Allocated charts'!A:AB,15,FALSE)+VLOOKUP(A36,'Allocated charts'!A:AB,16,FALSE)++VLOOKUP(A36,'Allocated charts'!A:AB,17,FALSE)+VLOOKUP(A36,'Allocated charts'!A:AB,21,FALSE)</f>
        <v>549.28417382812495</v>
      </c>
      <c r="H36" s="987">
        <f ca="1">VLOOKUP(A36,'Allocated charts'!A:AB,19,FALSE)+VLOOKUP(A36,'Allocated charts'!A:AB,20,FALSE)</f>
        <v>35.791385742187501</v>
      </c>
      <c r="I36" s="987">
        <f t="shared" ca="1" si="21"/>
        <v>3274.6648447265625</v>
      </c>
      <c r="J36" s="987">
        <f ca="1">I36-I38</f>
        <v>41.191374023437675</v>
      </c>
      <c r="K36" s="987">
        <f t="shared" ca="1" si="19"/>
        <v>29.808593847656311</v>
      </c>
    </row>
    <row r="37" spans="1:11" x14ac:dyDescent="0.25">
      <c r="A37" s="986">
        <v>41709</v>
      </c>
      <c r="B37" s="987">
        <f ca="1">VLOOKUP(A37,'Allocated charts'!A:AB,2,FALSE)</f>
        <v>182.4471650390625</v>
      </c>
      <c r="C37" s="987">
        <f ca="1">VLOOKUP(A37,'Allocated charts'!A:AB,3,FALSE)</f>
        <v>96.771741210937492</v>
      </c>
      <c r="D37" s="987">
        <f ca="1">VLOOKUP(A37,'Allocated charts'!A:AB,4,FALSE)+VLOOKUP(A37,'Allocated charts'!A:AB,6,FALSE)+VLOOKUP(A37,'Allocated charts'!A:AB,8,FALSE)+VLOOKUP(A37,'Allocated charts'!A:AB,9,FALSE)+VLOOKUP(A37,'Allocated charts'!A:AB,10,FALSE)+VLOOKUP(A37,'Allocated charts'!A:AB,22,FALSE)</f>
        <v>638.68032128906236</v>
      </c>
      <c r="E37" s="987">
        <f ca="1">VLOOKUP(A37,'Allocated charts'!A:AB,5,FALSE)+VLOOKUP(A37,'Allocated charts'!A:AB,7,FALSE)+VLOOKUP(A37,'Allocated charts'!A:AB,11,FALSE)</f>
        <v>862.15422656250007</v>
      </c>
      <c r="F37" s="987">
        <f ca="1">VLOOKUP(A37,'Allocated charts'!A:AB,12,FALSE)+VLOOKUP(A37,'Allocated charts'!A:AB,13,FALSE)+VLOOKUP(A37,'Allocated charts'!A:AB,18,FALSE)</f>
        <v>891.39318749999995</v>
      </c>
      <c r="G37" s="987">
        <f ca="1">VLOOKUP(A37,'Allocated charts'!A:AB,14,FALSE)+VLOOKUP(A37,'Allocated charts'!A:AB,15,FALSE)+VLOOKUP(A37,'Allocated charts'!A:AB,16,FALSE)++VLOOKUP(A37,'Allocated charts'!A:AB,17,FALSE)+VLOOKUP(A37,'Allocated charts'!A:AB,21,FALSE)</f>
        <v>534.59883984374994</v>
      </c>
      <c r="H37" s="987">
        <f ca="1">VLOOKUP(A37,'Allocated charts'!A:AB,19,FALSE)+VLOOKUP(A37,'Allocated charts'!A:AB,20,FALSE)</f>
        <v>35.791385742187501</v>
      </c>
      <c r="I37" s="987">
        <f t="shared" ca="1" si="21"/>
        <v>3241.8368671875</v>
      </c>
      <c r="J37" s="987">
        <f t="shared" ref="J37:J71" ca="1" si="22">I37-I38</f>
        <v>8.3633964843752437</v>
      </c>
      <c r="K37" s="987">
        <f t="shared" ca="1" si="19"/>
        <v>26.799088183593767</v>
      </c>
    </row>
    <row r="38" spans="1:11" x14ac:dyDescent="0.25">
      <c r="A38" s="986">
        <v>41704</v>
      </c>
      <c r="B38" s="987">
        <f ca="1">VLOOKUP(A38,'Allocated charts'!A:AB,2,FALSE)</f>
        <v>184.88374511718749</v>
      </c>
      <c r="C38" s="987">
        <f ca="1">VLOOKUP(A38,'Allocated charts'!A:AB,3,FALSE)</f>
        <v>96.771741210937492</v>
      </c>
      <c r="D38" s="987">
        <f ca="1">VLOOKUP(A38,'Allocated charts'!A:AB,4,FALSE)+VLOOKUP(A38,'Allocated charts'!A:AB,6,FALSE)+VLOOKUP(A38,'Allocated charts'!A:AB,8,FALSE)+VLOOKUP(A38,'Allocated charts'!A:AB,9,FALSE)+VLOOKUP(A38,'Allocated charts'!A:AB,10,FALSE)+VLOOKUP(A38,'Allocated charts'!A:AB,22,FALSE)</f>
        <v>635.84862011718747</v>
      </c>
      <c r="E38" s="987">
        <f ca="1">VLOOKUP(A38,'Allocated charts'!A:AB,5,FALSE)+VLOOKUP(A38,'Allocated charts'!A:AB,7,FALSE)+VLOOKUP(A38,'Allocated charts'!A:AB,11,FALSE)</f>
        <v>870.71518359375</v>
      </c>
      <c r="F38" s="987">
        <f ca="1">VLOOKUP(A38,'Allocated charts'!A:AB,12,FALSE)+VLOOKUP(A38,'Allocated charts'!A:AB,13,FALSE)+VLOOKUP(A38,'Allocated charts'!A:AB,18,FALSE)</f>
        <v>878.35419140624992</v>
      </c>
      <c r="G38" s="987">
        <f ca="1">VLOOKUP(A38,'Allocated charts'!A:AB,14,FALSE)+VLOOKUP(A38,'Allocated charts'!A:AB,15,FALSE)+VLOOKUP(A38,'Allocated charts'!A:AB,16,FALSE)++VLOOKUP(A38,'Allocated charts'!A:AB,17,FALSE)+VLOOKUP(A38,'Allocated charts'!A:AB,21,FALSE)</f>
        <v>531.10860351562496</v>
      </c>
      <c r="H38" s="987">
        <f ca="1">VLOOKUP(A38,'Allocated charts'!A:AB,19,FALSE)+VLOOKUP(A38,'Allocated charts'!A:AB,20,FALSE)</f>
        <v>35.791385742187501</v>
      </c>
      <c r="I38" s="987">
        <f t="shared" ca="1" si="21"/>
        <v>3233.4734707031248</v>
      </c>
      <c r="J38" s="987">
        <f t="shared" ca="1" si="22"/>
        <v>23.707265624999764</v>
      </c>
      <c r="K38" s="987">
        <f t="shared" ca="1" si="19"/>
        <v>31.909320996093765</v>
      </c>
    </row>
    <row r="39" spans="1:11" x14ac:dyDescent="0.25">
      <c r="A39" s="986">
        <v>41703</v>
      </c>
      <c r="B39" s="987">
        <f ca="1">VLOOKUP(A39,'Allocated charts'!A:AB,2,FALSE)</f>
        <v>184.88374511718749</v>
      </c>
      <c r="C39" s="987">
        <f ca="1">VLOOKUP(A39,'Allocated charts'!A:AB,3,FALSE)</f>
        <v>96.771741210937492</v>
      </c>
      <c r="D39" s="987">
        <f ca="1">VLOOKUP(A39,'Allocated charts'!A:AB,4,FALSE)+VLOOKUP(A39,'Allocated charts'!A:AB,6,FALSE)+VLOOKUP(A39,'Allocated charts'!A:AB,8,FALSE)+VLOOKUP(A39,'Allocated charts'!A:AB,9,FALSE)+VLOOKUP(A39,'Allocated charts'!A:AB,10,FALSE)+VLOOKUP(A39,'Allocated charts'!A:AB,22,FALSE)</f>
        <v>634.92667089843746</v>
      </c>
      <c r="E39" s="987">
        <f ca="1">VLOOKUP(A39,'Allocated charts'!A:AB,5,FALSE)+VLOOKUP(A39,'Allocated charts'!A:AB,7,FALSE)+VLOOKUP(A39,'Allocated charts'!A:AB,11,FALSE)</f>
        <v>849.01645019531247</v>
      </c>
      <c r="F39" s="987">
        <f ca="1">VLOOKUP(A39,'Allocated charts'!A:AB,12,FALSE)+VLOOKUP(A39,'Allocated charts'!A:AB,13,FALSE)+VLOOKUP(A39,'Allocated charts'!A:AB,18,FALSE)</f>
        <v>878.18955761718735</v>
      </c>
      <c r="G39" s="987">
        <f ca="1">VLOOKUP(A39,'Allocated charts'!A:AB,14,FALSE)+VLOOKUP(A39,'Allocated charts'!A:AB,15,FALSE)+VLOOKUP(A39,'Allocated charts'!A:AB,16,FALSE)++VLOOKUP(A39,'Allocated charts'!A:AB,17,FALSE)+VLOOKUP(A39,'Allocated charts'!A:AB,21,FALSE)</f>
        <v>530.18665429687496</v>
      </c>
      <c r="H39" s="987">
        <f ca="1">VLOOKUP(A39,'Allocated charts'!A:AB,19,FALSE)+VLOOKUP(A39,'Allocated charts'!A:AB,20,FALSE)</f>
        <v>35.791385742187501</v>
      </c>
      <c r="I39" s="987">
        <f t="shared" ca="1" si="21"/>
        <v>3209.766205078125</v>
      </c>
      <c r="J39" s="987">
        <f t="shared" ca="1" si="22"/>
        <v>39.314548828125226</v>
      </c>
      <c r="K39" s="987">
        <f t="shared" ca="1" si="19"/>
        <v>21.366173144531285</v>
      </c>
    </row>
    <row r="40" spans="1:11" x14ac:dyDescent="0.25">
      <c r="A40" s="986">
        <v>41702</v>
      </c>
      <c r="B40" s="987">
        <f ca="1">VLOOKUP(A40,'Allocated charts'!A:AB,2,FALSE)</f>
        <v>184.88374511718749</v>
      </c>
      <c r="C40" s="987">
        <f ca="1">VLOOKUP(A40,'Allocated charts'!A:AB,3,FALSE)</f>
        <v>86.235178710937504</v>
      </c>
      <c r="D40" s="987">
        <f ca="1">VLOOKUP(A40,'Allocated charts'!A:AB,4,FALSE)+VLOOKUP(A40,'Allocated charts'!A:AB,6,FALSE)+VLOOKUP(A40,'Allocated charts'!A:AB,8,FALSE)+VLOOKUP(A40,'Allocated charts'!A:AB,9,FALSE)+VLOOKUP(A40,'Allocated charts'!A:AB,10,FALSE)+VLOOKUP(A40,'Allocated charts'!A:AB,22,FALSE)</f>
        <v>611.21940527343747</v>
      </c>
      <c r="E40" s="987">
        <f ca="1">VLOOKUP(A40,'Allocated charts'!A:AB,5,FALSE)+VLOOKUP(A40,'Allocated charts'!A:AB,7,FALSE)+VLOOKUP(A40,'Allocated charts'!A:AB,11,FALSE)</f>
        <v>850.82742187500003</v>
      </c>
      <c r="F40" s="987">
        <f ca="1">VLOOKUP(A40,'Allocated charts'!A:AB,12,FALSE)+VLOOKUP(A40,'Allocated charts'!A:AB,13,FALSE)+VLOOKUP(A40,'Allocated charts'!A:AB,18,FALSE)</f>
        <v>884.478568359375</v>
      </c>
      <c r="G40" s="987">
        <f ca="1">VLOOKUP(A40,'Allocated charts'!A:AB,14,FALSE)+VLOOKUP(A40,'Allocated charts'!A:AB,15,FALSE)+VLOOKUP(A40,'Allocated charts'!A:AB,16,FALSE)++VLOOKUP(A40,'Allocated charts'!A:AB,17,FALSE)+VLOOKUP(A40,'Allocated charts'!A:AB,21,FALSE)</f>
        <v>517.01595117187492</v>
      </c>
      <c r="H40" s="987">
        <f ca="1">VLOOKUP(A40,'Allocated charts'!A:AB,19,FALSE)+VLOOKUP(A40,'Allocated charts'!A:AB,20,FALSE)</f>
        <v>35.791385742187501</v>
      </c>
      <c r="I40" s="987">
        <f t="shared" ca="1" si="21"/>
        <v>3170.4516562499998</v>
      </c>
      <c r="J40" s="987">
        <f t="shared" ca="1" si="22"/>
        <v>43.957221679687336</v>
      </c>
      <c r="K40" s="987">
        <f t="shared" ca="1" si="19"/>
        <v>18.313862695312491</v>
      </c>
    </row>
    <row r="41" spans="1:11" x14ac:dyDescent="0.25">
      <c r="A41" s="986">
        <v>41695</v>
      </c>
      <c r="B41" s="987">
        <f ca="1">VLOOKUP(A41,'Allocated charts'!A:AB,2,FALSE)</f>
        <v>184.88374511718749</v>
      </c>
      <c r="C41" s="987">
        <f ca="1">VLOOKUP(A41,'Allocated charts'!A:AB,3,FALSE)</f>
        <v>86.235178710937504</v>
      </c>
      <c r="D41" s="987">
        <f ca="1">VLOOKUP(A41,'Allocated charts'!A:AB,4,FALSE)+VLOOKUP(A41,'Allocated charts'!A:AB,6,FALSE)+VLOOKUP(A41,'Allocated charts'!A:AB,8,FALSE)+VLOOKUP(A41,'Allocated charts'!A:AB,9,FALSE)+VLOOKUP(A41,'Allocated charts'!A:AB,10,FALSE)+VLOOKUP(A41,'Allocated charts'!A:AB,22,FALSE)</f>
        <v>608.74989843749995</v>
      </c>
      <c r="E41" s="987">
        <f ca="1">VLOOKUP(A41,'Allocated charts'!A:AB,5,FALSE)+VLOOKUP(A41,'Allocated charts'!A:AB,7,FALSE)+VLOOKUP(A41,'Allocated charts'!A:AB,11,FALSE)</f>
        <v>841.64085644531247</v>
      </c>
      <c r="F41" s="987">
        <f ca="1">VLOOKUP(A41,'Allocated charts'!A:AB,12,FALSE)+VLOOKUP(A41,'Allocated charts'!A:AB,13,FALSE)+VLOOKUP(A41,'Allocated charts'!A:AB,18,FALSE)</f>
        <v>873.48103125</v>
      </c>
      <c r="G41" s="987">
        <f ca="1">VLOOKUP(A41,'Allocated charts'!A:AB,14,FALSE)+VLOOKUP(A41,'Allocated charts'!A:AB,15,FALSE)+VLOOKUP(A41,'Allocated charts'!A:AB,16,FALSE)++VLOOKUP(A41,'Allocated charts'!A:AB,17,FALSE)+VLOOKUP(A41,'Allocated charts'!A:AB,21,FALSE)</f>
        <v>495.71233886718744</v>
      </c>
      <c r="H41" s="987">
        <f ca="1">VLOOKUP(A41,'Allocated charts'!A:AB,19,FALSE)+VLOOKUP(A41,'Allocated charts'!A:AB,20,FALSE)</f>
        <v>35.791385742187501</v>
      </c>
      <c r="I41" s="987">
        <f t="shared" ca="1" si="21"/>
        <v>3126.4944345703125</v>
      </c>
      <c r="J41" s="987">
        <f t="shared" ca="1" si="22"/>
        <v>69.113264648437507</v>
      </c>
      <c r="K41" s="987">
        <f t="shared" ca="1" si="19"/>
        <v>21.326661035156256</v>
      </c>
    </row>
    <row r="42" spans="1:11" x14ac:dyDescent="0.25">
      <c r="A42" s="986">
        <v>41690</v>
      </c>
      <c r="B42" s="987">
        <f ca="1">VLOOKUP(A42,'Allocated charts'!A:AB,2,FALSE)</f>
        <v>183.5996015625</v>
      </c>
      <c r="C42" s="987">
        <f ca="1">VLOOKUP(A42,'Allocated charts'!A:AB,3,FALSE)</f>
        <v>83.963232421874991</v>
      </c>
      <c r="D42" s="987">
        <f ca="1">VLOOKUP(A42,'Allocated charts'!A:AB,4,FALSE)+VLOOKUP(A42,'Allocated charts'!A:AB,6,FALSE)+VLOOKUP(A42,'Allocated charts'!A:AB,8,FALSE)+VLOOKUP(A42,'Allocated charts'!A:AB,9,FALSE)+VLOOKUP(A42,'Allocated charts'!A:AB,10,FALSE)</f>
        <v>582.30971191406252</v>
      </c>
      <c r="E42" s="987">
        <f ca="1">VLOOKUP(A42,'Allocated charts'!A:AB,5,FALSE)+VLOOKUP(A42,'Allocated charts'!A:AB,7,FALSE)+VLOOKUP(A42,'Allocated charts'!A:AB,11,FALSE)</f>
        <v>821.48968066406246</v>
      </c>
      <c r="F42" s="987">
        <f ca="1">VLOOKUP(A42,'Allocated charts'!A:AB,12,FALSE)+VLOOKUP(A42,'Allocated charts'!A:AB,13,FALSE)+VLOOKUP(A42,'Allocated charts'!A:AB,18,FALSE)</f>
        <v>855.6676552734375</v>
      </c>
      <c r="G42" s="987">
        <f ca="1">VLOOKUP(A42,'Allocated charts'!A:AB,14,FALSE)+VLOOKUP(A42,'Allocated charts'!A:AB,15,FALSE)+VLOOKUP(A42,'Allocated charts'!A:AB,16,FALSE)++VLOOKUP(A42,'Allocated charts'!A:AB,17,FALSE)+VLOOKUP(A42,'Allocated charts'!A:AB,21,FALSE)</f>
        <v>494.55990234374991</v>
      </c>
      <c r="H42" s="987">
        <f ca="1">VLOOKUP(A42,'Allocated charts'!A:AB,19,FALSE)+VLOOKUP(A42,'Allocated charts'!A:AB,20,FALSE)</f>
        <v>35.791385742187501</v>
      </c>
      <c r="I42" s="987">
        <f t="shared" ca="1" si="21"/>
        <v>3057.381169921875</v>
      </c>
      <c r="J42" s="987">
        <f t="shared" ca="1" si="22"/>
        <v>75.138861328124676</v>
      </c>
      <c r="K42" s="987">
        <f t="shared" ca="1" si="19"/>
        <v>15.222040136718761</v>
      </c>
    </row>
    <row r="43" spans="1:11" x14ac:dyDescent="0.25">
      <c r="A43" s="986">
        <v>41684</v>
      </c>
      <c r="B43" s="987">
        <f ca="1">VLOOKUP(A43,'Allocated charts'!A:AB,2,FALSE)</f>
        <v>183.5996015625</v>
      </c>
      <c r="C43" s="987">
        <f ca="1">VLOOKUP(A43,'Allocated charts'!A:AB,3,FALSE)</f>
        <v>83.963232421874991</v>
      </c>
      <c r="D43" s="987">
        <f ca="1">VLOOKUP(A43,'Allocated charts'!A:AB,4,FALSE)+VLOOKUP(A43,'Allocated charts'!A:AB,6,FALSE)+VLOOKUP(A43,'Allocated charts'!A:AB,8,FALSE)+VLOOKUP(A43,'Allocated charts'!A:AB,9,FALSE)+VLOOKUP(A43,'Allocated charts'!A:AB,10,FALSE)</f>
        <v>516.45619628906252</v>
      </c>
      <c r="E43" s="987">
        <f ca="1">VLOOKUP(A43,'Allocated charts'!A:AB,5,FALSE)+VLOOKUP(A43,'Allocated charts'!A:AB,7,FALSE)+VLOOKUP(A43,'Allocated charts'!A:AB,11,FALSE)</f>
        <v>821.48968066406246</v>
      </c>
      <c r="F43" s="987">
        <f ca="1">VLOOKUP(A43,'Allocated charts'!A:AB,12,FALSE)+VLOOKUP(A43,'Allocated charts'!A:AB,13,FALSE)+VLOOKUP(A43,'Allocated charts'!A:AB,18,FALSE)</f>
        <v>851.45303027343743</v>
      </c>
      <c r="G43" s="987">
        <f ca="1">VLOOKUP(A43,'Allocated charts'!A:AB,14,FALSE)+VLOOKUP(A43,'Allocated charts'!A:AB,15,FALSE)+VLOOKUP(A43,'Allocated charts'!A:AB,16,FALSE)++VLOOKUP(A43,'Allocated charts'!A:AB,17,FALSE)</f>
        <v>489.48918164062502</v>
      </c>
      <c r="H43" s="987">
        <f ca="1">VLOOKUP(A43,'Allocated charts'!A:AB,19,FALSE)+VLOOKUP(A43,'Allocated charts'!A:AB,20,FALSE)</f>
        <v>35.791385742187501</v>
      </c>
      <c r="I43" s="987">
        <f t="shared" ca="1" si="21"/>
        <v>2982.2423085937503</v>
      </c>
      <c r="J43" s="987">
        <f t="shared" ca="1" si="22"/>
        <v>-13.038996093750029</v>
      </c>
      <c r="K43" s="987">
        <f t="shared" ca="1" si="19"/>
        <v>8.4226646484375571</v>
      </c>
    </row>
    <row r="44" spans="1:11" x14ac:dyDescent="0.25">
      <c r="A44" s="986">
        <v>41676</v>
      </c>
      <c r="B44" s="987">
        <f ca="1">VLOOKUP(A44,'Allocated charts'!A:AB,2,FALSE)</f>
        <v>183.5996015625</v>
      </c>
      <c r="C44" s="987">
        <f ca="1">VLOOKUP(A44,'Allocated charts'!A:AB,3,FALSE)</f>
        <v>94.499794921874994</v>
      </c>
      <c r="D44" s="987">
        <f ca="1">VLOOKUP(A44,'Allocated charts'!A:AB,4,FALSE)+VLOOKUP(A44,'Allocated charts'!A:AB,6,FALSE)+VLOOKUP(A44,'Allocated charts'!A:AB,8,FALSE)+VLOOKUP(A44,'Allocated charts'!A:AB,9,FALSE)+VLOOKUP(A44,'Allocated charts'!A:AB,10,FALSE)</f>
        <v>525.70861523437497</v>
      </c>
      <c r="E44" s="987">
        <f ca="1">VLOOKUP(A44,'Allocated charts'!A:AB,5,FALSE)+VLOOKUP(A44,'Allocated charts'!A:AB,7,FALSE)+VLOOKUP(A44,'Allocated charts'!A:AB,11,FALSE)</f>
        <v>819.4811484375</v>
      </c>
      <c r="F44" s="987">
        <f ca="1">VLOOKUP(A44,'Allocated charts'!A:AB,12,FALSE)+VLOOKUP(A44,'Allocated charts'!A:AB,13,FALSE)+VLOOKUP(A44,'Allocated charts'!A:AB,18,FALSE)</f>
        <v>847.99572070312502</v>
      </c>
      <c r="G44" s="987">
        <f ca="1">VLOOKUP(A44,'Allocated charts'!A:AB,14,FALSE)+VLOOKUP(A44,'Allocated charts'!A:AB,15,FALSE)+VLOOKUP(A44,'Allocated charts'!A:AB,16,FALSE)++VLOOKUP(A44,'Allocated charts'!A:AB,17,FALSE)</f>
        <v>488.20503808593742</v>
      </c>
      <c r="H44" s="987">
        <f ca="1">VLOOKUP(A44,'Allocated charts'!A:AB,19,FALSE)+VLOOKUP(A44,'Allocated charts'!A:AB,20,FALSE)</f>
        <v>35.791385742187501</v>
      </c>
      <c r="I44" s="987">
        <f t="shared" ca="1" si="21"/>
        <v>2995.2813046875003</v>
      </c>
      <c r="J44" s="987">
        <f t="shared" ca="1" si="22"/>
        <v>106.68269531250053</v>
      </c>
      <c r="K44" s="987">
        <f t="shared" ca="1" si="19"/>
        <v>11.132536816406263</v>
      </c>
    </row>
    <row r="45" spans="1:11" x14ac:dyDescent="0.25">
      <c r="A45" s="986">
        <v>41642</v>
      </c>
      <c r="B45" s="987">
        <f ca="1">VLOOKUP(A45,'Allocated charts'!A:AB,2,FALSE)</f>
        <v>182.216677734375</v>
      </c>
      <c r="C45" s="987">
        <f ca="1">VLOOKUP(A45,'Allocated charts'!A:AB,3,FALSE)</f>
        <v>94.335161132812502</v>
      </c>
      <c r="D45" s="987">
        <f ca="1">VLOOKUP(A45,'Allocated charts'!A:AB,4,FALSE)+VLOOKUP(A45,'Allocated charts'!A:AB,6,FALSE)+VLOOKUP(A45,'Allocated charts'!A:AB,8,FALSE)+VLOOKUP(A45,'Allocated charts'!A:AB,9,FALSE)+VLOOKUP(A45,'Allocated charts'!A:AB,10,FALSE)</f>
        <v>502.36354394531247</v>
      </c>
      <c r="E45" s="987">
        <f ca="1">VLOOKUP(A45,'Allocated charts'!A:AB,5,FALSE)+VLOOKUP(A45,'Allocated charts'!A:AB,7,FALSE)+VLOOKUP(A45,'Allocated charts'!A:AB,11,FALSE)</f>
        <v>796.56412499999988</v>
      </c>
      <c r="F45" s="987">
        <f ca="1">VLOOKUP(A45,'Allocated charts'!A:AB,12,FALSE)+VLOOKUP(A45,'Allocated charts'!A:AB,13,FALSE)+VLOOKUP(A45,'Allocated charts'!A:AB,18,FALSE)</f>
        <v>821.29212011718744</v>
      </c>
      <c r="G45" s="987">
        <f ca="1">VLOOKUP(A45,'Allocated charts'!A:AB,14,FALSE)+VLOOKUP(A45,'Allocated charts'!A:AB,15,FALSE)+VLOOKUP(A45,'Allocated charts'!A:AB,16,FALSE)++VLOOKUP(A45,'Allocated charts'!A:AB,17,FALSE)</f>
        <v>458.40632226562502</v>
      </c>
      <c r="H45" s="987">
        <f ca="1">VLOOKUP(A45,'Allocated charts'!A:AB,19,FALSE)+VLOOKUP(A45,'Allocated charts'!A:AB,20,FALSE)</f>
        <v>33.420659179687497</v>
      </c>
      <c r="I45" s="987">
        <f t="shared" ca="1" si="21"/>
        <v>2888.5986093749998</v>
      </c>
      <c r="J45" s="987">
        <f t="shared" ca="1" si="22"/>
        <v>2.4695068359378638</v>
      </c>
      <c r="K45" s="987">
        <f t="shared" ca="1" si="19"/>
        <v>3.1675541015624731</v>
      </c>
    </row>
    <row r="46" spans="1:11" x14ac:dyDescent="0.25">
      <c r="A46" s="986">
        <v>41626</v>
      </c>
      <c r="B46" s="987">
        <f ca="1">VLOOKUP(A46,'Allocated charts'!A:AB,2,FALSE)</f>
        <v>182.216677734375</v>
      </c>
      <c r="C46" s="987">
        <f ca="1">VLOOKUP(A46,'Allocated charts'!A:AB,3,FALSE)</f>
        <v>94.335161132812502</v>
      </c>
      <c r="D46" s="987">
        <f ca="1">VLOOKUP(A46,'Allocated charts'!A:AB,4,FALSE)+VLOOKUP(A46,'Allocated charts'!A:AB,6,FALSE)+VLOOKUP(A46,'Allocated charts'!A:AB,8,FALSE)+VLOOKUP(A46,'Allocated charts'!A:AB,9,FALSE)+VLOOKUP(A46,'Allocated charts'!A:AB,10,FALSE)</f>
        <v>501.14525390624999</v>
      </c>
      <c r="E46" s="987">
        <f ca="1">VLOOKUP(A46,'Allocated charts'!A:AB,5,FALSE)+VLOOKUP(A46,'Allocated charts'!A:AB,7,FALSE)+VLOOKUP(A46,'Allocated charts'!A:AB,11,FALSE)</f>
        <v>796.56412499999988</v>
      </c>
      <c r="F46" s="987">
        <f ca="1">VLOOKUP(A46,'Allocated charts'!A:AB,12,FALSE)+VLOOKUP(A46,'Allocated charts'!A:AB,13,FALSE)+VLOOKUP(A46,'Allocated charts'!A:AB,18,FALSE)</f>
        <v>821.25919335937499</v>
      </c>
      <c r="G46" s="987">
        <f ca="1">VLOOKUP(A46,'Allocated charts'!A:AB,14,FALSE)+VLOOKUP(A46,'Allocated charts'!A:AB,15,FALSE)+VLOOKUP(A46,'Allocated charts'!A:AB,16,FALSE)++VLOOKUP(A46,'Allocated charts'!A:AB,17,FALSE)</f>
        <v>457.18803222656254</v>
      </c>
      <c r="H46" s="987">
        <f ca="1">VLOOKUP(A46,'Allocated charts'!A:AB,19,FALSE)+VLOOKUP(A46,'Allocated charts'!A:AB,20,FALSE)</f>
        <v>33.420659179687497</v>
      </c>
      <c r="I46" s="987">
        <f t="shared" ca="1" si="21"/>
        <v>2886.1291025390619</v>
      </c>
      <c r="J46" s="987">
        <f t="shared" ca="1" si="22"/>
        <v>-98.813200195312675</v>
      </c>
      <c r="K46" s="987">
        <f t="shared" ca="1" si="19"/>
        <v>3.4309681640624148</v>
      </c>
    </row>
    <row r="47" spans="1:11" x14ac:dyDescent="0.25">
      <c r="A47" s="986">
        <v>41617</v>
      </c>
      <c r="B47" s="987">
        <f ca="1">VLOOKUP(A47,'Allocated charts'!A:AB,2,FALSE)</f>
        <v>182.216677734375</v>
      </c>
      <c r="C47" s="987">
        <f ca="1">VLOOKUP(A47,'Allocated charts'!A:AB,3,FALSE)</f>
        <v>94.335161132812502</v>
      </c>
      <c r="D47" s="987">
        <f ca="1">VLOOKUP(A47,'Allocated charts'!A:AB,4,FALSE)+VLOOKUP(A47,'Allocated charts'!A:AB,6,FALSE)+VLOOKUP(A47,'Allocated charts'!A:AB,8,FALSE)+VLOOKUP(A47,'Allocated charts'!A:AB,9,FALSE)+VLOOKUP(A47,'Allocated charts'!A:AB,10,FALSE)</f>
        <v>628.60473339843747</v>
      </c>
      <c r="E47" s="987">
        <f ca="1">VLOOKUP(A47,'Allocated charts'!A:AB,5,FALSE)+VLOOKUP(A47,'Allocated charts'!A:AB,7,FALSE)+VLOOKUP(A47,'Allocated charts'!A:AB,11,FALSE)</f>
        <v>793.76535058593743</v>
      </c>
      <c r="F47" s="987">
        <f ca="1">VLOOKUP(A47,'Allocated charts'!A:AB,12,FALSE)+VLOOKUP(A47,'Allocated charts'!A:AB,13,FALSE)+VLOOKUP(A47,'Allocated charts'!A:AB,18,FALSE)</f>
        <v>707.59602539062496</v>
      </c>
      <c r="G47" s="987">
        <f ca="1">VLOOKUP(A47,'Allocated charts'!A:AB,14,FALSE)+VLOOKUP(A47,'Allocated charts'!A:AB,15,FALSE)+VLOOKUP(A47,'Allocated charts'!A:AB,16,FALSE)++VLOOKUP(A47,'Allocated charts'!A:AB,17,FALSE)</f>
        <v>545.00369531249999</v>
      </c>
      <c r="H47" s="987">
        <f ca="1">VLOOKUP(A47,'Allocated charts'!A:AB,19,FALSE)+VLOOKUP(A47,'Allocated charts'!A:AB,20,FALSE)</f>
        <v>33.420659179687497</v>
      </c>
      <c r="I47" s="987">
        <f t="shared" ca="1" si="21"/>
        <v>2984.9423027343746</v>
      </c>
      <c r="J47" s="987">
        <f t="shared" ca="1" si="22"/>
        <v>11.096317382812231</v>
      </c>
      <c r="K47" s="987">
        <f t="shared" ca="1" si="19"/>
        <v>20.549589550781228</v>
      </c>
    </row>
    <row r="48" spans="1:11" x14ac:dyDescent="0.25">
      <c r="A48" s="986">
        <v>41610</v>
      </c>
      <c r="B48" s="987">
        <f ca="1">VLOOKUP(A48,'Allocated charts'!A:AB,2,FALSE)</f>
        <v>184.65325781249999</v>
      </c>
      <c r="C48" s="987">
        <f ca="1">VLOOKUP(A48,'Allocated charts'!A:AB,3,FALSE)</f>
        <v>94.335161132812502</v>
      </c>
      <c r="D48" s="987">
        <f ca="1">VLOOKUP(A48,'Allocated charts'!A:AB,4,FALSE)+VLOOKUP(A48,'Allocated charts'!A:AB,6,FALSE)+VLOOKUP(A48,'Allocated charts'!A:AB,8,FALSE)+VLOOKUP(A48,'Allocated charts'!A:AB,9,FALSE)+VLOOKUP(A48,'Allocated charts'!A:AB,10,FALSE)</f>
        <v>628.60473339843747</v>
      </c>
      <c r="E48" s="987">
        <f ca="1">VLOOKUP(A48,'Allocated charts'!A:AB,5,FALSE)+VLOOKUP(A48,'Allocated charts'!A:AB,7,FALSE)+VLOOKUP(A48,'Allocated charts'!A:AB,11,FALSE)</f>
        <v>791.7238916015624</v>
      </c>
      <c r="F48" s="987">
        <f ca="1">VLOOKUP(A48,'Allocated charts'!A:AB,12,FALSE)+VLOOKUP(A48,'Allocated charts'!A:AB,13,FALSE)+VLOOKUP(A48,'Allocated charts'!A:AB,18,FALSE)</f>
        <v>700.31921191406241</v>
      </c>
      <c r="G48" s="987">
        <f ca="1">VLOOKUP(A48,'Allocated charts'!A:AB,14,FALSE)+VLOOKUP(A48,'Allocated charts'!A:AB,15,FALSE)+VLOOKUP(A48,'Allocated charts'!A:AB,16,FALSE)++VLOOKUP(A48,'Allocated charts'!A:AB,17,FALSE)</f>
        <v>542.13906738281253</v>
      </c>
      <c r="H48" s="987">
        <f ca="1">VLOOKUP(A48,'Allocated charts'!A:AB,19,FALSE)+VLOOKUP(A48,'Allocated charts'!A:AB,20,FALSE)</f>
        <v>32.070662109375</v>
      </c>
      <c r="I48" s="987">
        <f t="shared" ca="1" si="21"/>
        <v>2973.8459853515624</v>
      </c>
      <c r="J48" s="987">
        <f t="shared" ca="1" si="22"/>
        <v>59.465724609375229</v>
      </c>
      <c r="K48" s="987">
        <f t="shared" ca="1" si="19"/>
        <v>22.600926562499989</v>
      </c>
    </row>
    <row r="49" spans="1:11" x14ac:dyDescent="0.25">
      <c r="A49" s="986">
        <v>41603</v>
      </c>
      <c r="B49" s="987">
        <f ca="1">VLOOKUP(A49,'Allocated charts'!A:AB,2,FALSE)</f>
        <v>184.35691699218751</v>
      </c>
      <c r="C49" s="987">
        <f ca="1">VLOOKUP(A49,'Allocated charts'!A:AB,3,FALSE)</f>
        <v>94.335161132812502</v>
      </c>
      <c r="D49" s="987">
        <f ca="1">VLOOKUP(A49,'Allocated charts'!A:AB,4,FALSE)+VLOOKUP(A49,'Allocated charts'!A:AB,6,FALSE)+VLOOKUP(A49,'Allocated charts'!A:AB,8,FALSE)+VLOOKUP(A49,'Allocated charts'!A:AB,9,FALSE)+VLOOKUP(A49,'Allocated charts'!A:AB,10,FALSE)</f>
        <v>626.43156738281243</v>
      </c>
      <c r="E49" s="987">
        <f ca="1">VLOOKUP(A49,'Allocated charts'!A:AB,5,FALSE)+VLOOKUP(A49,'Allocated charts'!A:AB,7,FALSE)+VLOOKUP(A49,'Allocated charts'!A:AB,11,FALSE)</f>
        <v>781.78001074218741</v>
      </c>
      <c r="F49" s="987">
        <f ca="1">VLOOKUP(A49,'Allocated charts'!A:AB,12,FALSE)+VLOOKUP(A49,'Allocated charts'!A:AB,13,FALSE)+VLOOKUP(A49,'Allocated charts'!A:AB,18,FALSE)</f>
        <v>655.44004101562496</v>
      </c>
      <c r="G49" s="987">
        <f ca="1">VLOOKUP(A49,'Allocated charts'!A:AB,14,FALSE)+VLOOKUP(A49,'Allocated charts'!A:AB,15,FALSE)+VLOOKUP(A49,'Allocated charts'!A:AB,16,FALSE)++VLOOKUP(A49,'Allocated charts'!A:AB,17,FALSE)</f>
        <v>539.96590136718748</v>
      </c>
      <c r="H49" s="987">
        <f ca="1">VLOOKUP(A49,'Allocated charts'!A:AB,19,FALSE)+VLOOKUP(A49,'Allocated charts'!A:AB,20,FALSE)</f>
        <v>32.070662109375</v>
      </c>
      <c r="I49" s="987">
        <f t="shared" ca="1" si="21"/>
        <v>2914.3802607421871</v>
      </c>
      <c r="J49" s="987">
        <f t="shared" ca="1" si="22"/>
        <v>-81.72421289062504</v>
      </c>
      <c r="K49" s="987">
        <f t="shared" ca="1" si="19"/>
        <v>17.750815136718757</v>
      </c>
    </row>
    <row r="50" spans="1:11" x14ac:dyDescent="0.25">
      <c r="A50" s="986">
        <v>41596</v>
      </c>
      <c r="B50" s="987">
        <f ca="1">VLOOKUP(A50,'Allocated charts'!A:AB,2,FALSE)</f>
        <v>184.35691699218751</v>
      </c>
      <c r="C50" s="987">
        <f ca="1">VLOOKUP(A50,'Allocated charts'!A:AB,3,FALSE)</f>
        <v>94.335161132812502</v>
      </c>
      <c r="D50" s="987">
        <f ca="1">VLOOKUP(A50,'Allocated charts'!A:AB,4,FALSE)+VLOOKUP(A50,'Allocated charts'!A:AB,6,FALSE)+VLOOKUP(A50,'Allocated charts'!A:AB,8,FALSE)+VLOOKUP(A50,'Allocated charts'!A:AB,9,FALSE)+VLOOKUP(A50,'Allocated charts'!A:AB,10,FALSE)</f>
        <v>621.59133398437496</v>
      </c>
      <c r="E50" s="987">
        <f ca="1">VLOOKUP(A50,'Allocated charts'!A:AB,5,FALSE)+VLOOKUP(A50,'Allocated charts'!A:AB,7,FALSE)+VLOOKUP(A50,'Allocated charts'!A:AB,11,FALSE)</f>
        <v>776.05075488281238</v>
      </c>
      <c r="F50" s="987">
        <f ca="1">VLOOKUP(A50,'Allocated charts'!A:AB,12,FALSE)+VLOOKUP(A50,'Allocated charts'!A:AB,13,FALSE)+VLOOKUP(A50,'Allocated charts'!A:AB,18,FALSE)</f>
        <v>753.89104687499992</v>
      </c>
      <c r="G50" s="987">
        <f ca="1">VLOOKUP(A50,'Allocated charts'!A:AB,14,FALSE)+VLOOKUP(A50,'Allocated charts'!A:AB,15,FALSE)+VLOOKUP(A50,'Allocated charts'!A:AB,16,FALSE)++VLOOKUP(A50,'Allocated charts'!A:AB,17,FALSE)</f>
        <v>533.80859765624996</v>
      </c>
      <c r="H50" s="987">
        <f ca="1">VLOOKUP(A50,'Allocated charts'!A:AB,19,FALSE)+VLOOKUP(A50,'Allocated charts'!A:AB,20,FALSE)</f>
        <v>32.070662109375</v>
      </c>
      <c r="I50" s="987">
        <f t="shared" ca="1" si="21"/>
        <v>2996.1044736328122</v>
      </c>
      <c r="J50" s="987">
        <f t="shared" ca="1" si="22"/>
        <v>8.7914443359372854</v>
      </c>
      <c r="K50" s="987">
        <f t="shared" ca="1" si="19"/>
        <v>27.474086718750005</v>
      </c>
    </row>
    <row r="51" spans="1:11" x14ac:dyDescent="0.25">
      <c r="A51" s="986">
        <v>41589</v>
      </c>
      <c r="B51" s="987">
        <f ca="1">VLOOKUP(A51,'Allocated charts'!A:AB,2,FALSE)</f>
        <v>184.35691699218751</v>
      </c>
      <c r="C51" s="987">
        <f ca="1">VLOOKUP(A51,'Allocated charts'!A:AB,3,FALSE)</f>
        <v>94.335161132812502</v>
      </c>
      <c r="D51" s="987">
        <f ca="1">VLOOKUP(A51,'Allocated charts'!A:AB,4,FALSE)+VLOOKUP(A51,'Allocated charts'!A:AB,6,FALSE)+VLOOKUP(A51,'Allocated charts'!A:AB,8,FALSE)+VLOOKUP(A51,'Allocated charts'!A:AB,9,FALSE)+VLOOKUP(A51,'Allocated charts'!A:AB,10,FALSE)</f>
        <v>618.56207226562492</v>
      </c>
      <c r="E51" s="987">
        <f ca="1">VLOOKUP(A51,'Allocated charts'!A:AB,5,FALSE)+VLOOKUP(A51,'Allocated charts'!A:AB,7,FALSE)+VLOOKUP(A51,'Allocated charts'!A:AB,11,FALSE)</f>
        <v>774.86539160156235</v>
      </c>
      <c r="F51" s="987">
        <f ca="1">VLOOKUP(A51,'Allocated charts'!A:AB,12,FALSE)+VLOOKUP(A51,'Allocated charts'!A:AB,13,FALSE)+VLOOKUP(A51,'Allocated charts'!A:AB,18,FALSE)</f>
        <v>752.34348925781239</v>
      </c>
      <c r="G51" s="987">
        <f ca="1">VLOOKUP(A51,'Allocated charts'!A:AB,14,FALSE)+VLOOKUP(A51,'Allocated charts'!A:AB,15,FALSE)+VLOOKUP(A51,'Allocated charts'!A:AB,16,FALSE)++VLOOKUP(A51,'Allocated charts'!A:AB,17,FALSE)</f>
        <v>530.77933593750004</v>
      </c>
      <c r="H51" s="987">
        <f ca="1">VLOOKUP(A51,'Allocated charts'!A:AB,19,FALSE)+VLOOKUP(A51,'Allocated charts'!A:AB,20,FALSE)</f>
        <v>32.070662109375</v>
      </c>
      <c r="I51" s="987">
        <f t="shared" ca="1" si="21"/>
        <v>2987.3130292968749</v>
      </c>
      <c r="J51" s="987">
        <f t="shared" ca="1" si="22"/>
        <v>74.085205078125</v>
      </c>
      <c r="K51" s="987">
        <f t="shared" ca="1" si="19"/>
        <v>33.121025683593736</v>
      </c>
    </row>
    <row r="52" spans="1:11" x14ac:dyDescent="0.25">
      <c r="A52" s="986">
        <v>41561</v>
      </c>
      <c r="B52" s="987">
        <f ca="1">VLOOKUP(A52,'Allocated charts'!A:AB,2,FALSE)</f>
        <v>183.56667480468749</v>
      </c>
      <c r="C52" s="987">
        <f ca="1">VLOOKUP(A52,'Allocated charts'!A:AB,3,FALSE)</f>
        <v>94.335161132812502</v>
      </c>
      <c r="D52" s="987">
        <f ca="1">VLOOKUP(A52,'Allocated charts'!A:AB,4,FALSE)+VLOOKUP(A52,'Allocated charts'!A:AB,6,FALSE)+VLOOKUP(A52,'Allocated charts'!A:AB,8,FALSE)+VLOOKUP(A52,'Allocated charts'!A:AB,9,FALSE)+VLOOKUP(A52,'Allocated charts'!A:AB,10,FALSE)</f>
        <v>605.75356347656236</v>
      </c>
      <c r="E52" s="987">
        <f ca="1">VLOOKUP(A52,'Allocated charts'!A:AB,5,FALSE)+VLOOKUP(A52,'Allocated charts'!A:AB,7,FALSE)+VLOOKUP(A52,'Allocated charts'!A:AB,11,FALSE)</f>
        <v>758.83006054687485</v>
      </c>
      <c r="F52" s="987">
        <f ca="1">VLOOKUP(A52,'Allocated charts'!A:AB,12,FALSE)+VLOOKUP(A52,'Allocated charts'!A:AB,13,FALSE)+VLOOKUP(A52,'Allocated charts'!A:AB,18,FALSE)</f>
        <v>726.7923251953124</v>
      </c>
      <c r="G52" s="987">
        <f ca="1">VLOOKUP(A52,'Allocated charts'!A:AB,14,FALSE)+VLOOKUP(A52,'Allocated charts'!A:AB,15,FALSE)+VLOOKUP(A52,'Allocated charts'!A:AB,16,FALSE)++VLOOKUP(A52,'Allocated charts'!A:AB,17,FALSE)</f>
        <v>512.96595996093743</v>
      </c>
      <c r="H52" s="987">
        <f ca="1">VLOOKUP(A52,'Allocated charts'!A:AB,19,FALSE)+VLOOKUP(A52,'Allocated charts'!A:AB,20,FALSE)</f>
        <v>30.9840791015625</v>
      </c>
      <c r="I52" s="987">
        <f t="shared" ca="1" si="21"/>
        <v>2913.2278242187499</v>
      </c>
      <c r="J52" s="987">
        <f t="shared" ca="1" si="22"/>
        <v>8.0670556640625364</v>
      </c>
      <c r="K52" s="987">
        <f t="shared" ca="1" si="19"/>
        <v>30.453958300781231</v>
      </c>
    </row>
    <row r="53" spans="1:11" x14ac:dyDescent="0.25">
      <c r="A53" s="986">
        <v>41548</v>
      </c>
      <c r="B53" s="987">
        <f ca="1">VLOOKUP(A53,'Allocated charts'!A:AB,2,FALSE)</f>
        <v>183.56667480468749</v>
      </c>
      <c r="C53" s="987">
        <f ca="1">VLOOKUP(A53,'Allocated charts'!A:AB,3,FALSE)</f>
        <v>94.335161132812502</v>
      </c>
      <c r="D53" s="987">
        <f ca="1">VLOOKUP(A53,'Allocated charts'!A:AB,4,FALSE)+VLOOKUP(A53,'Allocated charts'!A:AB,6,FALSE)+VLOOKUP(A53,'Allocated charts'!A:AB,8,FALSE)+VLOOKUP(A53,'Allocated charts'!A:AB,9,FALSE)+VLOOKUP(A53,'Allocated charts'!A:AB,10,FALSE)</f>
        <v>609.34258007812491</v>
      </c>
      <c r="E53" s="987">
        <f ca="1">VLOOKUP(A53,'Allocated charts'!A:AB,5,FALSE)+VLOOKUP(A53,'Allocated charts'!A:AB,7,FALSE)+VLOOKUP(A53,'Allocated charts'!A:AB,11,FALSE)</f>
        <v>749.61056835937507</v>
      </c>
      <c r="F53" s="987">
        <f ca="1">VLOOKUP(A53,'Allocated charts'!A:AB,12,FALSE)+VLOOKUP(A53,'Allocated charts'!A:AB,13,FALSE)+VLOOKUP(A53,'Allocated charts'!A:AB,18,FALSE)</f>
        <v>731.59963183593743</v>
      </c>
      <c r="G53" s="987">
        <f ca="1">VLOOKUP(A53,'Allocated charts'!A:AB,14,FALSE)+VLOOKUP(A53,'Allocated charts'!A:AB,15,FALSE)+VLOOKUP(A53,'Allocated charts'!A:AB,16,FALSE)++VLOOKUP(A53,'Allocated charts'!A:AB,17,FALSE)</f>
        <v>505.72207324218749</v>
      </c>
      <c r="H53" s="987">
        <f ca="1">VLOOKUP(A53,'Allocated charts'!A:AB,19,FALSE)+VLOOKUP(A53,'Allocated charts'!A:AB,20,FALSE)</f>
        <v>30.9840791015625</v>
      </c>
      <c r="I53" s="987">
        <f t="shared" ca="1" si="21"/>
        <v>2905.1607685546874</v>
      </c>
      <c r="J53" s="987">
        <f t="shared" ca="1" si="22"/>
        <v>7.1451064453126492</v>
      </c>
      <c r="K53" s="987">
        <f t="shared" ca="1" si="19"/>
        <v>15.732404882812489</v>
      </c>
    </row>
    <row r="54" spans="1:11" x14ac:dyDescent="0.25">
      <c r="A54" s="986">
        <v>41541</v>
      </c>
      <c r="B54" s="987">
        <f ca="1">VLOOKUP(A54,'Allocated charts'!A:AB,2,FALSE)</f>
        <v>183.56667480468749</v>
      </c>
      <c r="C54" s="987">
        <f ca="1">VLOOKUP(A54,'Allocated charts'!A:AB,3,FALSE)</f>
        <v>94.335161132812502</v>
      </c>
      <c r="D54" s="987">
        <f ca="1">VLOOKUP(A54,'Allocated charts'!A:AB,4,FALSE)+VLOOKUP(A54,'Allocated charts'!A:AB,6,FALSE)+VLOOKUP(A54,'Allocated charts'!A:AB,8,FALSE)+VLOOKUP(A54,'Allocated charts'!A:AB,9,FALSE)+VLOOKUP(A54,'Allocated charts'!A:AB,10,FALSE)</f>
        <v>606.14868457031253</v>
      </c>
      <c r="E54" s="987">
        <f ca="1">VLOOKUP(A54,'Allocated charts'!A:AB,5,FALSE)+VLOOKUP(A54,'Allocated charts'!A:AB,7,FALSE)+VLOOKUP(A54,'Allocated charts'!A:AB,11,FALSE)</f>
        <v>748.98495996093754</v>
      </c>
      <c r="F54" s="987">
        <f ca="1">VLOOKUP(A54,'Allocated charts'!A:AB,12,FALSE)+VLOOKUP(A54,'Allocated charts'!A:AB,13,FALSE)+VLOOKUP(A54,'Allocated charts'!A:AB,18,FALSE)</f>
        <v>731.46792480468741</v>
      </c>
      <c r="G54" s="987">
        <f ca="1">VLOOKUP(A54,'Allocated charts'!A:AB,14,FALSE)+VLOOKUP(A54,'Allocated charts'!A:AB,15,FALSE)+VLOOKUP(A54,'Allocated charts'!A:AB,16,FALSE)++VLOOKUP(A54,'Allocated charts'!A:AB,17,FALSE)</f>
        <v>502.52817773437499</v>
      </c>
      <c r="H54" s="987">
        <f ca="1">VLOOKUP(A54,'Allocated charts'!A:AB,19,FALSE)+VLOOKUP(A54,'Allocated charts'!A:AB,20,FALSE)</f>
        <v>30.9840791015625</v>
      </c>
      <c r="I54" s="987">
        <f t="shared" ca="1" si="21"/>
        <v>2898.0156621093747</v>
      </c>
      <c r="J54" s="987">
        <f t="shared" ca="1" si="22"/>
        <v>14.059725585937031</v>
      </c>
      <c r="K54" s="987">
        <f t="shared" ca="1" si="19"/>
        <v>16.114355273437514</v>
      </c>
    </row>
    <row r="55" spans="1:11" x14ac:dyDescent="0.25">
      <c r="A55" s="986">
        <v>41534</v>
      </c>
      <c r="B55" s="987">
        <f ca="1">VLOOKUP(A55,'Allocated charts'!A:AB,2,FALSE)</f>
        <v>183.33618749999999</v>
      </c>
      <c r="C55" s="987">
        <f ca="1">VLOOKUP(A55,'Allocated charts'!A:AB,3,FALSE)</f>
        <v>94.335161132812502</v>
      </c>
      <c r="D55" s="987">
        <f ca="1">VLOOKUP(A55,'Allocated charts'!A:AB,4,FALSE)+VLOOKUP(A55,'Allocated charts'!A:AB,6,FALSE)+VLOOKUP(A55,'Allocated charts'!A:AB,8,FALSE)+VLOOKUP(A55,'Allocated charts'!A:AB,9,FALSE)+VLOOKUP(A55,'Allocated charts'!A:AB,10,FALSE)</f>
        <v>606.14868457031253</v>
      </c>
      <c r="E55" s="987">
        <f ca="1">VLOOKUP(A55,'Allocated charts'!A:AB,5,FALSE)+VLOOKUP(A55,'Allocated charts'!A:AB,7,FALSE)+VLOOKUP(A55,'Allocated charts'!A:AB,11,FALSE)</f>
        <v>743.15692382812506</v>
      </c>
      <c r="F55" s="987">
        <f ca="1">VLOOKUP(A55,'Allocated charts'!A:AB,12,FALSE)+VLOOKUP(A55,'Allocated charts'!A:AB,13,FALSE)+VLOOKUP(A55,'Allocated charts'!A:AB,18,FALSE)</f>
        <v>723.46672265625</v>
      </c>
      <c r="G55" s="987">
        <f ca="1">VLOOKUP(A55,'Allocated charts'!A:AB,14,FALSE)+VLOOKUP(A55,'Allocated charts'!A:AB,15,FALSE)+VLOOKUP(A55,'Allocated charts'!A:AB,16,FALSE)++VLOOKUP(A55,'Allocated charts'!A:AB,17,FALSE)</f>
        <v>502.52817773437499</v>
      </c>
      <c r="H55" s="987">
        <f ca="1">VLOOKUP(A55,'Allocated charts'!A:AB,19,FALSE)+VLOOKUP(A55,'Allocated charts'!A:AB,20,FALSE)</f>
        <v>30.9840791015625</v>
      </c>
      <c r="I55" s="987">
        <f t="shared" ca="1" si="21"/>
        <v>2883.9559365234377</v>
      </c>
      <c r="J55" s="987">
        <f t="shared" ca="1" si="22"/>
        <v>27.03286816406262</v>
      </c>
      <c r="K55" s="987">
        <f t="shared" ca="1" si="19"/>
        <v>16.259233007812554</v>
      </c>
    </row>
    <row r="56" spans="1:11" x14ac:dyDescent="0.25">
      <c r="A56" s="986">
        <v>41519</v>
      </c>
      <c r="B56" s="987">
        <f ca="1">VLOOKUP(A56,'Allocated charts'!A:AB,2,FALSE)</f>
        <v>181.36058203125</v>
      </c>
      <c r="C56" s="987">
        <f ca="1">VLOOKUP(A56,'Allocated charts'!A:AB,3,FALSE)</f>
        <v>92.227848632812496</v>
      </c>
      <c r="D56" s="987">
        <f ca="1">VLOOKUP(A56,'Allocated charts'!A:AB,4,FALSE)+VLOOKUP(A56,'Allocated charts'!A:AB,6,FALSE)+VLOOKUP(A56,'Allocated charts'!A:AB,8,FALSE)+VLOOKUP(A56,'Allocated charts'!A:AB,9,FALSE)+VLOOKUP(A56,'Allocated charts'!A:AB,10,FALSE)</f>
        <v>597.19260644531244</v>
      </c>
      <c r="E56" s="987">
        <f ca="1">VLOOKUP(A56,'Allocated charts'!A:AB,5,FALSE)+VLOOKUP(A56,'Allocated charts'!A:AB,7,FALSE)+VLOOKUP(A56,'Allocated charts'!A:AB,11,FALSE)</f>
        <v>739.40327343749993</v>
      </c>
      <c r="F56" s="987">
        <f ca="1">VLOOKUP(A56,'Allocated charts'!A:AB,12,FALSE)+VLOOKUP(A56,'Allocated charts'!A:AB,13,FALSE)+VLOOKUP(A56,'Allocated charts'!A:AB,18,FALSE)</f>
        <v>721.58989746093755</v>
      </c>
      <c r="G56" s="987">
        <f ca="1">VLOOKUP(A56,'Allocated charts'!A:AB,14,FALSE)+VLOOKUP(A56,'Allocated charts'!A:AB,15,FALSE)+VLOOKUP(A56,'Allocated charts'!A:AB,16,FALSE)++VLOOKUP(A56,'Allocated charts'!A:AB,17,FALSE)</f>
        <v>495.28429101562494</v>
      </c>
      <c r="H56" s="987">
        <f ca="1">VLOOKUP(A56,'Allocated charts'!A:AB,19,FALSE)+VLOOKUP(A56,'Allocated charts'!A:AB,20,FALSE)</f>
        <v>29.8645693359375</v>
      </c>
      <c r="I56" s="987">
        <f t="shared" ca="1" si="21"/>
        <v>2856.9230683593751</v>
      </c>
      <c r="J56" s="987">
        <f t="shared" ca="1" si="22"/>
        <v>5.1036474609372817</v>
      </c>
      <c r="K56" s="987">
        <f t="shared" ca="1" si="19"/>
        <v>20.082029589843749</v>
      </c>
    </row>
    <row r="57" spans="1:11" x14ac:dyDescent="0.25">
      <c r="A57" s="986">
        <v>41513</v>
      </c>
      <c r="B57" s="987">
        <f ca="1">VLOOKUP(A57,'Allocated charts'!A:AB,2,FALSE)</f>
        <v>180.57033984374999</v>
      </c>
      <c r="C57" s="987">
        <f ca="1">VLOOKUP(A57,'Allocated charts'!A:AB,3,FALSE)</f>
        <v>91.832727539062503</v>
      </c>
      <c r="D57" s="987">
        <f ca="1">VLOOKUP(A57,'Allocated charts'!A:AB,4,FALSE)+VLOOKUP(A57,'Allocated charts'!A:AB,6,FALSE)+VLOOKUP(A57,'Allocated charts'!A:AB,8,FALSE)+VLOOKUP(A57,'Allocated charts'!A:AB,9,FALSE)+VLOOKUP(A57,'Allocated charts'!A:AB,10,FALSE)</f>
        <v>594.82187988281248</v>
      </c>
      <c r="E57" s="987">
        <f ca="1">VLOOKUP(A57,'Allocated charts'!A:AB,5,FALSE)+VLOOKUP(A57,'Allocated charts'!A:AB,7,FALSE)+VLOOKUP(A57,'Allocated charts'!A:AB,11,FALSE)</f>
        <v>739.17278613281246</v>
      </c>
      <c r="F57" s="987">
        <f ca="1">VLOOKUP(A57,'Allocated charts'!A:AB,12,FALSE)+VLOOKUP(A57,'Allocated charts'!A:AB,13,FALSE)+VLOOKUP(A57,'Allocated charts'!A:AB,18,FALSE)</f>
        <v>721.35941015624996</v>
      </c>
      <c r="G57" s="987">
        <f ca="1">VLOOKUP(A57,'Allocated charts'!A:AB,14,FALSE)+VLOOKUP(A57,'Allocated charts'!A:AB,15,FALSE)+VLOOKUP(A57,'Allocated charts'!A:AB,16,FALSE)++VLOOKUP(A57,'Allocated charts'!A:AB,17,FALSE)</f>
        <v>494.19770800781248</v>
      </c>
      <c r="H57" s="987">
        <f ca="1">VLOOKUP(A57,'Allocated charts'!A:AB,19,FALSE)+VLOOKUP(A57,'Allocated charts'!A:AB,20,FALSE)</f>
        <v>29.8645693359375</v>
      </c>
      <c r="I57" s="987">
        <f t="shared" ca="1" si="21"/>
        <v>2851.8194208984378</v>
      </c>
      <c r="J57" s="987">
        <f t="shared" ca="1" si="22"/>
        <v>72.373013671875469</v>
      </c>
      <c r="K57" s="987">
        <f t="shared" ca="1" si="19"/>
        <v>24.313117968750021</v>
      </c>
    </row>
    <row r="58" spans="1:11" x14ac:dyDescent="0.25">
      <c r="A58" s="986">
        <v>41498</v>
      </c>
      <c r="B58" s="987">
        <f ca="1">VLOOKUP(A58,'Allocated charts'!A:AB,2,FALSE)</f>
        <v>180.07643847656249</v>
      </c>
      <c r="C58" s="987">
        <f ca="1">VLOOKUP(A58,'Allocated charts'!A:AB,3,FALSE)</f>
        <v>91.240045898437501</v>
      </c>
      <c r="D58" s="987">
        <f ca="1">VLOOKUP(A58,'Allocated charts'!A:AB,4,FALSE)+VLOOKUP(A58,'Allocated charts'!A:AB,6,FALSE)+VLOOKUP(A58,'Allocated charts'!A:AB,8,FALSE)+VLOOKUP(A58,'Allocated charts'!A:AB,9,FALSE)+VLOOKUP(A58,'Allocated charts'!A:AB,10,FALSE)</f>
        <v>566.37316113281247</v>
      </c>
      <c r="E58" s="987">
        <f ca="1">VLOOKUP(A58,'Allocated charts'!A:AB,5,FALSE)+VLOOKUP(A58,'Allocated charts'!A:AB,7,FALSE)+VLOOKUP(A58,'Allocated charts'!A:AB,11,FALSE)</f>
        <v>731.07280371093748</v>
      </c>
      <c r="F58" s="987">
        <f ca="1">VLOOKUP(A58,'Allocated charts'!A:AB,12,FALSE)+VLOOKUP(A58,'Allocated charts'!A:AB,13,FALSE)+VLOOKUP(A58,'Allocated charts'!A:AB,18,FALSE)</f>
        <v>715.39966699218746</v>
      </c>
      <c r="G58" s="987">
        <f ca="1">VLOOKUP(A58,'Allocated charts'!A:AB,14,FALSE)+VLOOKUP(A58,'Allocated charts'!A:AB,15,FALSE)+VLOOKUP(A58,'Allocated charts'!A:AB,16,FALSE)++VLOOKUP(A58,'Allocated charts'!A:AB,17,FALSE)</f>
        <v>478.06359667968752</v>
      </c>
      <c r="H58" s="987">
        <f ca="1">VLOOKUP(A58,'Allocated charts'!A:AB,19,FALSE)+VLOOKUP(A58,'Allocated charts'!A:AB,20,FALSE)</f>
        <v>17.220694335937498</v>
      </c>
      <c r="I58" s="987">
        <f t="shared" ca="1" si="21"/>
        <v>2779.4464072265623</v>
      </c>
      <c r="J58" s="987">
        <f t="shared" ca="1" si="22"/>
        <v>31.609687499999836</v>
      </c>
      <c r="K58" s="987">
        <f t="shared" ca="1" si="19"/>
        <v>17.075816601562472</v>
      </c>
    </row>
    <row r="59" spans="1:11" x14ac:dyDescent="0.25">
      <c r="A59" s="986">
        <v>41491</v>
      </c>
      <c r="B59" s="987">
        <f ca="1">VLOOKUP(A59,'Allocated charts'!A:AB,2,FALSE)</f>
        <v>180.07643847656249</v>
      </c>
      <c r="C59" s="987">
        <f ca="1">VLOOKUP(A59,'Allocated charts'!A:AB,3,FALSE)</f>
        <v>92.030288085937499</v>
      </c>
      <c r="D59" s="987">
        <f ca="1">VLOOKUP(A59,'Allocated charts'!A:AB,4,FALSE)+VLOOKUP(A59,'Allocated charts'!A:AB,6,FALSE)+VLOOKUP(A59,'Allocated charts'!A:AB,8,FALSE)+VLOOKUP(A59,'Allocated charts'!A:AB,9,FALSE)+VLOOKUP(A59,'Allocated charts'!A:AB,10,FALSE)</f>
        <v>557.41708300781249</v>
      </c>
      <c r="E59" s="987">
        <f ca="1">VLOOKUP(A59,'Allocated charts'!A:AB,5,FALSE)+VLOOKUP(A59,'Allocated charts'!A:AB,7,FALSE)+VLOOKUP(A59,'Allocated charts'!A:AB,11,FALSE)</f>
        <v>730.64475585937498</v>
      </c>
      <c r="F59" s="987">
        <f ca="1">VLOOKUP(A59,'Allocated charts'!A:AB,12,FALSE)+VLOOKUP(A59,'Allocated charts'!A:AB,13,FALSE)+VLOOKUP(A59,'Allocated charts'!A:AB,18,FALSE)</f>
        <v>701.93262304687494</v>
      </c>
      <c r="G59" s="987">
        <f ca="1">VLOOKUP(A59,'Allocated charts'!A:AB,14,FALSE)+VLOOKUP(A59,'Allocated charts'!A:AB,15,FALSE)+VLOOKUP(A59,'Allocated charts'!A:AB,16,FALSE)++VLOOKUP(A59,'Allocated charts'!A:AB,17,FALSE)</f>
        <v>468.51483691406241</v>
      </c>
      <c r="H59" s="987">
        <f ca="1">VLOOKUP(A59,'Allocated charts'!A:AB,19,FALSE)+VLOOKUP(A59,'Allocated charts'!A:AB,20,FALSE)</f>
        <v>17.220694335937498</v>
      </c>
      <c r="I59" s="987">
        <f t="shared" ca="1" si="21"/>
        <v>2747.8367197265625</v>
      </c>
      <c r="J59" s="987">
        <f t="shared" ca="1" si="22"/>
        <v>10.964610351562897</v>
      </c>
      <c r="K59" s="987">
        <f t="shared" ca="1" si="19"/>
        <v>15.804843750000009</v>
      </c>
    </row>
    <row r="60" spans="1:11" x14ac:dyDescent="0.25">
      <c r="A60" s="986">
        <v>41485</v>
      </c>
      <c r="B60" s="987">
        <f ca="1">VLOOKUP(A60,'Allocated charts'!A:AB,2,FALSE)</f>
        <v>180.07643847656249</v>
      </c>
      <c r="C60" s="987">
        <f ca="1">VLOOKUP(A60,'Allocated charts'!A:AB,3,FALSE)</f>
        <v>91.832727539062503</v>
      </c>
      <c r="D60" s="987">
        <f ca="1">VLOOKUP(A60,'Allocated charts'!A:AB,4,FALSE)+VLOOKUP(A60,'Allocated charts'!A:AB,6,FALSE)+VLOOKUP(A60,'Allocated charts'!A:AB,8,FALSE)+VLOOKUP(A60,'Allocated charts'!A:AB,9,FALSE)+VLOOKUP(A60,'Allocated charts'!A:AB,10,FALSE)</f>
        <v>546.45247265625005</v>
      </c>
      <c r="E60" s="987">
        <f ca="1">VLOOKUP(A60,'Allocated charts'!A:AB,5,FALSE)+VLOOKUP(A60,'Allocated charts'!A:AB,7,FALSE)+VLOOKUP(A60,'Allocated charts'!A:AB,11,FALSE)</f>
        <v>729.4923193359374</v>
      </c>
      <c r="F60" s="987">
        <f ca="1">VLOOKUP(A60,'Allocated charts'!A:AB,12,FALSE)+VLOOKUP(A60,'Allocated charts'!A:AB,13,FALSE)+VLOOKUP(A60,'Allocated charts'!A:AB,18,FALSE)</f>
        <v>715.49844726562492</v>
      </c>
      <c r="G60" s="987">
        <f ca="1">VLOOKUP(A60,'Allocated charts'!A:AB,14,FALSE)+VLOOKUP(A60,'Allocated charts'!A:AB,15,FALSE)+VLOOKUP(A60,'Allocated charts'!A:AB,16,FALSE)++VLOOKUP(A60,'Allocated charts'!A:AB,17,FALSE)</f>
        <v>456.29900976562499</v>
      </c>
      <c r="H60" s="987">
        <f ca="1">VLOOKUP(A60,'Allocated charts'!A:AB,19,FALSE)+VLOOKUP(A60,'Allocated charts'!A:AB,20,FALSE)</f>
        <v>17.220694335937498</v>
      </c>
      <c r="I60" s="987">
        <f t="shared" ca="1" si="21"/>
        <v>2736.8721093749996</v>
      </c>
      <c r="J60" s="987">
        <f t="shared" ca="1" si="22"/>
        <v>15.508502929687438</v>
      </c>
      <c r="K60" s="987">
        <f t="shared" ca="1" si="19"/>
        <v>15.561185742187444</v>
      </c>
    </row>
    <row r="61" spans="1:11" x14ac:dyDescent="0.25">
      <c r="A61" s="986">
        <v>41478</v>
      </c>
      <c r="B61" s="987">
        <f ca="1">VLOOKUP(A61,'Allocated charts'!A:AB,2,FALSE)</f>
        <v>180.07643847656249</v>
      </c>
      <c r="C61" s="987">
        <f ca="1">VLOOKUP(A61,'Allocated charts'!A:AB,3,FALSE)</f>
        <v>91.602240234375003</v>
      </c>
      <c r="D61" s="987">
        <f ca="1">VLOOKUP(A61,'Allocated charts'!A:AB,4,FALSE)+VLOOKUP(A61,'Allocated charts'!A:AB,6,FALSE)+VLOOKUP(A61,'Allocated charts'!A:AB,8,FALSE)+VLOOKUP(A61,'Allocated charts'!A:AB,9,FALSE)+VLOOKUP(A61,'Allocated charts'!A:AB,10,FALSE)</f>
        <v>537.89151562500001</v>
      </c>
      <c r="E61" s="987">
        <f ca="1">VLOOKUP(A61,'Allocated charts'!A:AB,5,FALSE)+VLOOKUP(A61,'Allocated charts'!A:AB,7,FALSE)+VLOOKUP(A61,'Allocated charts'!A:AB,11,FALSE)</f>
        <v>729.4923193359374</v>
      </c>
      <c r="F61" s="987">
        <f ca="1">VLOOKUP(A61,'Allocated charts'!A:AB,12,FALSE)+VLOOKUP(A61,'Allocated charts'!A:AB,13,FALSE)+VLOOKUP(A61,'Allocated charts'!A:AB,18,FALSE)</f>
        <v>715.33381347656245</v>
      </c>
      <c r="G61" s="987">
        <f ca="1">VLOOKUP(A61,'Allocated charts'!A:AB,14,FALSE)+VLOOKUP(A61,'Allocated charts'!A:AB,15,FALSE)+VLOOKUP(A61,'Allocated charts'!A:AB,16,FALSE)++VLOOKUP(A61,'Allocated charts'!A:AB,17,FALSE)</f>
        <v>449.74658496093747</v>
      </c>
      <c r="H61" s="987">
        <f ca="1">VLOOKUP(A61,'Allocated charts'!A:AB,19,FALSE)+VLOOKUP(A61,'Allocated charts'!A:AB,20,FALSE)</f>
        <v>17.220694335937498</v>
      </c>
      <c r="I61" s="987">
        <f t="shared" ca="1" si="21"/>
        <v>2721.3636064453121</v>
      </c>
      <c r="J61" s="987">
        <f t="shared" ca="1" si="22"/>
        <v>65.260833984374585</v>
      </c>
      <c r="K61" s="987">
        <f t="shared" ca="1" si="19"/>
        <v>16.446915527343709</v>
      </c>
    </row>
    <row r="62" spans="1:11" x14ac:dyDescent="0.25">
      <c r="A62" s="986">
        <v>41470</v>
      </c>
      <c r="B62" s="987">
        <f ca="1">VLOOKUP(A62,'Allocated charts'!A:AB,2,FALSE)</f>
        <v>180.07643847656249</v>
      </c>
      <c r="C62" s="987">
        <f ca="1">VLOOKUP(A62,'Allocated charts'!A:AB,3,FALSE)</f>
        <v>91.602240234375003</v>
      </c>
      <c r="D62" s="987">
        <f ca="1">VLOOKUP(A62,'Allocated charts'!A:AB,4,FALSE)+VLOOKUP(A62,'Allocated charts'!A:AB,6,FALSE)+VLOOKUP(A62,'Allocated charts'!A:AB,8,FALSE)+VLOOKUP(A62,'Allocated charts'!A:AB,9,FALSE)+VLOOKUP(A62,'Allocated charts'!A:AB,10,FALSE)</f>
        <v>523.17325488281256</v>
      </c>
      <c r="E62" s="987">
        <f ca="1">VLOOKUP(A62,'Allocated charts'!A:AB,5,FALSE)+VLOOKUP(A62,'Allocated charts'!A:AB,7,FALSE)+VLOOKUP(A62,'Allocated charts'!A:AB,11,FALSE)</f>
        <v>726.72647167968751</v>
      </c>
      <c r="F62" s="987">
        <f ca="1">VLOOKUP(A62,'Allocated charts'!A:AB,12,FALSE)+VLOOKUP(A62,'Allocated charts'!A:AB,13,FALSE)+VLOOKUP(A62,'Allocated charts'!A:AB,18,FALSE)</f>
        <v>684.05339355468743</v>
      </c>
      <c r="G62" s="987">
        <f ca="1">VLOOKUP(A62,'Allocated charts'!A:AB,14,FALSE)+VLOOKUP(A62,'Allocated charts'!A:AB,15,FALSE)+VLOOKUP(A62,'Allocated charts'!A:AB,16,FALSE)++VLOOKUP(A62,'Allocated charts'!A:AB,17,FALSE)</f>
        <v>434.07344824218751</v>
      </c>
      <c r="H62" s="987">
        <f ca="1">VLOOKUP(A62,'Allocated charts'!A:AB,19,FALSE)+VLOOKUP(A62,'Allocated charts'!A:AB,20,FALSE)</f>
        <v>16.397525390624999</v>
      </c>
      <c r="I62" s="987">
        <f t="shared" ca="1" si="21"/>
        <v>2656.1027724609376</v>
      </c>
      <c r="J62" s="987">
        <f t="shared" ca="1" si="22"/>
        <v>47.414531249999982</v>
      </c>
      <c r="K62" s="987">
        <f t="shared" ca="1" si="19"/>
        <v>9.92083212890625</v>
      </c>
    </row>
    <row r="63" spans="1:11" x14ac:dyDescent="0.25">
      <c r="A63" s="986">
        <v>41464</v>
      </c>
      <c r="B63" s="987">
        <f ca="1">VLOOKUP(A63,'Allocated charts'!A:AB,2,FALSE)</f>
        <v>178.98985546874999</v>
      </c>
      <c r="C63" s="987">
        <f ca="1">VLOOKUP(A63,'Allocated charts'!A:AB,3,FALSE)</f>
        <v>90.680291015625002</v>
      </c>
      <c r="D63" s="987">
        <f ca="1">VLOOKUP(A63,'Allocated charts'!A:AB,4,FALSE)+VLOOKUP(A63,'Allocated charts'!A:AB,6,FALSE)+VLOOKUP(A63,'Allocated charts'!A:AB,8,FALSE)+VLOOKUP(A63,'Allocated charts'!A:AB,9,FALSE)+VLOOKUP(A63,'Allocated charts'!A:AB,10,FALSE)</f>
        <v>518.76106933593758</v>
      </c>
      <c r="E63" s="987">
        <f ca="1">VLOOKUP(A63,'Allocated charts'!A:AB,5,FALSE)+VLOOKUP(A63,'Allocated charts'!A:AB,7,FALSE)+VLOOKUP(A63,'Allocated charts'!A:AB,11,FALSE)</f>
        <v>725.24476757812499</v>
      </c>
      <c r="F63" s="987">
        <f ca="1">VLOOKUP(A63,'Allocated charts'!A:AB,12,FALSE)+VLOOKUP(A63,'Allocated charts'!A:AB,13,FALSE)+VLOOKUP(A63,'Allocated charts'!A:AB,18,FALSE)</f>
        <v>648.13030078124996</v>
      </c>
      <c r="G63" s="987">
        <f ca="1">VLOOKUP(A63,'Allocated charts'!A:AB,14,FALSE)+VLOOKUP(A63,'Allocated charts'!A:AB,15,FALSE)+VLOOKUP(A63,'Allocated charts'!A:AB,16,FALSE)++VLOOKUP(A63,'Allocated charts'!A:AB,17,FALSE)</f>
        <v>430.48443164062496</v>
      </c>
      <c r="H63" s="987">
        <f ca="1">VLOOKUP(A63,'Allocated charts'!A:AB,19,FALSE)+VLOOKUP(A63,'Allocated charts'!A:AB,20,FALSE)</f>
        <v>16.397525390624999</v>
      </c>
      <c r="I63" s="987">
        <f t="shared" ca="1" si="21"/>
        <v>2608.6882412109376</v>
      </c>
      <c r="J63" s="987">
        <f t="shared" ca="1" si="22"/>
        <v>-139.1484785156249</v>
      </c>
      <c r="K63" s="987">
        <f t="shared" ca="1" si="19"/>
        <v>5.1793790039062513</v>
      </c>
    </row>
    <row r="64" spans="1:11" x14ac:dyDescent="0.25">
      <c r="A64" s="986">
        <v>41491</v>
      </c>
      <c r="B64" s="987">
        <f ca="1">VLOOKUP(A64,'Allocated charts'!A:AB,2,FALSE)</f>
        <v>180.07643847656249</v>
      </c>
      <c r="C64" s="987">
        <f ca="1">VLOOKUP(A64,'Allocated charts'!A:AB,3,FALSE)</f>
        <v>92.030288085937499</v>
      </c>
      <c r="D64" s="987">
        <f ca="1">VLOOKUP(A64,'Allocated charts'!A:AB,4,FALSE)+VLOOKUP(A64,'Allocated charts'!A:AB,6,FALSE)+VLOOKUP(A64,'Allocated charts'!A:AB,8,FALSE)+VLOOKUP(A64,'Allocated charts'!A:AB,9,FALSE)+VLOOKUP(A64,'Allocated charts'!A:AB,10,FALSE)</f>
        <v>557.41708300781249</v>
      </c>
      <c r="E64" s="987">
        <f ca="1">VLOOKUP(A64,'Allocated charts'!A:AB,5,FALSE)+VLOOKUP(A64,'Allocated charts'!A:AB,7,FALSE)+VLOOKUP(A64,'Allocated charts'!A:AB,11,FALSE)</f>
        <v>730.64475585937498</v>
      </c>
      <c r="F64" s="987">
        <f ca="1">VLOOKUP(A64,'Allocated charts'!A:AB,12,FALSE)+VLOOKUP(A64,'Allocated charts'!A:AB,13,FALSE)+VLOOKUP(A64,'Allocated charts'!A:AB,18,FALSE)</f>
        <v>701.93262304687494</v>
      </c>
      <c r="G64" s="987">
        <f ca="1">VLOOKUP(A64,'Allocated charts'!A:AB,14,FALSE)+VLOOKUP(A64,'Allocated charts'!A:AB,15,FALSE)+VLOOKUP(A64,'Allocated charts'!A:AB,16,FALSE)++VLOOKUP(A64,'Allocated charts'!A:AB,17,FALSE)</f>
        <v>468.51483691406241</v>
      </c>
      <c r="H64" s="987">
        <f ca="1">VLOOKUP(A64,'Allocated charts'!A:AB,19,FALSE)+VLOOKUP(A64,'Allocated charts'!A:AB,20,FALSE)</f>
        <v>17.220694335937498</v>
      </c>
      <c r="I64" s="987">
        <f t="shared" ca="1" si="21"/>
        <v>2747.8367197265625</v>
      </c>
      <c r="J64" s="987">
        <f t="shared" ca="1" si="22"/>
        <v>10.964610351562897</v>
      </c>
      <c r="K64" s="987">
        <f t="shared" ca="1" si="19"/>
        <v>19.09422685546874</v>
      </c>
    </row>
    <row r="65" spans="1:11" x14ac:dyDescent="0.25">
      <c r="A65" s="986">
        <v>41485</v>
      </c>
      <c r="B65" s="987">
        <f ca="1">VLOOKUP(A65,'Allocated charts'!A:AB,2,FALSE)</f>
        <v>180.07643847656249</v>
      </c>
      <c r="C65" s="987">
        <f ca="1">VLOOKUP(A65,'Allocated charts'!A:AB,3,FALSE)</f>
        <v>91.832727539062503</v>
      </c>
      <c r="D65" s="987">
        <f ca="1">VLOOKUP(A65,'Allocated charts'!A:AB,4,FALSE)+VLOOKUP(A65,'Allocated charts'!A:AB,6,FALSE)+VLOOKUP(A65,'Allocated charts'!A:AB,8,FALSE)+VLOOKUP(A65,'Allocated charts'!A:AB,9,FALSE)+VLOOKUP(A65,'Allocated charts'!A:AB,10,FALSE)</f>
        <v>546.45247265625005</v>
      </c>
      <c r="E65" s="987">
        <f ca="1">VLOOKUP(A65,'Allocated charts'!A:AB,5,FALSE)+VLOOKUP(A65,'Allocated charts'!A:AB,7,FALSE)+VLOOKUP(A65,'Allocated charts'!A:AB,11,FALSE)</f>
        <v>729.4923193359374</v>
      </c>
      <c r="F65" s="987">
        <f ca="1">VLOOKUP(A65,'Allocated charts'!A:AB,12,FALSE)+VLOOKUP(A65,'Allocated charts'!A:AB,13,FALSE)+VLOOKUP(A65,'Allocated charts'!A:AB,18,FALSE)</f>
        <v>715.49844726562492</v>
      </c>
      <c r="G65" s="987">
        <f ca="1">VLOOKUP(A65,'Allocated charts'!A:AB,14,FALSE)+VLOOKUP(A65,'Allocated charts'!A:AB,15,FALSE)+VLOOKUP(A65,'Allocated charts'!A:AB,16,FALSE)++VLOOKUP(A65,'Allocated charts'!A:AB,17,FALSE)</f>
        <v>456.29900976562499</v>
      </c>
      <c r="H65" s="987">
        <f ca="1">VLOOKUP(A65,'Allocated charts'!A:AB,19,FALSE)+VLOOKUP(A65,'Allocated charts'!A:AB,20,FALSE)</f>
        <v>17.220694335937498</v>
      </c>
      <c r="I65" s="987">
        <f t="shared" ca="1" si="21"/>
        <v>2736.8721093749996</v>
      </c>
      <c r="J65" s="987">
        <f t="shared" ca="1" si="22"/>
        <v>15.508502929687438</v>
      </c>
      <c r="K65" s="987">
        <f t="shared" ca="1" si="19"/>
        <v>17.997765820312452</v>
      </c>
    </row>
    <row r="66" spans="1:11" x14ac:dyDescent="0.25">
      <c r="A66" s="986">
        <v>41478</v>
      </c>
      <c r="B66" s="987">
        <f ca="1">VLOOKUP(A66,'Allocated charts'!A:AB,2,FALSE)</f>
        <v>180.07643847656249</v>
      </c>
      <c r="C66" s="987">
        <f ca="1">VLOOKUP(A66,'Allocated charts'!A:AB,3,FALSE)</f>
        <v>91.602240234375003</v>
      </c>
      <c r="D66" s="987">
        <f ca="1">VLOOKUP(A66,'Allocated charts'!A:AB,4,FALSE)+VLOOKUP(A66,'Allocated charts'!A:AB,6,FALSE)+VLOOKUP(A66,'Allocated charts'!A:AB,8,FALSE)+VLOOKUP(A66,'Allocated charts'!A:AB,9,FALSE)+VLOOKUP(A66,'Allocated charts'!A:AB,10,FALSE)</f>
        <v>537.89151562500001</v>
      </c>
      <c r="E66" s="987">
        <f ca="1">VLOOKUP(A66,'Allocated charts'!A:AB,5,FALSE)+VLOOKUP(A66,'Allocated charts'!A:AB,7,FALSE)+VLOOKUP(A66,'Allocated charts'!A:AB,11,FALSE)</f>
        <v>729.4923193359374</v>
      </c>
      <c r="F66" s="987">
        <f ca="1">VLOOKUP(A66,'Allocated charts'!A:AB,12,FALSE)+VLOOKUP(A66,'Allocated charts'!A:AB,13,FALSE)+VLOOKUP(A66,'Allocated charts'!A:AB,18,FALSE)</f>
        <v>715.33381347656245</v>
      </c>
      <c r="G66" s="987">
        <f ca="1">VLOOKUP(A66,'Allocated charts'!A:AB,14,FALSE)+VLOOKUP(A66,'Allocated charts'!A:AB,15,FALSE)+VLOOKUP(A66,'Allocated charts'!A:AB,16,FALSE)++VLOOKUP(A66,'Allocated charts'!A:AB,17,FALSE)</f>
        <v>449.74658496093747</v>
      </c>
      <c r="H66" s="987">
        <f ca="1">VLOOKUP(A66,'Allocated charts'!A:AB,19,FALSE)+VLOOKUP(A66,'Allocated charts'!A:AB,20,FALSE)</f>
        <v>17.220694335937498</v>
      </c>
      <c r="I66" s="987">
        <f t="shared" ca="1" si="21"/>
        <v>2721.3636064453121</v>
      </c>
      <c r="J66" s="987">
        <f t="shared" ca="1" si="22"/>
        <v>65.260833984374585</v>
      </c>
      <c r="K66" s="987">
        <f t="shared" ca="1" si="19"/>
        <v>16.446915527343709</v>
      </c>
    </row>
    <row r="67" spans="1:11" x14ac:dyDescent="0.25">
      <c r="A67" s="986">
        <v>41470</v>
      </c>
      <c r="B67" s="987">
        <f ca="1">VLOOKUP(A67,'Allocated charts'!A:AB,2,FALSE)</f>
        <v>180.07643847656249</v>
      </c>
      <c r="C67" s="987">
        <f ca="1">VLOOKUP(A67,'Allocated charts'!A:AB,3,FALSE)</f>
        <v>91.602240234375003</v>
      </c>
      <c r="D67" s="987">
        <f ca="1">VLOOKUP(A67,'Allocated charts'!A:AB,4,FALSE)+VLOOKUP(A67,'Allocated charts'!A:AB,6,FALSE)+VLOOKUP(A67,'Allocated charts'!A:AB,8,FALSE)+VLOOKUP(A67,'Allocated charts'!A:AB,9,FALSE)+VLOOKUP(A67,'Allocated charts'!A:AB,10,FALSE)</f>
        <v>523.17325488281256</v>
      </c>
      <c r="E67" s="987">
        <f ca="1">VLOOKUP(A67,'Allocated charts'!A:AB,5,FALSE)+VLOOKUP(A67,'Allocated charts'!A:AB,7,FALSE)+VLOOKUP(A67,'Allocated charts'!A:AB,11,FALSE)</f>
        <v>726.72647167968751</v>
      </c>
      <c r="F67" s="987">
        <f ca="1">VLOOKUP(A67,'Allocated charts'!A:AB,12,FALSE)+VLOOKUP(A67,'Allocated charts'!A:AB,13,FALSE)+VLOOKUP(A67,'Allocated charts'!A:AB,18,FALSE)</f>
        <v>684.05339355468743</v>
      </c>
      <c r="G67" s="987">
        <f ca="1">VLOOKUP(A67,'Allocated charts'!A:AB,14,FALSE)+VLOOKUP(A67,'Allocated charts'!A:AB,15,FALSE)+VLOOKUP(A67,'Allocated charts'!A:AB,16,FALSE)++VLOOKUP(A67,'Allocated charts'!A:AB,17,FALSE)</f>
        <v>434.07344824218751</v>
      </c>
      <c r="H67" s="987">
        <f ca="1">VLOOKUP(A67,'Allocated charts'!A:AB,19,FALSE)+VLOOKUP(A67,'Allocated charts'!A:AB,20,FALSE)</f>
        <v>16.397525390624999</v>
      </c>
      <c r="I67" s="987">
        <f t="shared" ca="1" si="21"/>
        <v>2656.1027724609376</v>
      </c>
      <c r="J67" s="987">
        <f t="shared" ca="1" si="22"/>
        <v>47.414531249999982</v>
      </c>
      <c r="K67" s="987">
        <f t="shared" ca="1" si="19"/>
        <v>9.92083212890625</v>
      </c>
    </row>
    <row r="68" spans="1:11" x14ac:dyDescent="0.25">
      <c r="A68" s="986">
        <v>41464</v>
      </c>
      <c r="B68" s="987">
        <f ca="1">VLOOKUP(A68,'Allocated charts'!A:AB,2,FALSE)</f>
        <v>178.98985546874999</v>
      </c>
      <c r="C68" s="987">
        <f ca="1">VLOOKUP(A68,'Allocated charts'!A:AB,3,FALSE)</f>
        <v>90.680291015625002</v>
      </c>
      <c r="D68" s="987">
        <f ca="1">VLOOKUP(A68,'Allocated charts'!A:AB,4,FALSE)+VLOOKUP(A68,'Allocated charts'!A:AB,6,FALSE)+VLOOKUP(A68,'Allocated charts'!A:AB,8,FALSE)+VLOOKUP(A68,'Allocated charts'!A:AB,9,FALSE)+VLOOKUP(A68,'Allocated charts'!A:AB,10,FALSE)</f>
        <v>518.76106933593758</v>
      </c>
      <c r="E68" s="987">
        <f ca="1">VLOOKUP(A68,'Allocated charts'!A:AB,5,FALSE)+VLOOKUP(A68,'Allocated charts'!A:AB,7,FALSE)+VLOOKUP(A68,'Allocated charts'!A:AB,11,FALSE)</f>
        <v>725.24476757812499</v>
      </c>
      <c r="F68" s="987">
        <f ca="1">VLOOKUP(A68,'Allocated charts'!A:AB,12,FALSE)+VLOOKUP(A68,'Allocated charts'!A:AB,13,FALSE)+VLOOKUP(A68,'Allocated charts'!A:AB,18,FALSE)</f>
        <v>648.13030078124996</v>
      </c>
      <c r="G68" s="987">
        <f ca="1">VLOOKUP(A68,'Allocated charts'!A:AB,14,FALSE)+VLOOKUP(A68,'Allocated charts'!A:AB,15,FALSE)+VLOOKUP(A68,'Allocated charts'!A:AB,16,FALSE)++VLOOKUP(A68,'Allocated charts'!A:AB,17,FALSE)</f>
        <v>430.48443164062496</v>
      </c>
      <c r="H68" s="987">
        <f ca="1">VLOOKUP(A68,'Allocated charts'!A:AB,19,FALSE)+VLOOKUP(A68,'Allocated charts'!A:AB,20,FALSE)</f>
        <v>16.397525390624999</v>
      </c>
      <c r="I68" s="987">
        <f t="shared" ca="1" si="21"/>
        <v>2608.6882412109376</v>
      </c>
      <c r="J68" s="987">
        <f t="shared" ca="1" si="22"/>
        <v>0</v>
      </c>
      <c r="K68" s="987">
        <f t="shared" ca="1" si="19"/>
        <v>5.1793790039062513</v>
      </c>
    </row>
    <row r="69" spans="1:11" x14ac:dyDescent="0.25">
      <c r="A69" s="986">
        <v>41449</v>
      </c>
      <c r="B69" s="987">
        <f ca="1">VLOOKUP(A69,'Allocated charts'!A:AB,2,FALSE)</f>
        <v>178.98985546874999</v>
      </c>
      <c r="C69" s="987">
        <f ca="1">VLOOKUP(A69,'Allocated charts'!A:AB,3,FALSE)</f>
        <v>90.680291015625002</v>
      </c>
      <c r="D69" s="987">
        <f ca="1">VLOOKUP(A69,'Allocated charts'!A:AB,4,FALSE)+VLOOKUP(A69,'Allocated charts'!A:AB,6,FALSE)+VLOOKUP(A69,'Allocated charts'!A:AB,8,FALSE)+VLOOKUP(A69,'Allocated charts'!A:AB,9,FALSE)+VLOOKUP(A69,'Allocated charts'!A:AB,10,FALSE)</f>
        <v>518.76106933593758</v>
      </c>
      <c r="E69" s="987">
        <f ca="1">VLOOKUP(A69,'Allocated charts'!A:AB,5,FALSE)+VLOOKUP(A69,'Allocated charts'!A:AB,7,FALSE)+VLOOKUP(A69,'Allocated charts'!A:AB,11,FALSE)</f>
        <v>725.24476757812499</v>
      </c>
      <c r="F69" s="987">
        <f ca="1">VLOOKUP(A69,'Allocated charts'!A:AB,12,FALSE)+VLOOKUP(A69,'Allocated charts'!A:AB,13,FALSE)+VLOOKUP(A69,'Allocated charts'!A:AB,18,FALSE)</f>
        <v>648.13030078124996</v>
      </c>
      <c r="G69" s="987">
        <f ca="1">VLOOKUP(A69,'Allocated charts'!A:AB,14,FALSE)+VLOOKUP(A69,'Allocated charts'!A:AB,15,FALSE)+VLOOKUP(A69,'Allocated charts'!A:AB,16,FALSE)++VLOOKUP(A69,'Allocated charts'!A:AB,17,FALSE)</f>
        <v>430.48443164062496</v>
      </c>
      <c r="H69" s="987">
        <f ca="1">VLOOKUP(A69,'Allocated charts'!A:AB,19,FALSE)+VLOOKUP(A69,'Allocated charts'!A:AB,20,FALSE)</f>
        <v>16.397525390624999</v>
      </c>
      <c r="I69" s="987">
        <f t="shared" ca="1" si="21"/>
        <v>2608.6882412109376</v>
      </c>
      <c r="J69" s="987">
        <f t="shared" ca="1" si="22"/>
        <v>18.899958984375189</v>
      </c>
      <c r="K69" s="987">
        <f t="shared" ca="1" si="19"/>
        <v>5.1793790039062513</v>
      </c>
    </row>
    <row r="70" spans="1:11" x14ac:dyDescent="0.25">
      <c r="A70" s="986">
        <v>41445</v>
      </c>
      <c r="B70" s="987">
        <f ca="1">VLOOKUP(A70,'Allocated charts'!A:AB,2,FALSE)</f>
        <v>178.00205273437498</v>
      </c>
      <c r="C70" s="987">
        <f ca="1">VLOOKUP(A70,'Allocated charts'!A:AB,3,FALSE)</f>
        <v>88.935172851562498</v>
      </c>
      <c r="D70" s="987">
        <f ca="1">VLOOKUP(A70,'Allocated charts'!A:AB,4,FALSE)+VLOOKUP(A70,'Allocated charts'!A:AB,6,FALSE)+VLOOKUP(A70,'Allocated charts'!A:AB,8,FALSE)+VLOOKUP(A70,'Allocated charts'!A:AB,9,FALSE)+VLOOKUP(A70,'Allocated charts'!A:AB,10,FALSE)</f>
        <v>512.14279101562499</v>
      </c>
      <c r="E70" s="987">
        <f ca="1">VLOOKUP(A70,'Allocated charts'!A:AB,5,FALSE)+VLOOKUP(A70,'Allocated charts'!A:AB,7,FALSE)+VLOOKUP(A70,'Allocated charts'!A:AB,11,FALSE)</f>
        <v>723.00574804687494</v>
      </c>
      <c r="F70" s="987">
        <f ca="1">VLOOKUP(A70,'Allocated charts'!A:AB,12,FALSE)+VLOOKUP(A70,'Allocated charts'!A:AB,13,FALSE)+VLOOKUP(A70,'Allocated charts'!A:AB,18,FALSE)</f>
        <v>648.13030078124996</v>
      </c>
      <c r="G70" s="987">
        <f ca="1">VLOOKUP(A70,'Allocated charts'!A:AB,14,FALSE)+VLOOKUP(A70,'Allocated charts'!A:AB,15,FALSE)+VLOOKUP(A70,'Allocated charts'!A:AB,16,FALSE)++VLOOKUP(A70,'Allocated charts'!A:AB,17,FALSE)</f>
        <v>423.17469140625002</v>
      </c>
      <c r="H70" s="987">
        <f ca="1">VLOOKUP(A70,'Allocated charts'!A:AB,19,FALSE)+VLOOKUP(A70,'Allocated charts'!A:AB,20,FALSE)</f>
        <v>16.397525390624999</v>
      </c>
      <c r="I70" s="987">
        <f t="shared" ca="1" si="21"/>
        <v>2589.7882822265624</v>
      </c>
      <c r="J70" s="987">
        <f t="shared" ca="1" si="22"/>
        <v>8.5280302734372526</v>
      </c>
      <c r="K70" s="987">
        <f t="shared" ca="1" si="19"/>
        <v>3.2893831054687324</v>
      </c>
    </row>
    <row r="71" spans="1:11" x14ac:dyDescent="0.25">
      <c r="A71" s="986">
        <v>41443</v>
      </c>
      <c r="B71" s="987">
        <f ca="1">VLOOKUP(A71,'Allocated charts'!A:AB,2,FALSE)</f>
        <v>178.00205273437498</v>
      </c>
      <c r="C71" s="987">
        <f ca="1">VLOOKUP(A71,'Allocated charts'!A:AB,3,FALSE)</f>
        <v>88.935172851562498</v>
      </c>
      <c r="D71" s="987">
        <f ca="1">VLOOKUP(A71,'Allocated charts'!A:AB,4,FALSE)+VLOOKUP(A71,'Allocated charts'!A:AB,6,FALSE)+VLOOKUP(A71,'Allocated charts'!A:AB,8,FALSE)+VLOOKUP(A71,'Allocated charts'!A:AB,9,FALSE)+VLOOKUP(A71,'Allocated charts'!A:AB,10,FALSE)</f>
        <v>508.25743359375002</v>
      </c>
      <c r="E71" s="987">
        <f ca="1">VLOOKUP(A71,'Allocated charts'!A:AB,5,FALSE)+VLOOKUP(A71,'Allocated charts'!A:AB,7,FALSE)+VLOOKUP(A71,'Allocated charts'!A:AB,11,FALSE)</f>
        <v>723.00574804687494</v>
      </c>
      <c r="F71" s="987">
        <f ca="1">VLOOKUP(A71,'Allocated charts'!A:AB,12,FALSE)+VLOOKUP(A71,'Allocated charts'!A:AB,13,FALSE)+VLOOKUP(A71,'Allocated charts'!A:AB,18,FALSE)</f>
        <v>648.13030078124996</v>
      </c>
      <c r="G71" s="987">
        <f ca="1">VLOOKUP(A71,'Allocated charts'!A:AB,14,FALSE)+VLOOKUP(A71,'Allocated charts'!A:AB,15,FALSE)+VLOOKUP(A71,'Allocated charts'!A:AB,16,FALSE)++VLOOKUP(A71,'Allocated charts'!A:AB,17,FALSE)</f>
        <v>418.53201855468745</v>
      </c>
      <c r="H71" s="987">
        <f ca="1">VLOOKUP(A71,'Allocated charts'!A:AB,19,FALSE)+VLOOKUP(A71,'Allocated charts'!A:AB,20,FALSE)</f>
        <v>16.397525390624999</v>
      </c>
      <c r="I71" s="987">
        <f t="shared" ca="1" si="21"/>
        <v>2581.2602519531251</v>
      </c>
      <c r="J71" s="987">
        <f t="shared" ca="1" si="22"/>
        <v>24.365800781250073</v>
      </c>
      <c r="K71" s="987">
        <f t="shared" ca="1" si="19"/>
        <v>2.4365800781250071</v>
      </c>
    </row>
    <row r="72" spans="1:11" x14ac:dyDescent="0.25">
      <c r="A72" s="986">
        <v>41437</v>
      </c>
      <c r="B72" s="987">
        <f ca="1">VLOOKUP(A72,'Allocated charts'!A:AB,2,FALSE)</f>
        <v>175.79595996093749</v>
      </c>
      <c r="C72" s="987">
        <f ca="1">VLOOKUP(A72,'Allocated charts'!A:AB,3,FALSE)</f>
        <v>88.474198242187498</v>
      </c>
      <c r="D72" s="987">
        <f ca="1">VLOOKUP(A72,'Allocated charts'!A:AB,4,FALSE)+VLOOKUP(A72,'Allocated charts'!A:AB,6,FALSE)+VLOOKUP(A72,'Allocated charts'!A:AB,8,FALSE)+VLOOKUP(A72,'Allocated charts'!A:AB,9,FALSE)+VLOOKUP(A72,'Allocated charts'!A:AB,10,FALSE)</f>
        <v>498.64282031250002</v>
      </c>
      <c r="E72" s="987">
        <f ca="1">VLOOKUP(A72,'Allocated charts'!A:AB,5,FALSE)+VLOOKUP(A72,'Allocated charts'!A:AB,7,FALSE)+VLOOKUP(A72,'Allocated charts'!A:AB,11,FALSE)</f>
        <v>723.07160156249995</v>
      </c>
      <c r="F72" s="987">
        <f ca="1">VLOOKUP(A72,'Allocated charts'!A:AB,12,FALSE)+VLOOKUP(A72,'Allocated charts'!A:AB,13,FALSE)+VLOOKUP(A72,'Allocated charts'!A:AB,18,FALSE)</f>
        <v>643.1254335937499</v>
      </c>
      <c r="G72" s="987">
        <f ca="1">VLOOKUP(A72,'Allocated charts'!A:AB,14,FALSE)+VLOOKUP(A72,'Allocated charts'!A:AB,15,FALSE)+VLOOKUP(A72,'Allocated charts'!A:AB,16,FALSE)++VLOOKUP(A72,'Allocated charts'!A:AB,17,FALSE)</f>
        <v>411.38691210937492</v>
      </c>
      <c r="H72" s="987">
        <f ca="1">VLOOKUP(A72,'Allocated charts'!A:AB,19,FALSE)+VLOOKUP(A72,'Allocated charts'!A:AB,20,FALSE)</f>
        <v>16.397525390624999</v>
      </c>
      <c r="I72" s="987">
        <f t="shared" ca="1" si="21"/>
        <v>2556.8944511718751</v>
      </c>
      <c r="J72" s="949"/>
      <c r="K72" s="987">
        <f t="shared" si="19"/>
        <v>0</v>
      </c>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S38"/>
  <sheetViews>
    <sheetView workbookViewId="0">
      <selection activeCell="T73" sqref="T73"/>
    </sheetView>
  </sheetViews>
  <sheetFormatPr defaultRowHeight="15" x14ac:dyDescent="0.25"/>
  <cols>
    <col min="1" max="1" width="82.42578125" bestFit="1" customWidth="1"/>
  </cols>
  <sheetData>
    <row r="1" spans="1:19" x14ac:dyDescent="0.25">
      <c r="A1" t="s">
        <v>17</v>
      </c>
    </row>
    <row r="2" spans="1:19" x14ac:dyDescent="0.25">
      <c r="S2" t="s">
        <v>308</v>
      </c>
    </row>
    <row r="3" spans="1:19" x14ac:dyDescent="0.25">
      <c r="A3" t="s">
        <v>164</v>
      </c>
    </row>
    <row r="4" spans="1:19" x14ac:dyDescent="0.25">
      <c r="A4" t="s">
        <v>78</v>
      </c>
    </row>
    <row r="5" spans="1:19" x14ac:dyDescent="0.25">
      <c r="A5" s="267" t="s">
        <v>23</v>
      </c>
      <c r="B5" t="s">
        <v>18</v>
      </c>
    </row>
    <row r="6" spans="1:19" ht="29.25" customHeight="1" x14ac:dyDescent="0.25">
      <c r="A6" s="5" t="s">
        <v>95</v>
      </c>
      <c r="B6" s="1081" t="s">
        <v>19</v>
      </c>
      <c r="C6" s="1081"/>
      <c r="D6" s="1081"/>
      <c r="E6" s="1081"/>
      <c r="F6" s="1081"/>
      <c r="G6" s="1081"/>
      <c r="H6" s="1081"/>
      <c r="I6" s="1081"/>
    </row>
    <row r="7" spans="1:19" x14ac:dyDescent="0.25">
      <c r="A7" t="s">
        <v>24</v>
      </c>
    </row>
    <row r="8" spans="1:19" x14ac:dyDescent="0.25">
      <c r="A8" t="s">
        <v>94</v>
      </c>
    </row>
    <row r="9" spans="1:19" x14ac:dyDescent="0.25">
      <c r="D9" s="10"/>
      <c r="E9" s="10"/>
      <c r="F9" s="10"/>
      <c r="G9" s="10"/>
      <c r="H9" s="10"/>
    </row>
    <row r="10" spans="1:19" x14ac:dyDescent="0.25">
      <c r="A10" s="267" t="s">
        <v>165</v>
      </c>
      <c r="D10" s="10"/>
      <c r="E10" s="10"/>
      <c r="F10" s="10"/>
      <c r="G10" s="10"/>
      <c r="H10" s="10"/>
    </row>
    <row r="11" spans="1:19" x14ac:dyDescent="0.25">
      <c r="A11" t="s">
        <v>82</v>
      </c>
      <c r="D11" s="10"/>
      <c r="E11" s="10"/>
      <c r="F11" s="10"/>
      <c r="G11" s="10"/>
      <c r="H11" s="10"/>
    </row>
    <row r="12" spans="1:19" x14ac:dyDescent="0.25">
      <c r="A12" t="s">
        <v>25</v>
      </c>
      <c r="B12" s="53"/>
      <c r="C12" s="53"/>
      <c r="D12" s="65"/>
      <c r="E12" s="65"/>
      <c r="F12" s="65"/>
      <c r="G12" s="65"/>
      <c r="H12" s="65"/>
      <c r="I12" s="53"/>
      <c r="J12" s="53"/>
    </row>
    <row r="13" spans="1:19" x14ac:dyDescent="0.25">
      <c r="A13" s="5" t="s">
        <v>93</v>
      </c>
      <c r="B13" s="53"/>
      <c r="C13" s="53"/>
      <c r="D13" s="53"/>
      <c r="E13" s="53"/>
      <c r="F13" s="53"/>
      <c r="G13" s="53"/>
      <c r="H13" s="53"/>
      <c r="I13" s="53"/>
      <c r="J13" s="53"/>
    </row>
    <row r="14" spans="1:19" x14ac:dyDescent="0.25">
      <c r="A14" t="s">
        <v>26</v>
      </c>
      <c r="B14" s="53"/>
      <c r="C14" s="53"/>
      <c r="D14" s="53"/>
      <c r="E14" s="53"/>
      <c r="F14" s="53"/>
      <c r="G14" s="53"/>
      <c r="H14" s="53"/>
      <c r="I14" s="53"/>
      <c r="J14" s="53"/>
    </row>
    <row r="15" spans="1:19" x14ac:dyDescent="0.25">
      <c r="A15" t="s">
        <v>92</v>
      </c>
      <c r="B15" s="53"/>
      <c r="C15" s="53"/>
      <c r="D15" s="53"/>
      <c r="E15" s="53"/>
      <c r="F15" s="53"/>
      <c r="G15" s="53"/>
      <c r="H15" s="53"/>
      <c r="I15" s="53"/>
      <c r="J15" s="53"/>
    </row>
    <row r="16" spans="1:19" x14ac:dyDescent="0.25">
      <c r="A16" t="s">
        <v>162</v>
      </c>
      <c r="B16" s="53"/>
      <c r="C16" s="53"/>
      <c r="D16" s="65"/>
      <c r="E16" s="65"/>
      <c r="F16" s="65"/>
      <c r="G16" s="65"/>
      <c r="H16" s="65"/>
      <c r="I16" s="53"/>
      <c r="J16" s="53"/>
    </row>
    <row r="17" spans="1:10" x14ac:dyDescent="0.25">
      <c r="A17" s="5" t="s">
        <v>163</v>
      </c>
      <c r="B17" s="53"/>
      <c r="C17" s="53"/>
      <c r="D17" s="53"/>
      <c r="E17" s="53"/>
      <c r="F17" s="53"/>
      <c r="G17" s="53"/>
      <c r="H17" s="53"/>
      <c r="I17" s="53"/>
      <c r="J17" s="53"/>
    </row>
    <row r="18" spans="1:10" x14ac:dyDescent="0.25">
      <c r="A18" t="s">
        <v>157</v>
      </c>
      <c r="D18" s="10"/>
      <c r="E18" s="10"/>
      <c r="F18" s="10"/>
      <c r="G18" s="10"/>
      <c r="H18" s="10"/>
    </row>
    <row r="19" spans="1:10" x14ac:dyDescent="0.25">
      <c r="A19" s="5" t="s">
        <v>154</v>
      </c>
    </row>
    <row r="20" spans="1:10" x14ac:dyDescent="0.25">
      <c r="A20" t="s">
        <v>156</v>
      </c>
    </row>
    <row r="21" spans="1:10" x14ac:dyDescent="0.25">
      <c r="A21" t="s">
        <v>155</v>
      </c>
    </row>
    <row r="23" spans="1:10" x14ac:dyDescent="0.25">
      <c r="A23" t="s">
        <v>20</v>
      </c>
    </row>
    <row r="24" spans="1:10" x14ac:dyDescent="0.25">
      <c r="A24" t="s">
        <v>82</v>
      </c>
    </row>
    <row r="25" spans="1:10" x14ac:dyDescent="0.25">
      <c r="A25" t="s">
        <v>83</v>
      </c>
    </row>
    <row r="26" spans="1:10" x14ac:dyDescent="0.25">
      <c r="A26" s="5" t="s">
        <v>91</v>
      </c>
    </row>
    <row r="27" spans="1:10" x14ac:dyDescent="0.25">
      <c r="A27" t="s">
        <v>161</v>
      </c>
    </row>
    <row r="28" spans="1:10" x14ac:dyDescent="0.25">
      <c r="A28" s="5" t="s">
        <v>158</v>
      </c>
    </row>
    <row r="29" spans="1:10" x14ac:dyDescent="0.25">
      <c r="A29" t="s">
        <v>160</v>
      </c>
    </row>
    <row r="30" spans="1:10" x14ac:dyDescent="0.25">
      <c r="A30" s="5" t="s">
        <v>159</v>
      </c>
      <c r="B30" s="5"/>
      <c r="G30">
        <f>SUM(288*229)</f>
        <v>65952</v>
      </c>
    </row>
    <row r="31" spans="1:10" x14ac:dyDescent="0.25">
      <c r="A31" t="s">
        <v>84</v>
      </c>
    </row>
    <row r="32" spans="1:10" x14ac:dyDescent="0.25">
      <c r="A32" s="5" t="s">
        <v>90</v>
      </c>
    </row>
    <row r="33" spans="1:7" x14ac:dyDescent="0.25">
      <c r="A33" t="s">
        <v>85</v>
      </c>
    </row>
    <row r="34" spans="1:7" x14ac:dyDescent="0.25">
      <c r="A34" s="5" t="s">
        <v>89</v>
      </c>
      <c r="B34" s="5"/>
      <c r="G34">
        <f>SUM(288*229)</f>
        <v>65952</v>
      </c>
    </row>
    <row r="36" spans="1:7" x14ac:dyDescent="0.25">
      <c r="A36" s="5" t="s">
        <v>87</v>
      </c>
      <c r="G36">
        <f>SUM(1047*33.7)</f>
        <v>35283.9</v>
      </c>
    </row>
    <row r="37" spans="1:7" x14ac:dyDescent="0.25">
      <c r="A37" t="s">
        <v>78</v>
      </c>
    </row>
    <row r="38" spans="1:7" x14ac:dyDescent="0.25">
      <c r="A38" t="s">
        <v>88</v>
      </c>
    </row>
  </sheetData>
  <mergeCells count="1">
    <mergeCell ref="B6:I6"/>
  </mergeCells>
  <phoneticPr fontId="2"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X32"/>
  <sheetViews>
    <sheetView topLeftCell="A7" workbookViewId="0">
      <selection activeCell="T73" sqref="T73"/>
    </sheetView>
  </sheetViews>
  <sheetFormatPr defaultRowHeight="15" x14ac:dyDescent="0.25"/>
  <cols>
    <col min="1" max="1" width="71.28515625" bestFit="1" customWidth="1"/>
    <col min="2" max="2" width="18.85546875" customWidth="1"/>
  </cols>
  <sheetData>
    <row r="1" spans="1:24" x14ac:dyDescent="0.25">
      <c r="A1" s="37" t="s">
        <v>151</v>
      </c>
      <c r="B1" s="28" t="s">
        <v>99</v>
      </c>
      <c r="C1" s="28"/>
      <c r="D1" s="28"/>
      <c r="E1" s="28"/>
      <c r="F1" s="28"/>
      <c r="G1" s="28"/>
      <c r="H1" s="28"/>
      <c r="I1" s="28"/>
      <c r="J1" s="28"/>
      <c r="K1" s="28"/>
      <c r="L1" s="28"/>
      <c r="M1" s="28"/>
      <c r="Q1" s="32"/>
      <c r="R1" s="32"/>
      <c r="S1" s="32"/>
      <c r="T1" s="32"/>
      <c r="U1" s="32"/>
      <c r="V1" s="32"/>
    </row>
    <row r="2" spans="1:24" x14ac:dyDescent="0.25">
      <c r="A2" s="4"/>
      <c r="B2" s="32" t="s">
        <v>14</v>
      </c>
      <c r="C2" s="32"/>
      <c r="D2" s="32"/>
      <c r="E2" s="32"/>
      <c r="F2" s="32"/>
      <c r="G2" s="32"/>
      <c r="H2" s="32"/>
      <c r="I2" s="32"/>
      <c r="J2" s="32"/>
      <c r="K2" s="32"/>
      <c r="L2" s="32"/>
      <c r="M2" s="32"/>
      <c r="Q2" s="32" t="s">
        <v>96</v>
      </c>
      <c r="R2" s="32" t="s">
        <v>3</v>
      </c>
      <c r="S2" s="32" t="s">
        <v>308</v>
      </c>
      <c r="T2" s="32"/>
      <c r="U2" s="32" t="s">
        <v>96</v>
      </c>
      <c r="V2" s="32" t="s">
        <v>0</v>
      </c>
      <c r="W2" s="32">
        <f>MATCH(V2,Table!$A:$A,0)</f>
        <v>3</v>
      </c>
      <c r="X2" t="s">
        <v>113</v>
      </c>
    </row>
    <row r="3" spans="1:24" x14ac:dyDescent="0.25">
      <c r="A3" s="4">
        <v>40865</v>
      </c>
      <c r="B3" s="24" t="str">
        <f ca="1">IF(ISERROR(MATCH(B$1,INDIRECT("Table!A"&amp;$U3):INDIRECT("Table!" &amp; $X$3 &amp; $U3),0)),"",INDIRECT(CONCATENATE("Table!",ADDRESS($Q3,MATCH(B$1,INDIRECT("Table!A" &amp; $U3):INDIRECT("Table!" &amp; $X$3 &amp; $U3),0)))))</f>
        <v/>
      </c>
      <c r="C3" s="24"/>
      <c r="D3" s="24"/>
      <c r="E3" s="24"/>
      <c r="F3" s="24"/>
      <c r="G3" s="24"/>
      <c r="H3" s="24"/>
      <c r="I3" s="24"/>
      <c r="J3" s="24"/>
      <c r="K3" s="24"/>
      <c r="L3" s="24"/>
      <c r="M3" s="24"/>
      <c r="Q3" s="22" t="e">
        <f>MATCH($A3,Table!$A:$A,0)+$S$2-1</f>
        <v>#N/A</v>
      </c>
      <c r="R3" s="32"/>
      <c r="S3" s="32"/>
      <c r="T3" s="32"/>
      <c r="U3" s="22" t="e">
        <f>MATCH($A3,Table!$A:$A,0)+$W$2-1</f>
        <v>#N/A</v>
      </c>
      <c r="V3" s="32"/>
      <c r="X3" t="s">
        <v>114</v>
      </c>
    </row>
    <row r="4" spans="1:24" x14ac:dyDescent="0.25">
      <c r="A4" s="4">
        <v>40864</v>
      </c>
      <c r="B4" s="24" t="str">
        <f ca="1">IF(ISERROR(MATCH(B$1,INDIRECT("Table!A"&amp;$U4):INDIRECT("Table!" &amp; $X$3 &amp; $U4),0)),"",INDIRECT(CONCATENATE("Table!",ADDRESS($Q4,MATCH(B$1,INDIRECT("Table!A" &amp; $U4):INDIRECT("Table!" &amp; $X$3 &amp; $U4),0)))))</f>
        <v/>
      </c>
      <c r="C4" s="24"/>
      <c r="D4" s="24"/>
      <c r="E4" s="24"/>
      <c r="F4" s="24"/>
      <c r="G4" s="24"/>
      <c r="H4" s="24"/>
      <c r="I4" s="24"/>
      <c r="J4" s="24"/>
      <c r="K4" s="24"/>
      <c r="L4" s="24"/>
      <c r="M4" s="24"/>
      <c r="Q4" s="22" t="e">
        <f>MATCH($A4,Table!$A:$A,0)+$S$2-1</f>
        <v>#N/A</v>
      </c>
      <c r="R4" s="32"/>
      <c r="S4" s="32"/>
      <c r="T4" s="32"/>
      <c r="U4" s="22" t="e">
        <f>MATCH($A4,Table!$A:$A,0)+$W$2-1</f>
        <v>#N/A</v>
      </c>
      <c r="V4" s="32"/>
      <c r="X4" t="s">
        <v>114</v>
      </c>
    </row>
    <row r="5" spans="1:24" x14ac:dyDescent="0.25">
      <c r="A5" s="4">
        <v>40863</v>
      </c>
      <c r="B5" s="24" t="str">
        <f ca="1">IF(ISERROR(MATCH(B$1,INDIRECT("Table!A"&amp;$U5):INDIRECT("Table!" &amp; $X$3 &amp; $U5),0)),"",INDIRECT(CONCATENATE("Table!",ADDRESS($Q5,MATCH(B$1,INDIRECT("Table!A" &amp; $U5):INDIRECT("Table!" &amp; $X$3 &amp; $U5),0)))))</f>
        <v/>
      </c>
      <c r="C5" s="24"/>
      <c r="D5" s="24"/>
      <c r="E5" s="24"/>
      <c r="F5" s="24"/>
      <c r="G5" s="24"/>
      <c r="H5" s="24"/>
      <c r="I5" s="24"/>
      <c r="J5" s="24"/>
      <c r="K5" s="24"/>
      <c r="L5" s="24"/>
      <c r="M5" s="24"/>
      <c r="Q5" s="22" t="e">
        <f>MATCH($A5,Table!$A:$A,0)+$S$2-1</f>
        <v>#N/A</v>
      </c>
      <c r="R5" s="32"/>
      <c r="S5" s="32"/>
      <c r="T5" s="32"/>
      <c r="U5" s="22" t="e">
        <f>MATCH($A5,Table!$A:$A,0)+$W$2-1</f>
        <v>#N/A</v>
      </c>
      <c r="V5" s="32"/>
      <c r="X5" t="s">
        <v>114</v>
      </c>
    </row>
    <row r="6" spans="1:24" x14ac:dyDescent="0.25">
      <c r="A6" s="4"/>
      <c r="B6" s="24"/>
      <c r="C6" s="24"/>
      <c r="D6" s="24"/>
      <c r="E6" s="24"/>
      <c r="F6" s="24"/>
      <c r="G6" s="24"/>
      <c r="H6" s="24"/>
      <c r="I6" s="24"/>
      <c r="J6" s="24"/>
      <c r="K6" s="24"/>
      <c r="L6" s="24"/>
      <c r="M6" s="24"/>
      <c r="Q6" s="22"/>
      <c r="R6" s="32"/>
      <c r="S6" s="32"/>
      <c r="T6" s="32"/>
      <c r="U6" s="22"/>
      <c r="V6" s="32"/>
    </row>
    <row r="7" spans="1:24" s="35" customFormat="1" x14ac:dyDescent="0.25"/>
    <row r="8" spans="1:24" x14ac:dyDescent="0.25">
      <c r="A8" s="38" t="s">
        <v>150</v>
      </c>
      <c r="B8" t="s">
        <v>130</v>
      </c>
      <c r="C8" t="s">
        <v>131</v>
      </c>
    </row>
    <row r="9" spans="1:24" ht="30" customHeight="1" x14ac:dyDescent="0.25">
      <c r="A9" t="s">
        <v>115</v>
      </c>
      <c r="B9" s="24" t="str">
        <f ca="1">IF(ISERROR(MATCH(B$1,INDIRECT("Table!A"&amp;$U3):INDIRECT("Table!" &amp; $X$5 &amp; $U3),0)),"",INDIRECT(CONCATENATE("Table!",ADDRESS($Q3,MATCH(B$1,INDIRECT("Table!A" &amp; $U3):INDIRECT("Table!" &amp; $X$5 &amp; $U3),0)))))</f>
        <v/>
      </c>
      <c r="C9" s="1082" t="s">
        <v>117</v>
      </c>
      <c r="D9" s="1082"/>
      <c r="E9" s="1082"/>
      <c r="F9" s="1082"/>
      <c r="G9" s="1082"/>
      <c r="H9" s="1082"/>
      <c r="I9" s="1082"/>
      <c r="J9" s="1082"/>
      <c r="K9" s="1082"/>
      <c r="L9" s="1082"/>
      <c r="M9" s="1082"/>
      <c r="N9" s="1082"/>
      <c r="O9" s="1082"/>
      <c r="P9" s="15"/>
    </row>
    <row r="10" spans="1:24" x14ac:dyDescent="0.25">
      <c r="A10" t="s">
        <v>124</v>
      </c>
      <c r="B10" s="32" t="b">
        <f ca="1">ISERROR(MATCH(B$1,INDIRECT("Table!A"&amp;$U3):INDIRECT("Table!" &amp; $X$3 &amp; $U3),0))</f>
        <v>1</v>
      </c>
      <c r="C10" t="s">
        <v>123</v>
      </c>
    </row>
    <row r="11" spans="1:24" x14ac:dyDescent="0.25">
      <c r="A11" t="s">
        <v>125</v>
      </c>
      <c r="B11" s="24" t="e">
        <f ca="1">INDIRECT(CONCATENATE("Table!",ADDRESS($Q3,MATCH(B$1,INDIRECT("Table!A" &amp; $U3):INDIRECT("Table!" &amp; $X$5 &amp; $U3),0))))</f>
        <v>#N/A</v>
      </c>
      <c r="C11" t="s">
        <v>118</v>
      </c>
    </row>
    <row r="12" spans="1:24" x14ac:dyDescent="0.25">
      <c r="A12" t="s">
        <v>126</v>
      </c>
      <c r="B12" s="32" t="e">
        <f ca="1">CONCATENATE("Table!",ADDRESS($Q3,MATCH(B$1,INDIRECT("Table!A" &amp; $U3):INDIRECT("Table!" &amp; $X$5 &amp; $U3),0)))</f>
        <v>#N/A</v>
      </c>
      <c r="C12" t="s">
        <v>119</v>
      </c>
    </row>
    <row r="13" spans="1:24" x14ac:dyDescent="0.25">
      <c r="A13" t="s">
        <v>126</v>
      </c>
      <c r="B13" s="32" t="e">
        <f ca="1">ADDRESS($Q3,MATCH(B$1,INDIRECT("Table!A" &amp; $U3):INDIRECT("Table!" &amp; $X$5 &amp; $U3),0))</f>
        <v>#N/A</v>
      </c>
      <c r="C13" t="s">
        <v>120</v>
      </c>
    </row>
    <row r="14" spans="1:24" x14ac:dyDescent="0.25">
      <c r="A14" t="s">
        <v>127</v>
      </c>
      <c r="B14" s="32" t="e">
        <f ca="1">MATCH(B$1,INDIRECT("Table!A" &amp; $U3):INDIRECT("Table!" &amp; $X$5 &amp; $U3),0)</f>
        <v>#N/A</v>
      </c>
      <c r="C14" t="s">
        <v>121</v>
      </c>
    </row>
    <row r="15" spans="1:24" x14ac:dyDescent="0.25">
      <c r="A15" t="s">
        <v>128</v>
      </c>
      <c r="B15" s="32" t="e">
        <f ca="1">INDIRECT("Table!A" &amp; $U3)</f>
        <v>#N/A</v>
      </c>
      <c r="C15" t="s">
        <v>116</v>
      </c>
    </row>
    <row r="16" spans="1:24" x14ac:dyDescent="0.25">
      <c r="A16" t="s">
        <v>129</v>
      </c>
      <c r="B16" s="32" t="e">
        <f ca="1">INDIRECT("Table!" &amp; $X$5 &amp; $U3)</f>
        <v>#N/A</v>
      </c>
      <c r="C16" t="s">
        <v>122</v>
      </c>
    </row>
    <row r="17" spans="1:2" x14ac:dyDescent="0.25">
      <c r="B17" s="32"/>
    </row>
    <row r="18" spans="1:2" x14ac:dyDescent="0.25">
      <c r="B18" s="32"/>
    </row>
    <row r="19" spans="1:2" x14ac:dyDescent="0.25">
      <c r="A19" s="38" t="s">
        <v>152</v>
      </c>
      <c r="B19" s="32"/>
    </row>
    <row r="20" spans="1:2" x14ac:dyDescent="0.25">
      <c r="A20" t="s">
        <v>133</v>
      </c>
      <c r="B20" s="13" t="s">
        <v>143</v>
      </c>
    </row>
    <row r="21" spans="1:2" x14ac:dyDescent="0.25">
      <c r="A21" t="s">
        <v>132</v>
      </c>
      <c r="B21" s="13" t="s">
        <v>139</v>
      </c>
    </row>
    <row r="22" spans="1:2" x14ac:dyDescent="0.25">
      <c r="A22" t="s">
        <v>134</v>
      </c>
      <c r="B22" s="13" t="s">
        <v>140</v>
      </c>
    </row>
    <row r="23" spans="1:2" x14ac:dyDescent="0.25">
      <c r="A23" t="s">
        <v>135</v>
      </c>
      <c r="B23" s="13" t="s">
        <v>144</v>
      </c>
    </row>
    <row r="24" spans="1:2" x14ac:dyDescent="0.25">
      <c r="A24" t="s">
        <v>136</v>
      </c>
      <c r="B24" s="13" t="s">
        <v>141</v>
      </c>
    </row>
    <row r="25" spans="1:2" x14ac:dyDescent="0.25">
      <c r="A25" t="s">
        <v>137</v>
      </c>
      <c r="B25" s="13" t="s">
        <v>142</v>
      </c>
    </row>
    <row r="26" spans="1:2" x14ac:dyDescent="0.25">
      <c r="A26" t="s">
        <v>138</v>
      </c>
      <c r="B26" s="13" t="s">
        <v>145</v>
      </c>
    </row>
    <row r="27" spans="1:2" x14ac:dyDescent="0.25">
      <c r="B27" s="13"/>
    </row>
    <row r="28" spans="1:2" x14ac:dyDescent="0.25">
      <c r="A28" s="38" t="s">
        <v>153</v>
      </c>
      <c r="B28" s="13"/>
    </row>
    <row r="29" spans="1:2" ht="60" x14ac:dyDescent="0.25">
      <c r="A29" s="34" t="s">
        <v>149</v>
      </c>
    </row>
    <row r="30" spans="1:2" x14ac:dyDescent="0.25">
      <c r="A30" t="s">
        <v>146</v>
      </c>
    </row>
    <row r="31" spans="1:2" x14ac:dyDescent="0.25">
      <c r="A31" t="s">
        <v>147</v>
      </c>
    </row>
    <row r="32" spans="1:2" ht="30" x14ac:dyDescent="0.25">
      <c r="A32" s="34" t="s">
        <v>148</v>
      </c>
    </row>
  </sheetData>
  <mergeCells count="1">
    <mergeCell ref="C9:O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S20"/>
  <sheetViews>
    <sheetView workbookViewId="0">
      <selection activeCell="T73" sqref="T73"/>
    </sheetView>
  </sheetViews>
  <sheetFormatPr defaultRowHeight="15" x14ac:dyDescent="0.2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9" x14ac:dyDescent="0.25">
      <c r="B1" t="s">
        <v>27</v>
      </c>
      <c r="C1" t="s">
        <v>28</v>
      </c>
      <c r="D1" t="s">
        <v>29</v>
      </c>
      <c r="E1" t="s">
        <v>29</v>
      </c>
      <c r="F1" t="s">
        <v>30</v>
      </c>
      <c r="H1" s="1083" t="s">
        <v>75</v>
      </c>
      <c r="I1" s="1083"/>
      <c r="J1" s="1083"/>
    </row>
    <row r="2" spans="1:19" x14ac:dyDescent="0.25">
      <c r="A2" t="s">
        <v>31</v>
      </c>
      <c r="B2" t="s">
        <v>32</v>
      </c>
      <c r="C2" t="s">
        <v>32</v>
      </c>
      <c r="D2" t="s">
        <v>33</v>
      </c>
      <c r="E2" t="s">
        <v>34</v>
      </c>
      <c r="F2" t="s">
        <v>35</v>
      </c>
      <c r="H2" t="s">
        <v>73</v>
      </c>
      <c r="I2" t="s">
        <v>34</v>
      </c>
      <c r="J2" t="s">
        <v>74</v>
      </c>
      <c r="S2" t="s">
        <v>308</v>
      </c>
    </row>
    <row r="3" spans="1:19" x14ac:dyDescent="0.25">
      <c r="A3" t="s">
        <v>36</v>
      </c>
      <c r="B3" s="6" t="s">
        <v>37</v>
      </c>
      <c r="C3" s="6" t="s">
        <v>37</v>
      </c>
      <c r="D3" s="6" t="s">
        <v>37</v>
      </c>
      <c r="E3" s="6" t="s">
        <v>39</v>
      </c>
      <c r="F3" s="6" t="s">
        <v>40</v>
      </c>
    </row>
    <row r="4" spans="1:19" x14ac:dyDescent="0.25">
      <c r="A4" t="s">
        <v>57</v>
      </c>
      <c r="B4" s="8">
        <v>2</v>
      </c>
      <c r="C4" s="8">
        <v>2</v>
      </c>
      <c r="D4" s="8">
        <v>2</v>
      </c>
      <c r="E4" s="8">
        <v>20</v>
      </c>
      <c r="F4" s="8">
        <v>674</v>
      </c>
      <c r="H4" s="9">
        <f>IF(I4&lt;0,"0",IF(J4&lt;0,"0",D$20-D4))</f>
        <v>14</v>
      </c>
      <c r="I4">
        <f>E$20-E4</f>
        <v>235</v>
      </c>
      <c r="J4">
        <f>F$20-F4</f>
        <v>11326</v>
      </c>
    </row>
    <row r="5" spans="1:19" x14ac:dyDescent="0.25">
      <c r="A5" t="s">
        <v>58</v>
      </c>
      <c r="B5" s="8">
        <v>2</v>
      </c>
      <c r="C5" s="8">
        <v>2</v>
      </c>
      <c r="D5" s="8">
        <v>2</v>
      </c>
      <c r="E5" s="8">
        <v>29</v>
      </c>
      <c r="F5" s="8">
        <v>977</v>
      </c>
      <c r="H5" s="9">
        <f t="shared" ref="H5:H17" si="0">IF(I5&lt;0,"0",IF(J5&lt;0,"0",D$20-D5))</f>
        <v>14</v>
      </c>
      <c r="I5">
        <f t="shared" ref="I5:I17" si="1">E$20-E5</f>
        <v>226</v>
      </c>
      <c r="J5">
        <f t="shared" ref="J5:J17" si="2">F$20-F5</f>
        <v>11023</v>
      </c>
    </row>
    <row r="6" spans="1:19" x14ac:dyDescent="0.25">
      <c r="A6" t="s">
        <v>59</v>
      </c>
      <c r="B6" s="8">
        <v>2</v>
      </c>
      <c r="C6" s="8">
        <v>3</v>
      </c>
      <c r="D6" s="8">
        <v>3</v>
      </c>
      <c r="E6" s="8">
        <v>38</v>
      </c>
      <c r="F6" s="8">
        <v>1281</v>
      </c>
      <c r="H6" s="9">
        <f t="shared" si="0"/>
        <v>13</v>
      </c>
      <c r="I6">
        <f t="shared" si="1"/>
        <v>217</v>
      </c>
      <c r="J6">
        <f t="shared" si="2"/>
        <v>10719</v>
      </c>
    </row>
    <row r="7" spans="1:19" x14ac:dyDescent="0.25">
      <c r="A7" t="s">
        <v>60</v>
      </c>
      <c r="B7" s="8">
        <v>2</v>
      </c>
      <c r="C7" s="8">
        <v>2</v>
      </c>
      <c r="D7" s="8">
        <v>3</v>
      </c>
      <c r="E7" s="8">
        <v>131</v>
      </c>
      <c r="F7" s="8">
        <v>32502</v>
      </c>
      <c r="H7" s="9" t="str">
        <f t="shared" si="0"/>
        <v>0</v>
      </c>
      <c r="I7">
        <f t="shared" si="1"/>
        <v>124</v>
      </c>
      <c r="J7">
        <f t="shared" si="2"/>
        <v>-20502</v>
      </c>
    </row>
    <row r="8" spans="1:19" x14ac:dyDescent="0.25">
      <c r="A8" t="s">
        <v>61</v>
      </c>
      <c r="B8" s="8">
        <v>2</v>
      </c>
      <c r="C8" s="8">
        <v>3</v>
      </c>
      <c r="D8" s="8">
        <v>3</v>
      </c>
      <c r="E8" s="8">
        <v>132</v>
      </c>
      <c r="F8" s="8">
        <v>4450</v>
      </c>
      <c r="H8" s="9">
        <f t="shared" si="0"/>
        <v>13</v>
      </c>
      <c r="I8">
        <f t="shared" si="1"/>
        <v>123</v>
      </c>
      <c r="J8">
        <f t="shared" si="2"/>
        <v>7550</v>
      </c>
    </row>
    <row r="9" spans="1:19" x14ac:dyDescent="0.25">
      <c r="A9" t="s">
        <v>62</v>
      </c>
      <c r="B9" s="8">
        <v>2</v>
      </c>
      <c r="C9" s="8">
        <v>2</v>
      </c>
      <c r="D9" s="8">
        <v>4</v>
      </c>
      <c r="E9" s="8">
        <v>21</v>
      </c>
      <c r="F9" s="8">
        <v>4956</v>
      </c>
      <c r="H9" s="9">
        <f t="shared" si="0"/>
        <v>12</v>
      </c>
      <c r="I9">
        <f t="shared" si="1"/>
        <v>234</v>
      </c>
      <c r="J9">
        <f t="shared" si="2"/>
        <v>7044</v>
      </c>
    </row>
    <row r="10" spans="1:19" x14ac:dyDescent="0.25">
      <c r="A10" t="s">
        <v>63</v>
      </c>
      <c r="B10" s="8">
        <v>2</v>
      </c>
      <c r="C10" s="8">
        <v>4</v>
      </c>
      <c r="D10" s="8">
        <v>4</v>
      </c>
      <c r="E10" s="8">
        <v>35</v>
      </c>
      <c r="F10" s="8">
        <v>1180</v>
      </c>
      <c r="H10" s="9">
        <f t="shared" si="0"/>
        <v>12</v>
      </c>
      <c r="I10">
        <f t="shared" si="1"/>
        <v>220</v>
      </c>
      <c r="J10">
        <f t="shared" si="2"/>
        <v>10820</v>
      </c>
    </row>
    <row r="11" spans="1:19" x14ac:dyDescent="0.25">
      <c r="A11" t="s">
        <v>64</v>
      </c>
      <c r="B11" s="8">
        <v>2</v>
      </c>
      <c r="C11" s="8">
        <v>3</v>
      </c>
      <c r="D11" s="8">
        <v>4</v>
      </c>
      <c r="E11" s="8">
        <v>37</v>
      </c>
      <c r="F11" s="8">
        <v>1247</v>
      </c>
      <c r="H11" s="9">
        <f t="shared" si="0"/>
        <v>12</v>
      </c>
      <c r="I11">
        <f t="shared" si="1"/>
        <v>218</v>
      </c>
      <c r="J11">
        <f t="shared" si="2"/>
        <v>10753</v>
      </c>
    </row>
    <row r="12" spans="1:19" x14ac:dyDescent="0.25">
      <c r="A12" t="s">
        <v>65</v>
      </c>
      <c r="B12" s="8">
        <v>2</v>
      </c>
      <c r="C12" s="8">
        <v>3</v>
      </c>
      <c r="D12" s="8">
        <v>4</v>
      </c>
      <c r="E12" s="8">
        <v>43</v>
      </c>
      <c r="F12" s="8">
        <v>1449</v>
      </c>
      <c r="H12" s="9">
        <f t="shared" si="0"/>
        <v>12</v>
      </c>
      <c r="I12">
        <f t="shared" si="1"/>
        <v>212</v>
      </c>
      <c r="J12">
        <f t="shared" si="2"/>
        <v>10551</v>
      </c>
    </row>
    <row r="13" spans="1:19" x14ac:dyDescent="0.25">
      <c r="A13" t="s">
        <v>66</v>
      </c>
      <c r="B13" s="8">
        <v>2</v>
      </c>
      <c r="C13" s="8">
        <v>3</v>
      </c>
      <c r="D13" s="8">
        <v>5</v>
      </c>
      <c r="E13" s="8">
        <v>129</v>
      </c>
      <c r="F13" s="8">
        <v>32435</v>
      </c>
      <c r="H13" s="9" t="str">
        <f t="shared" si="0"/>
        <v>0</v>
      </c>
      <c r="I13">
        <f t="shared" si="1"/>
        <v>126</v>
      </c>
      <c r="J13">
        <f t="shared" si="2"/>
        <v>-20435</v>
      </c>
    </row>
    <row r="14" spans="1:19" x14ac:dyDescent="0.25">
      <c r="A14" t="s">
        <v>67</v>
      </c>
      <c r="B14" s="8">
        <v>2</v>
      </c>
      <c r="C14" s="8">
        <v>3</v>
      </c>
      <c r="D14" s="8">
        <v>5</v>
      </c>
      <c r="E14" s="8">
        <v>151</v>
      </c>
      <c r="F14" s="8">
        <v>32098</v>
      </c>
      <c r="H14" s="9" t="str">
        <f t="shared" si="0"/>
        <v>0</v>
      </c>
      <c r="I14">
        <f t="shared" si="1"/>
        <v>104</v>
      </c>
      <c r="J14">
        <f t="shared" si="2"/>
        <v>-20098</v>
      </c>
    </row>
    <row r="15" spans="1:19" x14ac:dyDescent="0.25">
      <c r="A15" t="s">
        <v>68</v>
      </c>
      <c r="B15" s="8">
        <v>2</v>
      </c>
      <c r="C15" s="8">
        <v>3</v>
      </c>
      <c r="D15" s="8">
        <v>5</v>
      </c>
      <c r="E15" s="8">
        <v>155</v>
      </c>
      <c r="F15" s="8">
        <v>33312</v>
      </c>
      <c r="H15" s="9" t="str">
        <f t="shared" si="0"/>
        <v>0</v>
      </c>
      <c r="I15">
        <f t="shared" si="1"/>
        <v>100</v>
      </c>
      <c r="J15">
        <f t="shared" si="2"/>
        <v>-21312</v>
      </c>
    </row>
    <row r="16" spans="1:19" x14ac:dyDescent="0.25">
      <c r="A16" t="s">
        <v>69</v>
      </c>
      <c r="B16" s="8">
        <v>2</v>
      </c>
      <c r="C16" s="8">
        <v>2</v>
      </c>
      <c r="D16" s="8">
        <v>8</v>
      </c>
      <c r="E16" s="8">
        <v>44</v>
      </c>
      <c r="F16" s="8">
        <v>10452</v>
      </c>
      <c r="H16" s="9">
        <f t="shared" si="0"/>
        <v>8</v>
      </c>
      <c r="I16">
        <f t="shared" si="1"/>
        <v>211</v>
      </c>
      <c r="J16">
        <f t="shared" si="2"/>
        <v>1548</v>
      </c>
    </row>
    <row r="17" spans="1:13" x14ac:dyDescent="0.25">
      <c r="A17" t="s">
        <v>70</v>
      </c>
      <c r="B17" s="8">
        <v>2</v>
      </c>
      <c r="C17" s="8">
        <v>5</v>
      </c>
      <c r="D17" s="8">
        <v>8</v>
      </c>
      <c r="E17" s="8">
        <v>144</v>
      </c>
      <c r="F17" s="8">
        <v>4855</v>
      </c>
      <c r="H17" s="9">
        <f t="shared" si="0"/>
        <v>8</v>
      </c>
      <c r="I17">
        <f t="shared" si="1"/>
        <v>111</v>
      </c>
      <c r="J17">
        <f t="shared" si="2"/>
        <v>7145</v>
      </c>
    </row>
    <row r="18" spans="1:13" x14ac:dyDescent="0.25">
      <c r="G18" t="s">
        <v>76</v>
      </c>
      <c r="H18">
        <f>SUMIF(H4:H17,"&gt;0",H4:H17)</f>
        <v>118</v>
      </c>
      <c r="I18">
        <f>SUMIF(I4:I17,"&gt;0",I4:I17)</f>
        <v>2461</v>
      </c>
      <c r="J18">
        <f>SUMIF(J4:J17,"&gt;0",J4:J17)</f>
        <v>88479</v>
      </c>
    </row>
    <row r="20" spans="1:13" ht="72" customHeight="1" x14ac:dyDescent="0.25">
      <c r="A20" s="7" t="s">
        <v>71</v>
      </c>
      <c r="D20" s="8">
        <v>16</v>
      </c>
      <c r="E20" s="8">
        <v>255</v>
      </c>
      <c r="F20" s="8">
        <v>12000</v>
      </c>
      <c r="G20" s="1081" t="s">
        <v>72</v>
      </c>
      <c r="H20" s="1081"/>
      <c r="I20" s="1081"/>
      <c r="J20" s="1081"/>
      <c r="K20" s="1081"/>
      <c r="L20" s="1081"/>
      <c r="M20" s="1081"/>
    </row>
  </sheetData>
  <mergeCells count="2">
    <mergeCell ref="G20:M20"/>
    <mergeCell ref="H1:J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S22"/>
  <sheetViews>
    <sheetView workbookViewId="0">
      <selection activeCell="T73" sqref="T73"/>
    </sheetView>
  </sheetViews>
  <sheetFormatPr defaultRowHeight="15" x14ac:dyDescent="0.2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9" x14ac:dyDescent="0.25">
      <c r="B1" t="s">
        <v>27</v>
      </c>
      <c r="C1" t="s">
        <v>28</v>
      </c>
      <c r="D1" t="s">
        <v>29</v>
      </c>
      <c r="E1" t="s">
        <v>29</v>
      </c>
      <c r="F1" t="s">
        <v>30</v>
      </c>
      <c r="H1" s="1083" t="s">
        <v>75</v>
      </c>
      <c r="I1" s="1083"/>
      <c r="J1" s="1083"/>
    </row>
    <row r="2" spans="1:19" x14ac:dyDescent="0.25">
      <c r="A2" t="s">
        <v>31</v>
      </c>
      <c r="B2" t="s">
        <v>32</v>
      </c>
      <c r="C2" t="s">
        <v>32</v>
      </c>
      <c r="D2" t="s">
        <v>33</v>
      </c>
      <c r="E2" t="s">
        <v>34</v>
      </c>
      <c r="F2" t="s">
        <v>35</v>
      </c>
      <c r="H2" t="s">
        <v>73</v>
      </c>
      <c r="I2" t="s">
        <v>34</v>
      </c>
      <c r="J2" t="s">
        <v>74</v>
      </c>
      <c r="S2" t="s">
        <v>308</v>
      </c>
    </row>
    <row r="3" spans="1:19" x14ac:dyDescent="0.25">
      <c r="A3" t="s">
        <v>36</v>
      </c>
      <c r="B3" s="6" t="s">
        <v>37</v>
      </c>
      <c r="C3" s="6" t="s">
        <v>37</v>
      </c>
      <c r="D3" s="6" t="s">
        <v>38</v>
      </c>
      <c r="E3" s="6" t="s">
        <v>39</v>
      </c>
      <c r="F3" s="6" t="s">
        <v>40</v>
      </c>
    </row>
    <row r="4" spans="1:19" x14ac:dyDescent="0.25">
      <c r="A4" t="s">
        <v>41</v>
      </c>
      <c r="B4" s="6">
        <v>2</v>
      </c>
      <c r="C4" s="6">
        <v>3</v>
      </c>
      <c r="D4" s="6">
        <v>3</v>
      </c>
      <c r="E4" s="6">
        <v>29</v>
      </c>
      <c r="F4" s="6">
        <v>977</v>
      </c>
      <c r="H4" s="9">
        <f>IF(I4&lt;0,"0",IF(J4&lt;0,"0",D$22-D4))</f>
        <v>13</v>
      </c>
      <c r="I4">
        <f>E$22-E4</f>
        <v>226</v>
      </c>
      <c r="J4">
        <f>F$22-F4</f>
        <v>11023</v>
      </c>
    </row>
    <row r="5" spans="1:19" x14ac:dyDescent="0.25">
      <c r="A5" t="s">
        <v>42</v>
      </c>
      <c r="B5" s="6">
        <v>2</v>
      </c>
      <c r="C5" s="6">
        <v>3</v>
      </c>
      <c r="D5" s="6">
        <v>3</v>
      </c>
      <c r="E5" s="6">
        <v>36</v>
      </c>
      <c r="F5" s="6">
        <v>1213</v>
      </c>
      <c r="H5" s="9">
        <f t="shared" ref="H5:H19" si="0">IF(I5&lt;0,"0",IF(J5&lt;0,"0",D$22-D5))</f>
        <v>13</v>
      </c>
      <c r="I5">
        <f t="shared" ref="I5:I19" si="1">E$22-E5</f>
        <v>219</v>
      </c>
      <c r="J5">
        <f t="shared" ref="J5:J19" si="2">F$22-F5</f>
        <v>10787</v>
      </c>
    </row>
    <row r="6" spans="1:19" x14ac:dyDescent="0.25">
      <c r="A6" t="s">
        <v>43</v>
      </c>
      <c r="B6" s="6">
        <v>2</v>
      </c>
      <c r="C6" s="6">
        <v>3</v>
      </c>
      <c r="D6" s="6">
        <v>3</v>
      </c>
      <c r="E6" s="6">
        <v>38</v>
      </c>
      <c r="F6" s="6">
        <v>1281</v>
      </c>
      <c r="H6" s="9">
        <f t="shared" si="0"/>
        <v>13</v>
      </c>
      <c r="I6">
        <f t="shared" si="1"/>
        <v>217</v>
      </c>
      <c r="J6">
        <f t="shared" si="2"/>
        <v>10719</v>
      </c>
    </row>
    <row r="7" spans="1:19" x14ac:dyDescent="0.25">
      <c r="A7" t="s">
        <v>44</v>
      </c>
      <c r="B7" s="6">
        <v>2</v>
      </c>
      <c r="C7" s="6">
        <v>3</v>
      </c>
      <c r="D7" s="6">
        <v>4</v>
      </c>
      <c r="E7" s="6">
        <v>24</v>
      </c>
      <c r="F7" s="6">
        <v>809</v>
      </c>
      <c r="H7" s="9">
        <f t="shared" si="0"/>
        <v>12</v>
      </c>
      <c r="I7">
        <f t="shared" si="1"/>
        <v>231</v>
      </c>
      <c r="J7">
        <f t="shared" si="2"/>
        <v>11191</v>
      </c>
    </row>
    <row r="8" spans="1:19" x14ac:dyDescent="0.25">
      <c r="A8" t="s">
        <v>45</v>
      </c>
      <c r="B8" s="6">
        <v>2</v>
      </c>
      <c r="C8" s="6">
        <v>4</v>
      </c>
      <c r="D8" s="6">
        <v>4</v>
      </c>
      <c r="E8" s="6">
        <v>24</v>
      </c>
      <c r="F8" s="6">
        <v>809</v>
      </c>
      <c r="H8" s="9">
        <f t="shared" si="0"/>
        <v>12</v>
      </c>
      <c r="I8">
        <f t="shared" si="1"/>
        <v>231</v>
      </c>
      <c r="J8">
        <f t="shared" si="2"/>
        <v>11191</v>
      </c>
    </row>
    <row r="9" spans="1:19" x14ac:dyDescent="0.25">
      <c r="A9" t="s">
        <v>46</v>
      </c>
      <c r="B9" s="6">
        <v>2</v>
      </c>
      <c r="C9" s="6">
        <v>3</v>
      </c>
      <c r="D9" s="6">
        <v>5</v>
      </c>
      <c r="E9" s="6">
        <v>33</v>
      </c>
      <c r="F9" s="6">
        <v>5360</v>
      </c>
      <c r="H9" s="9">
        <f t="shared" si="0"/>
        <v>11</v>
      </c>
      <c r="I9">
        <f t="shared" si="1"/>
        <v>222</v>
      </c>
      <c r="J9">
        <f t="shared" si="2"/>
        <v>6640</v>
      </c>
    </row>
    <row r="10" spans="1:19" x14ac:dyDescent="0.25">
      <c r="A10" t="s">
        <v>47</v>
      </c>
      <c r="B10" s="6">
        <v>2</v>
      </c>
      <c r="C10" s="6">
        <v>5</v>
      </c>
      <c r="D10" s="6">
        <v>5</v>
      </c>
      <c r="E10" s="6">
        <v>62</v>
      </c>
      <c r="F10" s="6">
        <v>2090</v>
      </c>
      <c r="H10" s="9">
        <f t="shared" si="0"/>
        <v>11</v>
      </c>
      <c r="I10">
        <f t="shared" si="1"/>
        <v>193</v>
      </c>
      <c r="J10">
        <f t="shared" si="2"/>
        <v>9910</v>
      </c>
    </row>
    <row r="11" spans="1:19" x14ac:dyDescent="0.25">
      <c r="A11" t="s">
        <v>48</v>
      </c>
      <c r="B11" s="6">
        <v>2</v>
      </c>
      <c r="C11" s="6">
        <v>3</v>
      </c>
      <c r="D11" s="6">
        <v>5</v>
      </c>
      <c r="E11" s="6">
        <v>159</v>
      </c>
      <c r="F11" s="6">
        <v>33447</v>
      </c>
      <c r="H11" s="9" t="str">
        <f t="shared" si="0"/>
        <v>0</v>
      </c>
      <c r="I11">
        <f t="shared" si="1"/>
        <v>96</v>
      </c>
      <c r="J11">
        <f t="shared" si="2"/>
        <v>-21447</v>
      </c>
    </row>
    <row r="12" spans="1:19" x14ac:dyDescent="0.25">
      <c r="A12" t="s">
        <v>49</v>
      </c>
      <c r="B12" s="6">
        <v>2</v>
      </c>
      <c r="C12" s="6">
        <v>6</v>
      </c>
      <c r="D12" s="6">
        <v>6</v>
      </c>
      <c r="E12" s="6">
        <v>17</v>
      </c>
      <c r="F12" s="6">
        <v>573</v>
      </c>
      <c r="H12" s="9">
        <f t="shared" si="0"/>
        <v>10</v>
      </c>
      <c r="I12">
        <f t="shared" si="1"/>
        <v>238</v>
      </c>
      <c r="J12">
        <f t="shared" si="2"/>
        <v>11427</v>
      </c>
    </row>
    <row r="13" spans="1:19" x14ac:dyDescent="0.25">
      <c r="A13" t="s">
        <v>50</v>
      </c>
      <c r="B13" s="6">
        <v>2</v>
      </c>
      <c r="C13" s="6">
        <v>6</v>
      </c>
      <c r="D13" s="6">
        <v>6</v>
      </c>
      <c r="E13" s="6">
        <v>25</v>
      </c>
      <c r="F13" s="6">
        <v>842</v>
      </c>
      <c r="H13" s="9">
        <f t="shared" si="0"/>
        <v>10</v>
      </c>
      <c r="I13">
        <f t="shared" si="1"/>
        <v>230</v>
      </c>
      <c r="J13">
        <f t="shared" si="2"/>
        <v>11158</v>
      </c>
    </row>
    <row r="14" spans="1:19" x14ac:dyDescent="0.25">
      <c r="A14" t="s">
        <v>51</v>
      </c>
      <c r="B14" s="6">
        <v>2</v>
      </c>
      <c r="C14" s="6">
        <v>4</v>
      </c>
      <c r="D14" s="6">
        <v>6</v>
      </c>
      <c r="E14" s="6">
        <v>163</v>
      </c>
      <c r="F14" s="6">
        <v>32502</v>
      </c>
      <c r="H14" s="9" t="str">
        <f t="shared" si="0"/>
        <v>0</v>
      </c>
      <c r="I14">
        <f t="shared" si="1"/>
        <v>92</v>
      </c>
      <c r="J14">
        <f t="shared" si="2"/>
        <v>-20502</v>
      </c>
    </row>
    <row r="15" spans="1:19" x14ac:dyDescent="0.25">
      <c r="A15" t="s">
        <v>52</v>
      </c>
      <c r="B15" s="6">
        <v>2</v>
      </c>
      <c r="C15" s="6">
        <v>5</v>
      </c>
      <c r="D15" s="6">
        <v>7</v>
      </c>
      <c r="E15" s="6">
        <v>28</v>
      </c>
      <c r="F15" s="6">
        <v>944</v>
      </c>
      <c r="H15" s="9">
        <f t="shared" si="0"/>
        <v>9</v>
      </c>
      <c r="I15">
        <f t="shared" si="1"/>
        <v>227</v>
      </c>
      <c r="J15">
        <f t="shared" si="2"/>
        <v>11056</v>
      </c>
    </row>
    <row r="16" spans="1:19" x14ac:dyDescent="0.25">
      <c r="A16" t="s">
        <v>53</v>
      </c>
      <c r="B16" s="6">
        <v>2</v>
      </c>
      <c r="C16" s="6">
        <v>3</v>
      </c>
      <c r="D16" s="6">
        <v>7</v>
      </c>
      <c r="E16" s="6">
        <v>262</v>
      </c>
      <c r="F16" s="6">
        <v>8833</v>
      </c>
      <c r="H16" s="9" t="str">
        <f t="shared" si="0"/>
        <v>0</v>
      </c>
      <c r="I16">
        <f t="shared" si="1"/>
        <v>-7</v>
      </c>
      <c r="J16">
        <f t="shared" si="2"/>
        <v>3167</v>
      </c>
    </row>
    <row r="17" spans="1:13" x14ac:dyDescent="0.25">
      <c r="A17" t="s">
        <v>54</v>
      </c>
      <c r="B17" s="6">
        <v>2</v>
      </c>
      <c r="C17" s="6">
        <v>5</v>
      </c>
      <c r="D17" s="6">
        <v>7</v>
      </c>
      <c r="E17" s="6">
        <v>295</v>
      </c>
      <c r="F17" s="6">
        <v>38032</v>
      </c>
      <c r="H17" s="9" t="str">
        <f t="shared" si="0"/>
        <v>0</v>
      </c>
      <c r="I17">
        <f t="shared" si="1"/>
        <v>-40</v>
      </c>
      <c r="J17">
        <f t="shared" si="2"/>
        <v>-26032</v>
      </c>
    </row>
    <row r="18" spans="1:13" x14ac:dyDescent="0.25">
      <c r="A18" t="s">
        <v>55</v>
      </c>
      <c r="B18" s="6">
        <v>2</v>
      </c>
      <c r="C18" s="6">
        <v>3</v>
      </c>
      <c r="D18" s="6">
        <v>8</v>
      </c>
      <c r="E18" s="6">
        <v>92</v>
      </c>
      <c r="F18" s="6">
        <v>12070</v>
      </c>
      <c r="H18" s="9" t="str">
        <f t="shared" si="0"/>
        <v>0</v>
      </c>
      <c r="I18">
        <f t="shared" si="1"/>
        <v>163</v>
      </c>
      <c r="J18">
        <f t="shared" si="2"/>
        <v>-70</v>
      </c>
    </row>
    <row r="19" spans="1:13" x14ac:dyDescent="0.25">
      <c r="A19" t="s">
        <v>56</v>
      </c>
      <c r="B19" s="6">
        <v>2</v>
      </c>
      <c r="C19" s="6">
        <v>3</v>
      </c>
      <c r="D19" s="6">
        <v>8</v>
      </c>
      <c r="E19" s="6">
        <v>139</v>
      </c>
      <c r="F19" s="6">
        <v>32772</v>
      </c>
      <c r="H19" s="9" t="str">
        <f t="shared" si="0"/>
        <v>0</v>
      </c>
      <c r="I19">
        <f t="shared" si="1"/>
        <v>116</v>
      </c>
      <c r="J19">
        <f t="shared" si="2"/>
        <v>-20772</v>
      </c>
    </row>
    <row r="20" spans="1:13" x14ac:dyDescent="0.25">
      <c r="G20" t="s">
        <v>76</v>
      </c>
      <c r="H20">
        <f>SUMIF(H4:H19,"&gt;0",H4:H19)</f>
        <v>114</v>
      </c>
      <c r="I20">
        <f>SUMIF(I4:I19,"&gt;0",I4:I19)</f>
        <v>2701</v>
      </c>
      <c r="J20">
        <f>SUMIF(J4:J19,"&gt;0",J4:J19)</f>
        <v>108269</v>
      </c>
    </row>
    <row r="22" spans="1:13" ht="72" customHeight="1" x14ac:dyDescent="0.25">
      <c r="A22" s="7" t="s">
        <v>71</v>
      </c>
      <c r="D22" s="8">
        <v>16</v>
      </c>
      <c r="E22" s="8">
        <v>255</v>
      </c>
      <c r="F22" s="8">
        <v>12000</v>
      </c>
      <c r="G22" s="1081" t="s">
        <v>72</v>
      </c>
      <c r="H22" s="1081"/>
      <c r="I22" s="1081"/>
      <c r="J22" s="1081"/>
      <c r="K22" s="1081"/>
      <c r="L22" s="1081"/>
      <c r="M22" s="1081"/>
    </row>
  </sheetData>
  <mergeCells count="2">
    <mergeCell ref="H1:J1"/>
    <mergeCell ref="G22:M2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
  <sheetViews>
    <sheetView workbookViewId="0">
      <selection activeCell="T73" sqref="T73"/>
    </sheetView>
  </sheetViews>
  <sheetFormatPr defaultRowHeight="15" x14ac:dyDescent="0.25"/>
  <cols>
    <col min="2" max="2" width="23.140625" bestFit="1" customWidth="1"/>
  </cols>
  <sheetData>
    <row r="1" spans="1:33" s="591" customFormat="1" ht="15.75" thickBot="1" x14ac:dyDescent="0.3">
      <c r="A1" s="1048">
        <v>41642</v>
      </c>
      <c r="B1" s="1048"/>
      <c r="C1" s="1048"/>
      <c r="D1" s="529"/>
      <c r="E1" s="529"/>
      <c r="F1" s="529"/>
      <c r="G1" s="529"/>
      <c r="H1" s="529"/>
      <c r="I1" s="525"/>
      <c r="J1" s="531"/>
      <c r="K1" s="531"/>
      <c r="L1" s="529"/>
      <c r="M1" s="529"/>
      <c r="N1" s="527"/>
      <c r="R1" s="526"/>
      <c r="S1" s="534"/>
      <c r="T1" s="534"/>
      <c r="U1" s="534"/>
      <c r="V1" s="534"/>
      <c r="W1" s="534"/>
      <c r="X1" s="534"/>
      <c r="Y1" s="534"/>
      <c r="Z1" s="534"/>
      <c r="AA1" s="1063"/>
      <c r="AB1" s="1064"/>
    </row>
    <row r="2" spans="1:33" s="591" customFormat="1" ht="15.75" thickBot="1" x14ac:dyDescent="0.3">
      <c r="A2" s="1048" t="s">
        <v>1</v>
      </c>
      <c r="B2" s="1050"/>
      <c r="C2" s="540" t="s">
        <v>12</v>
      </c>
      <c r="D2" s="539" t="s">
        <v>12</v>
      </c>
      <c r="E2" s="540" t="s">
        <v>13</v>
      </c>
      <c r="F2" s="530" t="s">
        <v>13</v>
      </c>
      <c r="G2" s="530" t="s">
        <v>13</v>
      </c>
      <c r="H2" s="530" t="s">
        <v>13</v>
      </c>
      <c r="I2" s="530" t="s">
        <v>13</v>
      </c>
      <c r="J2" s="536" t="s">
        <v>13</v>
      </c>
      <c r="K2" s="536" t="s">
        <v>13</v>
      </c>
      <c r="L2" s="539" t="s">
        <v>13</v>
      </c>
      <c r="M2" s="569" t="s">
        <v>2</v>
      </c>
      <c r="N2" s="530" t="s">
        <v>2</v>
      </c>
      <c r="O2" s="536" t="s">
        <v>2</v>
      </c>
      <c r="P2" s="530" t="s">
        <v>2</v>
      </c>
      <c r="Q2" s="536" t="s">
        <v>2</v>
      </c>
      <c r="R2" s="536" t="s">
        <v>2</v>
      </c>
      <c r="S2" s="539" t="s">
        <v>308</v>
      </c>
      <c r="T2" s="569" t="s">
        <v>183</v>
      </c>
      <c r="U2" s="570" t="s">
        <v>183</v>
      </c>
      <c r="V2" s="526"/>
      <c r="W2" s="534"/>
      <c r="X2" s="534"/>
      <c r="Y2" s="534"/>
      <c r="Z2" s="534"/>
      <c r="AA2" s="1049" t="s">
        <v>1</v>
      </c>
      <c r="AB2" s="1051"/>
      <c r="AC2" s="606" t="s">
        <v>12</v>
      </c>
      <c r="AD2" s="1052" t="s">
        <v>13</v>
      </c>
      <c r="AE2" s="1053"/>
      <c r="AF2" s="1052" t="s">
        <v>2</v>
      </c>
      <c r="AG2" s="1053"/>
    </row>
    <row r="3" spans="1:33" s="591" customFormat="1" ht="15.75" thickBot="1" x14ac:dyDescent="0.3">
      <c r="A3" s="1054" t="s">
        <v>0</v>
      </c>
      <c r="B3" s="1066"/>
      <c r="C3" s="298" t="s">
        <v>99</v>
      </c>
      <c r="D3" s="291" t="s">
        <v>100</v>
      </c>
      <c r="E3" s="298" t="s">
        <v>101</v>
      </c>
      <c r="F3" s="503" t="s">
        <v>102</v>
      </c>
      <c r="G3" s="503" t="s">
        <v>97</v>
      </c>
      <c r="H3" s="503" t="s">
        <v>104</v>
      </c>
      <c r="I3" s="503" t="s">
        <v>103</v>
      </c>
      <c r="J3" s="521" t="s">
        <v>178</v>
      </c>
      <c r="K3" s="521" t="s">
        <v>199</v>
      </c>
      <c r="L3" s="517" t="s">
        <v>206</v>
      </c>
      <c r="M3" s="298" t="s">
        <v>105</v>
      </c>
      <c r="N3" s="503" t="s">
        <v>107</v>
      </c>
      <c r="O3" s="505" t="s">
        <v>98</v>
      </c>
      <c r="P3" s="516" t="s">
        <v>106</v>
      </c>
      <c r="Q3" s="505" t="s">
        <v>179</v>
      </c>
      <c r="R3" s="505" t="s">
        <v>198</v>
      </c>
      <c r="S3" s="291" t="s">
        <v>207</v>
      </c>
      <c r="T3" s="317" t="s">
        <v>182</v>
      </c>
      <c r="U3" s="291" t="s">
        <v>184</v>
      </c>
      <c r="V3" s="526"/>
      <c r="W3" s="526"/>
      <c r="X3" s="526"/>
      <c r="Y3" s="526"/>
      <c r="Z3" s="526"/>
      <c r="AA3" s="1054" t="s">
        <v>0</v>
      </c>
      <c r="AB3" s="1067"/>
      <c r="AC3" s="317" t="s">
        <v>99</v>
      </c>
      <c r="AD3" s="298" t="s">
        <v>104</v>
      </c>
      <c r="AE3" s="291" t="s">
        <v>206</v>
      </c>
      <c r="AF3" s="396" t="s">
        <v>107</v>
      </c>
      <c r="AG3" s="392" t="s">
        <v>207</v>
      </c>
    </row>
    <row r="4" spans="1:33" s="591" customFormat="1" ht="30" x14ac:dyDescent="0.25">
      <c r="A4" s="1057" t="s">
        <v>9</v>
      </c>
      <c r="B4" s="528" t="s">
        <v>4</v>
      </c>
      <c r="C4" s="541">
        <f>143393+ 97433.6</f>
        <v>240826.6</v>
      </c>
      <c r="D4" s="538">
        <v>150516.70000000001</v>
      </c>
      <c r="E4" s="541">
        <v>150516.70000000001</v>
      </c>
      <c r="F4" s="533">
        <v>181998.8</v>
      </c>
      <c r="G4" s="533">
        <v>165453.5</v>
      </c>
      <c r="H4" s="533">
        <f>132132.9+243584</f>
        <v>375716.9</v>
      </c>
      <c r="I4" s="533">
        <v>170968.6</v>
      </c>
      <c r="J4" s="537">
        <v>165453.5</v>
      </c>
      <c r="K4" s="537">
        <v>92411.6</v>
      </c>
      <c r="L4" s="538">
        <f>83196.1+132070.4</f>
        <v>215266.5</v>
      </c>
      <c r="M4" s="541">
        <v>193029.1</v>
      </c>
      <c r="N4" s="533">
        <f>132132.9+292299.3</f>
        <v>424432.19999999995</v>
      </c>
      <c r="O4" s="533">
        <v>82726.600000000006</v>
      </c>
      <c r="P4" s="533">
        <v>275755</v>
      </c>
      <c r="Q4" s="537">
        <v>82726.600000000006</v>
      </c>
      <c r="R4" s="537">
        <v>188981.6</v>
      </c>
      <c r="S4" s="538">
        <f>83196.1+132070.4</f>
        <v>215266.5</v>
      </c>
      <c r="T4" s="544">
        <v>55151</v>
      </c>
      <c r="U4" s="538">
        <v>33090.5</v>
      </c>
      <c r="V4" s="534"/>
      <c r="W4" s="534"/>
      <c r="X4" s="534"/>
      <c r="Y4" s="534"/>
      <c r="Z4" s="534"/>
      <c r="AA4" s="603" t="s">
        <v>194</v>
      </c>
      <c r="AB4" s="524" t="s">
        <v>4</v>
      </c>
      <c r="AC4" s="544">
        <v>143393</v>
      </c>
      <c r="AD4" s="541">
        <v>132132</v>
      </c>
      <c r="AE4" s="538">
        <v>83196.100000000006</v>
      </c>
      <c r="AF4" s="552">
        <v>132132.20000000001</v>
      </c>
      <c r="AG4" s="551">
        <v>83196.100000000006</v>
      </c>
    </row>
    <row r="5" spans="1:33" s="591" customFormat="1" x14ac:dyDescent="0.25">
      <c r="A5" s="1058"/>
      <c r="B5" s="497" t="s">
        <v>5</v>
      </c>
      <c r="C5" s="572">
        <f>51964+38973</f>
        <v>90937</v>
      </c>
      <c r="D5" s="571">
        <v>81938.2</v>
      </c>
      <c r="E5" s="572">
        <v>82028</v>
      </c>
      <c r="F5" s="576">
        <v>155624</v>
      </c>
      <c r="G5" s="576">
        <v>110303</v>
      </c>
      <c r="H5" s="576">
        <f>58542.3+124350.5</f>
        <v>182892.79999999999</v>
      </c>
      <c r="I5" s="576">
        <v>110932</v>
      </c>
      <c r="J5" s="577">
        <v>29896.7</v>
      </c>
      <c r="K5" s="577">
        <v>57862.5</v>
      </c>
      <c r="L5" s="571">
        <f xml:space="preserve"> 2519.1+3817.1</f>
        <v>6336.2</v>
      </c>
      <c r="M5" s="572">
        <v>169074</v>
      </c>
      <c r="N5" s="576">
        <f>70731+109009</f>
        <v>179740</v>
      </c>
      <c r="O5" s="576">
        <v>56572</v>
      </c>
      <c r="P5" s="576">
        <v>203947</v>
      </c>
      <c r="Q5" s="577">
        <v>15547</v>
      </c>
      <c r="R5" s="577">
        <v>93035</v>
      </c>
      <c r="S5" s="571">
        <f>31444.9+33401.9</f>
        <v>64846.8</v>
      </c>
      <c r="T5" s="580">
        <v>13770</v>
      </c>
      <c r="U5" s="571">
        <v>6998</v>
      </c>
      <c r="V5" s="534"/>
      <c r="W5" s="534"/>
      <c r="X5" s="534"/>
      <c r="Y5" s="534"/>
      <c r="Z5" s="534"/>
      <c r="AA5" s="604"/>
      <c r="AB5" s="496" t="s">
        <v>5</v>
      </c>
      <c r="AC5" s="319">
        <v>51964.9</v>
      </c>
      <c r="AD5" s="300">
        <v>58542</v>
      </c>
      <c r="AE5" s="513">
        <v>2519</v>
      </c>
      <c r="AF5" s="398">
        <v>70731</v>
      </c>
      <c r="AG5" s="394">
        <v>31444.9</v>
      </c>
    </row>
    <row r="6" spans="1:33" s="591" customFormat="1" ht="15.75" thickBot="1" x14ac:dyDescent="0.3">
      <c r="A6" s="1059"/>
      <c r="B6" s="504" t="s">
        <v>3</v>
      </c>
      <c r="C6" s="542">
        <f t="shared" ref="C6:L6" si="0">C5/C4</f>
        <v>0.37760363680756193</v>
      </c>
      <c r="D6" s="343">
        <f t="shared" si="0"/>
        <v>0.54437946088374245</v>
      </c>
      <c r="E6" s="542">
        <f t="shared" si="0"/>
        <v>0.54497607242252843</v>
      </c>
      <c r="F6" s="519">
        <f t="shared" si="0"/>
        <v>0.85508256098391866</v>
      </c>
      <c r="G6" s="498">
        <f t="shared" si="0"/>
        <v>0.66667069599615603</v>
      </c>
      <c r="H6" s="498">
        <f t="shared" si="0"/>
        <v>0.48678353302712757</v>
      </c>
      <c r="I6" s="498">
        <f t="shared" si="0"/>
        <v>0.64884429070601268</v>
      </c>
      <c r="J6" s="506">
        <f t="shared" si="0"/>
        <v>0.18069548241650979</v>
      </c>
      <c r="K6" s="506">
        <f t="shared" si="0"/>
        <v>0.62613892628198187</v>
      </c>
      <c r="L6" s="514">
        <f t="shared" si="0"/>
        <v>2.9434212940703731E-2</v>
      </c>
      <c r="M6" s="547">
        <f>M5/M4</f>
        <v>0.87589902247899409</v>
      </c>
      <c r="N6" s="498">
        <f>N5/N4</f>
        <v>0.42348342090915819</v>
      </c>
      <c r="O6" s="506">
        <f>O5/O4</f>
        <v>0.68384292355783982</v>
      </c>
      <c r="P6" s="498">
        <f>P5/P4</f>
        <v>0.73959493028231582</v>
      </c>
      <c r="Q6" s="506">
        <f>Q5/Q4</f>
        <v>0.18793229747142998</v>
      </c>
      <c r="R6" s="506">
        <f t="shared" ref="R6:S6" si="1">R5/R4</f>
        <v>0.49229660453716129</v>
      </c>
      <c r="S6" s="514">
        <f t="shared" si="1"/>
        <v>0.30123962623074191</v>
      </c>
      <c r="T6" s="545">
        <f>T5/T4</f>
        <v>0.2496781563344273</v>
      </c>
      <c r="U6" s="514">
        <f>U5/U4</f>
        <v>0.21148063643643947</v>
      </c>
      <c r="V6" s="534"/>
      <c r="W6" s="534"/>
      <c r="X6" s="534"/>
      <c r="Y6" s="534"/>
      <c r="Z6" s="534"/>
      <c r="AA6" s="605"/>
      <c r="AB6" s="347" t="s">
        <v>3</v>
      </c>
      <c r="AC6" s="395">
        <f>AC5/AC4</f>
        <v>0.36239495651810061</v>
      </c>
      <c r="AD6" s="542">
        <f>AD5/AD4</f>
        <v>0.44305694305694304</v>
      </c>
      <c r="AE6" s="514">
        <f>AE5/AE4</f>
        <v>3.0277861582453984E-2</v>
      </c>
      <c r="AF6" s="522">
        <f>AF5/AF4</f>
        <v>0.53530479322981073</v>
      </c>
      <c r="AG6" s="343">
        <f>AG5/AG4</f>
        <v>0.37796122654787906</v>
      </c>
    </row>
    <row r="7" spans="1:33" s="591" customFormat="1" ht="30" x14ac:dyDescent="0.25">
      <c r="A7" s="1060" t="s">
        <v>6</v>
      </c>
      <c r="B7" s="553" t="s">
        <v>7</v>
      </c>
      <c r="C7" s="554">
        <v>5870</v>
      </c>
      <c r="D7" s="555">
        <v>3333</v>
      </c>
      <c r="E7" s="554">
        <v>3330</v>
      </c>
      <c r="F7" s="556">
        <v>9457</v>
      </c>
      <c r="G7" s="556">
        <v>7929</v>
      </c>
      <c r="H7" s="556">
        <v>15703</v>
      </c>
      <c r="I7" s="556">
        <v>8197</v>
      </c>
      <c r="J7" s="557">
        <v>9599</v>
      </c>
      <c r="K7" s="557">
        <v>4073</v>
      </c>
      <c r="L7" s="555">
        <v>6399</v>
      </c>
      <c r="M7" s="554">
        <v>9092</v>
      </c>
      <c r="N7" s="556">
        <v>11924</v>
      </c>
      <c r="O7" s="556">
        <v>4059</v>
      </c>
      <c r="P7" s="556">
        <v>10852</v>
      </c>
      <c r="Q7" s="557">
        <v>4799</v>
      </c>
      <c r="R7" s="557">
        <v>7192</v>
      </c>
      <c r="S7" s="555">
        <v>9599</v>
      </c>
      <c r="T7" s="558">
        <v>2480</v>
      </c>
      <c r="U7" s="555">
        <v>1570</v>
      </c>
      <c r="V7" s="559" t="s">
        <v>197</v>
      </c>
      <c r="W7" s="560"/>
      <c r="X7" s="561"/>
      <c r="Y7" s="561"/>
      <c r="Z7" s="561"/>
      <c r="AA7" s="562" t="s">
        <v>190</v>
      </c>
      <c r="AB7" s="553" t="s">
        <v>4</v>
      </c>
      <c r="AC7" s="564">
        <v>9191.7999999999993</v>
      </c>
      <c r="AD7" s="565">
        <v>13787.7</v>
      </c>
      <c r="AE7" s="566">
        <v>8804.7999999999993</v>
      </c>
      <c r="AF7" s="567">
        <v>13787.7</v>
      </c>
      <c r="AG7" s="568">
        <v>8804.7999999999993</v>
      </c>
    </row>
    <row r="8" spans="1:33" s="591" customFormat="1" x14ac:dyDescent="0.25">
      <c r="A8" s="1061"/>
      <c r="B8" s="494" t="s">
        <v>11</v>
      </c>
      <c r="C8" s="302">
        <f t="shared" ref="C8:L8" si="2">C7*33.717</f>
        <v>197918.78999999998</v>
      </c>
      <c r="D8" s="512">
        <f t="shared" si="2"/>
        <v>112378.761</v>
      </c>
      <c r="E8" s="302">
        <f t="shared" si="2"/>
        <v>112277.61</v>
      </c>
      <c r="F8" s="355">
        <f t="shared" si="2"/>
        <v>318861.66899999999</v>
      </c>
      <c r="G8" s="499">
        <f t="shared" si="2"/>
        <v>267342.09299999999</v>
      </c>
      <c r="H8" s="354">
        <f t="shared" si="2"/>
        <v>529458.05099999998</v>
      </c>
      <c r="I8" s="354">
        <f t="shared" si="2"/>
        <v>276378.24900000001</v>
      </c>
      <c r="J8" s="355">
        <f t="shared" si="2"/>
        <v>323649.48300000001</v>
      </c>
      <c r="K8" s="507">
        <f t="shared" si="2"/>
        <v>137329.34099999999</v>
      </c>
      <c r="L8" s="512">
        <f t="shared" si="2"/>
        <v>215755.08299999998</v>
      </c>
      <c r="M8" s="322">
        <f>M7*33.717</f>
        <v>306554.96399999998</v>
      </c>
      <c r="N8" s="499">
        <f>N7*33.717</f>
        <v>402041.50799999997</v>
      </c>
      <c r="O8" s="499">
        <f>O7*33.717</f>
        <v>136857.30299999999</v>
      </c>
      <c r="P8" s="354">
        <f>P7*33.717</f>
        <v>365896.88399999996</v>
      </c>
      <c r="Q8" s="355">
        <f>Q7*33.717</f>
        <v>161807.883</v>
      </c>
      <c r="R8" s="507">
        <f t="shared" ref="R8:S8" si="3">R7*33.717</f>
        <v>242492.66399999999</v>
      </c>
      <c r="S8" s="512">
        <f t="shared" si="3"/>
        <v>323649.48300000001</v>
      </c>
      <c r="T8" s="302">
        <f>T7*33.717</f>
        <v>83618.16</v>
      </c>
      <c r="U8" s="354">
        <f>U7*33.717</f>
        <v>52935.689999999995</v>
      </c>
      <c r="V8" s="534"/>
      <c r="W8" s="534"/>
      <c r="X8" s="534"/>
      <c r="Y8" s="534"/>
      <c r="Z8" s="534"/>
      <c r="AA8" s="604"/>
      <c r="AB8" s="497" t="s">
        <v>5</v>
      </c>
      <c r="AC8" s="319">
        <v>7975.5</v>
      </c>
      <c r="AD8" s="300">
        <v>13649</v>
      </c>
      <c r="AE8" s="513">
        <v>1289.9000000000001</v>
      </c>
      <c r="AF8" s="398">
        <v>13642</v>
      </c>
      <c r="AG8" s="394">
        <v>5483.9</v>
      </c>
    </row>
    <row r="9" spans="1:33" s="591" customFormat="1" ht="15.75" thickBot="1" x14ac:dyDescent="0.3">
      <c r="A9" s="1061"/>
      <c r="B9" s="494" t="s">
        <v>79</v>
      </c>
      <c r="C9" s="302">
        <v>164000</v>
      </c>
      <c r="D9" s="512">
        <v>109880</v>
      </c>
      <c r="E9" s="302">
        <v>109880</v>
      </c>
      <c r="F9" s="499">
        <v>328000</v>
      </c>
      <c r="G9" s="499">
        <v>330905</v>
      </c>
      <c r="H9" s="499">
        <v>264264</v>
      </c>
      <c r="I9" s="499">
        <v>242663.6</v>
      </c>
      <c r="J9" s="507">
        <v>328000</v>
      </c>
      <c r="K9" s="507">
        <v>328000</v>
      </c>
      <c r="L9" s="512">
        <v>328000</v>
      </c>
      <c r="M9" s="302">
        <v>328000</v>
      </c>
      <c r="N9" s="499">
        <v>264264.40000000002</v>
      </c>
      <c r="O9" s="499">
        <v>328000</v>
      </c>
      <c r="P9" s="499">
        <v>352965.4</v>
      </c>
      <c r="Q9" s="507">
        <v>328000</v>
      </c>
      <c r="R9" s="507">
        <v>328000</v>
      </c>
      <c r="S9" s="512">
        <v>328000</v>
      </c>
      <c r="T9" s="322">
        <f>2*T4</f>
        <v>110302</v>
      </c>
      <c r="U9" s="512">
        <f>2*U4</f>
        <v>66181</v>
      </c>
      <c r="V9" s="534"/>
      <c r="W9" s="534"/>
      <c r="X9" s="534"/>
      <c r="Y9" s="534"/>
      <c r="Z9" s="534"/>
      <c r="AA9" s="605"/>
      <c r="AB9" s="344" t="s">
        <v>3</v>
      </c>
      <c r="AC9" s="395">
        <f>AC8/AC7</f>
        <v>0.86767553689157739</v>
      </c>
      <c r="AD9" s="301">
        <f>AD8/AD7</f>
        <v>0.98994030911609621</v>
      </c>
      <c r="AE9" s="401">
        <f>AE8/AE7</f>
        <v>0.14649963656187537</v>
      </c>
      <c r="AF9" s="400">
        <f>AF8/AF7</f>
        <v>0.98943261022505558</v>
      </c>
      <c r="AG9" s="348">
        <f>AG8/AG7</f>
        <v>0.62283072869343992</v>
      </c>
    </row>
    <row r="10" spans="1:33" s="591" customFormat="1" ht="45" x14ac:dyDescent="0.25">
      <c r="A10" s="1061"/>
      <c r="B10" s="497" t="s">
        <v>8</v>
      </c>
      <c r="C10" s="303">
        <f>SUM(C7-336)</f>
        <v>5534</v>
      </c>
      <c r="D10" s="511">
        <f>SUM(D7-468)</f>
        <v>2865</v>
      </c>
      <c r="E10" s="303">
        <f>SUM(E7-435)</f>
        <v>2895</v>
      </c>
      <c r="F10" s="502">
        <f>SUM(F7-1130)</f>
        <v>8327</v>
      </c>
      <c r="G10" s="502">
        <f>SUM(G7-4311)</f>
        <v>3618</v>
      </c>
      <c r="H10" s="502">
        <f>SUM(H7-2041)</f>
        <v>13662</v>
      </c>
      <c r="I10" s="502">
        <f>SUM(I7-(3284-2000))</f>
        <v>6913</v>
      </c>
      <c r="J10" s="508">
        <f>SUM(J7-8785)</f>
        <v>814</v>
      </c>
      <c r="K10" s="508">
        <f>SUM(K7-1056)</f>
        <v>3017</v>
      </c>
      <c r="L10" s="511">
        <f>SUM(L7-4196)</f>
        <v>2203</v>
      </c>
      <c r="M10" s="303">
        <f>SUM(M7-744)</f>
        <v>8348</v>
      </c>
      <c r="N10" s="502">
        <f>SUM(N7-986)</f>
        <v>10938</v>
      </c>
      <c r="O10" s="508">
        <f>SUM(O7-294)</f>
        <v>3765</v>
      </c>
      <c r="P10" s="502">
        <f>SUM(P7-(5089-2614))</f>
        <v>8377</v>
      </c>
      <c r="Q10" s="508">
        <f>SUM(Q7-3537)</f>
        <v>1262</v>
      </c>
      <c r="R10" s="508">
        <f>SUM(R7-4060)</f>
        <v>3132</v>
      </c>
      <c r="S10" s="511">
        <f>SUM(S7-3942)</f>
        <v>5657</v>
      </c>
      <c r="T10" s="323">
        <f>SUM(T7-859)</f>
        <v>1621</v>
      </c>
      <c r="U10" s="511">
        <f>SUM(U7-555)</f>
        <v>1015</v>
      </c>
      <c r="V10" s="526" t="s">
        <v>176</v>
      </c>
      <c r="W10" s="534"/>
      <c r="X10" s="534"/>
      <c r="Y10" s="534"/>
      <c r="Z10" s="534"/>
      <c r="AA10" s="603" t="s">
        <v>191</v>
      </c>
      <c r="AB10" s="528" t="s">
        <v>4</v>
      </c>
      <c r="AC10" s="544">
        <v>97433.600000000006</v>
      </c>
      <c r="AD10" s="541">
        <v>243584.4</v>
      </c>
      <c r="AE10" s="538">
        <v>132070.29999999999</v>
      </c>
      <c r="AF10" s="552">
        <v>292299.3</v>
      </c>
      <c r="AG10" s="551">
        <v>132070.39999999999</v>
      </c>
    </row>
    <row r="11" spans="1:33" s="591" customFormat="1" x14ac:dyDescent="0.25">
      <c r="A11" s="1061"/>
      <c r="B11" s="495" t="s">
        <v>77</v>
      </c>
      <c r="C11" s="302">
        <f t="shared" ref="C11:H11" si="4">(C10*33.717)</f>
        <v>186589.878</v>
      </c>
      <c r="D11" s="338">
        <f t="shared" si="4"/>
        <v>96599.205000000002</v>
      </c>
      <c r="E11" s="302">
        <f t="shared" si="4"/>
        <v>97610.714999999997</v>
      </c>
      <c r="F11" s="338">
        <f t="shared" si="4"/>
        <v>280761.45899999997</v>
      </c>
      <c r="G11" s="500">
        <f t="shared" si="4"/>
        <v>121988.106</v>
      </c>
      <c r="H11" s="500">
        <f t="shared" si="4"/>
        <v>460641.65399999998</v>
      </c>
      <c r="I11" s="500">
        <f>(I10*33.717)-(2000*33.717)</f>
        <v>165651.62099999998</v>
      </c>
      <c r="J11" s="509">
        <f>J10*33.717</f>
        <v>27445.637999999999</v>
      </c>
      <c r="K11" s="509">
        <f>K10*33.717</f>
        <v>101724.189</v>
      </c>
      <c r="L11" s="261">
        <f>L10*33.717</f>
        <v>74278.550999999992</v>
      </c>
      <c r="M11" s="304">
        <f>M10*33.717</f>
        <v>281469.516</v>
      </c>
      <c r="N11" s="500">
        <f>N10*33.717</f>
        <v>368796.54599999997</v>
      </c>
      <c r="O11" s="500">
        <f>(O10*33.717)</f>
        <v>126944.50499999999</v>
      </c>
      <c r="P11" s="500">
        <f>P10*33.717-(2614*33.717)</f>
        <v>194311.071</v>
      </c>
      <c r="Q11" s="509">
        <f t="shared" ref="Q11:U11" si="5">Q10*33.717</f>
        <v>42550.853999999999</v>
      </c>
      <c r="R11" s="509">
        <f t="shared" si="5"/>
        <v>105601.644</v>
      </c>
      <c r="S11" s="261">
        <f t="shared" si="5"/>
        <v>190737.06899999999</v>
      </c>
      <c r="T11" s="324">
        <f t="shared" si="5"/>
        <v>54655.256999999998</v>
      </c>
      <c r="U11" s="518">
        <f t="shared" si="5"/>
        <v>34222.754999999997</v>
      </c>
      <c r="V11" s="532">
        <f>344240-H11</f>
        <v>-116401.65399999998</v>
      </c>
      <c r="W11" s="534" t="s">
        <v>177</v>
      </c>
      <c r="X11" s="534"/>
      <c r="Y11" s="534"/>
      <c r="Z11" s="534"/>
      <c r="AA11" s="604"/>
      <c r="AB11" s="497" t="s">
        <v>5</v>
      </c>
      <c r="AC11" s="319">
        <v>38973.199999999997</v>
      </c>
      <c r="AD11" s="300">
        <v>124350.5</v>
      </c>
      <c r="AE11" s="513">
        <v>3817.1</v>
      </c>
      <c r="AF11" s="398">
        <v>109009</v>
      </c>
      <c r="AG11" s="394">
        <v>33401</v>
      </c>
    </row>
    <row r="12" spans="1:33" s="591" customFormat="1" ht="15.75" thickBot="1" x14ac:dyDescent="0.3">
      <c r="A12" s="1062"/>
      <c r="B12" s="504" t="s">
        <v>217</v>
      </c>
      <c r="C12" s="542">
        <f t="shared" ref="C12:U12" si="6">C11/C4</f>
        <v>0.77478932144538848</v>
      </c>
      <c r="D12" s="514">
        <f t="shared" si="6"/>
        <v>0.64178396815768612</v>
      </c>
      <c r="E12" s="543">
        <f t="shared" si="6"/>
        <v>0.64850421913315925</v>
      </c>
      <c r="F12" s="501">
        <f t="shared" si="6"/>
        <v>1.542655550476157</v>
      </c>
      <c r="G12" s="501">
        <f t="shared" si="6"/>
        <v>0.73729540928417958</v>
      </c>
      <c r="H12" s="501">
        <f t="shared" si="6"/>
        <v>1.2260338941367821</v>
      </c>
      <c r="I12" s="501">
        <f t="shared" si="6"/>
        <v>0.96890084495047613</v>
      </c>
      <c r="J12" s="520">
        <f t="shared" si="6"/>
        <v>0.16588127782126094</v>
      </c>
      <c r="K12" s="520">
        <f t="shared" si="6"/>
        <v>1.1007729440892702</v>
      </c>
      <c r="L12" s="515">
        <f t="shared" si="6"/>
        <v>0.34505392617987468</v>
      </c>
      <c r="M12" s="543">
        <f t="shared" si="6"/>
        <v>1.4581714156052119</v>
      </c>
      <c r="N12" s="501">
        <f t="shared" si="6"/>
        <v>0.86891745254012309</v>
      </c>
      <c r="O12" s="501">
        <f t="shared" si="6"/>
        <v>1.5345064948879801</v>
      </c>
      <c r="P12" s="510">
        <f t="shared" si="6"/>
        <v>0.70465112509292671</v>
      </c>
      <c r="Q12" s="520">
        <f t="shared" si="6"/>
        <v>0.5143551650859578</v>
      </c>
      <c r="R12" s="520">
        <f t="shared" si="6"/>
        <v>0.55879325817963232</v>
      </c>
      <c r="S12" s="515">
        <f t="shared" si="6"/>
        <v>0.88605086718091286</v>
      </c>
      <c r="T12" s="542">
        <f t="shared" si="6"/>
        <v>0.99101116933509814</v>
      </c>
      <c r="U12" s="514">
        <f t="shared" si="6"/>
        <v>1.034216920264124</v>
      </c>
      <c r="V12" s="535"/>
      <c r="W12" s="534"/>
      <c r="X12" s="534"/>
      <c r="Y12" s="534"/>
      <c r="Z12" s="534"/>
      <c r="AA12" s="605"/>
      <c r="AB12" s="504" t="s">
        <v>3</v>
      </c>
      <c r="AC12" s="545">
        <f>AC11/AC10</f>
        <v>0.39999753678402516</v>
      </c>
      <c r="AD12" s="542">
        <f>AD11/AD10</f>
        <v>0.51050272513346506</v>
      </c>
      <c r="AE12" s="514">
        <f>AE11/AE10</f>
        <v>2.8902031720984961E-2</v>
      </c>
      <c r="AF12" s="522">
        <f>AF11/AF10</f>
        <v>0.37293623351133581</v>
      </c>
      <c r="AG12" s="343">
        <f>AG11/AG10</f>
        <v>0.25290299718937781</v>
      </c>
    </row>
    <row r="13" spans="1:33" s="591" customFormat="1" ht="15.75" thickBot="1" x14ac:dyDescent="0.3">
      <c r="A13" s="612"/>
      <c r="B13" s="504" t="s">
        <v>218</v>
      </c>
      <c r="C13" s="303">
        <v>168566</v>
      </c>
      <c r="D13" s="303">
        <v>96194</v>
      </c>
      <c r="E13" s="303">
        <v>97205</v>
      </c>
      <c r="F13" s="303">
        <v>262762</v>
      </c>
      <c r="G13" s="303">
        <v>126645</v>
      </c>
      <c r="H13" s="303">
        <v>445574</v>
      </c>
      <c r="I13" s="303">
        <v>165652</v>
      </c>
      <c r="J13" s="303">
        <v>27482</v>
      </c>
      <c r="K13" s="303">
        <v>101798</v>
      </c>
      <c r="L13" s="303">
        <v>74362</v>
      </c>
      <c r="M13" s="303">
        <v>277512</v>
      </c>
      <c r="N13" s="303">
        <v>369005</v>
      </c>
      <c r="O13" s="303">
        <v>133944</v>
      </c>
      <c r="P13" s="303">
        <v>161875</v>
      </c>
      <c r="Q13" s="303">
        <v>42593</v>
      </c>
      <c r="R13" s="303">
        <v>100733</v>
      </c>
      <c r="S13" s="303">
        <v>191491</v>
      </c>
      <c r="T13" s="303">
        <v>54655</v>
      </c>
      <c r="U13" s="303">
        <v>34222</v>
      </c>
      <c r="V13" s="535"/>
      <c r="W13" s="534"/>
      <c r="X13" s="534"/>
      <c r="Y13" s="534"/>
      <c r="Z13" s="534"/>
      <c r="AA13" s="605" t="s">
        <v>219</v>
      </c>
      <c r="AB13" s="504" t="s">
        <v>3</v>
      </c>
      <c r="AC13" s="545">
        <f>(AC6+AC12)/2</f>
        <v>0.38119624665106289</v>
      </c>
      <c r="AD13" s="545">
        <f t="shared" ref="AD13:AG13" si="7">(AD6+AD12)/2</f>
        <v>0.47677983409520408</v>
      </c>
      <c r="AE13" s="545">
        <f t="shared" si="7"/>
        <v>2.9589946651719472E-2</v>
      </c>
      <c r="AF13" s="545">
        <f t="shared" si="7"/>
        <v>0.45412051337057324</v>
      </c>
      <c r="AG13" s="545">
        <f t="shared" si="7"/>
        <v>0.31543211186862841</v>
      </c>
    </row>
    <row r="14" spans="1:33" s="591" customFormat="1" ht="15.75" thickBot="1" x14ac:dyDescent="0.3">
      <c r="A14" s="612"/>
      <c r="B14" s="504" t="s">
        <v>216</v>
      </c>
      <c r="C14" s="543">
        <f t="shared" ref="C14:D14" si="8">C13/C4</f>
        <v>0.69994759715081301</v>
      </c>
      <c r="D14" s="543">
        <f t="shared" si="8"/>
        <v>0.63909187485508245</v>
      </c>
      <c r="E14" s="543">
        <f>E13/E4</f>
        <v>0.64580873750221734</v>
      </c>
      <c r="F14" s="543">
        <f t="shared" ref="F14:U14" si="9">F13/F4</f>
        <v>1.4437567720226727</v>
      </c>
      <c r="G14" s="543">
        <f t="shared" si="9"/>
        <v>0.76544164976866613</v>
      </c>
      <c r="H14" s="543">
        <f t="shared" si="9"/>
        <v>1.1859301511324083</v>
      </c>
      <c r="I14" s="543">
        <f t="shared" si="9"/>
        <v>0.96890306173180341</v>
      </c>
      <c r="J14" s="543">
        <f t="shared" si="9"/>
        <v>0.16610104953959873</v>
      </c>
      <c r="K14" s="543">
        <f t="shared" si="9"/>
        <v>1.1015716641633733</v>
      </c>
      <c r="L14" s="543">
        <f t="shared" si="9"/>
        <v>0.34544158055247798</v>
      </c>
      <c r="M14" s="543">
        <f t="shared" si="9"/>
        <v>1.4376692426167867</v>
      </c>
      <c r="N14" s="543">
        <f t="shared" si="9"/>
        <v>0.86940858869803006</v>
      </c>
      <c r="O14" s="543">
        <f t="shared" si="9"/>
        <v>1.6191164631448651</v>
      </c>
      <c r="P14" s="543">
        <f t="shared" si="9"/>
        <v>0.58702471396710854</v>
      </c>
      <c r="Q14" s="543">
        <f t="shared" si="9"/>
        <v>0.51486462637168695</v>
      </c>
      <c r="R14" s="543">
        <f t="shared" si="9"/>
        <v>0.53303072891752423</v>
      </c>
      <c r="S14" s="543">
        <f t="shared" si="9"/>
        <v>0.88955318175377962</v>
      </c>
      <c r="T14" s="543">
        <f t="shared" si="9"/>
        <v>0.9910065094014614</v>
      </c>
      <c r="U14" s="543">
        <f t="shared" si="9"/>
        <v>1.0341941040479896</v>
      </c>
      <c r="V14" s="535"/>
      <c r="W14" s="534"/>
      <c r="X14" s="534"/>
      <c r="Y14" s="534"/>
      <c r="Z14" s="534"/>
      <c r="AA14" s="605"/>
      <c r="AB14" s="504"/>
      <c r="AC14" s="545"/>
      <c r="AD14" s="542"/>
      <c r="AE14" s="514"/>
      <c r="AF14" s="522"/>
      <c r="AG14" s="343"/>
    </row>
  </sheetData>
  <mergeCells count="10">
    <mergeCell ref="AD2:AE2"/>
    <mergeCell ref="AF2:AG2"/>
    <mergeCell ref="A3:B3"/>
    <mergeCell ref="AA3:AB3"/>
    <mergeCell ref="A4:A6"/>
    <mergeCell ref="A7:A12"/>
    <mergeCell ref="A1:C1"/>
    <mergeCell ref="AA1:AB1"/>
    <mergeCell ref="A2:B2"/>
    <mergeCell ref="AA2:AB2"/>
  </mergeCells>
  <conditionalFormatting sqref="J12">
    <cfRule type="cellIs" dxfId="65" priority="63" stopIfTrue="1" operator="greaterThan">
      <formula>1.75</formula>
    </cfRule>
    <cfRule type="cellIs" dxfId="64" priority="64" stopIfTrue="1" operator="between">
      <formula>1.25</formula>
      <formula>1.75</formula>
    </cfRule>
  </conditionalFormatting>
  <conditionalFormatting sqref="V11">
    <cfRule type="cellIs" dxfId="63" priority="65" operator="lessThan">
      <formula>1000</formula>
    </cfRule>
    <cfRule type="cellIs" dxfId="62" priority="66" operator="lessThan">
      <formula>2000</formula>
    </cfRule>
  </conditionalFormatting>
  <conditionalFormatting sqref="C12:I12 M12:O12">
    <cfRule type="cellIs" dxfId="61" priority="59" stopIfTrue="1" operator="greaterThan">
      <formula>1.75</formula>
    </cfRule>
    <cfRule type="cellIs" dxfId="60" priority="60" stopIfTrue="1" operator="between">
      <formula>1.25</formula>
      <formula>1.75</formula>
    </cfRule>
  </conditionalFormatting>
  <conditionalFormatting sqref="C12:I12 M12:O12">
    <cfRule type="cellIs" dxfId="59" priority="57" stopIfTrue="1" operator="greaterThan">
      <formula>1.75</formula>
    </cfRule>
    <cfRule type="cellIs" dxfId="58" priority="58" stopIfTrue="1" operator="between">
      <formula>1.25</formula>
      <formula>1.75</formula>
    </cfRule>
  </conditionalFormatting>
  <conditionalFormatting sqref="P12">
    <cfRule type="cellIs" dxfId="57" priority="55" stopIfTrue="1" operator="greaterThan">
      <formula>1.75</formula>
    </cfRule>
    <cfRule type="cellIs" dxfId="56" priority="56" stopIfTrue="1" operator="between">
      <formula>1.25</formula>
      <formula>1.75</formula>
    </cfRule>
  </conditionalFormatting>
  <conditionalFormatting sqref="P12">
    <cfRule type="cellIs" dxfId="55" priority="53" stopIfTrue="1" operator="greaterThan">
      <formula>1.75</formula>
    </cfRule>
    <cfRule type="cellIs" dxfId="54" priority="54" stopIfTrue="1" operator="between">
      <formula>1.25</formula>
      <formula>1.75</formula>
    </cfRule>
  </conditionalFormatting>
  <conditionalFormatting sqref="P12">
    <cfRule type="cellIs" dxfId="53" priority="51" stopIfTrue="1" operator="greaterThan">
      <formula>1.75</formula>
    </cfRule>
    <cfRule type="cellIs" dxfId="52" priority="52" stopIfTrue="1" operator="between">
      <formula>1.25</formula>
      <formula>1.75</formula>
    </cfRule>
  </conditionalFormatting>
  <conditionalFormatting sqref="U12">
    <cfRule type="cellIs" dxfId="51" priority="49" stopIfTrue="1" operator="greaterThan">
      <formula>1.75</formula>
    </cfRule>
    <cfRule type="cellIs" dxfId="50" priority="50" stopIfTrue="1" operator="between">
      <formula>1.25</formula>
      <formula>1.75</formula>
    </cfRule>
  </conditionalFormatting>
  <conditionalFormatting sqref="T12">
    <cfRule type="cellIs" dxfId="49" priority="47" stopIfTrue="1" operator="greaterThan">
      <formula>1.75</formula>
    </cfRule>
    <cfRule type="cellIs" dxfId="48" priority="48" stopIfTrue="1" operator="between">
      <formula>1.25</formula>
      <formula>1.75</formula>
    </cfRule>
  </conditionalFormatting>
  <conditionalFormatting sqref="Q12">
    <cfRule type="cellIs" dxfId="47" priority="45" stopIfTrue="1" operator="greaterThan">
      <formula>1.75</formula>
    </cfRule>
    <cfRule type="cellIs" dxfId="46" priority="46" stopIfTrue="1" operator="between">
      <formula>1.25</formula>
      <formula>1.75</formula>
    </cfRule>
  </conditionalFormatting>
  <conditionalFormatting sqref="Q12">
    <cfRule type="cellIs" dxfId="45" priority="43" stopIfTrue="1" operator="greaterThan">
      <formula>1.75</formula>
    </cfRule>
    <cfRule type="cellIs" dxfId="44" priority="44" stopIfTrue="1" operator="between">
      <formula>1.25</formula>
      <formula>1.75</formula>
    </cfRule>
  </conditionalFormatting>
  <conditionalFormatting sqref="Q12">
    <cfRule type="cellIs" dxfId="43" priority="41" stopIfTrue="1" operator="greaterThan">
      <formula>1.75</formula>
    </cfRule>
    <cfRule type="cellIs" dxfId="42" priority="42" stopIfTrue="1" operator="between">
      <formula>1.25</formula>
      <formula>1.75</formula>
    </cfRule>
  </conditionalFormatting>
  <conditionalFormatting sqref="J12">
    <cfRule type="cellIs" dxfId="41" priority="39" stopIfTrue="1" operator="greaterThan">
      <formula>1.75</formula>
    </cfRule>
    <cfRule type="cellIs" dxfId="40" priority="40" stopIfTrue="1" operator="between">
      <formula>1.25</formula>
      <formula>1.75</formula>
    </cfRule>
  </conditionalFormatting>
  <conditionalFormatting sqref="J12">
    <cfRule type="cellIs" dxfId="39" priority="37" stopIfTrue="1" operator="greaterThan">
      <formula>1.75</formula>
    </cfRule>
    <cfRule type="cellIs" dxfId="38" priority="38" stopIfTrue="1" operator="between">
      <formula>1.25</formula>
      <formula>1.75</formula>
    </cfRule>
  </conditionalFormatting>
  <conditionalFormatting sqref="R12">
    <cfRule type="cellIs" dxfId="37" priority="35" stopIfTrue="1" operator="greaterThan">
      <formula>1.75</formula>
    </cfRule>
    <cfRule type="cellIs" dxfId="36" priority="36" stopIfTrue="1" operator="between">
      <formula>1.25</formula>
      <formula>1.75</formula>
    </cfRule>
  </conditionalFormatting>
  <conditionalFormatting sqref="K12">
    <cfRule type="cellIs" dxfId="35" priority="33" stopIfTrue="1" operator="greaterThan">
      <formula>1.75</formula>
    </cfRule>
    <cfRule type="cellIs" dxfId="34" priority="34" stopIfTrue="1" operator="between">
      <formula>1.25</formula>
      <formula>1.75</formula>
    </cfRule>
  </conditionalFormatting>
  <conditionalFormatting sqref="R12">
    <cfRule type="cellIs" dxfId="33" priority="31" stopIfTrue="1" operator="greaterThan">
      <formula>1.75</formula>
    </cfRule>
    <cfRule type="cellIs" dxfId="32" priority="32" stopIfTrue="1" operator="between">
      <formula>1.25</formula>
      <formula>1.75</formula>
    </cfRule>
  </conditionalFormatting>
  <conditionalFormatting sqref="R12">
    <cfRule type="cellIs" dxfId="31" priority="29" stopIfTrue="1" operator="greaterThan">
      <formula>1.75</formula>
    </cfRule>
    <cfRule type="cellIs" dxfId="30" priority="30" stopIfTrue="1" operator="between">
      <formula>1.25</formula>
      <formula>1.75</formula>
    </cfRule>
  </conditionalFormatting>
  <conditionalFormatting sqref="K12">
    <cfRule type="cellIs" dxfId="29" priority="27" stopIfTrue="1" operator="greaterThan">
      <formula>1.75</formula>
    </cfRule>
    <cfRule type="cellIs" dxfId="28" priority="28" stopIfTrue="1" operator="between">
      <formula>1.25</formula>
      <formula>1.75</formula>
    </cfRule>
  </conditionalFormatting>
  <conditionalFormatting sqref="K12">
    <cfRule type="cellIs" dxfId="27" priority="25" stopIfTrue="1" operator="greaterThan">
      <formula>1.75</formula>
    </cfRule>
    <cfRule type="cellIs" dxfId="26" priority="26" stopIfTrue="1" operator="between">
      <formula>1.25</formula>
      <formula>1.75</formula>
    </cfRule>
  </conditionalFormatting>
  <conditionalFormatting sqref="L12">
    <cfRule type="cellIs" dxfId="25" priority="23" stopIfTrue="1" operator="greaterThan">
      <formula>1.75</formula>
    </cfRule>
    <cfRule type="cellIs" dxfId="24" priority="24" stopIfTrue="1" operator="between">
      <formula>1.25</formula>
      <formula>1.75</formula>
    </cfRule>
  </conditionalFormatting>
  <conditionalFormatting sqref="L12">
    <cfRule type="cellIs" dxfId="23" priority="21" stopIfTrue="1" operator="greaterThan">
      <formula>1.75</formula>
    </cfRule>
    <cfRule type="cellIs" dxfId="22" priority="22" stopIfTrue="1" operator="between">
      <formula>1.25</formula>
      <formula>1.75</formula>
    </cfRule>
  </conditionalFormatting>
  <conditionalFormatting sqref="L12">
    <cfRule type="cellIs" dxfId="21" priority="19" stopIfTrue="1" operator="greaterThan">
      <formula>1.75</formula>
    </cfRule>
    <cfRule type="cellIs" dxfId="20" priority="20" stopIfTrue="1" operator="between">
      <formula>1.25</formula>
      <formula>1.75</formula>
    </cfRule>
  </conditionalFormatting>
  <conditionalFormatting sqref="S12">
    <cfRule type="cellIs" dxfId="19" priority="17" stopIfTrue="1" operator="greaterThan">
      <formula>1.75</formula>
    </cfRule>
    <cfRule type="cellIs" dxfId="18" priority="18" stopIfTrue="1" operator="between">
      <formula>1.25</formula>
      <formula>1.75</formula>
    </cfRule>
  </conditionalFormatting>
  <conditionalFormatting sqref="S12">
    <cfRule type="cellIs" dxfId="17" priority="15" stopIfTrue="1" operator="greaterThan">
      <formula>1.75</formula>
    </cfRule>
    <cfRule type="cellIs" dxfId="16" priority="16" stopIfTrue="1" operator="between">
      <formula>1.25</formula>
      <formula>1.75</formula>
    </cfRule>
  </conditionalFormatting>
  <conditionalFormatting sqref="S12">
    <cfRule type="cellIs" dxfId="15" priority="13" stopIfTrue="1" operator="greaterThan">
      <formula>1.75</formula>
    </cfRule>
    <cfRule type="cellIs" dxfId="14" priority="14" stopIfTrue="1" operator="between">
      <formula>1.25</formula>
      <formula>1.75</formula>
    </cfRule>
  </conditionalFormatting>
  <conditionalFormatting sqref="C12:I12 M12:O12">
    <cfRule type="cellIs" dxfId="13" priority="61" stopIfTrue="1" operator="greaterThan">
      <formula>1.75</formula>
    </cfRule>
    <cfRule type="cellIs" dxfId="12" priority="62" stopIfTrue="1" operator="between">
      <formula>1.25</formula>
      <formula>1.75</formula>
    </cfRule>
  </conditionalFormatting>
  <conditionalFormatting sqref="C14:E14">
    <cfRule type="cellIs" dxfId="11" priority="7" stopIfTrue="1" operator="greaterThan">
      <formula>1.75</formula>
    </cfRule>
    <cfRule type="cellIs" dxfId="10" priority="8" stopIfTrue="1" operator="between">
      <formula>1.25</formula>
      <formula>1.75</formula>
    </cfRule>
  </conditionalFormatting>
  <conditionalFormatting sqref="C14:E14">
    <cfRule type="cellIs" dxfId="9" priority="9" stopIfTrue="1" operator="greaterThan">
      <formula>1.75</formula>
    </cfRule>
    <cfRule type="cellIs" dxfId="8" priority="10" stopIfTrue="1" operator="between">
      <formula>1.25</formula>
      <formula>1.75</formula>
    </cfRule>
  </conditionalFormatting>
  <conditionalFormatting sqref="F14:U14">
    <cfRule type="cellIs" dxfId="7" priority="5" stopIfTrue="1" operator="greaterThan">
      <formula>1.75</formula>
    </cfRule>
    <cfRule type="cellIs" dxfId="6" priority="6" stopIfTrue="1" operator="between">
      <formula>1.25</formula>
      <formula>1.75</formula>
    </cfRule>
  </conditionalFormatting>
  <conditionalFormatting sqref="F14:U14">
    <cfRule type="cellIs" dxfId="5" priority="3" stopIfTrue="1" operator="greaterThan">
      <formula>1.75</formula>
    </cfRule>
    <cfRule type="cellIs" dxfId="4" priority="4" stopIfTrue="1" operator="between">
      <formula>1.25</formula>
      <formula>1.75</formula>
    </cfRule>
  </conditionalFormatting>
  <conditionalFormatting sqref="F14:U14">
    <cfRule type="cellIs" dxfId="3" priority="1" stopIfTrue="1" operator="greaterThan">
      <formula>1.75</formula>
    </cfRule>
    <cfRule type="cellIs" dxfId="2" priority="2" stopIfTrue="1" operator="between">
      <formula>1.25</formula>
      <formula>1.75</formula>
    </cfRule>
  </conditionalFormatting>
  <conditionalFormatting sqref="C14:E14">
    <cfRule type="cellIs" dxfId="1" priority="11" stopIfTrue="1" operator="greaterThan">
      <formula>1.75</formula>
    </cfRule>
    <cfRule type="cellIs" dxfId="0" priority="12" stopIfTrue="1" operator="between">
      <formula>1.25</formula>
      <formula>1.75</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4a405086127d0c7a8e58b57557e53ea7">
  <xsd:schema xmlns:xsd="http://www.w3.org/2001/XMLSchema" xmlns:xs="http://www.w3.org/2001/XMLSchema" xmlns:p="http://schemas.microsoft.com/office/2006/metadata/properties" targetNamespace="http://schemas.microsoft.com/office/2006/metadata/properties" ma:root="true" ma:fieldsID="afb976ab605b5f60333964a2e70d781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5A969B2D-3502-4249-8DE1-371F04DB62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1DA2868-97B7-4917-982D-B6731652D047}">
  <ds:schemaRefs>
    <ds:schemaRef ds:uri="http://schemas.microsoft.com/sharepoint/v3/contenttype/forms"/>
  </ds:schemaRefs>
</ds:datastoreItem>
</file>

<file path=customXml/itemProps3.xml><?xml version="1.0" encoding="utf-8"?>
<ds:datastoreItem xmlns:ds="http://schemas.openxmlformats.org/officeDocument/2006/customXml" ds:itemID="{55D2A48B-9331-49D5-AAEC-3095FD6E140E}">
  <ds:schemaRefs>
    <ds:schemaRef ds:uri="http://purl.org/dc/terms/"/>
    <ds:schemaRef ds:uri="http://schemas.microsoft.com/office/2006/metadata/propertie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DA5C3ECD-DDA3-4F31-BA9F-EBF2F38E01C5}">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Source</vt:lpstr>
      <vt:lpstr>Table</vt:lpstr>
      <vt:lpstr>used space Charts</vt:lpstr>
      <vt:lpstr>subscription charts</vt:lpstr>
      <vt:lpstr>Used GB Charts</vt:lpstr>
      <vt:lpstr>Allocated charts</vt:lpstr>
      <vt:lpstr>Usable  Feed</vt:lpstr>
      <vt:lpstr>Used Feed</vt:lpstr>
      <vt:lpstr>Alloc Feed</vt:lpstr>
      <vt:lpstr>Instructions</vt:lpstr>
      <vt:lpstr>Formula explanation</vt:lpstr>
      <vt:lpstr>678 port usage</vt:lpstr>
      <vt:lpstr>879 port usage</vt:lpstr>
      <vt:lpstr>Sheet1</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sm28519</dc:creator>
  <cp:lastModifiedBy>Ashok Kumar Reddy</cp:lastModifiedBy>
  <cp:lastPrinted>2012-04-16T10:09:09Z</cp:lastPrinted>
  <dcterms:created xsi:type="dcterms:W3CDTF">2010-04-19T13:59:20Z</dcterms:created>
  <dcterms:modified xsi:type="dcterms:W3CDTF">2015-01-08T15:54:21Z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y fmtid="{D5CDD505-2E9C-101B-9397-08002B2CF9AE}" pid="3" name="ContentType">
    <vt:lpwstr>Document</vt:lpwstr>
  </property>
</Properties>
</file>